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codeName="ThisWorkbook" defaultThemeVersion="124226"/>
  <mc:AlternateContent xmlns:mc="http://schemas.openxmlformats.org/markup-compatibility/2006">
    <mc:Choice Requires="x15">
      <x15ac:absPath xmlns:x15ac="http://schemas.microsoft.com/office/spreadsheetml/2010/11/ac" url="O:\Todd L. Cooper, Jr\2024 Elections\110524\Audit - Recounts\"/>
    </mc:Choice>
  </mc:AlternateContent>
  <xr:revisionPtr revIDLastSave="0" documentId="13_ncr:1_{3FBD6B01-402B-4986-B4A6-16A8B9D943D1}" xr6:coauthVersionLast="47" xr6:coauthVersionMax="47" xr10:uidLastSave="{00000000-0000-0000-0000-000000000000}"/>
  <bookViews>
    <workbookView xWindow="-110" yWindow="-110" windowWidth="38620" windowHeight="21100" xr2:uid="{00000000-000D-0000-FFFF-FFFF00000000}"/>
  </bookViews>
  <sheets>
    <sheet name="General Info" sheetId="3" r:id="rId1"/>
    <sheet name="Selected Batches" sheetId="6" r:id="rId2"/>
    <sheet name="Audit" sheetId="8" r:id="rId3"/>
    <sheet name="Sampling Data" sheetId="2" r:id="rId4"/>
    <sheet name="Instructions" sheetId="9" r:id="rId5"/>
  </sheets>
  <definedNames>
    <definedName name="_xlnm._FilterDatabase" localSheetId="2" hidden="1">Audit!$A$4:$BL$1128</definedName>
    <definedName name="Candidates">Table10[#All]</definedName>
    <definedName name="Contest">GeneralInfo[[#Headers],[Judge of Court of Appeals (2-12-25)]]</definedName>
    <definedName name="_xlnm.Print_Area" localSheetId="2">Audit!$A$1:$BN$1129</definedName>
    <definedName name="_xlnm.Print_Titles" localSheetId="2">Audit!$1:$3</definedName>
    <definedName name="_xlnm.Print_Titles" localSheetId="0">'General Info'!$1:$2</definedName>
    <definedName name="_xlnm.Print_Titles" localSheetId="4">Instructions!$1:$1</definedName>
    <definedName name="_xlnm.Print_Titles" localSheetId="3">'Sampling Data'!$1:$3</definedName>
    <definedName name="_xlnm.Print_Titles" localSheetId="1">'Selected Batches'!$1:$2</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8" l="1"/>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1" i="8"/>
  <c r="I822" i="8"/>
  <c r="I823" i="8"/>
  <c r="I824" i="8"/>
  <c r="I825" i="8"/>
  <c r="I826" i="8"/>
  <c r="I827" i="8"/>
  <c r="I828" i="8"/>
  <c r="I829" i="8"/>
  <c r="I830" i="8"/>
  <c r="I831" i="8"/>
  <c r="I832" i="8"/>
  <c r="I833" i="8"/>
  <c r="I834" i="8"/>
  <c r="I835" i="8"/>
  <c r="I836" i="8"/>
  <c r="I837" i="8"/>
  <c r="I838" i="8"/>
  <c r="I839" i="8"/>
  <c r="I840" i="8"/>
  <c r="I841" i="8"/>
  <c r="I842" i="8"/>
  <c r="I843" i="8"/>
  <c r="I844" i="8"/>
  <c r="I845" i="8"/>
  <c r="I846" i="8"/>
  <c r="I847" i="8"/>
  <c r="I848" i="8"/>
  <c r="I849" i="8"/>
  <c r="I850" i="8"/>
  <c r="I851" i="8"/>
  <c r="I852" i="8"/>
  <c r="I853" i="8"/>
  <c r="I854" i="8"/>
  <c r="I855" i="8"/>
  <c r="I856" i="8"/>
  <c r="I857" i="8"/>
  <c r="I858" i="8"/>
  <c r="I859" i="8"/>
  <c r="I860" i="8"/>
  <c r="I861" i="8"/>
  <c r="I862" i="8"/>
  <c r="I863" i="8"/>
  <c r="I864" i="8"/>
  <c r="I865" i="8"/>
  <c r="I866" i="8"/>
  <c r="I867" i="8"/>
  <c r="I868" i="8"/>
  <c r="I869" i="8"/>
  <c r="I870" i="8"/>
  <c r="I871" i="8"/>
  <c r="I872" i="8"/>
  <c r="I873" i="8"/>
  <c r="I874" i="8"/>
  <c r="I875" i="8"/>
  <c r="I876" i="8"/>
  <c r="I877" i="8"/>
  <c r="I878" i="8"/>
  <c r="I879" i="8"/>
  <c r="I880" i="8"/>
  <c r="I881" i="8"/>
  <c r="I882" i="8"/>
  <c r="I883" i="8"/>
  <c r="I884" i="8"/>
  <c r="I885" i="8"/>
  <c r="I886" i="8"/>
  <c r="I887" i="8"/>
  <c r="I888" i="8"/>
  <c r="I889" i="8"/>
  <c r="I890" i="8"/>
  <c r="I891" i="8"/>
  <c r="I892" i="8"/>
  <c r="I893" i="8"/>
  <c r="I894"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1" i="8"/>
  <c r="I922" i="8"/>
  <c r="I923" i="8"/>
  <c r="I924" i="8"/>
  <c r="I925" i="8"/>
  <c r="I926" i="8"/>
  <c r="I927" i="8"/>
  <c r="I928" i="8"/>
  <c r="I929" i="8"/>
  <c r="I930" i="8"/>
  <c r="I931" i="8"/>
  <c r="I932" i="8"/>
  <c r="I933" i="8"/>
  <c r="I934" i="8"/>
  <c r="I935" i="8"/>
  <c r="I936" i="8"/>
  <c r="I937" i="8"/>
  <c r="I938" i="8"/>
  <c r="I939" i="8"/>
  <c r="I940" i="8"/>
  <c r="I941" i="8"/>
  <c r="I942" i="8"/>
  <c r="I943" i="8"/>
  <c r="I944" i="8"/>
  <c r="I945" i="8"/>
  <c r="I946" i="8"/>
  <c r="I947" i="8"/>
  <c r="I948" i="8"/>
  <c r="I949" i="8"/>
  <c r="I950" i="8"/>
  <c r="I951" i="8"/>
  <c r="I952" i="8"/>
  <c r="I953" i="8"/>
  <c r="I954" i="8"/>
  <c r="I955" i="8"/>
  <c r="I956" i="8"/>
  <c r="I957" i="8"/>
  <c r="I958" i="8"/>
  <c r="I959" i="8"/>
  <c r="I960" i="8"/>
  <c r="I961" i="8"/>
  <c r="I962" i="8"/>
  <c r="I963" i="8"/>
  <c r="I964" i="8"/>
  <c r="I965" i="8"/>
  <c r="I966" i="8"/>
  <c r="I967" i="8"/>
  <c r="I968" i="8"/>
  <c r="I969" i="8"/>
  <c r="I970" i="8"/>
  <c r="I971" i="8"/>
  <c r="I972" i="8"/>
  <c r="I973" i="8"/>
  <c r="I974" i="8"/>
  <c r="I975" i="8"/>
  <c r="I976" i="8"/>
  <c r="I977" i="8"/>
  <c r="I978" i="8"/>
  <c r="I979" i="8"/>
  <c r="I980" i="8"/>
  <c r="I981" i="8"/>
  <c r="I982" i="8"/>
  <c r="I983" i="8"/>
  <c r="I984" i="8"/>
  <c r="I985" i="8"/>
  <c r="I986" i="8"/>
  <c r="I987" i="8"/>
  <c r="I988" i="8"/>
  <c r="I989" i="8"/>
  <c r="I990" i="8"/>
  <c r="I991" i="8"/>
  <c r="I992" i="8"/>
  <c r="I993" i="8"/>
  <c r="I994"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1" i="8"/>
  <c r="I1022" i="8"/>
  <c r="I1023" i="8"/>
  <c r="I1024" i="8"/>
  <c r="I1025" i="8"/>
  <c r="I1026" i="8"/>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I1124" i="8"/>
  <c r="I1125" i="8"/>
  <c r="I1126" i="8"/>
  <c r="I1127" i="8"/>
  <c r="I1128"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L1124" i="8"/>
  <c r="L1125" i="8"/>
  <c r="L1126" i="8"/>
  <c r="L1127" i="8"/>
  <c r="L1128"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N1127" i="8"/>
  <c r="N1128"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O1127" i="8"/>
  <c r="O1128"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P1102" i="8"/>
  <c r="P1103" i="8"/>
  <c r="P1104" i="8"/>
  <c r="P1105" i="8"/>
  <c r="P1106" i="8"/>
  <c r="P1107" i="8"/>
  <c r="P1108" i="8"/>
  <c r="P1109" i="8"/>
  <c r="P1110" i="8"/>
  <c r="P1111" i="8"/>
  <c r="P1112" i="8"/>
  <c r="P1113" i="8"/>
  <c r="P1114" i="8"/>
  <c r="P1115" i="8"/>
  <c r="P1116" i="8"/>
  <c r="P1117" i="8"/>
  <c r="P1118" i="8"/>
  <c r="P1119" i="8"/>
  <c r="P1120" i="8"/>
  <c r="P1121" i="8"/>
  <c r="P1122" i="8"/>
  <c r="P1123" i="8"/>
  <c r="P1124" i="8"/>
  <c r="P1125" i="8"/>
  <c r="P1126" i="8"/>
  <c r="P1127" i="8"/>
  <c r="P1128" i="8"/>
  <c r="AE15" i="8"/>
  <c r="AE16" i="8"/>
  <c r="AE17" i="8"/>
  <c r="AE18" i="8"/>
  <c r="AE19" i="8"/>
  <c r="AE20" i="8"/>
  <c r="AE21" i="8"/>
  <c r="AE22" i="8"/>
  <c r="AE23" i="8"/>
  <c r="AE24" i="8"/>
  <c r="AE25" i="8"/>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84" i="8"/>
  <c r="AE85" i="8"/>
  <c r="AE86" i="8"/>
  <c r="AE87" i="8"/>
  <c r="AE88" i="8"/>
  <c r="AE89" i="8"/>
  <c r="AE90" i="8"/>
  <c r="AE91" i="8"/>
  <c r="AE92" i="8"/>
  <c r="AE93" i="8"/>
  <c r="AE94" i="8"/>
  <c r="AE95" i="8"/>
  <c r="AE96" i="8"/>
  <c r="AE97" i="8"/>
  <c r="AE98" i="8"/>
  <c r="AE99" i="8"/>
  <c r="AE100" i="8"/>
  <c r="AE101" i="8"/>
  <c r="AE102" i="8"/>
  <c r="AE103" i="8"/>
  <c r="AE104" i="8"/>
  <c r="AE105" i="8"/>
  <c r="AE106" i="8"/>
  <c r="AE107" i="8"/>
  <c r="AE108" i="8"/>
  <c r="AE109" i="8"/>
  <c r="AE110" i="8"/>
  <c r="AE111" i="8"/>
  <c r="AE112" i="8"/>
  <c r="AE113" i="8"/>
  <c r="AE114" i="8"/>
  <c r="AE115" i="8"/>
  <c r="AE116" i="8"/>
  <c r="AE117" i="8"/>
  <c r="AE118" i="8"/>
  <c r="AE119" i="8"/>
  <c r="AE120" i="8"/>
  <c r="AE121" i="8"/>
  <c r="AE122" i="8"/>
  <c r="AE123" i="8"/>
  <c r="AE124" i="8"/>
  <c r="AE125" i="8"/>
  <c r="AE126" i="8"/>
  <c r="AE127" i="8"/>
  <c r="AE128" i="8"/>
  <c r="AE129" i="8"/>
  <c r="AE130" i="8"/>
  <c r="AE131" i="8"/>
  <c r="AE132" i="8"/>
  <c r="AE133" i="8"/>
  <c r="AE134" i="8"/>
  <c r="AE135" i="8"/>
  <c r="AE136" i="8"/>
  <c r="AE137" i="8"/>
  <c r="AE138" i="8"/>
  <c r="AE139" i="8"/>
  <c r="AE140" i="8"/>
  <c r="AE141" i="8"/>
  <c r="AE142" i="8"/>
  <c r="AE143" i="8"/>
  <c r="AE144" i="8"/>
  <c r="AE145" i="8"/>
  <c r="AE146" i="8"/>
  <c r="AE147" i="8"/>
  <c r="AE148" i="8"/>
  <c r="AE149" i="8"/>
  <c r="AE150" i="8"/>
  <c r="AE151" i="8"/>
  <c r="AE152" i="8"/>
  <c r="AE153" i="8"/>
  <c r="AE154" i="8"/>
  <c r="AE155" i="8"/>
  <c r="AE156" i="8"/>
  <c r="AE157" i="8"/>
  <c r="AE158" i="8"/>
  <c r="AE159" i="8"/>
  <c r="AE160" i="8"/>
  <c r="AE161" i="8"/>
  <c r="AE162" i="8"/>
  <c r="AE163" i="8"/>
  <c r="AE164" i="8"/>
  <c r="AE165" i="8"/>
  <c r="AE166" i="8"/>
  <c r="AE167" i="8"/>
  <c r="AE168" i="8"/>
  <c r="AE169" i="8"/>
  <c r="AE170" i="8"/>
  <c r="AE171" i="8"/>
  <c r="AE172" i="8"/>
  <c r="AE173" i="8"/>
  <c r="AE174" i="8"/>
  <c r="AE175" i="8"/>
  <c r="AE176" i="8"/>
  <c r="AE177" i="8"/>
  <c r="AE178" i="8"/>
  <c r="AE179" i="8"/>
  <c r="AE180" i="8"/>
  <c r="AE181" i="8"/>
  <c r="AE182" i="8"/>
  <c r="AE183" i="8"/>
  <c r="AE184" i="8"/>
  <c r="AE185" i="8"/>
  <c r="AE186" i="8"/>
  <c r="AE187" i="8"/>
  <c r="AE188" i="8"/>
  <c r="AE189" i="8"/>
  <c r="AE190" i="8"/>
  <c r="AE191" i="8"/>
  <c r="AE192" i="8"/>
  <c r="AE193" i="8"/>
  <c r="AE194" i="8"/>
  <c r="AE195" i="8"/>
  <c r="AE196" i="8"/>
  <c r="AE197" i="8"/>
  <c r="AE198" i="8"/>
  <c r="AE199" i="8"/>
  <c r="AR199" i="8" s="1"/>
  <c r="AE200" i="8"/>
  <c r="AE201" i="8"/>
  <c r="AE202" i="8"/>
  <c r="AE203" i="8"/>
  <c r="AE204" i="8"/>
  <c r="AE205" i="8"/>
  <c r="AE206" i="8"/>
  <c r="AE207" i="8"/>
  <c r="AE208" i="8"/>
  <c r="AE209" i="8"/>
  <c r="AE210" i="8"/>
  <c r="AE211" i="8"/>
  <c r="AE212" i="8"/>
  <c r="AE213" i="8"/>
  <c r="AE214" i="8"/>
  <c r="AE215" i="8"/>
  <c r="AE216" i="8"/>
  <c r="AE217" i="8"/>
  <c r="AE218" i="8"/>
  <c r="AE219" i="8"/>
  <c r="AE220" i="8"/>
  <c r="AE221" i="8"/>
  <c r="AE222" i="8"/>
  <c r="AE223" i="8"/>
  <c r="AE224" i="8"/>
  <c r="AE225" i="8"/>
  <c r="AE226" i="8"/>
  <c r="AE227" i="8"/>
  <c r="AE228" i="8"/>
  <c r="AE229" i="8"/>
  <c r="AE230" i="8"/>
  <c r="AE231" i="8"/>
  <c r="AE232" i="8"/>
  <c r="AE233" i="8"/>
  <c r="AE234" i="8"/>
  <c r="AE235" i="8"/>
  <c r="AE236" i="8"/>
  <c r="AE237" i="8"/>
  <c r="AE238" i="8"/>
  <c r="AE239" i="8"/>
  <c r="AE240" i="8"/>
  <c r="AE241" i="8"/>
  <c r="AE242" i="8"/>
  <c r="AE243" i="8"/>
  <c r="AE244" i="8"/>
  <c r="AE245" i="8"/>
  <c r="AE246" i="8"/>
  <c r="AE247" i="8"/>
  <c r="AE248" i="8"/>
  <c r="AE249" i="8"/>
  <c r="AE250" i="8"/>
  <c r="AE251" i="8"/>
  <c r="AE252" i="8"/>
  <c r="AE253" i="8"/>
  <c r="AE254" i="8"/>
  <c r="AE255" i="8"/>
  <c r="AE256" i="8"/>
  <c r="AE257" i="8"/>
  <c r="AE258" i="8"/>
  <c r="AE259" i="8"/>
  <c r="AE260" i="8"/>
  <c r="AE261" i="8"/>
  <c r="AE262" i="8"/>
  <c r="AE263" i="8"/>
  <c r="AE264" i="8"/>
  <c r="AE265" i="8"/>
  <c r="AE266" i="8"/>
  <c r="AE267" i="8"/>
  <c r="AE268" i="8"/>
  <c r="AE269" i="8"/>
  <c r="AE270" i="8"/>
  <c r="AE271" i="8"/>
  <c r="AE272" i="8"/>
  <c r="AE273"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322" i="8"/>
  <c r="AE323" i="8"/>
  <c r="AE324" i="8"/>
  <c r="AE325" i="8"/>
  <c r="AE326" i="8"/>
  <c r="AE327" i="8"/>
  <c r="AE328" i="8"/>
  <c r="AE329" i="8"/>
  <c r="AE330" i="8"/>
  <c r="AE331" i="8"/>
  <c r="AE332" i="8"/>
  <c r="AE333" i="8"/>
  <c r="AE334" i="8"/>
  <c r="AE335" i="8"/>
  <c r="AE336" i="8"/>
  <c r="AE337" i="8"/>
  <c r="AE338" i="8"/>
  <c r="AE339" i="8"/>
  <c r="AE340" i="8"/>
  <c r="AE341" i="8"/>
  <c r="AE342" i="8"/>
  <c r="AE343" i="8"/>
  <c r="AE344" i="8"/>
  <c r="AE345" i="8"/>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AE384" i="8"/>
  <c r="AE385" i="8"/>
  <c r="AE386" i="8"/>
  <c r="AE387" i="8"/>
  <c r="AE388" i="8"/>
  <c r="AE389" i="8"/>
  <c r="AE390" i="8"/>
  <c r="AE391" i="8"/>
  <c r="AE392" i="8"/>
  <c r="AE393" i="8"/>
  <c r="AE394" i="8"/>
  <c r="AE395" i="8"/>
  <c r="AE396" i="8"/>
  <c r="AE397" i="8"/>
  <c r="AE398" i="8"/>
  <c r="AE399" i="8"/>
  <c r="AE400" i="8"/>
  <c r="AE401" i="8"/>
  <c r="AE402" i="8"/>
  <c r="AE403" i="8"/>
  <c r="AE404" i="8"/>
  <c r="AE405" i="8"/>
  <c r="AE406" i="8"/>
  <c r="AE407" i="8"/>
  <c r="AE408" i="8"/>
  <c r="AE409" i="8"/>
  <c r="AE410" i="8"/>
  <c r="AE411" i="8"/>
  <c r="AE412" i="8"/>
  <c r="AE413" i="8"/>
  <c r="AE414" i="8"/>
  <c r="AE415" i="8"/>
  <c r="AE416" i="8"/>
  <c r="AE417" i="8"/>
  <c r="AE418" i="8"/>
  <c r="AE419" i="8"/>
  <c r="AE420" i="8"/>
  <c r="AE421" i="8"/>
  <c r="AE422" i="8"/>
  <c r="AE423" i="8"/>
  <c r="AE424" i="8"/>
  <c r="AE425" i="8"/>
  <c r="AE426" i="8"/>
  <c r="AE427" i="8"/>
  <c r="AE428" i="8"/>
  <c r="AE429" i="8"/>
  <c r="AE430" i="8"/>
  <c r="AE431" i="8"/>
  <c r="AE432" i="8"/>
  <c r="AE433" i="8"/>
  <c r="AE434" i="8"/>
  <c r="AE435" i="8"/>
  <c r="AE436" i="8"/>
  <c r="AE437" i="8"/>
  <c r="AE438" i="8"/>
  <c r="AE439" i="8"/>
  <c r="AE440" i="8"/>
  <c r="AE441" i="8"/>
  <c r="AE442" i="8"/>
  <c r="AE443" i="8"/>
  <c r="AE444" i="8"/>
  <c r="AE445" i="8"/>
  <c r="AE446" i="8"/>
  <c r="AE447" i="8"/>
  <c r="AE448" i="8"/>
  <c r="AE449" i="8"/>
  <c r="AE450" i="8"/>
  <c r="AE451" i="8"/>
  <c r="AE452" i="8"/>
  <c r="AE453" i="8"/>
  <c r="AE454" i="8"/>
  <c r="AE455" i="8"/>
  <c r="AE456" i="8"/>
  <c r="AE457" i="8"/>
  <c r="AE458" i="8"/>
  <c r="AE459" i="8"/>
  <c r="AE460" i="8"/>
  <c r="AE461" i="8"/>
  <c r="AE462" i="8"/>
  <c r="AE463" i="8"/>
  <c r="AE464" i="8"/>
  <c r="AE465" i="8"/>
  <c r="AE466" i="8"/>
  <c r="AE467" i="8"/>
  <c r="AE468" i="8"/>
  <c r="AE469" i="8"/>
  <c r="AE470" i="8"/>
  <c r="AE471" i="8"/>
  <c r="AE472" i="8"/>
  <c r="AE473" i="8"/>
  <c r="AE474" i="8"/>
  <c r="AE475" i="8"/>
  <c r="AE476" i="8"/>
  <c r="AE477" i="8"/>
  <c r="AE478" i="8"/>
  <c r="AE479" i="8"/>
  <c r="AE480" i="8"/>
  <c r="AE481" i="8"/>
  <c r="AE482" i="8"/>
  <c r="AE483" i="8"/>
  <c r="AE484" i="8"/>
  <c r="AE485" i="8"/>
  <c r="AE486" i="8"/>
  <c r="AE487" i="8"/>
  <c r="AE488" i="8"/>
  <c r="AE489" i="8"/>
  <c r="AE490" i="8"/>
  <c r="AE491" i="8"/>
  <c r="AE492" i="8"/>
  <c r="AE493" i="8"/>
  <c r="AE494" i="8"/>
  <c r="AE495" i="8"/>
  <c r="AE496" i="8"/>
  <c r="AE497" i="8"/>
  <c r="AE498" i="8"/>
  <c r="AE499" i="8"/>
  <c r="AE500" i="8"/>
  <c r="AE501" i="8"/>
  <c r="AE502" i="8"/>
  <c r="AE503" i="8"/>
  <c r="AE504" i="8"/>
  <c r="AE505" i="8"/>
  <c r="AE506" i="8"/>
  <c r="AE507" i="8"/>
  <c r="AE508" i="8"/>
  <c r="AE509" i="8"/>
  <c r="AE510" i="8"/>
  <c r="AE511" i="8"/>
  <c r="AE512" i="8"/>
  <c r="AE513" i="8"/>
  <c r="AE514" i="8"/>
  <c r="AE515" i="8"/>
  <c r="AE516" i="8"/>
  <c r="AE517" i="8"/>
  <c r="AE518" i="8"/>
  <c r="AE519" i="8"/>
  <c r="AE520" i="8"/>
  <c r="AE521" i="8"/>
  <c r="AE522" i="8"/>
  <c r="AE523" i="8"/>
  <c r="AE524" i="8"/>
  <c r="AE525" i="8"/>
  <c r="AE526" i="8"/>
  <c r="AE527" i="8"/>
  <c r="AE528" i="8"/>
  <c r="AE529" i="8"/>
  <c r="AE530" i="8"/>
  <c r="AE531" i="8"/>
  <c r="AE532" i="8"/>
  <c r="AE533" i="8"/>
  <c r="AE534" i="8"/>
  <c r="AE535" i="8"/>
  <c r="AE536" i="8"/>
  <c r="AE537" i="8"/>
  <c r="AE538" i="8"/>
  <c r="AE539" i="8"/>
  <c r="AE540" i="8"/>
  <c r="AE541" i="8"/>
  <c r="AE542" i="8"/>
  <c r="AE543" i="8"/>
  <c r="AE544" i="8"/>
  <c r="AE545" i="8"/>
  <c r="AE546" i="8"/>
  <c r="AE547" i="8"/>
  <c r="AE548" i="8"/>
  <c r="AE549" i="8"/>
  <c r="AE550" i="8"/>
  <c r="AE551" i="8"/>
  <c r="AE552" i="8"/>
  <c r="AE553" i="8"/>
  <c r="AE554" i="8"/>
  <c r="AE555" i="8"/>
  <c r="AE556" i="8"/>
  <c r="AE557" i="8"/>
  <c r="AE558" i="8"/>
  <c r="AE559" i="8"/>
  <c r="AE560" i="8"/>
  <c r="AE561" i="8"/>
  <c r="AE562" i="8"/>
  <c r="AE563" i="8"/>
  <c r="AE564" i="8"/>
  <c r="AE565" i="8"/>
  <c r="AE566" i="8"/>
  <c r="AE567" i="8"/>
  <c r="AE568" i="8"/>
  <c r="AE569" i="8"/>
  <c r="AE570" i="8"/>
  <c r="AE571" i="8"/>
  <c r="AE572" i="8"/>
  <c r="AE573" i="8"/>
  <c r="AE574" i="8"/>
  <c r="AE575" i="8"/>
  <c r="AE576" i="8"/>
  <c r="AE577" i="8"/>
  <c r="AE578" i="8"/>
  <c r="AE579" i="8"/>
  <c r="AE580" i="8"/>
  <c r="AE581" i="8"/>
  <c r="AE582" i="8"/>
  <c r="AE583" i="8"/>
  <c r="AE584" i="8"/>
  <c r="AE585" i="8"/>
  <c r="AE586" i="8"/>
  <c r="AE587" i="8"/>
  <c r="AE588" i="8"/>
  <c r="AE589" i="8"/>
  <c r="AE590" i="8"/>
  <c r="AE591" i="8"/>
  <c r="AE592" i="8"/>
  <c r="AE593" i="8"/>
  <c r="AE594" i="8"/>
  <c r="AE595" i="8"/>
  <c r="AE596" i="8"/>
  <c r="AE597" i="8"/>
  <c r="AE598" i="8"/>
  <c r="AE599" i="8"/>
  <c r="AE600" i="8"/>
  <c r="AE601" i="8"/>
  <c r="AE602" i="8"/>
  <c r="AE603" i="8"/>
  <c r="AE604" i="8"/>
  <c r="AE605" i="8"/>
  <c r="AE606" i="8"/>
  <c r="AE607" i="8"/>
  <c r="AE608" i="8"/>
  <c r="AE609" i="8"/>
  <c r="AE610" i="8"/>
  <c r="AE611" i="8"/>
  <c r="AE612" i="8"/>
  <c r="AE613" i="8"/>
  <c r="AE614" i="8"/>
  <c r="AE615" i="8"/>
  <c r="AE616" i="8"/>
  <c r="AE617" i="8"/>
  <c r="AE618" i="8"/>
  <c r="AE619" i="8"/>
  <c r="AE620" i="8"/>
  <c r="AE621" i="8"/>
  <c r="AE622" i="8"/>
  <c r="AE623" i="8"/>
  <c r="AE624" i="8"/>
  <c r="AE625" i="8"/>
  <c r="AE626" i="8"/>
  <c r="AE627" i="8"/>
  <c r="AE628" i="8"/>
  <c r="AE629" i="8"/>
  <c r="AE630" i="8"/>
  <c r="AE631" i="8"/>
  <c r="AE632" i="8"/>
  <c r="AE633" i="8"/>
  <c r="AE634" i="8"/>
  <c r="AE635" i="8"/>
  <c r="AE636" i="8"/>
  <c r="AE637" i="8"/>
  <c r="AE638" i="8"/>
  <c r="AE639" i="8"/>
  <c r="AE640" i="8"/>
  <c r="AE641" i="8"/>
  <c r="AE642" i="8"/>
  <c r="AE643" i="8"/>
  <c r="AE644" i="8"/>
  <c r="AE645" i="8"/>
  <c r="AE646" i="8"/>
  <c r="AE647" i="8"/>
  <c r="AE648" i="8"/>
  <c r="AE649" i="8"/>
  <c r="AE650" i="8"/>
  <c r="AE651" i="8"/>
  <c r="AE652" i="8"/>
  <c r="AE653" i="8"/>
  <c r="AE654" i="8"/>
  <c r="AE655" i="8"/>
  <c r="AE656" i="8"/>
  <c r="AE657" i="8"/>
  <c r="AE658" i="8"/>
  <c r="AE659" i="8"/>
  <c r="AE660" i="8"/>
  <c r="AE661" i="8"/>
  <c r="AE662" i="8"/>
  <c r="AE663" i="8"/>
  <c r="AE664" i="8"/>
  <c r="AE665" i="8"/>
  <c r="AE666" i="8"/>
  <c r="AE667" i="8"/>
  <c r="AE668" i="8"/>
  <c r="AE669" i="8"/>
  <c r="AE670" i="8"/>
  <c r="AE671" i="8"/>
  <c r="AE672" i="8"/>
  <c r="AE673" i="8"/>
  <c r="AE674" i="8"/>
  <c r="AE675" i="8"/>
  <c r="AE676" i="8"/>
  <c r="AE677" i="8"/>
  <c r="AE678" i="8"/>
  <c r="AE679" i="8"/>
  <c r="AE680" i="8"/>
  <c r="AE681" i="8"/>
  <c r="AE682" i="8"/>
  <c r="AE683" i="8"/>
  <c r="AE684" i="8"/>
  <c r="AE685" i="8"/>
  <c r="AE686" i="8"/>
  <c r="AE687" i="8"/>
  <c r="AE688" i="8"/>
  <c r="AE689" i="8"/>
  <c r="AE690" i="8"/>
  <c r="AE691" i="8"/>
  <c r="AE692" i="8"/>
  <c r="AE693" i="8"/>
  <c r="AE694" i="8"/>
  <c r="AE695" i="8"/>
  <c r="AE696" i="8"/>
  <c r="AE697" i="8"/>
  <c r="AE698" i="8"/>
  <c r="AE699" i="8"/>
  <c r="AE700" i="8"/>
  <c r="AE701" i="8"/>
  <c r="AE702" i="8"/>
  <c r="AE703" i="8"/>
  <c r="AE704" i="8"/>
  <c r="AE705" i="8"/>
  <c r="AE706" i="8"/>
  <c r="AE707" i="8"/>
  <c r="AE708" i="8"/>
  <c r="AE709" i="8"/>
  <c r="AE710" i="8"/>
  <c r="AE711" i="8"/>
  <c r="AE712" i="8"/>
  <c r="AE713" i="8"/>
  <c r="AE714" i="8"/>
  <c r="AE715" i="8"/>
  <c r="AE716" i="8"/>
  <c r="AE717" i="8"/>
  <c r="AE718" i="8"/>
  <c r="AE719" i="8"/>
  <c r="AE720" i="8"/>
  <c r="AE721" i="8"/>
  <c r="AE722" i="8"/>
  <c r="AE723" i="8"/>
  <c r="AE724" i="8"/>
  <c r="AE725" i="8"/>
  <c r="AE726" i="8"/>
  <c r="AE727" i="8"/>
  <c r="AE728" i="8"/>
  <c r="AE729" i="8"/>
  <c r="AE730" i="8"/>
  <c r="AE731" i="8"/>
  <c r="AE732" i="8"/>
  <c r="AE733" i="8"/>
  <c r="AE734" i="8"/>
  <c r="AE735" i="8"/>
  <c r="AE736" i="8"/>
  <c r="AE737" i="8"/>
  <c r="AE738" i="8"/>
  <c r="AE739" i="8"/>
  <c r="AE740" i="8"/>
  <c r="AE741" i="8"/>
  <c r="AE742" i="8"/>
  <c r="AE743" i="8"/>
  <c r="AE744" i="8"/>
  <c r="AE745" i="8"/>
  <c r="AE746" i="8"/>
  <c r="AE747" i="8"/>
  <c r="AE748" i="8"/>
  <c r="AE749" i="8"/>
  <c r="AE750" i="8"/>
  <c r="AE751" i="8"/>
  <c r="AE752" i="8"/>
  <c r="AE753" i="8"/>
  <c r="AE754" i="8"/>
  <c r="AE755" i="8"/>
  <c r="AE756" i="8"/>
  <c r="AE757" i="8"/>
  <c r="AE758" i="8"/>
  <c r="AE759" i="8"/>
  <c r="AE760" i="8"/>
  <c r="AE761" i="8"/>
  <c r="AE762" i="8"/>
  <c r="AE763" i="8"/>
  <c r="AE764" i="8"/>
  <c r="AE765" i="8"/>
  <c r="AE766" i="8"/>
  <c r="AE767" i="8"/>
  <c r="AE768" i="8"/>
  <c r="AE769" i="8"/>
  <c r="AE770" i="8"/>
  <c r="AE771" i="8"/>
  <c r="AE772" i="8"/>
  <c r="AE773" i="8"/>
  <c r="AE774" i="8"/>
  <c r="AE775" i="8"/>
  <c r="AE776" i="8"/>
  <c r="AE777" i="8"/>
  <c r="AE778" i="8"/>
  <c r="AE779" i="8"/>
  <c r="AE780" i="8"/>
  <c r="AE781" i="8"/>
  <c r="AE782" i="8"/>
  <c r="AE783" i="8"/>
  <c r="AE784" i="8"/>
  <c r="AE785" i="8"/>
  <c r="AE786" i="8"/>
  <c r="AE787" i="8"/>
  <c r="AE788" i="8"/>
  <c r="AE789" i="8"/>
  <c r="AE790" i="8"/>
  <c r="AE791" i="8"/>
  <c r="AE792" i="8"/>
  <c r="AE793" i="8"/>
  <c r="AE794" i="8"/>
  <c r="AE795" i="8"/>
  <c r="AE796" i="8"/>
  <c r="AE797" i="8"/>
  <c r="AE798" i="8"/>
  <c r="AE799" i="8"/>
  <c r="AE800" i="8"/>
  <c r="AE801" i="8"/>
  <c r="AE802" i="8"/>
  <c r="AE803" i="8"/>
  <c r="AE804" i="8"/>
  <c r="AE805" i="8"/>
  <c r="AE806" i="8"/>
  <c r="AE807" i="8"/>
  <c r="AE808" i="8"/>
  <c r="AE809" i="8"/>
  <c r="AE810" i="8"/>
  <c r="AE811" i="8"/>
  <c r="AE812" i="8"/>
  <c r="AE813" i="8"/>
  <c r="AE814" i="8"/>
  <c r="AE815" i="8"/>
  <c r="AE816" i="8"/>
  <c r="AE817" i="8"/>
  <c r="AE818" i="8"/>
  <c r="AE819" i="8"/>
  <c r="AE820" i="8"/>
  <c r="AE821" i="8"/>
  <c r="AE822" i="8"/>
  <c r="AE823" i="8"/>
  <c r="AE824" i="8"/>
  <c r="AE825" i="8"/>
  <c r="AE826" i="8"/>
  <c r="AE827" i="8"/>
  <c r="AE828" i="8"/>
  <c r="AE829" i="8"/>
  <c r="AE830" i="8"/>
  <c r="AE831" i="8"/>
  <c r="AE832" i="8"/>
  <c r="AE833" i="8"/>
  <c r="AE834" i="8"/>
  <c r="AE835" i="8"/>
  <c r="AE836" i="8"/>
  <c r="AE837" i="8"/>
  <c r="AE838" i="8"/>
  <c r="AE839" i="8"/>
  <c r="AE840" i="8"/>
  <c r="AE841" i="8"/>
  <c r="AE842" i="8"/>
  <c r="AE843" i="8"/>
  <c r="AE844" i="8"/>
  <c r="AE845" i="8"/>
  <c r="AE846" i="8"/>
  <c r="AE847" i="8"/>
  <c r="AE848" i="8"/>
  <c r="AE849" i="8"/>
  <c r="AE850" i="8"/>
  <c r="AE851" i="8"/>
  <c r="AE852" i="8"/>
  <c r="AE853" i="8"/>
  <c r="AE854" i="8"/>
  <c r="AE855" i="8"/>
  <c r="AE856" i="8"/>
  <c r="AE857" i="8"/>
  <c r="AE858" i="8"/>
  <c r="AE859" i="8"/>
  <c r="AE860" i="8"/>
  <c r="AE861" i="8"/>
  <c r="AE862" i="8"/>
  <c r="AE863" i="8"/>
  <c r="AE864" i="8"/>
  <c r="AE865" i="8"/>
  <c r="AE866" i="8"/>
  <c r="AE867" i="8"/>
  <c r="AE868" i="8"/>
  <c r="AE869" i="8"/>
  <c r="AE870" i="8"/>
  <c r="AE871" i="8"/>
  <c r="AE872" i="8"/>
  <c r="AE873" i="8"/>
  <c r="AE874" i="8"/>
  <c r="AE875" i="8"/>
  <c r="AE876" i="8"/>
  <c r="AE877" i="8"/>
  <c r="AE878" i="8"/>
  <c r="AE879" i="8"/>
  <c r="AE880" i="8"/>
  <c r="AE881" i="8"/>
  <c r="AE882" i="8"/>
  <c r="AE883" i="8"/>
  <c r="AE884" i="8"/>
  <c r="AE885" i="8"/>
  <c r="AE886" i="8"/>
  <c r="AE887" i="8"/>
  <c r="AE888" i="8"/>
  <c r="AE889" i="8"/>
  <c r="AE890" i="8"/>
  <c r="AE891" i="8"/>
  <c r="AE892" i="8"/>
  <c r="AE893" i="8"/>
  <c r="AE894" i="8"/>
  <c r="AE895" i="8"/>
  <c r="AE896" i="8"/>
  <c r="AE897" i="8"/>
  <c r="AE898" i="8"/>
  <c r="AE899" i="8"/>
  <c r="AE900" i="8"/>
  <c r="AE901" i="8"/>
  <c r="AE902" i="8"/>
  <c r="AE903" i="8"/>
  <c r="AE904" i="8"/>
  <c r="AE905" i="8"/>
  <c r="AE906" i="8"/>
  <c r="AE907" i="8"/>
  <c r="AE908" i="8"/>
  <c r="AE909" i="8"/>
  <c r="AE910" i="8"/>
  <c r="AE911" i="8"/>
  <c r="AE912" i="8"/>
  <c r="AE913" i="8"/>
  <c r="AE914" i="8"/>
  <c r="AE915" i="8"/>
  <c r="AE916" i="8"/>
  <c r="AE917" i="8"/>
  <c r="AE918" i="8"/>
  <c r="AE919" i="8"/>
  <c r="AE920" i="8"/>
  <c r="AE921" i="8"/>
  <c r="AE922" i="8"/>
  <c r="AE923" i="8"/>
  <c r="AE924" i="8"/>
  <c r="AE925" i="8"/>
  <c r="AE926" i="8"/>
  <c r="AE927" i="8"/>
  <c r="AE928" i="8"/>
  <c r="AE929" i="8"/>
  <c r="AE930" i="8"/>
  <c r="AE931" i="8"/>
  <c r="AE932" i="8"/>
  <c r="AE933" i="8"/>
  <c r="AE934" i="8"/>
  <c r="AE935" i="8"/>
  <c r="AE936" i="8"/>
  <c r="AE937" i="8"/>
  <c r="AE938" i="8"/>
  <c r="AE939" i="8"/>
  <c r="AE940" i="8"/>
  <c r="AE941" i="8"/>
  <c r="AE942" i="8"/>
  <c r="AE943" i="8"/>
  <c r="AE944" i="8"/>
  <c r="AE945" i="8"/>
  <c r="AE946" i="8"/>
  <c r="AE947" i="8"/>
  <c r="AE948" i="8"/>
  <c r="AE949" i="8"/>
  <c r="AE950" i="8"/>
  <c r="AE951" i="8"/>
  <c r="AE952" i="8"/>
  <c r="AE953" i="8"/>
  <c r="AE954" i="8"/>
  <c r="AE955" i="8"/>
  <c r="AE956" i="8"/>
  <c r="AE957" i="8"/>
  <c r="AE958" i="8"/>
  <c r="AE959" i="8"/>
  <c r="AE960" i="8"/>
  <c r="AE961" i="8"/>
  <c r="AE962" i="8"/>
  <c r="AE963" i="8"/>
  <c r="AE964" i="8"/>
  <c r="AE965" i="8"/>
  <c r="AE966" i="8"/>
  <c r="AE967" i="8"/>
  <c r="AE968" i="8"/>
  <c r="AE969" i="8"/>
  <c r="AE970" i="8"/>
  <c r="AE971" i="8"/>
  <c r="AE972" i="8"/>
  <c r="AE973" i="8"/>
  <c r="AE974" i="8"/>
  <c r="AE975" i="8"/>
  <c r="AE976" i="8"/>
  <c r="AE977" i="8"/>
  <c r="AE978" i="8"/>
  <c r="AE979" i="8"/>
  <c r="AE980" i="8"/>
  <c r="AE981" i="8"/>
  <c r="AE982" i="8"/>
  <c r="AE983" i="8"/>
  <c r="AE984" i="8"/>
  <c r="AE985" i="8"/>
  <c r="AE986" i="8"/>
  <c r="AE987" i="8"/>
  <c r="AE988" i="8"/>
  <c r="AE989" i="8"/>
  <c r="AE990" i="8"/>
  <c r="AE991" i="8"/>
  <c r="AE992" i="8"/>
  <c r="AE993" i="8"/>
  <c r="AE994" i="8"/>
  <c r="AE995" i="8"/>
  <c r="AE996" i="8"/>
  <c r="AE997" i="8"/>
  <c r="AE998" i="8"/>
  <c r="AE999" i="8"/>
  <c r="AE1000" i="8"/>
  <c r="AE1001" i="8"/>
  <c r="AE1002" i="8"/>
  <c r="AE1003" i="8"/>
  <c r="AE1004" i="8"/>
  <c r="AE1005" i="8"/>
  <c r="AE1006" i="8"/>
  <c r="AE1007" i="8"/>
  <c r="AE1008" i="8"/>
  <c r="AE1009" i="8"/>
  <c r="AE1010" i="8"/>
  <c r="AE1011" i="8"/>
  <c r="AE1012" i="8"/>
  <c r="AE1013" i="8"/>
  <c r="AE1014" i="8"/>
  <c r="AE1015" i="8"/>
  <c r="AE1016" i="8"/>
  <c r="AE1017" i="8"/>
  <c r="AE1018" i="8"/>
  <c r="AE1019" i="8"/>
  <c r="AE1020" i="8"/>
  <c r="AE1021" i="8"/>
  <c r="AE1022" i="8"/>
  <c r="AE1023" i="8"/>
  <c r="AE1024" i="8"/>
  <c r="AE1025" i="8"/>
  <c r="AE1026" i="8"/>
  <c r="AE1027" i="8"/>
  <c r="AE1028" i="8"/>
  <c r="AE1029" i="8"/>
  <c r="AE1030" i="8"/>
  <c r="AE1031" i="8"/>
  <c r="AE1032" i="8"/>
  <c r="AE1033" i="8"/>
  <c r="AE1034" i="8"/>
  <c r="AE1035" i="8"/>
  <c r="AE1036" i="8"/>
  <c r="AE1037" i="8"/>
  <c r="AE1038" i="8"/>
  <c r="AE1039" i="8"/>
  <c r="AE1040" i="8"/>
  <c r="AE1041" i="8"/>
  <c r="AE1042" i="8"/>
  <c r="AE1043" i="8"/>
  <c r="AE1044" i="8"/>
  <c r="AE1045" i="8"/>
  <c r="AE1046" i="8"/>
  <c r="AE1047" i="8"/>
  <c r="AE1048" i="8"/>
  <c r="AE1049" i="8"/>
  <c r="AE1050" i="8"/>
  <c r="AE1051" i="8"/>
  <c r="AE1052" i="8"/>
  <c r="AE1053" i="8"/>
  <c r="AE1054" i="8"/>
  <c r="AE1055" i="8"/>
  <c r="AE1056" i="8"/>
  <c r="AE1057" i="8"/>
  <c r="AE1058" i="8"/>
  <c r="AE1059" i="8"/>
  <c r="AE1060" i="8"/>
  <c r="AE1061" i="8"/>
  <c r="AE1062" i="8"/>
  <c r="AE1063" i="8"/>
  <c r="AE1064" i="8"/>
  <c r="AE1065" i="8"/>
  <c r="AE1066" i="8"/>
  <c r="AE1067" i="8"/>
  <c r="AE1068" i="8"/>
  <c r="AE1069" i="8"/>
  <c r="AE1070" i="8"/>
  <c r="AE1071" i="8"/>
  <c r="AE1072" i="8"/>
  <c r="AE1073" i="8"/>
  <c r="AE1074" i="8"/>
  <c r="AE1075" i="8"/>
  <c r="AE1076" i="8"/>
  <c r="AE1077" i="8"/>
  <c r="AE1078" i="8"/>
  <c r="AE1079" i="8"/>
  <c r="AE1080" i="8"/>
  <c r="AE1081" i="8"/>
  <c r="AE1082" i="8"/>
  <c r="AE1083" i="8"/>
  <c r="AE1084" i="8"/>
  <c r="AE1085" i="8"/>
  <c r="AE1086" i="8"/>
  <c r="AE1087" i="8"/>
  <c r="AE1088" i="8"/>
  <c r="AE1089" i="8"/>
  <c r="AE1090" i="8"/>
  <c r="AE1091" i="8"/>
  <c r="AE1092" i="8"/>
  <c r="AE1093" i="8"/>
  <c r="AE1094" i="8"/>
  <c r="AE1095" i="8"/>
  <c r="AE1096" i="8"/>
  <c r="AE1097" i="8"/>
  <c r="AE1098" i="8"/>
  <c r="AE1099" i="8"/>
  <c r="AE1100" i="8"/>
  <c r="AE1101" i="8"/>
  <c r="AE1102" i="8"/>
  <c r="AE1103" i="8"/>
  <c r="AE1104" i="8"/>
  <c r="AE1105" i="8"/>
  <c r="AE1106" i="8"/>
  <c r="AE1107" i="8"/>
  <c r="AE1108" i="8"/>
  <c r="AE1109" i="8"/>
  <c r="AE1110" i="8"/>
  <c r="AE1111" i="8"/>
  <c r="AE1112" i="8"/>
  <c r="AE1113" i="8"/>
  <c r="AE1114" i="8"/>
  <c r="AE1115" i="8"/>
  <c r="AE1116" i="8"/>
  <c r="AE1117" i="8"/>
  <c r="AE1118" i="8"/>
  <c r="AE1119" i="8"/>
  <c r="AE1120" i="8"/>
  <c r="AE1121" i="8"/>
  <c r="AE1122" i="8"/>
  <c r="AE1123" i="8"/>
  <c r="AE1124" i="8"/>
  <c r="AE1125" i="8"/>
  <c r="AE1126" i="8"/>
  <c r="AE1127" i="8"/>
  <c r="AQ1127" i="8" s="1"/>
  <c r="AE1128" i="8"/>
  <c r="AF15" i="8"/>
  <c r="AF16" i="8"/>
  <c r="AF17" i="8"/>
  <c r="AF18" i="8"/>
  <c r="AF19" i="8"/>
  <c r="AF20" i="8"/>
  <c r="AF21" i="8"/>
  <c r="AF22" i="8"/>
  <c r="AF23" i="8"/>
  <c r="AF24" i="8"/>
  <c r="AF25" i="8"/>
  <c r="AF26" i="8"/>
  <c r="AF27" i="8"/>
  <c r="AF28" i="8"/>
  <c r="AF29" i="8"/>
  <c r="AF30" i="8"/>
  <c r="AF31" i="8"/>
  <c r="AF32" i="8"/>
  <c r="AF33" i="8"/>
  <c r="AF34" i="8"/>
  <c r="AF35" i="8"/>
  <c r="AF36" i="8"/>
  <c r="AF37" i="8"/>
  <c r="AF38" i="8"/>
  <c r="AF39" i="8"/>
  <c r="AF40" i="8"/>
  <c r="AF41" i="8"/>
  <c r="AF42" i="8"/>
  <c r="AF43" i="8"/>
  <c r="AF44" i="8"/>
  <c r="AF45" i="8"/>
  <c r="AF46" i="8"/>
  <c r="AF47" i="8"/>
  <c r="AF48" i="8"/>
  <c r="AF49" i="8"/>
  <c r="AF50" i="8"/>
  <c r="AF51" i="8"/>
  <c r="AF52" i="8"/>
  <c r="AF53" i="8"/>
  <c r="AF54" i="8"/>
  <c r="AF55" i="8"/>
  <c r="AF56" i="8"/>
  <c r="AF57" i="8"/>
  <c r="AF58" i="8"/>
  <c r="AF59" i="8"/>
  <c r="AF60" i="8"/>
  <c r="AF61" i="8"/>
  <c r="AF62" i="8"/>
  <c r="AF63" i="8"/>
  <c r="AF64" i="8"/>
  <c r="AF65" i="8"/>
  <c r="AF66" i="8"/>
  <c r="AF67" i="8"/>
  <c r="AF68" i="8"/>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94" i="8"/>
  <c r="AF95" i="8"/>
  <c r="AF96" i="8"/>
  <c r="AF97" i="8"/>
  <c r="AF98" i="8"/>
  <c r="AF99" i="8"/>
  <c r="AF100" i="8"/>
  <c r="AF101" i="8"/>
  <c r="AF102" i="8"/>
  <c r="AF103" i="8"/>
  <c r="AF104" i="8"/>
  <c r="AF105" i="8"/>
  <c r="AF106" i="8"/>
  <c r="AF107" i="8"/>
  <c r="AF108" i="8"/>
  <c r="AF109" i="8"/>
  <c r="AF110" i="8"/>
  <c r="AF111" i="8"/>
  <c r="AF112" i="8"/>
  <c r="AF113" i="8"/>
  <c r="AF114" i="8"/>
  <c r="AF115" i="8"/>
  <c r="AF116" i="8"/>
  <c r="AF117" i="8"/>
  <c r="AF118" i="8"/>
  <c r="AF119" i="8"/>
  <c r="AF120" i="8"/>
  <c r="AF121" i="8"/>
  <c r="AF122" i="8"/>
  <c r="AF123" i="8"/>
  <c r="AF124" i="8"/>
  <c r="AF125" i="8"/>
  <c r="AF126" i="8"/>
  <c r="AF127" i="8"/>
  <c r="AF128" i="8"/>
  <c r="AF129" i="8"/>
  <c r="AF130" i="8"/>
  <c r="AF131" i="8"/>
  <c r="AF132" i="8"/>
  <c r="AF133" i="8"/>
  <c r="AF134" i="8"/>
  <c r="AF135" i="8"/>
  <c r="AF136" i="8"/>
  <c r="AF137" i="8"/>
  <c r="AF138" i="8"/>
  <c r="AF139" i="8"/>
  <c r="AQ139" i="8" s="1"/>
  <c r="AF140" i="8"/>
  <c r="AF141" i="8"/>
  <c r="AF142" i="8"/>
  <c r="AF143" i="8"/>
  <c r="AF144" i="8"/>
  <c r="AF145" i="8"/>
  <c r="AF146" i="8"/>
  <c r="AF147" i="8"/>
  <c r="AF148" i="8"/>
  <c r="AF149" i="8"/>
  <c r="AF150" i="8"/>
  <c r="AF151" i="8"/>
  <c r="AF152" i="8"/>
  <c r="AF153" i="8"/>
  <c r="AF154" i="8"/>
  <c r="AF155" i="8"/>
  <c r="AF156" i="8"/>
  <c r="AF157" i="8"/>
  <c r="AF158" i="8"/>
  <c r="AF159" i="8"/>
  <c r="AF160" i="8"/>
  <c r="AF161" i="8"/>
  <c r="AF162" i="8"/>
  <c r="AF163" i="8"/>
  <c r="AF164" i="8"/>
  <c r="AF165" i="8"/>
  <c r="AF166" i="8"/>
  <c r="AF167" i="8"/>
  <c r="AF168" i="8"/>
  <c r="AF169" i="8"/>
  <c r="AF170" i="8"/>
  <c r="AF171" i="8"/>
  <c r="AF172" i="8"/>
  <c r="AF173" i="8"/>
  <c r="AF174" i="8"/>
  <c r="AF175" i="8"/>
  <c r="AF176" i="8"/>
  <c r="AF177" i="8"/>
  <c r="AF178" i="8"/>
  <c r="AF179" i="8"/>
  <c r="AF180" i="8"/>
  <c r="AF181" i="8"/>
  <c r="AF182" i="8"/>
  <c r="AF183" i="8"/>
  <c r="AF184" i="8"/>
  <c r="AF185" i="8"/>
  <c r="AF186" i="8"/>
  <c r="AF187" i="8"/>
  <c r="AF188" i="8"/>
  <c r="AF189" i="8"/>
  <c r="AF190" i="8"/>
  <c r="AF191" i="8"/>
  <c r="AF192" i="8"/>
  <c r="AF193" i="8"/>
  <c r="AF194" i="8"/>
  <c r="AF195" i="8"/>
  <c r="AF196" i="8"/>
  <c r="AF197" i="8"/>
  <c r="AF198" i="8"/>
  <c r="AF199" i="8"/>
  <c r="AF200" i="8"/>
  <c r="AF201" i="8"/>
  <c r="AF202" i="8"/>
  <c r="AF203" i="8"/>
  <c r="AF204" i="8"/>
  <c r="AF205" i="8"/>
  <c r="AF206" i="8"/>
  <c r="AF207" i="8"/>
  <c r="AF208" i="8"/>
  <c r="AF209" i="8"/>
  <c r="AF210" i="8"/>
  <c r="AF211" i="8"/>
  <c r="AF212" i="8"/>
  <c r="AF213" i="8"/>
  <c r="AF214" i="8"/>
  <c r="AF215" i="8"/>
  <c r="AF216" i="8"/>
  <c r="AF217" i="8"/>
  <c r="AF218" i="8"/>
  <c r="AF219" i="8"/>
  <c r="AF220" i="8"/>
  <c r="AF221" i="8"/>
  <c r="AF222" i="8"/>
  <c r="AF223" i="8"/>
  <c r="AF224" i="8"/>
  <c r="AF225" i="8"/>
  <c r="AF226" i="8"/>
  <c r="AF227" i="8"/>
  <c r="AF228" i="8"/>
  <c r="AF229" i="8"/>
  <c r="AF230" i="8"/>
  <c r="AF231" i="8"/>
  <c r="AF232" i="8"/>
  <c r="AF233" i="8"/>
  <c r="AF234" i="8"/>
  <c r="AF235" i="8"/>
  <c r="AF236" i="8"/>
  <c r="AF237" i="8"/>
  <c r="AF238" i="8"/>
  <c r="AF239" i="8"/>
  <c r="AF240" i="8"/>
  <c r="AF241" i="8"/>
  <c r="AF242" i="8"/>
  <c r="AF243" i="8"/>
  <c r="AF244" i="8"/>
  <c r="AF245" i="8"/>
  <c r="AF246" i="8"/>
  <c r="AF247" i="8"/>
  <c r="AF248" i="8"/>
  <c r="AF249" i="8"/>
  <c r="AF250" i="8"/>
  <c r="AF251" i="8"/>
  <c r="AF252" i="8"/>
  <c r="AF253" i="8"/>
  <c r="AF254" i="8"/>
  <c r="AF255" i="8"/>
  <c r="AF256" i="8"/>
  <c r="AF257" i="8"/>
  <c r="AF258" i="8"/>
  <c r="AF259" i="8"/>
  <c r="AF260" i="8"/>
  <c r="AF261" i="8"/>
  <c r="AF262" i="8"/>
  <c r="AF263" i="8"/>
  <c r="AF264" i="8"/>
  <c r="AF265" i="8"/>
  <c r="AF266" i="8"/>
  <c r="AF267" i="8"/>
  <c r="AF268" i="8"/>
  <c r="AF269" i="8"/>
  <c r="AF270" i="8"/>
  <c r="AF271" i="8"/>
  <c r="AF272" i="8"/>
  <c r="AF273"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F322" i="8"/>
  <c r="AF323" i="8"/>
  <c r="AF324" i="8"/>
  <c r="AF325" i="8"/>
  <c r="AF326" i="8"/>
  <c r="AF327" i="8"/>
  <c r="AF328" i="8"/>
  <c r="AF329" i="8"/>
  <c r="AF330" i="8"/>
  <c r="AF331" i="8"/>
  <c r="AF332" i="8"/>
  <c r="AF333" i="8"/>
  <c r="AF334" i="8"/>
  <c r="AF335" i="8"/>
  <c r="AF336" i="8"/>
  <c r="AF337" i="8"/>
  <c r="AF338" i="8"/>
  <c r="AF339" i="8"/>
  <c r="AF340" i="8"/>
  <c r="AF341" i="8"/>
  <c r="AF342" i="8"/>
  <c r="AF343" i="8"/>
  <c r="AF344" i="8"/>
  <c r="AF345" i="8"/>
  <c r="AF346" i="8"/>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F384" i="8"/>
  <c r="AF385" i="8"/>
  <c r="AF386" i="8"/>
  <c r="AF387" i="8"/>
  <c r="AF388" i="8"/>
  <c r="AF389" i="8"/>
  <c r="AF390" i="8"/>
  <c r="AF391" i="8"/>
  <c r="AF392" i="8"/>
  <c r="AF393" i="8"/>
  <c r="AF394" i="8"/>
  <c r="AF395" i="8"/>
  <c r="AF396" i="8"/>
  <c r="AF397" i="8"/>
  <c r="AF398" i="8"/>
  <c r="AF399" i="8"/>
  <c r="AF400" i="8"/>
  <c r="AF401" i="8"/>
  <c r="AF402" i="8"/>
  <c r="AF403" i="8"/>
  <c r="AF404" i="8"/>
  <c r="AF405" i="8"/>
  <c r="AF406" i="8"/>
  <c r="AF407" i="8"/>
  <c r="AF408" i="8"/>
  <c r="AF409" i="8"/>
  <c r="AF410" i="8"/>
  <c r="AF411" i="8"/>
  <c r="AF412" i="8"/>
  <c r="AF413" i="8"/>
  <c r="AF414" i="8"/>
  <c r="AF415" i="8"/>
  <c r="AF416" i="8"/>
  <c r="AF417" i="8"/>
  <c r="AF418" i="8"/>
  <c r="AF419" i="8"/>
  <c r="AF420" i="8"/>
  <c r="AF421" i="8"/>
  <c r="AF422" i="8"/>
  <c r="AF423" i="8"/>
  <c r="AF424" i="8"/>
  <c r="AF425" i="8"/>
  <c r="AF426" i="8"/>
  <c r="AF427" i="8"/>
  <c r="AF428" i="8"/>
  <c r="AF429" i="8"/>
  <c r="AF430" i="8"/>
  <c r="AF431" i="8"/>
  <c r="AF432" i="8"/>
  <c r="AF433" i="8"/>
  <c r="AF434" i="8"/>
  <c r="AF435" i="8"/>
  <c r="AF436" i="8"/>
  <c r="AF437" i="8"/>
  <c r="AF438" i="8"/>
  <c r="AF439" i="8"/>
  <c r="AF440" i="8"/>
  <c r="AF441" i="8"/>
  <c r="AF442" i="8"/>
  <c r="AF443" i="8"/>
  <c r="AF444" i="8"/>
  <c r="AF445" i="8"/>
  <c r="AF446" i="8"/>
  <c r="AF447" i="8"/>
  <c r="AF448" i="8"/>
  <c r="AF449" i="8"/>
  <c r="AF450" i="8"/>
  <c r="AF451" i="8"/>
  <c r="AF452" i="8"/>
  <c r="AF453" i="8"/>
  <c r="AF454" i="8"/>
  <c r="AF455" i="8"/>
  <c r="AF456" i="8"/>
  <c r="AF457" i="8"/>
  <c r="AF458" i="8"/>
  <c r="AF459" i="8"/>
  <c r="AF460" i="8"/>
  <c r="AF461" i="8"/>
  <c r="AF462" i="8"/>
  <c r="AF463" i="8"/>
  <c r="AF464" i="8"/>
  <c r="AF465" i="8"/>
  <c r="AF466" i="8"/>
  <c r="AF467" i="8"/>
  <c r="AF468" i="8"/>
  <c r="AF469" i="8"/>
  <c r="AF470" i="8"/>
  <c r="AF471" i="8"/>
  <c r="AF472" i="8"/>
  <c r="AF473" i="8"/>
  <c r="AF474" i="8"/>
  <c r="AF475" i="8"/>
  <c r="AF476" i="8"/>
  <c r="AF477" i="8"/>
  <c r="AF478" i="8"/>
  <c r="AF479" i="8"/>
  <c r="AF480" i="8"/>
  <c r="AF481" i="8"/>
  <c r="AF482" i="8"/>
  <c r="AF483" i="8"/>
  <c r="AF484" i="8"/>
  <c r="AF485" i="8"/>
  <c r="AF486" i="8"/>
  <c r="AF487" i="8"/>
  <c r="AF488" i="8"/>
  <c r="AF489" i="8"/>
  <c r="AF490" i="8"/>
  <c r="AF491" i="8"/>
  <c r="AF492" i="8"/>
  <c r="AF493" i="8"/>
  <c r="AF494" i="8"/>
  <c r="AF495" i="8"/>
  <c r="AF496" i="8"/>
  <c r="AF497" i="8"/>
  <c r="AF498" i="8"/>
  <c r="AF499" i="8"/>
  <c r="AF500" i="8"/>
  <c r="AF501" i="8"/>
  <c r="AF502" i="8"/>
  <c r="AF503" i="8"/>
  <c r="AF504" i="8"/>
  <c r="AF505" i="8"/>
  <c r="AF506" i="8"/>
  <c r="AF507" i="8"/>
  <c r="AF508" i="8"/>
  <c r="AF509" i="8"/>
  <c r="AF510" i="8"/>
  <c r="AF511" i="8"/>
  <c r="AF512" i="8"/>
  <c r="AF513" i="8"/>
  <c r="AF514" i="8"/>
  <c r="AF515" i="8"/>
  <c r="AF516" i="8"/>
  <c r="AF517" i="8"/>
  <c r="AF518" i="8"/>
  <c r="AF519" i="8"/>
  <c r="AF520" i="8"/>
  <c r="AF521" i="8"/>
  <c r="AF522" i="8"/>
  <c r="AF523" i="8"/>
  <c r="AF524" i="8"/>
  <c r="AF525" i="8"/>
  <c r="AF526" i="8"/>
  <c r="AF527" i="8"/>
  <c r="AF528" i="8"/>
  <c r="AF529" i="8"/>
  <c r="AF530" i="8"/>
  <c r="AF531" i="8"/>
  <c r="AF532" i="8"/>
  <c r="AF533" i="8"/>
  <c r="AF534" i="8"/>
  <c r="AF535" i="8"/>
  <c r="AF536" i="8"/>
  <c r="AF537" i="8"/>
  <c r="AF538" i="8"/>
  <c r="AF539" i="8"/>
  <c r="AF540" i="8"/>
  <c r="AF541" i="8"/>
  <c r="AF542" i="8"/>
  <c r="AF543" i="8"/>
  <c r="AF544" i="8"/>
  <c r="AF545" i="8"/>
  <c r="AF546" i="8"/>
  <c r="AF547" i="8"/>
  <c r="AF548" i="8"/>
  <c r="AF549" i="8"/>
  <c r="AF550" i="8"/>
  <c r="AF551" i="8"/>
  <c r="AF552" i="8"/>
  <c r="AF553" i="8"/>
  <c r="AF554" i="8"/>
  <c r="AF555" i="8"/>
  <c r="AF556" i="8"/>
  <c r="AF557" i="8"/>
  <c r="AF558" i="8"/>
  <c r="AF559" i="8"/>
  <c r="AF560" i="8"/>
  <c r="AF561" i="8"/>
  <c r="AF562" i="8"/>
  <c r="AF563" i="8"/>
  <c r="AF564" i="8"/>
  <c r="AF565" i="8"/>
  <c r="AF566" i="8"/>
  <c r="AF567" i="8"/>
  <c r="AF568" i="8"/>
  <c r="AF569" i="8"/>
  <c r="AF570" i="8"/>
  <c r="AF571" i="8"/>
  <c r="AF572" i="8"/>
  <c r="AF573" i="8"/>
  <c r="AF574" i="8"/>
  <c r="AF575" i="8"/>
  <c r="AF576" i="8"/>
  <c r="AF577" i="8"/>
  <c r="AF578" i="8"/>
  <c r="AF579" i="8"/>
  <c r="AF580" i="8"/>
  <c r="AF581" i="8"/>
  <c r="AF582" i="8"/>
  <c r="AF583" i="8"/>
  <c r="AF584" i="8"/>
  <c r="AF585" i="8"/>
  <c r="AF586" i="8"/>
  <c r="AF587" i="8"/>
  <c r="AF588" i="8"/>
  <c r="AF589" i="8"/>
  <c r="AF590" i="8"/>
  <c r="AF591" i="8"/>
  <c r="AF592" i="8"/>
  <c r="AF593" i="8"/>
  <c r="AF594" i="8"/>
  <c r="AF595" i="8"/>
  <c r="AF596" i="8"/>
  <c r="AF597" i="8"/>
  <c r="AF598" i="8"/>
  <c r="AF599" i="8"/>
  <c r="AF600" i="8"/>
  <c r="AF601" i="8"/>
  <c r="AF602" i="8"/>
  <c r="AF603" i="8"/>
  <c r="AF604" i="8"/>
  <c r="AF605" i="8"/>
  <c r="AF606" i="8"/>
  <c r="AF607" i="8"/>
  <c r="AF608" i="8"/>
  <c r="AF609" i="8"/>
  <c r="AF610" i="8"/>
  <c r="AF611" i="8"/>
  <c r="AF612" i="8"/>
  <c r="AF613" i="8"/>
  <c r="AF614" i="8"/>
  <c r="AF615" i="8"/>
  <c r="AF616" i="8"/>
  <c r="AF617" i="8"/>
  <c r="AF618" i="8"/>
  <c r="AF619" i="8"/>
  <c r="AF620" i="8"/>
  <c r="AF621" i="8"/>
  <c r="AR621" i="8" s="1"/>
  <c r="AF622" i="8"/>
  <c r="AF623" i="8"/>
  <c r="AF624" i="8"/>
  <c r="AF625" i="8"/>
  <c r="AF626" i="8"/>
  <c r="AF627" i="8"/>
  <c r="AF628" i="8"/>
  <c r="AF629" i="8"/>
  <c r="AF630" i="8"/>
  <c r="AF631" i="8"/>
  <c r="AF632" i="8"/>
  <c r="AF633" i="8"/>
  <c r="AF634" i="8"/>
  <c r="AF635" i="8"/>
  <c r="AF636" i="8"/>
  <c r="AF637" i="8"/>
  <c r="AF638" i="8"/>
  <c r="AF639" i="8"/>
  <c r="AF640" i="8"/>
  <c r="AF641" i="8"/>
  <c r="AF642" i="8"/>
  <c r="AF643" i="8"/>
  <c r="AF644" i="8"/>
  <c r="AF645" i="8"/>
  <c r="AF646" i="8"/>
  <c r="AF647" i="8"/>
  <c r="AF648" i="8"/>
  <c r="AF649" i="8"/>
  <c r="AF650" i="8"/>
  <c r="AF651" i="8"/>
  <c r="AF652" i="8"/>
  <c r="AF653" i="8"/>
  <c r="AF654" i="8"/>
  <c r="AF655" i="8"/>
  <c r="AF656" i="8"/>
  <c r="AF657" i="8"/>
  <c r="AF658" i="8"/>
  <c r="AF659" i="8"/>
  <c r="AF660" i="8"/>
  <c r="AF661" i="8"/>
  <c r="AF662" i="8"/>
  <c r="AF663" i="8"/>
  <c r="AF664" i="8"/>
  <c r="AF665" i="8"/>
  <c r="AF666" i="8"/>
  <c r="AF667" i="8"/>
  <c r="AF668" i="8"/>
  <c r="AF669" i="8"/>
  <c r="AF670" i="8"/>
  <c r="AF671" i="8"/>
  <c r="AF672" i="8"/>
  <c r="AF673" i="8"/>
  <c r="AF674" i="8"/>
  <c r="AF675" i="8"/>
  <c r="AF676" i="8"/>
  <c r="AF677" i="8"/>
  <c r="AF678" i="8"/>
  <c r="AF679" i="8"/>
  <c r="AF680" i="8"/>
  <c r="AF681" i="8"/>
  <c r="AF682" i="8"/>
  <c r="AF683" i="8"/>
  <c r="AF684" i="8"/>
  <c r="AF685" i="8"/>
  <c r="AF686" i="8"/>
  <c r="AF687" i="8"/>
  <c r="AF688" i="8"/>
  <c r="AF689" i="8"/>
  <c r="AF690" i="8"/>
  <c r="AF691" i="8"/>
  <c r="AF692" i="8"/>
  <c r="AF693" i="8"/>
  <c r="AF694" i="8"/>
  <c r="AF695" i="8"/>
  <c r="AF696" i="8"/>
  <c r="AF697" i="8"/>
  <c r="AF698" i="8"/>
  <c r="AF699" i="8"/>
  <c r="AF700" i="8"/>
  <c r="AF701" i="8"/>
  <c r="AF702" i="8"/>
  <c r="AF703" i="8"/>
  <c r="AF704" i="8"/>
  <c r="AF705" i="8"/>
  <c r="AF706" i="8"/>
  <c r="AF707" i="8"/>
  <c r="AF708" i="8"/>
  <c r="AF709" i="8"/>
  <c r="AF710" i="8"/>
  <c r="AF711" i="8"/>
  <c r="AF712" i="8"/>
  <c r="AF713" i="8"/>
  <c r="AF714" i="8"/>
  <c r="AF715" i="8"/>
  <c r="AF716" i="8"/>
  <c r="AF717" i="8"/>
  <c r="AF718" i="8"/>
  <c r="AF719" i="8"/>
  <c r="AF720" i="8"/>
  <c r="AF721" i="8"/>
  <c r="AF722" i="8"/>
  <c r="AF723" i="8"/>
  <c r="AF724" i="8"/>
  <c r="AF725" i="8"/>
  <c r="AF726" i="8"/>
  <c r="AF727" i="8"/>
  <c r="AF728" i="8"/>
  <c r="AF729" i="8"/>
  <c r="AF730" i="8"/>
  <c r="AF731" i="8"/>
  <c r="AF732" i="8"/>
  <c r="AF733" i="8"/>
  <c r="AF734" i="8"/>
  <c r="AF735" i="8"/>
  <c r="AF736" i="8"/>
  <c r="AF737" i="8"/>
  <c r="AF738" i="8"/>
  <c r="AF739" i="8"/>
  <c r="AF740" i="8"/>
  <c r="AF741" i="8"/>
  <c r="AF742" i="8"/>
  <c r="AF743" i="8"/>
  <c r="AF744" i="8"/>
  <c r="AF745" i="8"/>
  <c r="AF746" i="8"/>
  <c r="AF747" i="8"/>
  <c r="AF748" i="8"/>
  <c r="AF749" i="8"/>
  <c r="AF750" i="8"/>
  <c r="AF751" i="8"/>
  <c r="AF752" i="8"/>
  <c r="AF753" i="8"/>
  <c r="AF754" i="8"/>
  <c r="AF755" i="8"/>
  <c r="AF756" i="8"/>
  <c r="AF757" i="8"/>
  <c r="AF758" i="8"/>
  <c r="AF759" i="8"/>
  <c r="AF760" i="8"/>
  <c r="AF761" i="8"/>
  <c r="AF762" i="8"/>
  <c r="AF763" i="8"/>
  <c r="AF764" i="8"/>
  <c r="AF765" i="8"/>
  <c r="AF766" i="8"/>
  <c r="AF767" i="8"/>
  <c r="AF768" i="8"/>
  <c r="AF769" i="8"/>
  <c r="AF770" i="8"/>
  <c r="AF771" i="8"/>
  <c r="AF772" i="8"/>
  <c r="AF773" i="8"/>
  <c r="AF774" i="8"/>
  <c r="AF775" i="8"/>
  <c r="AF776" i="8"/>
  <c r="AF777" i="8"/>
  <c r="AF778" i="8"/>
  <c r="AF779" i="8"/>
  <c r="AF780" i="8"/>
  <c r="AF781" i="8"/>
  <c r="AF782" i="8"/>
  <c r="AF783" i="8"/>
  <c r="AF784" i="8"/>
  <c r="AF785" i="8"/>
  <c r="AF786" i="8"/>
  <c r="AF787" i="8"/>
  <c r="AF788" i="8"/>
  <c r="AF789" i="8"/>
  <c r="AF790" i="8"/>
  <c r="AF791" i="8"/>
  <c r="AF792" i="8"/>
  <c r="AF793" i="8"/>
  <c r="AF794" i="8"/>
  <c r="AF795" i="8"/>
  <c r="AF796" i="8"/>
  <c r="AF797" i="8"/>
  <c r="AF798" i="8"/>
  <c r="AF799" i="8"/>
  <c r="AF800" i="8"/>
  <c r="AF801" i="8"/>
  <c r="AF802" i="8"/>
  <c r="AF803" i="8"/>
  <c r="AF804" i="8"/>
  <c r="AF805" i="8"/>
  <c r="AF806" i="8"/>
  <c r="AF807" i="8"/>
  <c r="AF808" i="8"/>
  <c r="AF809" i="8"/>
  <c r="AF810" i="8"/>
  <c r="AF811" i="8"/>
  <c r="AF812" i="8"/>
  <c r="AF813" i="8"/>
  <c r="AF814" i="8"/>
  <c r="AF815" i="8"/>
  <c r="AF816" i="8"/>
  <c r="AF817" i="8"/>
  <c r="AF818" i="8"/>
  <c r="AF819" i="8"/>
  <c r="AF820" i="8"/>
  <c r="AF821" i="8"/>
  <c r="AF822" i="8"/>
  <c r="AF823" i="8"/>
  <c r="AF824" i="8"/>
  <c r="AF825" i="8"/>
  <c r="AF826" i="8"/>
  <c r="AF827" i="8"/>
  <c r="AF828" i="8"/>
  <c r="AF829" i="8"/>
  <c r="AF830" i="8"/>
  <c r="AF831" i="8"/>
  <c r="AR831" i="8" s="1"/>
  <c r="AF832" i="8"/>
  <c r="AF833" i="8"/>
  <c r="AF834" i="8"/>
  <c r="AF835" i="8"/>
  <c r="AF836" i="8"/>
  <c r="AF837" i="8"/>
  <c r="AF838" i="8"/>
  <c r="AF839" i="8"/>
  <c r="AF840" i="8"/>
  <c r="AF841" i="8"/>
  <c r="AF842" i="8"/>
  <c r="AF843" i="8"/>
  <c r="AF844" i="8"/>
  <c r="AF845" i="8"/>
  <c r="AF846" i="8"/>
  <c r="AF847" i="8"/>
  <c r="AF848" i="8"/>
  <c r="AF849" i="8"/>
  <c r="AF850" i="8"/>
  <c r="AF851" i="8"/>
  <c r="AF852" i="8"/>
  <c r="AF853" i="8"/>
  <c r="AF854" i="8"/>
  <c r="AF855" i="8"/>
  <c r="AF856" i="8"/>
  <c r="AF857" i="8"/>
  <c r="AF858" i="8"/>
  <c r="AF859" i="8"/>
  <c r="AF860" i="8"/>
  <c r="AF861" i="8"/>
  <c r="AF862" i="8"/>
  <c r="AF863" i="8"/>
  <c r="AF864" i="8"/>
  <c r="AF865" i="8"/>
  <c r="AF866" i="8"/>
  <c r="AF867" i="8"/>
  <c r="AF868" i="8"/>
  <c r="AF869" i="8"/>
  <c r="AF870" i="8"/>
  <c r="AF871" i="8"/>
  <c r="AF872" i="8"/>
  <c r="AF873" i="8"/>
  <c r="AF874" i="8"/>
  <c r="AF875" i="8"/>
  <c r="AF876" i="8"/>
  <c r="AF877" i="8"/>
  <c r="AF878" i="8"/>
  <c r="AF879" i="8"/>
  <c r="AF880" i="8"/>
  <c r="AF881" i="8"/>
  <c r="AF882" i="8"/>
  <c r="AF883" i="8"/>
  <c r="AF884" i="8"/>
  <c r="AF885" i="8"/>
  <c r="AF886" i="8"/>
  <c r="AF887" i="8"/>
  <c r="AF888" i="8"/>
  <c r="AF889" i="8"/>
  <c r="AF890" i="8"/>
  <c r="AF891" i="8"/>
  <c r="AF892" i="8"/>
  <c r="AF893" i="8"/>
  <c r="AF894" i="8"/>
  <c r="AF895" i="8"/>
  <c r="AF896" i="8"/>
  <c r="AF897" i="8"/>
  <c r="AF898" i="8"/>
  <c r="AF899" i="8"/>
  <c r="AF900" i="8"/>
  <c r="AF901" i="8"/>
  <c r="AF902" i="8"/>
  <c r="AF903" i="8"/>
  <c r="AF904" i="8"/>
  <c r="AF905" i="8"/>
  <c r="AF906" i="8"/>
  <c r="AF907" i="8"/>
  <c r="AF908" i="8"/>
  <c r="AF909" i="8"/>
  <c r="AF910" i="8"/>
  <c r="AF911" i="8"/>
  <c r="AF912" i="8"/>
  <c r="AF913" i="8"/>
  <c r="AF914" i="8"/>
  <c r="AF915" i="8"/>
  <c r="AF916" i="8"/>
  <c r="AF917" i="8"/>
  <c r="AF918" i="8"/>
  <c r="AF919" i="8"/>
  <c r="AF920" i="8"/>
  <c r="AF921" i="8"/>
  <c r="AF922" i="8"/>
  <c r="AF923" i="8"/>
  <c r="AF924" i="8"/>
  <c r="AF925" i="8"/>
  <c r="AF926" i="8"/>
  <c r="AF927" i="8"/>
  <c r="AF928" i="8"/>
  <c r="AF929" i="8"/>
  <c r="AF930" i="8"/>
  <c r="AF931" i="8"/>
  <c r="AF932" i="8"/>
  <c r="AF933" i="8"/>
  <c r="AF934" i="8"/>
  <c r="AF935" i="8"/>
  <c r="AF936" i="8"/>
  <c r="AF937" i="8"/>
  <c r="AF938" i="8"/>
  <c r="AF939" i="8"/>
  <c r="AF940" i="8"/>
  <c r="AF941" i="8"/>
  <c r="AF942" i="8"/>
  <c r="AF943" i="8"/>
  <c r="AF944" i="8"/>
  <c r="AF945" i="8"/>
  <c r="AF946" i="8"/>
  <c r="AF947" i="8"/>
  <c r="AF948" i="8"/>
  <c r="AF949" i="8"/>
  <c r="AF950" i="8"/>
  <c r="AF951" i="8"/>
  <c r="AF952" i="8"/>
  <c r="AF953" i="8"/>
  <c r="AF954" i="8"/>
  <c r="AF955" i="8"/>
  <c r="AF956" i="8"/>
  <c r="AF957" i="8"/>
  <c r="AF958" i="8"/>
  <c r="AF959" i="8"/>
  <c r="AF960" i="8"/>
  <c r="AF961" i="8"/>
  <c r="AF962" i="8"/>
  <c r="AF963" i="8"/>
  <c r="AF964" i="8"/>
  <c r="AF965" i="8"/>
  <c r="AF966" i="8"/>
  <c r="AF967" i="8"/>
  <c r="AF968" i="8"/>
  <c r="AF969" i="8"/>
  <c r="AF970" i="8"/>
  <c r="AF971" i="8"/>
  <c r="AF972" i="8"/>
  <c r="AF973" i="8"/>
  <c r="AF974" i="8"/>
  <c r="AF975" i="8"/>
  <c r="AF976" i="8"/>
  <c r="AF977" i="8"/>
  <c r="AF978" i="8"/>
  <c r="AF979" i="8"/>
  <c r="AF980" i="8"/>
  <c r="AF981" i="8"/>
  <c r="AF982" i="8"/>
  <c r="AF983" i="8"/>
  <c r="AF984" i="8"/>
  <c r="AF985" i="8"/>
  <c r="AF986" i="8"/>
  <c r="AF987" i="8"/>
  <c r="AF988" i="8"/>
  <c r="AF989" i="8"/>
  <c r="AF990" i="8"/>
  <c r="AF991" i="8"/>
  <c r="AF992" i="8"/>
  <c r="AF993" i="8"/>
  <c r="AF994" i="8"/>
  <c r="AF995" i="8"/>
  <c r="AF996" i="8"/>
  <c r="AF997" i="8"/>
  <c r="AF998" i="8"/>
  <c r="AF999" i="8"/>
  <c r="AF1000" i="8"/>
  <c r="AF1001" i="8"/>
  <c r="AF1002" i="8"/>
  <c r="AF1003" i="8"/>
  <c r="AF1004" i="8"/>
  <c r="AF1005" i="8"/>
  <c r="AF1006" i="8"/>
  <c r="AF1007" i="8"/>
  <c r="AF1008" i="8"/>
  <c r="AF1009" i="8"/>
  <c r="AF1010" i="8"/>
  <c r="AF1011" i="8"/>
  <c r="AF1012" i="8"/>
  <c r="AF1013" i="8"/>
  <c r="AF1014" i="8"/>
  <c r="AF1015" i="8"/>
  <c r="AF1016" i="8"/>
  <c r="AF1017" i="8"/>
  <c r="AF1018" i="8"/>
  <c r="AF1019" i="8"/>
  <c r="AF1020" i="8"/>
  <c r="AF1021" i="8"/>
  <c r="AF1022" i="8"/>
  <c r="AF1023" i="8"/>
  <c r="AF1024" i="8"/>
  <c r="AF1025" i="8"/>
  <c r="AF1026" i="8"/>
  <c r="AF1027" i="8"/>
  <c r="AF1028" i="8"/>
  <c r="AF1029" i="8"/>
  <c r="AF1030" i="8"/>
  <c r="AF1031" i="8"/>
  <c r="AF1032" i="8"/>
  <c r="AF1033" i="8"/>
  <c r="AF1034" i="8"/>
  <c r="AF1035" i="8"/>
  <c r="AF1036" i="8"/>
  <c r="AF1037" i="8"/>
  <c r="AF1038" i="8"/>
  <c r="AF1039" i="8"/>
  <c r="AF1040" i="8"/>
  <c r="AF1041" i="8"/>
  <c r="AF1042" i="8"/>
  <c r="AF1043" i="8"/>
  <c r="AF1044" i="8"/>
  <c r="AF1045" i="8"/>
  <c r="AF1046" i="8"/>
  <c r="AF1047" i="8"/>
  <c r="AF1048" i="8"/>
  <c r="AF1049" i="8"/>
  <c r="AF1050" i="8"/>
  <c r="AF1051" i="8"/>
  <c r="AF1052" i="8"/>
  <c r="AF1053" i="8"/>
  <c r="AF1054" i="8"/>
  <c r="AF1055" i="8"/>
  <c r="AF1056" i="8"/>
  <c r="AF1057" i="8"/>
  <c r="AF1058" i="8"/>
  <c r="AF1059" i="8"/>
  <c r="AF1060" i="8"/>
  <c r="AF1061" i="8"/>
  <c r="AF1062" i="8"/>
  <c r="AF1063" i="8"/>
  <c r="AF1064" i="8"/>
  <c r="AF1065" i="8"/>
  <c r="AF1066" i="8"/>
  <c r="AF1067" i="8"/>
  <c r="AF1068" i="8"/>
  <c r="AF1069" i="8"/>
  <c r="AF1070" i="8"/>
  <c r="AF1071" i="8"/>
  <c r="AF1072" i="8"/>
  <c r="AF1073" i="8"/>
  <c r="AF1074" i="8"/>
  <c r="AF1075" i="8"/>
  <c r="AF1076" i="8"/>
  <c r="AF1077" i="8"/>
  <c r="AF1078" i="8"/>
  <c r="AF1079" i="8"/>
  <c r="AF1080" i="8"/>
  <c r="AF1081" i="8"/>
  <c r="AF1082" i="8"/>
  <c r="AF1083" i="8"/>
  <c r="AF1084" i="8"/>
  <c r="AF1085" i="8"/>
  <c r="AF1086" i="8"/>
  <c r="AF1087" i="8"/>
  <c r="AF1088" i="8"/>
  <c r="AF1089" i="8"/>
  <c r="AF1090" i="8"/>
  <c r="AF1091" i="8"/>
  <c r="AF1092" i="8"/>
  <c r="AF1093" i="8"/>
  <c r="AF1094" i="8"/>
  <c r="AF1095" i="8"/>
  <c r="AF1096" i="8"/>
  <c r="AF1097" i="8"/>
  <c r="AF1098" i="8"/>
  <c r="AF1099" i="8"/>
  <c r="AF1100" i="8"/>
  <c r="AF1101" i="8"/>
  <c r="AF1102" i="8"/>
  <c r="AF1103" i="8"/>
  <c r="AF1104" i="8"/>
  <c r="AF1105" i="8"/>
  <c r="AF1106" i="8"/>
  <c r="AF1107" i="8"/>
  <c r="AF1108" i="8"/>
  <c r="AF1109" i="8"/>
  <c r="AF1110" i="8"/>
  <c r="AF1111" i="8"/>
  <c r="AF1112" i="8"/>
  <c r="AF1113" i="8"/>
  <c r="AF1114" i="8"/>
  <c r="AF1115" i="8"/>
  <c r="AF1116" i="8"/>
  <c r="AF1117" i="8"/>
  <c r="AF1118" i="8"/>
  <c r="AF1119" i="8"/>
  <c r="AF1120" i="8"/>
  <c r="AF1121" i="8"/>
  <c r="AF1122" i="8"/>
  <c r="AF1123" i="8"/>
  <c r="AF1124" i="8"/>
  <c r="AF1125" i="8"/>
  <c r="AF1126" i="8"/>
  <c r="AF1127" i="8"/>
  <c r="AF1128"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AG120" i="8"/>
  <c r="AG121" i="8"/>
  <c r="AG122" i="8"/>
  <c r="AG123" i="8"/>
  <c r="AG124" i="8"/>
  <c r="AG125" i="8"/>
  <c r="AG126" i="8"/>
  <c r="AG127" i="8"/>
  <c r="AG128" i="8"/>
  <c r="AG129" i="8"/>
  <c r="AG130" i="8"/>
  <c r="AG131" i="8"/>
  <c r="AG132" i="8"/>
  <c r="AG133" i="8"/>
  <c r="AG134" i="8"/>
  <c r="AG135" i="8"/>
  <c r="AG136" i="8"/>
  <c r="AG137" i="8"/>
  <c r="AG138" i="8"/>
  <c r="AG139" i="8"/>
  <c r="AG140" i="8"/>
  <c r="AG141" i="8"/>
  <c r="AG142" i="8"/>
  <c r="AG143" i="8"/>
  <c r="AG144" i="8"/>
  <c r="AG145" i="8"/>
  <c r="AG146" i="8"/>
  <c r="AG147" i="8"/>
  <c r="AG148" i="8"/>
  <c r="AG149" i="8"/>
  <c r="AG150" i="8"/>
  <c r="AG151" i="8"/>
  <c r="AG152" i="8"/>
  <c r="AG153" i="8"/>
  <c r="AG154" i="8"/>
  <c r="AG155" i="8"/>
  <c r="AG156" i="8"/>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G198" i="8"/>
  <c r="AG199" i="8"/>
  <c r="AG200" i="8"/>
  <c r="AG201" i="8"/>
  <c r="AG202" i="8"/>
  <c r="AG203" i="8"/>
  <c r="AG204" i="8"/>
  <c r="AG205" i="8"/>
  <c r="AG206" i="8"/>
  <c r="AG207" i="8"/>
  <c r="AG208" i="8"/>
  <c r="AG209" i="8"/>
  <c r="AG210" i="8"/>
  <c r="AG211" i="8"/>
  <c r="AG212" i="8"/>
  <c r="AG213" i="8"/>
  <c r="AG214" i="8"/>
  <c r="AG215" i="8"/>
  <c r="AG216" i="8"/>
  <c r="AG217" i="8"/>
  <c r="AG218" i="8"/>
  <c r="AG219" i="8"/>
  <c r="AG220" i="8"/>
  <c r="AG221" i="8"/>
  <c r="AG222" i="8"/>
  <c r="AG223" i="8"/>
  <c r="AG224" i="8"/>
  <c r="AG225" i="8"/>
  <c r="AG226" i="8"/>
  <c r="AG227" i="8"/>
  <c r="AG228" i="8"/>
  <c r="AG229" i="8"/>
  <c r="AG230" i="8"/>
  <c r="AG231" i="8"/>
  <c r="AG232" i="8"/>
  <c r="AG233" i="8"/>
  <c r="AG234" i="8"/>
  <c r="AG235" i="8"/>
  <c r="AG236" i="8"/>
  <c r="AG237" i="8"/>
  <c r="AG238" i="8"/>
  <c r="AG239" i="8"/>
  <c r="AG240" i="8"/>
  <c r="AG241" i="8"/>
  <c r="AG242" i="8"/>
  <c r="AG243" i="8"/>
  <c r="AG244" i="8"/>
  <c r="AG245" i="8"/>
  <c r="AG246" i="8"/>
  <c r="AG247" i="8"/>
  <c r="AG248" i="8"/>
  <c r="AG249" i="8"/>
  <c r="AG250" i="8"/>
  <c r="AG251" i="8"/>
  <c r="AG252" i="8"/>
  <c r="AG253" i="8"/>
  <c r="AG254" i="8"/>
  <c r="AG255" i="8"/>
  <c r="AG256" i="8"/>
  <c r="AG257" i="8"/>
  <c r="AG258" i="8"/>
  <c r="AG259" i="8"/>
  <c r="AG260" i="8"/>
  <c r="AG261" i="8"/>
  <c r="AG262" i="8"/>
  <c r="AG263" i="8"/>
  <c r="AG264" i="8"/>
  <c r="AG265" i="8"/>
  <c r="AG266" i="8"/>
  <c r="AG267" i="8"/>
  <c r="AG268" i="8"/>
  <c r="AG269" i="8"/>
  <c r="AG270" i="8"/>
  <c r="AG271" i="8"/>
  <c r="AG272" i="8"/>
  <c r="AG273" i="8"/>
  <c r="AG274" i="8"/>
  <c r="AG275" i="8"/>
  <c r="AG276" i="8"/>
  <c r="AG277" i="8"/>
  <c r="AG278" i="8"/>
  <c r="AG279" i="8"/>
  <c r="AG280" i="8"/>
  <c r="AG281" i="8"/>
  <c r="AG282" i="8"/>
  <c r="AG283" i="8"/>
  <c r="AG284" i="8"/>
  <c r="AG285" i="8"/>
  <c r="AG286" i="8"/>
  <c r="AG287" i="8"/>
  <c r="AG288" i="8"/>
  <c r="AG289" i="8"/>
  <c r="AG290" i="8"/>
  <c r="AG291" i="8"/>
  <c r="AG292" i="8"/>
  <c r="AG293" i="8"/>
  <c r="AG294" i="8"/>
  <c r="AG295" i="8"/>
  <c r="AG296" i="8"/>
  <c r="AG297" i="8"/>
  <c r="AG298" i="8"/>
  <c r="AG299" i="8"/>
  <c r="AG300" i="8"/>
  <c r="AG301" i="8"/>
  <c r="AG302" i="8"/>
  <c r="AG303" i="8"/>
  <c r="AG304" i="8"/>
  <c r="AG305" i="8"/>
  <c r="AG306" i="8"/>
  <c r="AG307" i="8"/>
  <c r="AG308" i="8"/>
  <c r="AG309" i="8"/>
  <c r="AG310" i="8"/>
  <c r="AG311" i="8"/>
  <c r="AG312" i="8"/>
  <c r="AG313" i="8"/>
  <c r="AG314" i="8"/>
  <c r="AG315" i="8"/>
  <c r="AG316" i="8"/>
  <c r="AG317" i="8"/>
  <c r="AG318" i="8"/>
  <c r="AG319" i="8"/>
  <c r="AG320" i="8"/>
  <c r="AG321" i="8"/>
  <c r="AG322" i="8"/>
  <c r="AG323" i="8"/>
  <c r="AG324" i="8"/>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AG348" i="8"/>
  <c r="AG349" i="8"/>
  <c r="AG350" i="8"/>
  <c r="AG351" i="8"/>
  <c r="AG352" i="8"/>
  <c r="AG353" i="8"/>
  <c r="AG354" i="8"/>
  <c r="AG355" i="8"/>
  <c r="AG356" i="8"/>
  <c r="AG357" i="8"/>
  <c r="AG358" i="8"/>
  <c r="AG359" i="8"/>
  <c r="AG360" i="8"/>
  <c r="AG361" i="8"/>
  <c r="AG362" i="8"/>
  <c r="AG363" i="8"/>
  <c r="AG364" i="8"/>
  <c r="AG365" i="8"/>
  <c r="AG366" i="8"/>
  <c r="AG367" i="8"/>
  <c r="AG368" i="8"/>
  <c r="AG369" i="8"/>
  <c r="AG370" i="8"/>
  <c r="AG371" i="8"/>
  <c r="AG372" i="8"/>
  <c r="AG373" i="8"/>
  <c r="AG374" i="8"/>
  <c r="AG375" i="8"/>
  <c r="AG376" i="8"/>
  <c r="AG377" i="8"/>
  <c r="AG378" i="8"/>
  <c r="AG379" i="8"/>
  <c r="AG380" i="8"/>
  <c r="AG381" i="8"/>
  <c r="AG382" i="8"/>
  <c r="AG383" i="8"/>
  <c r="AG384" i="8"/>
  <c r="AG385" i="8"/>
  <c r="AG386" i="8"/>
  <c r="AG387" i="8"/>
  <c r="AG388" i="8"/>
  <c r="AG389" i="8"/>
  <c r="AG390" i="8"/>
  <c r="AG391" i="8"/>
  <c r="AG392" i="8"/>
  <c r="AG393" i="8"/>
  <c r="AG394" i="8"/>
  <c r="AG395" i="8"/>
  <c r="AG396" i="8"/>
  <c r="AG397" i="8"/>
  <c r="AG398" i="8"/>
  <c r="AG399" i="8"/>
  <c r="AG400" i="8"/>
  <c r="AG401" i="8"/>
  <c r="AG402" i="8"/>
  <c r="AG403" i="8"/>
  <c r="AG404" i="8"/>
  <c r="AG405" i="8"/>
  <c r="AG406" i="8"/>
  <c r="AG407" i="8"/>
  <c r="AG408" i="8"/>
  <c r="AG409" i="8"/>
  <c r="AG410" i="8"/>
  <c r="AG411" i="8"/>
  <c r="AG412" i="8"/>
  <c r="AG413" i="8"/>
  <c r="AG414" i="8"/>
  <c r="AG415" i="8"/>
  <c r="AG416" i="8"/>
  <c r="AG417" i="8"/>
  <c r="AG418" i="8"/>
  <c r="AG419" i="8"/>
  <c r="AG420" i="8"/>
  <c r="AG421" i="8"/>
  <c r="AG422" i="8"/>
  <c r="AG423" i="8"/>
  <c r="AG424" i="8"/>
  <c r="AG425" i="8"/>
  <c r="AG426" i="8"/>
  <c r="AG427" i="8"/>
  <c r="AG428" i="8"/>
  <c r="AG429" i="8"/>
  <c r="AG430" i="8"/>
  <c r="AG431" i="8"/>
  <c r="AG432" i="8"/>
  <c r="AG433" i="8"/>
  <c r="AG434" i="8"/>
  <c r="AG435" i="8"/>
  <c r="AG436" i="8"/>
  <c r="AG437" i="8"/>
  <c r="AG438" i="8"/>
  <c r="AG439" i="8"/>
  <c r="AG440" i="8"/>
  <c r="AG441" i="8"/>
  <c r="AG442" i="8"/>
  <c r="AG443" i="8"/>
  <c r="AG444" i="8"/>
  <c r="AG445" i="8"/>
  <c r="AG446" i="8"/>
  <c r="AG447" i="8"/>
  <c r="AG448" i="8"/>
  <c r="AG449" i="8"/>
  <c r="AG450" i="8"/>
  <c r="AG451" i="8"/>
  <c r="AG452" i="8"/>
  <c r="AG453" i="8"/>
  <c r="AG454" i="8"/>
  <c r="AG455" i="8"/>
  <c r="AG456" i="8"/>
  <c r="AG457" i="8"/>
  <c r="AG458" i="8"/>
  <c r="AG459" i="8"/>
  <c r="AG460" i="8"/>
  <c r="AG461" i="8"/>
  <c r="AG462" i="8"/>
  <c r="AG463" i="8"/>
  <c r="AG464" i="8"/>
  <c r="AG465" i="8"/>
  <c r="AG466" i="8"/>
  <c r="AG467" i="8"/>
  <c r="AG468" i="8"/>
  <c r="AG469" i="8"/>
  <c r="AG470" i="8"/>
  <c r="AG471" i="8"/>
  <c r="AG472" i="8"/>
  <c r="AG473" i="8"/>
  <c r="AG474" i="8"/>
  <c r="AG475" i="8"/>
  <c r="AG476" i="8"/>
  <c r="AG477" i="8"/>
  <c r="AG478" i="8"/>
  <c r="AG479" i="8"/>
  <c r="AG480" i="8"/>
  <c r="AG481" i="8"/>
  <c r="AG482" i="8"/>
  <c r="AQ482" i="8" s="1"/>
  <c r="AG483" i="8"/>
  <c r="AG484" i="8"/>
  <c r="AG485" i="8"/>
  <c r="AG486" i="8"/>
  <c r="AG487" i="8"/>
  <c r="AG488" i="8"/>
  <c r="AG489" i="8"/>
  <c r="AG490" i="8"/>
  <c r="AG491" i="8"/>
  <c r="AG492" i="8"/>
  <c r="AG493" i="8"/>
  <c r="AG494" i="8"/>
  <c r="AG495" i="8"/>
  <c r="AG496" i="8"/>
  <c r="AG497" i="8"/>
  <c r="AG498" i="8"/>
  <c r="AG499" i="8"/>
  <c r="AG500" i="8"/>
  <c r="AG501" i="8"/>
  <c r="AG502" i="8"/>
  <c r="AG503" i="8"/>
  <c r="AG504" i="8"/>
  <c r="AG505" i="8"/>
  <c r="AG506" i="8"/>
  <c r="AG507" i="8"/>
  <c r="AG508" i="8"/>
  <c r="AG509" i="8"/>
  <c r="AG510" i="8"/>
  <c r="AG511" i="8"/>
  <c r="AG512" i="8"/>
  <c r="AG513" i="8"/>
  <c r="AG514" i="8"/>
  <c r="AQ514" i="8" s="1"/>
  <c r="AG515" i="8"/>
  <c r="AG516" i="8"/>
  <c r="AG517" i="8"/>
  <c r="AG518" i="8"/>
  <c r="AG519" i="8"/>
  <c r="AG520" i="8"/>
  <c r="AG521" i="8"/>
  <c r="AG522" i="8"/>
  <c r="AG523" i="8"/>
  <c r="AG524" i="8"/>
  <c r="AG525" i="8"/>
  <c r="AG526" i="8"/>
  <c r="AG527" i="8"/>
  <c r="AG528" i="8"/>
  <c r="AG529" i="8"/>
  <c r="AG530" i="8"/>
  <c r="AG531" i="8"/>
  <c r="AG532" i="8"/>
  <c r="AG533" i="8"/>
  <c r="AG534" i="8"/>
  <c r="AG535" i="8"/>
  <c r="AG536" i="8"/>
  <c r="AG537" i="8"/>
  <c r="AG538" i="8"/>
  <c r="AG539" i="8"/>
  <c r="AG540" i="8"/>
  <c r="AG541" i="8"/>
  <c r="AG542" i="8"/>
  <c r="AG543" i="8"/>
  <c r="AG544" i="8"/>
  <c r="AG545" i="8"/>
  <c r="AG546" i="8"/>
  <c r="AG547" i="8"/>
  <c r="AG548" i="8"/>
  <c r="AG549" i="8"/>
  <c r="AG550" i="8"/>
  <c r="AG551" i="8"/>
  <c r="AG552" i="8"/>
  <c r="AG553" i="8"/>
  <c r="AG554" i="8"/>
  <c r="AG555" i="8"/>
  <c r="AG556" i="8"/>
  <c r="AG557" i="8"/>
  <c r="AG558" i="8"/>
  <c r="AG559" i="8"/>
  <c r="AG560" i="8"/>
  <c r="AG561" i="8"/>
  <c r="AG562" i="8"/>
  <c r="AG563" i="8"/>
  <c r="AG564" i="8"/>
  <c r="AG565" i="8"/>
  <c r="AG566" i="8"/>
  <c r="AG567" i="8"/>
  <c r="AG568" i="8"/>
  <c r="AG569" i="8"/>
  <c r="AG570" i="8"/>
  <c r="AG571" i="8"/>
  <c r="AG572" i="8"/>
  <c r="AG573" i="8"/>
  <c r="AG574" i="8"/>
  <c r="AG575" i="8"/>
  <c r="AG576" i="8"/>
  <c r="AG577" i="8"/>
  <c r="AG578" i="8"/>
  <c r="AG579" i="8"/>
  <c r="AG580" i="8"/>
  <c r="AG581" i="8"/>
  <c r="AG582" i="8"/>
  <c r="AG583" i="8"/>
  <c r="AG584" i="8"/>
  <c r="AG585" i="8"/>
  <c r="AG586" i="8"/>
  <c r="AG587" i="8"/>
  <c r="AG588" i="8"/>
  <c r="AG589" i="8"/>
  <c r="AG590" i="8"/>
  <c r="AG591" i="8"/>
  <c r="AG592" i="8"/>
  <c r="AG593" i="8"/>
  <c r="AG594" i="8"/>
  <c r="AG595" i="8"/>
  <c r="AG596" i="8"/>
  <c r="AG597" i="8"/>
  <c r="AG598" i="8"/>
  <c r="AG599" i="8"/>
  <c r="AG600" i="8"/>
  <c r="AG601" i="8"/>
  <c r="AG602" i="8"/>
  <c r="AG603" i="8"/>
  <c r="AG604" i="8"/>
  <c r="AG605" i="8"/>
  <c r="AG606" i="8"/>
  <c r="AG607" i="8"/>
  <c r="AG608" i="8"/>
  <c r="AG609" i="8"/>
  <c r="AG610" i="8"/>
  <c r="AG611" i="8"/>
  <c r="AG612" i="8"/>
  <c r="AG613" i="8"/>
  <c r="AG614" i="8"/>
  <c r="AG615" i="8"/>
  <c r="AG616" i="8"/>
  <c r="AG617" i="8"/>
  <c r="AG618" i="8"/>
  <c r="AG619" i="8"/>
  <c r="AG620" i="8"/>
  <c r="AG621" i="8"/>
  <c r="AG622" i="8"/>
  <c r="AG623" i="8"/>
  <c r="AG624" i="8"/>
  <c r="AG625" i="8"/>
  <c r="AG626" i="8"/>
  <c r="AQ626" i="8" s="1"/>
  <c r="AG627" i="8"/>
  <c r="AG628" i="8"/>
  <c r="AG629" i="8"/>
  <c r="AG630" i="8"/>
  <c r="AG631" i="8"/>
  <c r="AG632" i="8"/>
  <c r="AG633" i="8"/>
  <c r="AG634" i="8"/>
  <c r="AG635" i="8"/>
  <c r="AG636" i="8"/>
  <c r="AG637" i="8"/>
  <c r="AG638" i="8"/>
  <c r="AG639" i="8"/>
  <c r="AG640" i="8"/>
  <c r="AG641" i="8"/>
  <c r="AG642" i="8"/>
  <c r="AG643" i="8"/>
  <c r="AG644" i="8"/>
  <c r="AG645" i="8"/>
  <c r="AG646" i="8"/>
  <c r="AG647" i="8"/>
  <c r="AG648" i="8"/>
  <c r="AG649" i="8"/>
  <c r="AG650" i="8"/>
  <c r="AG651" i="8"/>
  <c r="AG652" i="8"/>
  <c r="AG653" i="8"/>
  <c r="AG654" i="8"/>
  <c r="AG655" i="8"/>
  <c r="AG656" i="8"/>
  <c r="AG657" i="8"/>
  <c r="AG658" i="8"/>
  <c r="AQ658" i="8" s="1"/>
  <c r="AG659" i="8"/>
  <c r="AG660" i="8"/>
  <c r="AG661" i="8"/>
  <c r="AG662" i="8"/>
  <c r="AG663" i="8"/>
  <c r="AG664" i="8"/>
  <c r="AG665" i="8"/>
  <c r="AG666" i="8"/>
  <c r="AG667" i="8"/>
  <c r="AG668" i="8"/>
  <c r="AG669" i="8"/>
  <c r="AG670" i="8"/>
  <c r="AG671" i="8"/>
  <c r="AG672" i="8"/>
  <c r="AG673" i="8"/>
  <c r="AG674" i="8"/>
  <c r="AG675" i="8"/>
  <c r="AG676" i="8"/>
  <c r="AG677" i="8"/>
  <c r="AG678" i="8"/>
  <c r="AG679" i="8"/>
  <c r="AG680" i="8"/>
  <c r="AG681" i="8"/>
  <c r="AG682" i="8"/>
  <c r="AG683" i="8"/>
  <c r="AG684" i="8"/>
  <c r="AG685" i="8"/>
  <c r="AG686" i="8"/>
  <c r="AG687" i="8"/>
  <c r="AG688" i="8"/>
  <c r="AG689" i="8"/>
  <c r="AG690" i="8"/>
  <c r="AG691" i="8"/>
  <c r="AG692" i="8"/>
  <c r="AG693" i="8"/>
  <c r="AG694" i="8"/>
  <c r="AG695" i="8"/>
  <c r="AG696" i="8"/>
  <c r="AG697" i="8"/>
  <c r="AG698" i="8"/>
  <c r="AG699" i="8"/>
  <c r="AG700" i="8"/>
  <c r="AG701" i="8"/>
  <c r="AG702" i="8"/>
  <c r="AG703" i="8"/>
  <c r="AG704" i="8"/>
  <c r="AG705" i="8"/>
  <c r="AG706" i="8"/>
  <c r="AG707" i="8"/>
  <c r="AG708" i="8"/>
  <c r="AG709" i="8"/>
  <c r="AG710" i="8"/>
  <c r="AG711" i="8"/>
  <c r="AG712" i="8"/>
  <c r="AG713" i="8"/>
  <c r="AG714" i="8"/>
  <c r="AG715" i="8"/>
  <c r="AG716" i="8"/>
  <c r="AG717" i="8"/>
  <c r="AG718" i="8"/>
  <c r="AG719" i="8"/>
  <c r="AG720" i="8"/>
  <c r="AG721" i="8"/>
  <c r="AG722" i="8"/>
  <c r="AG723" i="8"/>
  <c r="AG724" i="8"/>
  <c r="AG725" i="8"/>
  <c r="AG726" i="8"/>
  <c r="AG727" i="8"/>
  <c r="AG728" i="8"/>
  <c r="AG729" i="8"/>
  <c r="AG730" i="8"/>
  <c r="AG731" i="8"/>
  <c r="AG732" i="8"/>
  <c r="AG733" i="8"/>
  <c r="AG734" i="8"/>
  <c r="AG735" i="8"/>
  <c r="AG736" i="8"/>
  <c r="AG737" i="8"/>
  <c r="AG738" i="8"/>
  <c r="AG739" i="8"/>
  <c r="AG740" i="8"/>
  <c r="AG741" i="8"/>
  <c r="AG742" i="8"/>
  <c r="AG743" i="8"/>
  <c r="AG744" i="8"/>
  <c r="AG745" i="8"/>
  <c r="AG746" i="8"/>
  <c r="AG747" i="8"/>
  <c r="AG748" i="8"/>
  <c r="AG749" i="8"/>
  <c r="AG750" i="8"/>
  <c r="AG751" i="8"/>
  <c r="AG752" i="8"/>
  <c r="AG753" i="8"/>
  <c r="AG754" i="8"/>
  <c r="AG755" i="8"/>
  <c r="AG756" i="8"/>
  <c r="AG757" i="8"/>
  <c r="AG758" i="8"/>
  <c r="AG759" i="8"/>
  <c r="AG760" i="8"/>
  <c r="AG761" i="8"/>
  <c r="AG762" i="8"/>
  <c r="AG763" i="8"/>
  <c r="AG764" i="8"/>
  <c r="AG765" i="8"/>
  <c r="AG766" i="8"/>
  <c r="AG767" i="8"/>
  <c r="AG768" i="8"/>
  <c r="AG769" i="8"/>
  <c r="AG770" i="8"/>
  <c r="AQ770" i="8" s="1"/>
  <c r="AG771" i="8"/>
  <c r="AG772" i="8"/>
  <c r="AG773" i="8"/>
  <c r="AG774" i="8"/>
  <c r="AG775" i="8"/>
  <c r="AG776" i="8"/>
  <c r="AG777" i="8"/>
  <c r="AG778" i="8"/>
  <c r="AG779" i="8"/>
  <c r="AG780" i="8"/>
  <c r="AG781" i="8"/>
  <c r="AG782" i="8"/>
  <c r="AG783" i="8"/>
  <c r="AG784" i="8"/>
  <c r="AG785" i="8"/>
  <c r="AG786" i="8"/>
  <c r="AG787" i="8"/>
  <c r="AG788" i="8"/>
  <c r="AG789" i="8"/>
  <c r="AG790" i="8"/>
  <c r="AG791" i="8"/>
  <c r="AG792" i="8"/>
  <c r="AG793" i="8"/>
  <c r="AG794" i="8"/>
  <c r="AG795" i="8"/>
  <c r="AG796" i="8"/>
  <c r="AG797" i="8"/>
  <c r="AG798" i="8"/>
  <c r="AG799" i="8"/>
  <c r="AG800" i="8"/>
  <c r="AG801" i="8"/>
  <c r="AG802" i="8"/>
  <c r="AG803" i="8"/>
  <c r="AG804" i="8"/>
  <c r="AG805" i="8"/>
  <c r="AG806" i="8"/>
  <c r="AG807" i="8"/>
  <c r="AG808" i="8"/>
  <c r="AG809" i="8"/>
  <c r="AG810" i="8"/>
  <c r="AG811" i="8"/>
  <c r="AG812" i="8"/>
  <c r="AG813" i="8"/>
  <c r="AG814" i="8"/>
  <c r="AG815" i="8"/>
  <c r="AG816" i="8"/>
  <c r="AG817" i="8"/>
  <c r="AG818" i="8"/>
  <c r="AQ818" i="8" s="1"/>
  <c r="AG819" i="8"/>
  <c r="AG820" i="8"/>
  <c r="AG821" i="8"/>
  <c r="AG822" i="8"/>
  <c r="AG823" i="8"/>
  <c r="AG824" i="8"/>
  <c r="AG825" i="8"/>
  <c r="AG826" i="8"/>
  <c r="AG827" i="8"/>
  <c r="AG828" i="8"/>
  <c r="AG829" i="8"/>
  <c r="AG830" i="8"/>
  <c r="AG831" i="8"/>
  <c r="AG832" i="8"/>
  <c r="AG833" i="8"/>
  <c r="AG834" i="8"/>
  <c r="AG835" i="8"/>
  <c r="AG836" i="8"/>
  <c r="AG837" i="8"/>
  <c r="AG838" i="8"/>
  <c r="AG839" i="8"/>
  <c r="AG840" i="8"/>
  <c r="AG841" i="8"/>
  <c r="AG842" i="8"/>
  <c r="AG843" i="8"/>
  <c r="AG844" i="8"/>
  <c r="AG845" i="8"/>
  <c r="AG846" i="8"/>
  <c r="AG847" i="8"/>
  <c r="AG848" i="8"/>
  <c r="AG849" i="8"/>
  <c r="AG850" i="8"/>
  <c r="AG851" i="8"/>
  <c r="AG852" i="8"/>
  <c r="AG853" i="8"/>
  <c r="AG854" i="8"/>
  <c r="AG855" i="8"/>
  <c r="AG856" i="8"/>
  <c r="AG857" i="8"/>
  <c r="AG858" i="8"/>
  <c r="AG859" i="8"/>
  <c r="AG860" i="8"/>
  <c r="AG861" i="8"/>
  <c r="AG862" i="8"/>
  <c r="AG863" i="8"/>
  <c r="AG864" i="8"/>
  <c r="AG865" i="8"/>
  <c r="AG866" i="8"/>
  <c r="AG867" i="8"/>
  <c r="AG868" i="8"/>
  <c r="AG869" i="8"/>
  <c r="AG870" i="8"/>
  <c r="AG871" i="8"/>
  <c r="AG872" i="8"/>
  <c r="AG873" i="8"/>
  <c r="AG874" i="8"/>
  <c r="AG875" i="8"/>
  <c r="AG876" i="8"/>
  <c r="AG877" i="8"/>
  <c r="AG878" i="8"/>
  <c r="AG879" i="8"/>
  <c r="AG880" i="8"/>
  <c r="AG881" i="8"/>
  <c r="AG882" i="8"/>
  <c r="AG883" i="8"/>
  <c r="AG884" i="8"/>
  <c r="AG885" i="8"/>
  <c r="AG886" i="8"/>
  <c r="AG887" i="8"/>
  <c r="AG888" i="8"/>
  <c r="AG889" i="8"/>
  <c r="AG890" i="8"/>
  <c r="AG891" i="8"/>
  <c r="AG892" i="8"/>
  <c r="AG893" i="8"/>
  <c r="AG894" i="8"/>
  <c r="AG895" i="8"/>
  <c r="AG896" i="8"/>
  <c r="AG897" i="8"/>
  <c r="AG898" i="8"/>
  <c r="AQ898" i="8" s="1"/>
  <c r="AG899" i="8"/>
  <c r="AG900" i="8"/>
  <c r="AG901" i="8"/>
  <c r="AG902" i="8"/>
  <c r="AG903" i="8"/>
  <c r="AG904" i="8"/>
  <c r="AG905" i="8"/>
  <c r="AG906" i="8"/>
  <c r="AG907" i="8"/>
  <c r="AG908" i="8"/>
  <c r="AG909" i="8"/>
  <c r="AG910" i="8"/>
  <c r="AG911" i="8"/>
  <c r="AG912" i="8"/>
  <c r="AG913" i="8"/>
  <c r="AG914" i="8"/>
  <c r="AR914" i="8" s="1"/>
  <c r="AG915" i="8"/>
  <c r="AG916" i="8"/>
  <c r="AG917" i="8"/>
  <c r="AG918" i="8"/>
  <c r="AG919" i="8"/>
  <c r="AG920" i="8"/>
  <c r="AG921" i="8"/>
  <c r="AG922" i="8"/>
  <c r="AG923" i="8"/>
  <c r="AG924" i="8"/>
  <c r="AG925" i="8"/>
  <c r="AG926" i="8"/>
  <c r="AG927" i="8"/>
  <c r="AG928" i="8"/>
  <c r="AG929" i="8"/>
  <c r="AG930" i="8"/>
  <c r="AG931" i="8"/>
  <c r="AG932" i="8"/>
  <c r="AG933" i="8"/>
  <c r="AG934" i="8"/>
  <c r="AG935" i="8"/>
  <c r="AG936" i="8"/>
  <c r="AG937" i="8"/>
  <c r="AG938" i="8"/>
  <c r="AG939" i="8"/>
  <c r="AG940" i="8"/>
  <c r="AG941" i="8"/>
  <c r="AG942" i="8"/>
  <c r="AG943" i="8"/>
  <c r="AG944" i="8"/>
  <c r="AG945" i="8"/>
  <c r="AG946" i="8"/>
  <c r="AQ946" i="8" s="1"/>
  <c r="AG947" i="8"/>
  <c r="AG948" i="8"/>
  <c r="AG949" i="8"/>
  <c r="AG950" i="8"/>
  <c r="AG951" i="8"/>
  <c r="AG952" i="8"/>
  <c r="AG953" i="8"/>
  <c r="AG954" i="8"/>
  <c r="AG955" i="8"/>
  <c r="AG956" i="8"/>
  <c r="AG957" i="8"/>
  <c r="AG958" i="8"/>
  <c r="AG959" i="8"/>
  <c r="AG960" i="8"/>
  <c r="AG961" i="8"/>
  <c r="AG962" i="8"/>
  <c r="AR962" i="8" s="1"/>
  <c r="AG963" i="8"/>
  <c r="AG964" i="8"/>
  <c r="AG965" i="8"/>
  <c r="AG966" i="8"/>
  <c r="AG967" i="8"/>
  <c r="AG968" i="8"/>
  <c r="AG969" i="8"/>
  <c r="AG970" i="8"/>
  <c r="AG971" i="8"/>
  <c r="AG972" i="8"/>
  <c r="AG973" i="8"/>
  <c r="AG974" i="8"/>
  <c r="AG975" i="8"/>
  <c r="AG976" i="8"/>
  <c r="AG977" i="8"/>
  <c r="AG978" i="8"/>
  <c r="AG979" i="8"/>
  <c r="AG980" i="8"/>
  <c r="AG981" i="8"/>
  <c r="AG982" i="8"/>
  <c r="AG983" i="8"/>
  <c r="AG984" i="8"/>
  <c r="AG985" i="8"/>
  <c r="AG986" i="8"/>
  <c r="AG987" i="8"/>
  <c r="AG988" i="8"/>
  <c r="AG989" i="8"/>
  <c r="AG990" i="8"/>
  <c r="AG991" i="8"/>
  <c r="AG992" i="8"/>
  <c r="AG993" i="8"/>
  <c r="AG994" i="8"/>
  <c r="AR994" i="8" s="1"/>
  <c r="AG995" i="8"/>
  <c r="AG996" i="8"/>
  <c r="AG997" i="8"/>
  <c r="AG998" i="8"/>
  <c r="AG999" i="8"/>
  <c r="AG1000" i="8"/>
  <c r="AG1001" i="8"/>
  <c r="AG1002" i="8"/>
  <c r="AG1003" i="8"/>
  <c r="AG1004" i="8"/>
  <c r="AG1005" i="8"/>
  <c r="AG1006" i="8"/>
  <c r="AG1007" i="8"/>
  <c r="AG1008" i="8"/>
  <c r="AG1009" i="8"/>
  <c r="AG1010" i="8"/>
  <c r="AQ1010" i="8" s="1"/>
  <c r="AG1011" i="8"/>
  <c r="AG1012" i="8"/>
  <c r="AG1013" i="8"/>
  <c r="AG1014" i="8"/>
  <c r="AG1015" i="8"/>
  <c r="AG1016" i="8"/>
  <c r="AG1017" i="8"/>
  <c r="AG1018" i="8"/>
  <c r="AG1019" i="8"/>
  <c r="AG1020" i="8"/>
  <c r="AG1021" i="8"/>
  <c r="AG1022" i="8"/>
  <c r="AG1023" i="8"/>
  <c r="AG1024" i="8"/>
  <c r="AG1025" i="8"/>
  <c r="AG1026" i="8"/>
  <c r="AG1027" i="8"/>
  <c r="AG1028" i="8"/>
  <c r="AG1029" i="8"/>
  <c r="AG1030" i="8"/>
  <c r="AG1031" i="8"/>
  <c r="AG1032" i="8"/>
  <c r="AG1033" i="8"/>
  <c r="AG1034" i="8"/>
  <c r="AG1035" i="8"/>
  <c r="AG1036" i="8"/>
  <c r="AG1037" i="8"/>
  <c r="AG1038" i="8"/>
  <c r="AG1039" i="8"/>
  <c r="AG1040" i="8"/>
  <c r="AG1041" i="8"/>
  <c r="AG1042" i="8"/>
  <c r="AR1042" i="8" s="1"/>
  <c r="AG1043" i="8"/>
  <c r="AG1044" i="8"/>
  <c r="AG1045" i="8"/>
  <c r="AG1046" i="8"/>
  <c r="AG1047" i="8"/>
  <c r="AG1048" i="8"/>
  <c r="AG1049" i="8"/>
  <c r="AG1050" i="8"/>
  <c r="AG1051" i="8"/>
  <c r="AG1052" i="8"/>
  <c r="AG1053" i="8"/>
  <c r="AG1054" i="8"/>
  <c r="AG1055" i="8"/>
  <c r="AG1056" i="8"/>
  <c r="AG1057" i="8"/>
  <c r="AG1058" i="8"/>
  <c r="AQ1058" i="8" s="1"/>
  <c r="AG1059" i="8"/>
  <c r="AG1060" i="8"/>
  <c r="AG1061" i="8"/>
  <c r="AG1062" i="8"/>
  <c r="AG1063" i="8"/>
  <c r="AG1064" i="8"/>
  <c r="AG1065" i="8"/>
  <c r="AG1066" i="8"/>
  <c r="AG1067" i="8"/>
  <c r="AG1068" i="8"/>
  <c r="AG1069" i="8"/>
  <c r="AG1070" i="8"/>
  <c r="AG1071" i="8"/>
  <c r="AG1072" i="8"/>
  <c r="AG1073" i="8"/>
  <c r="AG1074" i="8"/>
  <c r="AG1075" i="8"/>
  <c r="AG1076" i="8"/>
  <c r="AG1077" i="8"/>
  <c r="AG1078" i="8"/>
  <c r="AG1079" i="8"/>
  <c r="AG1080" i="8"/>
  <c r="AG1081" i="8"/>
  <c r="AG1082" i="8"/>
  <c r="AG1083" i="8"/>
  <c r="AG1084" i="8"/>
  <c r="AG1085" i="8"/>
  <c r="AG1086" i="8"/>
  <c r="AG1087" i="8"/>
  <c r="AG1088" i="8"/>
  <c r="AG1089" i="8"/>
  <c r="AG1090" i="8"/>
  <c r="AR1090" i="8" s="1"/>
  <c r="AG1091" i="8"/>
  <c r="AG1092" i="8"/>
  <c r="AG1093" i="8"/>
  <c r="AG1094" i="8"/>
  <c r="AG1095" i="8"/>
  <c r="AG1096" i="8"/>
  <c r="AG1097" i="8"/>
  <c r="AG1098" i="8"/>
  <c r="AG1099" i="8"/>
  <c r="AG1100" i="8"/>
  <c r="AG1101" i="8"/>
  <c r="AG1102" i="8"/>
  <c r="AG1103" i="8"/>
  <c r="AG1104" i="8"/>
  <c r="AG1105" i="8"/>
  <c r="AG1106" i="8"/>
  <c r="AR1106" i="8" s="1"/>
  <c r="AG1107" i="8"/>
  <c r="AG1108" i="8"/>
  <c r="AG1109" i="8"/>
  <c r="AG1110" i="8"/>
  <c r="AG1111" i="8"/>
  <c r="AG1112" i="8"/>
  <c r="AG1113" i="8"/>
  <c r="AG1114" i="8"/>
  <c r="AG1115" i="8"/>
  <c r="AG1116" i="8"/>
  <c r="AG1117" i="8"/>
  <c r="AG1118" i="8"/>
  <c r="AG1119" i="8"/>
  <c r="AG1120" i="8"/>
  <c r="AG1121" i="8"/>
  <c r="AG1122" i="8"/>
  <c r="AG1123" i="8"/>
  <c r="AG1124" i="8"/>
  <c r="AG1125" i="8"/>
  <c r="AG1126" i="8"/>
  <c r="AG1127" i="8"/>
  <c r="AG1128" i="8"/>
  <c r="AH15" i="8"/>
  <c r="AH16" i="8"/>
  <c r="AH17" i="8"/>
  <c r="AH18" i="8"/>
  <c r="AH19" i="8"/>
  <c r="AH20" i="8"/>
  <c r="AH21" i="8"/>
  <c r="AH22" i="8"/>
  <c r="AH23" i="8"/>
  <c r="AH24" i="8"/>
  <c r="AQ24" i="8" s="1"/>
  <c r="AH25" i="8"/>
  <c r="AH26" i="8"/>
  <c r="AH27" i="8"/>
  <c r="AH28" i="8"/>
  <c r="AH29" i="8"/>
  <c r="AH30" i="8"/>
  <c r="AH31" i="8"/>
  <c r="AH32" i="8"/>
  <c r="AH33" i="8"/>
  <c r="AH34" i="8"/>
  <c r="AH35" i="8"/>
  <c r="AH36" i="8"/>
  <c r="AH37" i="8"/>
  <c r="AH38" i="8"/>
  <c r="AH39" i="8"/>
  <c r="AH40" i="8"/>
  <c r="AQ40" i="8" s="1"/>
  <c r="AH41" i="8"/>
  <c r="AH42" i="8"/>
  <c r="AH43" i="8"/>
  <c r="AH44" i="8"/>
  <c r="AH45" i="8"/>
  <c r="AH46" i="8"/>
  <c r="AH47" i="8"/>
  <c r="AH48" i="8"/>
  <c r="AH49" i="8"/>
  <c r="AH50" i="8"/>
  <c r="AH51" i="8"/>
  <c r="AH52" i="8"/>
  <c r="AH53" i="8"/>
  <c r="AH54" i="8"/>
  <c r="AH55" i="8"/>
  <c r="AH56" i="8"/>
  <c r="AH57" i="8"/>
  <c r="AH58" i="8"/>
  <c r="AH59" i="8"/>
  <c r="AH60" i="8"/>
  <c r="AH61" i="8"/>
  <c r="AH62" i="8"/>
  <c r="AH63" i="8"/>
  <c r="AH64" i="8"/>
  <c r="AH65" i="8"/>
  <c r="AH66" i="8"/>
  <c r="AH67" i="8"/>
  <c r="AH68" i="8"/>
  <c r="AH69" i="8"/>
  <c r="AH70" i="8"/>
  <c r="AH71" i="8"/>
  <c r="AH72" i="8"/>
  <c r="AR72" i="8" s="1"/>
  <c r="AH73" i="8"/>
  <c r="AH74" i="8"/>
  <c r="AH75" i="8"/>
  <c r="AH76" i="8"/>
  <c r="AH77" i="8"/>
  <c r="AH78" i="8"/>
  <c r="AH79" i="8"/>
  <c r="AH80" i="8"/>
  <c r="AH81" i="8"/>
  <c r="AH82" i="8"/>
  <c r="AH83" i="8"/>
  <c r="AH84" i="8"/>
  <c r="AH85" i="8"/>
  <c r="AH86" i="8"/>
  <c r="AH87" i="8"/>
  <c r="AH88" i="8"/>
  <c r="AH89" i="8"/>
  <c r="AH90" i="8"/>
  <c r="AH91" i="8"/>
  <c r="AH92" i="8"/>
  <c r="AH93" i="8"/>
  <c r="AH94" i="8"/>
  <c r="AH95" i="8"/>
  <c r="AH96" i="8"/>
  <c r="AH97" i="8"/>
  <c r="AH98" i="8"/>
  <c r="AH99" i="8"/>
  <c r="AH100" i="8"/>
  <c r="AH101" i="8"/>
  <c r="AH102" i="8"/>
  <c r="AH103" i="8"/>
  <c r="AH104" i="8"/>
  <c r="AH105" i="8"/>
  <c r="AH106" i="8"/>
  <c r="AH107" i="8"/>
  <c r="AH108" i="8"/>
  <c r="AH109" i="8"/>
  <c r="AH110" i="8"/>
  <c r="AH111" i="8"/>
  <c r="AH112" i="8"/>
  <c r="AH113" i="8"/>
  <c r="AH114" i="8"/>
  <c r="AH115" i="8"/>
  <c r="AH116" i="8"/>
  <c r="AH117" i="8"/>
  <c r="AH118" i="8"/>
  <c r="AH119" i="8"/>
  <c r="AH120" i="8"/>
  <c r="AQ120" i="8" s="1"/>
  <c r="AH121" i="8"/>
  <c r="AH122" i="8"/>
  <c r="AH123" i="8"/>
  <c r="AH124" i="8"/>
  <c r="AH125" i="8"/>
  <c r="AH126" i="8"/>
  <c r="AH127" i="8"/>
  <c r="AH128" i="8"/>
  <c r="AH129" i="8"/>
  <c r="AH130" i="8"/>
  <c r="AH131" i="8"/>
  <c r="AH132" i="8"/>
  <c r="AH133" i="8"/>
  <c r="AH134" i="8"/>
  <c r="AH135" i="8"/>
  <c r="AH136" i="8"/>
  <c r="AR136" i="8" s="1"/>
  <c r="AH137" i="8"/>
  <c r="AH138" i="8"/>
  <c r="AH139" i="8"/>
  <c r="AH140" i="8"/>
  <c r="AH141" i="8"/>
  <c r="AH142" i="8"/>
  <c r="AH143" i="8"/>
  <c r="AH144" i="8"/>
  <c r="AH145" i="8"/>
  <c r="AH146" i="8"/>
  <c r="AH147" i="8"/>
  <c r="AH148" i="8"/>
  <c r="AH149" i="8"/>
  <c r="AH150" i="8"/>
  <c r="AH151" i="8"/>
  <c r="AH152" i="8"/>
  <c r="AH153" i="8"/>
  <c r="AH154" i="8"/>
  <c r="AH155" i="8"/>
  <c r="AH156" i="8"/>
  <c r="AH157" i="8"/>
  <c r="AH158" i="8"/>
  <c r="AH159" i="8"/>
  <c r="AH160" i="8"/>
  <c r="AH161" i="8"/>
  <c r="AH162" i="8"/>
  <c r="AH163" i="8"/>
  <c r="AH164" i="8"/>
  <c r="AH165" i="8"/>
  <c r="AH166" i="8"/>
  <c r="AH167" i="8"/>
  <c r="AH168" i="8"/>
  <c r="AR168" i="8" s="1"/>
  <c r="AH169" i="8"/>
  <c r="AH170" i="8"/>
  <c r="AH171" i="8"/>
  <c r="AH172" i="8"/>
  <c r="AH173" i="8"/>
  <c r="AH174" i="8"/>
  <c r="AH175" i="8"/>
  <c r="AH176" i="8"/>
  <c r="AH177" i="8"/>
  <c r="AH178" i="8"/>
  <c r="AH179" i="8"/>
  <c r="AH180" i="8"/>
  <c r="AH181" i="8"/>
  <c r="AH182" i="8"/>
  <c r="AH183" i="8"/>
  <c r="AH184" i="8"/>
  <c r="AQ184" i="8" s="1"/>
  <c r="AH185" i="8"/>
  <c r="AH186" i="8"/>
  <c r="AH187" i="8"/>
  <c r="AH188" i="8"/>
  <c r="AH189" i="8"/>
  <c r="AH190" i="8"/>
  <c r="AH191" i="8"/>
  <c r="AH192" i="8"/>
  <c r="AH193" i="8"/>
  <c r="AH194" i="8"/>
  <c r="AH195" i="8"/>
  <c r="AH196" i="8"/>
  <c r="AH197" i="8"/>
  <c r="AH198" i="8"/>
  <c r="AH199" i="8"/>
  <c r="AH200" i="8"/>
  <c r="AH201" i="8"/>
  <c r="AH202" i="8"/>
  <c r="AH203" i="8"/>
  <c r="AH204" i="8"/>
  <c r="AH205" i="8"/>
  <c r="AH206" i="8"/>
  <c r="AH207" i="8"/>
  <c r="AH208" i="8"/>
  <c r="AH209" i="8"/>
  <c r="AH210" i="8"/>
  <c r="AH211" i="8"/>
  <c r="AH212" i="8"/>
  <c r="AH213" i="8"/>
  <c r="AH214" i="8"/>
  <c r="AH215" i="8"/>
  <c r="AH216" i="8"/>
  <c r="AR216" i="8" s="1"/>
  <c r="AH217" i="8"/>
  <c r="AH218" i="8"/>
  <c r="AH219" i="8"/>
  <c r="AH220" i="8"/>
  <c r="AH221" i="8"/>
  <c r="AH222" i="8"/>
  <c r="AH223" i="8"/>
  <c r="AH224" i="8"/>
  <c r="AH225" i="8"/>
  <c r="AH226" i="8"/>
  <c r="AH227" i="8"/>
  <c r="AH228" i="8"/>
  <c r="AH229" i="8"/>
  <c r="AH230" i="8"/>
  <c r="AH231" i="8"/>
  <c r="AH232" i="8"/>
  <c r="AR232" i="8" s="1"/>
  <c r="AH233" i="8"/>
  <c r="AH234" i="8"/>
  <c r="AH235" i="8"/>
  <c r="AH236" i="8"/>
  <c r="AH237" i="8"/>
  <c r="AH238" i="8"/>
  <c r="AH239" i="8"/>
  <c r="AH240" i="8"/>
  <c r="AH241" i="8"/>
  <c r="AH242" i="8"/>
  <c r="AH243" i="8"/>
  <c r="AH244" i="8"/>
  <c r="AH245" i="8"/>
  <c r="AH246" i="8"/>
  <c r="AH247" i="8"/>
  <c r="AH248" i="8"/>
  <c r="AH249" i="8"/>
  <c r="AH250" i="8"/>
  <c r="AH251" i="8"/>
  <c r="AH252" i="8"/>
  <c r="AH253" i="8"/>
  <c r="AH254" i="8"/>
  <c r="AH255" i="8"/>
  <c r="AH256" i="8"/>
  <c r="AH257" i="8"/>
  <c r="AH258" i="8"/>
  <c r="AH259" i="8"/>
  <c r="AH260" i="8"/>
  <c r="AH261" i="8"/>
  <c r="AH262" i="8"/>
  <c r="AH263" i="8"/>
  <c r="AH264" i="8"/>
  <c r="AQ264" i="8" s="1"/>
  <c r="AH265" i="8"/>
  <c r="AH266" i="8"/>
  <c r="AH267" i="8"/>
  <c r="AH268" i="8"/>
  <c r="AH269" i="8"/>
  <c r="AH270" i="8"/>
  <c r="AH271" i="8"/>
  <c r="AH272" i="8"/>
  <c r="AH273" i="8"/>
  <c r="AH274" i="8"/>
  <c r="AH275" i="8"/>
  <c r="AH276" i="8"/>
  <c r="AH277" i="8"/>
  <c r="AH278" i="8"/>
  <c r="AH279" i="8"/>
  <c r="AH280" i="8"/>
  <c r="AQ280" i="8" s="1"/>
  <c r="AH281" i="8"/>
  <c r="AH282" i="8"/>
  <c r="AH283" i="8"/>
  <c r="AH284" i="8"/>
  <c r="AH285" i="8"/>
  <c r="AH286" i="8"/>
  <c r="AH287" i="8"/>
  <c r="AH288" i="8"/>
  <c r="AH289" i="8"/>
  <c r="AH290" i="8"/>
  <c r="AH291" i="8"/>
  <c r="AH292" i="8"/>
  <c r="AH293" i="8"/>
  <c r="AH294" i="8"/>
  <c r="AH295" i="8"/>
  <c r="AH296" i="8"/>
  <c r="AH297" i="8"/>
  <c r="AH298" i="8"/>
  <c r="AH299" i="8"/>
  <c r="AH300" i="8"/>
  <c r="AH301" i="8"/>
  <c r="AH302" i="8"/>
  <c r="AH303" i="8"/>
  <c r="AH304" i="8"/>
  <c r="AH305" i="8"/>
  <c r="AH306" i="8"/>
  <c r="AH307" i="8"/>
  <c r="AH308" i="8"/>
  <c r="AH309" i="8"/>
  <c r="AH310" i="8"/>
  <c r="AH311" i="8"/>
  <c r="AH312" i="8"/>
  <c r="AR312" i="8" s="1"/>
  <c r="AH313" i="8"/>
  <c r="AH314" i="8"/>
  <c r="AH315" i="8"/>
  <c r="AH316" i="8"/>
  <c r="AH317" i="8"/>
  <c r="AH318" i="8"/>
  <c r="AH319" i="8"/>
  <c r="AH320" i="8"/>
  <c r="AH321" i="8"/>
  <c r="AH322" i="8"/>
  <c r="AH323" i="8"/>
  <c r="AH324" i="8"/>
  <c r="AH325" i="8"/>
  <c r="AH326" i="8"/>
  <c r="AH327" i="8"/>
  <c r="AH328" i="8"/>
  <c r="AR328" i="8" s="1"/>
  <c r="AH329" i="8"/>
  <c r="AH330" i="8"/>
  <c r="AH331" i="8"/>
  <c r="AH332" i="8"/>
  <c r="AH333" i="8"/>
  <c r="AH334" i="8"/>
  <c r="AH335" i="8"/>
  <c r="AH336" i="8"/>
  <c r="AH337" i="8"/>
  <c r="AH338" i="8"/>
  <c r="AH339" i="8"/>
  <c r="AH340" i="8"/>
  <c r="AH341" i="8"/>
  <c r="AH342" i="8"/>
  <c r="AH343" i="8"/>
  <c r="AH344" i="8"/>
  <c r="AH345" i="8"/>
  <c r="AH346" i="8"/>
  <c r="AH347" i="8"/>
  <c r="AH348" i="8"/>
  <c r="AH349" i="8"/>
  <c r="AH350" i="8"/>
  <c r="AH351" i="8"/>
  <c r="AH352" i="8"/>
  <c r="AH353" i="8"/>
  <c r="AH354" i="8"/>
  <c r="AH355" i="8"/>
  <c r="AH356" i="8"/>
  <c r="AH357" i="8"/>
  <c r="AH358" i="8"/>
  <c r="AH359" i="8"/>
  <c r="AH360" i="8"/>
  <c r="AH361" i="8"/>
  <c r="AH362" i="8"/>
  <c r="AH363" i="8"/>
  <c r="AH364" i="8"/>
  <c r="AH365" i="8"/>
  <c r="AH366" i="8"/>
  <c r="AH367" i="8"/>
  <c r="AH368" i="8"/>
  <c r="AH369" i="8"/>
  <c r="AH370" i="8"/>
  <c r="AH371" i="8"/>
  <c r="AH372" i="8"/>
  <c r="AH373" i="8"/>
  <c r="AH374" i="8"/>
  <c r="AH375" i="8"/>
  <c r="AH376" i="8"/>
  <c r="AH377" i="8"/>
  <c r="AH378" i="8"/>
  <c r="AH379" i="8"/>
  <c r="AH380" i="8"/>
  <c r="AH381" i="8"/>
  <c r="AH382" i="8"/>
  <c r="AH383" i="8"/>
  <c r="AH384" i="8"/>
  <c r="AH385" i="8"/>
  <c r="AH386" i="8"/>
  <c r="AH387" i="8"/>
  <c r="AH388" i="8"/>
  <c r="AH389" i="8"/>
  <c r="AH390" i="8"/>
  <c r="AH391" i="8"/>
  <c r="AH392" i="8"/>
  <c r="AH393" i="8"/>
  <c r="AH394" i="8"/>
  <c r="AH395" i="8"/>
  <c r="AH396" i="8"/>
  <c r="AH397" i="8"/>
  <c r="AH398" i="8"/>
  <c r="AH399" i="8"/>
  <c r="AH400" i="8"/>
  <c r="AH401" i="8"/>
  <c r="AH402" i="8"/>
  <c r="AH403" i="8"/>
  <c r="AH404" i="8"/>
  <c r="AH405" i="8"/>
  <c r="AH406" i="8"/>
  <c r="AH407" i="8"/>
  <c r="AH408" i="8"/>
  <c r="AR408" i="8" s="1"/>
  <c r="AH409" i="8"/>
  <c r="AH410" i="8"/>
  <c r="AH411" i="8"/>
  <c r="AH412" i="8"/>
  <c r="AH413" i="8"/>
  <c r="AH414" i="8"/>
  <c r="AH415" i="8"/>
  <c r="AH416" i="8"/>
  <c r="AH417" i="8"/>
  <c r="AH418" i="8"/>
  <c r="AH419" i="8"/>
  <c r="AH420" i="8"/>
  <c r="AH421" i="8"/>
  <c r="AH422" i="8"/>
  <c r="AH423" i="8"/>
  <c r="AH424" i="8"/>
  <c r="AR424" i="8" s="1"/>
  <c r="AH425" i="8"/>
  <c r="AH426" i="8"/>
  <c r="AH427" i="8"/>
  <c r="AH428" i="8"/>
  <c r="AH429" i="8"/>
  <c r="AH430" i="8"/>
  <c r="AH431" i="8"/>
  <c r="AH432" i="8"/>
  <c r="AH433" i="8"/>
  <c r="AH434" i="8"/>
  <c r="AH435" i="8"/>
  <c r="AH436" i="8"/>
  <c r="AH437" i="8"/>
  <c r="AH438" i="8"/>
  <c r="AH439" i="8"/>
  <c r="AH440" i="8"/>
  <c r="AH441" i="8"/>
  <c r="AH442" i="8"/>
  <c r="AH443" i="8"/>
  <c r="AH444" i="8"/>
  <c r="AH445" i="8"/>
  <c r="AH446" i="8"/>
  <c r="AH447" i="8"/>
  <c r="AH448" i="8"/>
  <c r="AH449" i="8"/>
  <c r="AH450" i="8"/>
  <c r="AH451" i="8"/>
  <c r="AH452" i="8"/>
  <c r="AH453" i="8"/>
  <c r="AH454" i="8"/>
  <c r="AH455" i="8"/>
  <c r="AH456" i="8"/>
  <c r="AR456" i="8" s="1"/>
  <c r="AH457" i="8"/>
  <c r="AH458" i="8"/>
  <c r="AH459" i="8"/>
  <c r="AH460" i="8"/>
  <c r="AH461" i="8"/>
  <c r="AH462" i="8"/>
  <c r="AH463" i="8"/>
  <c r="AH464" i="8"/>
  <c r="AH465" i="8"/>
  <c r="AH466" i="8"/>
  <c r="AH467" i="8"/>
  <c r="AH468" i="8"/>
  <c r="AH469" i="8"/>
  <c r="AH470" i="8"/>
  <c r="AH471" i="8"/>
  <c r="AH472" i="8"/>
  <c r="AR472" i="8" s="1"/>
  <c r="AH473" i="8"/>
  <c r="AH474" i="8"/>
  <c r="AH475" i="8"/>
  <c r="AH476" i="8"/>
  <c r="AH477" i="8"/>
  <c r="AH478" i="8"/>
  <c r="AH479" i="8"/>
  <c r="AH480" i="8"/>
  <c r="AH481" i="8"/>
  <c r="AH482" i="8"/>
  <c r="AH483" i="8"/>
  <c r="AH484" i="8"/>
  <c r="AH485" i="8"/>
  <c r="AH486" i="8"/>
  <c r="AH487" i="8"/>
  <c r="AH488" i="8"/>
  <c r="AH489" i="8"/>
  <c r="AH490" i="8"/>
  <c r="AH491" i="8"/>
  <c r="AH492" i="8"/>
  <c r="AH493" i="8"/>
  <c r="AH494" i="8"/>
  <c r="AH495" i="8"/>
  <c r="AH496" i="8"/>
  <c r="AH497" i="8"/>
  <c r="AH498" i="8"/>
  <c r="AH499" i="8"/>
  <c r="AH500" i="8"/>
  <c r="AH501" i="8"/>
  <c r="AH502" i="8"/>
  <c r="AH503" i="8"/>
  <c r="AH504" i="8"/>
  <c r="AR504" i="8" s="1"/>
  <c r="AH505" i="8"/>
  <c r="AH506" i="8"/>
  <c r="AH507" i="8"/>
  <c r="AH508" i="8"/>
  <c r="AH509" i="8"/>
  <c r="AH510" i="8"/>
  <c r="AH511" i="8"/>
  <c r="AH512" i="8"/>
  <c r="AH513" i="8"/>
  <c r="AH514" i="8"/>
  <c r="AH515" i="8"/>
  <c r="AH516" i="8"/>
  <c r="AH517" i="8"/>
  <c r="AH518" i="8"/>
  <c r="AH519" i="8"/>
  <c r="AH520" i="8"/>
  <c r="AH521" i="8"/>
  <c r="AH522" i="8"/>
  <c r="AH523" i="8"/>
  <c r="AH524" i="8"/>
  <c r="AH525" i="8"/>
  <c r="AH526" i="8"/>
  <c r="AH527" i="8"/>
  <c r="AH528" i="8"/>
  <c r="AH529" i="8"/>
  <c r="AH530" i="8"/>
  <c r="AH531" i="8"/>
  <c r="AH532" i="8"/>
  <c r="AH533" i="8"/>
  <c r="AH534" i="8"/>
  <c r="AH535" i="8"/>
  <c r="AH536" i="8"/>
  <c r="AH537" i="8"/>
  <c r="AH538" i="8"/>
  <c r="AH539" i="8"/>
  <c r="AH540" i="8"/>
  <c r="AH541" i="8"/>
  <c r="AH542" i="8"/>
  <c r="AH543" i="8"/>
  <c r="AH544" i="8"/>
  <c r="AH545" i="8"/>
  <c r="AH546" i="8"/>
  <c r="AH547" i="8"/>
  <c r="AH548" i="8"/>
  <c r="AH549" i="8"/>
  <c r="AH550" i="8"/>
  <c r="AH551" i="8"/>
  <c r="AH552" i="8"/>
  <c r="AQ552" i="8" s="1"/>
  <c r="AH553" i="8"/>
  <c r="AH554" i="8"/>
  <c r="AH555" i="8"/>
  <c r="AH556" i="8"/>
  <c r="AH557" i="8"/>
  <c r="AH558" i="8"/>
  <c r="AH559" i="8"/>
  <c r="AH560" i="8"/>
  <c r="AH561" i="8"/>
  <c r="AH562" i="8"/>
  <c r="AH563" i="8"/>
  <c r="AH564" i="8"/>
  <c r="AH565" i="8"/>
  <c r="AH566" i="8"/>
  <c r="AH567" i="8"/>
  <c r="AH568" i="8"/>
  <c r="AH569" i="8"/>
  <c r="AH570" i="8"/>
  <c r="AH571" i="8"/>
  <c r="AH572" i="8"/>
  <c r="AH573" i="8"/>
  <c r="AH574" i="8"/>
  <c r="AH575" i="8"/>
  <c r="AH576" i="8"/>
  <c r="AH577" i="8"/>
  <c r="AH578" i="8"/>
  <c r="AH579" i="8"/>
  <c r="AH580" i="8"/>
  <c r="AH581" i="8"/>
  <c r="AH582" i="8"/>
  <c r="AH583" i="8"/>
  <c r="AH584" i="8"/>
  <c r="AH585" i="8"/>
  <c r="AH586" i="8"/>
  <c r="AH587" i="8"/>
  <c r="AH588" i="8"/>
  <c r="AH589" i="8"/>
  <c r="AH590" i="8"/>
  <c r="AH591" i="8"/>
  <c r="AH592" i="8"/>
  <c r="AH593" i="8"/>
  <c r="AH594" i="8"/>
  <c r="AH595" i="8"/>
  <c r="AH596" i="8"/>
  <c r="AH597" i="8"/>
  <c r="AH598" i="8"/>
  <c r="AH599" i="8"/>
  <c r="AH600" i="8"/>
  <c r="AQ600" i="8" s="1"/>
  <c r="AH601" i="8"/>
  <c r="AH602" i="8"/>
  <c r="AH603" i="8"/>
  <c r="AH604" i="8"/>
  <c r="AH605" i="8"/>
  <c r="AH606" i="8"/>
  <c r="AH607" i="8"/>
  <c r="AH608" i="8"/>
  <c r="AH609" i="8"/>
  <c r="AH610" i="8"/>
  <c r="AH611" i="8"/>
  <c r="AH612" i="8"/>
  <c r="AH613" i="8"/>
  <c r="AH614" i="8"/>
  <c r="AH615" i="8"/>
  <c r="AH616" i="8"/>
  <c r="AQ616" i="8" s="1"/>
  <c r="AH617" i="8"/>
  <c r="AH618" i="8"/>
  <c r="AH619" i="8"/>
  <c r="AH620" i="8"/>
  <c r="AH621" i="8"/>
  <c r="AH622" i="8"/>
  <c r="AH623" i="8"/>
  <c r="AH624" i="8"/>
  <c r="AH625" i="8"/>
  <c r="AH626" i="8"/>
  <c r="AH627" i="8"/>
  <c r="AH628" i="8"/>
  <c r="AH629" i="8"/>
  <c r="AH630" i="8"/>
  <c r="AH631" i="8"/>
  <c r="AH632" i="8"/>
  <c r="AH633" i="8"/>
  <c r="AH634" i="8"/>
  <c r="AH635" i="8"/>
  <c r="AH636" i="8"/>
  <c r="AH637" i="8"/>
  <c r="AH638" i="8"/>
  <c r="AH639" i="8"/>
  <c r="AH640" i="8"/>
  <c r="AH641" i="8"/>
  <c r="AH642" i="8"/>
  <c r="AH643" i="8"/>
  <c r="AH644" i="8"/>
  <c r="AH645" i="8"/>
  <c r="AH646" i="8"/>
  <c r="AH647" i="8"/>
  <c r="AH648" i="8"/>
  <c r="AR648" i="8" s="1"/>
  <c r="AH649" i="8"/>
  <c r="AH650" i="8"/>
  <c r="AH651" i="8"/>
  <c r="AH652" i="8"/>
  <c r="AH653" i="8"/>
  <c r="AH654" i="8"/>
  <c r="AH655" i="8"/>
  <c r="AH656" i="8"/>
  <c r="AH657" i="8"/>
  <c r="AH658" i="8"/>
  <c r="AH659" i="8"/>
  <c r="AH660" i="8"/>
  <c r="AH661" i="8"/>
  <c r="AH662" i="8"/>
  <c r="AH663" i="8"/>
  <c r="AH664" i="8"/>
  <c r="AH665" i="8"/>
  <c r="AH666" i="8"/>
  <c r="AH667" i="8"/>
  <c r="AH668" i="8"/>
  <c r="AH669" i="8"/>
  <c r="AH670" i="8"/>
  <c r="AH671" i="8"/>
  <c r="AH672" i="8"/>
  <c r="AH673" i="8"/>
  <c r="AH674" i="8"/>
  <c r="AH675" i="8"/>
  <c r="AH676" i="8"/>
  <c r="AH677" i="8"/>
  <c r="AH678" i="8"/>
  <c r="AH679" i="8"/>
  <c r="AH680" i="8"/>
  <c r="AH681" i="8"/>
  <c r="AH682" i="8"/>
  <c r="AH683" i="8"/>
  <c r="AH684" i="8"/>
  <c r="AH685" i="8"/>
  <c r="AH686" i="8"/>
  <c r="AH687" i="8"/>
  <c r="AH688" i="8"/>
  <c r="AH689" i="8"/>
  <c r="AH690" i="8"/>
  <c r="AH691" i="8"/>
  <c r="AH692" i="8"/>
  <c r="AH693" i="8"/>
  <c r="AH694" i="8"/>
  <c r="AH695" i="8"/>
  <c r="AH696" i="8"/>
  <c r="AR696" i="8" s="1"/>
  <c r="AH697" i="8"/>
  <c r="AH698" i="8"/>
  <c r="AH699" i="8"/>
  <c r="AH700" i="8"/>
  <c r="AH701" i="8"/>
  <c r="AH702" i="8"/>
  <c r="AH703" i="8"/>
  <c r="AH704" i="8"/>
  <c r="AH705" i="8"/>
  <c r="AH706" i="8"/>
  <c r="AH707" i="8"/>
  <c r="AH708" i="8"/>
  <c r="AH709" i="8"/>
  <c r="AH710" i="8"/>
  <c r="AH711" i="8"/>
  <c r="AH712" i="8"/>
  <c r="AQ712" i="8" s="1"/>
  <c r="AH713" i="8"/>
  <c r="AH714" i="8"/>
  <c r="AH715" i="8"/>
  <c r="AH716" i="8"/>
  <c r="AH717" i="8"/>
  <c r="AH718" i="8"/>
  <c r="AH719" i="8"/>
  <c r="AH720" i="8"/>
  <c r="AH721" i="8"/>
  <c r="AH722" i="8"/>
  <c r="AH723" i="8"/>
  <c r="AH724" i="8"/>
  <c r="AH725" i="8"/>
  <c r="AH726" i="8"/>
  <c r="AH727" i="8"/>
  <c r="AH728" i="8"/>
  <c r="AH729" i="8"/>
  <c r="AH730" i="8"/>
  <c r="AH731" i="8"/>
  <c r="AH732" i="8"/>
  <c r="AH733" i="8"/>
  <c r="AH734" i="8"/>
  <c r="AH735" i="8"/>
  <c r="AH736" i="8"/>
  <c r="AH737" i="8"/>
  <c r="AH738" i="8"/>
  <c r="AH739" i="8"/>
  <c r="AH740" i="8"/>
  <c r="AH741" i="8"/>
  <c r="AH742" i="8"/>
  <c r="AH743" i="8"/>
  <c r="AH744" i="8"/>
  <c r="AQ744" i="8" s="1"/>
  <c r="AH745" i="8"/>
  <c r="AH746" i="8"/>
  <c r="AH747" i="8"/>
  <c r="AH748" i="8"/>
  <c r="AH749" i="8"/>
  <c r="AH750" i="8"/>
  <c r="AH751" i="8"/>
  <c r="AH752" i="8"/>
  <c r="AH753" i="8"/>
  <c r="AH754" i="8"/>
  <c r="AH755" i="8"/>
  <c r="AH756" i="8"/>
  <c r="AH757" i="8"/>
  <c r="AH758" i="8"/>
  <c r="AH759" i="8"/>
  <c r="AH760" i="8"/>
  <c r="AQ760" i="8" s="1"/>
  <c r="AH761" i="8"/>
  <c r="AH762" i="8"/>
  <c r="AH763" i="8"/>
  <c r="AH764" i="8"/>
  <c r="AH765" i="8"/>
  <c r="AH766" i="8"/>
  <c r="AH767" i="8"/>
  <c r="AH768" i="8"/>
  <c r="AH769" i="8"/>
  <c r="AH770" i="8"/>
  <c r="AH771" i="8"/>
  <c r="AH772" i="8"/>
  <c r="AH773" i="8"/>
  <c r="AH774" i="8"/>
  <c r="AH775" i="8"/>
  <c r="AH776" i="8"/>
  <c r="AH777" i="8"/>
  <c r="AH778" i="8"/>
  <c r="AH779" i="8"/>
  <c r="AH780" i="8"/>
  <c r="AH781" i="8"/>
  <c r="AH782" i="8"/>
  <c r="AH783" i="8"/>
  <c r="AH784" i="8"/>
  <c r="AH785" i="8"/>
  <c r="AH786" i="8"/>
  <c r="AH787" i="8"/>
  <c r="AH788" i="8"/>
  <c r="AH789" i="8"/>
  <c r="AH790" i="8"/>
  <c r="AH791" i="8"/>
  <c r="AH792" i="8"/>
  <c r="AR792" i="8" s="1"/>
  <c r="AH793" i="8"/>
  <c r="AH794" i="8"/>
  <c r="AH795" i="8"/>
  <c r="AH796" i="8"/>
  <c r="AH797" i="8"/>
  <c r="AH798" i="8"/>
  <c r="AH799" i="8"/>
  <c r="AH800" i="8"/>
  <c r="AH801" i="8"/>
  <c r="AH802" i="8"/>
  <c r="AH803" i="8"/>
  <c r="AH804" i="8"/>
  <c r="AH805" i="8"/>
  <c r="AH806" i="8"/>
  <c r="AH807" i="8"/>
  <c r="AH808" i="8"/>
  <c r="AH809" i="8"/>
  <c r="AH810" i="8"/>
  <c r="AH811" i="8"/>
  <c r="AH812" i="8"/>
  <c r="AH813" i="8"/>
  <c r="AH814" i="8"/>
  <c r="AH815" i="8"/>
  <c r="AH816" i="8"/>
  <c r="AH817" i="8"/>
  <c r="AH818" i="8"/>
  <c r="AH819" i="8"/>
  <c r="AH820" i="8"/>
  <c r="AH821" i="8"/>
  <c r="AH822" i="8"/>
  <c r="AH823" i="8"/>
  <c r="AH824" i="8"/>
  <c r="AR824" i="8" s="1"/>
  <c r="AH825" i="8"/>
  <c r="AH826" i="8"/>
  <c r="AH827" i="8"/>
  <c r="AH828" i="8"/>
  <c r="AH829" i="8"/>
  <c r="AH830" i="8"/>
  <c r="AH831" i="8"/>
  <c r="AH832" i="8"/>
  <c r="AH833" i="8"/>
  <c r="AH834" i="8"/>
  <c r="AH835" i="8"/>
  <c r="AH836" i="8"/>
  <c r="AH837" i="8"/>
  <c r="AH838" i="8"/>
  <c r="AH839" i="8"/>
  <c r="AH840" i="8"/>
  <c r="AQ840" i="8" s="1"/>
  <c r="AH841" i="8"/>
  <c r="AH842" i="8"/>
  <c r="AH843" i="8"/>
  <c r="AH844" i="8"/>
  <c r="AH845" i="8"/>
  <c r="AH846" i="8"/>
  <c r="AH847" i="8"/>
  <c r="AH848" i="8"/>
  <c r="AH849" i="8"/>
  <c r="AH850" i="8"/>
  <c r="AH851" i="8"/>
  <c r="AH852" i="8"/>
  <c r="AH853" i="8"/>
  <c r="AH854" i="8"/>
  <c r="AH855" i="8"/>
  <c r="AH856" i="8"/>
  <c r="AR856" i="8" s="1"/>
  <c r="AH857" i="8"/>
  <c r="AH858" i="8"/>
  <c r="AH859" i="8"/>
  <c r="AH860" i="8"/>
  <c r="AH861" i="8"/>
  <c r="AH862" i="8"/>
  <c r="AH863" i="8"/>
  <c r="AH864" i="8"/>
  <c r="AH865" i="8"/>
  <c r="AH866" i="8"/>
  <c r="AH867" i="8"/>
  <c r="AH868" i="8"/>
  <c r="AH869" i="8"/>
  <c r="AH870" i="8"/>
  <c r="AH871" i="8"/>
  <c r="AH872" i="8"/>
  <c r="AH873" i="8"/>
  <c r="AH874" i="8"/>
  <c r="AH875" i="8"/>
  <c r="AH876" i="8"/>
  <c r="AH877" i="8"/>
  <c r="AH878" i="8"/>
  <c r="AH879" i="8"/>
  <c r="AH880" i="8"/>
  <c r="AH881" i="8"/>
  <c r="AH882" i="8"/>
  <c r="AH883" i="8"/>
  <c r="AH884" i="8"/>
  <c r="AH885" i="8"/>
  <c r="AH886" i="8"/>
  <c r="AH887" i="8"/>
  <c r="AH888" i="8"/>
  <c r="AR888" i="8" s="1"/>
  <c r="AH889" i="8"/>
  <c r="AH890" i="8"/>
  <c r="AH891" i="8"/>
  <c r="AH892" i="8"/>
  <c r="AH893" i="8"/>
  <c r="AH894" i="8"/>
  <c r="AH895" i="8"/>
  <c r="AH896" i="8"/>
  <c r="AH897" i="8"/>
  <c r="AH898" i="8"/>
  <c r="AH899" i="8"/>
  <c r="AH900" i="8"/>
  <c r="AH901" i="8"/>
  <c r="AH902" i="8"/>
  <c r="AH903" i="8"/>
  <c r="AH904" i="8"/>
  <c r="AQ904" i="8" s="1"/>
  <c r="AH905" i="8"/>
  <c r="AH906" i="8"/>
  <c r="AH907" i="8"/>
  <c r="AH908" i="8"/>
  <c r="AH909" i="8"/>
  <c r="AH910" i="8"/>
  <c r="AH911" i="8"/>
  <c r="AH912" i="8"/>
  <c r="AH913" i="8"/>
  <c r="AH914" i="8"/>
  <c r="AH915" i="8"/>
  <c r="AH916" i="8"/>
  <c r="AH917" i="8"/>
  <c r="AH918" i="8"/>
  <c r="AH919" i="8"/>
  <c r="AH920" i="8"/>
  <c r="AH921" i="8"/>
  <c r="AH922" i="8"/>
  <c r="AH923" i="8"/>
  <c r="AH924" i="8"/>
  <c r="AH925" i="8"/>
  <c r="AH926" i="8"/>
  <c r="AH927" i="8"/>
  <c r="AH928" i="8"/>
  <c r="AH929" i="8"/>
  <c r="AH930" i="8"/>
  <c r="AH931" i="8"/>
  <c r="AH932" i="8"/>
  <c r="AH933" i="8"/>
  <c r="AH934" i="8"/>
  <c r="AH935" i="8"/>
  <c r="AH936" i="8"/>
  <c r="AR936" i="8" s="1"/>
  <c r="AH937" i="8"/>
  <c r="AH938" i="8"/>
  <c r="AH939" i="8"/>
  <c r="AH940" i="8"/>
  <c r="AH941" i="8"/>
  <c r="AH942" i="8"/>
  <c r="AH943" i="8"/>
  <c r="AH944" i="8"/>
  <c r="AH945" i="8"/>
  <c r="AH946" i="8"/>
  <c r="AH947" i="8"/>
  <c r="AH948" i="8"/>
  <c r="AH949" i="8"/>
  <c r="AH950" i="8"/>
  <c r="AH951" i="8"/>
  <c r="AH952" i="8"/>
  <c r="AH953" i="8"/>
  <c r="AH954" i="8"/>
  <c r="AH955" i="8"/>
  <c r="AH956" i="8"/>
  <c r="AH957" i="8"/>
  <c r="AH958" i="8"/>
  <c r="AH959" i="8"/>
  <c r="AH960" i="8"/>
  <c r="AH961" i="8"/>
  <c r="AH962" i="8"/>
  <c r="AH963" i="8"/>
  <c r="AH964" i="8"/>
  <c r="AH965" i="8"/>
  <c r="AH966" i="8"/>
  <c r="AH967" i="8"/>
  <c r="AH968" i="8"/>
  <c r="AH969" i="8"/>
  <c r="AH970" i="8"/>
  <c r="AH971" i="8"/>
  <c r="AH972" i="8"/>
  <c r="AH973" i="8"/>
  <c r="AH974" i="8"/>
  <c r="AH975" i="8"/>
  <c r="AH976" i="8"/>
  <c r="AH977" i="8"/>
  <c r="AH978" i="8"/>
  <c r="AH979" i="8"/>
  <c r="AH980" i="8"/>
  <c r="AH981" i="8"/>
  <c r="AH982" i="8"/>
  <c r="AH983" i="8"/>
  <c r="AH984" i="8"/>
  <c r="AR984" i="8" s="1"/>
  <c r="AH985" i="8"/>
  <c r="AH986" i="8"/>
  <c r="AH987" i="8"/>
  <c r="AH988" i="8"/>
  <c r="AH989" i="8"/>
  <c r="AH990" i="8"/>
  <c r="AH991" i="8"/>
  <c r="AH992" i="8"/>
  <c r="AH993" i="8"/>
  <c r="AH994" i="8"/>
  <c r="AH995" i="8"/>
  <c r="AH996" i="8"/>
  <c r="AH997" i="8"/>
  <c r="AH998" i="8"/>
  <c r="AH999" i="8"/>
  <c r="AH1000" i="8"/>
  <c r="AQ1000" i="8" s="1"/>
  <c r="AH1001" i="8"/>
  <c r="AH1002" i="8"/>
  <c r="AH1003" i="8"/>
  <c r="AH1004" i="8"/>
  <c r="AH1005" i="8"/>
  <c r="AH1006" i="8"/>
  <c r="AH1007" i="8"/>
  <c r="AH1008" i="8"/>
  <c r="AH1009" i="8"/>
  <c r="AH1010" i="8"/>
  <c r="AH1011" i="8"/>
  <c r="AH1012" i="8"/>
  <c r="AH1013" i="8"/>
  <c r="AH1014" i="8"/>
  <c r="AH1015" i="8"/>
  <c r="AH1016" i="8"/>
  <c r="AH1017" i="8"/>
  <c r="AH1018" i="8"/>
  <c r="AH1019" i="8"/>
  <c r="AH1020" i="8"/>
  <c r="AH1021" i="8"/>
  <c r="AH1022" i="8"/>
  <c r="AH1023" i="8"/>
  <c r="AH1024" i="8"/>
  <c r="AH1025" i="8"/>
  <c r="AH1026" i="8"/>
  <c r="AH1027" i="8"/>
  <c r="AH1028" i="8"/>
  <c r="AH1029" i="8"/>
  <c r="AH1030" i="8"/>
  <c r="AH1031" i="8"/>
  <c r="AH1032" i="8"/>
  <c r="AR1032" i="8" s="1"/>
  <c r="AH1033" i="8"/>
  <c r="AH1034" i="8"/>
  <c r="AH1035" i="8"/>
  <c r="AH1036" i="8"/>
  <c r="AH1037" i="8"/>
  <c r="AH1038" i="8"/>
  <c r="AH1039" i="8"/>
  <c r="AH1040" i="8"/>
  <c r="AH1041" i="8"/>
  <c r="AH1042" i="8"/>
  <c r="AH1043" i="8"/>
  <c r="AH1044" i="8"/>
  <c r="AH1045" i="8"/>
  <c r="AH1046" i="8"/>
  <c r="AH1047" i="8"/>
  <c r="AH1048" i="8"/>
  <c r="AQ1048" i="8" s="1"/>
  <c r="AH1049" i="8"/>
  <c r="AH1050" i="8"/>
  <c r="AH1051" i="8"/>
  <c r="AH1052" i="8"/>
  <c r="AH1053" i="8"/>
  <c r="AH1054" i="8"/>
  <c r="AH1055" i="8"/>
  <c r="AH1056" i="8"/>
  <c r="AH1057" i="8"/>
  <c r="AH1058" i="8"/>
  <c r="AH1059" i="8"/>
  <c r="AH1060" i="8"/>
  <c r="AH1061" i="8"/>
  <c r="AH1062" i="8"/>
  <c r="AH1063" i="8"/>
  <c r="AH1064" i="8"/>
  <c r="AH1065" i="8"/>
  <c r="AH1066" i="8"/>
  <c r="AH1067" i="8"/>
  <c r="AH1068" i="8"/>
  <c r="AH1069" i="8"/>
  <c r="AH1070" i="8"/>
  <c r="AH1071" i="8"/>
  <c r="AH1072" i="8"/>
  <c r="AH1073" i="8"/>
  <c r="AH1074" i="8"/>
  <c r="AH1075" i="8"/>
  <c r="AH1076" i="8"/>
  <c r="AH1077" i="8"/>
  <c r="AH1078" i="8"/>
  <c r="AH1079" i="8"/>
  <c r="AH1080" i="8"/>
  <c r="AR1080" i="8" s="1"/>
  <c r="AH1081" i="8"/>
  <c r="AH1082" i="8"/>
  <c r="AH1083" i="8"/>
  <c r="AH1084" i="8"/>
  <c r="AH1085" i="8"/>
  <c r="AH1086" i="8"/>
  <c r="AH1087" i="8"/>
  <c r="AH1088" i="8"/>
  <c r="AH1089" i="8"/>
  <c r="AH1090" i="8"/>
  <c r="AH1091" i="8"/>
  <c r="AH1092" i="8"/>
  <c r="AH1093" i="8"/>
  <c r="AH1094" i="8"/>
  <c r="AH1095" i="8"/>
  <c r="AH1096" i="8"/>
  <c r="AH1097" i="8"/>
  <c r="AH1098" i="8"/>
  <c r="AH1099" i="8"/>
  <c r="AH1100" i="8"/>
  <c r="AH1101" i="8"/>
  <c r="AH1102" i="8"/>
  <c r="AH1103" i="8"/>
  <c r="AH1104" i="8"/>
  <c r="AH1105" i="8"/>
  <c r="AH1106" i="8"/>
  <c r="AH1107" i="8"/>
  <c r="AH1108" i="8"/>
  <c r="AH1109" i="8"/>
  <c r="AH1110" i="8"/>
  <c r="AH1111" i="8"/>
  <c r="AH1112" i="8"/>
  <c r="AH1113" i="8"/>
  <c r="AH1114" i="8"/>
  <c r="AH1115" i="8"/>
  <c r="AH1116" i="8"/>
  <c r="AH1117" i="8"/>
  <c r="AH1118" i="8"/>
  <c r="AH1119" i="8"/>
  <c r="AH1120" i="8"/>
  <c r="AH1121" i="8"/>
  <c r="AH1122" i="8"/>
  <c r="AH1123" i="8"/>
  <c r="AH1124" i="8"/>
  <c r="AH1125" i="8"/>
  <c r="AH1126" i="8"/>
  <c r="AH1127" i="8"/>
  <c r="AH1128" i="8"/>
  <c r="AQ1128" i="8" s="1"/>
  <c r="AI15" i="8"/>
  <c r="AI16" i="8"/>
  <c r="AI17" i="8"/>
  <c r="AI18" i="8"/>
  <c r="AI19" i="8"/>
  <c r="AI20" i="8"/>
  <c r="AI21" i="8"/>
  <c r="AI22" i="8"/>
  <c r="AI23" i="8"/>
  <c r="AI24" i="8"/>
  <c r="AI25" i="8"/>
  <c r="AI26" i="8"/>
  <c r="AI27" i="8"/>
  <c r="AI28" i="8"/>
  <c r="AI29" i="8"/>
  <c r="AI30" i="8"/>
  <c r="AR30" i="8" s="1"/>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Q78" i="8" s="1"/>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R110" i="8" s="1"/>
  <c r="AI111" i="8"/>
  <c r="AI112" i="8"/>
  <c r="AI113" i="8"/>
  <c r="AI114" i="8"/>
  <c r="AI115" i="8"/>
  <c r="AI116" i="8"/>
  <c r="AI117" i="8"/>
  <c r="AI118" i="8"/>
  <c r="AI119" i="8"/>
  <c r="AI120" i="8"/>
  <c r="AI121" i="8"/>
  <c r="AI122" i="8"/>
  <c r="AI123" i="8"/>
  <c r="AI124" i="8"/>
  <c r="AI125" i="8"/>
  <c r="AI126" i="8"/>
  <c r="AQ126" i="8" s="1"/>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I172" i="8"/>
  <c r="AI173" i="8"/>
  <c r="AI174" i="8"/>
  <c r="AI175" i="8"/>
  <c r="AI176" i="8"/>
  <c r="AI177" i="8"/>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I202" i="8"/>
  <c r="AI203" i="8"/>
  <c r="AI204" i="8"/>
  <c r="AI205" i="8"/>
  <c r="AI206" i="8"/>
  <c r="AI207" i="8"/>
  <c r="AI208" i="8"/>
  <c r="AI209" i="8"/>
  <c r="AI210" i="8"/>
  <c r="AI211" i="8"/>
  <c r="AI212" i="8"/>
  <c r="AI213" i="8"/>
  <c r="AI214" i="8"/>
  <c r="AI215" i="8"/>
  <c r="AI216" i="8"/>
  <c r="AI217" i="8"/>
  <c r="AI218" i="8"/>
  <c r="AI219" i="8"/>
  <c r="AI220" i="8"/>
  <c r="AI221" i="8"/>
  <c r="AI222" i="8"/>
  <c r="AQ222" i="8" s="1"/>
  <c r="AI223" i="8"/>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248" i="8"/>
  <c r="AI249" i="8"/>
  <c r="AI250" i="8"/>
  <c r="AI251" i="8"/>
  <c r="AI252" i="8"/>
  <c r="AI253" i="8"/>
  <c r="AI254" i="8"/>
  <c r="AI255" i="8"/>
  <c r="AI256" i="8"/>
  <c r="AI257" i="8"/>
  <c r="AI258" i="8"/>
  <c r="AI259" i="8"/>
  <c r="AI260" i="8"/>
  <c r="AI261" i="8"/>
  <c r="AI262" i="8"/>
  <c r="AI263" i="8"/>
  <c r="AI264" i="8"/>
  <c r="AI265" i="8"/>
  <c r="AI266" i="8"/>
  <c r="AI267" i="8"/>
  <c r="AI268" i="8"/>
  <c r="AI269" i="8"/>
  <c r="AI270" i="8"/>
  <c r="AI271" i="8"/>
  <c r="AI272" i="8"/>
  <c r="AI273" i="8"/>
  <c r="AI274" i="8"/>
  <c r="AI275" i="8"/>
  <c r="AI276" i="8"/>
  <c r="AI277" i="8"/>
  <c r="AI278" i="8"/>
  <c r="AI279" i="8"/>
  <c r="AI280" i="8"/>
  <c r="AI281" i="8"/>
  <c r="AI282" i="8"/>
  <c r="AI283" i="8"/>
  <c r="AI284" i="8"/>
  <c r="AI285" i="8"/>
  <c r="AI286" i="8"/>
  <c r="AI287" i="8"/>
  <c r="AI288" i="8"/>
  <c r="AI289" i="8"/>
  <c r="AI290" i="8"/>
  <c r="AI291" i="8"/>
  <c r="AI292" i="8"/>
  <c r="AI293" i="8"/>
  <c r="AI294" i="8"/>
  <c r="AI295" i="8"/>
  <c r="AI296" i="8"/>
  <c r="AI297" i="8"/>
  <c r="AI298" i="8"/>
  <c r="AI299" i="8"/>
  <c r="AI300" i="8"/>
  <c r="AI301" i="8"/>
  <c r="AI302" i="8"/>
  <c r="AR302" i="8" s="1"/>
  <c r="AI303" i="8"/>
  <c r="AI304" i="8"/>
  <c r="AI305" i="8"/>
  <c r="AI306" i="8"/>
  <c r="AI307" i="8"/>
  <c r="AI308" i="8"/>
  <c r="AI309" i="8"/>
  <c r="AI310" i="8"/>
  <c r="AI311" i="8"/>
  <c r="AI312" i="8"/>
  <c r="AI313" i="8"/>
  <c r="AI314" i="8"/>
  <c r="AI315" i="8"/>
  <c r="AI316" i="8"/>
  <c r="AI317" i="8"/>
  <c r="AI318" i="8"/>
  <c r="AR318" i="8" s="1"/>
  <c r="AI319" i="8"/>
  <c r="AI320" i="8"/>
  <c r="AI321" i="8"/>
  <c r="AI322" i="8"/>
  <c r="AI323" i="8"/>
  <c r="AI324" i="8"/>
  <c r="AI325" i="8"/>
  <c r="AI326" i="8"/>
  <c r="AI327" i="8"/>
  <c r="AI328" i="8"/>
  <c r="AI329" i="8"/>
  <c r="AI330" i="8"/>
  <c r="AI331" i="8"/>
  <c r="AI332" i="8"/>
  <c r="AI333" i="8"/>
  <c r="AI334" i="8"/>
  <c r="AI335" i="8"/>
  <c r="AI336" i="8"/>
  <c r="AI337" i="8"/>
  <c r="AI338" i="8"/>
  <c r="AI339" i="8"/>
  <c r="AI340" i="8"/>
  <c r="AI341" i="8"/>
  <c r="AI342" i="8"/>
  <c r="AI343" i="8"/>
  <c r="AI344" i="8"/>
  <c r="AI345" i="8"/>
  <c r="AI346" i="8"/>
  <c r="AI347" i="8"/>
  <c r="AI348" i="8"/>
  <c r="AI349" i="8"/>
  <c r="AI350" i="8"/>
  <c r="AI351" i="8"/>
  <c r="AI352" i="8"/>
  <c r="AI353" i="8"/>
  <c r="AI354" i="8"/>
  <c r="AI355" i="8"/>
  <c r="AI356" i="8"/>
  <c r="AI357" i="8"/>
  <c r="AI358" i="8"/>
  <c r="AI359" i="8"/>
  <c r="AI360" i="8"/>
  <c r="AI361" i="8"/>
  <c r="AI362" i="8"/>
  <c r="AI363" i="8"/>
  <c r="AI364" i="8"/>
  <c r="AI365" i="8"/>
  <c r="AI366" i="8"/>
  <c r="AI367" i="8"/>
  <c r="AI368" i="8"/>
  <c r="AI369" i="8"/>
  <c r="AI370" i="8"/>
  <c r="AI371" i="8"/>
  <c r="AI372" i="8"/>
  <c r="AI373" i="8"/>
  <c r="AI374" i="8"/>
  <c r="AI375" i="8"/>
  <c r="AI376" i="8"/>
  <c r="AI377" i="8"/>
  <c r="AI378" i="8"/>
  <c r="AI379" i="8"/>
  <c r="AI380" i="8"/>
  <c r="AI381" i="8"/>
  <c r="AI382" i="8"/>
  <c r="AI383" i="8"/>
  <c r="AI384" i="8"/>
  <c r="AI385" i="8"/>
  <c r="AI386" i="8"/>
  <c r="AI387" i="8"/>
  <c r="AI388" i="8"/>
  <c r="AI389" i="8"/>
  <c r="AI390" i="8"/>
  <c r="AI391" i="8"/>
  <c r="AI392" i="8"/>
  <c r="AI393" i="8"/>
  <c r="AI394" i="8"/>
  <c r="AI395" i="8"/>
  <c r="AI396" i="8"/>
  <c r="AI397" i="8"/>
  <c r="AI398" i="8"/>
  <c r="AI399" i="8"/>
  <c r="AI400" i="8"/>
  <c r="AI401" i="8"/>
  <c r="AI402" i="8"/>
  <c r="AI403" i="8"/>
  <c r="AI404" i="8"/>
  <c r="AI405" i="8"/>
  <c r="AI406" i="8"/>
  <c r="AI407" i="8"/>
  <c r="AI408" i="8"/>
  <c r="AI409" i="8"/>
  <c r="AI410" i="8"/>
  <c r="AI411" i="8"/>
  <c r="AI412" i="8"/>
  <c r="AI413" i="8"/>
  <c r="AI414" i="8"/>
  <c r="AR414" i="8" s="1"/>
  <c r="AI415" i="8"/>
  <c r="AI416" i="8"/>
  <c r="AI417" i="8"/>
  <c r="AI418" i="8"/>
  <c r="AI419" i="8"/>
  <c r="AI420" i="8"/>
  <c r="AI421" i="8"/>
  <c r="AI422" i="8"/>
  <c r="AI423" i="8"/>
  <c r="AI424" i="8"/>
  <c r="AI425" i="8"/>
  <c r="AI426" i="8"/>
  <c r="AI427" i="8"/>
  <c r="AI428" i="8"/>
  <c r="AI429" i="8"/>
  <c r="AI430" i="8"/>
  <c r="AI431" i="8"/>
  <c r="AI432" i="8"/>
  <c r="AI433" i="8"/>
  <c r="AI434" i="8"/>
  <c r="AI435" i="8"/>
  <c r="AI436" i="8"/>
  <c r="AI437" i="8"/>
  <c r="AI438" i="8"/>
  <c r="AI439" i="8"/>
  <c r="AI440" i="8"/>
  <c r="AI441" i="8"/>
  <c r="AI442" i="8"/>
  <c r="AI443" i="8"/>
  <c r="AI444" i="8"/>
  <c r="AI445" i="8"/>
  <c r="AI446" i="8"/>
  <c r="AI447" i="8"/>
  <c r="AI448" i="8"/>
  <c r="AI449" i="8"/>
  <c r="AI450" i="8"/>
  <c r="AI451" i="8"/>
  <c r="AI452" i="8"/>
  <c r="AI453" i="8"/>
  <c r="AI454" i="8"/>
  <c r="AI455" i="8"/>
  <c r="AI456" i="8"/>
  <c r="AI457" i="8"/>
  <c r="AI458" i="8"/>
  <c r="AI459" i="8"/>
  <c r="AI460" i="8"/>
  <c r="AI461" i="8"/>
  <c r="AI462" i="8"/>
  <c r="AI463" i="8"/>
  <c r="AI464" i="8"/>
  <c r="AI465" i="8"/>
  <c r="AI466" i="8"/>
  <c r="AI467" i="8"/>
  <c r="AI468" i="8"/>
  <c r="AI469" i="8"/>
  <c r="AI470" i="8"/>
  <c r="AI471" i="8"/>
  <c r="AI472" i="8"/>
  <c r="AI473" i="8"/>
  <c r="AI474" i="8"/>
  <c r="AI475" i="8"/>
  <c r="AI476" i="8"/>
  <c r="AI477" i="8"/>
  <c r="AI478" i="8"/>
  <c r="AI479" i="8"/>
  <c r="AI480" i="8"/>
  <c r="AI481" i="8"/>
  <c r="AI482" i="8"/>
  <c r="AI483" i="8"/>
  <c r="AI484" i="8"/>
  <c r="AI485" i="8"/>
  <c r="AI486" i="8"/>
  <c r="AI487" i="8"/>
  <c r="AI488" i="8"/>
  <c r="AI489" i="8"/>
  <c r="AI490" i="8"/>
  <c r="AI491" i="8"/>
  <c r="AI492" i="8"/>
  <c r="AI493" i="8"/>
  <c r="AI494" i="8"/>
  <c r="AR494" i="8" s="1"/>
  <c r="AI495" i="8"/>
  <c r="AI496" i="8"/>
  <c r="AI497" i="8"/>
  <c r="AI498" i="8"/>
  <c r="AI499" i="8"/>
  <c r="AI500" i="8"/>
  <c r="AI501" i="8"/>
  <c r="AI502" i="8"/>
  <c r="AI503" i="8"/>
  <c r="AI504" i="8"/>
  <c r="AI505" i="8"/>
  <c r="AI506" i="8"/>
  <c r="AI507" i="8"/>
  <c r="AI508" i="8"/>
  <c r="AI509" i="8"/>
  <c r="AI510" i="8"/>
  <c r="AR510" i="8" s="1"/>
  <c r="AI511" i="8"/>
  <c r="AI512" i="8"/>
  <c r="AI513" i="8"/>
  <c r="AI514" i="8"/>
  <c r="AI515" i="8"/>
  <c r="AI516" i="8"/>
  <c r="AI517" i="8"/>
  <c r="AI518" i="8"/>
  <c r="AI519" i="8"/>
  <c r="AI520" i="8"/>
  <c r="AI521" i="8"/>
  <c r="AI522" i="8"/>
  <c r="AI523" i="8"/>
  <c r="AI524" i="8"/>
  <c r="AI525" i="8"/>
  <c r="AI526" i="8"/>
  <c r="AI527" i="8"/>
  <c r="AI528" i="8"/>
  <c r="AI529" i="8"/>
  <c r="AI530" i="8"/>
  <c r="AI531" i="8"/>
  <c r="AI532" i="8"/>
  <c r="AI533" i="8"/>
  <c r="AI534" i="8"/>
  <c r="AI535" i="8"/>
  <c r="AI536" i="8"/>
  <c r="AI537" i="8"/>
  <c r="AI538" i="8"/>
  <c r="AI539" i="8"/>
  <c r="AI540" i="8"/>
  <c r="AI541" i="8"/>
  <c r="AI542" i="8"/>
  <c r="AI543" i="8"/>
  <c r="AI544" i="8"/>
  <c r="AI545" i="8"/>
  <c r="AI546" i="8"/>
  <c r="AI547" i="8"/>
  <c r="AI548" i="8"/>
  <c r="AI549" i="8"/>
  <c r="AI550" i="8"/>
  <c r="AI551" i="8"/>
  <c r="AI552" i="8"/>
  <c r="AI553" i="8"/>
  <c r="AI554" i="8"/>
  <c r="AI555" i="8"/>
  <c r="AI556" i="8"/>
  <c r="AI557" i="8"/>
  <c r="AI558" i="8"/>
  <c r="AQ558" i="8" s="1"/>
  <c r="AI559" i="8"/>
  <c r="AI560" i="8"/>
  <c r="AI561" i="8"/>
  <c r="AI562" i="8"/>
  <c r="AI563" i="8"/>
  <c r="AI564" i="8"/>
  <c r="AI565" i="8"/>
  <c r="AI566" i="8"/>
  <c r="AI567" i="8"/>
  <c r="AI568" i="8"/>
  <c r="AI569" i="8"/>
  <c r="AI570" i="8"/>
  <c r="AI571" i="8"/>
  <c r="AI572" i="8"/>
  <c r="AI573" i="8"/>
  <c r="AI574" i="8"/>
  <c r="AI575" i="8"/>
  <c r="AI576" i="8"/>
  <c r="AI577" i="8"/>
  <c r="AI578" i="8"/>
  <c r="AI579" i="8"/>
  <c r="AI580" i="8"/>
  <c r="AI581" i="8"/>
  <c r="AI582" i="8"/>
  <c r="AI583" i="8"/>
  <c r="AI584" i="8"/>
  <c r="AI585" i="8"/>
  <c r="AI586" i="8"/>
  <c r="AI587" i="8"/>
  <c r="AI588" i="8"/>
  <c r="AI589" i="8"/>
  <c r="AI590" i="8"/>
  <c r="AR590" i="8" s="1"/>
  <c r="AI591" i="8"/>
  <c r="AI592" i="8"/>
  <c r="AI593" i="8"/>
  <c r="AI594" i="8"/>
  <c r="AI595" i="8"/>
  <c r="AI596" i="8"/>
  <c r="AI597" i="8"/>
  <c r="AI598" i="8"/>
  <c r="AI599" i="8"/>
  <c r="AI600" i="8"/>
  <c r="AI601" i="8"/>
  <c r="AI602" i="8"/>
  <c r="AI603" i="8"/>
  <c r="AI604" i="8"/>
  <c r="AI605" i="8"/>
  <c r="AI606" i="8"/>
  <c r="AR606" i="8" s="1"/>
  <c r="AI607" i="8"/>
  <c r="AI608" i="8"/>
  <c r="AI609" i="8"/>
  <c r="AI610" i="8"/>
  <c r="AI611" i="8"/>
  <c r="AI612" i="8"/>
  <c r="AI613" i="8"/>
  <c r="AI614" i="8"/>
  <c r="AI615" i="8"/>
  <c r="AI616" i="8"/>
  <c r="AI617" i="8"/>
  <c r="AI618" i="8"/>
  <c r="AI619" i="8"/>
  <c r="AI620" i="8"/>
  <c r="AI621" i="8"/>
  <c r="AI622" i="8"/>
  <c r="AI623" i="8"/>
  <c r="AI624" i="8"/>
  <c r="AI625" i="8"/>
  <c r="AI626" i="8"/>
  <c r="AI627" i="8"/>
  <c r="AI628" i="8"/>
  <c r="AI629" i="8"/>
  <c r="AI630" i="8"/>
  <c r="AI631" i="8"/>
  <c r="AI632" i="8"/>
  <c r="AI633" i="8"/>
  <c r="AI634" i="8"/>
  <c r="AI635" i="8"/>
  <c r="AI636" i="8"/>
  <c r="AI637" i="8"/>
  <c r="AI638" i="8"/>
  <c r="AI639" i="8"/>
  <c r="AI640" i="8"/>
  <c r="AI641" i="8"/>
  <c r="AI642" i="8"/>
  <c r="AI643" i="8"/>
  <c r="AI644" i="8"/>
  <c r="AI645" i="8"/>
  <c r="AI646" i="8"/>
  <c r="AI647" i="8"/>
  <c r="AI648" i="8"/>
  <c r="AI649" i="8"/>
  <c r="AI650" i="8"/>
  <c r="AI651" i="8"/>
  <c r="AI652" i="8"/>
  <c r="AI653" i="8"/>
  <c r="AI654" i="8"/>
  <c r="AQ654" i="8" s="1"/>
  <c r="AI655" i="8"/>
  <c r="AI656" i="8"/>
  <c r="AI657" i="8"/>
  <c r="AI658" i="8"/>
  <c r="AI659" i="8"/>
  <c r="AI660" i="8"/>
  <c r="AI661" i="8"/>
  <c r="AI662" i="8"/>
  <c r="AI663" i="8"/>
  <c r="AI664" i="8"/>
  <c r="AI665" i="8"/>
  <c r="AI666" i="8"/>
  <c r="AI667" i="8"/>
  <c r="AI668" i="8"/>
  <c r="AI669" i="8"/>
  <c r="AI670" i="8"/>
  <c r="AI671" i="8"/>
  <c r="AI672" i="8"/>
  <c r="AI673" i="8"/>
  <c r="AI674" i="8"/>
  <c r="AI675" i="8"/>
  <c r="AI676" i="8"/>
  <c r="AI677" i="8"/>
  <c r="AI678" i="8"/>
  <c r="AI679" i="8"/>
  <c r="AI680" i="8"/>
  <c r="AI681" i="8"/>
  <c r="AI682" i="8"/>
  <c r="AI683" i="8"/>
  <c r="AI684" i="8"/>
  <c r="AI685" i="8"/>
  <c r="AI686" i="8"/>
  <c r="AI687" i="8"/>
  <c r="AI688" i="8"/>
  <c r="AI689" i="8"/>
  <c r="AI690" i="8"/>
  <c r="AI691" i="8"/>
  <c r="AI692" i="8"/>
  <c r="AI693" i="8"/>
  <c r="AI694" i="8"/>
  <c r="AI695" i="8"/>
  <c r="AI696" i="8"/>
  <c r="AI697" i="8"/>
  <c r="AI698" i="8"/>
  <c r="AI699" i="8"/>
  <c r="AI700" i="8"/>
  <c r="AI701" i="8"/>
  <c r="AI702" i="8"/>
  <c r="AI703" i="8"/>
  <c r="AI704" i="8"/>
  <c r="AI705" i="8"/>
  <c r="AI706" i="8"/>
  <c r="AI707" i="8"/>
  <c r="AI708" i="8"/>
  <c r="AI709" i="8"/>
  <c r="AI710" i="8"/>
  <c r="AI711" i="8"/>
  <c r="AI712" i="8"/>
  <c r="AI713" i="8"/>
  <c r="AI714" i="8"/>
  <c r="AI715" i="8"/>
  <c r="AI716" i="8"/>
  <c r="AI717" i="8"/>
  <c r="AI718" i="8"/>
  <c r="AI719" i="8"/>
  <c r="AI720" i="8"/>
  <c r="AI721" i="8"/>
  <c r="AI722" i="8"/>
  <c r="AI723" i="8"/>
  <c r="AI724" i="8"/>
  <c r="AI725" i="8"/>
  <c r="AI726" i="8"/>
  <c r="AI727" i="8"/>
  <c r="AI728" i="8"/>
  <c r="AI729" i="8"/>
  <c r="AI730" i="8"/>
  <c r="AI731" i="8"/>
  <c r="AI732" i="8"/>
  <c r="AI733" i="8"/>
  <c r="AI734" i="8"/>
  <c r="AR734" i="8" s="1"/>
  <c r="AI735" i="8"/>
  <c r="AI736" i="8"/>
  <c r="AI737" i="8"/>
  <c r="AI738" i="8"/>
  <c r="AI739" i="8"/>
  <c r="AI740" i="8"/>
  <c r="AI741" i="8"/>
  <c r="AI742" i="8"/>
  <c r="AI743" i="8"/>
  <c r="AI744" i="8"/>
  <c r="AI745" i="8"/>
  <c r="AI746" i="8"/>
  <c r="AI747" i="8"/>
  <c r="AI748" i="8"/>
  <c r="AI749" i="8"/>
  <c r="AI750" i="8"/>
  <c r="AI751" i="8"/>
  <c r="AI752" i="8"/>
  <c r="AI753" i="8"/>
  <c r="AI754" i="8"/>
  <c r="AI755" i="8"/>
  <c r="AI756" i="8"/>
  <c r="AI757" i="8"/>
  <c r="AI758" i="8"/>
  <c r="AI759" i="8"/>
  <c r="AI760" i="8"/>
  <c r="AI761" i="8"/>
  <c r="AI762" i="8"/>
  <c r="AI763" i="8"/>
  <c r="AI764" i="8"/>
  <c r="AI765" i="8"/>
  <c r="AI766" i="8"/>
  <c r="AI767" i="8"/>
  <c r="AI768" i="8"/>
  <c r="AI769" i="8"/>
  <c r="AI770" i="8"/>
  <c r="AI771" i="8"/>
  <c r="AI772" i="8"/>
  <c r="AI773" i="8"/>
  <c r="AI774" i="8"/>
  <c r="AI775" i="8"/>
  <c r="AI776" i="8"/>
  <c r="AI777" i="8"/>
  <c r="AI778" i="8"/>
  <c r="AI779" i="8"/>
  <c r="AI780" i="8"/>
  <c r="AI781" i="8"/>
  <c r="AI782" i="8"/>
  <c r="AI783" i="8"/>
  <c r="AI784" i="8"/>
  <c r="AI785" i="8"/>
  <c r="AI786" i="8"/>
  <c r="AI787" i="8"/>
  <c r="AI788" i="8"/>
  <c r="AI789" i="8"/>
  <c r="AI790" i="8"/>
  <c r="AI791" i="8"/>
  <c r="AI792" i="8"/>
  <c r="AI793" i="8"/>
  <c r="AI794" i="8"/>
  <c r="AI795" i="8"/>
  <c r="AI796" i="8"/>
  <c r="AI797" i="8"/>
  <c r="AI798" i="8"/>
  <c r="AI799" i="8"/>
  <c r="AI800" i="8"/>
  <c r="AI801" i="8"/>
  <c r="AI802" i="8"/>
  <c r="AI803" i="8"/>
  <c r="AI804" i="8"/>
  <c r="AI805" i="8"/>
  <c r="AI806" i="8"/>
  <c r="AI807" i="8"/>
  <c r="AI808" i="8"/>
  <c r="AI809" i="8"/>
  <c r="AI810" i="8"/>
  <c r="AI811" i="8"/>
  <c r="AI812" i="8"/>
  <c r="AI813" i="8"/>
  <c r="AI814" i="8"/>
  <c r="AI815" i="8"/>
  <c r="AI816" i="8"/>
  <c r="AI817" i="8"/>
  <c r="AI818" i="8"/>
  <c r="AI819" i="8"/>
  <c r="AI820" i="8"/>
  <c r="AI821" i="8"/>
  <c r="AI822" i="8"/>
  <c r="AI823" i="8"/>
  <c r="AI824" i="8"/>
  <c r="AI825" i="8"/>
  <c r="AI826" i="8"/>
  <c r="AI827" i="8"/>
  <c r="AI828" i="8"/>
  <c r="AI829" i="8"/>
  <c r="AI830" i="8"/>
  <c r="AR830" i="8" s="1"/>
  <c r="AI831" i="8"/>
  <c r="AI832" i="8"/>
  <c r="AI833" i="8"/>
  <c r="AI834" i="8"/>
  <c r="AI835" i="8"/>
  <c r="AI836" i="8"/>
  <c r="AI837" i="8"/>
  <c r="AI838" i="8"/>
  <c r="AI839" i="8"/>
  <c r="AI840" i="8"/>
  <c r="AI841" i="8"/>
  <c r="AI842" i="8"/>
  <c r="AI843" i="8"/>
  <c r="AI844" i="8"/>
  <c r="AI845" i="8"/>
  <c r="AI846" i="8"/>
  <c r="AI847" i="8"/>
  <c r="AI848" i="8"/>
  <c r="AI849" i="8"/>
  <c r="AI850" i="8"/>
  <c r="AI851" i="8"/>
  <c r="AI852" i="8"/>
  <c r="AI853" i="8"/>
  <c r="AI854" i="8"/>
  <c r="AI855" i="8"/>
  <c r="AI856" i="8"/>
  <c r="AI857" i="8"/>
  <c r="AI858" i="8"/>
  <c r="AI859" i="8"/>
  <c r="AI860" i="8"/>
  <c r="AI861" i="8"/>
  <c r="AI862" i="8"/>
  <c r="AI863" i="8"/>
  <c r="AI864" i="8"/>
  <c r="AI865" i="8"/>
  <c r="AI866" i="8"/>
  <c r="AI867" i="8"/>
  <c r="AI868" i="8"/>
  <c r="AI869" i="8"/>
  <c r="AI870" i="8"/>
  <c r="AI871" i="8"/>
  <c r="AI872" i="8"/>
  <c r="AI873" i="8"/>
  <c r="AI874" i="8"/>
  <c r="AI875" i="8"/>
  <c r="AI876" i="8"/>
  <c r="AI877" i="8"/>
  <c r="AI878" i="8"/>
  <c r="AI879" i="8"/>
  <c r="AI880" i="8"/>
  <c r="AI881" i="8"/>
  <c r="AI882" i="8"/>
  <c r="AI883" i="8"/>
  <c r="AI884" i="8"/>
  <c r="AI885" i="8"/>
  <c r="AI886" i="8"/>
  <c r="AI887" i="8"/>
  <c r="AI888" i="8"/>
  <c r="AI889" i="8"/>
  <c r="AI890" i="8"/>
  <c r="AI891" i="8"/>
  <c r="AI892" i="8"/>
  <c r="AI893" i="8"/>
  <c r="AI894" i="8"/>
  <c r="AI895" i="8"/>
  <c r="AI896" i="8"/>
  <c r="AI897" i="8"/>
  <c r="AI898" i="8"/>
  <c r="AI899" i="8"/>
  <c r="AI900" i="8"/>
  <c r="AI901" i="8"/>
  <c r="AI902" i="8"/>
  <c r="AI903" i="8"/>
  <c r="AI904" i="8"/>
  <c r="AI905" i="8"/>
  <c r="AI906" i="8"/>
  <c r="AI907" i="8"/>
  <c r="AI908" i="8"/>
  <c r="AI909" i="8"/>
  <c r="AI910" i="8"/>
  <c r="AI911" i="8"/>
  <c r="AI912" i="8"/>
  <c r="AI913" i="8"/>
  <c r="AI914" i="8"/>
  <c r="AI915" i="8"/>
  <c r="AI916" i="8"/>
  <c r="AI917" i="8"/>
  <c r="AI918" i="8"/>
  <c r="AI919" i="8"/>
  <c r="AI920" i="8"/>
  <c r="AI921" i="8"/>
  <c r="AI922" i="8"/>
  <c r="AI923" i="8"/>
  <c r="AI924" i="8"/>
  <c r="AI925" i="8"/>
  <c r="AI926" i="8"/>
  <c r="AI927" i="8"/>
  <c r="AI928" i="8"/>
  <c r="AI929" i="8"/>
  <c r="AI930" i="8"/>
  <c r="AI931" i="8"/>
  <c r="AI932" i="8"/>
  <c r="AI933" i="8"/>
  <c r="AI934" i="8"/>
  <c r="AI935" i="8"/>
  <c r="AI936" i="8"/>
  <c r="AI937" i="8"/>
  <c r="AI938" i="8"/>
  <c r="AI939" i="8"/>
  <c r="AI940" i="8"/>
  <c r="AI941" i="8"/>
  <c r="AI942" i="8"/>
  <c r="AI943" i="8"/>
  <c r="AI944" i="8"/>
  <c r="AI945" i="8"/>
  <c r="AI946" i="8"/>
  <c r="AI947" i="8"/>
  <c r="AI948" i="8"/>
  <c r="AI949" i="8"/>
  <c r="AI950" i="8"/>
  <c r="AI951" i="8"/>
  <c r="AI952" i="8"/>
  <c r="AI953" i="8"/>
  <c r="AI954" i="8"/>
  <c r="AI955" i="8"/>
  <c r="AI956" i="8"/>
  <c r="AI957" i="8"/>
  <c r="AI958" i="8"/>
  <c r="AI959" i="8"/>
  <c r="AI960" i="8"/>
  <c r="AI961" i="8"/>
  <c r="AI962" i="8"/>
  <c r="AI963" i="8"/>
  <c r="AI964" i="8"/>
  <c r="AI965" i="8"/>
  <c r="AI966" i="8"/>
  <c r="AI967" i="8"/>
  <c r="AI968" i="8"/>
  <c r="AI969" i="8"/>
  <c r="AI970" i="8"/>
  <c r="AI971" i="8"/>
  <c r="AI972" i="8"/>
  <c r="AI973" i="8"/>
  <c r="AI974" i="8"/>
  <c r="AI975" i="8"/>
  <c r="AI976" i="8"/>
  <c r="AI977" i="8"/>
  <c r="AI978" i="8"/>
  <c r="AI979" i="8"/>
  <c r="AI980" i="8"/>
  <c r="AI981" i="8"/>
  <c r="AI982" i="8"/>
  <c r="AI983" i="8"/>
  <c r="AI984" i="8"/>
  <c r="AI985" i="8"/>
  <c r="AI986" i="8"/>
  <c r="AI987" i="8"/>
  <c r="AI988" i="8"/>
  <c r="AI989" i="8"/>
  <c r="AI990" i="8"/>
  <c r="AI991" i="8"/>
  <c r="AI992" i="8"/>
  <c r="AI993" i="8"/>
  <c r="AI994" i="8"/>
  <c r="AI995" i="8"/>
  <c r="AI996" i="8"/>
  <c r="AI997" i="8"/>
  <c r="AI998" i="8"/>
  <c r="AI999" i="8"/>
  <c r="AI1000" i="8"/>
  <c r="AI1001" i="8"/>
  <c r="AI1002" i="8"/>
  <c r="AI1003" i="8"/>
  <c r="AI1004" i="8"/>
  <c r="AI1005" i="8"/>
  <c r="AI1006" i="8"/>
  <c r="AI1007" i="8"/>
  <c r="AI1008" i="8"/>
  <c r="AI1009" i="8"/>
  <c r="AI1010" i="8"/>
  <c r="AI1011" i="8"/>
  <c r="AI1012" i="8"/>
  <c r="AI1013" i="8"/>
  <c r="AI1014" i="8"/>
  <c r="AI1015" i="8"/>
  <c r="AI1016" i="8"/>
  <c r="AI1017" i="8"/>
  <c r="AI1018" i="8"/>
  <c r="AI1019" i="8"/>
  <c r="AI1020" i="8"/>
  <c r="AI1021" i="8"/>
  <c r="AI1022" i="8"/>
  <c r="AI1023" i="8"/>
  <c r="AI1024" i="8"/>
  <c r="AI1025" i="8"/>
  <c r="AI1026" i="8"/>
  <c r="AI1027" i="8"/>
  <c r="AI1028" i="8"/>
  <c r="AI1029" i="8"/>
  <c r="AI1030" i="8"/>
  <c r="AI1031" i="8"/>
  <c r="AI1032" i="8"/>
  <c r="AI1033" i="8"/>
  <c r="AI1034" i="8"/>
  <c r="AI1035" i="8"/>
  <c r="AI1036" i="8"/>
  <c r="AI1037" i="8"/>
  <c r="AI1038" i="8"/>
  <c r="AI1039" i="8"/>
  <c r="AI1040" i="8"/>
  <c r="AI1041" i="8"/>
  <c r="AI1042" i="8"/>
  <c r="AI1043" i="8"/>
  <c r="AI1044" i="8"/>
  <c r="AI1045" i="8"/>
  <c r="AI1046" i="8"/>
  <c r="AI1047" i="8"/>
  <c r="AI1048" i="8"/>
  <c r="AI1049" i="8"/>
  <c r="AI1050" i="8"/>
  <c r="AI1051" i="8"/>
  <c r="AI1052" i="8"/>
  <c r="AI1053" i="8"/>
  <c r="AI1054" i="8"/>
  <c r="AI1055" i="8"/>
  <c r="AI1056" i="8"/>
  <c r="AI1057" i="8"/>
  <c r="AI1058" i="8"/>
  <c r="AI1059" i="8"/>
  <c r="AI1060" i="8"/>
  <c r="AI1061" i="8"/>
  <c r="AI1062" i="8"/>
  <c r="AI1063" i="8"/>
  <c r="AI1064" i="8"/>
  <c r="AI1065" i="8"/>
  <c r="AI1066" i="8"/>
  <c r="AI1067" i="8"/>
  <c r="AI1068" i="8"/>
  <c r="AI1069" i="8"/>
  <c r="AI1070" i="8"/>
  <c r="AI1071" i="8"/>
  <c r="AI1072" i="8"/>
  <c r="AI1073" i="8"/>
  <c r="AI1074" i="8"/>
  <c r="AI1075" i="8"/>
  <c r="AI1076" i="8"/>
  <c r="AI1077" i="8"/>
  <c r="AI1078" i="8"/>
  <c r="AI1079" i="8"/>
  <c r="AI1080" i="8"/>
  <c r="AI1081" i="8"/>
  <c r="AI1082" i="8"/>
  <c r="AI1083" i="8"/>
  <c r="AI1084" i="8"/>
  <c r="AI1085" i="8"/>
  <c r="AI1086" i="8"/>
  <c r="AI1087" i="8"/>
  <c r="AI1088" i="8"/>
  <c r="AI1089" i="8"/>
  <c r="AI1090" i="8"/>
  <c r="AI1091" i="8"/>
  <c r="AI1092" i="8"/>
  <c r="AI1093" i="8"/>
  <c r="AI1094" i="8"/>
  <c r="AI1095" i="8"/>
  <c r="AI1096" i="8"/>
  <c r="AI1097" i="8"/>
  <c r="AI1098" i="8"/>
  <c r="AI1099" i="8"/>
  <c r="AI1100" i="8"/>
  <c r="AI1101" i="8"/>
  <c r="AI1102" i="8"/>
  <c r="AI1103" i="8"/>
  <c r="AI1104" i="8"/>
  <c r="AI1105" i="8"/>
  <c r="AI1106" i="8"/>
  <c r="AI1107" i="8"/>
  <c r="AI1108" i="8"/>
  <c r="AI1109" i="8"/>
  <c r="AI1110" i="8"/>
  <c r="AI1111" i="8"/>
  <c r="AI1112" i="8"/>
  <c r="AI1113" i="8"/>
  <c r="AI1114" i="8"/>
  <c r="AI1115" i="8"/>
  <c r="AI1116" i="8"/>
  <c r="AI1117" i="8"/>
  <c r="AI1118" i="8"/>
  <c r="AI1119" i="8"/>
  <c r="AI1120" i="8"/>
  <c r="AI1121" i="8"/>
  <c r="AI1122" i="8"/>
  <c r="AI1123" i="8"/>
  <c r="AI1124" i="8"/>
  <c r="AI1125" i="8"/>
  <c r="AI1126" i="8"/>
  <c r="AI1127" i="8"/>
  <c r="AI1128" i="8"/>
  <c r="AJ15" i="8"/>
  <c r="AJ16" i="8"/>
  <c r="AJ17" i="8"/>
  <c r="AJ18" i="8"/>
  <c r="AJ19" i="8"/>
  <c r="AJ20" i="8"/>
  <c r="AR20" i="8" s="1"/>
  <c r="AJ21" i="8"/>
  <c r="AJ22" i="8"/>
  <c r="AJ23" i="8"/>
  <c r="AJ24" i="8"/>
  <c r="AJ25" i="8"/>
  <c r="AJ26" i="8"/>
  <c r="AJ27" i="8"/>
  <c r="AJ28" i="8"/>
  <c r="AJ29" i="8"/>
  <c r="AJ30" i="8"/>
  <c r="AJ31" i="8"/>
  <c r="AJ32" i="8"/>
  <c r="AJ33" i="8"/>
  <c r="AJ34" i="8"/>
  <c r="AJ35" i="8"/>
  <c r="AJ36" i="8"/>
  <c r="AJ37" i="8"/>
  <c r="AJ38" i="8"/>
  <c r="AJ39" i="8"/>
  <c r="AJ40" i="8"/>
  <c r="AJ41" i="8"/>
  <c r="AJ42" i="8"/>
  <c r="AJ43" i="8"/>
  <c r="AJ44" i="8"/>
  <c r="AJ45" i="8"/>
  <c r="AJ46" i="8"/>
  <c r="AJ47" i="8"/>
  <c r="AJ48" i="8"/>
  <c r="AJ49" i="8"/>
  <c r="AJ50" i="8"/>
  <c r="AJ51" i="8"/>
  <c r="AJ52" i="8"/>
  <c r="AJ53" i="8"/>
  <c r="AJ54" i="8"/>
  <c r="AJ55" i="8"/>
  <c r="AJ56" i="8"/>
  <c r="AJ57" i="8"/>
  <c r="AJ58" i="8"/>
  <c r="AJ59" i="8"/>
  <c r="AJ60" i="8"/>
  <c r="AJ61" i="8"/>
  <c r="AJ62" i="8"/>
  <c r="AJ63" i="8"/>
  <c r="AJ64" i="8"/>
  <c r="AJ65" i="8"/>
  <c r="AJ66" i="8"/>
  <c r="AJ67" i="8"/>
  <c r="AJ68" i="8"/>
  <c r="AJ69" i="8"/>
  <c r="AJ70" i="8"/>
  <c r="AJ71" i="8"/>
  <c r="AJ72" i="8"/>
  <c r="AJ73" i="8"/>
  <c r="AJ74" i="8"/>
  <c r="AJ75" i="8"/>
  <c r="AJ76" i="8"/>
  <c r="AJ77" i="8"/>
  <c r="AJ78" i="8"/>
  <c r="AJ79" i="8"/>
  <c r="AJ80" i="8"/>
  <c r="AJ81" i="8"/>
  <c r="AJ82" i="8"/>
  <c r="AJ83" i="8"/>
  <c r="AJ84" i="8"/>
  <c r="AJ85" i="8"/>
  <c r="AJ86" i="8"/>
  <c r="AJ87" i="8"/>
  <c r="AJ88" i="8"/>
  <c r="AJ89" i="8"/>
  <c r="AJ90" i="8"/>
  <c r="AJ91" i="8"/>
  <c r="AJ92" i="8"/>
  <c r="AJ93" i="8"/>
  <c r="AJ94" i="8"/>
  <c r="AJ95" i="8"/>
  <c r="AJ96" i="8"/>
  <c r="AJ97" i="8"/>
  <c r="AJ98" i="8"/>
  <c r="AJ99" i="8"/>
  <c r="AJ100" i="8"/>
  <c r="AJ101" i="8"/>
  <c r="AJ102" i="8"/>
  <c r="AJ103" i="8"/>
  <c r="AJ104" i="8"/>
  <c r="AJ105" i="8"/>
  <c r="AJ106" i="8"/>
  <c r="AJ107" i="8"/>
  <c r="AJ108" i="8"/>
  <c r="AJ109" i="8"/>
  <c r="AJ110" i="8"/>
  <c r="AJ111" i="8"/>
  <c r="AJ112" i="8"/>
  <c r="AJ113" i="8"/>
  <c r="AJ114" i="8"/>
  <c r="AJ115" i="8"/>
  <c r="AJ116" i="8"/>
  <c r="AJ117" i="8"/>
  <c r="AJ118" i="8"/>
  <c r="AJ119" i="8"/>
  <c r="AJ120" i="8"/>
  <c r="AJ121" i="8"/>
  <c r="AJ122" i="8"/>
  <c r="AJ123" i="8"/>
  <c r="AJ124" i="8"/>
  <c r="AJ125" i="8"/>
  <c r="AJ126" i="8"/>
  <c r="AJ127" i="8"/>
  <c r="AJ128" i="8"/>
  <c r="AJ129" i="8"/>
  <c r="AJ130" i="8"/>
  <c r="AJ131" i="8"/>
  <c r="AJ132" i="8"/>
  <c r="AJ133" i="8"/>
  <c r="AJ134" i="8"/>
  <c r="AJ135" i="8"/>
  <c r="AJ136" i="8"/>
  <c r="AJ137" i="8"/>
  <c r="AJ138" i="8"/>
  <c r="AJ139" i="8"/>
  <c r="AJ140" i="8"/>
  <c r="AJ141" i="8"/>
  <c r="AJ142" i="8"/>
  <c r="AJ143" i="8"/>
  <c r="AJ144" i="8"/>
  <c r="AJ145" i="8"/>
  <c r="AJ146" i="8"/>
  <c r="AJ147" i="8"/>
  <c r="AJ148" i="8"/>
  <c r="AJ149" i="8"/>
  <c r="AJ150" i="8"/>
  <c r="AJ151" i="8"/>
  <c r="AJ152" i="8"/>
  <c r="AJ153" i="8"/>
  <c r="AJ154" i="8"/>
  <c r="AJ155" i="8"/>
  <c r="AJ156" i="8"/>
  <c r="AJ157" i="8"/>
  <c r="AJ158" i="8"/>
  <c r="AJ159" i="8"/>
  <c r="AJ160" i="8"/>
  <c r="AJ161" i="8"/>
  <c r="AJ162" i="8"/>
  <c r="AJ163" i="8"/>
  <c r="AJ164" i="8"/>
  <c r="AJ165" i="8"/>
  <c r="AJ166" i="8"/>
  <c r="AJ167" i="8"/>
  <c r="AJ168" i="8"/>
  <c r="AJ169" i="8"/>
  <c r="AJ170" i="8"/>
  <c r="AJ171" i="8"/>
  <c r="AJ172" i="8"/>
  <c r="AJ173" i="8"/>
  <c r="AJ174" i="8"/>
  <c r="AJ175" i="8"/>
  <c r="AJ176" i="8"/>
  <c r="AJ177" i="8"/>
  <c r="AJ178" i="8"/>
  <c r="AJ179" i="8"/>
  <c r="AJ180" i="8"/>
  <c r="AJ181" i="8"/>
  <c r="AJ182" i="8"/>
  <c r="AJ183" i="8"/>
  <c r="AJ184" i="8"/>
  <c r="AJ185" i="8"/>
  <c r="AJ186" i="8"/>
  <c r="AJ187" i="8"/>
  <c r="AJ188" i="8"/>
  <c r="AJ189" i="8"/>
  <c r="AJ190" i="8"/>
  <c r="AJ191" i="8"/>
  <c r="AJ192" i="8"/>
  <c r="AJ193" i="8"/>
  <c r="AJ194" i="8"/>
  <c r="AJ195" i="8"/>
  <c r="AJ196" i="8"/>
  <c r="AJ197" i="8"/>
  <c r="AJ198" i="8"/>
  <c r="AJ199" i="8"/>
  <c r="AJ200" i="8"/>
  <c r="AJ201" i="8"/>
  <c r="AJ202" i="8"/>
  <c r="AJ203" i="8"/>
  <c r="AJ204" i="8"/>
  <c r="AJ205" i="8"/>
  <c r="AJ206" i="8"/>
  <c r="AJ207" i="8"/>
  <c r="AJ208" i="8"/>
  <c r="AJ209" i="8"/>
  <c r="AJ210" i="8"/>
  <c r="AJ211" i="8"/>
  <c r="AJ212" i="8"/>
  <c r="AJ213" i="8"/>
  <c r="AJ214" i="8"/>
  <c r="AJ215" i="8"/>
  <c r="AJ216" i="8"/>
  <c r="AJ217" i="8"/>
  <c r="AJ218" i="8"/>
  <c r="AJ219" i="8"/>
  <c r="AJ220" i="8"/>
  <c r="AJ221" i="8"/>
  <c r="AJ222" i="8"/>
  <c r="AJ223" i="8"/>
  <c r="AJ224" i="8"/>
  <c r="AJ225" i="8"/>
  <c r="AJ226" i="8"/>
  <c r="AJ227" i="8"/>
  <c r="AJ228" i="8"/>
  <c r="AJ229" i="8"/>
  <c r="AJ230" i="8"/>
  <c r="AJ231" i="8"/>
  <c r="AJ232" i="8"/>
  <c r="AJ233" i="8"/>
  <c r="AJ234" i="8"/>
  <c r="AJ235" i="8"/>
  <c r="AJ236" i="8"/>
  <c r="AJ237" i="8"/>
  <c r="AJ238" i="8"/>
  <c r="AJ239" i="8"/>
  <c r="AJ240" i="8"/>
  <c r="AJ241" i="8"/>
  <c r="AJ242" i="8"/>
  <c r="AJ243" i="8"/>
  <c r="AJ244" i="8"/>
  <c r="AJ245" i="8"/>
  <c r="AJ246" i="8"/>
  <c r="AJ247" i="8"/>
  <c r="AJ248" i="8"/>
  <c r="AJ249" i="8"/>
  <c r="AJ250" i="8"/>
  <c r="AJ251" i="8"/>
  <c r="AJ252" i="8"/>
  <c r="AJ253" i="8"/>
  <c r="AJ254" i="8"/>
  <c r="AJ255" i="8"/>
  <c r="AJ256" i="8"/>
  <c r="AJ257" i="8"/>
  <c r="AJ258" i="8"/>
  <c r="AJ259" i="8"/>
  <c r="AJ260" i="8"/>
  <c r="AJ261" i="8"/>
  <c r="AJ262" i="8"/>
  <c r="AJ263" i="8"/>
  <c r="AJ264" i="8"/>
  <c r="AJ265" i="8"/>
  <c r="AJ266" i="8"/>
  <c r="AJ267" i="8"/>
  <c r="AJ268" i="8"/>
  <c r="AJ269" i="8"/>
  <c r="AJ270" i="8"/>
  <c r="AJ271" i="8"/>
  <c r="AJ272" i="8"/>
  <c r="AJ273" i="8"/>
  <c r="AJ274" i="8"/>
  <c r="AJ275" i="8"/>
  <c r="AJ276" i="8"/>
  <c r="AJ277" i="8"/>
  <c r="AJ278" i="8"/>
  <c r="AJ279" i="8"/>
  <c r="AJ280" i="8"/>
  <c r="AJ281" i="8"/>
  <c r="AJ282" i="8"/>
  <c r="AJ283" i="8"/>
  <c r="AJ284" i="8"/>
  <c r="AJ285" i="8"/>
  <c r="AJ286" i="8"/>
  <c r="AJ287" i="8"/>
  <c r="AJ288" i="8"/>
  <c r="AJ289" i="8"/>
  <c r="AJ290" i="8"/>
  <c r="AJ291" i="8"/>
  <c r="AJ292" i="8"/>
  <c r="AJ293" i="8"/>
  <c r="AJ294" i="8"/>
  <c r="AJ295" i="8"/>
  <c r="AJ296" i="8"/>
  <c r="AJ297" i="8"/>
  <c r="AJ298" i="8"/>
  <c r="AJ299" i="8"/>
  <c r="AJ300" i="8"/>
  <c r="AJ301" i="8"/>
  <c r="AJ302" i="8"/>
  <c r="AJ303" i="8"/>
  <c r="AJ304" i="8"/>
  <c r="AJ305" i="8"/>
  <c r="AJ306" i="8"/>
  <c r="AJ307" i="8"/>
  <c r="AJ308" i="8"/>
  <c r="AJ309" i="8"/>
  <c r="AJ310" i="8"/>
  <c r="AJ311" i="8"/>
  <c r="AJ312" i="8"/>
  <c r="AJ313" i="8"/>
  <c r="AJ314" i="8"/>
  <c r="AJ315" i="8"/>
  <c r="AJ316" i="8"/>
  <c r="AJ317" i="8"/>
  <c r="AJ318" i="8"/>
  <c r="AJ319" i="8"/>
  <c r="AJ320" i="8"/>
  <c r="AJ321" i="8"/>
  <c r="AJ322" i="8"/>
  <c r="AJ323" i="8"/>
  <c r="AJ324" i="8"/>
  <c r="AJ325" i="8"/>
  <c r="AJ326" i="8"/>
  <c r="AJ327" i="8"/>
  <c r="AJ328" i="8"/>
  <c r="AJ329" i="8"/>
  <c r="AJ330" i="8"/>
  <c r="AJ331" i="8"/>
  <c r="AJ332" i="8"/>
  <c r="AJ333" i="8"/>
  <c r="AJ334" i="8"/>
  <c r="AJ335" i="8"/>
  <c r="AJ336" i="8"/>
  <c r="AJ337" i="8"/>
  <c r="AJ338" i="8"/>
  <c r="AJ339" i="8"/>
  <c r="AJ340" i="8"/>
  <c r="AJ341" i="8"/>
  <c r="AJ342" i="8"/>
  <c r="AJ343" i="8"/>
  <c r="AJ344" i="8"/>
  <c r="AJ345" i="8"/>
  <c r="AJ346" i="8"/>
  <c r="AJ347" i="8"/>
  <c r="AJ348" i="8"/>
  <c r="AJ349" i="8"/>
  <c r="AJ350" i="8"/>
  <c r="AJ351" i="8"/>
  <c r="AJ352" i="8"/>
  <c r="AJ353" i="8"/>
  <c r="AJ354" i="8"/>
  <c r="AJ355" i="8"/>
  <c r="AJ356" i="8"/>
  <c r="AJ357" i="8"/>
  <c r="AJ358" i="8"/>
  <c r="AJ359" i="8"/>
  <c r="AJ360" i="8"/>
  <c r="AJ361" i="8"/>
  <c r="AJ362" i="8"/>
  <c r="AJ363" i="8"/>
  <c r="AJ364" i="8"/>
  <c r="AJ365" i="8"/>
  <c r="AJ366" i="8"/>
  <c r="AJ367" i="8"/>
  <c r="AJ368" i="8"/>
  <c r="AJ369" i="8"/>
  <c r="AJ370" i="8"/>
  <c r="AJ371" i="8"/>
  <c r="AJ372" i="8"/>
  <c r="AJ373" i="8"/>
  <c r="AJ374" i="8"/>
  <c r="AJ375" i="8"/>
  <c r="AJ376" i="8"/>
  <c r="AJ377" i="8"/>
  <c r="AJ378" i="8"/>
  <c r="AJ379" i="8"/>
  <c r="AJ380" i="8"/>
  <c r="AJ381" i="8"/>
  <c r="AJ382" i="8"/>
  <c r="AJ383" i="8"/>
  <c r="AJ384" i="8"/>
  <c r="AJ385" i="8"/>
  <c r="AJ386" i="8"/>
  <c r="AJ387" i="8"/>
  <c r="AJ388" i="8"/>
  <c r="AJ389" i="8"/>
  <c r="AJ390" i="8"/>
  <c r="AJ391" i="8"/>
  <c r="AJ392" i="8"/>
  <c r="AJ393" i="8"/>
  <c r="AJ394" i="8"/>
  <c r="AJ395" i="8"/>
  <c r="AJ396" i="8"/>
  <c r="AJ397" i="8"/>
  <c r="AJ398" i="8"/>
  <c r="AJ399" i="8"/>
  <c r="AJ400" i="8"/>
  <c r="AJ401" i="8"/>
  <c r="AJ402" i="8"/>
  <c r="AJ403" i="8"/>
  <c r="AJ404" i="8"/>
  <c r="AR404" i="8" s="1"/>
  <c r="AJ405" i="8"/>
  <c r="AJ406" i="8"/>
  <c r="AJ407" i="8"/>
  <c r="AJ408" i="8"/>
  <c r="AJ409" i="8"/>
  <c r="AJ410" i="8"/>
  <c r="AJ411" i="8"/>
  <c r="AJ412" i="8"/>
  <c r="AJ413" i="8"/>
  <c r="AJ414" i="8"/>
  <c r="AJ415" i="8"/>
  <c r="AJ416" i="8"/>
  <c r="AJ417" i="8"/>
  <c r="AJ418" i="8"/>
  <c r="AJ419" i="8"/>
  <c r="AJ420" i="8"/>
  <c r="AJ421" i="8"/>
  <c r="AJ422" i="8"/>
  <c r="AJ423" i="8"/>
  <c r="AJ424" i="8"/>
  <c r="AJ425" i="8"/>
  <c r="AJ426" i="8"/>
  <c r="AJ427" i="8"/>
  <c r="AJ428" i="8"/>
  <c r="AJ429" i="8"/>
  <c r="AJ430" i="8"/>
  <c r="AJ431" i="8"/>
  <c r="AJ432" i="8"/>
  <c r="AJ433" i="8"/>
  <c r="AJ434" i="8"/>
  <c r="AJ435" i="8"/>
  <c r="AJ436" i="8"/>
  <c r="AJ437" i="8"/>
  <c r="AJ438" i="8"/>
  <c r="AJ439" i="8"/>
  <c r="AJ440" i="8"/>
  <c r="AJ441" i="8"/>
  <c r="AJ442" i="8"/>
  <c r="AJ443" i="8"/>
  <c r="AJ444" i="8"/>
  <c r="AJ445" i="8"/>
  <c r="AJ446" i="8"/>
  <c r="AJ447" i="8"/>
  <c r="AJ448" i="8"/>
  <c r="AJ449" i="8"/>
  <c r="AJ450" i="8"/>
  <c r="AJ451" i="8"/>
  <c r="AJ452" i="8"/>
  <c r="AJ453" i="8"/>
  <c r="AJ454" i="8"/>
  <c r="AJ455" i="8"/>
  <c r="AJ456" i="8"/>
  <c r="AJ457" i="8"/>
  <c r="AJ458" i="8"/>
  <c r="AJ459" i="8"/>
  <c r="AJ460" i="8"/>
  <c r="AJ461" i="8"/>
  <c r="AJ462" i="8"/>
  <c r="AJ463" i="8"/>
  <c r="AJ464" i="8"/>
  <c r="AJ465" i="8"/>
  <c r="AJ466" i="8"/>
  <c r="AJ467" i="8"/>
  <c r="AJ468" i="8"/>
  <c r="AJ469" i="8"/>
  <c r="AJ470" i="8"/>
  <c r="AJ471" i="8"/>
  <c r="AJ472" i="8"/>
  <c r="AJ473" i="8"/>
  <c r="AJ474" i="8"/>
  <c r="AJ475" i="8"/>
  <c r="AJ476" i="8"/>
  <c r="AJ477" i="8"/>
  <c r="AJ478" i="8"/>
  <c r="AJ479" i="8"/>
  <c r="AJ480" i="8"/>
  <c r="AJ481" i="8"/>
  <c r="AJ482" i="8"/>
  <c r="AJ483" i="8"/>
  <c r="AJ484" i="8"/>
  <c r="AJ485" i="8"/>
  <c r="AJ486" i="8"/>
  <c r="AJ487" i="8"/>
  <c r="AJ488" i="8"/>
  <c r="AJ489" i="8"/>
  <c r="AJ490" i="8"/>
  <c r="AJ491" i="8"/>
  <c r="AJ492" i="8"/>
  <c r="AJ493" i="8"/>
  <c r="AJ494" i="8"/>
  <c r="AJ495" i="8"/>
  <c r="AJ496" i="8"/>
  <c r="AJ497" i="8"/>
  <c r="AJ498" i="8"/>
  <c r="AJ499" i="8"/>
  <c r="AJ500" i="8"/>
  <c r="AJ501" i="8"/>
  <c r="AJ502" i="8"/>
  <c r="AJ503" i="8"/>
  <c r="AJ504" i="8"/>
  <c r="AJ505" i="8"/>
  <c r="AJ506" i="8"/>
  <c r="AJ507" i="8"/>
  <c r="AJ508" i="8"/>
  <c r="AJ509" i="8"/>
  <c r="AJ510" i="8"/>
  <c r="AJ511" i="8"/>
  <c r="AJ512" i="8"/>
  <c r="AJ513" i="8"/>
  <c r="AJ514" i="8"/>
  <c r="AJ515" i="8"/>
  <c r="AJ516" i="8"/>
  <c r="AJ517" i="8"/>
  <c r="AJ518" i="8"/>
  <c r="AJ519" i="8"/>
  <c r="AJ520" i="8"/>
  <c r="AJ521" i="8"/>
  <c r="AJ522" i="8"/>
  <c r="AJ523" i="8"/>
  <c r="AJ524" i="8"/>
  <c r="AJ525" i="8"/>
  <c r="AJ526" i="8"/>
  <c r="AJ527" i="8"/>
  <c r="AJ528" i="8"/>
  <c r="AJ529" i="8"/>
  <c r="AJ530" i="8"/>
  <c r="AJ531" i="8"/>
  <c r="AJ532" i="8"/>
  <c r="AJ533" i="8"/>
  <c r="AJ534" i="8"/>
  <c r="AJ535" i="8"/>
  <c r="AJ536" i="8"/>
  <c r="AJ537" i="8"/>
  <c r="AJ538" i="8"/>
  <c r="AJ539" i="8"/>
  <c r="AJ540" i="8"/>
  <c r="AJ541" i="8"/>
  <c r="AJ542" i="8"/>
  <c r="AJ543" i="8"/>
  <c r="AJ544" i="8"/>
  <c r="AJ545" i="8"/>
  <c r="AJ546" i="8"/>
  <c r="AJ547" i="8"/>
  <c r="AJ548" i="8"/>
  <c r="AJ549" i="8"/>
  <c r="AJ550" i="8"/>
  <c r="AJ551" i="8"/>
  <c r="AJ552" i="8"/>
  <c r="AJ553" i="8"/>
  <c r="AJ554" i="8"/>
  <c r="AJ555" i="8"/>
  <c r="AJ556" i="8"/>
  <c r="AJ557" i="8"/>
  <c r="AJ558" i="8"/>
  <c r="AJ559" i="8"/>
  <c r="AJ560" i="8"/>
  <c r="AJ561" i="8"/>
  <c r="AJ562" i="8"/>
  <c r="AJ563" i="8"/>
  <c r="AJ564" i="8"/>
  <c r="AJ565" i="8"/>
  <c r="AJ566" i="8"/>
  <c r="AJ567" i="8"/>
  <c r="AJ568" i="8"/>
  <c r="AJ569" i="8"/>
  <c r="AJ570" i="8"/>
  <c r="AJ571" i="8"/>
  <c r="AJ572" i="8"/>
  <c r="AJ573" i="8"/>
  <c r="AJ574" i="8"/>
  <c r="AJ575" i="8"/>
  <c r="AJ576" i="8"/>
  <c r="AJ577" i="8"/>
  <c r="AJ578" i="8"/>
  <c r="AJ579" i="8"/>
  <c r="AJ580" i="8"/>
  <c r="AJ581" i="8"/>
  <c r="AJ582" i="8"/>
  <c r="AJ583" i="8"/>
  <c r="AJ584" i="8"/>
  <c r="AJ585" i="8"/>
  <c r="AJ586" i="8"/>
  <c r="AJ587" i="8"/>
  <c r="AJ588" i="8"/>
  <c r="AJ589" i="8"/>
  <c r="AJ590" i="8"/>
  <c r="AJ591" i="8"/>
  <c r="AJ592" i="8"/>
  <c r="AJ593" i="8"/>
  <c r="AJ594" i="8"/>
  <c r="AJ595" i="8"/>
  <c r="AJ596" i="8"/>
  <c r="AJ597" i="8"/>
  <c r="AJ598" i="8"/>
  <c r="AJ599" i="8"/>
  <c r="AJ600" i="8"/>
  <c r="AJ601" i="8"/>
  <c r="AJ602" i="8"/>
  <c r="AJ603" i="8"/>
  <c r="AJ604" i="8"/>
  <c r="AJ605" i="8"/>
  <c r="AJ606" i="8"/>
  <c r="AJ607" i="8"/>
  <c r="AJ608" i="8"/>
  <c r="AJ609" i="8"/>
  <c r="AJ610" i="8"/>
  <c r="AJ611" i="8"/>
  <c r="AJ612" i="8"/>
  <c r="AJ613" i="8"/>
  <c r="AJ614" i="8"/>
  <c r="AJ615" i="8"/>
  <c r="AJ616" i="8"/>
  <c r="AJ617" i="8"/>
  <c r="AJ618" i="8"/>
  <c r="AJ619" i="8"/>
  <c r="AJ620" i="8"/>
  <c r="AJ621" i="8"/>
  <c r="AJ622" i="8"/>
  <c r="AJ623" i="8"/>
  <c r="AJ624" i="8"/>
  <c r="AJ625" i="8"/>
  <c r="AJ626" i="8"/>
  <c r="AJ627" i="8"/>
  <c r="AJ628" i="8"/>
  <c r="AJ629" i="8"/>
  <c r="AJ630" i="8"/>
  <c r="AJ631" i="8"/>
  <c r="AJ632" i="8"/>
  <c r="AJ633" i="8"/>
  <c r="AJ634" i="8"/>
  <c r="AJ635" i="8"/>
  <c r="AJ636" i="8"/>
  <c r="AJ637" i="8"/>
  <c r="AJ638" i="8"/>
  <c r="AJ639" i="8"/>
  <c r="AJ640" i="8"/>
  <c r="AJ641" i="8"/>
  <c r="AJ642" i="8"/>
  <c r="AJ643" i="8"/>
  <c r="AJ644" i="8"/>
  <c r="AJ645" i="8"/>
  <c r="AJ646" i="8"/>
  <c r="AJ647" i="8"/>
  <c r="AJ648" i="8"/>
  <c r="AJ649" i="8"/>
  <c r="AJ650" i="8"/>
  <c r="AJ651" i="8"/>
  <c r="AJ652" i="8"/>
  <c r="AJ653" i="8"/>
  <c r="AJ654" i="8"/>
  <c r="AJ655" i="8"/>
  <c r="AJ656" i="8"/>
  <c r="AJ657" i="8"/>
  <c r="AJ658" i="8"/>
  <c r="AJ659" i="8"/>
  <c r="AJ660" i="8"/>
  <c r="AJ661" i="8"/>
  <c r="AJ662" i="8"/>
  <c r="AJ663" i="8"/>
  <c r="AJ664" i="8"/>
  <c r="AJ665" i="8"/>
  <c r="AJ666" i="8"/>
  <c r="AJ667" i="8"/>
  <c r="AJ668" i="8"/>
  <c r="AJ669" i="8"/>
  <c r="AJ670" i="8"/>
  <c r="AJ671" i="8"/>
  <c r="AJ672" i="8"/>
  <c r="AJ673" i="8"/>
  <c r="AJ674" i="8"/>
  <c r="AJ675" i="8"/>
  <c r="AJ676" i="8"/>
  <c r="AJ677" i="8"/>
  <c r="AJ678" i="8"/>
  <c r="AJ679" i="8"/>
  <c r="AJ680" i="8"/>
  <c r="AJ681" i="8"/>
  <c r="AJ682" i="8"/>
  <c r="AJ683" i="8"/>
  <c r="AJ684" i="8"/>
  <c r="AJ685" i="8"/>
  <c r="AJ686" i="8"/>
  <c r="AJ687" i="8"/>
  <c r="AJ688" i="8"/>
  <c r="AJ689" i="8"/>
  <c r="AJ690" i="8"/>
  <c r="AJ691" i="8"/>
  <c r="AJ692" i="8"/>
  <c r="AJ693" i="8"/>
  <c r="AJ694" i="8"/>
  <c r="AJ695" i="8"/>
  <c r="AJ696" i="8"/>
  <c r="AJ697" i="8"/>
  <c r="AJ698" i="8"/>
  <c r="AJ699" i="8"/>
  <c r="AJ700" i="8"/>
  <c r="AJ701" i="8"/>
  <c r="AJ702" i="8"/>
  <c r="AJ703" i="8"/>
  <c r="AJ704" i="8"/>
  <c r="AJ705" i="8"/>
  <c r="AJ706" i="8"/>
  <c r="AJ707" i="8"/>
  <c r="AJ708" i="8"/>
  <c r="AJ709" i="8"/>
  <c r="AJ710" i="8"/>
  <c r="AJ711" i="8"/>
  <c r="AJ712" i="8"/>
  <c r="AJ713" i="8"/>
  <c r="AJ714" i="8"/>
  <c r="AJ715" i="8"/>
  <c r="AJ716" i="8"/>
  <c r="AJ717" i="8"/>
  <c r="AJ718" i="8"/>
  <c r="AJ719" i="8"/>
  <c r="AJ720" i="8"/>
  <c r="AJ721" i="8"/>
  <c r="AJ722" i="8"/>
  <c r="AJ723" i="8"/>
  <c r="AJ724" i="8"/>
  <c r="AJ725" i="8"/>
  <c r="AJ726" i="8"/>
  <c r="AJ727" i="8"/>
  <c r="AJ728" i="8"/>
  <c r="AJ729" i="8"/>
  <c r="AJ730" i="8"/>
  <c r="AJ731" i="8"/>
  <c r="AJ732" i="8"/>
  <c r="AJ733" i="8"/>
  <c r="AJ734" i="8"/>
  <c r="AJ735" i="8"/>
  <c r="AJ736" i="8"/>
  <c r="AJ737" i="8"/>
  <c r="AJ738" i="8"/>
  <c r="AJ739" i="8"/>
  <c r="AJ740" i="8"/>
  <c r="AJ741" i="8"/>
  <c r="AJ742" i="8"/>
  <c r="AJ743" i="8"/>
  <c r="AJ744" i="8"/>
  <c r="AJ745" i="8"/>
  <c r="AJ746" i="8"/>
  <c r="AJ747" i="8"/>
  <c r="AJ748" i="8"/>
  <c r="AJ749" i="8"/>
  <c r="AJ750" i="8"/>
  <c r="AJ751" i="8"/>
  <c r="AJ752" i="8"/>
  <c r="AJ753" i="8"/>
  <c r="AJ754" i="8"/>
  <c r="AJ755" i="8"/>
  <c r="AJ756" i="8"/>
  <c r="AJ757" i="8"/>
  <c r="AJ758" i="8"/>
  <c r="AJ759" i="8"/>
  <c r="AJ760" i="8"/>
  <c r="AJ761" i="8"/>
  <c r="AJ762" i="8"/>
  <c r="AJ763" i="8"/>
  <c r="AJ764" i="8"/>
  <c r="AJ765" i="8"/>
  <c r="AJ766" i="8"/>
  <c r="AJ767" i="8"/>
  <c r="AJ768" i="8"/>
  <c r="AJ769" i="8"/>
  <c r="AJ770" i="8"/>
  <c r="AJ771" i="8"/>
  <c r="AJ772" i="8"/>
  <c r="AJ773" i="8"/>
  <c r="AJ774" i="8"/>
  <c r="AJ775" i="8"/>
  <c r="AJ776" i="8"/>
  <c r="AJ777" i="8"/>
  <c r="AJ778" i="8"/>
  <c r="AJ779" i="8"/>
  <c r="AJ780" i="8"/>
  <c r="AJ781" i="8"/>
  <c r="AJ782" i="8"/>
  <c r="AJ783" i="8"/>
  <c r="AJ784" i="8"/>
  <c r="AJ785" i="8"/>
  <c r="AJ786" i="8"/>
  <c r="AJ787" i="8"/>
  <c r="AJ788" i="8"/>
  <c r="AQ788" i="8" s="1"/>
  <c r="AJ789" i="8"/>
  <c r="AJ790" i="8"/>
  <c r="AJ791" i="8"/>
  <c r="AJ792" i="8"/>
  <c r="AJ793" i="8"/>
  <c r="AJ794" i="8"/>
  <c r="AJ795" i="8"/>
  <c r="AJ796" i="8"/>
  <c r="AJ797" i="8"/>
  <c r="AJ798" i="8"/>
  <c r="AJ799" i="8"/>
  <c r="AJ800" i="8"/>
  <c r="AJ801" i="8"/>
  <c r="AJ802" i="8"/>
  <c r="AJ803" i="8"/>
  <c r="AJ804" i="8"/>
  <c r="AJ805" i="8"/>
  <c r="AJ806" i="8"/>
  <c r="AJ807" i="8"/>
  <c r="AJ808" i="8"/>
  <c r="AJ809" i="8"/>
  <c r="AJ810" i="8"/>
  <c r="AJ811" i="8"/>
  <c r="AJ812" i="8"/>
  <c r="AJ813" i="8"/>
  <c r="AJ814" i="8"/>
  <c r="AJ815" i="8"/>
  <c r="AJ816" i="8"/>
  <c r="AJ817" i="8"/>
  <c r="AJ818" i="8"/>
  <c r="AJ819" i="8"/>
  <c r="AJ820" i="8"/>
  <c r="AJ821" i="8"/>
  <c r="AJ822" i="8"/>
  <c r="AJ823" i="8"/>
  <c r="AJ824" i="8"/>
  <c r="AJ825" i="8"/>
  <c r="AJ826" i="8"/>
  <c r="AJ827" i="8"/>
  <c r="AJ828" i="8"/>
  <c r="AJ829" i="8"/>
  <c r="AJ830" i="8"/>
  <c r="AJ831" i="8"/>
  <c r="AJ832" i="8"/>
  <c r="AJ833" i="8"/>
  <c r="AJ834" i="8"/>
  <c r="AJ835" i="8"/>
  <c r="AJ836" i="8"/>
  <c r="AJ837" i="8"/>
  <c r="AJ838" i="8"/>
  <c r="AJ839" i="8"/>
  <c r="AJ840" i="8"/>
  <c r="AJ841" i="8"/>
  <c r="AJ842" i="8"/>
  <c r="AJ843" i="8"/>
  <c r="AJ844" i="8"/>
  <c r="AJ845" i="8"/>
  <c r="AJ846" i="8"/>
  <c r="AJ847" i="8"/>
  <c r="AJ848" i="8"/>
  <c r="AJ849" i="8"/>
  <c r="AJ850" i="8"/>
  <c r="AJ851" i="8"/>
  <c r="AJ852" i="8"/>
  <c r="AJ853" i="8"/>
  <c r="AJ854" i="8"/>
  <c r="AJ855" i="8"/>
  <c r="AJ856" i="8"/>
  <c r="AJ857" i="8"/>
  <c r="AJ858" i="8"/>
  <c r="AJ859" i="8"/>
  <c r="AJ860" i="8"/>
  <c r="AJ861" i="8"/>
  <c r="AJ862" i="8"/>
  <c r="AJ863" i="8"/>
  <c r="AJ864" i="8"/>
  <c r="AJ865" i="8"/>
  <c r="AJ866" i="8"/>
  <c r="AJ867" i="8"/>
  <c r="AJ868" i="8"/>
  <c r="AJ869" i="8"/>
  <c r="AJ870" i="8"/>
  <c r="AJ871" i="8"/>
  <c r="AJ872" i="8"/>
  <c r="AJ873" i="8"/>
  <c r="AJ874" i="8"/>
  <c r="AJ875" i="8"/>
  <c r="AJ876" i="8"/>
  <c r="AJ877" i="8"/>
  <c r="AJ878" i="8"/>
  <c r="AJ879" i="8"/>
  <c r="AJ880" i="8"/>
  <c r="AJ881" i="8"/>
  <c r="AJ882" i="8"/>
  <c r="AJ883" i="8"/>
  <c r="AJ884" i="8"/>
  <c r="AJ885" i="8"/>
  <c r="AJ886" i="8"/>
  <c r="AJ887" i="8"/>
  <c r="AJ888" i="8"/>
  <c r="AJ889" i="8"/>
  <c r="AJ890" i="8"/>
  <c r="AJ891" i="8"/>
  <c r="AJ892" i="8"/>
  <c r="AJ893" i="8"/>
  <c r="AJ894" i="8"/>
  <c r="AJ895" i="8"/>
  <c r="AJ896" i="8"/>
  <c r="AJ897" i="8"/>
  <c r="AJ898" i="8"/>
  <c r="AJ899" i="8"/>
  <c r="AJ900" i="8"/>
  <c r="AJ901" i="8"/>
  <c r="AJ902" i="8"/>
  <c r="AJ903" i="8"/>
  <c r="AJ904" i="8"/>
  <c r="AJ905" i="8"/>
  <c r="AJ906" i="8"/>
  <c r="AJ907" i="8"/>
  <c r="AJ908" i="8"/>
  <c r="AJ909" i="8"/>
  <c r="AJ910" i="8"/>
  <c r="AJ911" i="8"/>
  <c r="AJ912" i="8"/>
  <c r="AJ913" i="8"/>
  <c r="AJ914" i="8"/>
  <c r="AJ915" i="8"/>
  <c r="AJ916" i="8"/>
  <c r="AJ917" i="8"/>
  <c r="AJ918" i="8"/>
  <c r="AJ919" i="8"/>
  <c r="AJ920" i="8"/>
  <c r="AJ921" i="8"/>
  <c r="AJ922" i="8"/>
  <c r="AJ923" i="8"/>
  <c r="AJ924" i="8"/>
  <c r="AJ925" i="8"/>
  <c r="AJ926" i="8"/>
  <c r="AJ927" i="8"/>
  <c r="AJ928" i="8"/>
  <c r="AJ929" i="8"/>
  <c r="AJ930" i="8"/>
  <c r="AJ931" i="8"/>
  <c r="AJ932" i="8"/>
  <c r="AJ933" i="8"/>
  <c r="AJ934" i="8"/>
  <c r="AJ935" i="8"/>
  <c r="AJ936" i="8"/>
  <c r="AJ937" i="8"/>
  <c r="AJ938" i="8"/>
  <c r="AJ939" i="8"/>
  <c r="AJ940" i="8"/>
  <c r="AJ941" i="8"/>
  <c r="AJ942" i="8"/>
  <c r="AJ943" i="8"/>
  <c r="AJ944" i="8"/>
  <c r="AJ945" i="8"/>
  <c r="AJ946" i="8"/>
  <c r="AJ947" i="8"/>
  <c r="AJ948" i="8"/>
  <c r="AJ949" i="8"/>
  <c r="AJ950" i="8"/>
  <c r="AJ951" i="8"/>
  <c r="AJ952" i="8"/>
  <c r="AJ953" i="8"/>
  <c r="AJ954" i="8"/>
  <c r="AJ955" i="8"/>
  <c r="AJ956" i="8"/>
  <c r="AJ957" i="8"/>
  <c r="AJ958" i="8"/>
  <c r="AJ959" i="8"/>
  <c r="AJ960" i="8"/>
  <c r="AJ961" i="8"/>
  <c r="AJ962" i="8"/>
  <c r="AJ963" i="8"/>
  <c r="AJ964" i="8"/>
  <c r="AR964" i="8" s="1"/>
  <c r="AJ965" i="8"/>
  <c r="AJ966" i="8"/>
  <c r="AJ967" i="8"/>
  <c r="AJ968" i="8"/>
  <c r="AJ969" i="8"/>
  <c r="AJ970" i="8"/>
  <c r="AJ971" i="8"/>
  <c r="AJ972" i="8"/>
  <c r="AJ973" i="8"/>
  <c r="AJ974" i="8"/>
  <c r="AJ975" i="8"/>
  <c r="AJ976" i="8"/>
  <c r="AJ977" i="8"/>
  <c r="AJ978" i="8"/>
  <c r="AJ979" i="8"/>
  <c r="AJ980" i="8"/>
  <c r="AJ981" i="8"/>
  <c r="AJ982" i="8"/>
  <c r="AJ983" i="8"/>
  <c r="AJ984" i="8"/>
  <c r="AJ985" i="8"/>
  <c r="AJ986" i="8"/>
  <c r="AJ987" i="8"/>
  <c r="AJ988" i="8"/>
  <c r="AJ989" i="8"/>
  <c r="AJ990" i="8"/>
  <c r="AJ991" i="8"/>
  <c r="AJ992" i="8"/>
  <c r="AJ993" i="8"/>
  <c r="AJ994" i="8"/>
  <c r="AJ995" i="8"/>
  <c r="AJ996" i="8"/>
  <c r="AJ997" i="8"/>
  <c r="AJ998" i="8"/>
  <c r="AJ999" i="8"/>
  <c r="AJ1000" i="8"/>
  <c r="AJ1001" i="8"/>
  <c r="AJ1002" i="8"/>
  <c r="AJ1003" i="8"/>
  <c r="AJ1004" i="8"/>
  <c r="AJ1005" i="8"/>
  <c r="AJ1006" i="8"/>
  <c r="AJ1007" i="8"/>
  <c r="AJ1008" i="8"/>
  <c r="AJ1009" i="8"/>
  <c r="AJ1010" i="8"/>
  <c r="AJ1011" i="8"/>
  <c r="AJ1012" i="8"/>
  <c r="AJ1013" i="8"/>
  <c r="AJ1014" i="8"/>
  <c r="AJ1015" i="8"/>
  <c r="AJ1016" i="8"/>
  <c r="AJ1017" i="8"/>
  <c r="AJ1018" i="8"/>
  <c r="AJ1019" i="8"/>
  <c r="AJ1020" i="8"/>
  <c r="AJ1021" i="8"/>
  <c r="AJ1022" i="8"/>
  <c r="AJ1023" i="8"/>
  <c r="AJ1024" i="8"/>
  <c r="AJ1025" i="8"/>
  <c r="AJ1026" i="8"/>
  <c r="AJ1027" i="8"/>
  <c r="AJ1028" i="8"/>
  <c r="AQ1028" i="8" s="1"/>
  <c r="AJ1029" i="8"/>
  <c r="AJ1030" i="8"/>
  <c r="AJ1031" i="8"/>
  <c r="AJ1032" i="8"/>
  <c r="AJ1033" i="8"/>
  <c r="AJ1034" i="8"/>
  <c r="AJ1035" i="8"/>
  <c r="AJ1036" i="8"/>
  <c r="AJ1037" i="8"/>
  <c r="AJ1038" i="8"/>
  <c r="AJ1039" i="8"/>
  <c r="AJ1040" i="8"/>
  <c r="AJ1041" i="8"/>
  <c r="AJ1042" i="8"/>
  <c r="AJ1043" i="8"/>
  <c r="AJ1044" i="8"/>
  <c r="AJ1045" i="8"/>
  <c r="AJ1046" i="8"/>
  <c r="AJ1047" i="8"/>
  <c r="AJ1048" i="8"/>
  <c r="AJ1049" i="8"/>
  <c r="AJ1050" i="8"/>
  <c r="AJ1051" i="8"/>
  <c r="AJ1052" i="8"/>
  <c r="AJ1053" i="8"/>
  <c r="AJ1054" i="8"/>
  <c r="AJ1055" i="8"/>
  <c r="AJ1056" i="8"/>
  <c r="AJ1057" i="8"/>
  <c r="AJ1058" i="8"/>
  <c r="AJ1059" i="8"/>
  <c r="AJ1060" i="8"/>
  <c r="AJ1061" i="8"/>
  <c r="AJ1062" i="8"/>
  <c r="AJ1063" i="8"/>
  <c r="AJ1064" i="8"/>
  <c r="AJ1065" i="8"/>
  <c r="AJ1066" i="8"/>
  <c r="AJ1067" i="8"/>
  <c r="AJ1068" i="8"/>
  <c r="AJ1069" i="8"/>
  <c r="AJ1070" i="8"/>
  <c r="AJ1071" i="8"/>
  <c r="AJ1072" i="8"/>
  <c r="AJ1073" i="8"/>
  <c r="AJ1074" i="8"/>
  <c r="AJ1075" i="8"/>
  <c r="AJ1076" i="8"/>
  <c r="AR1076" i="8" s="1"/>
  <c r="AJ1077" i="8"/>
  <c r="AJ1078" i="8"/>
  <c r="AJ1079" i="8"/>
  <c r="AJ1080" i="8"/>
  <c r="AJ1081" i="8"/>
  <c r="AJ1082" i="8"/>
  <c r="AJ1083" i="8"/>
  <c r="AJ1084" i="8"/>
  <c r="AJ1085" i="8"/>
  <c r="AJ1086" i="8"/>
  <c r="AJ1087" i="8"/>
  <c r="AJ1088" i="8"/>
  <c r="AJ1089" i="8"/>
  <c r="AJ1090" i="8"/>
  <c r="AJ1091" i="8"/>
  <c r="AJ1092" i="8"/>
  <c r="AJ1093" i="8"/>
  <c r="AJ1094" i="8"/>
  <c r="AJ1095" i="8"/>
  <c r="AJ1096" i="8"/>
  <c r="AJ1097" i="8"/>
  <c r="AJ1098" i="8"/>
  <c r="AJ1099" i="8"/>
  <c r="AJ1100" i="8"/>
  <c r="AJ1101" i="8"/>
  <c r="AJ1102" i="8"/>
  <c r="AJ1103" i="8"/>
  <c r="AJ1104" i="8"/>
  <c r="AJ1105" i="8"/>
  <c r="AJ1106" i="8"/>
  <c r="AJ1107" i="8"/>
  <c r="AJ1108" i="8"/>
  <c r="AJ1109" i="8"/>
  <c r="AJ1110" i="8"/>
  <c r="AJ1111" i="8"/>
  <c r="AJ1112" i="8"/>
  <c r="AJ1113" i="8"/>
  <c r="AJ1114" i="8"/>
  <c r="AJ1115" i="8"/>
  <c r="AJ1116" i="8"/>
  <c r="AJ1117" i="8"/>
  <c r="AJ1118" i="8"/>
  <c r="AJ1119" i="8"/>
  <c r="AJ1120" i="8"/>
  <c r="AJ1121" i="8"/>
  <c r="AJ1122" i="8"/>
  <c r="AJ1123" i="8"/>
  <c r="AJ1124" i="8"/>
  <c r="AJ1125" i="8"/>
  <c r="AJ1126" i="8"/>
  <c r="AJ1127" i="8"/>
  <c r="AJ1128"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3" i="8"/>
  <c r="AK124" i="8"/>
  <c r="AK125" i="8"/>
  <c r="AK126" i="8"/>
  <c r="AK127" i="8"/>
  <c r="AK128" i="8"/>
  <c r="AK129" i="8"/>
  <c r="AK130" i="8"/>
  <c r="AK131" i="8"/>
  <c r="AK132" i="8"/>
  <c r="AK133" i="8"/>
  <c r="AK134" i="8"/>
  <c r="AK135" i="8"/>
  <c r="AK136" i="8"/>
  <c r="AK137" i="8"/>
  <c r="AK138" i="8"/>
  <c r="AK139" i="8"/>
  <c r="AK140" i="8"/>
  <c r="AK141" i="8"/>
  <c r="AK142" i="8"/>
  <c r="AK143" i="8"/>
  <c r="AK144" i="8"/>
  <c r="AK145" i="8"/>
  <c r="AK146" i="8"/>
  <c r="AK147" i="8"/>
  <c r="AK148" i="8"/>
  <c r="AK149" i="8"/>
  <c r="AK150" i="8"/>
  <c r="AK151" i="8"/>
  <c r="AK152" i="8"/>
  <c r="AK153" i="8"/>
  <c r="AK154" i="8"/>
  <c r="AK155" i="8"/>
  <c r="AK156" i="8"/>
  <c r="AK157" i="8"/>
  <c r="AK158" i="8"/>
  <c r="AK159" i="8"/>
  <c r="AK160" i="8"/>
  <c r="AK161" i="8"/>
  <c r="AK162" i="8"/>
  <c r="AK163" i="8"/>
  <c r="AK164" i="8"/>
  <c r="AK165" i="8"/>
  <c r="AK166" i="8"/>
  <c r="AK167" i="8"/>
  <c r="AK168" i="8"/>
  <c r="AK169" i="8"/>
  <c r="AK170" i="8"/>
  <c r="AK171" i="8"/>
  <c r="AK172" i="8"/>
  <c r="AK173" i="8"/>
  <c r="AK174" i="8"/>
  <c r="AK175" i="8"/>
  <c r="AK176" i="8"/>
  <c r="AK177" i="8"/>
  <c r="AK178" i="8"/>
  <c r="AK179" i="8"/>
  <c r="AK180" i="8"/>
  <c r="AK181" i="8"/>
  <c r="AK182" i="8"/>
  <c r="AK183" i="8"/>
  <c r="AK184" i="8"/>
  <c r="AK185" i="8"/>
  <c r="AK186" i="8"/>
  <c r="AK187" i="8"/>
  <c r="AK188" i="8"/>
  <c r="AK189" i="8"/>
  <c r="AK190" i="8"/>
  <c r="AK191" i="8"/>
  <c r="AK192" i="8"/>
  <c r="AK193" i="8"/>
  <c r="AK194" i="8"/>
  <c r="AK195" i="8"/>
  <c r="AK196" i="8"/>
  <c r="AK197" i="8"/>
  <c r="AK198" i="8"/>
  <c r="AK199" i="8"/>
  <c r="AK200" i="8"/>
  <c r="AK201" i="8"/>
  <c r="AK202" i="8"/>
  <c r="AK203" i="8"/>
  <c r="AK204" i="8"/>
  <c r="AK205" i="8"/>
  <c r="AK206" i="8"/>
  <c r="AK207" i="8"/>
  <c r="AK208" i="8"/>
  <c r="AK209" i="8"/>
  <c r="AK210" i="8"/>
  <c r="AK211" i="8"/>
  <c r="AK212" i="8"/>
  <c r="AK213" i="8"/>
  <c r="AK214" i="8"/>
  <c r="AK215" i="8"/>
  <c r="AK216" i="8"/>
  <c r="AK217" i="8"/>
  <c r="AK218" i="8"/>
  <c r="AK219" i="8"/>
  <c r="AK220" i="8"/>
  <c r="AK221" i="8"/>
  <c r="AK222" i="8"/>
  <c r="AK223" i="8"/>
  <c r="AK224" i="8"/>
  <c r="AK225" i="8"/>
  <c r="AK226" i="8"/>
  <c r="AK227" i="8"/>
  <c r="AK228" i="8"/>
  <c r="AK229" i="8"/>
  <c r="AK230" i="8"/>
  <c r="AK231" i="8"/>
  <c r="AK232" i="8"/>
  <c r="AK233" i="8"/>
  <c r="AK234" i="8"/>
  <c r="AK235" i="8"/>
  <c r="AK236" i="8"/>
  <c r="AK237" i="8"/>
  <c r="AK238" i="8"/>
  <c r="AK239" i="8"/>
  <c r="AK240" i="8"/>
  <c r="AK241" i="8"/>
  <c r="AK242" i="8"/>
  <c r="AK243" i="8"/>
  <c r="AK244" i="8"/>
  <c r="AK245" i="8"/>
  <c r="AK246" i="8"/>
  <c r="AK247" i="8"/>
  <c r="AK248" i="8"/>
  <c r="AK249" i="8"/>
  <c r="AK250" i="8"/>
  <c r="AK251" i="8"/>
  <c r="AK252" i="8"/>
  <c r="AK253" i="8"/>
  <c r="AK254" i="8"/>
  <c r="AK255" i="8"/>
  <c r="AK256" i="8"/>
  <c r="AK257" i="8"/>
  <c r="AK258" i="8"/>
  <c r="AK259" i="8"/>
  <c r="AK260" i="8"/>
  <c r="AK261" i="8"/>
  <c r="AK262" i="8"/>
  <c r="AK263" i="8"/>
  <c r="AK264" i="8"/>
  <c r="AK265" i="8"/>
  <c r="AK266" i="8"/>
  <c r="AK267" i="8"/>
  <c r="AK268" i="8"/>
  <c r="AK269" i="8"/>
  <c r="AK270" i="8"/>
  <c r="AK271" i="8"/>
  <c r="AK272" i="8"/>
  <c r="AK273" i="8"/>
  <c r="AK274" i="8"/>
  <c r="AK275" i="8"/>
  <c r="AK276" i="8"/>
  <c r="AK277" i="8"/>
  <c r="AK278" i="8"/>
  <c r="AK279" i="8"/>
  <c r="AK280" i="8"/>
  <c r="AK281" i="8"/>
  <c r="AK282" i="8"/>
  <c r="AK283" i="8"/>
  <c r="AK284" i="8"/>
  <c r="AK285" i="8"/>
  <c r="AK286" i="8"/>
  <c r="AK287" i="8"/>
  <c r="AK288" i="8"/>
  <c r="AK289" i="8"/>
  <c r="AK290" i="8"/>
  <c r="AK291" i="8"/>
  <c r="AK292" i="8"/>
  <c r="AK293" i="8"/>
  <c r="AK294" i="8"/>
  <c r="AK295" i="8"/>
  <c r="AK296" i="8"/>
  <c r="AK297" i="8"/>
  <c r="AK298" i="8"/>
  <c r="AK299" i="8"/>
  <c r="AK300" i="8"/>
  <c r="AK301" i="8"/>
  <c r="AK302" i="8"/>
  <c r="AK303" i="8"/>
  <c r="AK304" i="8"/>
  <c r="AK305" i="8"/>
  <c r="AK306" i="8"/>
  <c r="AK307" i="8"/>
  <c r="AK308" i="8"/>
  <c r="AK309" i="8"/>
  <c r="AK310" i="8"/>
  <c r="AK311" i="8"/>
  <c r="AK312" i="8"/>
  <c r="AK313" i="8"/>
  <c r="AK314" i="8"/>
  <c r="AK315" i="8"/>
  <c r="AK316" i="8"/>
  <c r="AK317" i="8"/>
  <c r="AK318" i="8"/>
  <c r="AK319" i="8"/>
  <c r="AK320" i="8"/>
  <c r="AK321" i="8"/>
  <c r="AK322" i="8"/>
  <c r="AK323" i="8"/>
  <c r="AK324" i="8"/>
  <c r="AK325" i="8"/>
  <c r="AK326" i="8"/>
  <c r="AK327" i="8"/>
  <c r="AK328" i="8"/>
  <c r="AK329" i="8"/>
  <c r="AK330" i="8"/>
  <c r="AK331" i="8"/>
  <c r="AK332" i="8"/>
  <c r="AK333" i="8"/>
  <c r="AK334" i="8"/>
  <c r="AK335" i="8"/>
  <c r="AK336" i="8"/>
  <c r="AK337" i="8"/>
  <c r="AK338" i="8"/>
  <c r="AK339" i="8"/>
  <c r="AK340" i="8"/>
  <c r="AK341" i="8"/>
  <c r="AK342" i="8"/>
  <c r="AK343" i="8"/>
  <c r="AK344" i="8"/>
  <c r="AK345" i="8"/>
  <c r="AK346" i="8"/>
  <c r="AK347" i="8"/>
  <c r="AK348" i="8"/>
  <c r="AK349" i="8"/>
  <c r="AK350" i="8"/>
  <c r="AK351" i="8"/>
  <c r="AK352" i="8"/>
  <c r="AK353" i="8"/>
  <c r="AK354" i="8"/>
  <c r="AK355" i="8"/>
  <c r="AK356" i="8"/>
  <c r="AK357" i="8"/>
  <c r="AK358" i="8"/>
  <c r="AK359" i="8"/>
  <c r="AK360" i="8"/>
  <c r="AK361" i="8"/>
  <c r="AK362" i="8"/>
  <c r="AK363" i="8"/>
  <c r="AK364" i="8"/>
  <c r="AK365" i="8"/>
  <c r="AK366" i="8"/>
  <c r="AK367" i="8"/>
  <c r="AK368" i="8"/>
  <c r="AK369" i="8"/>
  <c r="AK370" i="8"/>
  <c r="AK371" i="8"/>
  <c r="AK372" i="8"/>
  <c r="AK373" i="8"/>
  <c r="AK374" i="8"/>
  <c r="AK375" i="8"/>
  <c r="AK376" i="8"/>
  <c r="AK377" i="8"/>
  <c r="AK378" i="8"/>
  <c r="AK379" i="8"/>
  <c r="AK380" i="8"/>
  <c r="AK381" i="8"/>
  <c r="AK382" i="8"/>
  <c r="AK383" i="8"/>
  <c r="AK384" i="8"/>
  <c r="AK385" i="8"/>
  <c r="AK386" i="8"/>
  <c r="AK387" i="8"/>
  <c r="AK388" i="8"/>
  <c r="AK389" i="8"/>
  <c r="AK390" i="8"/>
  <c r="AK391" i="8"/>
  <c r="AK392" i="8"/>
  <c r="AK393" i="8"/>
  <c r="AK394" i="8"/>
  <c r="AK395" i="8"/>
  <c r="AK396" i="8"/>
  <c r="AK397" i="8"/>
  <c r="AK398" i="8"/>
  <c r="AK399" i="8"/>
  <c r="AK400" i="8"/>
  <c r="AK401" i="8"/>
  <c r="AK402" i="8"/>
  <c r="AK403" i="8"/>
  <c r="AK404" i="8"/>
  <c r="AK405" i="8"/>
  <c r="AK406" i="8"/>
  <c r="AK407" i="8"/>
  <c r="AK408" i="8"/>
  <c r="AK409" i="8"/>
  <c r="AK410" i="8"/>
  <c r="AK411" i="8"/>
  <c r="AK412" i="8"/>
  <c r="AK413" i="8"/>
  <c r="AK414" i="8"/>
  <c r="AK415" i="8"/>
  <c r="AK416" i="8"/>
  <c r="AK417" i="8"/>
  <c r="AK418" i="8"/>
  <c r="AK419" i="8"/>
  <c r="AK420" i="8"/>
  <c r="AK421" i="8"/>
  <c r="AK422" i="8"/>
  <c r="AK423" i="8"/>
  <c r="AK424" i="8"/>
  <c r="AK425" i="8"/>
  <c r="AK426" i="8"/>
  <c r="AK427" i="8"/>
  <c r="AK428" i="8"/>
  <c r="AK429" i="8"/>
  <c r="AK430" i="8"/>
  <c r="AK431" i="8"/>
  <c r="AK432" i="8"/>
  <c r="AK433" i="8"/>
  <c r="AK434" i="8"/>
  <c r="AK435" i="8"/>
  <c r="AK436" i="8"/>
  <c r="AK437" i="8"/>
  <c r="AK438" i="8"/>
  <c r="AK439" i="8"/>
  <c r="AK440" i="8"/>
  <c r="AK441" i="8"/>
  <c r="AK442" i="8"/>
  <c r="AK443" i="8"/>
  <c r="AK444" i="8"/>
  <c r="AK445" i="8"/>
  <c r="AK446" i="8"/>
  <c r="AK447" i="8"/>
  <c r="AK448" i="8"/>
  <c r="AK449" i="8"/>
  <c r="AK450" i="8"/>
  <c r="AK451" i="8"/>
  <c r="AK452" i="8"/>
  <c r="AK453" i="8"/>
  <c r="AK454" i="8"/>
  <c r="AK455" i="8"/>
  <c r="AK456" i="8"/>
  <c r="AK457" i="8"/>
  <c r="AK458" i="8"/>
  <c r="AK459" i="8"/>
  <c r="AK460" i="8"/>
  <c r="AK461" i="8"/>
  <c r="AK462" i="8"/>
  <c r="AK463" i="8"/>
  <c r="AK464" i="8"/>
  <c r="AK465" i="8"/>
  <c r="AK466" i="8"/>
  <c r="AK467" i="8"/>
  <c r="AK468" i="8"/>
  <c r="AK469" i="8"/>
  <c r="AK470" i="8"/>
  <c r="AK471" i="8"/>
  <c r="AK472" i="8"/>
  <c r="AK473" i="8"/>
  <c r="AK474" i="8"/>
  <c r="AK475" i="8"/>
  <c r="AK476" i="8"/>
  <c r="AK477" i="8"/>
  <c r="AK478" i="8"/>
  <c r="AK479" i="8"/>
  <c r="AK480" i="8"/>
  <c r="AK481" i="8"/>
  <c r="AK482" i="8"/>
  <c r="AK483" i="8"/>
  <c r="AK484" i="8"/>
  <c r="AK485" i="8"/>
  <c r="AK486" i="8"/>
  <c r="AK487" i="8"/>
  <c r="AK488" i="8"/>
  <c r="AK489" i="8"/>
  <c r="AK490" i="8"/>
  <c r="AR490" i="8" s="1"/>
  <c r="AK491" i="8"/>
  <c r="AK492" i="8"/>
  <c r="AK493" i="8"/>
  <c r="AK494" i="8"/>
  <c r="AK495" i="8"/>
  <c r="AK496" i="8"/>
  <c r="AK497" i="8"/>
  <c r="AK498" i="8"/>
  <c r="AK499" i="8"/>
  <c r="AK500" i="8"/>
  <c r="AK501" i="8"/>
  <c r="AK502" i="8"/>
  <c r="AK503" i="8"/>
  <c r="AK504" i="8"/>
  <c r="AK505" i="8"/>
  <c r="AK506" i="8"/>
  <c r="AK507" i="8"/>
  <c r="AK508" i="8"/>
  <c r="AK509" i="8"/>
  <c r="AK510" i="8"/>
  <c r="AK511" i="8"/>
  <c r="AK512" i="8"/>
  <c r="AK513" i="8"/>
  <c r="AK514" i="8"/>
  <c r="AK515" i="8"/>
  <c r="AK516" i="8"/>
  <c r="AK517" i="8"/>
  <c r="AK518" i="8"/>
  <c r="AK519" i="8"/>
  <c r="AK520" i="8"/>
  <c r="AK521" i="8"/>
  <c r="AK522" i="8"/>
  <c r="AK523" i="8"/>
  <c r="AK524" i="8"/>
  <c r="AK525" i="8"/>
  <c r="AK526" i="8"/>
  <c r="AK527" i="8"/>
  <c r="AK528" i="8"/>
  <c r="AK529" i="8"/>
  <c r="AK530" i="8"/>
  <c r="AK531" i="8"/>
  <c r="AK532" i="8"/>
  <c r="AK533" i="8"/>
  <c r="AK534" i="8"/>
  <c r="AK535" i="8"/>
  <c r="AK536" i="8"/>
  <c r="AK537" i="8"/>
  <c r="AK538" i="8"/>
  <c r="AR538" i="8" s="1"/>
  <c r="AK539" i="8"/>
  <c r="AK540" i="8"/>
  <c r="AK541" i="8"/>
  <c r="AK542" i="8"/>
  <c r="AK543" i="8"/>
  <c r="AK544" i="8"/>
  <c r="AK545" i="8"/>
  <c r="AK546" i="8"/>
  <c r="AK547" i="8"/>
  <c r="AK548" i="8"/>
  <c r="AK549" i="8"/>
  <c r="AK550" i="8"/>
  <c r="AK551" i="8"/>
  <c r="AK552" i="8"/>
  <c r="AK553" i="8"/>
  <c r="AK554" i="8"/>
  <c r="AK555" i="8"/>
  <c r="AK556" i="8"/>
  <c r="AK557" i="8"/>
  <c r="AK558" i="8"/>
  <c r="AK559" i="8"/>
  <c r="AK560" i="8"/>
  <c r="AK561" i="8"/>
  <c r="AK562" i="8"/>
  <c r="AK563" i="8"/>
  <c r="AK564" i="8"/>
  <c r="AK565" i="8"/>
  <c r="AK566" i="8"/>
  <c r="AK567" i="8"/>
  <c r="AK568" i="8"/>
  <c r="AK569" i="8"/>
  <c r="AK570" i="8"/>
  <c r="AK571" i="8"/>
  <c r="AK572" i="8"/>
  <c r="AK573" i="8"/>
  <c r="AK574" i="8"/>
  <c r="AK575" i="8"/>
  <c r="AK576" i="8"/>
  <c r="AK577" i="8"/>
  <c r="AK578" i="8"/>
  <c r="AK579" i="8"/>
  <c r="AK580" i="8"/>
  <c r="AK581" i="8"/>
  <c r="AK582" i="8"/>
  <c r="AK583" i="8"/>
  <c r="AK584" i="8"/>
  <c r="AK585" i="8"/>
  <c r="AK586" i="8"/>
  <c r="AK587" i="8"/>
  <c r="AK588" i="8"/>
  <c r="AK589" i="8"/>
  <c r="AK590" i="8"/>
  <c r="AK591" i="8"/>
  <c r="AK592" i="8"/>
  <c r="AK593" i="8"/>
  <c r="AK594" i="8"/>
  <c r="AK595" i="8"/>
  <c r="AK596" i="8"/>
  <c r="AK597" i="8"/>
  <c r="AK598" i="8"/>
  <c r="AK599" i="8"/>
  <c r="AK600" i="8"/>
  <c r="AK601" i="8"/>
  <c r="AK602" i="8"/>
  <c r="AK603" i="8"/>
  <c r="AK604" i="8"/>
  <c r="AK605" i="8"/>
  <c r="AK606" i="8"/>
  <c r="AK607" i="8"/>
  <c r="AK608" i="8"/>
  <c r="AK609" i="8"/>
  <c r="AK610" i="8"/>
  <c r="AK611" i="8"/>
  <c r="AK612" i="8"/>
  <c r="AK613" i="8"/>
  <c r="AK614" i="8"/>
  <c r="AK615" i="8"/>
  <c r="AK616" i="8"/>
  <c r="AK617" i="8"/>
  <c r="AK618" i="8"/>
  <c r="AK619" i="8"/>
  <c r="AK620" i="8"/>
  <c r="AK621" i="8"/>
  <c r="AK622" i="8"/>
  <c r="AK623" i="8"/>
  <c r="AK624" i="8"/>
  <c r="AK625" i="8"/>
  <c r="AK626" i="8"/>
  <c r="AK627" i="8"/>
  <c r="AK628" i="8"/>
  <c r="AK629" i="8"/>
  <c r="AK630" i="8"/>
  <c r="AK631" i="8"/>
  <c r="AK632" i="8"/>
  <c r="AK633" i="8"/>
  <c r="AK634" i="8"/>
  <c r="AK635" i="8"/>
  <c r="AK636" i="8"/>
  <c r="AK637" i="8"/>
  <c r="AK638" i="8"/>
  <c r="AK639" i="8"/>
  <c r="AK640" i="8"/>
  <c r="AK641" i="8"/>
  <c r="AK642" i="8"/>
  <c r="AK643" i="8"/>
  <c r="AK644" i="8"/>
  <c r="AK645" i="8"/>
  <c r="AK646" i="8"/>
  <c r="AK647" i="8"/>
  <c r="AK648" i="8"/>
  <c r="AK649" i="8"/>
  <c r="AK650" i="8"/>
  <c r="AK651" i="8"/>
  <c r="AK652" i="8"/>
  <c r="AK653" i="8"/>
  <c r="AK654" i="8"/>
  <c r="AK655" i="8"/>
  <c r="AK656" i="8"/>
  <c r="AK657" i="8"/>
  <c r="AK658" i="8"/>
  <c r="AK659" i="8"/>
  <c r="AK660" i="8"/>
  <c r="AK661" i="8"/>
  <c r="AK662" i="8"/>
  <c r="AK663" i="8"/>
  <c r="AK664" i="8"/>
  <c r="AK665" i="8"/>
  <c r="AK666" i="8"/>
  <c r="AK667" i="8"/>
  <c r="AK668" i="8"/>
  <c r="AK669" i="8"/>
  <c r="AK670" i="8"/>
  <c r="AK671" i="8"/>
  <c r="AK672" i="8"/>
  <c r="AK673" i="8"/>
  <c r="AK674" i="8"/>
  <c r="AK675" i="8"/>
  <c r="AK676" i="8"/>
  <c r="AK677" i="8"/>
  <c r="AK678" i="8"/>
  <c r="AK679" i="8"/>
  <c r="AK680" i="8"/>
  <c r="AK681" i="8"/>
  <c r="AK682" i="8"/>
  <c r="AR682" i="8" s="1"/>
  <c r="AK683" i="8"/>
  <c r="AK684" i="8"/>
  <c r="AK685" i="8"/>
  <c r="AK686" i="8"/>
  <c r="AK687" i="8"/>
  <c r="AK688" i="8"/>
  <c r="AK689" i="8"/>
  <c r="AK690" i="8"/>
  <c r="AK691" i="8"/>
  <c r="AK692" i="8"/>
  <c r="AK693" i="8"/>
  <c r="AK694" i="8"/>
  <c r="AK695" i="8"/>
  <c r="AK696" i="8"/>
  <c r="AK697" i="8"/>
  <c r="AK698" i="8"/>
  <c r="AK699" i="8"/>
  <c r="AK700" i="8"/>
  <c r="AK701" i="8"/>
  <c r="AK702" i="8"/>
  <c r="AK703" i="8"/>
  <c r="AK704" i="8"/>
  <c r="AK705" i="8"/>
  <c r="AK706" i="8"/>
  <c r="AK707" i="8"/>
  <c r="AK708" i="8"/>
  <c r="AK709" i="8"/>
  <c r="AK710" i="8"/>
  <c r="AK711" i="8"/>
  <c r="AK712" i="8"/>
  <c r="AK713" i="8"/>
  <c r="AK714" i="8"/>
  <c r="AK715" i="8"/>
  <c r="AK716" i="8"/>
  <c r="AK717" i="8"/>
  <c r="AK718" i="8"/>
  <c r="AK719" i="8"/>
  <c r="AK720" i="8"/>
  <c r="AK721" i="8"/>
  <c r="AK722" i="8"/>
  <c r="AK723" i="8"/>
  <c r="AK724" i="8"/>
  <c r="AK725" i="8"/>
  <c r="AK726" i="8"/>
  <c r="AK727" i="8"/>
  <c r="AK728" i="8"/>
  <c r="AK729" i="8"/>
  <c r="AK730" i="8"/>
  <c r="AK731" i="8"/>
  <c r="AK732" i="8"/>
  <c r="AK733" i="8"/>
  <c r="AK734" i="8"/>
  <c r="AK735" i="8"/>
  <c r="AK736" i="8"/>
  <c r="AK737" i="8"/>
  <c r="AK738" i="8"/>
  <c r="AK739" i="8"/>
  <c r="AK740" i="8"/>
  <c r="AK741" i="8"/>
  <c r="AK742" i="8"/>
  <c r="AK743" i="8"/>
  <c r="AK744" i="8"/>
  <c r="AK745" i="8"/>
  <c r="AK746" i="8"/>
  <c r="AK747" i="8"/>
  <c r="AK748" i="8"/>
  <c r="AK749" i="8"/>
  <c r="AK750" i="8"/>
  <c r="AK751" i="8"/>
  <c r="AK752" i="8"/>
  <c r="AK753" i="8"/>
  <c r="AK754" i="8"/>
  <c r="AK755" i="8"/>
  <c r="AK756" i="8"/>
  <c r="AK757" i="8"/>
  <c r="AK758" i="8"/>
  <c r="AK759" i="8"/>
  <c r="AK760" i="8"/>
  <c r="AK761" i="8"/>
  <c r="AK762" i="8"/>
  <c r="AK763" i="8"/>
  <c r="AK764" i="8"/>
  <c r="AK765" i="8"/>
  <c r="AK766" i="8"/>
  <c r="AK767" i="8"/>
  <c r="AK768" i="8"/>
  <c r="AK769" i="8"/>
  <c r="AK770" i="8"/>
  <c r="AK771" i="8"/>
  <c r="AK772" i="8"/>
  <c r="AK773" i="8"/>
  <c r="AK774" i="8"/>
  <c r="AK775" i="8"/>
  <c r="AK776" i="8"/>
  <c r="AK777" i="8"/>
  <c r="AK778" i="8"/>
  <c r="AK779" i="8"/>
  <c r="AK780" i="8"/>
  <c r="AK781" i="8"/>
  <c r="AK782" i="8"/>
  <c r="AK783" i="8"/>
  <c r="AK784" i="8"/>
  <c r="AK785" i="8"/>
  <c r="AK786" i="8"/>
  <c r="AK787" i="8"/>
  <c r="AK788" i="8"/>
  <c r="AK789" i="8"/>
  <c r="AK790" i="8"/>
  <c r="AK791" i="8"/>
  <c r="AK792" i="8"/>
  <c r="AK793" i="8"/>
  <c r="AK794" i="8"/>
  <c r="AK795" i="8"/>
  <c r="AK796" i="8"/>
  <c r="AK797" i="8"/>
  <c r="AK798" i="8"/>
  <c r="AK799" i="8"/>
  <c r="AK800" i="8"/>
  <c r="AK801" i="8"/>
  <c r="AK802" i="8"/>
  <c r="AK803" i="8"/>
  <c r="AK804" i="8"/>
  <c r="AK805" i="8"/>
  <c r="AK806" i="8"/>
  <c r="AK807" i="8"/>
  <c r="AK808" i="8"/>
  <c r="AK809" i="8"/>
  <c r="AK810" i="8"/>
  <c r="AK811" i="8"/>
  <c r="AK812" i="8"/>
  <c r="AK813" i="8"/>
  <c r="AK814" i="8"/>
  <c r="AK815" i="8"/>
  <c r="AK816" i="8"/>
  <c r="AK817" i="8"/>
  <c r="AK818" i="8"/>
  <c r="AK819" i="8"/>
  <c r="AK820" i="8"/>
  <c r="AK821" i="8"/>
  <c r="AK822" i="8"/>
  <c r="AK823" i="8"/>
  <c r="AK824" i="8"/>
  <c r="AK825" i="8"/>
  <c r="AK826" i="8"/>
  <c r="AK827" i="8"/>
  <c r="AK828" i="8"/>
  <c r="AK829" i="8"/>
  <c r="AK830" i="8"/>
  <c r="AK831" i="8"/>
  <c r="AK832" i="8"/>
  <c r="AK833" i="8"/>
  <c r="AK834" i="8"/>
  <c r="AK835" i="8"/>
  <c r="AK836" i="8"/>
  <c r="AK837" i="8"/>
  <c r="AK838" i="8"/>
  <c r="AK839" i="8"/>
  <c r="AK840" i="8"/>
  <c r="AK841" i="8"/>
  <c r="AK842" i="8"/>
  <c r="AK843" i="8"/>
  <c r="AK844" i="8"/>
  <c r="AK845" i="8"/>
  <c r="AK846" i="8"/>
  <c r="AK847" i="8"/>
  <c r="AK848" i="8"/>
  <c r="AK849" i="8"/>
  <c r="AK850" i="8"/>
  <c r="AK851" i="8"/>
  <c r="AK852" i="8"/>
  <c r="AK853" i="8"/>
  <c r="AK854" i="8"/>
  <c r="AK855" i="8"/>
  <c r="AK856" i="8"/>
  <c r="AK857" i="8"/>
  <c r="AK858" i="8"/>
  <c r="AK859" i="8"/>
  <c r="AK860" i="8"/>
  <c r="AK861" i="8"/>
  <c r="AK862" i="8"/>
  <c r="AK863" i="8"/>
  <c r="AK864" i="8"/>
  <c r="AK865" i="8"/>
  <c r="AK866" i="8"/>
  <c r="AK867" i="8"/>
  <c r="AK868" i="8"/>
  <c r="AK869" i="8"/>
  <c r="AK870" i="8"/>
  <c r="AK871" i="8"/>
  <c r="AK872" i="8"/>
  <c r="AK873" i="8"/>
  <c r="AK874" i="8"/>
  <c r="AK875" i="8"/>
  <c r="AK876" i="8"/>
  <c r="AK877" i="8"/>
  <c r="AK878" i="8"/>
  <c r="AK879" i="8"/>
  <c r="AK880" i="8"/>
  <c r="AK881" i="8"/>
  <c r="AK882" i="8"/>
  <c r="AK883" i="8"/>
  <c r="AK884" i="8"/>
  <c r="AK885" i="8"/>
  <c r="AK886" i="8"/>
  <c r="AK887" i="8"/>
  <c r="AK888" i="8"/>
  <c r="AK889" i="8"/>
  <c r="AK890" i="8"/>
  <c r="AK891" i="8"/>
  <c r="AK892" i="8"/>
  <c r="AK893" i="8"/>
  <c r="AK894" i="8"/>
  <c r="AK895" i="8"/>
  <c r="AK896" i="8"/>
  <c r="AK897" i="8"/>
  <c r="AK898" i="8"/>
  <c r="AK899" i="8"/>
  <c r="AK900" i="8"/>
  <c r="AK901" i="8"/>
  <c r="AK902" i="8"/>
  <c r="AK903" i="8"/>
  <c r="AK904" i="8"/>
  <c r="AK905" i="8"/>
  <c r="AK906" i="8"/>
  <c r="AK907" i="8"/>
  <c r="AK908" i="8"/>
  <c r="AK909" i="8"/>
  <c r="AK910" i="8"/>
  <c r="AK911" i="8"/>
  <c r="AK912" i="8"/>
  <c r="AK913" i="8"/>
  <c r="AK914" i="8"/>
  <c r="AK915" i="8"/>
  <c r="AK916" i="8"/>
  <c r="AK917" i="8"/>
  <c r="AK918" i="8"/>
  <c r="AK919" i="8"/>
  <c r="AK920" i="8"/>
  <c r="AK921" i="8"/>
  <c r="AK922" i="8"/>
  <c r="AK923" i="8"/>
  <c r="AK924" i="8"/>
  <c r="AK925" i="8"/>
  <c r="AK926" i="8"/>
  <c r="AK927" i="8"/>
  <c r="AK928" i="8"/>
  <c r="AK929" i="8"/>
  <c r="AK930" i="8"/>
  <c r="AK931" i="8"/>
  <c r="AK932" i="8"/>
  <c r="AK933" i="8"/>
  <c r="AK934" i="8"/>
  <c r="AK935" i="8"/>
  <c r="AK936" i="8"/>
  <c r="AK937" i="8"/>
  <c r="AK938" i="8"/>
  <c r="AK939" i="8"/>
  <c r="AK940" i="8"/>
  <c r="AK941" i="8"/>
  <c r="AK942" i="8"/>
  <c r="AK943" i="8"/>
  <c r="AK944" i="8"/>
  <c r="AK945" i="8"/>
  <c r="AK946" i="8"/>
  <c r="AK947" i="8"/>
  <c r="AK948" i="8"/>
  <c r="AK949" i="8"/>
  <c r="AK950" i="8"/>
  <c r="AK951" i="8"/>
  <c r="AK952" i="8"/>
  <c r="AK953" i="8"/>
  <c r="AK954" i="8"/>
  <c r="AK955" i="8"/>
  <c r="AK956" i="8"/>
  <c r="AK957" i="8"/>
  <c r="AK958" i="8"/>
  <c r="AK959" i="8"/>
  <c r="AK960" i="8"/>
  <c r="AK961" i="8"/>
  <c r="AK962" i="8"/>
  <c r="AK963" i="8"/>
  <c r="AK964" i="8"/>
  <c r="AK965" i="8"/>
  <c r="AK966" i="8"/>
  <c r="AK967" i="8"/>
  <c r="AK968" i="8"/>
  <c r="AK969" i="8"/>
  <c r="AK970" i="8"/>
  <c r="AK971" i="8"/>
  <c r="AK972" i="8"/>
  <c r="AK973" i="8"/>
  <c r="AK974" i="8"/>
  <c r="AK975" i="8"/>
  <c r="AK976" i="8"/>
  <c r="AK977" i="8"/>
  <c r="AK978" i="8"/>
  <c r="AK979" i="8"/>
  <c r="AK980" i="8"/>
  <c r="AK981" i="8"/>
  <c r="AK982" i="8"/>
  <c r="AK983" i="8"/>
  <c r="AK984" i="8"/>
  <c r="AK985" i="8"/>
  <c r="AK986" i="8"/>
  <c r="AK987" i="8"/>
  <c r="AK988" i="8"/>
  <c r="AK989" i="8"/>
  <c r="AK990" i="8"/>
  <c r="AK991" i="8"/>
  <c r="AK992" i="8"/>
  <c r="AK993" i="8"/>
  <c r="AK994" i="8"/>
  <c r="AK995" i="8"/>
  <c r="AK996" i="8"/>
  <c r="AK997" i="8"/>
  <c r="AK998" i="8"/>
  <c r="AK999" i="8"/>
  <c r="AK1000" i="8"/>
  <c r="AK1001" i="8"/>
  <c r="AK1002" i="8"/>
  <c r="AK1003" i="8"/>
  <c r="AK1004" i="8"/>
  <c r="AK1005" i="8"/>
  <c r="AK1006" i="8"/>
  <c r="AK1007" i="8"/>
  <c r="AK1008" i="8"/>
  <c r="AK1009" i="8"/>
  <c r="AK1010" i="8"/>
  <c r="AK1011" i="8"/>
  <c r="AK1012" i="8"/>
  <c r="AK1013" i="8"/>
  <c r="AK1014" i="8"/>
  <c r="AK1015" i="8"/>
  <c r="AK1016" i="8"/>
  <c r="AK1017" i="8"/>
  <c r="AK1018" i="8"/>
  <c r="AK1019" i="8"/>
  <c r="AK1020" i="8"/>
  <c r="AK1021" i="8"/>
  <c r="AK1022" i="8"/>
  <c r="AK1023" i="8"/>
  <c r="AK1024" i="8"/>
  <c r="AK1025" i="8"/>
  <c r="AK1026" i="8"/>
  <c r="AK1027" i="8"/>
  <c r="AK1028" i="8"/>
  <c r="AK1029" i="8"/>
  <c r="AK1030" i="8"/>
  <c r="AK1031" i="8"/>
  <c r="AK1032" i="8"/>
  <c r="AK1033" i="8"/>
  <c r="AK1034" i="8"/>
  <c r="AK1035" i="8"/>
  <c r="AK1036" i="8"/>
  <c r="AK1037" i="8"/>
  <c r="AK1038" i="8"/>
  <c r="AK1039" i="8"/>
  <c r="AK1040" i="8"/>
  <c r="AK1041" i="8"/>
  <c r="AK1042" i="8"/>
  <c r="AK1043" i="8"/>
  <c r="AK1044" i="8"/>
  <c r="AK1045" i="8"/>
  <c r="AK1046" i="8"/>
  <c r="AK1047" i="8"/>
  <c r="AK1048" i="8"/>
  <c r="AK1049" i="8"/>
  <c r="AK1050" i="8"/>
  <c r="AK1051" i="8"/>
  <c r="AK1052" i="8"/>
  <c r="AK1053" i="8"/>
  <c r="AK1054" i="8"/>
  <c r="AK1055" i="8"/>
  <c r="AK1056" i="8"/>
  <c r="AK1057" i="8"/>
  <c r="AK1058" i="8"/>
  <c r="AK1059" i="8"/>
  <c r="AK1060" i="8"/>
  <c r="AK1061" i="8"/>
  <c r="AK1062" i="8"/>
  <c r="AK1063" i="8"/>
  <c r="AK1064" i="8"/>
  <c r="AK1065" i="8"/>
  <c r="AK1066" i="8"/>
  <c r="AK1067" i="8"/>
  <c r="AK1068" i="8"/>
  <c r="AK1069" i="8"/>
  <c r="AK1070" i="8"/>
  <c r="AK1071" i="8"/>
  <c r="AK1072" i="8"/>
  <c r="AK1073" i="8"/>
  <c r="AK1074" i="8"/>
  <c r="AK1075" i="8"/>
  <c r="AK1076" i="8"/>
  <c r="AK1077" i="8"/>
  <c r="AK1078" i="8"/>
  <c r="AK1079" i="8"/>
  <c r="AK1080" i="8"/>
  <c r="AK1081" i="8"/>
  <c r="AK1082" i="8"/>
  <c r="AK1083" i="8"/>
  <c r="AK1084" i="8"/>
  <c r="AK1085" i="8"/>
  <c r="AK1086" i="8"/>
  <c r="AK1087" i="8"/>
  <c r="AK1088" i="8"/>
  <c r="AK1089" i="8"/>
  <c r="AK1090" i="8"/>
  <c r="AK1091" i="8"/>
  <c r="AK1092" i="8"/>
  <c r="AK1093" i="8"/>
  <c r="AK1094" i="8"/>
  <c r="AK1095" i="8"/>
  <c r="AK1096" i="8"/>
  <c r="AK1097" i="8"/>
  <c r="AK1098" i="8"/>
  <c r="AK1099" i="8"/>
  <c r="AK1100" i="8"/>
  <c r="AK1101" i="8"/>
  <c r="AK1102" i="8"/>
  <c r="AK1103" i="8"/>
  <c r="AK1104" i="8"/>
  <c r="AK1105" i="8"/>
  <c r="AK1106" i="8"/>
  <c r="AK1107" i="8"/>
  <c r="AK1108" i="8"/>
  <c r="AK1109" i="8"/>
  <c r="AK1110" i="8"/>
  <c r="AK1111" i="8"/>
  <c r="AK1112" i="8"/>
  <c r="AK1113" i="8"/>
  <c r="AK1114" i="8"/>
  <c r="AK1115" i="8"/>
  <c r="AK1116" i="8"/>
  <c r="AK1117" i="8"/>
  <c r="AK1118" i="8"/>
  <c r="AK1119" i="8"/>
  <c r="AK1120" i="8"/>
  <c r="AK1121" i="8"/>
  <c r="AK1122" i="8"/>
  <c r="AK1123" i="8"/>
  <c r="AK1124" i="8"/>
  <c r="AK1125" i="8"/>
  <c r="AK1126" i="8"/>
  <c r="AK1127" i="8"/>
  <c r="AK1128" i="8"/>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0" i="8"/>
  <c r="AL61" i="8"/>
  <c r="AL62" i="8"/>
  <c r="AL63" i="8"/>
  <c r="AL64" i="8"/>
  <c r="AL65" i="8"/>
  <c r="AL66" i="8"/>
  <c r="AL67" i="8"/>
  <c r="AL68" i="8"/>
  <c r="AL69" i="8"/>
  <c r="AL70" i="8"/>
  <c r="AL71" i="8"/>
  <c r="AL72" i="8"/>
  <c r="AL73" i="8"/>
  <c r="AL74" i="8"/>
  <c r="AL75" i="8"/>
  <c r="AL76" i="8"/>
  <c r="AL77" i="8"/>
  <c r="AL78" i="8"/>
  <c r="AL79" i="8"/>
  <c r="AL80" i="8"/>
  <c r="AL81" i="8"/>
  <c r="AL82" i="8"/>
  <c r="AL83" i="8"/>
  <c r="AL84" i="8"/>
  <c r="AL85" i="8"/>
  <c r="AL86" i="8"/>
  <c r="AL87" i="8"/>
  <c r="AL88" i="8"/>
  <c r="AL89" i="8"/>
  <c r="AL90" i="8"/>
  <c r="AL91" i="8"/>
  <c r="AL92" i="8"/>
  <c r="AL93" i="8"/>
  <c r="AL94" i="8"/>
  <c r="AL95" i="8"/>
  <c r="AL96" i="8"/>
  <c r="AL97" i="8"/>
  <c r="AL98" i="8"/>
  <c r="AL99" i="8"/>
  <c r="AL100" i="8"/>
  <c r="AL101" i="8"/>
  <c r="AL102" i="8"/>
  <c r="AL103" i="8"/>
  <c r="AL104" i="8"/>
  <c r="AL105" i="8"/>
  <c r="AL106" i="8"/>
  <c r="AL107" i="8"/>
  <c r="AL108" i="8"/>
  <c r="AL109" i="8"/>
  <c r="AL110" i="8"/>
  <c r="AL111" i="8"/>
  <c r="AL112" i="8"/>
  <c r="AL113" i="8"/>
  <c r="AL114" i="8"/>
  <c r="AL115" i="8"/>
  <c r="AL116" i="8"/>
  <c r="AL117" i="8"/>
  <c r="AL118" i="8"/>
  <c r="AL119" i="8"/>
  <c r="AL120" i="8"/>
  <c r="AL121" i="8"/>
  <c r="AL122" i="8"/>
  <c r="AL123" i="8"/>
  <c r="AL124" i="8"/>
  <c r="AL125" i="8"/>
  <c r="AL126" i="8"/>
  <c r="AL127" i="8"/>
  <c r="AL128" i="8"/>
  <c r="AL129" i="8"/>
  <c r="AL130" i="8"/>
  <c r="AL131" i="8"/>
  <c r="AL132" i="8"/>
  <c r="AL133" i="8"/>
  <c r="AL134" i="8"/>
  <c r="AL135" i="8"/>
  <c r="AL136" i="8"/>
  <c r="AL137" i="8"/>
  <c r="AL138" i="8"/>
  <c r="AL139" i="8"/>
  <c r="AL140" i="8"/>
  <c r="AL141" i="8"/>
  <c r="AL142" i="8"/>
  <c r="AL143" i="8"/>
  <c r="AL144" i="8"/>
  <c r="AL145" i="8"/>
  <c r="AL146" i="8"/>
  <c r="AL147" i="8"/>
  <c r="AL148" i="8"/>
  <c r="AL149" i="8"/>
  <c r="AL150" i="8"/>
  <c r="AL151" i="8"/>
  <c r="AL152" i="8"/>
  <c r="AL153" i="8"/>
  <c r="AL154" i="8"/>
  <c r="AL155" i="8"/>
  <c r="AL156" i="8"/>
  <c r="AL157" i="8"/>
  <c r="AL158" i="8"/>
  <c r="AL159" i="8"/>
  <c r="AL160" i="8"/>
  <c r="AL161" i="8"/>
  <c r="AL162" i="8"/>
  <c r="AL163" i="8"/>
  <c r="AL164" i="8"/>
  <c r="AL165" i="8"/>
  <c r="AL166" i="8"/>
  <c r="AL167" i="8"/>
  <c r="AL168" i="8"/>
  <c r="AL169" i="8"/>
  <c r="AL170" i="8"/>
  <c r="AL171" i="8"/>
  <c r="AL172" i="8"/>
  <c r="AL173" i="8"/>
  <c r="AL174" i="8"/>
  <c r="AL175" i="8"/>
  <c r="AL176" i="8"/>
  <c r="AL177" i="8"/>
  <c r="AL178" i="8"/>
  <c r="AL179" i="8"/>
  <c r="AL180" i="8"/>
  <c r="AL181" i="8"/>
  <c r="AL182" i="8"/>
  <c r="AL183" i="8"/>
  <c r="AL184" i="8"/>
  <c r="AL185" i="8"/>
  <c r="AL186" i="8"/>
  <c r="AL187" i="8"/>
  <c r="AL188" i="8"/>
  <c r="AL189" i="8"/>
  <c r="AL190" i="8"/>
  <c r="AL191" i="8"/>
  <c r="AL192" i="8"/>
  <c r="AL193" i="8"/>
  <c r="AL194" i="8"/>
  <c r="AL195" i="8"/>
  <c r="AL196" i="8"/>
  <c r="AL197" i="8"/>
  <c r="AL198" i="8"/>
  <c r="AL199" i="8"/>
  <c r="AL200" i="8"/>
  <c r="AL201" i="8"/>
  <c r="AL202" i="8"/>
  <c r="AL203" i="8"/>
  <c r="AL204" i="8"/>
  <c r="AL205" i="8"/>
  <c r="AL206" i="8"/>
  <c r="AL207" i="8"/>
  <c r="AL208" i="8"/>
  <c r="AQ208" i="8" s="1"/>
  <c r="AL209" i="8"/>
  <c r="AL210" i="8"/>
  <c r="AL211" i="8"/>
  <c r="AL212" i="8"/>
  <c r="AL213" i="8"/>
  <c r="AL214" i="8"/>
  <c r="AL215" i="8"/>
  <c r="AL216" i="8"/>
  <c r="AL217" i="8"/>
  <c r="AL218" i="8"/>
  <c r="AL219" i="8"/>
  <c r="AL220" i="8"/>
  <c r="AL221" i="8"/>
  <c r="AL222" i="8"/>
  <c r="AL223" i="8"/>
  <c r="AL224" i="8"/>
  <c r="AL225" i="8"/>
  <c r="AL226" i="8"/>
  <c r="AL227" i="8"/>
  <c r="AL228" i="8"/>
  <c r="AL229" i="8"/>
  <c r="AL230" i="8"/>
  <c r="AL231" i="8"/>
  <c r="AL232" i="8"/>
  <c r="AL233" i="8"/>
  <c r="AL234" i="8"/>
  <c r="AL235" i="8"/>
  <c r="AL236" i="8"/>
  <c r="AL237" i="8"/>
  <c r="AL238" i="8"/>
  <c r="AL239" i="8"/>
  <c r="AL240" i="8"/>
  <c r="AL241" i="8"/>
  <c r="AL242" i="8"/>
  <c r="AL243" i="8"/>
  <c r="AL244" i="8"/>
  <c r="AL245" i="8"/>
  <c r="AL246" i="8"/>
  <c r="AL247" i="8"/>
  <c r="AL248" i="8"/>
  <c r="AL249" i="8"/>
  <c r="AL250" i="8"/>
  <c r="AL251" i="8"/>
  <c r="AL252" i="8"/>
  <c r="AL253" i="8"/>
  <c r="AL254" i="8"/>
  <c r="AL255" i="8"/>
  <c r="AL256" i="8"/>
  <c r="AL257" i="8"/>
  <c r="AL258" i="8"/>
  <c r="AL259" i="8"/>
  <c r="AL260" i="8"/>
  <c r="AL261" i="8"/>
  <c r="AL262" i="8"/>
  <c r="AL263" i="8"/>
  <c r="AL264" i="8"/>
  <c r="AL265" i="8"/>
  <c r="AL266" i="8"/>
  <c r="AL267" i="8"/>
  <c r="AL268" i="8"/>
  <c r="AL269" i="8"/>
  <c r="AL270" i="8"/>
  <c r="AL271" i="8"/>
  <c r="AL272" i="8"/>
  <c r="AL273" i="8"/>
  <c r="AL274" i="8"/>
  <c r="AL275" i="8"/>
  <c r="AL276" i="8"/>
  <c r="AL277" i="8"/>
  <c r="AL278" i="8"/>
  <c r="AL279" i="8"/>
  <c r="AL280" i="8"/>
  <c r="AL281" i="8"/>
  <c r="AL282" i="8"/>
  <c r="AL283" i="8"/>
  <c r="AL284" i="8"/>
  <c r="AL285" i="8"/>
  <c r="AL286" i="8"/>
  <c r="AL287" i="8"/>
  <c r="AL288" i="8"/>
  <c r="AL289" i="8"/>
  <c r="AL290" i="8"/>
  <c r="AL291" i="8"/>
  <c r="AL292" i="8"/>
  <c r="AL293" i="8"/>
  <c r="AL294" i="8"/>
  <c r="AL295" i="8"/>
  <c r="AL296" i="8"/>
  <c r="AL297" i="8"/>
  <c r="AL298" i="8"/>
  <c r="AL299" i="8"/>
  <c r="AL300" i="8"/>
  <c r="AL301" i="8"/>
  <c r="AL302" i="8"/>
  <c r="AL303" i="8"/>
  <c r="AL304" i="8"/>
  <c r="AL305" i="8"/>
  <c r="AL306" i="8"/>
  <c r="AL307" i="8"/>
  <c r="AL308" i="8"/>
  <c r="AL309" i="8"/>
  <c r="AL310" i="8"/>
  <c r="AL311" i="8"/>
  <c r="AL312" i="8"/>
  <c r="AL313" i="8"/>
  <c r="AL314" i="8"/>
  <c r="AL315" i="8"/>
  <c r="AL316" i="8"/>
  <c r="AL317" i="8"/>
  <c r="AL318" i="8"/>
  <c r="AL319" i="8"/>
  <c r="AL320" i="8"/>
  <c r="AL321" i="8"/>
  <c r="AL322" i="8"/>
  <c r="AL323" i="8"/>
  <c r="AL324" i="8"/>
  <c r="AL325" i="8"/>
  <c r="AL326" i="8"/>
  <c r="AL327" i="8"/>
  <c r="AL328" i="8"/>
  <c r="AL329" i="8"/>
  <c r="AL330" i="8"/>
  <c r="AL331" i="8"/>
  <c r="AL332" i="8"/>
  <c r="AL333" i="8"/>
  <c r="AL334" i="8"/>
  <c r="AL335" i="8"/>
  <c r="AL336" i="8"/>
  <c r="AL337" i="8"/>
  <c r="AL338" i="8"/>
  <c r="AL339" i="8"/>
  <c r="AL340" i="8"/>
  <c r="AL341" i="8"/>
  <c r="AL342" i="8"/>
  <c r="AL343" i="8"/>
  <c r="AL344" i="8"/>
  <c r="AL345" i="8"/>
  <c r="AL346" i="8"/>
  <c r="AL347" i="8"/>
  <c r="AL348" i="8"/>
  <c r="AL349" i="8"/>
  <c r="AL350" i="8"/>
  <c r="AL351" i="8"/>
  <c r="AL352" i="8"/>
  <c r="AL353" i="8"/>
  <c r="AL354" i="8"/>
  <c r="AL355" i="8"/>
  <c r="AL356" i="8"/>
  <c r="AL357" i="8"/>
  <c r="AL358" i="8"/>
  <c r="AL359" i="8"/>
  <c r="AL360" i="8"/>
  <c r="AL361" i="8"/>
  <c r="AL362" i="8"/>
  <c r="AL363" i="8"/>
  <c r="AL364" i="8"/>
  <c r="AL365" i="8"/>
  <c r="AL366" i="8"/>
  <c r="AL367" i="8"/>
  <c r="AL368" i="8"/>
  <c r="AL369" i="8"/>
  <c r="AL370" i="8"/>
  <c r="AL371" i="8"/>
  <c r="AL372" i="8"/>
  <c r="AL373" i="8"/>
  <c r="AL374" i="8"/>
  <c r="AL375" i="8"/>
  <c r="AL376" i="8"/>
  <c r="AL377" i="8"/>
  <c r="AL378" i="8"/>
  <c r="AL379" i="8"/>
  <c r="AL380" i="8"/>
  <c r="AL381" i="8"/>
  <c r="AL382" i="8"/>
  <c r="AL383" i="8"/>
  <c r="AL384" i="8"/>
  <c r="AL385" i="8"/>
  <c r="AL386" i="8"/>
  <c r="AL387" i="8"/>
  <c r="AL388" i="8"/>
  <c r="AL389" i="8"/>
  <c r="AL390" i="8"/>
  <c r="AL391" i="8"/>
  <c r="AL392" i="8"/>
  <c r="AL393" i="8"/>
  <c r="AL394" i="8"/>
  <c r="AL395" i="8"/>
  <c r="AL396" i="8"/>
  <c r="AL397" i="8"/>
  <c r="AL398" i="8"/>
  <c r="AL399" i="8"/>
  <c r="AL400" i="8"/>
  <c r="AL401" i="8"/>
  <c r="AL402" i="8"/>
  <c r="AL403" i="8"/>
  <c r="AL404" i="8"/>
  <c r="AL405" i="8"/>
  <c r="AL406" i="8"/>
  <c r="AL407" i="8"/>
  <c r="AL408" i="8"/>
  <c r="AL409" i="8"/>
  <c r="AL410" i="8"/>
  <c r="AL411" i="8"/>
  <c r="AL412" i="8"/>
  <c r="AL413" i="8"/>
  <c r="AL414" i="8"/>
  <c r="AL415" i="8"/>
  <c r="AL416" i="8"/>
  <c r="AL417" i="8"/>
  <c r="AL418" i="8"/>
  <c r="AL419" i="8"/>
  <c r="AL420" i="8"/>
  <c r="AL421" i="8"/>
  <c r="AL422" i="8"/>
  <c r="AL423" i="8"/>
  <c r="AL424" i="8"/>
  <c r="AL425" i="8"/>
  <c r="AL426" i="8"/>
  <c r="AL427" i="8"/>
  <c r="AL428" i="8"/>
  <c r="AL429" i="8"/>
  <c r="AL430" i="8"/>
  <c r="AL431" i="8"/>
  <c r="AL432" i="8"/>
  <c r="AL433" i="8"/>
  <c r="AL434" i="8"/>
  <c r="AL435" i="8"/>
  <c r="AL436" i="8"/>
  <c r="AL437" i="8"/>
  <c r="AL438" i="8"/>
  <c r="AL439" i="8"/>
  <c r="AL440" i="8"/>
  <c r="AL441" i="8"/>
  <c r="AL442" i="8"/>
  <c r="AL443" i="8"/>
  <c r="AL444" i="8"/>
  <c r="AL445" i="8"/>
  <c r="AL446" i="8"/>
  <c r="AL447" i="8"/>
  <c r="AL448" i="8"/>
  <c r="AL449" i="8"/>
  <c r="AL450" i="8"/>
  <c r="AL451" i="8"/>
  <c r="AL452" i="8"/>
  <c r="AL453" i="8"/>
  <c r="AL454" i="8"/>
  <c r="AL455" i="8"/>
  <c r="AL456" i="8"/>
  <c r="AL457" i="8"/>
  <c r="AL458" i="8"/>
  <c r="AL459" i="8"/>
  <c r="AL460" i="8"/>
  <c r="AL461" i="8"/>
  <c r="AL462" i="8"/>
  <c r="AL463" i="8"/>
  <c r="AL464" i="8"/>
  <c r="AL465" i="8"/>
  <c r="AL466" i="8"/>
  <c r="AL467" i="8"/>
  <c r="AL468" i="8"/>
  <c r="AL469" i="8"/>
  <c r="AL470" i="8"/>
  <c r="AL471" i="8"/>
  <c r="AL472" i="8"/>
  <c r="AL473" i="8"/>
  <c r="AL474" i="8"/>
  <c r="AL475" i="8"/>
  <c r="AL476" i="8"/>
  <c r="AL477" i="8"/>
  <c r="AL478" i="8"/>
  <c r="AL479" i="8"/>
  <c r="AL480" i="8"/>
  <c r="AL481" i="8"/>
  <c r="AL482" i="8"/>
  <c r="AL483" i="8"/>
  <c r="AL484" i="8"/>
  <c r="AL485" i="8"/>
  <c r="AL486" i="8"/>
  <c r="AL487" i="8"/>
  <c r="AL488" i="8"/>
  <c r="AL489" i="8"/>
  <c r="AL490" i="8"/>
  <c r="AL491" i="8"/>
  <c r="AL492" i="8"/>
  <c r="AL493" i="8"/>
  <c r="AL494" i="8"/>
  <c r="AL495" i="8"/>
  <c r="AL496" i="8"/>
  <c r="AL497" i="8"/>
  <c r="AL498" i="8"/>
  <c r="AL499" i="8"/>
  <c r="AL500" i="8"/>
  <c r="AL501" i="8"/>
  <c r="AL502" i="8"/>
  <c r="AL503" i="8"/>
  <c r="AL504" i="8"/>
  <c r="AL505" i="8"/>
  <c r="AL506" i="8"/>
  <c r="AL507" i="8"/>
  <c r="AL508" i="8"/>
  <c r="AL509" i="8"/>
  <c r="AL510" i="8"/>
  <c r="AL511" i="8"/>
  <c r="AL512" i="8"/>
  <c r="AL513" i="8"/>
  <c r="AL514" i="8"/>
  <c r="AL515" i="8"/>
  <c r="AL516" i="8"/>
  <c r="AL517" i="8"/>
  <c r="AL518" i="8"/>
  <c r="AL519" i="8"/>
  <c r="AL520" i="8"/>
  <c r="AL521" i="8"/>
  <c r="AL522" i="8"/>
  <c r="AL523" i="8"/>
  <c r="AL524" i="8"/>
  <c r="AL525" i="8"/>
  <c r="AL526" i="8"/>
  <c r="AL527" i="8"/>
  <c r="AL528" i="8"/>
  <c r="AL529" i="8"/>
  <c r="AL530" i="8"/>
  <c r="AL531" i="8"/>
  <c r="AL532" i="8"/>
  <c r="AL533" i="8"/>
  <c r="AL534" i="8"/>
  <c r="AL535" i="8"/>
  <c r="AL536" i="8"/>
  <c r="AL537" i="8"/>
  <c r="AL538" i="8"/>
  <c r="AL539" i="8"/>
  <c r="AL540" i="8"/>
  <c r="AL541" i="8"/>
  <c r="AL542" i="8"/>
  <c r="AL543" i="8"/>
  <c r="AL544" i="8"/>
  <c r="AL545" i="8"/>
  <c r="AL546" i="8"/>
  <c r="AL547" i="8"/>
  <c r="AL548" i="8"/>
  <c r="AL549" i="8"/>
  <c r="AL550" i="8"/>
  <c r="AL551" i="8"/>
  <c r="AL552" i="8"/>
  <c r="AL553" i="8"/>
  <c r="AL554" i="8"/>
  <c r="AL555" i="8"/>
  <c r="AL556" i="8"/>
  <c r="AL557" i="8"/>
  <c r="AL558" i="8"/>
  <c r="AL559" i="8"/>
  <c r="AL560" i="8"/>
  <c r="AL561" i="8"/>
  <c r="AL562" i="8"/>
  <c r="AL563" i="8"/>
  <c r="AL564" i="8"/>
  <c r="AL565" i="8"/>
  <c r="AL566" i="8"/>
  <c r="AL567" i="8"/>
  <c r="AL568" i="8"/>
  <c r="AL569" i="8"/>
  <c r="AL570" i="8"/>
  <c r="AL571" i="8"/>
  <c r="AL572" i="8"/>
  <c r="AL573" i="8"/>
  <c r="AL574" i="8"/>
  <c r="AL575" i="8"/>
  <c r="AL576" i="8"/>
  <c r="AL577" i="8"/>
  <c r="AL578" i="8"/>
  <c r="AL579" i="8"/>
  <c r="AL580" i="8"/>
  <c r="AL581" i="8"/>
  <c r="AL582" i="8"/>
  <c r="AL583" i="8"/>
  <c r="AL584" i="8"/>
  <c r="AL585" i="8"/>
  <c r="AL586" i="8"/>
  <c r="AL587" i="8"/>
  <c r="AL588" i="8"/>
  <c r="AL589" i="8"/>
  <c r="AL590" i="8"/>
  <c r="AL591" i="8"/>
  <c r="AL592" i="8"/>
  <c r="AL593" i="8"/>
  <c r="AL594" i="8"/>
  <c r="AL595" i="8"/>
  <c r="AL596" i="8"/>
  <c r="AL597" i="8"/>
  <c r="AL598" i="8"/>
  <c r="AL599" i="8"/>
  <c r="AL600" i="8"/>
  <c r="AL601" i="8"/>
  <c r="AL602" i="8"/>
  <c r="AL603" i="8"/>
  <c r="AL604" i="8"/>
  <c r="AL605" i="8"/>
  <c r="AL606" i="8"/>
  <c r="AL607" i="8"/>
  <c r="AL608" i="8"/>
  <c r="AL609" i="8"/>
  <c r="AL610" i="8"/>
  <c r="AL611" i="8"/>
  <c r="AL612" i="8"/>
  <c r="AL613" i="8"/>
  <c r="AL614" i="8"/>
  <c r="AL615" i="8"/>
  <c r="AL616" i="8"/>
  <c r="AL617" i="8"/>
  <c r="AL618" i="8"/>
  <c r="AL619" i="8"/>
  <c r="AL620" i="8"/>
  <c r="AL621" i="8"/>
  <c r="AL622" i="8"/>
  <c r="AL623" i="8"/>
  <c r="AL624" i="8"/>
  <c r="AL625" i="8"/>
  <c r="AL626" i="8"/>
  <c r="AL627" i="8"/>
  <c r="AL628" i="8"/>
  <c r="AL629" i="8"/>
  <c r="AL630" i="8"/>
  <c r="AL631" i="8"/>
  <c r="AL632" i="8"/>
  <c r="AL633" i="8"/>
  <c r="AL634" i="8"/>
  <c r="AL635" i="8"/>
  <c r="AL636" i="8"/>
  <c r="AL637" i="8"/>
  <c r="AL638" i="8"/>
  <c r="AL639" i="8"/>
  <c r="AL640" i="8"/>
  <c r="AQ640" i="8" s="1"/>
  <c r="AL641" i="8"/>
  <c r="AL642" i="8"/>
  <c r="AL643" i="8"/>
  <c r="AL644" i="8"/>
  <c r="AL645" i="8"/>
  <c r="AL646" i="8"/>
  <c r="AL647" i="8"/>
  <c r="AL648" i="8"/>
  <c r="AL649" i="8"/>
  <c r="AL650" i="8"/>
  <c r="AL651" i="8"/>
  <c r="AL652" i="8"/>
  <c r="AL653" i="8"/>
  <c r="AL654" i="8"/>
  <c r="AL655" i="8"/>
  <c r="AL656" i="8"/>
  <c r="AL657" i="8"/>
  <c r="AL658" i="8"/>
  <c r="AL659" i="8"/>
  <c r="AL660" i="8"/>
  <c r="AL661" i="8"/>
  <c r="AL662" i="8"/>
  <c r="AL663" i="8"/>
  <c r="AL664" i="8"/>
  <c r="AL665" i="8"/>
  <c r="AL666" i="8"/>
  <c r="AL667" i="8"/>
  <c r="AL668" i="8"/>
  <c r="AL669" i="8"/>
  <c r="AL670" i="8"/>
  <c r="AL671" i="8"/>
  <c r="AL672" i="8"/>
  <c r="AL673" i="8"/>
  <c r="AL674" i="8"/>
  <c r="AL675" i="8"/>
  <c r="AL676" i="8"/>
  <c r="AL677" i="8"/>
  <c r="AL678" i="8"/>
  <c r="AL679" i="8"/>
  <c r="AL680" i="8"/>
  <c r="AL681" i="8"/>
  <c r="AL682" i="8"/>
  <c r="AL683" i="8"/>
  <c r="AL684" i="8"/>
  <c r="AL685" i="8"/>
  <c r="AL686" i="8"/>
  <c r="AL687" i="8"/>
  <c r="AL688" i="8"/>
  <c r="AL689" i="8"/>
  <c r="AL690" i="8"/>
  <c r="AL691" i="8"/>
  <c r="AL692" i="8"/>
  <c r="AL693" i="8"/>
  <c r="AL694" i="8"/>
  <c r="AL695" i="8"/>
  <c r="AL696" i="8"/>
  <c r="AL697" i="8"/>
  <c r="AL698" i="8"/>
  <c r="AL699" i="8"/>
  <c r="AL700" i="8"/>
  <c r="AL701" i="8"/>
  <c r="AL702" i="8"/>
  <c r="AL703" i="8"/>
  <c r="AL704" i="8"/>
  <c r="AL705" i="8"/>
  <c r="AL706" i="8"/>
  <c r="AL707" i="8"/>
  <c r="AL708" i="8"/>
  <c r="AL709" i="8"/>
  <c r="AL710" i="8"/>
  <c r="AL711" i="8"/>
  <c r="AL712" i="8"/>
  <c r="AL713" i="8"/>
  <c r="AL714" i="8"/>
  <c r="AL715" i="8"/>
  <c r="AL716" i="8"/>
  <c r="AL717" i="8"/>
  <c r="AL718" i="8"/>
  <c r="AL719" i="8"/>
  <c r="AL720" i="8"/>
  <c r="AL721" i="8"/>
  <c r="AL722" i="8"/>
  <c r="AL723" i="8"/>
  <c r="AL724" i="8"/>
  <c r="AL725" i="8"/>
  <c r="AL726" i="8"/>
  <c r="AL727" i="8"/>
  <c r="AL728" i="8"/>
  <c r="AL729" i="8"/>
  <c r="AL730" i="8"/>
  <c r="AL731" i="8"/>
  <c r="AL732" i="8"/>
  <c r="AL733" i="8"/>
  <c r="AL734" i="8"/>
  <c r="AL735" i="8"/>
  <c r="AL736" i="8"/>
  <c r="AL737" i="8"/>
  <c r="AL738" i="8"/>
  <c r="AL739" i="8"/>
  <c r="AL740" i="8"/>
  <c r="AL741" i="8"/>
  <c r="AL742" i="8"/>
  <c r="AL743" i="8"/>
  <c r="AL744" i="8"/>
  <c r="AL745" i="8"/>
  <c r="AL746" i="8"/>
  <c r="AL747" i="8"/>
  <c r="AL748" i="8"/>
  <c r="AL749" i="8"/>
  <c r="AL750" i="8"/>
  <c r="AL751" i="8"/>
  <c r="AL752" i="8"/>
  <c r="AL753" i="8"/>
  <c r="AL754" i="8"/>
  <c r="AL755" i="8"/>
  <c r="AL756" i="8"/>
  <c r="AL757" i="8"/>
  <c r="AL758" i="8"/>
  <c r="AL759" i="8"/>
  <c r="AL760" i="8"/>
  <c r="AL761" i="8"/>
  <c r="AL762" i="8"/>
  <c r="AL763" i="8"/>
  <c r="AL764" i="8"/>
  <c r="AL765" i="8"/>
  <c r="AL766" i="8"/>
  <c r="AL767" i="8"/>
  <c r="AL768" i="8"/>
  <c r="AL769" i="8"/>
  <c r="AL770" i="8"/>
  <c r="AL771" i="8"/>
  <c r="AL772" i="8"/>
  <c r="AL773" i="8"/>
  <c r="AL774" i="8"/>
  <c r="AL775" i="8"/>
  <c r="AL776" i="8"/>
  <c r="AL777" i="8"/>
  <c r="AL778" i="8"/>
  <c r="AL779" i="8"/>
  <c r="AL780" i="8"/>
  <c r="AL781" i="8"/>
  <c r="AL782" i="8"/>
  <c r="AL783" i="8"/>
  <c r="AL784" i="8"/>
  <c r="AL785" i="8"/>
  <c r="AL786" i="8"/>
  <c r="AL787" i="8"/>
  <c r="AL788" i="8"/>
  <c r="AL789" i="8"/>
  <c r="AL790" i="8"/>
  <c r="AL791" i="8"/>
  <c r="AL792" i="8"/>
  <c r="AL793" i="8"/>
  <c r="AL794" i="8"/>
  <c r="AL795" i="8"/>
  <c r="AL796" i="8"/>
  <c r="AL797" i="8"/>
  <c r="AL798" i="8"/>
  <c r="AL799" i="8"/>
  <c r="AL800" i="8"/>
  <c r="AL801" i="8"/>
  <c r="AL802" i="8"/>
  <c r="AL803" i="8"/>
  <c r="AL804" i="8"/>
  <c r="AL805" i="8"/>
  <c r="AL806" i="8"/>
  <c r="AL807" i="8"/>
  <c r="AL808" i="8"/>
  <c r="AL809" i="8"/>
  <c r="AL810" i="8"/>
  <c r="AL811" i="8"/>
  <c r="AL812" i="8"/>
  <c r="AL813" i="8"/>
  <c r="AL814" i="8"/>
  <c r="AL815" i="8"/>
  <c r="AL816" i="8"/>
  <c r="AL817" i="8"/>
  <c r="AL818" i="8"/>
  <c r="AL819" i="8"/>
  <c r="AL820" i="8"/>
  <c r="AL821" i="8"/>
  <c r="AL822" i="8"/>
  <c r="AL823" i="8"/>
  <c r="AL824" i="8"/>
  <c r="AL825" i="8"/>
  <c r="AL826" i="8"/>
  <c r="AL827" i="8"/>
  <c r="AL828" i="8"/>
  <c r="AL829" i="8"/>
  <c r="AL830" i="8"/>
  <c r="AL831" i="8"/>
  <c r="AL832" i="8"/>
  <c r="AL833" i="8"/>
  <c r="AL834" i="8"/>
  <c r="AL835" i="8"/>
  <c r="AL836" i="8"/>
  <c r="AL837" i="8"/>
  <c r="AL838" i="8"/>
  <c r="AL839" i="8"/>
  <c r="AL840" i="8"/>
  <c r="AL841" i="8"/>
  <c r="AL842" i="8"/>
  <c r="AL843" i="8"/>
  <c r="AL844" i="8"/>
  <c r="AL845" i="8"/>
  <c r="AL846" i="8"/>
  <c r="AL847" i="8"/>
  <c r="AL848" i="8"/>
  <c r="AL849" i="8"/>
  <c r="AL850" i="8"/>
  <c r="AL851" i="8"/>
  <c r="AL852" i="8"/>
  <c r="AL853" i="8"/>
  <c r="AL854" i="8"/>
  <c r="AL855" i="8"/>
  <c r="AL856" i="8"/>
  <c r="AL857" i="8"/>
  <c r="AL858" i="8"/>
  <c r="AL859" i="8"/>
  <c r="AL860" i="8"/>
  <c r="AL861" i="8"/>
  <c r="AL862" i="8"/>
  <c r="AL863" i="8"/>
  <c r="AL864" i="8"/>
  <c r="AL865" i="8"/>
  <c r="AL866" i="8"/>
  <c r="AL867" i="8"/>
  <c r="AL868" i="8"/>
  <c r="AL869" i="8"/>
  <c r="AL870" i="8"/>
  <c r="AL871" i="8"/>
  <c r="AL872" i="8"/>
  <c r="AL873" i="8"/>
  <c r="AL874" i="8"/>
  <c r="AL875" i="8"/>
  <c r="AL876" i="8"/>
  <c r="AL877" i="8"/>
  <c r="AL878" i="8"/>
  <c r="AL879" i="8"/>
  <c r="AL880" i="8"/>
  <c r="AL881" i="8"/>
  <c r="AL882" i="8"/>
  <c r="AL883" i="8"/>
  <c r="AL884" i="8"/>
  <c r="AL885" i="8"/>
  <c r="AL886" i="8"/>
  <c r="AL887" i="8"/>
  <c r="AL888" i="8"/>
  <c r="AL889" i="8"/>
  <c r="AL890" i="8"/>
  <c r="AL891" i="8"/>
  <c r="AL892" i="8"/>
  <c r="AL893" i="8"/>
  <c r="AL894" i="8"/>
  <c r="AL895" i="8"/>
  <c r="AL896" i="8"/>
  <c r="AL897" i="8"/>
  <c r="AL898" i="8"/>
  <c r="AL899" i="8"/>
  <c r="AL900" i="8"/>
  <c r="AL901" i="8"/>
  <c r="AL902" i="8"/>
  <c r="AL903" i="8"/>
  <c r="AL904" i="8"/>
  <c r="AL905" i="8"/>
  <c r="AL906" i="8"/>
  <c r="AL907" i="8"/>
  <c r="AL908" i="8"/>
  <c r="AL909" i="8"/>
  <c r="AL910" i="8"/>
  <c r="AL911" i="8"/>
  <c r="AL912" i="8"/>
  <c r="AQ912" i="8" s="1"/>
  <c r="AL913" i="8"/>
  <c r="AL914" i="8"/>
  <c r="AL915" i="8"/>
  <c r="AL916" i="8"/>
  <c r="AL917" i="8"/>
  <c r="AL918" i="8"/>
  <c r="AL919" i="8"/>
  <c r="AL920" i="8"/>
  <c r="AL921" i="8"/>
  <c r="AL922" i="8"/>
  <c r="AL923" i="8"/>
  <c r="AL924" i="8"/>
  <c r="AL925" i="8"/>
  <c r="AL926" i="8"/>
  <c r="AL927" i="8"/>
  <c r="AL928" i="8"/>
  <c r="AL929" i="8"/>
  <c r="AL930" i="8"/>
  <c r="AL931" i="8"/>
  <c r="AL932" i="8"/>
  <c r="AL933" i="8"/>
  <c r="AL934" i="8"/>
  <c r="AL935" i="8"/>
  <c r="AL936" i="8"/>
  <c r="AL937" i="8"/>
  <c r="AL938" i="8"/>
  <c r="AL939" i="8"/>
  <c r="AL940" i="8"/>
  <c r="AL941" i="8"/>
  <c r="AL942" i="8"/>
  <c r="AQ942" i="8" s="1"/>
  <c r="AL943" i="8"/>
  <c r="AL944" i="8"/>
  <c r="AL945" i="8"/>
  <c r="AL946" i="8"/>
  <c r="AL947" i="8"/>
  <c r="AL948" i="8"/>
  <c r="AL949" i="8"/>
  <c r="AL950" i="8"/>
  <c r="AL951" i="8"/>
  <c r="AL952" i="8"/>
  <c r="AL953" i="8"/>
  <c r="AL954" i="8"/>
  <c r="AL955" i="8"/>
  <c r="AL956" i="8"/>
  <c r="AL957" i="8"/>
  <c r="AL958" i="8"/>
  <c r="AL959" i="8"/>
  <c r="AL960" i="8"/>
  <c r="AL961" i="8"/>
  <c r="AL962" i="8"/>
  <c r="AL963" i="8"/>
  <c r="AL964" i="8"/>
  <c r="AL965" i="8"/>
  <c r="AL966" i="8"/>
  <c r="AL967" i="8"/>
  <c r="AL968" i="8"/>
  <c r="AL969" i="8"/>
  <c r="AL970" i="8"/>
  <c r="AL971" i="8"/>
  <c r="AL972" i="8"/>
  <c r="AL973" i="8"/>
  <c r="AL974" i="8"/>
  <c r="AR974" i="8" s="1"/>
  <c r="AL975" i="8"/>
  <c r="AL976" i="8"/>
  <c r="AL977" i="8"/>
  <c r="AL978" i="8"/>
  <c r="AL979" i="8"/>
  <c r="AL980" i="8"/>
  <c r="AL981" i="8"/>
  <c r="AL982" i="8"/>
  <c r="AL983" i="8"/>
  <c r="AL984" i="8"/>
  <c r="AL985" i="8"/>
  <c r="AL986" i="8"/>
  <c r="AL987" i="8"/>
  <c r="AL988" i="8"/>
  <c r="AL989" i="8"/>
  <c r="AL990" i="8"/>
  <c r="AQ990" i="8" s="1"/>
  <c r="AL991" i="8"/>
  <c r="AL992" i="8"/>
  <c r="AL993" i="8"/>
  <c r="AL994" i="8"/>
  <c r="AL995" i="8"/>
  <c r="AL996" i="8"/>
  <c r="AL997" i="8"/>
  <c r="AL998" i="8"/>
  <c r="AL999" i="8"/>
  <c r="AL1000" i="8"/>
  <c r="AL1001" i="8"/>
  <c r="AL1002" i="8"/>
  <c r="AL1003" i="8"/>
  <c r="AL1004" i="8"/>
  <c r="AL1005" i="8"/>
  <c r="AL1006" i="8"/>
  <c r="AL1007" i="8"/>
  <c r="AL1008" i="8"/>
  <c r="AL1009" i="8"/>
  <c r="AL1010" i="8"/>
  <c r="AL1011" i="8"/>
  <c r="AL1012" i="8"/>
  <c r="AL1013" i="8"/>
  <c r="AL1014" i="8"/>
  <c r="AL1015" i="8"/>
  <c r="AL1016" i="8"/>
  <c r="AL1017" i="8"/>
  <c r="AL1018" i="8"/>
  <c r="AL1019" i="8"/>
  <c r="AL1020" i="8"/>
  <c r="AL1021" i="8"/>
  <c r="AL1022" i="8"/>
  <c r="AR1022" i="8" s="1"/>
  <c r="AL1023" i="8"/>
  <c r="AL1024" i="8"/>
  <c r="AL1025" i="8"/>
  <c r="AL1026" i="8"/>
  <c r="AL1027" i="8"/>
  <c r="AL1028" i="8"/>
  <c r="AL1029" i="8"/>
  <c r="AL1030" i="8"/>
  <c r="AL1031" i="8"/>
  <c r="AL1032" i="8"/>
  <c r="AL1033" i="8"/>
  <c r="AL1034" i="8"/>
  <c r="AL1035" i="8"/>
  <c r="AL1036" i="8"/>
  <c r="AL1037" i="8"/>
  <c r="AL1038" i="8"/>
  <c r="AL1039" i="8"/>
  <c r="AL1040" i="8"/>
  <c r="AL1041" i="8"/>
  <c r="AL1042" i="8"/>
  <c r="AL1043" i="8"/>
  <c r="AL1044" i="8"/>
  <c r="AL1045" i="8"/>
  <c r="AL1046" i="8"/>
  <c r="AL1047" i="8"/>
  <c r="AL1048" i="8"/>
  <c r="AL1049" i="8"/>
  <c r="AL1050" i="8"/>
  <c r="AL1051" i="8"/>
  <c r="AL1052" i="8"/>
  <c r="AL1053" i="8"/>
  <c r="AL1054" i="8"/>
  <c r="AL1055" i="8"/>
  <c r="AL1056" i="8"/>
  <c r="AL1057" i="8"/>
  <c r="AL1058" i="8"/>
  <c r="AL1059" i="8"/>
  <c r="AL1060" i="8"/>
  <c r="AL1061" i="8"/>
  <c r="AL1062" i="8"/>
  <c r="AL1063" i="8"/>
  <c r="AL1064" i="8"/>
  <c r="AL1065" i="8"/>
  <c r="AL1066" i="8"/>
  <c r="AL1067" i="8"/>
  <c r="AL1068" i="8"/>
  <c r="AL1069" i="8"/>
  <c r="AL1070" i="8"/>
  <c r="AR1070" i="8" s="1"/>
  <c r="AL1071" i="8"/>
  <c r="AL1072" i="8"/>
  <c r="AL1073" i="8"/>
  <c r="AL1074" i="8"/>
  <c r="AL1075" i="8"/>
  <c r="AL1076" i="8"/>
  <c r="AL1077" i="8"/>
  <c r="AL1078" i="8"/>
  <c r="AL1079" i="8"/>
  <c r="AL1080" i="8"/>
  <c r="AL1081" i="8"/>
  <c r="AL1082" i="8"/>
  <c r="AL1083" i="8"/>
  <c r="AL1084" i="8"/>
  <c r="AL1085" i="8"/>
  <c r="AL1086" i="8"/>
  <c r="AQ1086" i="8" s="1"/>
  <c r="AL1087" i="8"/>
  <c r="AL1088" i="8"/>
  <c r="AL1089" i="8"/>
  <c r="AL1090" i="8"/>
  <c r="AL1091" i="8"/>
  <c r="AL1092" i="8"/>
  <c r="AL1093" i="8"/>
  <c r="AL1094" i="8"/>
  <c r="AL1095" i="8"/>
  <c r="AL1096" i="8"/>
  <c r="AL1097" i="8"/>
  <c r="AL1098" i="8"/>
  <c r="AL1099" i="8"/>
  <c r="AL1100" i="8"/>
  <c r="AL1101" i="8"/>
  <c r="AL1102" i="8"/>
  <c r="AL1103" i="8"/>
  <c r="AL1104" i="8"/>
  <c r="AR1104" i="8" s="1"/>
  <c r="AL1105" i="8"/>
  <c r="AL1106" i="8"/>
  <c r="AL1107" i="8"/>
  <c r="AL1108" i="8"/>
  <c r="AL1109" i="8"/>
  <c r="AL1110" i="8"/>
  <c r="AL1111" i="8"/>
  <c r="AL1112" i="8"/>
  <c r="AL1113" i="8"/>
  <c r="AL1114" i="8"/>
  <c r="AL1115" i="8"/>
  <c r="AL1116" i="8"/>
  <c r="AL1117" i="8"/>
  <c r="AL1118" i="8"/>
  <c r="AR1118" i="8" s="1"/>
  <c r="AL1119" i="8"/>
  <c r="AL1120" i="8"/>
  <c r="AL1121" i="8"/>
  <c r="AL1122" i="8"/>
  <c r="AL1123" i="8"/>
  <c r="AL1124" i="8"/>
  <c r="AL1125" i="8"/>
  <c r="AL1126" i="8"/>
  <c r="AL1127" i="8"/>
  <c r="AL1128" i="8"/>
  <c r="AM15" i="8"/>
  <c r="AM16" i="8"/>
  <c r="AM17" i="8"/>
  <c r="AM18" i="8"/>
  <c r="AM19" i="8"/>
  <c r="AM20" i="8"/>
  <c r="AQ20" i="8" s="1"/>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Q68" i="8" s="1"/>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R102" i="8" s="1"/>
  <c r="AM103" i="8"/>
  <c r="AM104" i="8"/>
  <c r="AM105" i="8"/>
  <c r="AM106" i="8"/>
  <c r="AM107" i="8"/>
  <c r="AM108" i="8"/>
  <c r="AM109" i="8"/>
  <c r="AM110" i="8"/>
  <c r="AM111" i="8"/>
  <c r="AM112" i="8"/>
  <c r="AM113" i="8"/>
  <c r="AM114" i="8"/>
  <c r="AM115" i="8"/>
  <c r="AM116" i="8"/>
  <c r="AR116" i="8" s="1"/>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R164" i="8" s="1"/>
  <c r="AM165" i="8"/>
  <c r="AM166" i="8"/>
  <c r="AM167" i="8"/>
  <c r="AM168" i="8"/>
  <c r="AM169" i="8"/>
  <c r="AM170" i="8"/>
  <c r="AM171" i="8"/>
  <c r="AM172" i="8"/>
  <c r="AM173" i="8"/>
  <c r="AM174" i="8"/>
  <c r="AM175" i="8"/>
  <c r="AM176" i="8"/>
  <c r="AM177" i="8"/>
  <c r="AM178" i="8"/>
  <c r="AM179" i="8"/>
  <c r="AM180" i="8"/>
  <c r="AM181" i="8"/>
  <c r="AM182" i="8"/>
  <c r="AR182" i="8" s="1"/>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R212" i="8" s="1"/>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R260" i="8" s="1"/>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R294" i="8" s="1"/>
  <c r="AM295" i="8"/>
  <c r="AM296" i="8"/>
  <c r="AM297" i="8"/>
  <c r="AM298" i="8"/>
  <c r="AM299" i="8"/>
  <c r="AM300" i="8"/>
  <c r="AM301" i="8"/>
  <c r="AM302" i="8"/>
  <c r="AM303" i="8"/>
  <c r="AM304" i="8"/>
  <c r="AM305" i="8"/>
  <c r="AM306" i="8"/>
  <c r="AM307" i="8"/>
  <c r="AM308" i="8"/>
  <c r="AQ308" i="8" s="1"/>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R356" i="8" s="1"/>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Q452" i="8" s="1"/>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R500" i="8" s="1"/>
  <c r="AM501" i="8"/>
  <c r="AM502" i="8"/>
  <c r="AM503" i="8"/>
  <c r="AM504" i="8"/>
  <c r="AM505" i="8"/>
  <c r="AM506" i="8"/>
  <c r="AM507" i="8"/>
  <c r="AM508" i="8"/>
  <c r="AM509" i="8"/>
  <c r="AM510" i="8"/>
  <c r="AM511" i="8"/>
  <c r="AM512" i="8"/>
  <c r="AM513" i="8"/>
  <c r="AM514" i="8"/>
  <c r="AM515" i="8"/>
  <c r="AM516" i="8"/>
  <c r="AM517" i="8"/>
  <c r="AM518" i="8"/>
  <c r="AM519" i="8"/>
  <c r="AM520" i="8"/>
  <c r="AM521" i="8"/>
  <c r="AM522" i="8"/>
  <c r="AM523" i="8"/>
  <c r="AM524" i="8"/>
  <c r="AM525" i="8"/>
  <c r="AM526" i="8"/>
  <c r="AM527" i="8"/>
  <c r="AM528" i="8"/>
  <c r="AM529" i="8"/>
  <c r="AM530" i="8"/>
  <c r="AM531" i="8"/>
  <c r="AM532" i="8"/>
  <c r="AM533" i="8"/>
  <c r="AM534" i="8"/>
  <c r="AM535" i="8"/>
  <c r="AM536" i="8"/>
  <c r="AM537" i="8"/>
  <c r="AM538" i="8"/>
  <c r="AM539" i="8"/>
  <c r="AM540" i="8"/>
  <c r="AM541" i="8"/>
  <c r="AM542" i="8"/>
  <c r="AM543" i="8"/>
  <c r="AM544" i="8"/>
  <c r="AM545" i="8"/>
  <c r="AM546" i="8"/>
  <c r="AM547" i="8"/>
  <c r="AM548" i="8"/>
  <c r="AR548" i="8" s="1"/>
  <c r="AM549" i="8"/>
  <c r="AM550" i="8"/>
  <c r="AM551" i="8"/>
  <c r="AM552" i="8"/>
  <c r="AM553" i="8"/>
  <c r="AM554" i="8"/>
  <c r="AM555" i="8"/>
  <c r="AM556" i="8"/>
  <c r="AM557" i="8"/>
  <c r="AM558" i="8"/>
  <c r="AM559" i="8"/>
  <c r="AM560" i="8"/>
  <c r="AM561" i="8"/>
  <c r="AM562" i="8"/>
  <c r="AM563" i="8"/>
  <c r="AM564" i="8"/>
  <c r="AM565" i="8"/>
  <c r="AM566" i="8"/>
  <c r="AM567" i="8"/>
  <c r="AM568" i="8"/>
  <c r="AM569" i="8"/>
  <c r="AM570" i="8"/>
  <c r="AM571" i="8"/>
  <c r="AM572" i="8"/>
  <c r="AM573" i="8"/>
  <c r="AM574" i="8"/>
  <c r="AM575" i="8"/>
  <c r="AM576" i="8"/>
  <c r="AM577" i="8"/>
  <c r="AM578" i="8"/>
  <c r="AM579" i="8"/>
  <c r="AM580" i="8"/>
  <c r="AM581" i="8"/>
  <c r="AM582" i="8"/>
  <c r="AM583" i="8"/>
  <c r="AM584" i="8"/>
  <c r="AM585" i="8"/>
  <c r="AM586" i="8"/>
  <c r="AM587" i="8"/>
  <c r="AM588" i="8"/>
  <c r="AM589" i="8"/>
  <c r="AM590" i="8"/>
  <c r="AM591" i="8"/>
  <c r="AM592" i="8"/>
  <c r="AM593" i="8"/>
  <c r="AM594" i="8"/>
  <c r="AM595" i="8"/>
  <c r="AM596" i="8"/>
  <c r="AQ596" i="8" s="1"/>
  <c r="AM597" i="8"/>
  <c r="AM598" i="8"/>
  <c r="AM599" i="8"/>
  <c r="AM600" i="8"/>
  <c r="AM601" i="8"/>
  <c r="AM602" i="8"/>
  <c r="AM603" i="8"/>
  <c r="AM604" i="8"/>
  <c r="AM605" i="8"/>
  <c r="AM606" i="8"/>
  <c r="AM607" i="8"/>
  <c r="AM608" i="8"/>
  <c r="AM609" i="8"/>
  <c r="AM610" i="8"/>
  <c r="AM611" i="8"/>
  <c r="AM612" i="8"/>
  <c r="AM613" i="8"/>
  <c r="AM614" i="8"/>
  <c r="AM615" i="8"/>
  <c r="AM616" i="8"/>
  <c r="AM617" i="8"/>
  <c r="AM618" i="8"/>
  <c r="AM619" i="8"/>
  <c r="AM620" i="8"/>
  <c r="AM621" i="8"/>
  <c r="AM622" i="8"/>
  <c r="AM623" i="8"/>
  <c r="AM624" i="8"/>
  <c r="AM625" i="8"/>
  <c r="AM626" i="8"/>
  <c r="AM627" i="8"/>
  <c r="AM628" i="8"/>
  <c r="AM629" i="8"/>
  <c r="AM630" i="8"/>
  <c r="AM631" i="8"/>
  <c r="AM632" i="8"/>
  <c r="AM633" i="8"/>
  <c r="AM634" i="8"/>
  <c r="AM635" i="8"/>
  <c r="AM636" i="8"/>
  <c r="AM637" i="8"/>
  <c r="AM638" i="8"/>
  <c r="AM639" i="8"/>
  <c r="AM640" i="8"/>
  <c r="AM641" i="8"/>
  <c r="AM642" i="8"/>
  <c r="AM643" i="8"/>
  <c r="AM644" i="8"/>
  <c r="AQ644" i="8" s="1"/>
  <c r="AM645" i="8"/>
  <c r="AM646" i="8"/>
  <c r="AM647" i="8"/>
  <c r="AM648" i="8"/>
  <c r="AM649" i="8"/>
  <c r="AM650" i="8"/>
  <c r="AM651" i="8"/>
  <c r="AM652" i="8"/>
  <c r="AM653" i="8"/>
  <c r="AM654" i="8"/>
  <c r="AM655" i="8"/>
  <c r="AM656" i="8"/>
  <c r="AM657" i="8"/>
  <c r="AM658" i="8"/>
  <c r="AM659" i="8"/>
  <c r="AM660" i="8"/>
  <c r="AM661" i="8"/>
  <c r="AM662" i="8"/>
  <c r="AM663" i="8"/>
  <c r="AM664" i="8"/>
  <c r="AM665" i="8"/>
  <c r="AM666" i="8"/>
  <c r="AM667" i="8"/>
  <c r="AM668" i="8"/>
  <c r="AM669" i="8"/>
  <c r="AM670" i="8"/>
  <c r="AM671" i="8"/>
  <c r="AM672" i="8"/>
  <c r="AM673" i="8"/>
  <c r="AM674" i="8"/>
  <c r="AM675" i="8"/>
  <c r="AM676" i="8"/>
  <c r="AM677" i="8"/>
  <c r="AM678" i="8"/>
  <c r="AM679" i="8"/>
  <c r="AM680" i="8"/>
  <c r="AM681" i="8"/>
  <c r="AM682" i="8"/>
  <c r="AM683" i="8"/>
  <c r="AM684" i="8"/>
  <c r="AM685" i="8"/>
  <c r="AM686" i="8"/>
  <c r="AM687" i="8"/>
  <c r="AM688" i="8"/>
  <c r="AM689" i="8"/>
  <c r="AM690" i="8"/>
  <c r="AM691" i="8"/>
  <c r="AM692" i="8"/>
  <c r="AR692" i="8" s="1"/>
  <c r="AM693" i="8"/>
  <c r="AM694" i="8"/>
  <c r="AM695" i="8"/>
  <c r="AM696" i="8"/>
  <c r="AM697" i="8"/>
  <c r="AM698" i="8"/>
  <c r="AM699" i="8"/>
  <c r="AM700" i="8"/>
  <c r="AM701" i="8"/>
  <c r="AM702" i="8"/>
  <c r="AM703" i="8"/>
  <c r="AM704" i="8"/>
  <c r="AM705" i="8"/>
  <c r="AM706" i="8"/>
  <c r="AM707" i="8"/>
  <c r="AM708" i="8"/>
  <c r="AM709" i="8"/>
  <c r="AM710" i="8"/>
  <c r="AM711" i="8"/>
  <c r="AM712" i="8"/>
  <c r="AM713" i="8"/>
  <c r="AM714" i="8"/>
  <c r="AM715" i="8"/>
  <c r="AM716" i="8"/>
  <c r="AM717" i="8"/>
  <c r="AM718" i="8"/>
  <c r="AM719" i="8"/>
  <c r="AM720" i="8"/>
  <c r="AM721" i="8"/>
  <c r="AM722" i="8"/>
  <c r="AM723" i="8"/>
  <c r="AM724" i="8"/>
  <c r="AM725" i="8"/>
  <c r="AM726" i="8"/>
  <c r="AM727" i="8"/>
  <c r="AM728" i="8"/>
  <c r="AM729" i="8"/>
  <c r="AM730" i="8"/>
  <c r="AM731" i="8"/>
  <c r="AM732" i="8"/>
  <c r="AM733" i="8"/>
  <c r="AM734" i="8"/>
  <c r="AM735" i="8"/>
  <c r="AM736" i="8"/>
  <c r="AM737" i="8"/>
  <c r="AM738" i="8"/>
  <c r="AM739" i="8"/>
  <c r="AM740" i="8"/>
  <c r="AQ740" i="8" s="1"/>
  <c r="AM741" i="8"/>
  <c r="AM742" i="8"/>
  <c r="AM743" i="8"/>
  <c r="AM744" i="8"/>
  <c r="AM745" i="8"/>
  <c r="AM746" i="8"/>
  <c r="AM747" i="8"/>
  <c r="AM748" i="8"/>
  <c r="AM749" i="8"/>
  <c r="AM750" i="8"/>
  <c r="AM751" i="8"/>
  <c r="AM752" i="8"/>
  <c r="AM753" i="8"/>
  <c r="AM754" i="8"/>
  <c r="AM755" i="8"/>
  <c r="AM756" i="8"/>
  <c r="AM757" i="8"/>
  <c r="AM758" i="8"/>
  <c r="AM759" i="8"/>
  <c r="AM760" i="8"/>
  <c r="AM761" i="8"/>
  <c r="AM762" i="8"/>
  <c r="AM763" i="8"/>
  <c r="AM764" i="8"/>
  <c r="AM765" i="8"/>
  <c r="AM766" i="8"/>
  <c r="AM767" i="8"/>
  <c r="AM768" i="8"/>
  <c r="AM769" i="8"/>
  <c r="AM770" i="8"/>
  <c r="AM771" i="8"/>
  <c r="AM772" i="8"/>
  <c r="AM773" i="8"/>
  <c r="AM774" i="8"/>
  <c r="AM775" i="8"/>
  <c r="AM776" i="8"/>
  <c r="AM777" i="8"/>
  <c r="AM778" i="8"/>
  <c r="AM779" i="8"/>
  <c r="AM780" i="8"/>
  <c r="AM781" i="8"/>
  <c r="AM782" i="8"/>
  <c r="AM783" i="8"/>
  <c r="AM784" i="8"/>
  <c r="AM785" i="8"/>
  <c r="AM786" i="8"/>
  <c r="AM787" i="8"/>
  <c r="AM788" i="8"/>
  <c r="AR788" i="8" s="1"/>
  <c r="AM789" i="8"/>
  <c r="AM790" i="8"/>
  <c r="AM791" i="8"/>
  <c r="AM792" i="8"/>
  <c r="AM793" i="8"/>
  <c r="AM794" i="8"/>
  <c r="AM795" i="8"/>
  <c r="AM796" i="8"/>
  <c r="AM797" i="8"/>
  <c r="AM798" i="8"/>
  <c r="AM799" i="8"/>
  <c r="AM800" i="8"/>
  <c r="AM801" i="8"/>
  <c r="AM802" i="8"/>
  <c r="AM803" i="8"/>
  <c r="AM804" i="8"/>
  <c r="AM805" i="8"/>
  <c r="AM806" i="8"/>
  <c r="AM807" i="8"/>
  <c r="AM808" i="8"/>
  <c r="AM809" i="8"/>
  <c r="AM810" i="8"/>
  <c r="AM811" i="8"/>
  <c r="AM812" i="8"/>
  <c r="AM813" i="8"/>
  <c r="AM814" i="8"/>
  <c r="AM815" i="8"/>
  <c r="AM816" i="8"/>
  <c r="AM817" i="8"/>
  <c r="AM818" i="8"/>
  <c r="AM819" i="8"/>
  <c r="AM820" i="8"/>
  <c r="AM821" i="8"/>
  <c r="AM822" i="8"/>
  <c r="AM823" i="8"/>
  <c r="AM824" i="8"/>
  <c r="AM825" i="8"/>
  <c r="AM826" i="8"/>
  <c r="AM827" i="8"/>
  <c r="AM828" i="8"/>
  <c r="AM829" i="8"/>
  <c r="AM830" i="8"/>
  <c r="AM831" i="8"/>
  <c r="AM832" i="8"/>
  <c r="AM833" i="8"/>
  <c r="AM834" i="8"/>
  <c r="AM835" i="8"/>
  <c r="AM836" i="8"/>
  <c r="AR836" i="8" s="1"/>
  <c r="AM837" i="8"/>
  <c r="AM838" i="8"/>
  <c r="AM839" i="8"/>
  <c r="AM840" i="8"/>
  <c r="AM841" i="8"/>
  <c r="AM842" i="8"/>
  <c r="AM843" i="8"/>
  <c r="AM844" i="8"/>
  <c r="AM845" i="8"/>
  <c r="AM846" i="8"/>
  <c r="AM847" i="8"/>
  <c r="AM848" i="8"/>
  <c r="AM849" i="8"/>
  <c r="AM850" i="8"/>
  <c r="AM851" i="8"/>
  <c r="AM852" i="8"/>
  <c r="AM853" i="8"/>
  <c r="AM854" i="8"/>
  <c r="AM855" i="8"/>
  <c r="AM856" i="8"/>
  <c r="AM857" i="8"/>
  <c r="AM858" i="8"/>
  <c r="AM859" i="8"/>
  <c r="AM860" i="8"/>
  <c r="AM861" i="8"/>
  <c r="AM862" i="8"/>
  <c r="AM863" i="8"/>
  <c r="AM864" i="8"/>
  <c r="AM865" i="8"/>
  <c r="AM866" i="8"/>
  <c r="AM867" i="8"/>
  <c r="AM868" i="8"/>
  <c r="AM869" i="8"/>
  <c r="AM870" i="8"/>
  <c r="AM871" i="8"/>
  <c r="AM872" i="8"/>
  <c r="AM873" i="8"/>
  <c r="AM874" i="8"/>
  <c r="AM875" i="8"/>
  <c r="AM876" i="8"/>
  <c r="AM877" i="8"/>
  <c r="AM878" i="8"/>
  <c r="AM879" i="8"/>
  <c r="AM880" i="8"/>
  <c r="AM881" i="8"/>
  <c r="AM882" i="8"/>
  <c r="AM883" i="8"/>
  <c r="AM884" i="8"/>
  <c r="AR884" i="8" s="1"/>
  <c r="AM885" i="8"/>
  <c r="AM886" i="8"/>
  <c r="AM887" i="8"/>
  <c r="AM888" i="8"/>
  <c r="AM889" i="8"/>
  <c r="AM890" i="8"/>
  <c r="AM891" i="8"/>
  <c r="AM892" i="8"/>
  <c r="AM893" i="8"/>
  <c r="AM894" i="8"/>
  <c r="AM895" i="8"/>
  <c r="AM896" i="8"/>
  <c r="AM897" i="8"/>
  <c r="AM898" i="8"/>
  <c r="AM899" i="8"/>
  <c r="AM900" i="8"/>
  <c r="AM901" i="8"/>
  <c r="AM902" i="8"/>
  <c r="AM903" i="8"/>
  <c r="AM904" i="8"/>
  <c r="AM905" i="8"/>
  <c r="AM906" i="8"/>
  <c r="AM907" i="8"/>
  <c r="AM908" i="8"/>
  <c r="AM909" i="8"/>
  <c r="AM910" i="8"/>
  <c r="AM911" i="8"/>
  <c r="AM912" i="8"/>
  <c r="AM913" i="8"/>
  <c r="AM914" i="8"/>
  <c r="AM915" i="8"/>
  <c r="AM916" i="8"/>
  <c r="AM917" i="8"/>
  <c r="AM918" i="8"/>
  <c r="AM919" i="8"/>
  <c r="AM920" i="8"/>
  <c r="AM921" i="8"/>
  <c r="AM922" i="8"/>
  <c r="AM923" i="8"/>
  <c r="AM924" i="8"/>
  <c r="AM925" i="8"/>
  <c r="AM926" i="8"/>
  <c r="AM927" i="8"/>
  <c r="AM928" i="8"/>
  <c r="AM929" i="8"/>
  <c r="AM930" i="8"/>
  <c r="AM931" i="8"/>
  <c r="AM932" i="8"/>
  <c r="AQ932" i="8" s="1"/>
  <c r="AM933" i="8"/>
  <c r="AM934" i="8"/>
  <c r="AM935" i="8"/>
  <c r="AM936" i="8"/>
  <c r="AM937" i="8"/>
  <c r="AM938" i="8"/>
  <c r="AM939" i="8"/>
  <c r="AM940" i="8"/>
  <c r="AM941" i="8"/>
  <c r="AM942" i="8"/>
  <c r="AM943" i="8"/>
  <c r="AM944" i="8"/>
  <c r="AM945" i="8"/>
  <c r="AM946" i="8"/>
  <c r="AM947" i="8"/>
  <c r="AM948" i="8"/>
  <c r="AM949" i="8"/>
  <c r="AM950" i="8"/>
  <c r="AM951" i="8"/>
  <c r="AM952" i="8"/>
  <c r="AM953" i="8"/>
  <c r="AM954" i="8"/>
  <c r="AM955" i="8"/>
  <c r="AM956" i="8"/>
  <c r="AM957" i="8"/>
  <c r="AM958" i="8"/>
  <c r="AM959" i="8"/>
  <c r="AM960" i="8"/>
  <c r="AM961" i="8"/>
  <c r="AM962" i="8"/>
  <c r="AM963" i="8"/>
  <c r="AM964" i="8"/>
  <c r="AM965" i="8"/>
  <c r="AM966" i="8"/>
  <c r="AM967" i="8"/>
  <c r="AM968" i="8"/>
  <c r="AM969" i="8"/>
  <c r="AM970" i="8"/>
  <c r="AM971" i="8"/>
  <c r="AM972" i="8"/>
  <c r="AM973" i="8"/>
  <c r="AM974" i="8"/>
  <c r="AM975" i="8"/>
  <c r="AM976" i="8"/>
  <c r="AM977" i="8"/>
  <c r="AM978" i="8"/>
  <c r="AM979" i="8"/>
  <c r="AM980" i="8"/>
  <c r="AR980" i="8" s="1"/>
  <c r="AM981" i="8"/>
  <c r="AM982" i="8"/>
  <c r="AM983" i="8"/>
  <c r="AM984" i="8"/>
  <c r="AM985" i="8"/>
  <c r="AM986" i="8"/>
  <c r="AM987" i="8"/>
  <c r="AM988" i="8"/>
  <c r="AM989" i="8"/>
  <c r="AM990" i="8"/>
  <c r="AM991" i="8"/>
  <c r="AM992" i="8"/>
  <c r="AM993" i="8"/>
  <c r="AM994" i="8"/>
  <c r="AM995" i="8"/>
  <c r="AM996" i="8"/>
  <c r="AM997" i="8"/>
  <c r="AM998" i="8"/>
  <c r="AM999" i="8"/>
  <c r="AM1000" i="8"/>
  <c r="AM1001" i="8"/>
  <c r="AM1002" i="8"/>
  <c r="AM1003" i="8"/>
  <c r="AM1004" i="8"/>
  <c r="AM1005" i="8"/>
  <c r="AM1006" i="8"/>
  <c r="AM1007" i="8"/>
  <c r="AM1008" i="8"/>
  <c r="AM1009" i="8"/>
  <c r="AM1010" i="8"/>
  <c r="AM1011" i="8"/>
  <c r="AM1012" i="8"/>
  <c r="AR1012" i="8" s="1"/>
  <c r="AM1013" i="8"/>
  <c r="AM1014" i="8"/>
  <c r="AM1015" i="8"/>
  <c r="AM1016" i="8"/>
  <c r="AM1017" i="8"/>
  <c r="AM1018" i="8"/>
  <c r="AM1019" i="8"/>
  <c r="AM1020" i="8"/>
  <c r="AM1021" i="8"/>
  <c r="AM1022" i="8"/>
  <c r="AM1023" i="8"/>
  <c r="AM1024" i="8"/>
  <c r="AM1025" i="8"/>
  <c r="AM1026" i="8"/>
  <c r="AM1027" i="8"/>
  <c r="AM1028" i="8"/>
  <c r="AR1028" i="8" s="1"/>
  <c r="AM1029" i="8"/>
  <c r="AM1030" i="8"/>
  <c r="AM1031" i="8"/>
  <c r="AM1032" i="8"/>
  <c r="AM1033" i="8"/>
  <c r="AM1034" i="8"/>
  <c r="AM1035" i="8"/>
  <c r="AM1036" i="8"/>
  <c r="AM1037" i="8"/>
  <c r="AM1038" i="8"/>
  <c r="AM1039" i="8"/>
  <c r="AM1040" i="8"/>
  <c r="AM1041" i="8"/>
  <c r="AM1042" i="8"/>
  <c r="AM1043" i="8"/>
  <c r="AM1044" i="8"/>
  <c r="AM1045" i="8"/>
  <c r="AM1046" i="8"/>
  <c r="AM1047" i="8"/>
  <c r="AM1048" i="8"/>
  <c r="AM1049" i="8"/>
  <c r="AM1050" i="8"/>
  <c r="AM1051" i="8"/>
  <c r="AM1052" i="8"/>
  <c r="AM1053" i="8"/>
  <c r="AM1054" i="8"/>
  <c r="AM1055" i="8"/>
  <c r="AM1056" i="8"/>
  <c r="AM1057" i="8"/>
  <c r="AM1058" i="8"/>
  <c r="AM1059" i="8"/>
  <c r="AM1060" i="8"/>
  <c r="AR1060" i="8" s="1"/>
  <c r="AM1061" i="8"/>
  <c r="AM1062" i="8"/>
  <c r="AQ1062" i="8" s="1"/>
  <c r="AM1063" i="8"/>
  <c r="AM1064" i="8"/>
  <c r="AM1065" i="8"/>
  <c r="AM1066" i="8"/>
  <c r="AM1067" i="8"/>
  <c r="AM1068" i="8"/>
  <c r="AM1069" i="8"/>
  <c r="AM1070" i="8"/>
  <c r="AM1071" i="8"/>
  <c r="AM1072" i="8"/>
  <c r="AM1073" i="8"/>
  <c r="AM1074" i="8"/>
  <c r="AM1075" i="8"/>
  <c r="AM1076" i="8"/>
  <c r="AQ1076" i="8" s="1"/>
  <c r="AM1077" i="8"/>
  <c r="AM1078" i="8"/>
  <c r="AM1079" i="8"/>
  <c r="AM1080" i="8"/>
  <c r="AM1081" i="8"/>
  <c r="AM1082" i="8"/>
  <c r="AM1083" i="8"/>
  <c r="AM1084" i="8"/>
  <c r="AM1085" i="8"/>
  <c r="AM1086" i="8"/>
  <c r="AM1087" i="8"/>
  <c r="AM1088" i="8"/>
  <c r="AM1089" i="8"/>
  <c r="AM1090" i="8"/>
  <c r="AM1091" i="8"/>
  <c r="AM1092" i="8"/>
  <c r="AM1093" i="8"/>
  <c r="AM1094" i="8"/>
  <c r="AM1095" i="8"/>
  <c r="AM1096" i="8"/>
  <c r="AM1097" i="8"/>
  <c r="AM1098" i="8"/>
  <c r="AM1099" i="8"/>
  <c r="AM1100" i="8"/>
  <c r="AM1101" i="8"/>
  <c r="AM1102" i="8"/>
  <c r="AM1103" i="8"/>
  <c r="AM1104" i="8"/>
  <c r="AM1105" i="8"/>
  <c r="AM1106" i="8"/>
  <c r="AM1107" i="8"/>
  <c r="AM1108" i="8"/>
  <c r="AR1108" i="8" s="1"/>
  <c r="AM1109" i="8"/>
  <c r="AM1110" i="8"/>
  <c r="AM1111" i="8"/>
  <c r="AM1112" i="8"/>
  <c r="AM1113" i="8"/>
  <c r="AM1114" i="8"/>
  <c r="AM1115" i="8"/>
  <c r="AM1116" i="8"/>
  <c r="AM1117" i="8"/>
  <c r="AM1118" i="8"/>
  <c r="AM1119" i="8"/>
  <c r="AM1120" i="8"/>
  <c r="AM1121" i="8"/>
  <c r="AM1122" i="8"/>
  <c r="AM1123" i="8"/>
  <c r="AM1124" i="8"/>
  <c r="AQ1124" i="8" s="1"/>
  <c r="AM1125" i="8"/>
  <c r="AM1126" i="8"/>
  <c r="AM1127" i="8"/>
  <c r="AM1128" i="8"/>
  <c r="AN15" i="8"/>
  <c r="AN16" i="8"/>
  <c r="AN17" i="8"/>
  <c r="AN18" i="8"/>
  <c r="AN19" i="8"/>
  <c r="AN20" i="8"/>
  <c r="AN21" i="8"/>
  <c r="AN22" i="8"/>
  <c r="AN23" i="8"/>
  <c r="AN24" i="8"/>
  <c r="AN25" i="8"/>
  <c r="AN26" i="8"/>
  <c r="AR26" i="8" s="1"/>
  <c r="AN27" i="8"/>
  <c r="AN28" i="8"/>
  <c r="AN29" i="8"/>
  <c r="AN30" i="8"/>
  <c r="AN31" i="8"/>
  <c r="AN32" i="8"/>
  <c r="AN33" i="8"/>
  <c r="AN34" i="8"/>
  <c r="AN35" i="8"/>
  <c r="AN36" i="8"/>
  <c r="AN37" i="8"/>
  <c r="AN38" i="8"/>
  <c r="AN39" i="8"/>
  <c r="AN40" i="8"/>
  <c r="AN41" i="8"/>
  <c r="AN42" i="8"/>
  <c r="AN43" i="8"/>
  <c r="AN44" i="8"/>
  <c r="AN45" i="8"/>
  <c r="AN46" i="8"/>
  <c r="AN47" i="8"/>
  <c r="AN48" i="8"/>
  <c r="AN49" i="8"/>
  <c r="AN50" i="8"/>
  <c r="AN51" i="8"/>
  <c r="AN52" i="8"/>
  <c r="AN53" i="8"/>
  <c r="AN54" i="8"/>
  <c r="AN55" i="8"/>
  <c r="AN56" i="8"/>
  <c r="AN57" i="8"/>
  <c r="AN58" i="8"/>
  <c r="AR58" i="8" s="1"/>
  <c r="AN59" i="8"/>
  <c r="AN60" i="8"/>
  <c r="AN61" i="8"/>
  <c r="AN62" i="8"/>
  <c r="AN63" i="8"/>
  <c r="AN64" i="8"/>
  <c r="AN65" i="8"/>
  <c r="AN66" i="8"/>
  <c r="AN67" i="8"/>
  <c r="AN68" i="8"/>
  <c r="AN69" i="8"/>
  <c r="AN70" i="8"/>
  <c r="AN71" i="8"/>
  <c r="AN72" i="8"/>
  <c r="AN73" i="8"/>
  <c r="AN74" i="8"/>
  <c r="AR74" i="8" s="1"/>
  <c r="AN75" i="8"/>
  <c r="AN76" i="8"/>
  <c r="AN77" i="8"/>
  <c r="AN78" i="8"/>
  <c r="AN79" i="8"/>
  <c r="AN80" i="8"/>
  <c r="AN81" i="8"/>
  <c r="AN82" i="8"/>
  <c r="AN83" i="8"/>
  <c r="AN84" i="8"/>
  <c r="AN85" i="8"/>
  <c r="AN86" i="8"/>
  <c r="AN87" i="8"/>
  <c r="AN88" i="8"/>
  <c r="AN89" i="8"/>
  <c r="AN90" i="8"/>
  <c r="AN91" i="8"/>
  <c r="AN92" i="8"/>
  <c r="AQ92" i="8" s="1"/>
  <c r="AN93" i="8"/>
  <c r="AN94" i="8"/>
  <c r="AN95" i="8"/>
  <c r="AN96" i="8"/>
  <c r="AN97" i="8"/>
  <c r="AN98" i="8"/>
  <c r="AN99" i="8"/>
  <c r="AN100" i="8"/>
  <c r="AN101" i="8"/>
  <c r="AN102" i="8"/>
  <c r="AN103" i="8"/>
  <c r="AN104" i="8"/>
  <c r="AN105" i="8"/>
  <c r="AN106" i="8"/>
  <c r="AR106" i="8" s="1"/>
  <c r="AN107" i="8"/>
  <c r="AN108" i="8"/>
  <c r="AN109" i="8"/>
  <c r="AN110" i="8"/>
  <c r="AN111" i="8"/>
  <c r="AN112" i="8"/>
  <c r="AN113" i="8"/>
  <c r="AN114" i="8"/>
  <c r="AN115" i="8"/>
  <c r="AN116" i="8"/>
  <c r="AN117" i="8"/>
  <c r="AN118" i="8"/>
  <c r="AN119" i="8"/>
  <c r="AN120" i="8"/>
  <c r="AN121" i="8"/>
  <c r="AN122" i="8"/>
  <c r="AR122" i="8" s="1"/>
  <c r="AN123" i="8"/>
  <c r="AN124" i="8"/>
  <c r="AN125" i="8"/>
  <c r="AN126" i="8"/>
  <c r="AN127" i="8"/>
  <c r="AN128" i="8"/>
  <c r="AN129" i="8"/>
  <c r="AN130" i="8"/>
  <c r="AN131" i="8"/>
  <c r="AN132" i="8"/>
  <c r="AN133" i="8"/>
  <c r="AN134" i="8"/>
  <c r="AN135" i="8"/>
  <c r="AN136" i="8"/>
  <c r="AN137" i="8"/>
  <c r="AN138" i="8"/>
  <c r="AN139" i="8"/>
  <c r="AN140" i="8"/>
  <c r="AN141" i="8"/>
  <c r="AN142" i="8"/>
  <c r="AN143" i="8"/>
  <c r="AN144" i="8"/>
  <c r="AN145" i="8"/>
  <c r="AN146" i="8"/>
  <c r="AN147" i="8"/>
  <c r="AN148" i="8"/>
  <c r="AN149" i="8"/>
  <c r="AN150" i="8"/>
  <c r="AN151" i="8"/>
  <c r="AN152" i="8"/>
  <c r="AN153" i="8"/>
  <c r="AN154" i="8"/>
  <c r="AR154" i="8" s="1"/>
  <c r="AN155" i="8"/>
  <c r="AN156" i="8"/>
  <c r="AN157" i="8"/>
  <c r="AN158" i="8"/>
  <c r="AN159" i="8"/>
  <c r="AN160" i="8"/>
  <c r="AN161" i="8"/>
  <c r="AN162" i="8"/>
  <c r="AN163" i="8"/>
  <c r="AN164" i="8"/>
  <c r="AN165" i="8"/>
  <c r="AN166" i="8"/>
  <c r="AN167" i="8"/>
  <c r="AN168" i="8"/>
  <c r="AN169" i="8"/>
  <c r="AN170" i="8"/>
  <c r="AQ170" i="8" s="1"/>
  <c r="AN171" i="8"/>
  <c r="AN172" i="8"/>
  <c r="AN173" i="8"/>
  <c r="AN174" i="8"/>
  <c r="AN175" i="8"/>
  <c r="AN176" i="8"/>
  <c r="AN177" i="8"/>
  <c r="AN178" i="8"/>
  <c r="AN179" i="8"/>
  <c r="AN180" i="8"/>
  <c r="AN181" i="8"/>
  <c r="AN182" i="8"/>
  <c r="AN183" i="8"/>
  <c r="AN184" i="8"/>
  <c r="AN185" i="8"/>
  <c r="AN186" i="8"/>
  <c r="AN187" i="8"/>
  <c r="AN188" i="8"/>
  <c r="AN189" i="8"/>
  <c r="AN190" i="8"/>
  <c r="AN191" i="8"/>
  <c r="AN192" i="8"/>
  <c r="AN193" i="8"/>
  <c r="AN194" i="8"/>
  <c r="AN195" i="8"/>
  <c r="AN196" i="8"/>
  <c r="AN197" i="8"/>
  <c r="AN198" i="8"/>
  <c r="AN199" i="8"/>
  <c r="AN200" i="8"/>
  <c r="AN201" i="8"/>
  <c r="AN202" i="8"/>
  <c r="AR202" i="8" s="1"/>
  <c r="AN203" i="8"/>
  <c r="AN204" i="8"/>
  <c r="AN205" i="8"/>
  <c r="AN206" i="8"/>
  <c r="AN207" i="8"/>
  <c r="AN208" i="8"/>
  <c r="AN209" i="8"/>
  <c r="AN210" i="8"/>
  <c r="AN211" i="8"/>
  <c r="AN212" i="8"/>
  <c r="AN213" i="8"/>
  <c r="AN214" i="8"/>
  <c r="AN215" i="8"/>
  <c r="AN216" i="8"/>
  <c r="AN217" i="8"/>
  <c r="AN218" i="8"/>
  <c r="AR218" i="8" s="1"/>
  <c r="AN219" i="8"/>
  <c r="AN220" i="8"/>
  <c r="AN221" i="8"/>
  <c r="AN222" i="8"/>
  <c r="AN223" i="8"/>
  <c r="AN224" i="8"/>
  <c r="AN225" i="8"/>
  <c r="AN226" i="8"/>
  <c r="AN227" i="8"/>
  <c r="AN228" i="8"/>
  <c r="AN229" i="8"/>
  <c r="AN230" i="8"/>
  <c r="AN231" i="8"/>
  <c r="AN232" i="8"/>
  <c r="AN233" i="8"/>
  <c r="AN234" i="8"/>
  <c r="AN235" i="8"/>
  <c r="AN236" i="8"/>
  <c r="AR236" i="8" s="1"/>
  <c r="AN237" i="8"/>
  <c r="AN238" i="8"/>
  <c r="AN239" i="8"/>
  <c r="AN240" i="8"/>
  <c r="AN241" i="8"/>
  <c r="AN242" i="8"/>
  <c r="AN243" i="8"/>
  <c r="AN244" i="8"/>
  <c r="AN245" i="8"/>
  <c r="AN246" i="8"/>
  <c r="AN247" i="8"/>
  <c r="AN248" i="8"/>
  <c r="AN249" i="8"/>
  <c r="AN250" i="8"/>
  <c r="AR250" i="8" s="1"/>
  <c r="AN251" i="8"/>
  <c r="AN252" i="8"/>
  <c r="AN253" i="8"/>
  <c r="AN254" i="8"/>
  <c r="AN255" i="8"/>
  <c r="AN256" i="8"/>
  <c r="AN257" i="8"/>
  <c r="AN258" i="8"/>
  <c r="AN259" i="8"/>
  <c r="AN260" i="8"/>
  <c r="AN261" i="8"/>
  <c r="AN262" i="8"/>
  <c r="AN263" i="8"/>
  <c r="AN264" i="8"/>
  <c r="AN265" i="8"/>
  <c r="AN266" i="8"/>
  <c r="AR266" i="8" s="1"/>
  <c r="AN267" i="8"/>
  <c r="AN268" i="8"/>
  <c r="AN269" i="8"/>
  <c r="AN270" i="8"/>
  <c r="AN271" i="8"/>
  <c r="AN272" i="8"/>
  <c r="AN273" i="8"/>
  <c r="AN274" i="8"/>
  <c r="AN275" i="8"/>
  <c r="AN276" i="8"/>
  <c r="AN277" i="8"/>
  <c r="AN278" i="8"/>
  <c r="AN279" i="8"/>
  <c r="AN280" i="8"/>
  <c r="AN281" i="8"/>
  <c r="AN282" i="8"/>
  <c r="AN283" i="8"/>
  <c r="AN284" i="8"/>
  <c r="AN285" i="8"/>
  <c r="AN286" i="8"/>
  <c r="AN287" i="8"/>
  <c r="AN288" i="8"/>
  <c r="AN289" i="8"/>
  <c r="AN290" i="8"/>
  <c r="AN291" i="8"/>
  <c r="AN292" i="8"/>
  <c r="AN293" i="8"/>
  <c r="AN294" i="8"/>
  <c r="AN295" i="8"/>
  <c r="AN296" i="8"/>
  <c r="AN297" i="8"/>
  <c r="AN298" i="8"/>
  <c r="AR298" i="8" s="1"/>
  <c r="AN299" i="8"/>
  <c r="AN300" i="8"/>
  <c r="AN301" i="8"/>
  <c r="AN302" i="8"/>
  <c r="AN303" i="8"/>
  <c r="AN304" i="8"/>
  <c r="AN305" i="8"/>
  <c r="AN306" i="8"/>
  <c r="AN307" i="8"/>
  <c r="AN308" i="8"/>
  <c r="AN309" i="8"/>
  <c r="AN310" i="8"/>
  <c r="AN311" i="8"/>
  <c r="AN312" i="8"/>
  <c r="AN313" i="8"/>
  <c r="AN314" i="8"/>
  <c r="AQ314" i="8" s="1"/>
  <c r="AN315" i="8"/>
  <c r="AN316" i="8"/>
  <c r="AN317" i="8"/>
  <c r="AN318" i="8"/>
  <c r="AN319" i="8"/>
  <c r="AN320" i="8"/>
  <c r="AN321" i="8"/>
  <c r="AN322" i="8"/>
  <c r="AN323" i="8"/>
  <c r="AN324" i="8"/>
  <c r="AN325" i="8"/>
  <c r="AN326" i="8"/>
  <c r="AN327" i="8"/>
  <c r="AN328" i="8"/>
  <c r="AN329" i="8"/>
  <c r="AN330" i="8"/>
  <c r="AN331" i="8"/>
  <c r="AN332" i="8"/>
  <c r="AN333" i="8"/>
  <c r="AN334" i="8"/>
  <c r="AN335" i="8"/>
  <c r="AN336" i="8"/>
  <c r="AN337" i="8"/>
  <c r="AN338" i="8"/>
  <c r="AN339" i="8"/>
  <c r="AN340" i="8"/>
  <c r="AN341" i="8"/>
  <c r="AN342" i="8"/>
  <c r="AN343" i="8"/>
  <c r="AN344" i="8"/>
  <c r="AN345" i="8"/>
  <c r="AN346" i="8"/>
  <c r="AR346" i="8" s="1"/>
  <c r="AN347" i="8"/>
  <c r="AN348" i="8"/>
  <c r="AN349" i="8"/>
  <c r="AN350" i="8"/>
  <c r="AN351" i="8"/>
  <c r="AN352" i="8"/>
  <c r="AN353" i="8"/>
  <c r="AN354" i="8"/>
  <c r="AN355" i="8"/>
  <c r="AN356" i="8"/>
  <c r="AN357" i="8"/>
  <c r="AN358" i="8"/>
  <c r="AN359" i="8"/>
  <c r="AN360" i="8"/>
  <c r="AN361" i="8"/>
  <c r="AN362" i="8"/>
  <c r="AR362" i="8" s="1"/>
  <c r="AN363" i="8"/>
  <c r="AN364" i="8"/>
  <c r="AN365" i="8"/>
  <c r="AN366" i="8"/>
  <c r="AN367" i="8"/>
  <c r="AN368" i="8"/>
  <c r="AN369" i="8"/>
  <c r="AN370" i="8"/>
  <c r="AN371" i="8"/>
  <c r="AN372" i="8"/>
  <c r="AN373" i="8"/>
  <c r="AN374" i="8"/>
  <c r="AN375" i="8"/>
  <c r="AN376" i="8"/>
  <c r="AN377" i="8"/>
  <c r="AN378" i="8"/>
  <c r="AN379" i="8"/>
  <c r="AN380" i="8"/>
  <c r="AN381" i="8"/>
  <c r="AN382" i="8"/>
  <c r="AN383" i="8"/>
  <c r="AN384" i="8"/>
  <c r="AN385" i="8"/>
  <c r="AN386" i="8"/>
  <c r="AN387" i="8"/>
  <c r="AN388" i="8"/>
  <c r="AN389" i="8"/>
  <c r="AN390" i="8"/>
  <c r="AN391" i="8"/>
  <c r="AN392" i="8"/>
  <c r="AN393" i="8"/>
  <c r="AN394" i="8"/>
  <c r="AR394" i="8" s="1"/>
  <c r="AN395" i="8"/>
  <c r="AN396" i="8"/>
  <c r="AN397" i="8"/>
  <c r="AN398" i="8"/>
  <c r="AN399" i="8"/>
  <c r="AN400" i="8"/>
  <c r="AN401" i="8"/>
  <c r="AN402" i="8"/>
  <c r="AN403" i="8"/>
  <c r="AN404" i="8"/>
  <c r="AN405" i="8"/>
  <c r="AN406" i="8"/>
  <c r="AN407" i="8"/>
  <c r="AN408" i="8"/>
  <c r="AN409" i="8"/>
  <c r="AN410" i="8"/>
  <c r="AQ410" i="8" s="1"/>
  <c r="AN411" i="8"/>
  <c r="AN412" i="8"/>
  <c r="AN413" i="8"/>
  <c r="AN414" i="8"/>
  <c r="AN415" i="8"/>
  <c r="AN416" i="8"/>
  <c r="AN417" i="8"/>
  <c r="AN418" i="8"/>
  <c r="AN419" i="8"/>
  <c r="AN420" i="8"/>
  <c r="AN421" i="8"/>
  <c r="AN422" i="8"/>
  <c r="AN423" i="8"/>
  <c r="AN424" i="8"/>
  <c r="AN425" i="8"/>
  <c r="AN426" i="8"/>
  <c r="AN427" i="8"/>
  <c r="AN428" i="8"/>
  <c r="AN429" i="8"/>
  <c r="AN430" i="8"/>
  <c r="AN431" i="8"/>
  <c r="AN432" i="8"/>
  <c r="AN433" i="8"/>
  <c r="AN434" i="8"/>
  <c r="AN435" i="8"/>
  <c r="AN436" i="8"/>
  <c r="AN437" i="8"/>
  <c r="AN438" i="8"/>
  <c r="AN439" i="8"/>
  <c r="AN440" i="8"/>
  <c r="AN441" i="8"/>
  <c r="AN442" i="8"/>
  <c r="AR442" i="8" s="1"/>
  <c r="AN443" i="8"/>
  <c r="AN444" i="8"/>
  <c r="AN445" i="8"/>
  <c r="AN446" i="8"/>
  <c r="AN447" i="8"/>
  <c r="AN448" i="8"/>
  <c r="AN449" i="8"/>
  <c r="AN450" i="8"/>
  <c r="AN451" i="8"/>
  <c r="AN452" i="8"/>
  <c r="AN453" i="8"/>
  <c r="AN454" i="8"/>
  <c r="AN455" i="8"/>
  <c r="AN456" i="8"/>
  <c r="AN457" i="8"/>
  <c r="AN458" i="8"/>
  <c r="AR458" i="8" s="1"/>
  <c r="AN459" i="8"/>
  <c r="AN460" i="8"/>
  <c r="AN461" i="8"/>
  <c r="AN462" i="8"/>
  <c r="AN463" i="8"/>
  <c r="AN464" i="8"/>
  <c r="AN465" i="8"/>
  <c r="AN466" i="8"/>
  <c r="AN467" i="8"/>
  <c r="AN468" i="8"/>
  <c r="AN469" i="8"/>
  <c r="AN470" i="8"/>
  <c r="AN471" i="8"/>
  <c r="AN472" i="8"/>
  <c r="AN473" i="8"/>
  <c r="AN474" i="8"/>
  <c r="AN475" i="8"/>
  <c r="AN476" i="8"/>
  <c r="AN477" i="8"/>
  <c r="AN478" i="8"/>
  <c r="AN479" i="8"/>
  <c r="AN480" i="8"/>
  <c r="AN481" i="8"/>
  <c r="AN482" i="8"/>
  <c r="AN483" i="8"/>
  <c r="AN484" i="8"/>
  <c r="AN485" i="8"/>
  <c r="AN486" i="8"/>
  <c r="AN487" i="8"/>
  <c r="AN488" i="8"/>
  <c r="AN489" i="8"/>
  <c r="AN490" i="8"/>
  <c r="AN491" i="8"/>
  <c r="AN492" i="8"/>
  <c r="AN493" i="8"/>
  <c r="AN494" i="8"/>
  <c r="AN495" i="8"/>
  <c r="AN496" i="8"/>
  <c r="AN497" i="8"/>
  <c r="AN498" i="8"/>
  <c r="AN499" i="8"/>
  <c r="AN500" i="8"/>
  <c r="AN501" i="8"/>
  <c r="AN502" i="8"/>
  <c r="AN503" i="8"/>
  <c r="AN504" i="8"/>
  <c r="AN505" i="8"/>
  <c r="AN506" i="8"/>
  <c r="AQ506" i="8" s="1"/>
  <c r="AN507" i="8"/>
  <c r="AN508" i="8"/>
  <c r="AN509" i="8"/>
  <c r="AN510" i="8"/>
  <c r="AN511" i="8"/>
  <c r="AN512" i="8"/>
  <c r="AN513" i="8"/>
  <c r="AN514" i="8"/>
  <c r="AN515" i="8"/>
  <c r="AN516" i="8"/>
  <c r="AN517" i="8"/>
  <c r="AN518" i="8"/>
  <c r="AN519" i="8"/>
  <c r="AN520" i="8"/>
  <c r="AN521" i="8"/>
  <c r="AN522" i="8"/>
  <c r="AN523" i="8"/>
  <c r="AN524" i="8"/>
  <c r="AQ524" i="8" s="1"/>
  <c r="AN525" i="8"/>
  <c r="AN526" i="8"/>
  <c r="AN527" i="8"/>
  <c r="AN528" i="8"/>
  <c r="AN529" i="8"/>
  <c r="AN530" i="8"/>
  <c r="AN531" i="8"/>
  <c r="AN532" i="8"/>
  <c r="AN533" i="8"/>
  <c r="AN534" i="8"/>
  <c r="AN535" i="8"/>
  <c r="AN536" i="8"/>
  <c r="AN537" i="8"/>
  <c r="AN538" i="8"/>
  <c r="AN539" i="8"/>
  <c r="AN540" i="8"/>
  <c r="AN541" i="8"/>
  <c r="AN542" i="8"/>
  <c r="AN543" i="8"/>
  <c r="AN544" i="8"/>
  <c r="AN545" i="8"/>
  <c r="AN546" i="8"/>
  <c r="AN547" i="8"/>
  <c r="AN548" i="8"/>
  <c r="AN549" i="8"/>
  <c r="AN550" i="8"/>
  <c r="AN551" i="8"/>
  <c r="AN552" i="8"/>
  <c r="AN553" i="8"/>
  <c r="AN554" i="8"/>
  <c r="AR554" i="8" s="1"/>
  <c r="AN555" i="8"/>
  <c r="AN556" i="8"/>
  <c r="AN557" i="8"/>
  <c r="AN558" i="8"/>
  <c r="AN559" i="8"/>
  <c r="AN560" i="8"/>
  <c r="AN561" i="8"/>
  <c r="AN562" i="8"/>
  <c r="AN563" i="8"/>
  <c r="AN564" i="8"/>
  <c r="AN565" i="8"/>
  <c r="AN566" i="8"/>
  <c r="AN567" i="8"/>
  <c r="AN568" i="8"/>
  <c r="AN569" i="8"/>
  <c r="AN570" i="8"/>
  <c r="AN571" i="8"/>
  <c r="AN572" i="8"/>
  <c r="AN573" i="8"/>
  <c r="AN574" i="8"/>
  <c r="AN575" i="8"/>
  <c r="AN576" i="8"/>
  <c r="AN577" i="8"/>
  <c r="AN578" i="8"/>
  <c r="AN579" i="8"/>
  <c r="AN580" i="8"/>
  <c r="AN581" i="8"/>
  <c r="AN582" i="8"/>
  <c r="AN583" i="8"/>
  <c r="AN584" i="8"/>
  <c r="AN585" i="8"/>
  <c r="AN586" i="8"/>
  <c r="AR586" i="8" s="1"/>
  <c r="AN587" i="8"/>
  <c r="AN588" i="8"/>
  <c r="AN589" i="8"/>
  <c r="AN590" i="8"/>
  <c r="AN591" i="8"/>
  <c r="AN592" i="8"/>
  <c r="AN593" i="8"/>
  <c r="AN594" i="8"/>
  <c r="AN595" i="8"/>
  <c r="AN596" i="8"/>
  <c r="AN597" i="8"/>
  <c r="AN598" i="8"/>
  <c r="AN599" i="8"/>
  <c r="AN600" i="8"/>
  <c r="AN601" i="8"/>
  <c r="AN602" i="8"/>
  <c r="AR602" i="8" s="1"/>
  <c r="AN603" i="8"/>
  <c r="AN604" i="8"/>
  <c r="AN605" i="8"/>
  <c r="AN606" i="8"/>
  <c r="AN607" i="8"/>
  <c r="AN608" i="8"/>
  <c r="AN609" i="8"/>
  <c r="AN610" i="8"/>
  <c r="AN611" i="8"/>
  <c r="AN612" i="8"/>
  <c r="AN613" i="8"/>
  <c r="AN614" i="8"/>
  <c r="AN615" i="8"/>
  <c r="AN616" i="8"/>
  <c r="AN617" i="8"/>
  <c r="AN618" i="8"/>
  <c r="AN619" i="8"/>
  <c r="AN620" i="8"/>
  <c r="AR620" i="8" s="1"/>
  <c r="AN621" i="8"/>
  <c r="AN622" i="8"/>
  <c r="AN623" i="8"/>
  <c r="AN624" i="8"/>
  <c r="AN625" i="8"/>
  <c r="AN626" i="8"/>
  <c r="AN627" i="8"/>
  <c r="AN628" i="8"/>
  <c r="AN629" i="8"/>
  <c r="AN630" i="8"/>
  <c r="AN631" i="8"/>
  <c r="AN632" i="8"/>
  <c r="AN633" i="8"/>
  <c r="AN634" i="8"/>
  <c r="AR634" i="8" s="1"/>
  <c r="AN635" i="8"/>
  <c r="AN636" i="8"/>
  <c r="AN637" i="8"/>
  <c r="AN638" i="8"/>
  <c r="AN639" i="8"/>
  <c r="AN640" i="8"/>
  <c r="AN641" i="8"/>
  <c r="AN642" i="8"/>
  <c r="AN643" i="8"/>
  <c r="AN644" i="8"/>
  <c r="AN645" i="8"/>
  <c r="AN646" i="8"/>
  <c r="AN647" i="8"/>
  <c r="AN648" i="8"/>
  <c r="AN649" i="8"/>
  <c r="AN650" i="8"/>
  <c r="AR650" i="8" s="1"/>
  <c r="AN651" i="8"/>
  <c r="AN652" i="8"/>
  <c r="AN653" i="8"/>
  <c r="AN654" i="8"/>
  <c r="AN655" i="8"/>
  <c r="AN656" i="8"/>
  <c r="AN657" i="8"/>
  <c r="AN658" i="8"/>
  <c r="AN659" i="8"/>
  <c r="AN660" i="8"/>
  <c r="AN661" i="8"/>
  <c r="AN662" i="8"/>
  <c r="AN663" i="8"/>
  <c r="AN664" i="8"/>
  <c r="AN665" i="8"/>
  <c r="AN666" i="8"/>
  <c r="AN667" i="8"/>
  <c r="AN668" i="8"/>
  <c r="AN669" i="8"/>
  <c r="AN670" i="8"/>
  <c r="AN671" i="8"/>
  <c r="AN672" i="8"/>
  <c r="AN673" i="8"/>
  <c r="AN674" i="8"/>
  <c r="AN675" i="8"/>
  <c r="AN676" i="8"/>
  <c r="AN677" i="8"/>
  <c r="AN678" i="8"/>
  <c r="AN679" i="8"/>
  <c r="AN680" i="8"/>
  <c r="AN681" i="8"/>
  <c r="AN682" i="8"/>
  <c r="AN683" i="8"/>
  <c r="AN684" i="8"/>
  <c r="AN685" i="8"/>
  <c r="AN686" i="8"/>
  <c r="AN687" i="8"/>
  <c r="AN688" i="8"/>
  <c r="AN689" i="8"/>
  <c r="AN690" i="8"/>
  <c r="AN691" i="8"/>
  <c r="AN692" i="8"/>
  <c r="AN693" i="8"/>
  <c r="AN694" i="8"/>
  <c r="AN695" i="8"/>
  <c r="AN696" i="8"/>
  <c r="AN697" i="8"/>
  <c r="AN698" i="8"/>
  <c r="AQ698" i="8" s="1"/>
  <c r="AN699" i="8"/>
  <c r="AN700" i="8"/>
  <c r="AN701" i="8"/>
  <c r="AN702" i="8"/>
  <c r="AN703" i="8"/>
  <c r="AN704" i="8"/>
  <c r="AN705" i="8"/>
  <c r="AN706" i="8"/>
  <c r="AN707" i="8"/>
  <c r="AN708" i="8"/>
  <c r="AN709" i="8"/>
  <c r="AN710" i="8"/>
  <c r="AN711" i="8"/>
  <c r="AN712" i="8"/>
  <c r="AN713" i="8"/>
  <c r="AN714" i="8"/>
  <c r="AR714" i="8" s="1"/>
  <c r="AN715" i="8"/>
  <c r="AN716" i="8"/>
  <c r="AQ716" i="8" s="1"/>
  <c r="AN717" i="8"/>
  <c r="AN718" i="8"/>
  <c r="AN719" i="8"/>
  <c r="AN720" i="8"/>
  <c r="AN721" i="8"/>
  <c r="AN722" i="8"/>
  <c r="AN723" i="8"/>
  <c r="AN724" i="8"/>
  <c r="AN725" i="8"/>
  <c r="AN726" i="8"/>
  <c r="AN727" i="8"/>
  <c r="AN728" i="8"/>
  <c r="AN729" i="8"/>
  <c r="AN730" i="8"/>
  <c r="AQ730" i="8" s="1"/>
  <c r="AN731" i="8"/>
  <c r="AN732" i="8"/>
  <c r="AN733" i="8"/>
  <c r="AN734" i="8"/>
  <c r="AN735" i="8"/>
  <c r="AN736" i="8"/>
  <c r="AN737" i="8"/>
  <c r="AN738" i="8"/>
  <c r="AN739" i="8"/>
  <c r="AN740" i="8"/>
  <c r="AN741" i="8"/>
  <c r="AN742" i="8"/>
  <c r="AN743" i="8"/>
  <c r="AN744" i="8"/>
  <c r="AN745" i="8"/>
  <c r="AN746" i="8"/>
  <c r="AR746" i="8" s="1"/>
  <c r="AN747" i="8"/>
  <c r="AN748" i="8"/>
  <c r="AN749" i="8"/>
  <c r="AN750" i="8"/>
  <c r="AN751" i="8"/>
  <c r="AN752" i="8"/>
  <c r="AN753" i="8"/>
  <c r="AN754" i="8"/>
  <c r="AN755" i="8"/>
  <c r="AN756" i="8"/>
  <c r="AN757" i="8"/>
  <c r="AN758" i="8"/>
  <c r="AN759" i="8"/>
  <c r="AN760" i="8"/>
  <c r="AN761" i="8"/>
  <c r="AN762" i="8"/>
  <c r="AR762" i="8" s="1"/>
  <c r="AN763" i="8"/>
  <c r="AN764" i="8"/>
  <c r="AN765" i="8"/>
  <c r="AN766" i="8"/>
  <c r="AN767" i="8"/>
  <c r="AN768" i="8"/>
  <c r="AN769" i="8"/>
  <c r="AN770" i="8"/>
  <c r="AN771" i="8"/>
  <c r="AN772" i="8"/>
  <c r="AN773" i="8"/>
  <c r="AN774" i="8"/>
  <c r="AN775" i="8"/>
  <c r="AN776" i="8"/>
  <c r="AN777" i="8"/>
  <c r="AN778" i="8"/>
  <c r="AN779" i="8"/>
  <c r="AN780" i="8"/>
  <c r="AN781" i="8"/>
  <c r="AN782" i="8"/>
  <c r="AN783" i="8"/>
  <c r="AN784" i="8"/>
  <c r="AN785" i="8"/>
  <c r="AN786" i="8"/>
  <c r="AN787" i="8"/>
  <c r="AN788" i="8"/>
  <c r="AN789" i="8"/>
  <c r="AN790" i="8"/>
  <c r="AN791" i="8"/>
  <c r="AN792" i="8"/>
  <c r="AN793" i="8"/>
  <c r="AN794" i="8"/>
  <c r="AQ794" i="8" s="1"/>
  <c r="AN795" i="8"/>
  <c r="AN796" i="8"/>
  <c r="AN797" i="8"/>
  <c r="AN798" i="8"/>
  <c r="AN799" i="8"/>
  <c r="AN800" i="8"/>
  <c r="AN801" i="8"/>
  <c r="AN802" i="8"/>
  <c r="AN803" i="8"/>
  <c r="AN804" i="8"/>
  <c r="AN805" i="8"/>
  <c r="AN806" i="8"/>
  <c r="AN807" i="8"/>
  <c r="AN808" i="8"/>
  <c r="AN809" i="8"/>
  <c r="AN810" i="8"/>
  <c r="AN811" i="8"/>
  <c r="AN812" i="8"/>
  <c r="AN813" i="8"/>
  <c r="AN814" i="8"/>
  <c r="AN815" i="8"/>
  <c r="AN816" i="8"/>
  <c r="AN817" i="8"/>
  <c r="AN818" i="8"/>
  <c r="AN819" i="8"/>
  <c r="AN820" i="8"/>
  <c r="AN821" i="8"/>
  <c r="AN822" i="8"/>
  <c r="AN823" i="8"/>
  <c r="AN824" i="8"/>
  <c r="AN825" i="8"/>
  <c r="AN826" i="8"/>
  <c r="AR826" i="8" s="1"/>
  <c r="AN827" i="8"/>
  <c r="AN828" i="8"/>
  <c r="AN829" i="8"/>
  <c r="AN830" i="8"/>
  <c r="AN831" i="8"/>
  <c r="AN832" i="8"/>
  <c r="AN833" i="8"/>
  <c r="AN834" i="8"/>
  <c r="AN835" i="8"/>
  <c r="AN836" i="8"/>
  <c r="AN837" i="8"/>
  <c r="AN838" i="8"/>
  <c r="AN839" i="8"/>
  <c r="AN840" i="8"/>
  <c r="AN841" i="8"/>
  <c r="AN842" i="8"/>
  <c r="AQ842" i="8" s="1"/>
  <c r="AN843" i="8"/>
  <c r="AN844" i="8"/>
  <c r="AN845" i="8"/>
  <c r="AN846" i="8"/>
  <c r="AN847" i="8"/>
  <c r="AN848" i="8"/>
  <c r="AN849" i="8"/>
  <c r="AN850" i="8"/>
  <c r="AN851" i="8"/>
  <c r="AN852" i="8"/>
  <c r="AN853" i="8"/>
  <c r="AN854" i="8"/>
  <c r="AN855" i="8"/>
  <c r="AN856" i="8"/>
  <c r="AN857" i="8"/>
  <c r="AN858" i="8"/>
  <c r="AN859" i="8"/>
  <c r="AN860" i="8"/>
  <c r="AN861" i="8"/>
  <c r="AN862" i="8"/>
  <c r="AN863" i="8"/>
  <c r="AN864" i="8"/>
  <c r="AN865" i="8"/>
  <c r="AN866" i="8"/>
  <c r="AN867" i="8"/>
  <c r="AN868" i="8"/>
  <c r="AN869" i="8"/>
  <c r="AN870" i="8"/>
  <c r="AN871" i="8"/>
  <c r="AN872" i="8"/>
  <c r="AN873" i="8"/>
  <c r="AN874" i="8"/>
  <c r="AQ874" i="8" s="1"/>
  <c r="AN875" i="8"/>
  <c r="AN876" i="8"/>
  <c r="AN877" i="8"/>
  <c r="AN878" i="8"/>
  <c r="AN879" i="8"/>
  <c r="AN880" i="8"/>
  <c r="AN881" i="8"/>
  <c r="AN882" i="8"/>
  <c r="AN883" i="8"/>
  <c r="AN884" i="8"/>
  <c r="AN885" i="8"/>
  <c r="AN886" i="8"/>
  <c r="AN887" i="8"/>
  <c r="AN888" i="8"/>
  <c r="AN889" i="8"/>
  <c r="AN890" i="8"/>
  <c r="AQ890" i="8" s="1"/>
  <c r="AN891" i="8"/>
  <c r="AN892" i="8"/>
  <c r="AN893" i="8"/>
  <c r="AN894" i="8"/>
  <c r="AN895" i="8"/>
  <c r="AN896" i="8"/>
  <c r="AN897" i="8"/>
  <c r="AN898" i="8"/>
  <c r="AN899" i="8"/>
  <c r="AN900" i="8"/>
  <c r="AN901" i="8"/>
  <c r="AN902" i="8"/>
  <c r="AN903" i="8"/>
  <c r="AN904" i="8"/>
  <c r="AN905" i="8"/>
  <c r="AN906" i="8"/>
  <c r="AN907" i="8"/>
  <c r="AN908" i="8"/>
  <c r="AR908" i="8" s="1"/>
  <c r="AN909" i="8"/>
  <c r="AN910" i="8"/>
  <c r="AN911" i="8"/>
  <c r="AN912" i="8"/>
  <c r="AN913" i="8"/>
  <c r="AN914" i="8"/>
  <c r="AN915" i="8"/>
  <c r="AN916" i="8"/>
  <c r="AN917" i="8"/>
  <c r="AN918" i="8"/>
  <c r="AN919" i="8"/>
  <c r="AN920" i="8"/>
  <c r="AN921" i="8"/>
  <c r="AN922" i="8"/>
  <c r="AR922" i="8" s="1"/>
  <c r="AN923" i="8"/>
  <c r="AN924" i="8"/>
  <c r="AN925" i="8"/>
  <c r="AN926" i="8"/>
  <c r="AN927" i="8"/>
  <c r="AN928" i="8"/>
  <c r="AN929" i="8"/>
  <c r="AN930" i="8"/>
  <c r="AN931" i="8"/>
  <c r="AN932" i="8"/>
  <c r="AN933" i="8"/>
  <c r="AN934" i="8"/>
  <c r="AN935" i="8"/>
  <c r="AN936" i="8"/>
  <c r="AN937" i="8"/>
  <c r="AN938" i="8"/>
  <c r="AR938" i="8" s="1"/>
  <c r="AN939" i="8"/>
  <c r="AN940" i="8"/>
  <c r="AN941" i="8"/>
  <c r="AN942" i="8"/>
  <c r="AN943" i="8"/>
  <c r="AN944" i="8"/>
  <c r="AN945" i="8"/>
  <c r="AN946" i="8"/>
  <c r="AN947" i="8"/>
  <c r="AN948" i="8"/>
  <c r="AN949" i="8"/>
  <c r="AN950" i="8"/>
  <c r="AN951" i="8"/>
  <c r="AN952" i="8"/>
  <c r="AN953" i="8"/>
  <c r="AN954" i="8"/>
  <c r="AN955" i="8"/>
  <c r="AN956" i="8"/>
  <c r="AN957" i="8"/>
  <c r="AN958" i="8"/>
  <c r="AN959" i="8"/>
  <c r="AN960" i="8"/>
  <c r="AN961" i="8"/>
  <c r="AN962" i="8"/>
  <c r="AN963" i="8"/>
  <c r="AN964" i="8"/>
  <c r="AN965" i="8"/>
  <c r="AN966" i="8"/>
  <c r="AN967" i="8"/>
  <c r="AN968" i="8"/>
  <c r="AN969" i="8"/>
  <c r="AN970" i="8"/>
  <c r="AR970" i="8" s="1"/>
  <c r="AN971" i="8"/>
  <c r="AN972" i="8"/>
  <c r="AN973" i="8"/>
  <c r="AN974" i="8"/>
  <c r="AN975" i="8"/>
  <c r="AN976" i="8"/>
  <c r="AN977" i="8"/>
  <c r="AN978" i="8"/>
  <c r="AN979" i="8"/>
  <c r="AN980" i="8"/>
  <c r="AN981" i="8"/>
  <c r="AN982" i="8"/>
  <c r="AN983" i="8"/>
  <c r="AN984" i="8"/>
  <c r="AN985" i="8"/>
  <c r="AN986" i="8"/>
  <c r="AQ986" i="8" s="1"/>
  <c r="AN987" i="8"/>
  <c r="AN988" i="8"/>
  <c r="AR988" i="8" s="1"/>
  <c r="AN989" i="8"/>
  <c r="AN990" i="8"/>
  <c r="AN991" i="8"/>
  <c r="AN992" i="8"/>
  <c r="AN993" i="8"/>
  <c r="AN994" i="8"/>
  <c r="AN995" i="8"/>
  <c r="AN996" i="8"/>
  <c r="AN997" i="8"/>
  <c r="AN998" i="8"/>
  <c r="AN999" i="8"/>
  <c r="AN1000" i="8"/>
  <c r="AN1001" i="8"/>
  <c r="AN1002" i="8"/>
  <c r="AN1003" i="8"/>
  <c r="AN1004" i="8"/>
  <c r="AR1004" i="8" s="1"/>
  <c r="AN1005" i="8"/>
  <c r="AN1006" i="8"/>
  <c r="AN1007" i="8"/>
  <c r="AN1008" i="8"/>
  <c r="AN1009" i="8"/>
  <c r="AN1010" i="8"/>
  <c r="AN1011" i="8"/>
  <c r="AN1012" i="8"/>
  <c r="AN1013" i="8"/>
  <c r="AN1014" i="8"/>
  <c r="AN1015" i="8"/>
  <c r="AN1016" i="8"/>
  <c r="AN1017" i="8"/>
  <c r="AN1018" i="8"/>
  <c r="AQ1018" i="8" s="1"/>
  <c r="AN1019" i="8"/>
  <c r="AN1020" i="8"/>
  <c r="AN1021" i="8"/>
  <c r="AN1022" i="8"/>
  <c r="AN1023" i="8"/>
  <c r="AN1024" i="8"/>
  <c r="AN1025" i="8"/>
  <c r="AN1026" i="8"/>
  <c r="AN1027" i="8"/>
  <c r="AN1028" i="8"/>
  <c r="AN1029" i="8"/>
  <c r="AN1030" i="8"/>
  <c r="AN1031" i="8"/>
  <c r="AN1032" i="8"/>
  <c r="AN1033" i="8"/>
  <c r="AN1034" i="8"/>
  <c r="AQ1034" i="8" s="1"/>
  <c r="AN1035" i="8"/>
  <c r="AN1036" i="8"/>
  <c r="AN1037" i="8"/>
  <c r="AN1038" i="8"/>
  <c r="AN1039" i="8"/>
  <c r="AN1040" i="8"/>
  <c r="AN1041" i="8"/>
  <c r="AN1042" i="8"/>
  <c r="AN1043" i="8"/>
  <c r="AN1044" i="8"/>
  <c r="AN1045" i="8"/>
  <c r="AN1046" i="8"/>
  <c r="AN1047" i="8"/>
  <c r="AN1048" i="8"/>
  <c r="AN1049" i="8"/>
  <c r="AN1050" i="8"/>
  <c r="AN1051" i="8"/>
  <c r="AN1052" i="8"/>
  <c r="AN1053" i="8"/>
  <c r="AN1054" i="8"/>
  <c r="AN1055" i="8"/>
  <c r="AN1056" i="8"/>
  <c r="AN1057" i="8"/>
  <c r="AN1058" i="8"/>
  <c r="AN1059" i="8"/>
  <c r="AN1060" i="8"/>
  <c r="AN1061" i="8"/>
  <c r="AN1062" i="8"/>
  <c r="AN1063" i="8"/>
  <c r="AN1064" i="8"/>
  <c r="AN1065" i="8"/>
  <c r="AN1066" i="8"/>
  <c r="AN1067" i="8"/>
  <c r="AN1068" i="8"/>
  <c r="AN1069" i="8"/>
  <c r="AN1070" i="8"/>
  <c r="AN1071" i="8"/>
  <c r="AN1072" i="8"/>
  <c r="AN1073" i="8"/>
  <c r="AN1074" i="8"/>
  <c r="AN1075" i="8"/>
  <c r="AN1076" i="8"/>
  <c r="AN1077" i="8"/>
  <c r="AN1078" i="8"/>
  <c r="AN1079" i="8"/>
  <c r="AN1080" i="8"/>
  <c r="AN1081" i="8"/>
  <c r="AN1082" i="8"/>
  <c r="AR1082" i="8" s="1"/>
  <c r="AN1083" i="8"/>
  <c r="AN1084" i="8"/>
  <c r="AR1084" i="8" s="1"/>
  <c r="AN1085" i="8"/>
  <c r="AN1086" i="8"/>
  <c r="AN1087" i="8"/>
  <c r="AN1088" i="8"/>
  <c r="AN1089" i="8"/>
  <c r="AN1090" i="8"/>
  <c r="AN1091" i="8"/>
  <c r="AN1092" i="8"/>
  <c r="AN1093" i="8"/>
  <c r="AN1094" i="8"/>
  <c r="AN1095" i="8"/>
  <c r="AN1096" i="8"/>
  <c r="AN1097" i="8"/>
  <c r="AN1098" i="8"/>
  <c r="AN1099" i="8"/>
  <c r="AN1100" i="8"/>
  <c r="AR1100" i="8" s="1"/>
  <c r="AN1101" i="8"/>
  <c r="AN1102" i="8"/>
  <c r="AN1103" i="8"/>
  <c r="AN1104" i="8"/>
  <c r="AN1105" i="8"/>
  <c r="AN1106" i="8"/>
  <c r="AN1107" i="8"/>
  <c r="AN1108" i="8"/>
  <c r="AN1109" i="8"/>
  <c r="AN1110" i="8"/>
  <c r="AN1111" i="8"/>
  <c r="AN1112" i="8"/>
  <c r="AN1113" i="8"/>
  <c r="AN1114" i="8"/>
  <c r="AQ1114" i="8" s="1"/>
  <c r="AN1115" i="8"/>
  <c r="AN1116" i="8"/>
  <c r="AN1117" i="8"/>
  <c r="AN1118" i="8"/>
  <c r="AN1119" i="8"/>
  <c r="AN1120" i="8"/>
  <c r="AN1121" i="8"/>
  <c r="AN1122" i="8"/>
  <c r="AN1123" i="8"/>
  <c r="AN1124" i="8"/>
  <c r="AN1125" i="8"/>
  <c r="AN1126" i="8"/>
  <c r="AN1127" i="8"/>
  <c r="AN1128" i="8"/>
  <c r="AO15" i="8"/>
  <c r="AO16" i="8"/>
  <c r="AR16" i="8" s="1"/>
  <c r="AO17" i="8"/>
  <c r="AO18" i="8"/>
  <c r="AO19" i="8"/>
  <c r="AO20" i="8"/>
  <c r="AO21" i="8"/>
  <c r="AO22" i="8"/>
  <c r="AO23" i="8"/>
  <c r="AO24" i="8"/>
  <c r="AO25" i="8"/>
  <c r="AO26" i="8"/>
  <c r="AO27" i="8"/>
  <c r="AO28" i="8"/>
  <c r="AO29" i="8"/>
  <c r="AO30" i="8"/>
  <c r="AO31" i="8"/>
  <c r="AO32" i="8"/>
  <c r="AO33" i="8"/>
  <c r="AO34" i="8"/>
  <c r="AR34" i="8" s="1"/>
  <c r="AO35" i="8"/>
  <c r="AO36" i="8"/>
  <c r="AO37" i="8"/>
  <c r="AO38" i="8"/>
  <c r="AO39" i="8"/>
  <c r="AO40" i="8"/>
  <c r="AO41" i="8"/>
  <c r="AO42" i="8"/>
  <c r="AO43" i="8"/>
  <c r="AO44" i="8"/>
  <c r="AO45" i="8"/>
  <c r="AO46" i="8"/>
  <c r="AO47" i="8"/>
  <c r="AO48" i="8"/>
  <c r="AQ48" i="8" s="1"/>
  <c r="AO49" i="8"/>
  <c r="AO50" i="8"/>
  <c r="AQ50" i="8" s="1"/>
  <c r="AO51" i="8"/>
  <c r="AO52" i="8"/>
  <c r="AO53" i="8"/>
  <c r="AO54" i="8"/>
  <c r="AO55" i="8"/>
  <c r="AO56" i="8"/>
  <c r="AO57" i="8"/>
  <c r="AO58" i="8"/>
  <c r="AO59" i="8"/>
  <c r="AO60" i="8"/>
  <c r="AO61" i="8"/>
  <c r="AO62" i="8"/>
  <c r="AO63" i="8"/>
  <c r="AO64" i="8"/>
  <c r="AQ64" i="8" s="1"/>
  <c r="AO65" i="8"/>
  <c r="AO66" i="8"/>
  <c r="AO67" i="8"/>
  <c r="AO68" i="8"/>
  <c r="AO69" i="8"/>
  <c r="AO70" i="8"/>
  <c r="AO71" i="8"/>
  <c r="AO72" i="8"/>
  <c r="AO73" i="8"/>
  <c r="AO74" i="8"/>
  <c r="AO75" i="8"/>
  <c r="AO76" i="8"/>
  <c r="AO77" i="8"/>
  <c r="AO78" i="8"/>
  <c r="AO79" i="8"/>
  <c r="AO80" i="8"/>
  <c r="AO81" i="8"/>
  <c r="AO82" i="8"/>
  <c r="AQ82" i="8" s="1"/>
  <c r="AO83" i="8"/>
  <c r="AO84" i="8"/>
  <c r="AO85" i="8"/>
  <c r="AO86" i="8"/>
  <c r="AO87" i="8"/>
  <c r="AO88" i="8"/>
  <c r="AO89" i="8"/>
  <c r="AO90" i="8"/>
  <c r="AO91" i="8"/>
  <c r="AO92" i="8"/>
  <c r="AO93" i="8"/>
  <c r="AO94" i="8"/>
  <c r="AO95" i="8"/>
  <c r="AO96" i="8"/>
  <c r="AQ96" i="8" s="1"/>
  <c r="AO97" i="8"/>
  <c r="AO98" i="8"/>
  <c r="AR98" i="8" s="1"/>
  <c r="AO99" i="8"/>
  <c r="AO100" i="8"/>
  <c r="AO101" i="8"/>
  <c r="AO102" i="8"/>
  <c r="AO103" i="8"/>
  <c r="AO104" i="8"/>
  <c r="AO105" i="8"/>
  <c r="AO106" i="8"/>
  <c r="AO107" i="8"/>
  <c r="AO108" i="8"/>
  <c r="AO109" i="8"/>
  <c r="AO110" i="8"/>
  <c r="AO111" i="8"/>
  <c r="AO112" i="8"/>
  <c r="AR112" i="8" s="1"/>
  <c r="AO113" i="8"/>
  <c r="AO114" i="8"/>
  <c r="AO115" i="8"/>
  <c r="AO116" i="8"/>
  <c r="AO117" i="8"/>
  <c r="AO118" i="8"/>
  <c r="AO119" i="8"/>
  <c r="AO120" i="8"/>
  <c r="AO121" i="8"/>
  <c r="AO122" i="8"/>
  <c r="AO123" i="8"/>
  <c r="AO124" i="8"/>
  <c r="AO125" i="8"/>
  <c r="AO126" i="8"/>
  <c r="AO127" i="8"/>
  <c r="AO128" i="8"/>
  <c r="AO129" i="8"/>
  <c r="AO130" i="8"/>
  <c r="AO131" i="8"/>
  <c r="AO132" i="8"/>
  <c r="AO133" i="8"/>
  <c r="AO134" i="8"/>
  <c r="AO135" i="8"/>
  <c r="AO136" i="8"/>
  <c r="AO137" i="8"/>
  <c r="AO138" i="8"/>
  <c r="AO139" i="8"/>
  <c r="AO140" i="8"/>
  <c r="AO141" i="8"/>
  <c r="AO142" i="8"/>
  <c r="AO143" i="8"/>
  <c r="AO144" i="8"/>
  <c r="AR144" i="8" s="1"/>
  <c r="AO145" i="8"/>
  <c r="AO146" i="8"/>
  <c r="AQ146" i="8" s="1"/>
  <c r="AO147" i="8"/>
  <c r="AO148" i="8"/>
  <c r="AO149" i="8"/>
  <c r="AO150" i="8"/>
  <c r="AO151" i="8"/>
  <c r="AO152" i="8"/>
  <c r="AO153" i="8"/>
  <c r="AO154" i="8"/>
  <c r="AO155" i="8"/>
  <c r="AO156" i="8"/>
  <c r="AO157" i="8"/>
  <c r="AO158" i="8"/>
  <c r="AO159" i="8"/>
  <c r="AO160" i="8"/>
  <c r="AR160" i="8" s="1"/>
  <c r="AO161" i="8"/>
  <c r="AO162" i="8"/>
  <c r="AO163" i="8"/>
  <c r="AO164" i="8"/>
  <c r="AO165" i="8"/>
  <c r="AO166" i="8"/>
  <c r="AO167" i="8"/>
  <c r="AO168" i="8"/>
  <c r="AO169" i="8"/>
  <c r="AO170" i="8"/>
  <c r="AO171" i="8"/>
  <c r="AO172" i="8"/>
  <c r="AO173" i="8"/>
  <c r="AO174" i="8"/>
  <c r="AO175" i="8"/>
  <c r="AO176" i="8"/>
  <c r="AO177" i="8"/>
  <c r="AO178" i="8"/>
  <c r="AR178" i="8" s="1"/>
  <c r="AO179" i="8"/>
  <c r="AO180" i="8"/>
  <c r="AO181" i="8"/>
  <c r="AO182" i="8"/>
  <c r="AO183" i="8"/>
  <c r="AO184" i="8"/>
  <c r="AO185" i="8"/>
  <c r="AO186" i="8"/>
  <c r="AO187" i="8"/>
  <c r="AO188" i="8"/>
  <c r="AO189" i="8"/>
  <c r="AO190" i="8"/>
  <c r="AO191" i="8"/>
  <c r="AO192" i="8"/>
  <c r="AR192" i="8" s="1"/>
  <c r="AO193" i="8"/>
  <c r="AO194" i="8"/>
  <c r="AQ194" i="8" s="1"/>
  <c r="AO195" i="8"/>
  <c r="AO196" i="8"/>
  <c r="AO197" i="8"/>
  <c r="AO198" i="8"/>
  <c r="AO199" i="8"/>
  <c r="AO200" i="8"/>
  <c r="AO201" i="8"/>
  <c r="AO202" i="8"/>
  <c r="AO203" i="8"/>
  <c r="AO204" i="8"/>
  <c r="AO205" i="8"/>
  <c r="AO206" i="8"/>
  <c r="AO207" i="8"/>
  <c r="AO208" i="8"/>
  <c r="AR208" i="8" s="1"/>
  <c r="AO209" i="8"/>
  <c r="AO210" i="8"/>
  <c r="AO211" i="8"/>
  <c r="AO212" i="8"/>
  <c r="AO213" i="8"/>
  <c r="AO214" i="8"/>
  <c r="AO215" i="8"/>
  <c r="AO216" i="8"/>
  <c r="AO217" i="8"/>
  <c r="AO218" i="8"/>
  <c r="AO219" i="8"/>
  <c r="AO220" i="8"/>
  <c r="AO221" i="8"/>
  <c r="AO222" i="8"/>
  <c r="AO223" i="8"/>
  <c r="AO224" i="8"/>
  <c r="AO225" i="8"/>
  <c r="AO226" i="8"/>
  <c r="AR226" i="8" s="1"/>
  <c r="AO227" i="8"/>
  <c r="AO228" i="8"/>
  <c r="AO229" i="8"/>
  <c r="AO230" i="8"/>
  <c r="AO231" i="8"/>
  <c r="AO232" i="8"/>
  <c r="AO233" i="8"/>
  <c r="AO234" i="8"/>
  <c r="AO235" i="8"/>
  <c r="AO236" i="8"/>
  <c r="AO237" i="8"/>
  <c r="AO238" i="8"/>
  <c r="AO239" i="8"/>
  <c r="AO240" i="8"/>
  <c r="AQ240" i="8" s="1"/>
  <c r="AO241" i="8"/>
  <c r="AO242" i="8"/>
  <c r="AQ242" i="8" s="1"/>
  <c r="AO243" i="8"/>
  <c r="AO244" i="8"/>
  <c r="AO245" i="8"/>
  <c r="AO246" i="8"/>
  <c r="AO247" i="8"/>
  <c r="AO248" i="8"/>
  <c r="AO249" i="8"/>
  <c r="AO250" i="8"/>
  <c r="AO251" i="8"/>
  <c r="AO252" i="8"/>
  <c r="AO253" i="8"/>
  <c r="AO254" i="8"/>
  <c r="AO255" i="8"/>
  <c r="AO256" i="8"/>
  <c r="AQ256" i="8" s="1"/>
  <c r="AO257" i="8"/>
  <c r="AO258" i="8"/>
  <c r="AO259" i="8"/>
  <c r="AO260" i="8"/>
  <c r="AO261" i="8"/>
  <c r="AO262" i="8"/>
  <c r="AO263" i="8"/>
  <c r="AO264" i="8"/>
  <c r="AO265" i="8"/>
  <c r="AO266" i="8"/>
  <c r="AO267" i="8"/>
  <c r="AO268" i="8"/>
  <c r="AO269" i="8"/>
  <c r="AO270" i="8"/>
  <c r="AO271" i="8"/>
  <c r="AO272" i="8"/>
  <c r="AO273" i="8"/>
  <c r="AO274" i="8"/>
  <c r="AO275" i="8"/>
  <c r="AO276" i="8"/>
  <c r="AO277" i="8"/>
  <c r="AO278" i="8"/>
  <c r="AO279" i="8"/>
  <c r="AO280" i="8"/>
  <c r="AO281" i="8"/>
  <c r="AO282" i="8"/>
  <c r="AO283" i="8"/>
  <c r="AO284" i="8"/>
  <c r="AO285" i="8"/>
  <c r="AO286" i="8"/>
  <c r="AO287" i="8"/>
  <c r="AO288" i="8"/>
  <c r="AR288" i="8" s="1"/>
  <c r="AO289" i="8"/>
  <c r="AO290" i="8"/>
  <c r="AQ290" i="8" s="1"/>
  <c r="AO291" i="8"/>
  <c r="AO292" i="8"/>
  <c r="AO293" i="8"/>
  <c r="AO294" i="8"/>
  <c r="AO295" i="8"/>
  <c r="AO296" i="8"/>
  <c r="AO297" i="8"/>
  <c r="AO298" i="8"/>
  <c r="AO299" i="8"/>
  <c r="AO300" i="8"/>
  <c r="AO301" i="8"/>
  <c r="AO302" i="8"/>
  <c r="AO303" i="8"/>
  <c r="AO304" i="8"/>
  <c r="AR304" i="8" s="1"/>
  <c r="AO305" i="8"/>
  <c r="AO306" i="8"/>
  <c r="AO307" i="8"/>
  <c r="AO308" i="8"/>
  <c r="AO309" i="8"/>
  <c r="AO310" i="8"/>
  <c r="AO311" i="8"/>
  <c r="AO312" i="8"/>
  <c r="AO313" i="8"/>
  <c r="AO314" i="8"/>
  <c r="AO315" i="8"/>
  <c r="AO316" i="8"/>
  <c r="AO317" i="8"/>
  <c r="AO318" i="8"/>
  <c r="AO319" i="8"/>
  <c r="AO320" i="8"/>
  <c r="AO321" i="8"/>
  <c r="AO322" i="8"/>
  <c r="AO323" i="8"/>
  <c r="AO324" i="8"/>
  <c r="AO325" i="8"/>
  <c r="AO326" i="8"/>
  <c r="AO327" i="8"/>
  <c r="AO328" i="8"/>
  <c r="AO329" i="8"/>
  <c r="AO330" i="8"/>
  <c r="AO331" i="8"/>
  <c r="AO332" i="8"/>
  <c r="AO333" i="8"/>
  <c r="AO334" i="8"/>
  <c r="AO335" i="8"/>
  <c r="AO336" i="8"/>
  <c r="AQ336" i="8" s="1"/>
  <c r="AO337" i="8"/>
  <c r="AO338" i="8"/>
  <c r="AQ338" i="8" s="1"/>
  <c r="AO339" i="8"/>
  <c r="AO340" i="8"/>
  <c r="AO341" i="8"/>
  <c r="AO342" i="8"/>
  <c r="AO343" i="8"/>
  <c r="AO344" i="8"/>
  <c r="AO345" i="8"/>
  <c r="AO346" i="8"/>
  <c r="AO347" i="8"/>
  <c r="AO348" i="8"/>
  <c r="AO349" i="8"/>
  <c r="AO350" i="8"/>
  <c r="AO351" i="8"/>
  <c r="AO352" i="8"/>
  <c r="AR352" i="8" s="1"/>
  <c r="AO353" i="8"/>
  <c r="AO354" i="8"/>
  <c r="AO355" i="8"/>
  <c r="AO356" i="8"/>
  <c r="AO357" i="8"/>
  <c r="AO358" i="8"/>
  <c r="AO359" i="8"/>
  <c r="AO360" i="8"/>
  <c r="AO361" i="8"/>
  <c r="AO362" i="8"/>
  <c r="AO363" i="8"/>
  <c r="AO364" i="8"/>
  <c r="AO365" i="8"/>
  <c r="AO366" i="8"/>
  <c r="AO367" i="8"/>
  <c r="AO368" i="8"/>
  <c r="AO369" i="8"/>
  <c r="AO370" i="8"/>
  <c r="AR370" i="8" s="1"/>
  <c r="AO371" i="8"/>
  <c r="AO372" i="8"/>
  <c r="AO373" i="8"/>
  <c r="AO374" i="8"/>
  <c r="AO375" i="8"/>
  <c r="AO376" i="8"/>
  <c r="AO377" i="8"/>
  <c r="AO378" i="8"/>
  <c r="AO379" i="8"/>
  <c r="AO380" i="8"/>
  <c r="AO381" i="8"/>
  <c r="AO382" i="8"/>
  <c r="AO383" i="8"/>
  <c r="AO384" i="8"/>
  <c r="AR384" i="8" s="1"/>
  <c r="AO385" i="8"/>
  <c r="AO386" i="8"/>
  <c r="AO387" i="8"/>
  <c r="AO388" i="8"/>
  <c r="AO389" i="8"/>
  <c r="AO390" i="8"/>
  <c r="AO391" i="8"/>
  <c r="AO392" i="8"/>
  <c r="AO393" i="8"/>
  <c r="AO394" i="8"/>
  <c r="AO395" i="8"/>
  <c r="AO396" i="8"/>
  <c r="AO397" i="8"/>
  <c r="AO398" i="8"/>
  <c r="AO399" i="8"/>
  <c r="AO400" i="8"/>
  <c r="AQ400" i="8" s="1"/>
  <c r="AO401" i="8"/>
  <c r="AO402" i="8"/>
  <c r="AO403" i="8"/>
  <c r="AO404" i="8"/>
  <c r="AO405" i="8"/>
  <c r="AO406" i="8"/>
  <c r="AO407" i="8"/>
  <c r="AO408" i="8"/>
  <c r="AO409" i="8"/>
  <c r="AO410" i="8"/>
  <c r="AO411" i="8"/>
  <c r="AO412" i="8"/>
  <c r="AO413" i="8"/>
  <c r="AO414" i="8"/>
  <c r="AO415" i="8"/>
  <c r="AO416" i="8"/>
  <c r="AO417" i="8"/>
  <c r="AO418" i="8"/>
  <c r="AR418" i="8" s="1"/>
  <c r="AO419" i="8"/>
  <c r="AO420" i="8"/>
  <c r="AO421" i="8"/>
  <c r="AO422" i="8"/>
  <c r="AO423" i="8"/>
  <c r="AO424" i="8"/>
  <c r="AO425" i="8"/>
  <c r="AO426" i="8"/>
  <c r="AO427" i="8"/>
  <c r="AO428" i="8"/>
  <c r="AO429" i="8"/>
  <c r="AO430" i="8"/>
  <c r="AO431" i="8"/>
  <c r="AO432" i="8"/>
  <c r="AO433" i="8"/>
  <c r="AO434" i="8"/>
  <c r="AQ434" i="8" s="1"/>
  <c r="AO435" i="8"/>
  <c r="AO436" i="8"/>
  <c r="AO437" i="8"/>
  <c r="AO438" i="8"/>
  <c r="AO439" i="8"/>
  <c r="AO440" i="8"/>
  <c r="AO441" i="8"/>
  <c r="AO442" i="8"/>
  <c r="AO443" i="8"/>
  <c r="AO444" i="8"/>
  <c r="AO445" i="8"/>
  <c r="AO446" i="8"/>
  <c r="AO447" i="8"/>
  <c r="AO448" i="8"/>
  <c r="AR448" i="8" s="1"/>
  <c r="AO449" i="8"/>
  <c r="AO450" i="8"/>
  <c r="AO451" i="8"/>
  <c r="AO452" i="8"/>
  <c r="AO453" i="8"/>
  <c r="AO454" i="8"/>
  <c r="AO455" i="8"/>
  <c r="AO456" i="8"/>
  <c r="AO457" i="8"/>
  <c r="AO458" i="8"/>
  <c r="AO459" i="8"/>
  <c r="AO460" i="8"/>
  <c r="AO461" i="8"/>
  <c r="AO462" i="8"/>
  <c r="AO463" i="8"/>
  <c r="AO464" i="8"/>
  <c r="AO465" i="8"/>
  <c r="AO466" i="8"/>
  <c r="AR466" i="8" s="1"/>
  <c r="AO467" i="8"/>
  <c r="AO468" i="8"/>
  <c r="AO469" i="8"/>
  <c r="AO470" i="8"/>
  <c r="AO471" i="8"/>
  <c r="AO472" i="8"/>
  <c r="AO473" i="8"/>
  <c r="AO474" i="8"/>
  <c r="AO475" i="8"/>
  <c r="AO476" i="8"/>
  <c r="AO477" i="8"/>
  <c r="AO478" i="8"/>
  <c r="AO479" i="8"/>
  <c r="AO480" i="8"/>
  <c r="AR480" i="8" s="1"/>
  <c r="AO481" i="8"/>
  <c r="AO482" i="8"/>
  <c r="AR482" i="8" s="1"/>
  <c r="AO483" i="8"/>
  <c r="AO484" i="8"/>
  <c r="AO485" i="8"/>
  <c r="AO486" i="8"/>
  <c r="AO487" i="8"/>
  <c r="AO488" i="8"/>
  <c r="AO489" i="8"/>
  <c r="AO490" i="8"/>
  <c r="AO491" i="8"/>
  <c r="AO492" i="8"/>
  <c r="AO493" i="8"/>
  <c r="AO494" i="8"/>
  <c r="AO495" i="8"/>
  <c r="AO496" i="8"/>
  <c r="AQ496" i="8" s="1"/>
  <c r="AO497" i="8"/>
  <c r="AO498" i="8"/>
  <c r="AO499" i="8"/>
  <c r="AO500" i="8"/>
  <c r="AO501" i="8"/>
  <c r="AO502" i="8"/>
  <c r="AO503" i="8"/>
  <c r="AO504" i="8"/>
  <c r="AO505" i="8"/>
  <c r="AO506" i="8"/>
  <c r="AO507" i="8"/>
  <c r="AO508" i="8"/>
  <c r="AO509" i="8"/>
  <c r="AO510" i="8"/>
  <c r="AO511" i="8"/>
  <c r="AO512" i="8"/>
  <c r="AO513" i="8"/>
  <c r="AO514" i="8"/>
  <c r="AO515" i="8"/>
  <c r="AO516" i="8"/>
  <c r="AO517" i="8"/>
  <c r="AO518" i="8"/>
  <c r="AO519" i="8"/>
  <c r="AO520" i="8"/>
  <c r="AO521" i="8"/>
  <c r="AO522" i="8"/>
  <c r="AO523" i="8"/>
  <c r="AO524" i="8"/>
  <c r="AO525" i="8"/>
  <c r="AO526" i="8"/>
  <c r="AO527" i="8"/>
  <c r="AO528" i="8"/>
  <c r="AQ528" i="8" s="1"/>
  <c r="AO529" i="8"/>
  <c r="AO530" i="8"/>
  <c r="AQ530" i="8" s="1"/>
  <c r="AO531" i="8"/>
  <c r="AO532" i="8"/>
  <c r="AO533" i="8"/>
  <c r="AO534" i="8"/>
  <c r="AO535" i="8"/>
  <c r="AO536" i="8"/>
  <c r="AO537" i="8"/>
  <c r="AO538" i="8"/>
  <c r="AO539" i="8"/>
  <c r="AO540" i="8"/>
  <c r="AO541" i="8"/>
  <c r="AO542" i="8"/>
  <c r="AO543" i="8"/>
  <c r="AO544" i="8"/>
  <c r="AR544" i="8" s="1"/>
  <c r="AO545" i="8"/>
  <c r="AO546" i="8"/>
  <c r="AO547" i="8"/>
  <c r="AO548" i="8"/>
  <c r="AO549" i="8"/>
  <c r="AO550" i="8"/>
  <c r="AO551" i="8"/>
  <c r="AO552" i="8"/>
  <c r="AO553" i="8"/>
  <c r="AO554" i="8"/>
  <c r="AO555" i="8"/>
  <c r="AO556" i="8"/>
  <c r="AO557" i="8"/>
  <c r="AO558" i="8"/>
  <c r="AO559" i="8"/>
  <c r="AO560" i="8"/>
  <c r="AO561" i="8"/>
  <c r="AO562" i="8"/>
  <c r="AO563" i="8"/>
  <c r="AO564" i="8"/>
  <c r="AO565" i="8"/>
  <c r="AO566" i="8"/>
  <c r="AO567" i="8"/>
  <c r="AO568" i="8"/>
  <c r="AO569" i="8"/>
  <c r="AO570" i="8"/>
  <c r="AO571" i="8"/>
  <c r="AO572" i="8"/>
  <c r="AO573" i="8"/>
  <c r="AO574" i="8"/>
  <c r="AO575" i="8"/>
  <c r="AO576" i="8"/>
  <c r="AR576" i="8" s="1"/>
  <c r="AO577" i="8"/>
  <c r="AO578" i="8"/>
  <c r="AR578" i="8" s="1"/>
  <c r="AO579" i="8"/>
  <c r="AO580" i="8"/>
  <c r="AO581" i="8"/>
  <c r="AO582" i="8"/>
  <c r="AO583" i="8"/>
  <c r="AO584" i="8"/>
  <c r="AO585" i="8"/>
  <c r="AO586" i="8"/>
  <c r="AO587" i="8"/>
  <c r="AO588" i="8"/>
  <c r="AO589" i="8"/>
  <c r="AO590" i="8"/>
  <c r="AO591" i="8"/>
  <c r="AO592" i="8"/>
  <c r="AR592" i="8" s="1"/>
  <c r="AO593" i="8"/>
  <c r="AO594" i="8"/>
  <c r="AO595" i="8"/>
  <c r="AO596" i="8"/>
  <c r="AO597" i="8"/>
  <c r="AO598" i="8"/>
  <c r="AO599" i="8"/>
  <c r="AO600" i="8"/>
  <c r="AO601" i="8"/>
  <c r="AO602" i="8"/>
  <c r="AO603" i="8"/>
  <c r="AO604" i="8"/>
  <c r="AO605" i="8"/>
  <c r="AO606" i="8"/>
  <c r="AO607" i="8"/>
  <c r="AO608" i="8"/>
  <c r="AO609" i="8"/>
  <c r="AO610" i="8"/>
  <c r="AR610" i="8" s="1"/>
  <c r="AO611" i="8"/>
  <c r="AO612" i="8"/>
  <c r="AO613" i="8"/>
  <c r="AO614" i="8"/>
  <c r="AO615" i="8"/>
  <c r="AO616" i="8"/>
  <c r="AO617" i="8"/>
  <c r="AO618" i="8"/>
  <c r="AO619" i="8"/>
  <c r="AO620" i="8"/>
  <c r="AO621" i="8"/>
  <c r="AO622" i="8"/>
  <c r="AO623" i="8"/>
  <c r="AO624" i="8"/>
  <c r="AO625" i="8"/>
  <c r="AO626" i="8"/>
  <c r="AO627" i="8"/>
  <c r="AO628" i="8"/>
  <c r="AO629" i="8"/>
  <c r="AO630" i="8"/>
  <c r="AO631" i="8"/>
  <c r="AO632" i="8"/>
  <c r="AO633" i="8"/>
  <c r="AO634" i="8"/>
  <c r="AO635" i="8"/>
  <c r="AO636" i="8"/>
  <c r="AO637" i="8"/>
  <c r="AO638" i="8"/>
  <c r="AO639" i="8"/>
  <c r="AO640" i="8"/>
  <c r="AR640" i="8" s="1"/>
  <c r="AO641" i="8"/>
  <c r="AO642" i="8"/>
  <c r="AO643" i="8"/>
  <c r="AO644" i="8"/>
  <c r="AO645" i="8"/>
  <c r="AO646" i="8"/>
  <c r="AO647" i="8"/>
  <c r="AO648" i="8"/>
  <c r="AO649" i="8"/>
  <c r="AO650" i="8"/>
  <c r="AO651" i="8"/>
  <c r="AO652" i="8"/>
  <c r="AO653" i="8"/>
  <c r="AO654" i="8"/>
  <c r="AO655" i="8"/>
  <c r="AO656" i="8"/>
  <c r="AO657" i="8"/>
  <c r="AO658" i="8"/>
  <c r="AR658" i="8" s="1"/>
  <c r="AO659" i="8"/>
  <c r="AO660" i="8"/>
  <c r="AO661" i="8"/>
  <c r="AO662" i="8"/>
  <c r="AO663" i="8"/>
  <c r="AO664" i="8"/>
  <c r="AO665" i="8"/>
  <c r="AO666" i="8"/>
  <c r="AO667" i="8"/>
  <c r="AO668" i="8"/>
  <c r="AO669" i="8"/>
  <c r="AO670" i="8"/>
  <c r="AO671" i="8"/>
  <c r="AO672" i="8"/>
  <c r="AR672" i="8" s="1"/>
  <c r="AO673" i="8"/>
  <c r="AO674" i="8"/>
  <c r="AR674" i="8" s="1"/>
  <c r="AO675" i="8"/>
  <c r="AO676" i="8"/>
  <c r="AO677" i="8"/>
  <c r="AO678" i="8"/>
  <c r="AO679" i="8"/>
  <c r="AO680" i="8"/>
  <c r="AO681" i="8"/>
  <c r="AO682" i="8"/>
  <c r="AO683" i="8"/>
  <c r="AO684" i="8"/>
  <c r="AO685" i="8"/>
  <c r="AO686" i="8"/>
  <c r="AO687" i="8"/>
  <c r="AO688" i="8"/>
  <c r="AQ688" i="8" s="1"/>
  <c r="AO689" i="8"/>
  <c r="AO690" i="8"/>
  <c r="AO691" i="8"/>
  <c r="AO692" i="8"/>
  <c r="AO693" i="8"/>
  <c r="AO694" i="8"/>
  <c r="AO695" i="8"/>
  <c r="AO696" i="8"/>
  <c r="AO697" i="8"/>
  <c r="AO698" i="8"/>
  <c r="AO699" i="8"/>
  <c r="AO700" i="8"/>
  <c r="AO701" i="8"/>
  <c r="AO702" i="8"/>
  <c r="AO703" i="8"/>
  <c r="AO704" i="8"/>
  <c r="AO705" i="8"/>
  <c r="AO706" i="8"/>
  <c r="AO707" i="8"/>
  <c r="AO708" i="8"/>
  <c r="AO709" i="8"/>
  <c r="AO710" i="8"/>
  <c r="AO711" i="8"/>
  <c r="AO712" i="8"/>
  <c r="AO713" i="8"/>
  <c r="AO714" i="8"/>
  <c r="AO715" i="8"/>
  <c r="AO716" i="8"/>
  <c r="AO717" i="8"/>
  <c r="AO718" i="8"/>
  <c r="AO719" i="8"/>
  <c r="AO720" i="8"/>
  <c r="AR720" i="8" s="1"/>
  <c r="AO721" i="8"/>
  <c r="AO722" i="8"/>
  <c r="AQ722" i="8" s="1"/>
  <c r="AO723" i="8"/>
  <c r="AO724" i="8"/>
  <c r="AO725" i="8"/>
  <c r="AO726" i="8"/>
  <c r="AO727" i="8"/>
  <c r="AO728" i="8"/>
  <c r="AO729" i="8"/>
  <c r="AO730" i="8"/>
  <c r="AO731" i="8"/>
  <c r="AO732" i="8"/>
  <c r="AO733" i="8"/>
  <c r="AO734" i="8"/>
  <c r="AO735" i="8"/>
  <c r="AO736" i="8"/>
  <c r="AR736" i="8" s="1"/>
  <c r="AO737" i="8"/>
  <c r="AO738" i="8"/>
  <c r="AO739" i="8"/>
  <c r="AO740" i="8"/>
  <c r="AO741" i="8"/>
  <c r="AO742" i="8"/>
  <c r="AO743" i="8"/>
  <c r="AO744" i="8"/>
  <c r="AO745" i="8"/>
  <c r="AO746" i="8"/>
  <c r="AO747" i="8"/>
  <c r="AO748" i="8"/>
  <c r="AO749" i="8"/>
  <c r="AO750" i="8"/>
  <c r="AO751" i="8"/>
  <c r="AO752" i="8"/>
  <c r="AO753" i="8"/>
  <c r="AO754" i="8"/>
  <c r="AQ754" i="8" s="1"/>
  <c r="AO755" i="8"/>
  <c r="AO756" i="8"/>
  <c r="AO757" i="8"/>
  <c r="AO758" i="8"/>
  <c r="AO759" i="8"/>
  <c r="AO760" i="8"/>
  <c r="AO761" i="8"/>
  <c r="AO762" i="8"/>
  <c r="AO763" i="8"/>
  <c r="AO764" i="8"/>
  <c r="AO765" i="8"/>
  <c r="AO766" i="8"/>
  <c r="AO767" i="8"/>
  <c r="AO768" i="8"/>
  <c r="AQ768" i="8" s="1"/>
  <c r="AO769" i="8"/>
  <c r="AO770" i="8"/>
  <c r="AR770" i="8" s="1"/>
  <c r="AO771" i="8"/>
  <c r="AO772" i="8"/>
  <c r="AO773" i="8"/>
  <c r="AO774" i="8"/>
  <c r="AO775" i="8"/>
  <c r="AO776" i="8"/>
  <c r="AO777" i="8"/>
  <c r="AO778" i="8"/>
  <c r="AO779" i="8"/>
  <c r="AO780" i="8"/>
  <c r="AO781" i="8"/>
  <c r="AO782" i="8"/>
  <c r="AO783" i="8"/>
  <c r="AO784" i="8"/>
  <c r="AR784" i="8" s="1"/>
  <c r="AO785" i="8"/>
  <c r="AO786" i="8"/>
  <c r="AR786" i="8" s="1"/>
  <c r="AO787" i="8"/>
  <c r="AO788" i="8"/>
  <c r="AO789" i="8"/>
  <c r="AO790" i="8"/>
  <c r="AO791" i="8"/>
  <c r="AO792" i="8"/>
  <c r="AO793" i="8"/>
  <c r="AO794" i="8"/>
  <c r="AO795" i="8"/>
  <c r="AO796" i="8"/>
  <c r="AO797" i="8"/>
  <c r="AO798" i="8"/>
  <c r="AO799" i="8"/>
  <c r="AO800" i="8"/>
  <c r="AO801" i="8"/>
  <c r="AO802" i="8"/>
  <c r="AQ802" i="8" s="1"/>
  <c r="AO803" i="8"/>
  <c r="AO804" i="8"/>
  <c r="AO805" i="8"/>
  <c r="AO806" i="8"/>
  <c r="AO807" i="8"/>
  <c r="AO808" i="8"/>
  <c r="AO809" i="8"/>
  <c r="AO810" i="8"/>
  <c r="AO811" i="8"/>
  <c r="AO812" i="8"/>
  <c r="AO813" i="8"/>
  <c r="AO814" i="8"/>
  <c r="AO815" i="8"/>
  <c r="AO816" i="8"/>
  <c r="AQ816" i="8" s="1"/>
  <c r="AO817" i="8"/>
  <c r="AO818" i="8"/>
  <c r="AR818" i="8" s="1"/>
  <c r="AO819" i="8"/>
  <c r="AO820" i="8"/>
  <c r="AO821" i="8"/>
  <c r="AO822" i="8"/>
  <c r="AO823" i="8"/>
  <c r="AO824" i="8"/>
  <c r="AO825" i="8"/>
  <c r="AO826" i="8"/>
  <c r="AO827" i="8"/>
  <c r="AO828" i="8"/>
  <c r="AO829" i="8"/>
  <c r="AO830" i="8"/>
  <c r="AO831" i="8"/>
  <c r="AO832" i="8"/>
  <c r="AR832" i="8" s="1"/>
  <c r="AO833" i="8"/>
  <c r="AO834" i="8"/>
  <c r="AO835" i="8"/>
  <c r="AO836" i="8"/>
  <c r="AO837" i="8"/>
  <c r="AO838" i="8"/>
  <c r="AO839" i="8"/>
  <c r="AO840" i="8"/>
  <c r="AO841" i="8"/>
  <c r="AO842" i="8"/>
  <c r="AO843" i="8"/>
  <c r="AO844" i="8"/>
  <c r="AO845" i="8"/>
  <c r="AO846" i="8"/>
  <c r="AO847" i="8"/>
  <c r="AO848" i="8"/>
  <c r="AO849" i="8"/>
  <c r="AO850" i="8"/>
  <c r="AR850" i="8" s="1"/>
  <c r="AO851" i="8"/>
  <c r="AO852" i="8"/>
  <c r="AO853" i="8"/>
  <c r="AO854" i="8"/>
  <c r="AO855" i="8"/>
  <c r="AO856" i="8"/>
  <c r="AO857" i="8"/>
  <c r="AO858" i="8"/>
  <c r="AO859" i="8"/>
  <c r="AO860" i="8"/>
  <c r="AO861" i="8"/>
  <c r="AO862" i="8"/>
  <c r="AO863" i="8"/>
  <c r="AO864" i="8"/>
  <c r="AR864" i="8" s="1"/>
  <c r="AO865" i="8"/>
  <c r="AO866" i="8"/>
  <c r="AO867" i="8"/>
  <c r="AO868" i="8"/>
  <c r="AO869" i="8"/>
  <c r="AO870" i="8"/>
  <c r="AO871" i="8"/>
  <c r="AO872" i="8"/>
  <c r="AO873" i="8"/>
  <c r="AO874" i="8"/>
  <c r="AO875" i="8"/>
  <c r="AO876" i="8"/>
  <c r="AO877" i="8"/>
  <c r="AO878" i="8"/>
  <c r="AO879" i="8"/>
  <c r="AO880" i="8"/>
  <c r="AR880" i="8" s="1"/>
  <c r="AO881" i="8"/>
  <c r="AO882" i="8"/>
  <c r="AO883" i="8"/>
  <c r="AO884" i="8"/>
  <c r="AO885" i="8"/>
  <c r="AO886" i="8"/>
  <c r="AO887" i="8"/>
  <c r="AO888" i="8"/>
  <c r="AO889" i="8"/>
  <c r="AO890" i="8"/>
  <c r="AO891" i="8"/>
  <c r="AO892" i="8"/>
  <c r="AO893" i="8"/>
  <c r="AO894" i="8"/>
  <c r="AO895" i="8"/>
  <c r="AO896" i="8"/>
  <c r="AO897" i="8"/>
  <c r="AO898" i="8"/>
  <c r="AO899" i="8"/>
  <c r="AO900" i="8"/>
  <c r="AO901" i="8"/>
  <c r="AO902" i="8"/>
  <c r="AO903" i="8"/>
  <c r="AO904" i="8"/>
  <c r="AO905" i="8"/>
  <c r="AO906" i="8"/>
  <c r="AO907" i="8"/>
  <c r="AO908" i="8"/>
  <c r="AO909" i="8"/>
  <c r="AO910" i="8"/>
  <c r="AO911" i="8"/>
  <c r="AO912" i="8"/>
  <c r="AR912" i="8" s="1"/>
  <c r="AO913" i="8"/>
  <c r="AO914" i="8"/>
  <c r="AQ914" i="8" s="1"/>
  <c r="AO915" i="8"/>
  <c r="AO916" i="8"/>
  <c r="AO917" i="8"/>
  <c r="AO918" i="8"/>
  <c r="AO919" i="8"/>
  <c r="AO920" i="8"/>
  <c r="AO921" i="8"/>
  <c r="AO922" i="8"/>
  <c r="AO923" i="8"/>
  <c r="AO924" i="8"/>
  <c r="AO925" i="8"/>
  <c r="AO926" i="8"/>
  <c r="AO927" i="8"/>
  <c r="AO928" i="8"/>
  <c r="AO929" i="8"/>
  <c r="AO930" i="8"/>
  <c r="AO931" i="8"/>
  <c r="AO932" i="8"/>
  <c r="AO933" i="8"/>
  <c r="AO934" i="8"/>
  <c r="AO935" i="8"/>
  <c r="AO936" i="8"/>
  <c r="AO937" i="8"/>
  <c r="AO938" i="8"/>
  <c r="AO939" i="8"/>
  <c r="AO940" i="8"/>
  <c r="AO941" i="8"/>
  <c r="AO942" i="8"/>
  <c r="AO943" i="8"/>
  <c r="AO944" i="8"/>
  <c r="AO945" i="8"/>
  <c r="AO946" i="8"/>
  <c r="AR946" i="8" s="1"/>
  <c r="AO947" i="8"/>
  <c r="AO948" i="8"/>
  <c r="AO949" i="8"/>
  <c r="AO950" i="8"/>
  <c r="AO951" i="8"/>
  <c r="AO952" i="8"/>
  <c r="AO953" i="8"/>
  <c r="AO954" i="8"/>
  <c r="AO955" i="8"/>
  <c r="AO956" i="8"/>
  <c r="AO957" i="8"/>
  <c r="AO958" i="8"/>
  <c r="AO959" i="8"/>
  <c r="AO960" i="8"/>
  <c r="AQ960" i="8" s="1"/>
  <c r="AO961" i="8"/>
  <c r="AO962" i="8"/>
  <c r="AO963" i="8"/>
  <c r="AO964" i="8"/>
  <c r="AO965" i="8"/>
  <c r="AO966" i="8"/>
  <c r="AO967" i="8"/>
  <c r="AO968" i="8"/>
  <c r="AO969" i="8"/>
  <c r="AO970" i="8"/>
  <c r="AO971" i="8"/>
  <c r="AO972" i="8"/>
  <c r="AO973" i="8"/>
  <c r="AO974" i="8"/>
  <c r="AO975" i="8"/>
  <c r="AO976" i="8"/>
  <c r="AQ976" i="8" s="1"/>
  <c r="AO977" i="8"/>
  <c r="AO978" i="8"/>
  <c r="AO979" i="8"/>
  <c r="AO980" i="8"/>
  <c r="AO981" i="8"/>
  <c r="AO982" i="8"/>
  <c r="AO983" i="8"/>
  <c r="AO984" i="8"/>
  <c r="AO985" i="8"/>
  <c r="AO986" i="8"/>
  <c r="AO987" i="8"/>
  <c r="AO988" i="8"/>
  <c r="AO989" i="8"/>
  <c r="AO990" i="8"/>
  <c r="AO991" i="8"/>
  <c r="AO992" i="8"/>
  <c r="AO993" i="8"/>
  <c r="AO994" i="8"/>
  <c r="AO995" i="8"/>
  <c r="AO996" i="8"/>
  <c r="AO997" i="8"/>
  <c r="AO998" i="8"/>
  <c r="AO999" i="8"/>
  <c r="AO1000" i="8"/>
  <c r="AO1001" i="8"/>
  <c r="AO1002" i="8"/>
  <c r="AO1003" i="8"/>
  <c r="AO1004" i="8"/>
  <c r="AO1005" i="8"/>
  <c r="AO1006" i="8"/>
  <c r="AO1007" i="8"/>
  <c r="AO1008" i="8"/>
  <c r="AR1008" i="8" s="1"/>
  <c r="AO1009" i="8"/>
  <c r="AO1010" i="8"/>
  <c r="AR1010" i="8" s="1"/>
  <c r="AO1011" i="8"/>
  <c r="AO1012" i="8"/>
  <c r="AO1013" i="8"/>
  <c r="AO1014" i="8"/>
  <c r="AO1015" i="8"/>
  <c r="AO1016" i="8"/>
  <c r="AO1017" i="8"/>
  <c r="AO1018" i="8"/>
  <c r="AO1019" i="8"/>
  <c r="AO1020" i="8"/>
  <c r="AO1021" i="8"/>
  <c r="AO1022" i="8"/>
  <c r="AO1023" i="8"/>
  <c r="AO1024" i="8"/>
  <c r="AO1025" i="8"/>
  <c r="AO1026" i="8"/>
  <c r="AO1027" i="8"/>
  <c r="AO1028" i="8"/>
  <c r="AO1029" i="8"/>
  <c r="AO1030" i="8"/>
  <c r="AO1031" i="8"/>
  <c r="AO1032" i="8"/>
  <c r="AO1033" i="8"/>
  <c r="AO1034" i="8"/>
  <c r="AO1035" i="8"/>
  <c r="AO1036" i="8"/>
  <c r="AO1037" i="8"/>
  <c r="AO1038" i="8"/>
  <c r="AO1039" i="8"/>
  <c r="AO1040" i="8"/>
  <c r="AO1041" i="8"/>
  <c r="AO1042" i="8"/>
  <c r="AO1043" i="8"/>
  <c r="AO1044" i="8"/>
  <c r="AO1045" i="8"/>
  <c r="AO1046" i="8"/>
  <c r="AO1047" i="8"/>
  <c r="AO1048" i="8"/>
  <c r="AO1049" i="8"/>
  <c r="AO1050" i="8"/>
  <c r="AO1051" i="8"/>
  <c r="AO1052" i="8"/>
  <c r="AO1053" i="8"/>
  <c r="AO1054" i="8"/>
  <c r="AO1055" i="8"/>
  <c r="AO1056" i="8"/>
  <c r="AR1056" i="8" s="1"/>
  <c r="AO1057" i="8"/>
  <c r="AO1058" i="8"/>
  <c r="AR1058" i="8" s="1"/>
  <c r="AO1059" i="8"/>
  <c r="AO1060" i="8"/>
  <c r="AO1061" i="8"/>
  <c r="AO1062" i="8"/>
  <c r="AO1063" i="8"/>
  <c r="AO1064" i="8"/>
  <c r="AO1065" i="8"/>
  <c r="AO1066" i="8"/>
  <c r="AO1067" i="8"/>
  <c r="AO1068" i="8"/>
  <c r="AO1069" i="8"/>
  <c r="AO1070" i="8"/>
  <c r="AO1071" i="8"/>
  <c r="AO1072" i="8"/>
  <c r="AQ1072" i="8" s="1"/>
  <c r="AO1073" i="8"/>
  <c r="AO1074" i="8"/>
  <c r="AO1075" i="8"/>
  <c r="AO1076" i="8"/>
  <c r="AO1077" i="8"/>
  <c r="AO1078" i="8"/>
  <c r="AO1079" i="8"/>
  <c r="AO1080" i="8"/>
  <c r="AO1081" i="8"/>
  <c r="AO1082" i="8"/>
  <c r="AO1083" i="8"/>
  <c r="AO1084" i="8"/>
  <c r="AO1085" i="8"/>
  <c r="AO1086" i="8"/>
  <c r="AO1087" i="8"/>
  <c r="AO1088" i="8"/>
  <c r="AO1089" i="8"/>
  <c r="AO1090" i="8"/>
  <c r="AO1091" i="8"/>
  <c r="AO1092" i="8"/>
  <c r="AO1093" i="8"/>
  <c r="AO1094" i="8"/>
  <c r="AO1095" i="8"/>
  <c r="AO1096" i="8"/>
  <c r="AO1097" i="8"/>
  <c r="AO1098" i="8"/>
  <c r="AO1099" i="8"/>
  <c r="AO1100" i="8"/>
  <c r="AO1101" i="8"/>
  <c r="AO1102" i="8"/>
  <c r="AO1103" i="8"/>
  <c r="AO1104" i="8"/>
  <c r="AO1105" i="8"/>
  <c r="AO1106" i="8"/>
  <c r="AO1107" i="8"/>
  <c r="AO1108" i="8"/>
  <c r="AO1109" i="8"/>
  <c r="AO1110" i="8"/>
  <c r="AO1111" i="8"/>
  <c r="AO1112" i="8"/>
  <c r="AO1113" i="8"/>
  <c r="AO1114" i="8"/>
  <c r="AO1115" i="8"/>
  <c r="AO1116" i="8"/>
  <c r="AO1117" i="8"/>
  <c r="AO1118" i="8"/>
  <c r="AO1119" i="8"/>
  <c r="AO1120" i="8"/>
  <c r="AO1121" i="8"/>
  <c r="AO1122" i="8"/>
  <c r="AO1123" i="8"/>
  <c r="AO1124" i="8"/>
  <c r="AO1125" i="8"/>
  <c r="AO1126" i="8"/>
  <c r="AO1127" i="8"/>
  <c r="AO1128" i="8"/>
  <c r="AP15" i="8"/>
  <c r="AP16" i="8"/>
  <c r="AP17" i="8"/>
  <c r="AP18" i="8"/>
  <c r="AP19" i="8"/>
  <c r="AP20" i="8"/>
  <c r="AP21" i="8"/>
  <c r="AQ21" i="8" s="1"/>
  <c r="AP22" i="8"/>
  <c r="AP23" i="8"/>
  <c r="AR23" i="8" s="1"/>
  <c r="AP24" i="8"/>
  <c r="AP25" i="8"/>
  <c r="AP26" i="8"/>
  <c r="AP27" i="8"/>
  <c r="AP28" i="8"/>
  <c r="AP29" i="8"/>
  <c r="AQ29" i="8" s="1"/>
  <c r="AP30" i="8"/>
  <c r="AP31" i="8"/>
  <c r="AP32" i="8"/>
  <c r="AP33" i="8"/>
  <c r="AQ33" i="8" s="1"/>
  <c r="AP34" i="8"/>
  <c r="AP35" i="8"/>
  <c r="AR35" i="8" s="1"/>
  <c r="AP36" i="8"/>
  <c r="AP37" i="8"/>
  <c r="AP38" i="8"/>
  <c r="AR38" i="8" s="1"/>
  <c r="AP39" i="8"/>
  <c r="AP40" i="8"/>
  <c r="AP41" i="8"/>
  <c r="AP42" i="8"/>
  <c r="AP43" i="8"/>
  <c r="AP44" i="8"/>
  <c r="AP45" i="8"/>
  <c r="AP46" i="8"/>
  <c r="AP47" i="8"/>
  <c r="AP48" i="8"/>
  <c r="AP49" i="8"/>
  <c r="AP50" i="8"/>
  <c r="AP51" i="8"/>
  <c r="AP52" i="8"/>
  <c r="AP53" i="8"/>
  <c r="AP54" i="8"/>
  <c r="AR54" i="8" s="1"/>
  <c r="AP55" i="8"/>
  <c r="AP56" i="8"/>
  <c r="AP57" i="8"/>
  <c r="AP58" i="8"/>
  <c r="AP59" i="8"/>
  <c r="AP60" i="8"/>
  <c r="AP61" i="8"/>
  <c r="AP62" i="8"/>
  <c r="AP63" i="8"/>
  <c r="AP64" i="8"/>
  <c r="AP65" i="8"/>
  <c r="AP66" i="8"/>
  <c r="AP67" i="8"/>
  <c r="AP68" i="8"/>
  <c r="AP69" i="8"/>
  <c r="AR69" i="8" s="1"/>
  <c r="AP70" i="8"/>
  <c r="AP71" i="8"/>
  <c r="AQ71" i="8" s="1"/>
  <c r="AP72" i="8"/>
  <c r="AP73" i="8"/>
  <c r="AP74" i="8"/>
  <c r="AP75" i="8"/>
  <c r="AP76" i="8"/>
  <c r="AP77" i="8"/>
  <c r="AP78" i="8"/>
  <c r="AP79" i="8"/>
  <c r="AP80" i="8"/>
  <c r="AP81" i="8"/>
  <c r="AQ81" i="8" s="1"/>
  <c r="AP82" i="8"/>
  <c r="AP83" i="8"/>
  <c r="AP84" i="8"/>
  <c r="AP85" i="8"/>
  <c r="AP86" i="8"/>
  <c r="AR86" i="8" s="1"/>
  <c r="AP87" i="8"/>
  <c r="AP88" i="8"/>
  <c r="AR88" i="8" s="1"/>
  <c r="AP89" i="8"/>
  <c r="AP90" i="8"/>
  <c r="AP91" i="8"/>
  <c r="AP92" i="8"/>
  <c r="AP93" i="8"/>
  <c r="AR93" i="8" s="1"/>
  <c r="AP94" i="8"/>
  <c r="AP95" i="8"/>
  <c r="AP96" i="8"/>
  <c r="AP97" i="8"/>
  <c r="AP98" i="8"/>
  <c r="AP99" i="8"/>
  <c r="AP100" i="8"/>
  <c r="AP101" i="8"/>
  <c r="AP102" i="8"/>
  <c r="AP103" i="8"/>
  <c r="AP104" i="8"/>
  <c r="AP105" i="8"/>
  <c r="AQ105" i="8" s="1"/>
  <c r="AP106" i="8"/>
  <c r="AP107" i="8"/>
  <c r="AP108" i="8"/>
  <c r="AP109" i="8"/>
  <c r="AP110" i="8"/>
  <c r="AP111" i="8"/>
  <c r="AP112" i="8"/>
  <c r="AP113" i="8"/>
  <c r="AP114" i="8"/>
  <c r="AP115" i="8"/>
  <c r="AP116" i="8"/>
  <c r="AP117" i="8"/>
  <c r="AP118" i="8"/>
  <c r="AP119" i="8"/>
  <c r="AR119" i="8" s="1"/>
  <c r="AP120" i="8"/>
  <c r="AR120" i="8" s="1"/>
  <c r="AP121" i="8"/>
  <c r="AP122" i="8"/>
  <c r="AP123" i="8"/>
  <c r="AP124" i="8"/>
  <c r="AP125" i="8"/>
  <c r="AP126" i="8"/>
  <c r="AP127" i="8"/>
  <c r="AP128" i="8"/>
  <c r="AP129" i="8"/>
  <c r="AP130" i="8"/>
  <c r="AP131" i="8"/>
  <c r="AR131" i="8" s="1"/>
  <c r="AP132" i="8"/>
  <c r="AP133" i="8"/>
  <c r="AP134" i="8"/>
  <c r="AR134" i="8" s="1"/>
  <c r="AP135" i="8"/>
  <c r="AP136" i="8"/>
  <c r="AQ136" i="8" s="1"/>
  <c r="AP137" i="8"/>
  <c r="AQ137" i="8" s="1"/>
  <c r="AP138" i="8"/>
  <c r="AP139" i="8"/>
  <c r="AP140" i="8"/>
  <c r="AP141" i="8"/>
  <c r="AQ141" i="8" s="1"/>
  <c r="AP142" i="8"/>
  <c r="AP143" i="8"/>
  <c r="AP144" i="8"/>
  <c r="AP145" i="8"/>
  <c r="AQ145" i="8" s="1"/>
  <c r="AP146" i="8"/>
  <c r="AP147" i="8"/>
  <c r="AP148" i="8"/>
  <c r="AP149" i="8"/>
  <c r="AP150" i="8"/>
  <c r="AR150" i="8" s="1"/>
  <c r="AP151" i="8"/>
  <c r="AP152" i="8"/>
  <c r="AP153" i="8"/>
  <c r="AQ153" i="8" s="1"/>
  <c r="AP154" i="8"/>
  <c r="AP155" i="8"/>
  <c r="AP156" i="8"/>
  <c r="AP157" i="8"/>
  <c r="AP158" i="8"/>
  <c r="AP159" i="8"/>
  <c r="AP160" i="8"/>
  <c r="AP161" i="8"/>
  <c r="AP162" i="8"/>
  <c r="AP163" i="8"/>
  <c r="AP164" i="8"/>
  <c r="AP165" i="8"/>
  <c r="AQ165" i="8" s="1"/>
  <c r="AP166" i="8"/>
  <c r="AP167" i="8"/>
  <c r="AP168" i="8"/>
  <c r="AP169" i="8"/>
  <c r="AP170" i="8"/>
  <c r="AP171" i="8"/>
  <c r="AP172" i="8"/>
  <c r="AP173" i="8"/>
  <c r="AQ173" i="8" s="1"/>
  <c r="AP174" i="8"/>
  <c r="AP175" i="8"/>
  <c r="AP176" i="8"/>
  <c r="AP177" i="8"/>
  <c r="AQ177" i="8" s="1"/>
  <c r="AP178" i="8"/>
  <c r="AP179" i="8"/>
  <c r="AP180" i="8"/>
  <c r="AP181" i="8"/>
  <c r="AP182" i="8"/>
  <c r="AP183" i="8"/>
  <c r="AP184" i="8"/>
  <c r="AP185" i="8"/>
  <c r="AP186" i="8"/>
  <c r="AP187" i="8"/>
  <c r="AP188" i="8"/>
  <c r="AP189" i="8"/>
  <c r="AR189" i="8" s="1"/>
  <c r="AP190" i="8"/>
  <c r="AP191" i="8"/>
  <c r="AP192" i="8"/>
  <c r="AP193" i="8"/>
  <c r="AP194" i="8"/>
  <c r="AP195" i="8"/>
  <c r="AP196" i="8"/>
  <c r="AP197" i="8"/>
  <c r="AP198" i="8"/>
  <c r="AP199" i="8"/>
  <c r="AP200" i="8"/>
  <c r="AP201" i="8"/>
  <c r="AP202" i="8"/>
  <c r="AP203" i="8"/>
  <c r="AP204" i="8"/>
  <c r="AP205" i="8"/>
  <c r="AP206" i="8"/>
  <c r="AP207" i="8"/>
  <c r="AP208" i="8"/>
  <c r="AP209" i="8"/>
  <c r="AQ209" i="8" s="1"/>
  <c r="AP210" i="8"/>
  <c r="AP211" i="8"/>
  <c r="AP212" i="8"/>
  <c r="AP213" i="8"/>
  <c r="AQ213" i="8" s="1"/>
  <c r="AP214" i="8"/>
  <c r="AP215" i="8"/>
  <c r="AQ215" i="8" s="1"/>
  <c r="AP216" i="8"/>
  <c r="AP217" i="8"/>
  <c r="AP218" i="8"/>
  <c r="AP219" i="8"/>
  <c r="AP220" i="8"/>
  <c r="AP221" i="8"/>
  <c r="AP222" i="8"/>
  <c r="AP223" i="8"/>
  <c r="AP224" i="8"/>
  <c r="AP225" i="8"/>
  <c r="AQ225" i="8" s="1"/>
  <c r="AP226" i="8"/>
  <c r="AP227" i="8"/>
  <c r="AR227" i="8" s="1"/>
  <c r="AP228" i="8"/>
  <c r="AP229" i="8"/>
  <c r="AP230" i="8"/>
  <c r="AP231" i="8"/>
  <c r="AP232" i="8"/>
  <c r="AP233" i="8"/>
  <c r="AP234" i="8"/>
  <c r="AP235" i="8"/>
  <c r="AP236" i="8"/>
  <c r="AP237" i="8"/>
  <c r="AQ237" i="8" s="1"/>
  <c r="AP238" i="8"/>
  <c r="AP239" i="8"/>
  <c r="AP240" i="8"/>
  <c r="AP241" i="8"/>
  <c r="AP242" i="8"/>
  <c r="AP243" i="8"/>
  <c r="AP244" i="8"/>
  <c r="AP245" i="8"/>
  <c r="AP246" i="8"/>
  <c r="AR246" i="8" s="1"/>
  <c r="AP247" i="8"/>
  <c r="AP248" i="8"/>
  <c r="AP249" i="8"/>
  <c r="AQ249" i="8" s="1"/>
  <c r="AP250" i="8"/>
  <c r="AP251" i="8"/>
  <c r="AP252" i="8"/>
  <c r="AP253" i="8"/>
  <c r="AP254" i="8"/>
  <c r="AP255" i="8"/>
  <c r="AP256" i="8"/>
  <c r="AP257" i="8"/>
  <c r="AP258" i="8"/>
  <c r="AP259" i="8"/>
  <c r="AP260" i="8"/>
  <c r="AP261" i="8"/>
  <c r="AR261" i="8" s="1"/>
  <c r="AP262" i="8"/>
  <c r="AP263" i="8"/>
  <c r="AP264" i="8"/>
  <c r="AP265" i="8"/>
  <c r="AP266" i="8"/>
  <c r="AP267" i="8"/>
  <c r="AP268" i="8"/>
  <c r="AP269" i="8"/>
  <c r="AP270" i="8"/>
  <c r="AP271" i="8"/>
  <c r="AP272" i="8"/>
  <c r="AP273" i="8"/>
  <c r="AP274" i="8"/>
  <c r="AP275" i="8"/>
  <c r="AQ275" i="8" s="1"/>
  <c r="AP276" i="8"/>
  <c r="AP277" i="8"/>
  <c r="AP278" i="8"/>
  <c r="AR278" i="8" s="1"/>
  <c r="AP279" i="8"/>
  <c r="AP280" i="8"/>
  <c r="AP281" i="8"/>
  <c r="AP282" i="8"/>
  <c r="AP283" i="8"/>
  <c r="AP284" i="8"/>
  <c r="AP285" i="8"/>
  <c r="AR285" i="8" s="1"/>
  <c r="AP286" i="8"/>
  <c r="AP287" i="8"/>
  <c r="AP288" i="8"/>
  <c r="AP289" i="8"/>
  <c r="AQ289" i="8" s="1"/>
  <c r="AP290" i="8"/>
  <c r="AP291" i="8"/>
  <c r="AP292" i="8"/>
  <c r="AP293" i="8"/>
  <c r="AP294" i="8"/>
  <c r="AP295" i="8"/>
  <c r="AP296" i="8"/>
  <c r="AP297" i="8"/>
  <c r="AQ297" i="8" s="1"/>
  <c r="AP298" i="8"/>
  <c r="AP299" i="8"/>
  <c r="AP300" i="8"/>
  <c r="AP301" i="8"/>
  <c r="AP302" i="8"/>
  <c r="AP303" i="8"/>
  <c r="AP304" i="8"/>
  <c r="AP305" i="8"/>
  <c r="AP306" i="8"/>
  <c r="AP307" i="8"/>
  <c r="AP308" i="8"/>
  <c r="AP309" i="8"/>
  <c r="AQ309" i="8" s="1"/>
  <c r="AP310" i="8"/>
  <c r="AP311" i="8"/>
  <c r="AR311" i="8" s="1"/>
  <c r="AP312" i="8"/>
  <c r="AP313" i="8"/>
  <c r="AP314" i="8"/>
  <c r="AP315" i="8"/>
  <c r="AP316" i="8"/>
  <c r="AP317" i="8"/>
  <c r="AP318" i="8"/>
  <c r="AP319" i="8"/>
  <c r="AP320" i="8"/>
  <c r="AP321" i="8"/>
  <c r="AQ321" i="8" s="1"/>
  <c r="AP322" i="8"/>
  <c r="AP323" i="8"/>
  <c r="AR323" i="8" s="1"/>
  <c r="AP324" i="8"/>
  <c r="AP325" i="8"/>
  <c r="AP326" i="8"/>
  <c r="AR326" i="8" s="1"/>
  <c r="AP327" i="8"/>
  <c r="AP328" i="8"/>
  <c r="AP329" i="8"/>
  <c r="AP330" i="8"/>
  <c r="AP331" i="8"/>
  <c r="AP332" i="8"/>
  <c r="AP333" i="8"/>
  <c r="AP334" i="8"/>
  <c r="AP335" i="8"/>
  <c r="AP336" i="8"/>
  <c r="AP337" i="8"/>
  <c r="AP338" i="8"/>
  <c r="AP339" i="8"/>
  <c r="AP340" i="8"/>
  <c r="AP341" i="8"/>
  <c r="AP342" i="8"/>
  <c r="AQ342" i="8" s="1"/>
  <c r="AP343" i="8"/>
  <c r="AP344" i="8"/>
  <c r="AP345" i="8"/>
  <c r="AQ345" i="8" s="1"/>
  <c r="AP346" i="8"/>
  <c r="AP347" i="8"/>
  <c r="AP348" i="8"/>
  <c r="AP349" i="8"/>
  <c r="AQ349" i="8" s="1"/>
  <c r="AP350" i="8"/>
  <c r="AP351" i="8"/>
  <c r="AP352" i="8"/>
  <c r="AP353" i="8"/>
  <c r="AP354" i="8"/>
  <c r="AP355" i="8"/>
  <c r="AP356" i="8"/>
  <c r="AP357" i="8"/>
  <c r="AQ357" i="8" s="1"/>
  <c r="AP358" i="8"/>
  <c r="AP359" i="8"/>
  <c r="AQ359" i="8" s="1"/>
  <c r="AP360" i="8"/>
  <c r="AR360" i="8" s="1"/>
  <c r="AP361" i="8"/>
  <c r="AP362" i="8"/>
  <c r="AP363" i="8"/>
  <c r="AP364" i="8"/>
  <c r="AP365" i="8"/>
  <c r="AP366" i="8"/>
  <c r="AP367" i="8"/>
  <c r="AP368" i="8"/>
  <c r="AP369" i="8"/>
  <c r="AQ369" i="8" s="1"/>
  <c r="AP370" i="8"/>
  <c r="AP371" i="8"/>
  <c r="AP372" i="8"/>
  <c r="AP373" i="8"/>
  <c r="AP374" i="8"/>
  <c r="AR374" i="8" s="1"/>
  <c r="AP375" i="8"/>
  <c r="AP376" i="8"/>
  <c r="AP377" i="8"/>
  <c r="AP378" i="8"/>
  <c r="AP379" i="8"/>
  <c r="AP380" i="8"/>
  <c r="AP381" i="8"/>
  <c r="AQ381" i="8" s="1"/>
  <c r="AP382" i="8"/>
  <c r="AP383" i="8"/>
  <c r="AP384" i="8"/>
  <c r="AP385" i="8"/>
  <c r="AQ385" i="8" s="1"/>
  <c r="AP386" i="8"/>
  <c r="AP387" i="8"/>
  <c r="AP388" i="8"/>
  <c r="AP389" i="8"/>
  <c r="AP390" i="8"/>
  <c r="AR390" i="8" s="1"/>
  <c r="AP391" i="8"/>
  <c r="AP392" i="8"/>
  <c r="AP393" i="8"/>
  <c r="AQ393" i="8" s="1"/>
  <c r="AP394" i="8"/>
  <c r="AP395" i="8"/>
  <c r="AP396" i="8"/>
  <c r="AP397" i="8"/>
  <c r="AP398" i="8"/>
  <c r="AP399" i="8"/>
  <c r="AP400" i="8"/>
  <c r="AP401" i="8"/>
  <c r="AQ401" i="8" s="1"/>
  <c r="AP402" i="8"/>
  <c r="AP403" i="8"/>
  <c r="AP404" i="8"/>
  <c r="AP405" i="8"/>
  <c r="AP406" i="8"/>
  <c r="AP407" i="8"/>
  <c r="AR407" i="8" s="1"/>
  <c r="AP408" i="8"/>
  <c r="AQ408" i="8" s="1"/>
  <c r="AP409" i="8"/>
  <c r="AP410" i="8"/>
  <c r="AP411" i="8"/>
  <c r="AP412" i="8"/>
  <c r="AP413" i="8"/>
  <c r="AP414" i="8"/>
  <c r="AP415" i="8"/>
  <c r="AP416" i="8"/>
  <c r="AP417" i="8"/>
  <c r="AP418" i="8"/>
  <c r="AP419" i="8"/>
  <c r="AR419" i="8" s="1"/>
  <c r="AP420" i="8"/>
  <c r="AP421" i="8"/>
  <c r="AP422" i="8"/>
  <c r="AR422" i="8" s="1"/>
  <c r="AP423" i="8"/>
  <c r="AP424" i="8"/>
  <c r="AP425" i="8"/>
  <c r="AP426" i="8"/>
  <c r="AP427" i="8"/>
  <c r="AP428" i="8"/>
  <c r="AP429" i="8"/>
  <c r="AQ429" i="8" s="1"/>
  <c r="AP430" i="8"/>
  <c r="AP431" i="8"/>
  <c r="AP432" i="8"/>
  <c r="AP433" i="8"/>
  <c r="AP434" i="8"/>
  <c r="AP435" i="8"/>
  <c r="AP436" i="8"/>
  <c r="AP437" i="8"/>
  <c r="AP438" i="8"/>
  <c r="AR438" i="8" s="1"/>
  <c r="AP439" i="8"/>
  <c r="AP440" i="8"/>
  <c r="AP441" i="8"/>
  <c r="AQ441" i="8" s="1"/>
  <c r="AP442" i="8"/>
  <c r="AP443" i="8"/>
  <c r="AP444" i="8"/>
  <c r="AP445" i="8"/>
  <c r="AP446" i="8"/>
  <c r="AP447" i="8"/>
  <c r="AP448" i="8"/>
  <c r="AP449" i="8"/>
  <c r="AP450" i="8"/>
  <c r="AP451" i="8"/>
  <c r="AP452" i="8"/>
  <c r="AP453" i="8"/>
  <c r="AR453" i="8" s="1"/>
  <c r="AP454" i="8"/>
  <c r="AP455" i="8"/>
  <c r="AP456" i="8"/>
  <c r="AP457" i="8"/>
  <c r="AP458" i="8"/>
  <c r="AP459" i="8"/>
  <c r="AP460" i="8"/>
  <c r="AP461" i="8"/>
  <c r="AP462" i="8"/>
  <c r="AP463" i="8"/>
  <c r="AP464" i="8"/>
  <c r="AP465" i="8"/>
  <c r="AQ465" i="8" s="1"/>
  <c r="AP466" i="8"/>
  <c r="AP467" i="8"/>
  <c r="AP468" i="8"/>
  <c r="AP469" i="8"/>
  <c r="AP470" i="8"/>
  <c r="AR470" i="8" s="1"/>
  <c r="AP471" i="8"/>
  <c r="AP472" i="8"/>
  <c r="AP473" i="8"/>
  <c r="AP474" i="8"/>
  <c r="AP475" i="8"/>
  <c r="AP476" i="8"/>
  <c r="AP477" i="8"/>
  <c r="AR477" i="8" s="1"/>
  <c r="AP478" i="8"/>
  <c r="AP479" i="8"/>
  <c r="AP480" i="8"/>
  <c r="AP481" i="8"/>
  <c r="AQ481" i="8" s="1"/>
  <c r="AP482" i="8"/>
  <c r="AP483" i="8"/>
  <c r="AP484" i="8"/>
  <c r="AP485" i="8"/>
  <c r="AP486" i="8"/>
  <c r="AR486" i="8" s="1"/>
  <c r="AP487" i="8"/>
  <c r="AP488" i="8"/>
  <c r="AP489" i="8"/>
  <c r="AP490" i="8"/>
  <c r="AP491" i="8"/>
  <c r="AP492" i="8"/>
  <c r="AP493" i="8"/>
  <c r="AP494" i="8"/>
  <c r="AP495" i="8"/>
  <c r="AP496" i="8"/>
  <c r="AP497" i="8"/>
  <c r="AP498" i="8"/>
  <c r="AP499" i="8"/>
  <c r="AP500" i="8"/>
  <c r="AP501" i="8"/>
  <c r="AQ501" i="8" s="1"/>
  <c r="AP502" i="8"/>
  <c r="AP503" i="8"/>
  <c r="AR503" i="8" s="1"/>
  <c r="AP504" i="8"/>
  <c r="AP505" i="8"/>
  <c r="AQ505" i="8" s="1"/>
  <c r="AP506" i="8"/>
  <c r="AP507" i="8"/>
  <c r="AP508" i="8"/>
  <c r="AP509" i="8"/>
  <c r="AP510" i="8"/>
  <c r="AP511" i="8"/>
  <c r="AP512" i="8"/>
  <c r="AP513" i="8"/>
  <c r="AQ513" i="8" s="1"/>
  <c r="AP514" i="8"/>
  <c r="AP515" i="8"/>
  <c r="AR515" i="8" s="1"/>
  <c r="AP516" i="8"/>
  <c r="AP517" i="8"/>
  <c r="AP518" i="8"/>
  <c r="AP519" i="8"/>
  <c r="AP520" i="8"/>
  <c r="AR520" i="8" s="1"/>
  <c r="AP521" i="8"/>
  <c r="AP522" i="8"/>
  <c r="AP523" i="8"/>
  <c r="AP524" i="8"/>
  <c r="AP525" i="8"/>
  <c r="AQ525" i="8" s="1"/>
  <c r="AP526" i="8"/>
  <c r="AP527" i="8"/>
  <c r="AP528" i="8"/>
  <c r="AP529" i="8"/>
  <c r="AP530" i="8"/>
  <c r="AP531" i="8"/>
  <c r="AP532" i="8"/>
  <c r="AP533" i="8"/>
  <c r="AP534" i="8"/>
  <c r="AP535" i="8"/>
  <c r="AP536" i="8"/>
  <c r="AP537" i="8"/>
  <c r="AQ537" i="8" s="1"/>
  <c r="AP538" i="8"/>
  <c r="AP539" i="8"/>
  <c r="AP540" i="8"/>
  <c r="AP541" i="8"/>
  <c r="AP542" i="8"/>
  <c r="AP543" i="8"/>
  <c r="AP544" i="8"/>
  <c r="AP545" i="8"/>
  <c r="AP546" i="8"/>
  <c r="AP547" i="8"/>
  <c r="AP548" i="8"/>
  <c r="AP549" i="8"/>
  <c r="AR549" i="8" s="1"/>
  <c r="AP550" i="8"/>
  <c r="AP551" i="8"/>
  <c r="AP552" i="8"/>
  <c r="AP553" i="8"/>
  <c r="AP554" i="8"/>
  <c r="AP555" i="8"/>
  <c r="AP556" i="8"/>
  <c r="AP557" i="8"/>
  <c r="AP558" i="8"/>
  <c r="AP559" i="8"/>
  <c r="AP560" i="8"/>
  <c r="AP561" i="8"/>
  <c r="AP562" i="8"/>
  <c r="AP563" i="8"/>
  <c r="AQ563" i="8" s="1"/>
  <c r="AP564" i="8"/>
  <c r="AP565" i="8"/>
  <c r="AP566" i="8"/>
  <c r="AR566" i="8" s="1"/>
  <c r="AP567" i="8"/>
  <c r="AP568" i="8"/>
  <c r="AP569" i="8"/>
  <c r="AQ569" i="8" s="1"/>
  <c r="AP570" i="8"/>
  <c r="AP571" i="8"/>
  <c r="AP572" i="8"/>
  <c r="AP573" i="8"/>
  <c r="AR573" i="8" s="1"/>
  <c r="AP574" i="8"/>
  <c r="AP575" i="8"/>
  <c r="AP576" i="8"/>
  <c r="AP577" i="8"/>
  <c r="AQ577" i="8" s="1"/>
  <c r="AP578" i="8"/>
  <c r="AP579" i="8"/>
  <c r="AP580" i="8"/>
  <c r="AP581" i="8"/>
  <c r="AP582" i="8"/>
  <c r="AR582" i="8" s="1"/>
  <c r="AP583" i="8"/>
  <c r="AP584" i="8"/>
  <c r="AP585" i="8"/>
  <c r="AQ585" i="8" s="1"/>
  <c r="AP586" i="8"/>
  <c r="AP587" i="8"/>
  <c r="AP588" i="8"/>
  <c r="AP589" i="8"/>
  <c r="AP590" i="8"/>
  <c r="AP591" i="8"/>
  <c r="AP592" i="8"/>
  <c r="AP593" i="8"/>
  <c r="AP594" i="8"/>
  <c r="AP595" i="8"/>
  <c r="AP596" i="8"/>
  <c r="AP597" i="8"/>
  <c r="AQ597" i="8" s="1"/>
  <c r="AP598" i="8"/>
  <c r="AP599" i="8"/>
  <c r="AR599" i="8" s="1"/>
  <c r="AP600" i="8"/>
  <c r="AP601" i="8"/>
  <c r="AP602" i="8"/>
  <c r="AP603" i="8"/>
  <c r="AP604" i="8"/>
  <c r="AP605" i="8"/>
  <c r="AP606" i="8"/>
  <c r="AP607" i="8"/>
  <c r="AP608" i="8"/>
  <c r="AP609" i="8"/>
  <c r="AQ609" i="8" s="1"/>
  <c r="AP610" i="8"/>
  <c r="AP611" i="8"/>
  <c r="AR611" i="8" s="1"/>
  <c r="AP612" i="8"/>
  <c r="AP613" i="8"/>
  <c r="AP614" i="8"/>
  <c r="AP615" i="8"/>
  <c r="AP616" i="8"/>
  <c r="AP617" i="8"/>
  <c r="AP618" i="8"/>
  <c r="AP619" i="8"/>
  <c r="AP620" i="8"/>
  <c r="AP621" i="8"/>
  <c r="AP622" i="8"/>
  <c r="AP623" i="8"/>
  <c r="AP624" i="8"/>
  <c r="AP625" i="8"/>
  <c r="AQ625" i="8" s="1"/>
  <c r="AP626" i="8"/>
  <c r="AP627" i="8"/>
  <c r="AP628" i="8"/>
  <c r="AP629" i="8"/>
  <c r="AP630" i="8"/>
  <c r="AP631" i="8"/>
  <c r="AP632" i="8"/>
  <c r="AP633" i="8"/>
  <c r="AP634" i="8"/>
  <c r="AP635" i="8"/>
  <c r="AP636" i="8"/>
  <c r="AP637" i="8"/>
  <c r="AP638" i="8"/>
  <c r="AP639" i="8"/>
  <c r="AP640" i="8"/>
  <c r="AP641" i="8"/>
  <c r="AR641" i="8" s="1"/>
  <c r="AP642" i="8"/>
  <c r="AP643" i="8"/>
  <c r="AP644" i="8"/>
  <c r="AP645" i="8"/>
  <c r="AQ645" i="8" s="1"/>
  <c r="AP646" i="8"/>
  <c r="AP647" i="8"/>
  <c r="AQ647" i="8" s="1"/>
  <c r="AP648" i="8"/>
  <c r="AP649" i="8"/>
  <c r="AP650" i="8"/>
  <c r="AP651" i="8"/>
  <c r="AP652" i="8"/>
  <c r="AP653" i="8"/>
  <c r="AP654" i="8"/>
  <c r="AP655" i="8"/>
  <c r="AP656" i="8"/>
  <c r="AP657" i="8"/>
  <c r="AQ657" i="8" s="1"/>
  <c r="AP658" i="8"/>
  <c r="AP659" i="8"/>
  <c r="AP660" i="8"/>
  <c r="AP661" i="8"/>
  <c r="AP662" i="8"/>
  <c r="AR662" i="8" s="1"/>
  <c r="AP663" i="8"/>
  <c r="AP664" i="8"/>
  <c r="AP665" i="8"/>
  <c r="AP666" i="8"/>
  <c r="AP667" i="8"/>
  <c r="AP668" i="8"/>
  <c r="AP669" i="8"/>
  <c r="AR669" i="8" s="1"/>
  <c r="AP670" i="8"/>
  <c r="AP671" i="8"/>
  <c r="AP672" i="8"/>
  <c r="AP673" i="8"/>
  <c r="AQ673" i="8" s="1"/>
  <c r="AP674" i="8"/>
  <c r="AP675" i="8"/>
  <c r="AP676" i="8"/>
  <c r="AP677" i="8"/>
  <c r="AP678" i="8"/>
  <c r="AP679" i="8"/>
  <c r="AP680" i="8"/>
  <c r="AP681" i="8"/>
  <c r="AQ681" i="8" s="1"/>
  <c r="AP682" i="8"/>
  <c r="AP683" i="8"/>
  <c r="AP684" i="8"/>
  <c r="AP685" i="8"/>
  <c r="AQ685" i="8" s="1"/>
  <c r="AP686" i="8"/>
  <c r="AP687" i="8"/>
  <c r="AP688" i="8"/>
  <c r="AP689" i="8"/>
  <c r="AQ689" i="8" s="1"/>
  <c r="AP690" i="8"/>
  <c r="AP691" i="8"/>
  <c r="AP692" i="8"/>
  <c r="AP693" i="8"/>
  <c r="AR693" i="8" s="1"/>
  <c r="AP694" i="8"/>
  <c r="AP695" i="8"/>
  <c r="AP696" i="8"/>
  <c r="AP697" i="8"/>
  <c r="AQ697" i="8" s="1"/>
  <c r="AP698" i="8"/>
  <c r="AP699" i="8"/>
  <c r="AP700" i="8"/>
  <c r="AP701" i="8"/>
  <c r="AQ701" i="8" s="1"/>
  <c r="AP702" i="8"/>
  <c r="AP703" i="8"/>
  <c r="AP704" i="8"/>
  <c r="AP705" i="8"/>
  <c r="AR705" i="8" s="1"/>
  <c r="AP706" i="8"/>
  <c r="AP707" i="8"/>
  <c r="AQ707" i="8" s="1"/>
  <c r="AP708" i="8"/>
  <c r="AP709" i="8"/>
  <c r="AP710" i="8"/>
  <c r="AP711" i="8"/>
  <c r="AP712" i="8"/>
  <c r="AP713" i="8"/>
  <c r="AP714" i="8"/>
  <c r="AP715" i="8"/>
  <c r="AP716" i="8"/>
  <c r="AP717" i="8"/>
  <c r="AR717" i="8" s="1"/>
  <c r="AP718" i="8"/>
  <c r="AP719" i="8"/>
  <c r="AP720" i="8"/>
  <c r="AP721" i="8"/>
  <c r="AQ721" i="8" s="1"/>
  <c r="AP722" i="8"/>
  <c r="AP723" i="8"/>
  <c r="AP724" i="8"/>
  <c r="AP725" i="8"/>
  <c r="AP726" i="8"/>
  <c r="AP727" i="8"/>
  <c r="AP728" i="8"/>
  <c r="AP729" i="8"/>
  <c r="AP730" i="8"/>
  <c r="AP731" i="8"/>
  <c r="AP732" i="8"/>
  <c r="AP733" i="8"/>
  <c r="AP734" i="8"/>
  <c r="AP735" i="8"/>
  <c r="AP736" i="8"/>
  <c r="AP737" i="8"/>
  <c r="AP738" i="8"/>
  <c r="AP739" i="8"/>
  <c r="AP740" i="8"/>
  <c r="AP741" i="8"/>
  <c r="AQ741" i="8" s="1"/>
  <c r="AP742" i="8"/>
  <c r="AP743" i="8"/>
  <c r="AP744" i="8"/>
  <c r="AP745" i="8"/>
  <c r="AP746" i="8"/>
  <c r="AP747" i="8"/>
  <c r="AP748" i="8"/>
  <c r="AP749" i="8"/>
  <c r="AP750" i="8"/>
  <c r="AP751" i="8"/>
  <c r="AP752" i="8"/>
  <c r="AP753" i="8"/>
  <c r="AQ753" i="8" s="1"/>
  <c r="AP754" i="8"/>
  <c r="AP755" i="8"/>
  <c r="AP756" i="8"/>
  <c r="AP757" i="8"/>
  <c r="AP758" i="8"/>
  <c r="AP759" i="8"/>
  <c r="AP760" i="8"/>
  <c r="AP761" i="8"/>
  <c r="AP762" i="8"/>
  <c r="AP763" i="8"/>
  <c r="AP764" i="8"/>
  <c r="AP765" i="8"/>
  <c r="AP766" i="8"/>
  <c r="AP767" i="8"/>
  <c r="AP768" i="8"/>
  <c r="AP769" i="8"/>
  <c r="AQ769" i="8" s="1"/>
  <c r="AP770" i="8"/>
  <c r="AP771" i="8"/>
  <c r="AP772" i="8"/>
  <c r="AP773" i="8"/>
  <c r="AP774" i="8"/>
  <c r="AP775" i="8"/>
  <c r="AP776" i="8"/>
  <c r="AP777" i="8"/>
  <c r="AP778" i="8"/>
  <c r="AP779" i="8"/>
  <c r="AP780" i="8"/>
  <c r="AP781" i="8"/>
  <c r="AP782" i="8"/>
  <c r="AP783" i="8"/>
  <c r="AP784" i="8"/>
  <c r="AP785" i="8"/>
  <c r="AR785" i="8" s="1"/>
  <c r="AP786" i="8"/>
  <c r="AP787" i="8"/>
  <c r="AP788" i="8"/>
  <c r="AP789" i="8"/>
  <c r="AQ789" i="8" s="1"/>
  <c r="AP790" i="8"/>
  <c r="AP791" i="8"/>
  <c r="AR791" i="8" s="1"/>
  <c r="AP792" i="8"/>
  <c r="AP793" i="8"/>
  <c r="AP794" i="8"/>
  <c r="AP795" i="8"/>
  <c r="AP796" i="8"/>
  <c r="AP797" i="8"/>
  <c r="AQ797" i="8" s="1"/>
  <c r="AP798" i="8"/>
  <c r="AP799" i="8"/>
  <c r="AP800" i="8"/>
  <c r="AP801" i="8"/>
  <c r="AQ801" i="8" s="1"/>
  <c r="AP802" i="8"/>
  <c r="AP803" i="8"/>
  <c r="AR803" i="8" s="1"/>
  <c r="AP804" i="8"/>
  <c r="AP805" i="8"/>
  <c r="AP806" i="8"/>
  <c r="AP807" i="8"/>
  <c r="AP808" i="8"/>
  <c r="AP809" i="8"/>
  <c r="AP810" i="8"/>
  <c r="AP811" i="8"/>
  <c r="AP812" i="8"/>
  <c r="AP813" i="8"/>
  <c r="AQ813" i="8" s="1"/>
  <c r="AP814" i="8"/>
  <c r="AP815" i="8"/>
  <c r="AR815" i="8" s="1"/>
  <c r="AP816" i="8"/>
  <c r="AP817" i="8"/>
  <c r="AR817" i="8" s="1"/>
  <c r="AP818" i="8"/>
  <c r="AP819" i="8"/>
  <c r="AP820" i="8"/>
  <c r="AP821" i="8"/>
  <c r="AP822" i="8"/>
  <c r="AR822" i="8" s="1"/>
  <c r="AP823" i="8"/>
  <c r="AP824" i="8"/>
  <c r="AP825" i="8"/>
  <c r="AQ825" i="8" s="1"/>
  <c r="AP826" i="8"/>
  <c r="AP827" i="8"/>
  <c r="AP828" i="8"/>
  <c r="AP829" i="8"/>
  <c r="AP830" i="8"/>
  <c r="AP831" i="8"/>
  <c r="AP832" i="8"/>
  <c r="AP833" i="8"/>
  <c r="AP834" i="8"/>
  <c r="AP835" i="8"/>
  <c r="AP836" i="8"/>
  <c r="AP837" i="8"/>
  <c r="AP838" i="8"/>
  <c r="AP839" i="8"/>
  <c r="AP840" i="8"/>
  <c r="AP841" i="8"/>
  <c r="AP842" i="8"/>
  <c r="AP843" i="8"/>
  <c r="AP844" i="8"/>
  <c r="AP845" i="8"/>
  <c r="AP846" i="8"/>
  <c r="AP847" i="8"/>
  <c r="AP848" i="8"/>
  <c r="AP849" i="8"/>
  <c r="AR849" i="8" s="1"/>
  <c r="AP850" i="8"/>
  <c r="AP851" i="8"/>
  <c r="AQ851" i="8" s="1"/>
  <c r="AP852" i="8"/>
  <c r="AP853" i="8"/>
  <c r="AP854" i="8"/>
  <c r="AP855" i="8"/>
  <c r="AP856" i="8"/>
  <c r="AP857" i="8"/>
  <c r="AQ857" i="8" s="1"/>
  <c r="AP858" i="8"/>
  <c r="AP859" i="8"/>
  <c r="AP860" i="8"/>
  <c r="AP861" i="8"/>
  <c r="AQ861" i="8" s="1"/>
  <c r="AP862" i="8"/>
  <c r="AP863" i="8"/>
  <c r="AP864" i="8"/>
  <c r="AP865" i="8"/>
  <c r="AP866" i="8"/>
  <c r="AP867" i="8"/>
  <c r="AP868" i="8"/>
  <c r="AP869" i="8"/>
  <c r="AP870" i="8"/>
  <c r="AP871" i="8"/>
  <c r="AP872" i="8"/>
  <c r="AP873" i="8"/>
  <c r="AP874" i="8"/>
  <c r="AP875" i="8"/>
  <c r="AP876" i="8"/>
  <c r="AP877" i="8"/>
  <c r="AP878" i="8"/>
  <c r="AP879" i="8"/>
  <c r="AP880" i="8"/>
  <c r="AP881" i="8"/>
  <c r="AP882" i="8"/>
  <c r="AP883" i="8"/>
  <c r="AP884" i="8"/>
  <c r="AP885" i="8"/>
  <c r="AQ885" i="8" s="1"/>
  <c r="AP886" i="8"/>
  <c r="AP887" i="8"/>
  <c r="AP888" i="8"/>
  <c r="AQ888" i="8" s="1"/>
  <c r="AP889" i="8"/>
  <c r="AP890" i="8"/>
  <c r="AP891" i="8"/>
  <c r="AP892" i="8"/>
  <c r="AP893" i="8"/>
  <c r="AQ893" i="8" s="1"/>
  <c r="AP894" i="8"/>
  <c r="AP895" i="8"/>
  <c r="AP896" i="8"/>
  <c r="AP897" i="8"/>
  <c r="AQ897" i="8" s="1"/>
  <c r="AP898" i="8"/>
  <c r="AP899" i="8"/>
  <c r="AP900" i="8"/>
  <c r="AP901" i="8"/>
  <c r="AP902" i="8"/>
  <c r="AP903" i="8"/>
  <c r="AP904" i="8"/>
  <c r="AP905" i="8"/>
  <c r="AP906" i="8"/>
  <c r="AP907" i="8"/>
  <c r="AP908" i="8"/>
  <c r="AP909" i="8"/>
  <c r="AR909" i="8" s="1"/>
  <c r="AP910" i="8"/>
  <c r="AP911" i="8"/>
  <c r="AP912" i="8"/>
  <c r="AP913" i="8"/>
  <c r="AQ913" i="8" s="1"/>
  <c r="AP914" i="8"/>
  <c r="AP915" i="8"/>
  <c r="AP916" i="8"/>
  <c r="AP917" i="8"/>
  <c r="AP918" i="8"/>
  <c r="AP919" i="8"/>
  <c r="AP920" i="8"/>
  <c r="AP921" i="8"/>
  <c r="AP922" i="8"/>
  <c r="AP923" i="8"/>
  <c r="AP924" i="8"/>
  <c r="AP925" i="8"/>
  <c r="AP926" i="8"/>
  <c r="AP927" i="8"/>
  <c r="AP928" i="8"/>
  <c r="AP929" i="8"/>
  <c r="AQ929" i="8" s="1"/>
  <c r="AP930" i="8"/>
  <c r="AP931" i="8"/>
  <c r="AP932" i="8"/>
  <c r="AP933" i="8"/>
  <c r="AQ933" i="8" s="1"/>
  <c r="AP934" i="8"/>
  <c r="AP935" i="8"/>
  <c r="AQ935" i="8" s="1"/>
  <c r="AP936" i="8"/>
  <c r="AP937" i="8"/>
  <c r="AP938" i="8"/>
  <c r="AP939" i="8"/>
  <c r="AP940" i="8"/>
  <c r="AP941" i="8"/>
  <c r="AP942" i="8"/>
  <c r="AP943" i="8"/>
  <c r="AP944" i="8"/>
  <c r="AP945" i="8"/>
  <c r="AQ945" i="8" s="1"/>
  <c r="AP946" i="8"/>
  <c r="AP947" i="8"/>
  <c r="AP948" i="8"/>
  <c r="AP949" i="8"/>
  <c r="AQ949" i="8" s="1"/>
  <c r="AP950" i="8"/>
  <c r="AR950" i="8" s="1"/>
  <c r="AP951" i="8"/>
  <c r="AP952" i="8"/>
  <c r="AP953" i="8"/>
  <c r="AP954" i="8"/>
  <c r="AP955" i="8"/>
  <c r="AP956" i="8"/>
  <c r="AP957" i="8"/>
  <c r="AQ957" i="8" s="1"/>
  <c r="AP958" i="8"/>
  <c r="AP959" i="8"/>
  <c r="AP960" i="8"/>
  <c r="AP961" i="8"/>
  <c r="AR961" i="8" s="1"/>
  <c r="AP962" i="8"/>
  <c r="AP963" i="8"/>
  <c r="AP964" i="8"/>
  <c r="AP965" i="8"/>
  <c r="AP966" i="8"/>
  <c r="AP967" i="8"/>
  <c r="AP968" i="8"/>
  <c r="AP969" i="8"/>
  <c r="AQ969" i="8" s="1"/>
  <c r="AP970" i="8"/>
  <c r="AP971" i="8"/>
  <c r="AP972" i="8"/>
  <c r="AP973" i="8"/>
  <c r="AQ973" i="8" s="1"/>
  <c r="AP974" i="8"/>
  <c r="AP975" i="8"/>
  <c r="AP976" i="8"/>
  <c r="AP977" i="8"/>
  <c r="AQ977" i="8" s="1"/>
  <c r="AP978" i="8"/>
  <c r="AP979" i="8"/>
  <c r="AP980" i="8"/>
  <c r="AP981" i="8"/>
  <c r="AR981" i="8" s="1"/>
  <c r="AP982" i="8"/>
  <c r="AP983" i="8"/>
  <c r="AP984" i="8"/>
  <c r="AP985" i="8"/>
  <c r="AP986" i="8"/>
  <c r="AP987" i="8"/>
  <c r="AP988" i="8"/>
  <c r="AP989" i="8"/>
  <c r="AQ989" i="8" s="1"/>
  <c r="AP990" i="8"/>
  <c r="AP991" i="8"/>
  <c r="AP992" i="8"/>
  <c r="AP993" i="8"/>
  <c r="AP994" i="8"/>
  <c r="AP995" i="8"/>
  <c r="AQ995" i="8" s="1"/>
  <c r="AP996" i="8"/>
  <c r="AP997" i="8"/>
  <c r="AP998" i="8"/>
  <c r="AP999" i="8"/>
  <c r="AP1000" i="8"/>
  <c r="AP1001" i="8"/>
  <c r="AP1002" i="8"/>
  <c r="AP1003" i="8"/>
  <c r="AP1004" i="8"/>
  <c r="AP1005" i="8"/>
  <c r="AR1005" i="8" s="1"/>
  <c r="AP1006" i="8"/>
  <c r="AP1007" i="8"/>
  <c r="AP1008" i="8"/>
  <c r="AP1009" i="8"/>
  <c r="AP1010" i="8"/>
  <c r="AP1011" i="8"/>
  <c r="AP1012" i="8"/>
  <c r="AP1013" i="8"/>
  <c r="AP1014" i="8"/>
  <c r="AP1015" i="8"/>
  <c r="AP1016" i="8"/>
  <c r="AP1017" i="8"/>
  <c r="AP1018" i="8"/>
  <c r="AP1019" i="8"/>
  <c r="AP1020" i="8"/>
  <c r="AP1021" i="8"/>
  <c r="AP1022" i="8"/>
  <c r="AP1023" i="8"/>
  <c r="AP1024" i="8"/>
  <c r="AP1025" i="8"/>
  <c r="AP1026" i="8"/>
  <c r="AP1027" i="8"/>
  <c r="AP1028" i="8"/>
  <c r="AP1029" i="8"/>
  <c r="AR1029" i="8" s="1"/>
  <c r="AP1030" i="8"/>
  <c r="AP1031" i="8"/>
  <c r="AP1032" i="8"/>
  <c r="AP1033" i="8"/>
  <c r="AP1034" i="8"/>
  <c r="AP1035" i="8"/>
  <c r="AP1036" i="8"/>
  <c r="AP1037" i="8"/>
  <c r="AP1038" i="8"/>
  <c r="AP1039" i="8"/>
  <c r="AP1040" i="8"/>
  <c r="AP1041" i="8"/>
  <c r="AQ1041" i="8" s="1"/>
  <c r="AP1042" i="8"/>
  <c r="AP1043" i="8"/>
  <c r="AP1044" i="8"/>
  <c r="AP1045" i="8"/>
  <c r="AQ1045" i="8" s="1"/>
  <c r="AP1046" i="8"/>
  <c r="AP1047" i="8"/>
  <c r="AP1048" i="8"/>
  <c r="AP1049" i="8"/>
  <c r="AQ1049" i="8" s="1"/>
  <c r="AP1050" i="8"/>
  <c r="AP1051" i="8"/>
  <c r="AP1052" i="8"/>
  <c r="AP1053" i="8"/>
  <c r="AR1053" i="8" s="1"/>
  <c r="AP1054" i="8"/>
  <c r="AP1055" i="8"/>
  <c r="AP1056" i="8"/>
  <c r="AP1057" i="8"/>
  <c r="AR1057" i="8" s="1"/>
  <c r="AP1058" i="8"/>
  <c r="AP1059" i="8"/>
  <c r="AP1060" i="8"/>
  <c r="AP1061" i="8"/>
  <c r="AP1062" i="8"/>
  <c r="AP1063" i="8"/>
  <c r="AP1064" i="8"/>
  <c r="AP1065" i="8"/>
  <c r="AQ1065" i="8" s="1"/>
  <c r="AP1066" i="8"/>
  <c r="AP1067" i="8"/>
  <c r="AQ1067" i="8" s="1"/>
  <c r="AP1068" i="8"/>
  <c r="AP1069" i="8"/>
  <c r="AP1070" i="8"/>
  <c r="AP1071" i="8"/>
  <c r="AP1072" i="8"/>
  <c r="AP1073" i="8"/>
  <c r="AQ1073" i="8" s="1"/>
  <c r="AP1074" i="8"/>
  <c r="AP1075" i="8"/>
  <c r="AP1076" i="8"/>
  <c r="AP1077" i="8"/>
  <c r="AQ1077" i="8" s="1"/>
  <c r="AP1078" i="8"/>
  <c r="AP1079" i="8"/>
  <c r="AQ1079" i="8" s="1"/>
  <c r="AP1080" i="8"/>
  <c r="AP1081" i="8"/>
  <c r="AP1082" i="8"/>
  <c r="AP1083" i="8"/>
  <c r="AP1084" i="8"/>
  <c r="AP1085" i="8"/>
  <c r="AQ1085" i="8" s="1"/>
  <c r="AP1086" i="8"/>
  <c r="AP1087" i="8"/>
  <c r="AP1088" i="8"/>
  <c r="AP1089" i="8"/>
  <c r="AP1090" i="8"/>
  <c r="AP1091" i="8"/>
  <c r="AP1092" i="8"/>
  <c r="AP1093" i="8"/>
  <c r="AP1094" i="8"/>
  <c r="AP1095" i="8"/>
  <c r="AP1096" i="8"/>
  <c r="AP1097" i="8"/>
  <c r="AP1098" i="8"/>
  <c r="AP1099" i="8"/>
  <c r="AP1100" i="8"/>
  <c r="AP1101" i="8"/>
  <c r="AQ1101" i="8" s="1"/>
  <c r="AP1102" i="8"/>
  <c r="AP1103" i="8"/>
  <c r="AP1104" i="8"/>
  <c r="AP1105" i="8"/>
  <c r="AR1105" i="8" s="1"/>
  <c r="AP1106" i="8"/>
  <c r="AP1107" i="8"/>
  <c r="AP1108" i="8"/>
  <c r="AP1109" i="8"/>
  <c r="AP1110" i="8"/>
  <c r="AP1111" i="8"/>
  <c r="AP1112" i="8"/>
  <c r="AP1113" i="8"/>
  <c r="AQ1113" i="8" s="1"/>
  <c r="AP1114" i="8"/>
  <c r="AP1115" i="8"/>
  <c r="AP1116" i="8"/>
  <c r="AP1117" i="8"/>
  <c r="AP1118" i="8"/>
  <c r="AP1119" i="8"/>
  <c r="AP1120" i="8"/>
  <c r="AP1121" i="8"/>
  <c r="AQ1121" i="8" s="1"/>
  <c r="AP1122" i="8"/>
  <c r="AP1123" i="8"/>
  <c r="AP1124" i="8"/>
  <c r="AP1125" i="8"/>
  <c r="AQ1125" i="8" s="1"/>
  <c r="AP1126" i="8"/>
  <c r="AP1127" i="8"/>
  <c r="AP1128" i="8"/>
  <c r="AQ23" i="8"/>
  <c r="AQ25" i="8"/>
  <c r="AQ35" i="8"/>
  <c r="AQ37" i="8"/>
  <c r="AQ41" i="8"/>
  <c r="AQ47" i="8"/>
  <c r="AQ49" i="8"/>
  <c r="AQ53" i="8"/>
  <c r="AQ57" i="8"/>
  <c r="AQ61" i="8"/>
  <c r="AQ65" i="8"/>
  <c r="AQ67" i="8"/>
  <c r="AQ73" i="8"/>
  <c r="AQ77" i="8"/>
  <c r="AQ83" i="8"/>
  <c r="AQ85" i="8"/>
  <c r="AQ95" i="8"/>
  <c r="AQ97" i="8"/>
  <c r="AQ107" i="8"/>
  <c r="AQ109" i="8"/>
  <c r="AQ113" i="8"/>
  <c r="AQ115" i="8"/>
  <c r="AQ119" i="8"/>
  <c r="AQ121" i="8"/>
  <c r="AQ125" i="8"/>
  <c r="AQ133" i="8"/>
  <c r="AQ143" i="8"/>
  <c r="AQ149" i="8"/>
  <c r="AQ155" i="8"/>
  <c r="AQ157" i="8"/>
  <c r="AQ167" i="8"/>
  <c r="AQ169" i="8"/>
  <c r="AQ179" i="8"/>
  <c r="AQ181" i="8"/>
  <c r="AQ185" i="8"/>
  <c r="AQ191" i="8"/>
  <c r="AQ193" i="8"/>
  <c r="AQ197" i="8"/>
  <c r="AQ201" i="8"/>
  <c r="AQ205" i="8"/>
  <c r="AQ211" i="8"/>
  <c r="AQ217" i="8"/>
  <c r="AQ221" i="8"/>
  <c r="AQ226" i="8"/>
  <c r="AQ227" i="8"/>
  <c r="AQ229" i="8"/>
  <c r="AQ239" i="8"/>
  <c r="AQ241" i="8"/>
  <c r="AQ251" i="8"/>
  <c r="AQ253" i="8"/>
  <c r="AQ257" i="8"/>
  <c r="AQ259" i="8"/>
  <c r="AQ263" i="8"/>
  <c r="AQ265" i="8"/>
  <c r="AQ269" i="8"/>
  <c r="AQ277" i="8"/>
  <c r="AQ281" i="8"/>
  <c r="AQ283" i="8"/>
  <c r="AQ287" i="8"/>
  <c r="AQ293" i="8"/>
  <c r="AQ299" i="8"/>
  <c r="AQ311" i="8"/>
  <c r="AQ313" i="8"/>
  <c r="AQ317" i="8"/>
  <c r="AQ323" i="8"/>
  <c r="AQ325" i="8"/>
  <c r="AQ329" i="8"/>
  <c r="AQ335" i="8"/>
  <c r="AQ337" i="8"/>
  <c r="AQ341" i="8"/>
  <c r="AQ343" i="8"/>
  <c r="AQ353" i="8"/>
  <c r="AQ355" i="8"/>
  <c r="AQ361" i="8"/>
  <c r="AQ365" i="8"/>
  <c r="AQ371" i="8"/>
  <c r="AQ373" i="8"/>
  <c r="AQ383" i="8"/>
  <c r="AQ386" i="8"/>
  <c r="AQ395" i="8"/>
  <c r="AQ397" i="8"/>
  <c r="AQ403" i="8"/>
  <c r="AQ407" i="8"/>
  <c r="AQ409" i="8"/>
  <c r="AQ413" i="8"/>
  <c r="AQ421" i="8"/>
  <c r="AQ425" i="8"/>
  <c r="AQ427" i="8"/>
  <c r="AQ431" i="8"/>
  <c r="AQ433" i="8"/>
  <c r="AQ437" i="8"/>
  <c r="AQ443" i="8"/>
  <c r="AQ455" i="8"/>
  <c r="AQ457" i="8"/>
  <c r="AQ461" i="8"/>
  <c r="AQ467" i="8"/>
  <c r="AQ469" i="8"/>
  <c r="AQ473" i="8"/>
  <c r="AQ479" i="8"/>
  <c r="AQ485" i="8"/>
  <c r="AQ487" i="8"/>
  <c r="AQ489" i="8"/>
  <c r="AQ493" i="8"/>
  <c r="AQ497" i="8"/>
  <c r="AQ499" i="8"/>
  <c r="AQ509" i="8"/>
  <c r="AQ515" i="8"/>
  <c r="AQ517" i="8"/>
  <c r="AQ527" i="8"/>
  <c r="AQ529" i="8"/>
  <c r="AQ539" i="8"/>
  <c r="AQ541" i="8"/>
  <c r="AQ545" i="8"/>
  <c r="AQ547" i="8"/>
  <c r="AQ551" i="8"/>
  <c r="AQ553" i="8"/>
  <c r="AQ557" i="8"/>
  <c r="AQ565" i="8"/>
  <c r="AQ571" i="8"/>
  <c r="AQ575" i="8"/>
  <c r="AQ581" i="8"/>
  <c r="AQ587" i="8"/>
  <c r="AQ599" i="8"/>
  <c r="AQ601" i="8"/>
  <c r="AQ602" i="8"/>
  <c r="AQ605" i="8"/>
  <c r="AQ610" i="8"/>
  <c r="AQ611" i="8"/>
  <c r="AQ613" i="8"/>
  <c r="AQ617" i="8"/>
  <c r="AQ623" i="8"/>
  <c r="AQ629" i="8"/>
  <c r="AQ631" i="8"/>
  <c r="AQ633" i="8"/>
  <c r="AQ637" i="8"/>
  <c r="AQ643" i="8"/>
  <c r="AQ649" i="8"/>
  <c r="AQ653" i="8"/>
  <c r="AQ659" i="8"/>
  <c r="AQ661" i="8"/>
  <c r="AQ671" i="8"/>
  <c r="AQ683" i="8"/>
  <c r="AQ691" i="8"/>
  <c r="AQ695" i="8"/>
  <c r="AQ709" i="8"/>
  <c r="AQ713" i="8"/>
  <c r="AQ715" i="8"/>
  <c r="AQ719" i="8"/>
  <c r="AQ725" i="8"/>
  <c r="AQ729" i="8"/>
  <c r="AQ731" i="8"/>
  <c r="AQ743" i="8"/>
  <c r="AQ745" i="8"/>
  <c r="AQ749" i="8"/>
  <c r="AQ755" i="8"/>
  <c r="AQ757" i="8"/>
  <c r="AQ761" i="8"/>
  <c r="AQ767" i="8"/>
  <c r="AQ773" i="8"/>
  <c r="AQ775" i="8"/>
  <c r="AQ777" i="8"/>
  <c r="AQ781" i="8"/>
  <c r="AQ785" i="8"/>
  <c r="AQ787" i="8"/>
  <c r="AQ803" i="8"/>
  <c r="AQ805" i="8"/>
  <c r="AQ815" i="8"/>
  <c r="AQ817" i="8"/>
  <c r="AQ827" i="8"/>
  <c r="AQ829" i="8"/>
  <c r="AQ833" i="8"/>
  <c r="AQ835" i="8"/>
  <c r="AQ839" i="8"/>
  <c r="AQ841" i="8"/>
  <c r="AQ845" i="8"/>
  <c r="AQ853" i="8"/>
  <c r="AQ859" i="8"/>
  <c r="AQ863" i="8"/>
  <c r="AQ866" i="8"/>
  <c r="AQ869" i="8"/>
  <c r="AQ870" i="8"/>
  <c r="AQ873" i="8"/>
  <c r="AQ875" i="8"/>
  <c r="AQ887" i="8"/>
  <c r="AQ889" i="8"/>
  <c r="AQ899" i="8"/>
  <c r="AQ901" i="8"/>
  <c r="AQ905" i="8"/>
  <c r="AQ911" i="8"/>
  <c r="AQ917" i="8"/>
  <c r="AQ919" i="8"/>
  <c r="AQ921" i="8"/>
  <c r="AQ925" i="8"/>
  <c r="AQ931" i="8"/>
  <c r="AQ941" i="8"/>
  <c r="AQ947" i="8"/>
  <c r="AQ959" i="8"/>
  <c r="AQ971" i="8"/>
  <c r="AQ979" i="8"/>
  <c r="AQ983" i="8"/>
  <c r="AQ984" i="8"/>
  <c r="AQ985" i="8"/>
  <c r="AQ997" i="8"/>
  <c r="AQ1001" i="8"/>
  <c r="AQ1003" i="8"/>
  <c r="AQ1007" i="8"/>
  <c r="AQ1013" i="8"/>
  <c r="AQ1017" i="8"/>
  <c r="AQ1019" i="8"/>
  <c r="AQ1031" i="8"/>
  <c r="AQ1033" i="8"/>
  <c r="AQ1037" i="8"/>
  <c r="AQ1042" i="8"/>
  <c r="AQ1043" i="8"/>
  <c r="AQ1055" i="8"/>
  <c r="AQ1057" i="8"/>
  <c r="AQ1061" i="8"/>
  <c r="AQ1063" i="8"/>
  <c r="AQ1069" i="8"/>
  <c r="AQ1075" i="8"/>
  <c r="AQ1089" i="8"/>
  <c r="AQ1091" i="8"/>
  <c r="AQ1093" i="8"/>
  <c r="AQ1099" i="8"/>
  <c r="AQ1103" i="8"/>
  <c r="AQ1115" i="8"/>
  <c r="AQ1117" i="8"/>
  <c r="AQ1119" i="8"/>
  <c r="AR15" i="8"/>
  <c r="AR19" i="8"/>
  <c r="AR25" i="8"/>
  <c r="AR27" i="8"/>
  <c r="AR29" i="8"/>
  <c r="AR31" i="8"/>
  <c r="AR33" i="8"/>
  <c r="AR37" i="8"/>
  <c r="AR39" i="8"/>
  <c r="AR43" i="8"/>
  <c r="AR45" i="8"/>
  <c r="AR47" i="8"/>
  <c r="AR49" i="8"/>
  <c r="AR51" i="8"/>
  <c r="AR53" i="8"/>
  <c r="AR55" i="8"/>
  <c r="AR57" i="8"/>
  <c r="AR59" i="8"/>
  <c r="AR61" i="8"/>
  <c r="AR67" i="8"/>
  <c r="AR71" i="8"/>
  <c r="AR73" i="8"/>
  <c r="AR81" i="8"/>
  <c r="AR83" i="8"/>
  <c r="AR85" i="8"/>
  <c r="AR87" i="8"/>
  <c r="AR95" i="8"/>
  <c r="AR97" i="8"/>
  <c r="AR99" i="8"/>
  <c r="AR101" i="8"/>
  <c r="AR107" i="8"/>
  <c r="AR109" i="8"/>
  <c r="AR111" i="8"/>
  <c r="AR115" i="8"/>
  <c r="AR117" i="8"/>
  <c r="AR121" i="8"/>
  <c r="AR123" i="8"/>
  <c r="AR125" i="8"/>
  <c r="AR127" i="8"/>
  <c r="AR129" i="8"/>
  <c r="AR133" i="8"/>
  <c r="AR135" i="8"/>
  <c r="AR139" i="8"/>
  <c r="AR141" i="8"/>
  <c r="AR143" i="8"/>
  <c r="AR145" i="8"/>
  <c r="AR147" i="8"/>
  <c r="AR149" i="8"/>
  <c r="AR151" i="8"/>
  <c r="AR153" i="8"/>
  <c r="AR155" i="8"/>
  <c r="AR157" i="8"/>
  <c r="AR163" i="8"/>
  <c r="AR167" i="8"/>
  <c r="AR169" i="8"/>
  <c r="AR171" i="8"/>
  <c r="AR177" i="8"/>
  <c r="AR179" i="8"/>
  <c r="AR181" i="8"/>
  <c r="AR183" i="8"/>
  <c r="AR191" i="8"/>
  <c r="AR193" i="8"/>
  <c r="AR195" i="8"/>
  <c r="AR197" i="8"/>
  <c r="AR203" i="8"/>
  <c r="AR205" i="8"/>
  <c r="AR206" i="8"/>
  <c r="AR207" i="8"/>
  <c r="AR211" i="8"/>
  <c r="AR217" i="8"/>
  <c r="AR219" i="8"/>
  <c r="AR221" i="8"/>
  <c r="AR223" i="8"/>
  <c r="AR225" i="8"/>
  <c r="AR229" i="8"/>
  <c r="AR231" i="8"/>
  <c r="AR235" i="8"/>
  <c r="AR237" i="8"/>
  <c r="AR239" i="8"/>
  <c r="AR241" i="8"/>
  <c r="AR243" i="8"/>
  <c r="AR245" i="8"/>
  <c r="AR247" i="8"/>
  <c r="AR249" i="8"/>
  <c r="AR251" i="8"/>
  <c r="AR253" i="8"/>
  <c r="AR259" i="8"/>
  <c r="AR263" i="8"/>
  <c r="AR265" i="8"/>
  <c r="AR273" i="8"/>
  <c r="AR274" i="8"/>
  <c r="AR275" i="8"/>
  <c r="AR277" i="8"/>
  <c r="AR279" i="8"/>
  <c r="AR287" i="8"/>
  <c r="AR289" i="8"/>
  <c r="AR291" i="8"/>
  <c r="AR293" i="8"/>
  <c r="AR299" i="8"/>
  <c r="AR301" i="8"/>
  <c r="AR303" i="8"/>
  <c r="AR307" i="8"/>
  <c r="AR309" i="8"/>
  <c r="AR313" i="8"/>
  <c r="AR315" i="8"/>
  <c r="AR317" i="8"/>
  <c r="AR319" i="8"/>
  <c r="AR321" i="8"/>
  <c r="AR325" i="8"/>
  <c r="AR327" i="8"/>
  <c r="AR331" i="8"/>
  <c r="AR333" i="8"/>
  <c r="AR335" i="8"/>
  <c r="AR337" i="8"/>
  <c r="AR339" i="8"/>
  <c r="AR341" i="8"/>
  <c r="AR343" i="8"/>
  <c r="AR345" i="8"/>
  <c r="AR347" i="8"/>
  <c r="AR355" i="8"/>
  <c r="AR359" i="8"/>
  <c r="AR361" i="8"/>
  <c r="AR363" i="8"/>
  <c r="AR369" i="8"/>
  <c r="AR371" i="8"/>
  <c r="AR373" i="8"/>
  <c r="AR375" i="8"/>
  <c r="AR383" i="8"/>
  <c r="AR385" i="8"/>
  <c r="AR386" i="8"/>
  <c r="AR387" i="8"/>
  <c r="AR389" i="8"/>
  <c r="AR391" i="8"/>
  <c r="AR395" i="8"/>
  <c r="AR397" i="8"/>
  <c r="AR398" i="8"/>
  <c r="AR399" i="8"/>
  <c r="AR403" i="8"/>
  <c r="AR409" i="8"/>
  <c r="AR411" i="8"/>
  <c r="AR413" i="8"/>
  <c r="AR415" i="8"/>
  <c r="AR417" i="8"/>
  <c r="AR421" i="8"/>
  <c r="AR423" i="8"/>
  <c r="AR427" i="8"/>
  <c r="AR429" i="8"/>
  <c r="AR431" i="8"/>
  <c r="AR433" i="8"/>
  <c r="AR435" i="8"/>
  <c r="AR437" i="8"/>
  <c r="AR439" i="8"/>
  <c r="AR441" i="8"/>
  <c r="AR443" i="8"/>
  <c r="AR445" i="8"/>
  <c r="AR451" i="8"/>
  <c r="AR455" i="8"/>
  <c r="AR457" i="8"/>
  <c r="AR465" i="8"/>
  <c r="AR467" i="8"/>
  <c r="AR469" i="8"/>
  <c r="AR471" i="8"/>
  <c r="AR479" i="8"/>
  <c r="AR481" i="8"/>
  <c r="AR483" i="8"/>
  <c r="AR485" i="8"/>
  <c r="AR491" i="8"/>
  <c r="AR493" i="8"/>
  <c r="AR495" i="8"/>
  <c r="AR499" i="8"/>
  <c r="AR501" i="8"/>
  <c r="AR505" i="8"/>
  <c r="AR507" i="8"/>
  <c r="AR509" i="8"/>
  <c r="AR511" i="8"/>
  <c r="AR513" i="8"/>
  <c r="AR517" i="8"/>
  <c r="AR519" i="8"/>
  <c r="AR523" i="8"/>
  <c r="AR524" i="8"/>
  <c r="AR525" i="8"/>
  <c r="AR527" i="8"/>
  <c r="AR529" i="8"/>
  <c r="AR531" i="8"/>
  <c r="AR533" i="8"/>
  <c r="AR535" i="8"/>
  <c r="AR537" i="8"/>
  <c r="AR539" i="8"/>
  <c r="AR547" i="8"/>
  <c r="AR551" i="8"/>
  <c r="AR553" i="8"/>
  <c r="AR555" i="8"/>
  <c r="AR561" i="8"/>
  <c r="AR562" i="8"/>
  <c r="AR563" i="8"/>
  <c r="AR565" i="8"/>
  <c r="AR567" i="8"/>
  <c r="AR575" i="8"/>
  <c r="AR577" i="8"/>
  <c r="AR579" i="8"/>
  <c r="AR581" i="8"/>
  <c r="AR583" i="8"/>
  <c r="AR587" i="8"/>
  <c r="AR589" i="8"/>
  <c r="AR591" i="8"/>
  <c r="AR595" i="8"/>
  <c r="AR601" i="8"/>
  <c r="AR603" i="8"/>
  <c r="AR605" i="8"/>
  <c r="AR607" i="8"/>
  <c r="AR609" i="8"/>
  <c r="AR613" i="8"/>
  <c r="AR615" i="8"/>
  <c r="AR619" i="8"/>
  <c r="AR623" i="8"/>
  <c r="AR625" i="8"/>
  <c r="AR627" i="8"/>
  <c r="AR629" i="8"/>
  <c r="AR631" i="8"/>
  <c r="AR633" i="8"/>
  <c r="AR635" i="8"/>
  <c r="AR637" i="8"/>
  <c r="AR643" i="8"/>
  <c r="AR645" i="8"/>
  <c r="AR647" i="8"/>
  <c r="AR649" i="8"/>
  <c r="AR657" i="8"/>
  <c r="AR659" i="8"/>
  <c r="AR661" i="8"/>
  <c r="AR663" i="8"/>
  <c r="AR667" i="8"/>
  <c r="AR671" i="8"/>
  <c r="AR673" i="8"/>
  <c r="AR675" i="8"/>
  <c r="AR683" i="8"/>
  <c r="AR685" i="8"/>
  <c r="AR687" i="8"/>
  <c r="AR689" i="8"/>
  <c r="AR695" i="8"/>
  <c r="AR697" i="8"/>
  <c r="AR699" i="8"/>
  <c r="AR701" i="8"/>
  <c r="AR706" i="8"/>
  <c r="AR707" i="8"/>
  <c r="AR709" i="8"/>
  <c r="AR711" i="8"/>
  <c r="AR713" i="8"/>
  <c r="AR719" i="8"/>
  <c r="AR721" i="8"/>
  <c r="AR723" i="8"/>
  <c r="AR725" i="8"/>
  <c r="AR731" i="8"/>
  <c r="AR733" i="8"/>
  <c r="AR735" i="8"/>
  <c r="AR737" i="8"/>
  <c r="AR739" i="8"/>
  <c r="AR743" i="8"/>
  <c r="AR744" i="8"/>
  <c r="AR745" i="8"/>
  <c r="AR747" i="8"/>
  <c r="AR749" i="8"/>
  <c r="AR751" i="8"/>
  <c r="AR755" i="8"/>
  <c r="AR757" i="8"/>
  <c r="AR759" i="8"/>
  <c r="AR761" i="8"/>
  <c r="AR763" i="8"/>
  <c r="AR767" i="8"/>
  <c r="AR769" i="8"/>
  <c r="AR771" i="8"/>
  <c r="AR773" i="8"/>
  <c r="AR775" i="8"/>
  <c r="AR781" i="8"/>
  <c r="AR783" i="8"/>
  <c r="AR787" i="8"/>
  <c r="AR789" i="8"/>
  <c r="AR793" i="8"/>
  <c r="AR795" i="8"/>
  <c r="AR797" i="8"/>
  <c r="AR799" i="8"/>
  <c r="AR801" i="8"/>
  <c r="AR805" i="8"/>
  <c r="AR806" i="8"/>
  <c r="AR807" i="8"/>
  <c r="AR808" i="8"/>
  <c r="AR809" i="8"/>
  <c r="AR811" i="8"/>
  <c r="AR819" i="8"/>
  <c r="AR821" i="8"/>
  <c r="AR823" i="8"/>
  <c r="AR825" i="8"/>
  <c r="AR833" i="8"/>
  <c r="AR835" i="8"/>
  <c r="AR837" i="8"/>
  <c r="AR839" i="8"/>
  <c r="AR843" i="8"/>
  <c r="AR845" i="8"/>
  <c r="AR847" i="8"/>
  <c r="AR851" i="8"/>
  <c r="AR855" i="8"/>
  <c r="AR857" i="8"/>
  <c r="AR859" i="8"/>
  <c r="AR861" i="8"/>
  <c r="AR863" i="8"/>
  <c r="AR867" i="8"/>
  <c r="AR869" i="8"/>
  <c r="AR871" i="8"/>
  <c r="AR873" i="8"/>
  <c r="AR875" i="8"/>
  <c r="AR881" i="8"/>
  <c r="AR883" i="8"/>
  <c r="AR885" i="8"/>
  <c r="AR887" i="8"/>
  <c r="AR889" i="8"/>
  <c r="AR893" i="8"/>
  <c r="AR895" i="8"/>
  <c r="AR897" i="8"/>
  <c r="AR899" i="8"/>
  <c r="AR901" i="8"/>
  <c r="AR905" i="8"/>
  <c r="AR907" i="8"/>
  <c r="AR911" i="8"/>
  <c r="AR913" i="8"/>
  <c r="AR921" i="8"/>
  <c r="AR923" i="8"/>
  <c r="AR925" i="8"/>
  <c r="AR931" i="8"/>
  <c r="AR935" i="8"/>
  <c r="AR937" i="8"/>
  <c r="AR939" i="8"/>
  <c r="AR947" i="8"/>
  <c r="AR949" i="8"/>
  <c r="AR951" i="8"/>
  <c r="AR955" i="8"/>
  <c r="AR959" i="8"/>
  <c r="AR963" i="8"/>
  <c r="AR969" i="8"/>
  <c r="AR971" i="8"/>
  <c r="AR973" i="8"/>
  <c r="AR975" i="8"/>
  <c r="AR979" i="8"/>
  <c r="AR983" i="8"/>
  <c r="AR985" i="8"/>
  <c r="AR987" i="8"/>
  <c r="AR993" i="8"/>
  <c r="AR995" i="8"/>
  <c r="AR997" i="8"/>
  <c r="AR999" i="8"/>
  <c r="AR1003" i="8"/>
  <c r="AR1007" i="8"/>
  <c r="AR1009" i="8"/>
  <c r="AR1011" i="8"/>
  <c r="AR1017" i="8"/>
  <c r="AR1019" i="8"/>
  <c r="AR1021" i="8"/>
  <c r="AR1023" i="8"/>
  <c r="AR1027" i="8"/>
  <c r="AR1031" i="8"/>
  <c r="AR1033" i="8"/>
  <c r="AR1035" i="8"/>
  <c r="AR1041" i="8"/>
  <c r="AR1043" i="8"/>
  <c r="AR1045" i="8"/>
  <c r="AR1047" i="8"/>
  <c r="AR1051" i="8"/>
  <c r="AR1055" i="8"/>
  <c r="AR1059" i="8"/>
  <c r="AR1065" i="8"/>
  <c r="AR1067" i="8"/>
  <c r="AR1069" i="8"/>
  <c r="AR1071" i="8"/>
  <c r="AR1075" i="8"/>
  <c r="AR1079" i="8"/>
  <c r="AR1081" i="8"/>
  <c r="AR1083" i="8"/>
  <c r="AR1089" i="8"/>
  <c r="AR1091" i="8"/>
  <c r="AR1093" i="8"/>
  <c r="AR1095" i="8"/>
  <c r="AR1099" i="8"/>
  <c r="AR1103" i="8"/>
  <c r="AR1107" i="8"/>
  <c r="AR1113" i="8"/>
  <c r="AR1115" i="8"/>
  <c r="AR1117" i="8"/>
  <c r="AR1119" i="8"/>
  <c r="AR1123" i="8"/>
  <c r="AU15" i="8"/>
  <c r="AU16" i="8"/>
  <c r="AU17" i="8"/>
  <c r="AU18" i="8"/>
  <c r="AU19" i="8"/>
  <c r="AU20"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8" i="8"/>
  <c r="AU99" i="8"/>
  <c r="AU100" i="8"/>
  <c r="AU101" i="8"/>
  <c r="AU102" i="8"/>
  <c r="AU103" i="8"/>
  <c r="AU104" i="8"/>
  <c r="AU105" i="8"/>
  <c r="AU106" i="8"/>
  <c r="AU107" i="8"/>
  <c r="AU108" i="8"/>
  <c r="AU109" i="8"/>
  <c r="AU110" i="8"/>
  <c r="AU111" i="8"/>
  <c r="AU112" i="8"/>
  <c r="AU113" i="8"/>
  <c r="AU114" i="8"/>
  <c r="AU115" i="8"/>
  <c r="AU116" i="8"/>
  <c r="AU117" i="8"/>
  <c r="AU118" i="8"/>
  <c r="AU119" i="8"/>
  <c r="AU120" i="8"/>
  <c r="AU121" i="8"/>
  <c r="AU122" i="8"/>
  <c r="AU123" i="8"/>
  <c r="AU124" i="8"/>
  <c r="AU125" i="8"/>
  <c r="AU126" i="8"/>
  <c r="AU127" i="8"/>
  <c r="AU128" i="8"/>
  <c r="AU129" i="8"/>
  <c r="AU130" i="8"/>
  <c r="AU131" i="8"/>
  <c r="AU132" i="8"/>
  <c r="AU133" i="8"/>
  <c r="AU134" i="8"/>
  <c r="AU135" i="8"/>
  <c r="AU136" i="8"/>
  <c r="AU137" i="8"/>
  <c r="AU138" i="8"/>
  <c r="AU139" i="8"/>
  <c r="AU140" i="8"/>
  <c r="AU141" i="8"/>
  <c r="AU142" i="8"/>
  <c r="AU143" i="8"/>
  <c r="AU144" i="8"/>
  <c r="AU145" i="8"/>
  <c r="AU146" i="8"/>
  <c r="AU147" i="8"/>
  <c r="AU148" i="8"/>
  <c r="AU149" i="8"/>
  <c r="AU150" i="8"/>
  <c r="AU151" i="8"/>
  <c r="AU152" i="8"/>
  <c r="AU153" i="8"/>
  <c r="AU154" i="8"/>
  <c r="AU155" i="8"/>
  <c r="AU156" i="8"/>
  <c r="AU157" i="8"/>
  <c r="AU158" i="8"/>
  <c r="AU159" i="8"/>
  <c r="AU160" i="8"/>
  <c r="AU161" i="8"/>
  <c r="AU162" i="8"/>
  <c r="AU163" i="8"/>
  <c r="AU164" i="8"/>
  <c r="AU165" i="8"/>
  <c r="AU166" i="8"/>
  <c r="AU167" i="8"/>
  <c r="AU168" i="8"/>
  <c r="AU169" i="8"/>
  <c r="AU170" i="8"/>
  <c r="AU171" i="8"/>
  <c r="AU172" i="8"/>
  <c r="AU173" i="8"/>
  <c r="AU174" i="8"/>
  <c r="AU175" i="8"/>
  <c r="AU176" i="8"/>
  <c r="AU177" i="8"/>
  <c r="AU178" i="8"/>
  <c r="AU179" i="8"/>
  <c r="AU180" i="8"/>
  <c r="AU181" i="8"/>
  <c r="AU182" i="8"/>
  <c r="AU183" i="8"/>
  <c r="AU184" i="8"/>
  <c r="AU185" i="8"/>
  <c r="AU186" i="8"/>
  <c r="AU187" i="8"/>
  <c r="AU188" i="8"/>
  <c r="AU189" i="8"/>
  <c r="AU190" i="8"/>
  <c r="AU191" i="8"/>
  <c r="AU192" i="8"/>
  <c r="AU193" i="8"/>
  <c r="AU194" i="8"/>
  <c r="AU195" i="8"/>
  <c r="AU196" i="8"/>
  <c r="AU197" i="8"/>
  <c r="AU198" i="8"/>
  <c r="AU199" i="8"/>
  <c r="AU200" i="8"/>
  <c r="AU201" i="8"/>
  <c r="AU202" i="8"/>
  <c r="AU203" i="8"/>
  <c r="AU204" i="8"/>
  <c r="AU205" i="8"/>
  <c r="AU206" i="8"/>
  <c r="AU207" i="8"/>
  <c r="AU208" i="8"/>
  <c r="AU209" i="8"/>
  <c r="AU210" i="8"/>
  <c r="AU211" i="8"/>
  <c r="AU212" i="8"/>
  <c r="AU213" i="8"/>
  <c r="AU214" i="8"/>
  <c r="AU215" i="8"/>
  <c r="AU216" i="8"/>
  <c r="AU217" i="8"/>
  <c r="AU218" i="8"/>
  <c r="AU219" i="8"/>
  <c r="AU220" i="8"/>
  <c r="AU221" i="8"/>
  <c r="AU222" i="8"/>
  <c r="AU223" i="8"/>
  <c r="AU224" i="8"/>
  <c r="AU225" i="8"/>
  <c r="AU226" i="8"/>
  <c r="AU227" i="8"/>
  <c r="AU228" i="8"/>
  <c r="AU229" i="8"/>
  <c r="AU230" i="8"/>
  <c r="AU231" i="8"/>
  <c r="AU232" i="8"/>
  <c r="AU233" i="8"/>
  <c r="AU234" i="8"/>
  <c r="AU235" i="8"/>
  <c r="AU236" i="8"/>
  <c r="AU237" i="8"/>
  <c r="AU238" i="8"/>
  <c r="AU239" i="8"/>
  <c r="AU240" i="8"/>
  <c r="AU241" i="8"/>
  <c r="AU242" i="8"/>
  <c r="AU243" i="8"/>
  <c r="AU244" i="8"/>
  <c r="AU245" i="8"/>
  <c r="AU246" i="8"/>
  <c r="AU247" i="8"/>
  <c r="AU248" i="8"/>
  <c r="AU249" i="8"/>
  <c r="AU250" i="8"/>
  <c r="AU251" i="8"/>
  <c r="AU252" i="8"/>
  <c r="AU253" i="8"/>
  <c r="AU254" i="8"/>
  <c r="AU255" i="8"/>
  <c r="AU256" i="8"/>
  <c r="AU257" i="8"/>
  <c r="AU258" i="8"/>
  <c r="AU259" i="8"/>
  <c r="AU260" i="8"/>
  <c r="AU261" i="8"/>
  <c r="AU262" i="8"/>
  <c r="AU263" i="8"/>
  <c r="AU264" i="8"/>
  <c r="AU265" i="8"/>
  <c r="AU266" i="8"/>
  <c r="AU267" i="8"/>
  <c r="AU268" i="8"/>
  <c r="AU269" i="8"/>
  <c r="AU270" i="8"/>
  <c r="AU271" i="8"/>
  <c r="AU272" i="8"/>
  <c r="AU273" i="8"/>
  <c r="AU274" i="8"/>
  <c r="AU275" i="8"/>
  <c r="AU276" i="8"/>
  <c r="AU277" i="8"/>
  <c r="AU278" i="8"/>
  <c r="AU279" i="8"/>
  <c r="AU280" i="8"/>
  <c r="AU281" i="8"/>
  <c r="AU282" i="8"/>
  <c r="AU283" i="8"/>
  <c r="AU284" i="8"/>
  <c r="AU285" i="8"/>
  <c r="AU286" i="8"/>
  <c r="AU287" i="8"/>
  <c r="AU288" i="8"/>
  <c r="AU289" i="8"/>
  <c r="AU290" i="8"/>
  <c r="AU291" i="8"/>
  <c r="AU292" i="8"/>
  <c r="AU293" i="8"/>
  <c r="AU294" i="8"/>
  <c r="AU295" i="8"/>
  <c r="AU296" i="8"/>
  <c r="AU297" i="8"/>
  <c r="AU298" i="8"/>
  <c r="AU299" i="8"/>
  <c r="AU300" i="8"/>
  <c r="AU301" i="8"/>
  <c r="AU302" i="8"/>
  <c r="AU303" i="8"/>
  <c r="AU304" i="8"/>
  <c r="AU305" i="8"/>
  <c r="AU306" i="8"/>
  <c r="AU307" i="8"/>
  <c r="AU308" i="8"/>
  <c r="AU309" i="8"/>
  <c r="AU310" i="8"/>
  <c r="AU311" i="8"/>
  <c r="AU312" i="8"/>
  <c r="AU313" i="8"/>
  <c r="AU314" i="8"/>
  <c r="AU315" i="8"/>
  <c r="AU316" i="8"/>
  <c r="AU317" i="8"/>
  <c r="AU318" i="8"/>
  <c r="AU319" i="8"/>
  <c r="AU320" i="8"/>
  <c r="AU321" i="8"/>
  <c r="AU322" i="8"/>
  <c r="AU323" i="8"/>
  <c r="AU324" i="8"/>
  <c r="AU325" i="8"/>
  <c r="AU326" i="8"/>
  <c r="AU327" i="8"/>
  <c r="AU328" i="8"/>
  <c r="AU329" i="8"/>
  <c r="AU330" i="8"/>
  <c r="AU331" i="8"/>
  <c r="AU332" i="8"/>
  <c r="AU333" i="8"/>
  <c r="AU334" i="8"/>
  <c r="AU335" i="8"/>
  <c r="AU336" i="8"/>
  <c r="AU337" i="8"/>
  <c r="AU338" i="8"/>
  <c r="AU339" i="8"/>
  <c r="AU340" i="8"/>
  <c r="AU341" i="8"/>
  <c r="AU342" i="8"/>
  <c r="AU343" i="8"/>
  <c r="AU344" i="8"/>
  <c r="AU345" i="8"/>
  <c r="AU346" i="8"/>
  <c r="AU347" i="8"/>
  <c r="AU348" i="8"/>
  <c r="AU349" i="8"/>
  <c r="AU350" i="8"/>
  <c r="AU351" i="8"/>
  <c r="AU352" i="8"/>
  <c r="AU353" i="8"/>
  <c r="AU354" i="8"/>
  <c r="AU355" i="8"/>
  <c r="AU356" i="8"/>
  <c r="AU357" i="8"/>
  <c r="AU358" i="8"/>
  <c r="AU359" i="8"/>
  <c r="AU360" i="8"/>
  <c r="AU361" i="8"/>
  <c r="AU362" i="8"/>
  <c r="AU363" i="8"/>
  <c r="AU364" i="8"/>
  <c r="AU365" i="8"/>
  <c r="AU366" i="8"/>
  <c r="AU367" i="8"/>
  <c r="AU368" i="8"/>
  <c r="AU369" i="8"/>
  <c r="AU370" i="8"/>
  <c r="AU371" i="8"/>
  <c r="AU372" i="8"/>
  <c r="AU373" i="8"/>
  <c r="AU374" i="8"/>
  <c r="AU375" i="8"/>
  <c r="AU376" i="8"/>
  <c r="AU377" i="8"/>
  <c r="AU378" i="8"/>
  <c r="AU379" i="8"/>
  <c r="AU380" i="8"/>
  <c r="AU381" i="8"/>
  <c r="AU382" i="8"/>
  <c r="AU383" i="8"/>
  <c r="AU384" i="8"/>
  <c r="AU385" i="8"/>
  <c r="AU386" i="8"/>
  <c r="AU387" i="8"/>
  <c r="AU388" i="8"/>
  <c r="AU389" i="8"/>
  <c r="AU390" i="8"/>
  <c r="AU391" i="8"/>
  <c r="AU392" i="8"/>
  <c r="AU393" i="8"/>
  <c r="AU394" i="8"/>
  <c r="AU395" i="8"/>
  <c r="AU396" i="8"/>
  <c r="AU397" i="8"/>
  <c r="AU398" i="8"/>
  <c r="AU399" i="8"/>
  <c r="AU400" i="8"/>
  <c r="AU401" i="8"/>
  <c r="AU402" i="8"/>
  <c r="AU403" i="8"/>
  <c r="AU404" i="8"/>
  <c r="AU405" i="8"/>
  <c r="AU406" i="8"/>
  <c r="AU407" i="8"/>
  <c r="AU408" i="8"/>
  <c r="AU409" i="8"/>
  <c r="AU410" i="8"/>
  <c r="AU411" i="8"/>
  <c r="AU412" i="8"/>
  <c r="AU413" i="8"/>
  <c r="AU414" i="8"/>
  <c r="AU415" i="8"/>
  <c r="AU416" i="8"/>
  <c r="AU417" i="8"/>
  <c r="AU418" i="8"/>
  <c r="AU419" i="8"/>
  <c r="AU420" i="8"/>
  <c r="AU421" i="8"/>
  <c r="AU422" i="8"/>
  <c r="AU423" i="8"/>
  <c r="AU424" i="8"/>
  <c r="AU425" i="8"/>
  <c r="AU426" i="8"/>
  <c r="AU427" i="8"/>
  <c r="AU428" i="8"/>
  <c r="AU429" i="8"/>
  <c r="AU430" i="8"/>
  <c r="AU431" i="8"/>
  <c r="AU432" i="8"/>
  <c r="AU433" i="8"/>
  <c r="AU434" i="8"/>
  <c r="AU435" i="8"/>
  <c r="AU436" i="8"/>
  <c r="AU437" i="8"/>
  <c r="AU438" i="8"/>
  <c r="AU439" i="8"/>
  <c r="AU440" i="8"/>
  <c r="AU441" i="8"/>
  <c r="AU442" i="8"/>
  <c r="AU443" i="8"/>
  <c r="AU444" i="8"/>
  <c r="AU445" i="8"/>
  <c r="AU446" i="8"/>
  <c r="AU447" i="8"/>
  <c r="AU448" i="8"/>
  <c r="AU449" i="8"/>
  <c r="AU450" i="8"/>
  <c r="AU451" i="8"/>
  <c r="AU452" i="8"/>
  <c r="AU453" i="8"/>
  <c r="AU454" i="8"/>
  <c r="AU455" i="8"/>
  <c r="AU456" i="8"/>
  <c r="AU457" i="8"/>
  <c r="AU458" i="8"/>
  <c r="AU459" i="8"/>
  <c r="AU460" i="8"/>
  <c r="AU461" i="8"/>
  <c r="AU462" i="8"/>
  <c r="AU463" i="8"/>
  <c r="AU464" i="8"/>
  <c r="AU465" i="8"/>
  <c r="AU466" i="8"/>
  <c r="AU467" i="8"/>
  <c r="AU468" i="8"/>
  <c r="AU469" i="8"/>
  <c r="AU470" i="8"/>
  <c r="AU471" i="8"/>
  <c r="AU472" i="8"/>
  <c r="AU473" i="8"/>
  <c r="AU474" i="8"/>
  <c r="AU475" i="8"/>
  <c r="AU476" i="8"/>
  <c r="AU477" i="8"/>
  <c r="AU478" i="8"/>
  <c r="AU479" i="8"/>
  <c r="AU480" i="8"/>
  <c r="AU481" i="8"/>
  <c r="AU482" i="8"/>
  <c r="AU483" i="8"/>
  <c r="AU484" i="8"/>
  <c r="AU485" i="8"/>
  <c r="AU486" i="8"/>
  <c r="AU487" i="8"/>
  <c r="AU488" i="8"/>
  <c r="AU489" i="8"/>
  <c r="AU490" i="8"/>
  <c r="AU491" i="8"/>
  <c r="AU492" i="8"/>
  <c r="AU493" i="8"/>
  <c r="AU494" i="8"/>
  <c r="AU495" i="8"/>
  <c r="AU496" i="8"/>
  <c r="AU497" i="8"/>
  <c r="AU498" i="8"/>
  <c r="AU499" i="8"/>
  <c r="AU500" i="8"/>
  <c r="AU501" i="8"/>
  <c r="AU502" i="8"/>
  <c r="AU503" i="8"/>
  <c r="AU504" i="8"/>
  <c r="AU505" i="8"/>
  <c r="AU506" i="8"/>
  <c r="AU507" i="8"/>
  <c r="AU508" i="8"/>
  <c r="AU509" i="8"/>
  <c r="AU510" i="8"/>
  <c r="AU511" i="8"/>
  <c r="AU512" i="8"/>
  <c r="AU513" i="8"/>
  <c r="AU514" i="8"/>
  <c r="AU515" i="8"/>
  <c r="AU516" i="8"/>
  <c r="AU517" i="8"/>
  <c r="AU518" i="8"/>
  <c r="AU519" i="8"/>
  <c r="AU520" i="8"/>
  <c r="AU521" i="8"/>
  <c r="AU522" i="8"/>
  <c r="AU523" i="8"/>
  <c r="AU524" i="8"/>
  <c r="AU525" i="8"/>
  <c r="AU526" i="8"/>
  <c r="AU527" i="8"/>
  <c r="AU528" i="8"/>
  <c r="AU529" i="8"/>
  <c r="AU530" i="8"/>
  <c r="AU531" i="8"/>
  <c r="AU532" i="8"/>
  <c r="AU533" i="8"/>
  <c r="AU534" i="8"/>
  <c r="AU535" i="8"/>
  <c r="AU536" i="8"/>
  <c r="AU537" i="8"/>
  <c r="AU538" i="8"/>
  <c r="AU539" i="8"/>
  <c r="AU540" i="8"/>
  <c r="AU541" i="8"/>
  <c r="AU542" i="8"/>
  <c r="AU543" i="8"/>
  <c r="AU544" i="8"/>
  <c r="AU545" i="8"/>
  <c r="AU546" i="8"/>
  <c r="AU547" i="8"/>
  <c r="AU548" i="8"/>
  <c r="AU549" i="8"/>
  <c r="AU550" i="8"/>
  <c r="AU551" i="8"/>
  <c r="AU552" i="8"/>
  <c r="AU553" i="8"/>
  <c r="AU554" i="8"/>
  <c r="AU555" i="8"/>
  <c r="AU556" i="8"/>
  <c r="AU557" i="8"/>
  <c r="AU558" i="8"/>
  <c r="AU559" i="8"/>
  <c r="AU560" i="8"/>
  <c r="AU561" i="8"/>
  <c r="AU562" i="8"/>
  <c r="AU563" i="8"/>
  <c r="AU564" i="8"/>
  <c r="AU565" i="8"/>
  <c r="AU566" i="8"/>
  <c r="AU567" i="8"/>
  <c r="AU568" i="8"/>
  <c r="AU569" i="8"/>
  <c r="AU570" i="8"/>
  <c r="AU571" i="8"/>
  <c r="AU572" i="8"/>
  <c r="AU573" i="8"/>
  <c r="AU574" i="8"/>
  <c r="AU575" i="8"/>
  <c r="AU576" i="8"/>
  <c r="AU577" i="8"/>
  <c r="AU578" i="8"/>
  <c r="AU579" i="8"/>
  <c r="AU580" i="8"/>
  <c r="AU581" i="8"/>
  <c r="AU582" i="8"/>
  <c r="AU583" i="8"/>
  <c r="AU584" i="8"/>
  <c r="AU585" i="8"/>
  <c r="AU586" i="8"/>
  <c r="AU587" i="8"/>
  <c r="AU588" i="8"/>
  <c r="AU589" i="8"/>
  <c r="AU590" i="8"/>
  <c r="AU591" i="8"/>
  <c r="AU592" i="8"/>
  <c r="AU593" i="8"/>
  <c r="AU594" i="8"/>
  <c r="AU595" i="8"/>
  <c r="AU596" i="8"/>
  <c r="AU597" i="8"/>
  <c r="AU598" i="8"/>
  <c r="AU599" i="8"/>
  <c r="AU600" i="8"/>
  <c r="AU601" i="8"/>
  <c r="AU602" i="8"/>
  <c r="AU603" i="8"/>
  <c r="AU604" i="8"/>
  <c r="AU605" i="8"/>
  <c r="AU606" i="8"/>
  <c r="AU607" i="8"/>
  <c r="AU608" i="8"/>
  <c r="AU609" i="8"/>
  <c r="AU610" i="8"/>
  <c r="AU611" i="8"/>
  <c r="AU612" i="8"/>
  <c r="AU613" i="8"/>
  <c r="AU614" i="8"/>
  <c r="AU615" i="8"/>
  <c r="AU616" i="8"/>
  <c r="AU617" i="8"/>
  <c r="AU618" i="8"/>
  <c r="AU619" i="8"/>
  <c r="AU620" i="8"/>
  <c r="AU621" i="8"/>
  <c r="AU622" i="8"/>
  <c r="AU623" i="8"/>
  <c r="AU624" i="8"/>
  <c r="AU625" i="8"/>
  <c r="AU626" i="8"/>
  <c r="AU627" i="8"/>
  <c r="AU628" i="8"/>
  <c r="AU629" i="8"/>
  <c r="AU630" i="8"/>
  <c r="AU631" i="8"/>
  <c r="AU632" i="8"/>
  <c r="AU633" i="8"/>
  <c r="AU634" i="8"/>
  <c r="AU635" i="8"/>
  <c r="AU636" i="8"/>
  <c r="AU637" i="8"/>
  <c r="AU638" i="8"/>
  <c r="AU639" i="8"/>
  <c r="AU640" i="8"/>
  <c r="AU641" i="8"/>
  <c r="AU642" i="8"/>
  <c r="AU643" i="8"/>
  <c r="AU644" i="8"/>
  <c r="AU645" i="8"/>
  <c r="AU646" i="8"/>
  <c r="AU647" i="8"/>
  <c r="AU648" i="8"/>
  <c r="AU649" i="8"/>
  <c r="AU650" i="8"/>
  <c r="AU651" i="8"/>
  <c r="AU652" i="8"/>
  <c r="AU653" i="8"/>
  <c r="AU654" i="8"/>
  <c r="AU655" i="8"/>
  <c r="AU656" i="8"/>
  <c r="AU657" i="8"/>
  <c r="AU658" i="8"/>
  <c r="AU659" i="8"/>
  <c r="AU660" i="8"/>
  <c r="AU661" i="8"/>
  <c r="AU662" i="8"/>
  <c r="AU663" i="8"/>
  <c r="AU664" i="8"/>
  <c r="AU665" i="8"/>
  <c r="AU666" i="8"/>
  <c r="AU667" i="8"/>
  <c r="AU668" i="8"/>
  <c r="AU669" i="8"/>
  <c r="AU670" i="8"/>
  <c r="AU671" i="8"/>
  <c r="AU672" i="8"/>
  <c r="AU673" i="8"/>
  <c r="AU674" i="8"/>
  <c r="AU675" i="8"/>
  <c r="AU676" i="8"/>
  <c r="AU677" i="8"/>
  <c r="AU678" i="8"/>
  <c r="AU679" i="8"/>
  <c r="AU680" i="8"/>
  <c r="AU681" i="8"/>
  <c r="AU682" i="8"/>
  <c r="AU683" i="8"/>
  <c r="AU684" i="8"/>
  <c r="AU685" i="8"/>
  <c r="AU686" i="8"/>
  <c r="AU687" i="8"/>
  <c r="AU688" i="8"/>
  <c r="AU689" i="8"/>
  <c r="AU690" i="8"/>
  <c r="AU691" i="8"/>
  <c r="AU692" i="8"/>
  <c r="AU693" i="8"/>
  <c r="AU694" i="8"/>
  <c r="AU695" i="8"/>
  <c r="AU696" i="8"/>
  <c r="AU697" i="8"/>
  <c r="AU698" i="8"/>
  <c r="AU699" i="8"/>
  <c r="AU700" i="8"/>
  <c r="AU701" i="8"/>
  <c r="AU702" i="8"/>
  <c r="AU703" i="8"/>
  <c r="AU704" i="8"/>
  <c r="AU705" i="8"/>
  <c r="AU706" i="8"/>
  <c r="AU707" i="8"/>
  <c r="AU708" i="8"/>
  <c r="AU709" i="8"/>
  <c r="AU710" i="8"/>
  <c r="AU711" i="8"/>
  <c r="AU712" i="8"/>
  <c r="AU713" i="8"/>
  <c r="AU714" i="8"/>
  <c r="AU715" i="8"/>
  <c r="AU716" i="8"/>
  <c r="AU717" i="8"/>
  <c r="AU718" i="8"/>
  <c r="AU719" i="8"/>
  <c r="AU720" i="8"/>
  <c r="AU721" i="8"/>
  <c r="AU722" i="8"/>
  <c r="AU723" i="8"/>
  <c r="AU724" i="8"/>
  <c r="AU725" i="8"/>
  <c r="AU726" i="8"/>
  <c r="AU727" i="8"/>
  <c r="AU728" i="8"/>
  <c r="AU729" i="8"/>
  <c r="AU730" i="8"/>
  <c r="AU731" i="8"/>
  <c r="AU732" i="8"/>
  <c r="AU733" i="8"/>
  <c r="AU734" i="8"/>
  <c r="AU735" i="8"/>
  <c r="AU736" i="8"/>
  <c r="AU737" i="8"/>
  <c r="AU738" i="8"/>
  <c r="AU739" i="8"/>
  <c r="AU740" i="8"/>
  <c r="AU741" i="8"/>
  <c r="AU742" i="8"/>
  <c r="AU743" i="8"/>
  <c r="AU744" i="8"/>
  <c r="AU745" i="8"/>
  <c r="AU746" i="8"/>
  <c r="AU747" i="8"/>
  <c r="AU748" i="8"/>
  <c r="AU749" i="8"/>
  <c r="AU750" i="8"/>
  <c r="AU751" i="8"/>
  <c r="AU752" i="8"/>
  <c r="AU753" i="8"/>
  <c r="AU754" i="8"/>
  <c r="AU755" i="8"/>
  <c r="AU756" i="8"/>
  <c r="AU757" i="8"/>
  <c r="AU758" i="8"/>
  <c r="AU759" i="8"/>
  <c r="AU760" i="8"/>
  <c r="AU761" i="8"/>
  <c r="AU762" i="8"/>
  <c r="AU763" i="8"/>
  <c r="AU764" i="8"/>
  <c r="AU765" i="8"/>
  <c r="AU766" i="8"/>
  <c r="AU767" i="8"/>
  <c r="AU768" i="8"/>
  <c r="AU769" i="8"/>
  <c r="AU770" i="8"/>
  <c r="AU771" i="8"/>
  <c r="AU772" i="8"/>
  <c r="AU773" i="8"/>
  <c r="AU774" i="8"/>
  <c r="AU775" i="8"/>
  <c r="AU776" i="8"/>
  <c r="AU777" i="8"/>
  <c r="AU778" i="8"/>
  <c r="AU779" i="8"/>
  <c r="AU780" i="8"/>
  <c r="AU781" i="8"/>
  <c r="AU782" i="8"/>
  <c r="AU783" i="8"/>
  <c r="AU784" i="8"/>
  <c r="AU785" i="8"/>
  <c r="AU786" i="8"/>
  <c r="AU787" i="8"/>
  <c r="AU788" i="8"/>
  <c r="AU789" i="8"/>
  <c r="AU790" i="8"/>
  <c r="AU791" i="8"/>
  <c r="AU792" i="8"/>
  <c r="AU793" i="8"/>
  <c r="AU794" i="8"/>
  <c r="AU795" i="8"/>
  <c r="AU796" i="8"/>
  <c r="AU797" i="8"/>
  <c r="AU798" i="8"/>
  <c r="AU799" i="8"/>
  <c r="AU800" i="8"/>
  <c r="AU801" i="8"/>
  <c r="AU802" i="8"/>
  <c r="AU803" i="8"/>
  <c r="AU804" i="8"/>
  <c r="AU805" i="8"/>
  <c r="AU806" i="8"/>
  <c r="AU807" i="8"/>
  <c r="AU808" i="8"/>
  <c r="AU809" i="8"/>
  <c r="AU810" i="8"/>
  <c r="AU811" i="8"/>
  <c r="AU812" i="8"/>
  <c r="AU813" i="8"/>
  <c r="AU814" i="8"/>
  <c r="AU815" i="8"/>
  <c r="AU816" i="8"/>
  <c r="AU817" i="8"/>
  <c r="AU818" i="8"/>
  <c r="AU819" i="8"/>
  <c r="AU820" i="8"/>
  <c r="AU821" i="8"/>
  <c r="AU822" i="8"/>
  <c r="AU823" i="8"/>
  <c r="AU824" i="8"/>
  <c r="AU825" i="8"/>
  <c r="AU826" i="8"/>
  <c r="AU827" i="8"/>
  <c r="AU828" i="8"/>
  <c r="AU829" i="8"/>
  <c r="AU830" i="8"/>
  <c r="AU831" i="8"/>
  <c r="AU832" i="8"/>
  <c r="AU833" i="8"/>
  <c r="AU834" i="8"/>
  <c r="AU835" i="8"/>
  <c r="AU836" i="8"/>
  <c r="AU837" i="8"/>
  <c r="AU838" i="8"/>
  <c r="AU839" i="8"/>
  <c r="AU840" i="8"/>
  <c r="AU841" i="8"/>
  <c r="AU842" i="8"/>
  <c r="AU843" i="8"/>
  <c r="AU844" i="8"/>
  <c r="AU845" i="8"/>
  <c r="AU846" i="8"/>
  <c r="AU847" i="8"/>
  <c r="AU848" i="8"/>
  <c r="AU849" i="8"/>
  <c r="AU850" i="8"/>
  <c r="AU851" i="8"/>
  <c r="AU852" i="8"/>
  <c r="AU853" i="8"/>
  <c r="AU854" i="8"/>
  <c r="AU855" i="8"/>
  <c r="AU856" i="8"/>
  <c r="AU857" i="8"/>
  <c r="AU858" i="8"/>
  <c r="AU859" i="8"/>
  <c r="AU860" i="8"/>
  <c r="AU861" i="8"/>
  <c r="AU862" i="8"/>
  <c r="AU863" i="8"/>
  <c r="AU864" i="8"/>
  <c r="AU865" i="8"/>
  <c r="AU866" i="8"/>
  <c r="AU867" i="8"/>
  <c r="AU868" i="8"/>
  <c r="AU869" i="8"/>
  <c r="AU870" i="8"/>
  <c r="AU871" i="8"/>
  <c r="AU872" i="8"/>
  <c r="AU873" i="8"/>
  <c r="AU874" i="8"/>
  <c r="AU875" i="8"/>
  <c r="AU876" i="8"/>
  <c r="AU877" i="8"/>
  <c r="AU878" i="8"/>
  <c r="AU879" i="8"/>
  <c r="AU880" i="8"/>
  <c r="AU881" i="8"/>
  <c r="AU882" i="8"/>
  <c r="AU883" i="8"/>
  <c r="AU884" i="8"/>
  <c r="AU885" i="8"/>
  <c r="AU886" i="8"/>
  <c r="AU887" i="8"/>
  <c r="AU888" i="8"/>
  <c r="AU889" i="8"/>
  <c r="AU890" i="8"/>
  <c r="AU891" i="8"/>
  <c r="AU892" i="8"/>
  <c r="AU893" i="8"/>
  <c r="AU894" i="8"/>
  <c r="AU895" i="8"/>
  <c r="AU896" i="8"/>
  <c r="AU897" i="8"/>
  <c r="AU898" i="8"/>
  <c r="AU899" i="8"/>
  <c r="AU900" i="8"/>
  <c r="AU901" i="8"/>
  <c r="AU902" i="8"/>
  <c r="AU903" i="8"/>
  <c r="AU904" i="8"/>
  <c r="AU905" i="8"/>
  <c r="AU906" i="8"/>
  <c r="AU907" i="8"/>
  <c r="AU908" i="8"/>
  <c r="AU909" i="8"/>
  <c r="AU910" i="8"/>
  <c r="AU911" i="8"/>
  <c r="AU912" i="8"/>
  <c r="AU913" i="8"/>
  <c r="AU914" i="8"/>
  <c r="AU915" i="8"/>
  <c r="AU916" i="8"/>
  <c r="AU917" i="8"/>
  <c r="AU918" i="8"/>
  <c r="AU919" i="8"/>
  <c r="AU920" i="8"/>
  <c r="AU921" i="8"/>
  <c r="AU922" i="8"/>
  <c r="AU923" i="8"/>
  <c r="AU924" i="8"/>
  <c r="AU925" i="8"/>
  <c r="AU926" i="8"/>
  <c r="AU927" i="8"/>
  <c r="AU928" i="8"/>
  <c r="AU929" i="8"/>
  <c r="AU930" i="8"/>
  <c r="AU931" i="8"/>
  <c r="AU932" i="8"/>
  <c r="AU933" i="8"/>
  <c r="AU934" i="8"/>
  <c r="AU935" i="8"/>
  <c r="AU936" i="8"/>
  <c r="AU937" i="8"/>
  <c r="AU938" i="8"/>
  <c r="AU939" i="8"/>
  <c r="AU940" i="8"/>
  <c r="AU941" i="8"/>
  <c r="AU942" i="8"/>
  <c r="AU943" i="8"/>
  <c r="AU944" i="8"/>
  <c r="AU945" i="8"/>
  <c r="AU946" i="8"/>
  <c r="AU947" i="8"/>
  <c r="AU948" i="8"/>
  <c r="AU949" i="8"/>
  <c r="AU950" i="8"/>
  <c r="AU951" i="8"/>
  <c r="AU952" i="8"/>
  <c r="AU953" i="8"/>
  <c r="AU954" i="8"/>
  <c r="AU955" i="8"/>
  <c r="AU956" i="8"/>
  <c r="AU957" i="8"/>
  <c r="AU958" i="8"/>
  <c r="AU959" i="8"/>
  <c r="AU960" i="8"/>
  <c r="AU961" i="8"/>
  <c r="AU962" i="8"/>
  <c r="AU963" i="8"/>
  <c r="AU964" i="8"/>
  <c r="AU965" i="8"/>
  <c r="AU966" i="8"/>
  <c r="AU967" i="8"/>
  <c r="AU968" i="8"/>
  <c r="AU969" i="8"/>
  <c r="AU970" i="8"/>
  <c r="AU971" i="8"/>
  <c r="AU972" i="8"/>
  <c r="AU973" i="8"/>
  <c r="AU974" i="8"/>
  <c r="AU975" i="8"/>
  <c r="AU976" i="8"/>
  <c r="AU977" i="8"/>
  <c r="AU978" i="8"/>
  <c r="AU979" i="8"/>
  <c r="AU980" i="8"/>
  <c r="AU981" i="8"/>
  <c r="AU982" i="8"/>
  <c r="AU983" i="8"/>
  <c r="AU984" i="8"/>
  <c r="AU985" i="8"/>
  <c r="AU986" i="8"/>
  <c r="AU987" i="8"/>
  <c r="AU988" i="8"/>
  <c r="AU989" i="8"/>
  <c r="AU990" i="8"/>
  <c r="AU991" i="8"/>
  <c r="AU992" i="8"/>
  <c r="AU993" i="8"/>
  <c r="AU994" i="8"/>
  <c r="AU995" i="8"/>
  <c r="AU996" i="8"/>
  <c r="AU997" i="8"/>
  <c r="AU998" i="8"/>
  <c r="AU999" i="8"/>
  <c r="AU1000" i="8"/>
  <c r="AU1001" i="8"/>
  <c r="AU1002" i="8"/>
  <c r="AU1003" i="8"/>
  <c r="AU1004" i="8"/>
  <c r="AU1005" i="8"/>
  <c r="AU1006" i="8"/>
  <c r="AU1007" i="8"/>
  <c r="AU1008" i="8"/>
  <c r="AU1009" i="8"/>
  <c r="AU1010" i="8"/>
  <c r="AU1011" i="8"/>
  <c r="AU1012" i="8"/>
  <c r="AU1013" i="8"/>
  <c r="AU1014" i="8"/>
  <c r="AU1015" i="8"/>
  <c r="AU1016" i="8"/>
  <c r="AU1017" i="8"/>
  <c r="AU1018" i="8"/>
  <c r="AU1019" i="8"/>
  <c r="AU1020" i="8"/>
  <c r="AU1021" i="8"/>
  <c r="AU1022" i="8"/>
  <c r="AU1023" i="8"/>
  <c r="AU1024" i="8"/>
  <c r="AU1025" i="8"/>
  <c r="AU1026" i="8"/>
  <c r="AU1027" i="8"/>
  <c r="AU1028" i="8"/>
  <c r="AU1029" i="8"/>
  <c r="AU1030" i="8"/>
  <c r="AU1031" i="8"/>
  <c r="AU1032" i="8"/>
  <c r="AU1033" i="8"/>
  <c r="AU1034" i="8"/>
  <c r="AU1035" i="8"/>
  <c r="AU1036" i="8"/>
  <c r="AU1037" i="8"/>
  <c r="AU1038" i="8"/>
  <c r="AU1039" i="8"/>
  <c r="AU1040" i="8"/>
  <c r="AU1041" i="8"/>
  <c r="AU1042" i="8"/>
  <c r="AU1043" i="8"/>
  <c r="AU1044" i="8"/>
  <c r="AU1045" i="8"/>
  <c r="AU1046" i="8"/>
  <c r="AU1047" i="8"/>
  <c r="AU1048" i="8"/>
  <c r="AU1049" i="8"/>
  <c r="AU1050" i="8"/>
  <c r="AU1051" i="8"/>
  <c r="AU1052" i="8"/>
  <c r="AU1053" i="8"/>
  <c r="AU1054" i="8"/>
  <c r="AU1055" i="8"/>
  <c r="AU1056" i="8"/>
  <c r="AU1057" i="8"/>
  <c r="AU1058" i="8"/>
  <c r="AU1059" i="8"/>
  <c r="AU1060" i="8"/>
  <c r="AU1061" i="8"/>
  <c r="AU1062" i="8"/>
  <c r="AU1063" i="8"/>
  <c r="AU1064" i="8"/>
  <c r="AU1065" i="8"/>
  <c r="AU1066" i="8"/>
  <c r="AU1067" i="8"/>
  <c r="AU1068" i="8"/>
  <c r="AU1069" i="8"/>
  <c r="AU1070" i="8"/>
  <c r="AU1071" i="8"/>
  <c r="AU1072" i="8"/>
  <c r="AU1073" i="8"/>
  <c r="AU1074" i="8"/>
  <c r="AU1075" i="8"/>
  <c r="AU1076" i="8"/>
  <c r="AU1077" i="8"/>
  <c r="AU1078" i="8"/>
  <c r="AU1079" i="8"/>
  <c r="AU1080" i="8"/>
  <c r="AU1081" i="8"/>
  <c r="AU1082" i="8"/>
  <c r="AU1083" i="8"/>
  <c r="AU1084" i="8"/>
  <c r="AU1085" i="8"/>
  <c r="AU1086" i="8"/>
  <c r="AU1087" i="8"/>
  <c r="AU1088" i="8"/>
  <c r="AU1089" i="8"/>
  <c r="AU1090" i="8"/>
  <c r="AU1091" i="8"/>
  <c r="AU1092" i="8"/>
  <c r="AU1093" i="8"/>
  <c r="AU1094" i="8"/>
  <c r="AU1095" i="8"/>
  <c r="AU1096" i="8"/>
  <c r="AU1097" i="8"/>
  <c r="AU1098" i="8"/>
  <c r="AU1099" i="8"/>
  <c r="AU1100" i="8"/>
  <c r="AU1101" i="8"/>
  <c r="AU1102" i="8"/>
  <c r="AU1103" i="8"/>
  <c r="AU1104" i="8"/>
  <c r="AU1105" i="8"/>
  <c r="AU1106" i="8"/>
  <c r="AU1107" i="8"/>
  <c r="AU1108" i="8"/>
  <c r="AU1109" i="8"/>
  <c r="AU1110" i="8"/>
  <c r="AU1111" i="8"/>
  <c r="AU1112" i="8"/>
  <c r="AU1113" i="8"/>
  <c r="AU1114" i="8"/>
  <c r="AU1115" i="8"/>
  <c r="AU1116" i="8"/>
  <c r="AU1117" i="8"/>
  <c r="AU1118" i="8"/>
  <c r="AU1119" i="8"/>
  <c r="AU1120" i="8"/>
  <c r="AU1121" i="8"/>
  <c r="AU1122" i="8"/>
  <c r="AU1123" i="8"/>
  <c r="AU1124" i="8"/>
  <c r="AU1125" i="8"/>
  <c r="AU1126" i="8"/>
  <c r="AU1127" i="8"/>
  <c r="AU1128"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1" i="8"/>
  <c r="AV92" i="8"/>
  <c r="AV93" i="8"/>
  <c r="AV94" i="8"/>
  <c r="AV95" i="8"/>
  <c r="AV96" i="8"/>
  <c r="AV97" i="8"/>
  <c r="AV98" i="8"/>
  <c r="AV99" i="8"/>
  <c r="AV100" i="8"/>
  <c r="AV101" i="8"/>
  <c r="AV102" i="8"/>
  <c r="AV103" i="8"/>
  <c r="AV104" i="8"/>
  <c r="AV105" i="8"/>
  <c r="AV106" i="8"/>
  <c r="AV107" i="8"/>
  <c r="AV108" i="8"/>
  <c r="AV109" i="8"/>
  <c r="AV110" i="8"/>
  <c r="AV111" i="8"/>
  <c r="AV112" i="8"/>
  <c r="AV113" i="8"/>
  <c r="AV114" i="8"/>
  <c r="AV115" i="8"/>
  <c r="AV116" i="8"/>
  <c r="AV117" i="8"/>
  <c r="AV118" i="8"/>
  <c r="AV119" i="8"/>
  <c r="AV120" i="8"/>
  <c r="AV121" i="8"/>
  <c r="AV122" i="8"/>
  <c r="AV123" i="8"/>
  <c r="AV124" i="8"/>
  <c r="AV125" i="8"/>
  <c r="AV126" i="8"/>
  <c r="AV127" i="8"/>
  <c r="AV128" i="8"/>
  <c r="AV129" i="8"/>
  <c r="AV130" i="8"/>
  <c r="AV131" i="8"/>
  <c r="AV132" i="8"/>
  <c r="AV133" i="8"/>
  <c r="AV134" i="8"/>
  <c r="AV135" i="8"/>
  <c r="AV136" i="8"/>
  <c r="AV137" i="8"/>
  <c r="AV138" i="8"/>
  <c r="AV139" i="8"/>
  <c r="AV140" i="8"/>
  <c r="AV141" i="8"/>
  <c r="AV142" i="8"/>
  <c r="AV143" i="8"/>
  <c r="AV144" i="8"/>
  <c r="AV145" i="8"/>
  <c r="AV146" i="8"/>
  <c r="AV147" i="8"/>
  <c r="AV148" i="8"/>
  <c r="AV149" i="8"/>
  <c r="AV150" i="8"/>
  <c r="AV151" i="8"/>
  <c r="AV152" i="8"/>
  <c r="AV153" i="8"/>
  <c r="AV154" i="8"/>
  <c r="AV155" i="8"/>
  <c r="AV156" i="8"/>
  <c r="AV157" i="8"/>
  <c r="AV158" i="8"/>
  <c r="AV159" i="8"/>
  <c r="AV160" i="8"/>
  <c r="AV161" i="8"/>
  <c r="AV162" i="8"/>
  <c r="AV163" i="8"/>
  <c r="AV164" i="8"/>
  <c r="AV165" i="8"/>
  <c r="AV166" i="8"/>
  <c r="AV167" i="8"/>
  <c r="AV168" i="8"/>
  <c r="AV169" i="8"/>
  <c r="AV170" i="8"/>
  <c r="AV171" i="8"/>
  <c r="AV172" i="8"/>
  <c r="AV173" i="8"/>
  <c r="AV174" i="8"/>
  <c r="AV175" i="8"/>
  <c r="AV176" i="8"/>
  <c r="AV177" i="8"/>
  <c r="AV178" i="8"/>
  <c r="AV179" i="8"/>
  <c r="AV180" i="8"/>
  <c r="AV181" i="8"/>
  <c r="AV182" i="8"/>
  <c r="AV183" i="8"/>
  <c r="AV184" i="8"/>
  <c r="AV185" i="8"/>
  <c r="AV186" i="8"/>
  <c r="AV187" i="8"/>
  <c r="AV188" i="8"/>
  <c r="AV189" i="8"/>
  <c r="AV190" i="8"/>
  <c r="AV191" i="8"/>
  <c r="AV192" i="8"/>
  <c r="AV193" i="8"/>
  <c r="AV194" i="8"/>
  <c r="AV195" i="8"/>
  <c r="AV196" i="8"/>
  <c r="AV197" i="8"/>
  <c r="AV198" i="8"/>
  <c r="AV199" i="8"/>
  <c r="AV200" i="8"/>
  <c r="AV201" i="8"/>
  <c r="AV202" i="8"/>
  <c r="AV203" i="8"/>
  <c r="AV204" i="8"/>
  <c r="AV205" i="8"/>
  <c r="AV206" i="8"/>
  <c r="AV207" i="8"/>
  <c r="AV208" i="8"/>
  <c r="AV209" i="8"/>
  <c r="AV210" i="8"/>
  <c r="AV211" i="8"/>
  <c r="AV212" i="8"/>
  <c r="AV213" i="8"/>
  <c r="AV214" i="8"/>
  <c r="AV215" i="8"/>
  <c r="AV216" i="8"/>
  <c r="AV217" i="8"/>
  <c r="AV218" i="8"/>
  <c r="AV219" i="8"/>
  <c r="AV220" i="8"/>
  <c r="AV221" i="8"/>
  <c r="AV222" i="8"/>
  <c r="AV223" i="8"/>
  <c r="AV224" i="8"/>
  <c r="AV225" i="8"/>
  <c r="AV226" i="8"/>
  <c r="AV227" i="8"/>
  <c r="AV228" i="8"/>
  <c r="AV229" i="8"/>
  <c r="AV230" i="8"/>
  <c r="AV231" i="8"/>
  <c r="AV232" i="8"/>
  <c r="AV233" i="8"/>
  <c r="AV234" i="8"/>
  <c r="AV235" i="8"/>
  <c r="AV236" i="8"/>
  <c r="AV237" i="8"/>
  <c r="AV238" i="8"/>
  <c r="AV239" i="8"/>
  <c r="AV240" i="8"/>
  <c r="AV241" i="8"/>
  <c r="AV242" i="8"/>
  <c r="AV243" i="8"/>
  <c r="AV244" i="8"/>
  <c r="AV245" i="8"/>
  <c r="AV246" i="8"/>
  <c r="AV247" i="8"/>
  <c r="AV248" i="8"/>
  <c r="AV249" i="8"/>
  <c r="AV250" i="8"/>
  <c r="AV251" i="8"/>
  <c r="AV252" i="8"/>
  <c r="AV253" i="8"/>
  <c r="AV254" i="8"/>
  <c r="AV255" i="8"/>
  <c r="AV256" i="8"/>
  <c r="AV257" i="8"/>
  <c r="AV258" i="8"/>
  <c r="AV259" i="8"/>
  <c r="AV260" i="8"/>
  <c r="AV261" i="8"/>
  <c r="AV262" i="8"/>
  <c r="AV263" i="8"/>
  <c r="AV264" i="8"/>
  <c r="AV265" i="8"/>
  <c r="AV266" i="8"/>
  <c r="AV267" i="8"/>
  <c r="AV268" i="8"/>
  <c r="AV269" i="8"/>
  <c r="AV270" i="8"/>
  <c r="AV271" i="8"/>
  <c r="AV272" i="8"/>
  <c r="AV273" i="8"/>
  <c r="AV274" i="8"/>
  <c r="AV275" i="8"/>
  <c r="AV276" i="8"/>
  <c r="AV277" i="8"/>
  <c r="AV278" i="8"/>
  <c r="AV279" i="8"/>
  <c r="AV280" i="8"/>
  <c r="AV281" i="8"/>
  <c r="AV282" i="8"/>
  <c r="AV283" i="8"/>
  <c r="AV284" i="8"/>
  <c r="AV285" i="8"/>
  <c r="AV286" i="8"/>
  <c r="AV287" i="8"/>
  <c r="AV288" i="8"/>
  <c r="AV289" i="8"/>
  <c r="AV290" i="8"/>
  <c r="AV291" i="8"/>
  <c r="AV292" i="8"/>
  <c r="AV293" i="8"/>
  <c r="AV294" i="8"/>
  <c r="AV295" i="8"/>
  <c r="AV296" i="8"/>
  <c r="AV297" i="8"/>
  <c r="AV298" i="8"/>
  <c r="AV299" i="8"/>
  <c r="AV300" i="8"/>
  <c r="AV301" i="8"/>
  <c r="AV302" i="8"/>
  <c r="AV303" i="8"/>
  <c r="AV304" i="8"/>
  <c r="AV305" i="8"/>
  <c r="AV306" i="8"/>
  <c r="AV307" i="8"/>
  <c r="AV308" i="8"/>
  <c r="AV309" i="8"/>
  <c r="AV310" i="8"/>
  <c r="AV311" i="8"/>
  <c r="AV312" i="8"/>
  <c r="AV313" i="8"/>
  <c r="AV314" i="8"/>
  <c r="AV315" i="8"/>
  <c r="AV316" i="8"/>
  <c r="AV317" i="8"/>
  <c r="AV318" i="8"/>
  <c r="AV319" i="8"/>
  <c r="AV320" i="8"/>
  <c r="AV321" i="8"/>
  <c r="AV322" i="8"/>
  <c r="AV323" i="8"/>
  <c r="AV324" i="8"/>
  <c r="AV325" i="8"/>
  <c r="AV326" i="8"/>
  <c r="AV327" i="8"/>
  <c r="AV328" i="8"/>
  <c r="AV329" i="8"/>
  <c r="AV330" i="8"/>
  <c r="AV331" i="8"/>
  <c r="AV332" i="8"/>
  <c r="AV333" i="8"/>
  <c r="AV334" i="8"/>
  <c r="AV335" i="8"/>
  <c r="AV336" i="8"/>
  <c r="AV337" i="8"/>
  <c r="AV338" i="8"/>
  <c r="AV339" i="8"/>
  <c r="AV340" i="8"/>
  <c r="AV341" i="8"/>
  <c r="AV342" i="8"/>
  <c r="AV343" i="8"/>
  <c r="AV344" i="8"/>
  <c r="AV345" i="8"/>
  <c r="AV346" i="8"/>
  <c r="AV347" i="8"/>
  <c r="AV348" i="8"/>
  <c r="AV349" i="8"/>
  <c r="AV350" i="8"/>
  <c r="AV351" i="8"/>
  <c r="AV352" i="8"/>
  <c r="AV353" i="8"/>
  <c r="AV354" i="8"/>
  <c r="AV355" i="8"/>
  <c r="AV356" i="8"/>
  <c r="AV357" i="8"/>
  <c r="AV358" i="8"/>
  <c r="AV359" i="8"/>
  <c r="AV360" i="8"/>
  <c r="AV361" i="8"/>
  <c r="AV362" i="8"/>
  <c r="AV363" i="8"/>
  <c r="AV364" i="8"/>
  <c r="AV365" i="8"/>
  <c r="AV366" i="8"/>
  <c r="AV367" i="8"/>
  <c r="AV368" i="8"/>
  <c r="AV369" i="8"/>
  <c r="AV370" i="8"/>
  <c r="AV371" i="8"/>
  <c r="AV372" i="8"/>
  <c r="AV373" i="8"/>
  <c r="AV374" i="8"/>
  <c r="AV375" i="8"/>
  <c r="AV376" i="8"/>
  <c r="AV377" i="8"/>
  <c r="AV378" i="8"/>
  <c r="AV379" i="8"/>
  <c r="AV380" i="8"/>
  <c r="AV381" i="8"/>
  <c r="AV382" i="8"/>
  <c r="AV383" i="8"/>
  <c r="AV384" i="8"/>
  <c r="AV385" i="8"/>
  <c r="AV386" i="8"/>
  <c r="AV387" i="8"/>
  <c r="AV388" i="8"/>
  <c r="AV389" i="8"/>
  <c r="AV390" i="8"/>
  <c r="AV391" i="8"/>
  <c r="AV392" i="8"/>
  <c r="AV393" i="8"/>
  <c r="AV394" i="8"/>
  <c r="AV395" i="8"/>
  <c r="AV396" i="8"/>
  <c r="AV397" i="8"/>
  <c r="AV398" i="8"/>
  <c r="AV399" i="8"/>
  <c r="AV400" i="8"/>
  <c r="AV401" i="8"/>
  <c r="AV402" i="8"/>
  <c r="AV403" i="8"/>
  <c r="AV404" i="8"/>
  <c r="AV405" i="8"/>
  <c r="AV406" i="8"/>
  <c r="AV407" i="8"/>
  <c r="AV408" i="8"/>
  <c r="AV409" i="8"/>
  <c r="AV410" i="8"/>
  <c r="AV411" i="8"/>
  <c r="AV412" i="8"/>
  <c r="AV413" i="8"/>
  <c r="AV414" i="8"/>
  <c r="AV415" i="8"/>
  <c r="AV416" i="8"/>
  <c r="AV417" i="8"/>
  <c r="AV418" i="8"/>
  <c r="AV419" i="8"/>
  <c r="AV420" i="8"/>
  <c r="AV421" i="8"/>
  <c r="AV422" i="8"/>
  <c r="AV423" i="8"/>
  <c r="AV424" i="8"/>
  <c r="AV425" i="8"/>
  <c r="AV426" i="8"/>
  <c r="AV427" i="8"/>
  <c r="AV428" i="8"/>
  <c r="AV429" i="8"/>
  <c r="AV430" i="8"/>
  <c r="AV431" i="8"/>
  <c r="AV432" i="8"/>
  <c r="AV433" i="8"/>
  <c r="AV434" i="8"/>
  <c r="AV435" i="8"/>
  <c r="AV436" i="8"/>
  <c r="AV437" i="8"/>
  <c r="AV438" i="8"/>
  <c r="AV439" i="8"/>
  <c r="AV440" i="8"/>
  <c r="AV441" i="8"/>
  <c r="AV442" i="8"/>
  <c r="AV443" i="8"/>
  <c r="AV444" i="8"/>
  <c r="AV445" i="8"/>
  <c r="AV446" i="8"/>
  <c r="AV447" i="8"/>
  <c r="AV448" i="8"/>
  <c r="AV449" i="8"/>
  <c r="AV450" i="8"/>
  <c r="AV451" i="8"/>
  <c r="AV452" i="8"/>
  <c r="AV453" i="8"/>
  <c r="AV454" i="8"/>
  <c r="AV455" i="8"/>
  <c r="AV456" i="8"/>
  <c r="AV457" i="8"/>
  <c r="AV458" i="8"/>
  <c r="AV459" i="8"/>
  <c r="AV460" i="8"/>
  <c r="AV461" i="8"/>
  <c r="AV462" i="8"/>
  <c r="AV463" i="8"/>
  <c r="AV464" i="8"/>
  <c r="AV465" i="8"/>
  <c r="AV466" i="8"/>
  <c r="AV467" i="8"/>
  <c r="AV468" i="8"/>
  <c r="AV469" i="8"/>
  <c r="AV470" i="8"/>
  <c r="AV471" i="8"/>
  <c r="AV472" i="8"/>
  <c r="AV473" i="8"/>
  <c r="AV474" i="8"/>
  <c r="AV475" i="8"/>
  <c r="AV476" i="8"/>
  <c r="AV477" i="8"/>
  <c r="AV478" i="8"/>
  <c r="AV479" i="8"/>
  <c r="AV480" i="8"/>
  <c r="AV481" i="8"/>
  <c r="AV482" i="8"/>
  <c r="AV483" i="8"/>
  <c r="AV484" i="8"/>
  <c r="AV485" i="8"/>
  <c r="AV486" i="8"/>
  <c r="AV487" i="8"/>
  <c r="AV488" i="8"/>
  <c r="AV489" i="8"/>
  <c r="AV490" i="8"/>
  <c r="AV491" i="8"/>
  <c r="AV492" i="8"/>
  <c r="AV493" i="8"/>
  <c r="AV494" i="8"/>
  <c r="AV495" i="8"/>
  <c r="AV496" i="8"/>
  <c r="AV497" i="8"/>
  <c r="AV498" i="8"/>
  <c r="AV499" i="8"/>
  <c r="AV500" i="8"/>
  <c r="AV501" i="8"/>
  <c r="AV502" i="8"/>
  <c r="AV503" i="8"/>
  <c r="AV504" i="8"/>
  <c r="AV505" i="8"/>
  <c r="AV506" i="8"/>
  <c r="AV507" i="8"/>
  <c r="AV508" i="8"/>
  <c r="AV509" i="8"/>
  <c r="AV510" i="8"/>
  <c r="AV511" i="8"/>
  <c r="AV512" i="8"/>
  <c r="AV513" i="8"/>
  <c r="AV514" i="8"/>
  <c r="AV515" i="8"/>
  <c r="AV516" i="8"/>
  <c r="AV517" i="8"/>
  <c r="AV518" i="8"/>
  <c r="AV519" i="8"/>
  <c r="AV520" i="8"/>
  <c r="AV521" i="8"/>
  <c r="AV522" i="8"/>
  <c r="AV523" i="8"/>
  <c r="AV524" i="8"/>
  <c r="AV525" i="8"/>
  <c r="AV526" i="8"/>
  <c r="AV527" i="8"/>
  <c r="AV528" i="8"/>
  <c r="AV529" i="8"/>
  <c r="AV530" i="8"/>
  <c r="AV531" i="8"/>
  <c r="AV532" i="8"/>
  <c r="AV533" i="8"/>
  <c r="AV534" i="8"/>
  <c r="AV535" i="8"/>
  <c r="AV536" i="8"/>
  <c r="AV537" i="8"/>
  <c r="AV538" i="8"/>
  <c r="AV539" i="8"/>
  <c r="AV540" i="8"/>
  <c r="AV541" i="8"/>
  <c r="AV542" i="8"/>
  <c r="AV543" i="8"/>
  <c r="AV544" i="8"/>
  <c r="AV545" i="8"/>
  <c r="AV546" i="8"/>
  <c r="AV547" i="8"/>
  <c r="AV548" i="8"/>
  <c r="AV549" i="8"/>
  <c r="AV550" i="8"/>
  <c r="AV551" i="8"/>
  <c r="AV552" i="8"/>
  <c r="AV553" i="8"/>
  <c r="AV554" i="8"/>
  <c r="AV555" i="8"/>
  <c r="AV556" i="8"/>
  <c r="AV557" i="8"/>
  <c r="AV558" i="8"/>
  <c r="AV559" i="8"/>
  <c r="AV560" i="8"/>
  <c r="AV561" i="8"/>
  <c r="AV562" i="8"/>
  <c r="AV563" i="8"/>
  <c r="AV564" i="8"/>
  <c r="AV565" i="8"/>
  <c r="AV566" i="8"/>
  <c r="AV567" i="8"/>
  <c r="AV568" i="8"/>
  <c r="AV569" i="8"/>
  <c r="AV570" i="8"/>
  <c r="AV571" i="8"/>
  <c r="AV572" i="8"/>
  <c r="AV573" i="8"/>
  <c r="AV574" i="8"/>
  <c r="AV575" i="8"/>
  <c r="AV576" i="8"/>
  <c r="AV577" i="8"/>
  <c r="AV578" i="8"/>
  <c r="AV579" i="8"/>
  <c r="AV580" i="8"/>
  <c r="AV581" i="8"/>
  <c r="AV582" i="8"/>
  <c r="AV583" i="8"/>
  <c r="AV584" i="8"/>
  <c r="AV585" i="8"/>
  <c r="AV586" i="8"/>
  <c r="AV587" i="8"/>
  <c r="AV588" i="8"/>
  <c r="AV589" i="8"/>
  <c r="AV590" i="8"/>
  <c r="AV591" i="8"/>
  <c r="AV592" i="8"/>
  <c r="AV593" i="8"/>
  <c r="AV594" i="8"/>
  <c r="AV595" i="8"/>
  <c r="AV596" i="8"/>
  <c r="AV597" i="8"/>
  <c r="AV598" i="8"/>
  <c r="AV599" i="8"/>
  <c r="AV600" i="8"/>
  <c r="AV601" i="8"/>
  <c r="AV602" i="8"/>
  <c r="AV603" i="8"/>
  <c r="AV604" i="8"/>
  <c r="AV605" i="8"/>
  <c r="AV606" i="8"/>
  <c r="AV607" i="8"/>
  <c r="AV608" i="8"/>
  <c r="AV609" i="8"/>
  <c r="AV610" i="8"/>
  <c r="AV611" i="8"/>
  <c r="AV612" i="8"/>
  <c r="AV613" i="8"/>
  <c r="AV614" i="8"/>
  <c r="AV615" i="8"/>
  <c r="AV616" i="8"/>
  <c r="AV617" i="8"/>
  <c r="AV618" i="8"/>
  <c r="AV619" i="8"/>
  <c r="AV620" i="8"/>
  <c r="AV621" i="8"/>
  <c r="AV622" i="8"/>
  <c r="AV623" i="8"/>
  <c r="AV624" i="8"/>
  <c r="AV625" i="8"/>
  <c r="AV626" i="8"/>
  <c r="AV627" i="8"/>
  <c r="AV628" i="8"/>
  <c r="AV629" i="8"/>
  <c r="AV630" i="8"/>
  <c r="AV631" i="8"/>
  <c r="AV632" i="8"/>
  <c r="AV633" i="8"/>
  <c r="AV634" i="8"/>
  <c r="AV635" i="8"/>
  <c r="AV636" i="8"/>
  <c r="AV637" i="8"/>
  <c r="AV638" i="8"/>
  <c r="AV639" i="8"/>
  <c r="AV640" i="8"/>
  <c r="AV641" i="8"/>
  <c r="AV642" i="8"/>
  <c r="AV643" i="8"/>
  <c r="AV644" i="8"/>
  <c r="AV645" i="8"/>
  <c r="AV646" i="8"/>
  <c r="AV647" i="8"/>
  <c r="AV648" i="8"/>
  <c r="AV649" i="8"/>
  <c r="AV650" i="8"/>
  <c r="AV651" i="8"/>
  <c r="AV652" i="8"/>
  <c r="AV653" i="8"/>
  <c r="AV654" i="8"/>
  <c r="AV655" i="8"/>
  <c r="AV656" i="8"/>
  <c r="AV657" i="8"/>
  <c r="AV658" i="8"/>
  <c r="AV659" i="8"/>
  <c r="AV660" i="8"/>
  <c r="AV661" i="8"/>
  <c r="AV662" i="8"/>
  <c r="AV663" i="8"/>
  <c r="AV664" i="8"/>
  <c r="AV665" i="8"/>
  <c r="AV666" i="8"/>
  <c r="AV667" i="8"/>
  <c r="AV668" i="8"/>
  <c r="AV669" i="8"/>
  <c r="AV670" i="8"/>
  <c r="AV671" i="8"/>
  <c r="AV672" i="8"/>
  <c r="AV673" i="8"/>
  <c r="AV674" i="8"/>
  <c r="AV675" i="8"/>
  <c r="AV676" i="8"/>
  <c r="AV677" i="8"/>
  <c r="AV678" i="8"/>
  <c r="AV679" i="8"/>
  <c r="AV680" i="8"/>
  <c r="AV681" i="8"/>
  <c r="AV682" i="8"/>
  <c r="AV683" i="8"/>
  <c r="AV684" i="8"/>
  <c r="AV685" i="8"/>
  <c r="AV686" i="8"/>
  <c r="AV687" i="8"/>
  <c r="AV688" i="8"/>
  <c r="AV689" i="8"/>
  <c r="AV690" i="8"/>
  <c r="AV691" i="8"/>
  <c r="AV692" i="8"/>
  <c r="AV693" i="8"/>
  <c r="AV694" i="8"/>
  <c r="AV695" i="8"/>
  <c r="AV696" i="8"/>
  <c r="AV697" i="8"/>
  <c r="AV698" i="8"/>
  <c r="AV699" i="8"/>
  <c r="AV700" i="8"/>
  <c r="AV701" i="8"/>
  <c r="AV702" i="8"/>
  <c r="AV703" i="8"/>
  <c r="AV704" i="8"/>
  <c r="AV705" i="8"/>
  <c r="AV706" i="8"/>
  <c r="AV707" i="8"/>
  <c r="AV708" i="8"/>
  <c r="AV709" i="8"/>
  <c r="AV710" i="8"/>
  <c r="AV711" i="8"/>
  <c r="AV712" i="8"/>
  <c r="AV713" i="8"/>
  <c r="AV714" i="8"/>
  <c r="AV715" i="8"/>
  <c r="AV716" i="8"/>
  <c r="AV717" i="8"/>
  <c r="AV718" i="8"/>
  <c r="AV719" i="8"/>
  <c r="AV720" i="8"/>
  <c r="AV721" i="8"/>
  <c r="AV722" i="8"/>
  <c r="AV723" i="8"/>
  <c r="AV724" i="8"/>
  <c r="AV725" i="8"/>
  <c r="AV726" i="8"/>
  <c r="AV727" i="8"/>
  <c r="AV728" i="8"/>
  <c r="AV729" i="8"/>
  <c r="AV730" i="8"/>
  <c r="AV731" i="8"/>
  <c r="AV732" i="8"/>
  <c r="AV733" i="8"/>
  <c r="AV734" i="8"/>
  <c r="AV735" i="8"/>
  <c r="AV736" i="8"/>
  <c r="AV737" i="8"/>
  <c r="AV738" i="8"/>
  <c r="AV739" i="8"/>
  <c r="AV740" i="8"/>
  <c r="AV741" i="8"/>
  <c r="AV742" i="8"/>
  <c r="AV743" i="8"/>
  <c r="AV744" i="8"/>
  <c r="AV745" i="8"/>
  <c r="AV746" i="8"/>
  <c r="AV747" i="8"/>
  <c r="AV748" i="8"/>
  <c r="AV749" i="8"/>
  <c r="AV750" i="8"/>
  <c r="AV751" i="8"/>
  <c r="AV752" i="8"/>
  <c r="AV753" i="8"/>
  <c r="AV754" i="8"/>
  <c r="AV755" i="8"/>
  <c r="AV756" i="8"/>
  <c r="AV757" i="8"/>
  <c r="AV758" i="8"/>
  <c r="AV759" i="8"/>
  <c r="AV760" i="8"/>
  <c r="AV761" i="8"/>
  <c r="AV762" i="8"/>
  <c r="AV763" i="8"/>
  <c r="AV764" i="8"/>
  <c r="AV765" i="8"/>
  <c r="AV766" i="8"/>
  <c r="AV767" i="8"/>
  <c r="AV768" i="8"/>
  <c r="AV769" i="8"/>
  <c r="AV770" i="8"/>
  <c r="AV771" i="8"/>
  <c r="AV772" i="8"/>
  <c r="AV773" i="8"/>
  <c r="AV774" i="8"/>
  <c r="AV775" i="8"/>
  <c r="AV776" i="8"/>
  <c r="AV777" i="8"/>
  <c r="AV778" i="8"/>
  <c r="AV779" i="8"/>
  <c r="AV780" i="8"/>
  <c r="AV781" i="8"/>
  <c r="AV782" i="8"/>
  <c r="AV783" i="8"/>
  <c r="AV784" i="8"/>
  <c r="AV785" i="8"/>
  <c r="AV786" i="8"/>
  <c r="AV787" i="8"/>
  <c r="AV788" i="8"/>
  <c r="AV789" i="8"/>
  <c r="AV790" i="8"/>
  <c r="AV791" i="8"/>
  <c r="AV792" i="8"/>
  <c r="AV793" i="8"/>
  <c r="AV794" i="8"/>
  <c r="AV795" i="8"/>
  <c r="AV796" i="8"/>
  <c r="AV797" i="8"/>
  <c r="AV798" i="8"/>
  <c r="AV799" i="8"/>
  <c r="AV800" i="8"/>
  <c r="AV801" i="8"/>
  <c r="AV802" i="8"/>
  <c r="AV803" i="8"/>
  <c r="AV804" i="8"/>
  <c r="AV805" i="8"/>
  <c r="AV806" i="8"/>
  <c r="AV807" i="8"/>
  <c r="AV808" i="8"/>
  <c r="AV809" i="8"/>
  <c r="AV810" i="8"/>
  <c r="AV811" i="8"/>
  <c r="AV812" i="8"/>
  <c r="AV813" i="8"/>
  <c r="AV814" i="8"/>
  <c r="AV815" i="8"/>
  <c r="AV816" i="8"/>
  <c r="AV817" i="8"/>
  <c r="AV818" i="8"/>
  <c r="AV819" i="8"/>
  <c r="AV820" i="8"/>
  <c r="AV821" i="8"/>
  <c r="AV822" i="8"/>
  <c r="AV823" i="8"/>
  <c r="AV824" i="8"/>
  <c r="AV825" i="8"/>
  <c r="AV826" i="8"/>
  <c r="AV827" i="8"/>
  <c r="AV828" i="8"/>
  <c r="AV829" i="8"/>
  <c r="AV830" i="8"/>
  <c r="AV831" i="8"/>
  <c r="AV832" i="8"/>
  <c r="AV833" i="8"/>
  <c r="AV834" i="8"/>
  <c r="AV835" i="8"/>
  <c r="AV836" i="8"/>
  <c r="AV837" i="8"/>
  <c r="AV838" i="8"/>
  <c r="AV839" i="8"/>
  <c r="AV840" i="8"/>
  <c r="AV841" i="8"/>
  <c r="AV842" i="8"/>
  <c r="AV843" i="8"/>
  <c r="AV844" i="8"/>
  <c r="AV845" i="8"/>
  <c r="AV846" i="8"/>
  <c r="AV847" i="8"/>
  <c r="AV848" i="8"/>
  <c r="AV849" i="8"/>
  <c r="AV850" i="8"/>
  <c r="AV851" i="8"/>
  <c r="AV852" i="8"/>
  <c r="AV853" i="8"/>
  <c r="AV854" i="8"/>
  <c r="AV855" i="8"/>
  <c r="AV856" i="8"/>
  <c r="AV857" i="8"/>
  <c r="AV858" i="8"/>
  <c r="AV859" i="8"/>
  <c r="AV860" i="8"/>
  <c r="AV861" i="8"/>
  <c r="AV862" i="8"/>
  <c r="AV863" i="8"/>
  <c r="AV864" i="8"/>
  <c r="AV865" i="8"/>
  <c r="AV866" i="8"/>
  <c r="AV867" i="8"/>
  <c r="AV868" i="8"/>
  <c r="AV869" i="8"/>
  <c r="AV870" i="8"/>
  <c r="AV871" i="8"/>
  <c r="AV872" i="8"/>
  <c r="AV873" i="8"/>
  <c r="AV874" i="8"/>
  <c r="AV875" i="8"/>
  <c r="AV876" i="8"/>
  <c r="AV877" i="8"/>
  <c r="AV878" i="8"/>
  <c r="AV879" i="8"/>
  <c r="AV880" i="8"/>
  <c r="AV881" i="8"/>
  <c r="AV882" i="8"/>
  <c r="AV883" i="8"/>
  <c r="AV884" i="8"/>
  <c r="AV885" i="8"/>
  <c r="AV886" i="8"/>
  <c r="AV887" i="8"/>
  <c r="AV888" i="8"/>
  <c r="AV889" i="8"/>
  <c r="AV890" i="8"/>
  <c r="AV891" i="8"/>
  <c r="AV892" i="8"/>
  <c r="AV893" i="8"/>
  <c r="AV894" i="8"/>
  <c r="AV895" i="8"/>
  <c r="AV896" i="8"/>
  <c r="AV897" i="8"/>
  <c r="AV898" i="8"/>
  <c r="AV899" i="8"/>
  <c r="AV900" i="8"/>
  <c r="AV901" i="8"/>
  <c r="AV902" i="8"/>
  <c r="AV903" i="8"/>
  <c r="AV904" i="8"/>
  <c r="AV905" i="8"/>
  <c r="AV906" i="8"/>
  <c r="AV907" i="8"/>
  <c r="AV908" i="8"/>
  <c r="AV909" i="8"/>
  <c r="AV910" i="8"/>
  <c r="AV911" i="8"/>
  <c r="AV912" i="8"/>
  <c r="AV913" i="8"/>
  <c r="AV914" i="8"/>
  <c r="AV915" i="8"/>
  <c r="AV916" i="8"/>
  <c r="AV917" i="8"/>
  <c r="AV918" i="8"/>
  <c r="AV919" i="8"/>
  <c r="AV920" i="8"/>
  <c r="AV921" i="8"/>
  <c r="AV922" i="8"/>
  <c r="AV923" i="8"/>
  <c r="AV924" i="8"/>
  <c r="AV925" i="8"/>
  <c r="AV926" i="8"/>
  <c r="AV927" i="8"/>
  <c r="AV928" i="8"/>
  <c r="AV929" i="8"/>
  <c r="AV930" i="8"/>
  <c r="AV931" i="8"/>
  <c r="AV932" i="8"/>
  <c r="AV933" i="8"/>
  <c r="AV934" i="8"/>
  <c r="AV935" i="8"/>
  <c r="AV936" i="8"/>
  <c r="AV937" i="8"/>
  <c r="AV938" i="8"/>
  <c r="AV939" i="8"/>
  <c r="AV940" i="8"/>
  <c r="AV941" i="8"/>
  <c r="AV942" i="8"/>
  <c r="AV943" i="8"/>
  <c r="AV944" i="8"/>
  <c r="AV945" i="8"/>
  <c r="AV946" i="8"/>
  <c r="AV947" i="8"/>
  <c r="AV948" i="8"/>
  <c r="AV949" i="8"/>
  <c r="AV950" i="8"/>
  <c r="AV951" i="8"/>
  <c r="AV952" i="8"/>
  <c r="AV953" i="8"/>
  <c r="AV954" i="8"/>
  <c r="AV955" i="8"/>
  <c r="AV956" i="8"/>
  <c r="AV957" i="8"/>
  <c r="AV958" i="8"/>
  <c r="AV959" i="8"/>
  <c r="AV960" i="8"/>
  <c r="AV961" i="8"/>
  <c r="AV962" i="8"/>
  <c r="AV963" i="8"/>
  <c r="AV964" i="8"/>
  <c r="AV965" i="8"/>
  <c r="AV966" i="8"/>
  <c r="AV967" i="8"/>
  <c r="AV968" i="8"/>
  <c r="AV969" i="8"/>
  <c r="AV970" i="8"/>
  <c r="AV971" i="8"/>
  <c r="AV972" i="8"/>
  <c r="AV973" i="8"/>
  <c r="AV974" i="8"/>
  <c r="AV975" i="8"/>
  <c r="AV976" i="8"/>
  <c r="AV977" i="8"/>
  <c r="AV978" i="8"/>
  <c r="AV979" i="8"/>
  <c r="AV980" i="8"/>
  <c r="AV981" i="8"/>
  <c r="AV982" i="8"/>
  <c r="AV983" i="8"/>
  <c r="AV984" i="8"/>
  <c r="AV985" i="8"/>
  <c r="AV986" i="8"/>
  <c r="AV987" i="8"/>
  <c r="AV988" i="8"/>
  <c r="AV989" i="8"/>
  <c r="AV990" i="8"/>
  <c r="AV991" i="8"/>
  <c r="AV992" i="8"/>
  <c r="AV993" i="8"/>
  <c r="AV994" i="8"/>
  <c r="AV995" i="8"/>
  <c r="AV996" i="8"/>
  <c r="AV997" i="8"/>
  <c r="AV998" i="8"/>
  <c r="AV999" i="8"/>
  <c r="AV1000" i="8"/>
  <c r="AV1001" i="8"/>
  <c r="AV1002" i="8"/>
  <c r="AV1003" i="8"/>
  <c r="AV1004" i="8"/>
  <c r="AV1005" i="8"/>
  <c r="AV1006" i="8"/>
  <c r="AV1007" i="8"/>
  <c r="AV1008" i="8"/>
  <c r="AV1009" i="8"/>
  <c r="AV1010" i="8"/>
  <c r="AV1011" i="8"/>
  <c r="AV1012" i="8"/>
  <c r="AV1013" i="8"/>
  <c r="AV1014" i="8"/>
  <c r="AV1015" i="8"/>
  <c r="AV1016" i="8"/>
  <c r="AV1017" i="8"/>
  <c r="AV1018" i="8"/>
  <c r="AV1019" i="8"/>
  <c r="AV1020" i="8"/>
  <c r="AV1021" i="8"/>
  <c r="AV1022" i="8"/>
  <c r="AV1023" i="8"/>
  <c r="AV1024" i="8"/>
  <c r="AV1025" i="8"/>
  <c r="AV1026" i="8"/>
  <c r="AV1027" i="8"/>
  <c r="AV1028" i="8"/>
  <c r="AV1029" i="8"/>
  <c r="AV1030" i="8"/>
  <c r="AV1031" i="8"/>
  <c r="AV1032" i="8"/>
  <c r="AV1033" i="8"/>
  <c r="AV1034" i="8"/>
  <c r="AV1035" i="8"/>
  <c r="AV1036" i="8"/>
  <c r="AV1037" i="8"/>
  <c r="AV1038" i="8"/>
  <c r="AV1039" i="8"/>
  <c r="AV1040" i="8"/>
  <c r="AV1041" i="8"/>
  <c r="AV1042" i="8"/>
  <c r="AV1043" i="8"/>
  <c r="AV1044" i="8"/>
  <c r="AV1045" i="8"/>
  <c r="AV1046" i="8"/>
  <c r="AV1047" i="8"/>
  <c r="AV1048" i="8"/>
  <c r="AV1049" i="8"/>
  <c r="AV1050" i="8"/>
  <c r="AV1051" i="8"/>
  <c r="AV1052" i="8"/>
  <c r="AV1053" i="8"/>
  <c r="AV1054" i="8"/>
  <c r="AV1055" i="8"/>
  <c r="AV1056" i="8"/>
  <c r="AV1057" i="8"/>
  <c r="AV1058" i="8"/>
  <c r="AV1059" i="8"/>
  <c r="AV1060" i="8"/>
  <c r="AV1061" i="8"/>
  <c r="AV1062" i="8"/>
  <c r="AV1063" i="8"/>
  <c r="AV1064" i="8"/>
  <c r="AV1065" i="8"/>
  <c r="AV1066" i="8"/>
  <c r="AV1067" i="8"/>
  <c r="AV1068" i="8"/>
  <c r="AV1069" i="8"/>
  <c r="AV1070" i="8"/>
  <c r="AV1071" i="8"/>
  <c r="AV1072" i="8"/>
  <c r="AV1073" i="8"/>
  <c r="AV1074" i="8"/>
  <c r="AV1075" i="8"/>
  <c r="AV1076" i="8"/>
  <c r="AV1077" i="8"/>
  <c r="AV1078" i="8"/>
  <c r="AV1079" i="8"/>
  <c r="AV1080" i="8"/>
  <c r="AV1081" i="8"/>
  <c r="AV1082" i="8"/>
  <c r="AV1083" i="8"/>
  <c r="AV1084" i="8"/>
  <c r="AV1085" i="8"/>
  <c r="AV1086" i="8"/>
  <c r="AV1087" i="8"/>
  <c r="AV1088" i="8"/>
  <c r="AV1089" i="8"/>
  <c r="AV1090" i="8"/>
  <c r="AV1091" i="8"/>
  <c r="AV1092" i="8"/>
  <c r="AV1093" i="8"/>
  <c r="AV1094" i="8"/>
  <c r="AV1095" i="8"/>
  <c r="AV1096" i="8"/>
  <c r="AV1097" i="8"/>
  <c r="AV1098" i="8"/>
  <c r="AV1099" i="8"/>
  <c r="AV1100" i="8"/>
  <c r="AV1101" i="8"/>
  <c r="AV1102" i="8"/>
  <c r="AV1103" i="8"/>
  <c r="AV1104" i="8"/>
  <c r="AV1105" i="8"/>
  <c r="AV1106" i="8"/>
  <c r="AV1107" i="8"/>
  <c r="AV1108" i="8"/>
  <c r="AV1109" i="8"/>
  <c r="AV1110" i="8"/>
  <c r="AV1111" i="8"/>
  <c r="AV1112" i="8"/>
  <c r="AV1113" i="8"/>
  <c r="AV1114" i="8"/>
  <c r="AV1115" i="8"/>
  <c r="AV1116" i="8"/>
  <c r="AV1117" i="8"/>
  <c r="AV1118" i="8"/>
  <c r="AV1119" i="8"/>
  <c r="AV1120" i="8"/>
  <c r="AV1121" i="8"/>
  <c r="AV1122" i="8"/>
  <c r="AV1123" i="8"/>
  <c r="AV1124" i="8"/>
  <c r="AV1125" i="8"/>
  <c r="AV1126" i="8"/>
  <c r="AV1127" i="8"/>
  <c r="AV1128"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127" i="8"/>
  <c r="AW128" i="8"/>
  <c r="AW129" i="8"/>
  <c r="AW130" i="8"/>
  <c r="AW131" i="8"/>
  <c r="AW132" i="8"/>
  <c r="AW133" i="8"/>
  <c r="AW134" i="8"/>
  <c r="AW135" i="8"/>
  <c r="AW136" i="8"/>
  <c r="AW137" i="8"/>
  <c r="AW138" i="8"/>
  <c r="AW139" i="8"/>
  <c r="AW140" i="8"/>
  <c r="AW141" i="8"/>
  <c r="AW142" i="8"/>
  <c r="AW143" i="8"/>
  <c r="AW144" i="8"/>
  <c r="AW145" i="8"/>
  <c r="AW146" i="8"/>
  <c r="AW147" i="8"/>
  <c r="AW148" i="8"/>
  <c r="AW149" i="8"/>
  <c r="AW150" i="8"/>
  <c r="AW151" i="8"/>
  <c r="AW152" i="8"/>
  <c r="AW153" i="8"/>
  <c r="AW154" i="8"/>
  <c r="AW155" i="8"/>
  <c r="AW156" i="8"/>
  <c r="AW157" i="8"/>
  <c r="AW158" i="8"/>
  <c r="AW159" i="8"/>
  <c r="AW160" i="8"/>
  <c r="AW161" i="8"/>
  <c r="AW162" i="8"/>
  <c r="AW163" i="8"/>
  <c r="AW164" i="8"/>
  <c r="AW165" i="8"/>
  <c r="AW166" i="8"/>
  <c r="AW167" i="8"/>
  <c r="AW168" i="8"/>
  <c r="AW169" i="8"/>
  <c r="AW170" i="8"/>
  <c r="AW171" i="8"/>
  <c r="AW172" i="8"/>
  <c r="AW173" i="8"/>
  <c r="AW174" i="8"/>
  <c r="AW175" i="8"/>
  <c r="AW176" i="8"/>
  <c r="AW177" i="8"/>
  <c r="AW178" i="8"/>
  <c r="AW179" i="8"/>
  <c r="AW180" i="8"/>
  <c r="AW181" i="8"/>
  <c r="AW182" i="8"/>
  <c r="AW183" i="8"/>
  <c r="AW184" i="8"/>
  <c r="AW185" i="8"/>
  <c r="AW186" i="8"/>
  <c r="AW187" i="8"/>
  <c r="AW188" i="8"/>
  <c r="AW189" i="8"/>
  <c r="AW190" i="8"/>
  <c r="AW191" i="8"/>
  <c r="AW192" i="8"/>
  <c r="AW193" i="8"/>
  <c r="AW194" i="8"/>
  <c r="AW195" i="8"/>
  <c r="AW196" i="8"/>
  <c r="AW197" i="8"/>
  <c r="AW198" i="8"/>
  <c r="AW199" i="8"/>
  <c r="AW200" i="8"/>
  <c r="AW201" i="8"/>
  <c r="AW202" i="8"/>
  <c r="AW203" i="8"/>
  <c r="AW204" i="8"/>
  <c r="AW205" i="8"/>
  <c r="AW206" i="8"/>
  <c r="AW207" i="8"/>
  <c r="AW208" i="8"/>
  <c r="AW209" i="8"/>
  <c r="AW210" i="8"/>
  <c r="AW211" i="8"/>
  <c r="AW212" i="8"/>
  <c r="AW213" i="8"/>
  <c r="AW214" i="8"/>
  <c r="AW215" i="8"/>
  <c r="AW216" i="8"/>
  <c r="AW217" i="8"/>
  <c r="AW218" i="8"/>
  <c r="AW219" i="8"/>
  <c r="AW220" i="8"/>
  <c r="AW221" i="8"/>
  <c r="AW222" i="8"/>
  <c r="AW223" i="8"/>
  <c r="AW224" i="8"/>
  <c r="AW225" i="8"/>
  <c r="AW226" i="8"/>
  <c r="AW227" i="8"/>
  <c r="AW228" i="8"/>
  <c r="AW229" i="8"/>
  <c r="AW230" i="8"/>
  <c r="AW231" i="8"/>
  <c r="AW232" i="8"/>
  <c r="AW233" i="8"/>
  <c r="AW234" i="8"/>
  <c r="AW235" i="8"/>
  <c r="AW236" i="8"/>
  <c r="AW237" i="8"/>
  <c r="AW238" i="8"/>
  <c r="AW239" i="8"/>
  <c r="AW240" i="8"/>
  <c r="AW241" i="8"/>
  <c r="AW242" i="8"/>
  <c r="AW243" i="8"/>
  <c r="AW244" i="8"/>
  <c r="AW245" i="8"/>
  <c r="AW246" i="8"/>
  <c r="AW247" i="8"/>
  <c r="AW248" i="8"/>
  <c r="AW249" i="8"/>
  <c r="AW250" i="8"/>
  <c r="AW251" i="8"/>
  <c r="AW252" i="8"/>
  <c r="AW253" i="8"/>
  <c r="AW254" i="8"/>
  <c r="AW255" i="8"/>
  <c r="AW256" i="8"/>
  <c r="AW257" i="8"/>
  <c r="AW258" i="8"/>
  <c r="AW259" i="8"/>
  <c r="AW260" i="8"/>
  <c r="AW261" i="8"/>
  <c r="AW262" i="8"/>
  <c r="AW263" i="8"/>
  <c r="AW264" i="8"/>
  <c r="AW265" i="8"/>
  <c r="AW266" i="8"/>
  <c r="AW267" i="8"/>
  <c r="AW268" i="8"/>
  <c r="AW269" i="8"/>
  <c r="AW270" i="8"/>
  <c r="AW271" i="8"/>
  <c r="AW272" i="8"/>
  <c r="AW273" i="8"/>
  <c r="AW274" i="8"/>
  <c r="AW275" i="8"/>
  <c r="AW276" i="8"/>
  <c r="AW277" i="8"/>
  <c r="AW278" i="8"/>
  <c r="AW279" i="8"/>
  <c r="AW280" i="8"/>
  <c r="AW281" i="8"/>
  <c r="AW282" i="8"/>
  <c r="AW283" i="8"/>
  <c r="AW284" i="8"/>
  <c r="AW285" i="8"/>
  <c r="AW286" i="8"/>
  <c r="AW287" i="8"/>
  <c r="AW288" i="8"/>
  <c r="AW289" i="8"/>
  <c r="AW290" i="8"/>
  <c r="AW291" i="8"/>
  <c r="AW292" i="8"/>
  <c r="AW293" i="8"/>
  <c r="AW294" i="8"/>
  <c r="AW295" i="8"/>
  <c r="AW296" i="8"/>
  <c r="AW297" i="8"/>
  <c r="AW298" i="8"/>
  <c r="AW299" i="8"/>
  <c r="AW300" i="8"/>
  <c r="AW301" i="8"/>
  <c r="AW302" i="8"/>
  <c r="AW303" i="8"/>
  <c r="AW304" i="8"/>
  <c r="AW305" i="8"/>
  <c r="AW306" i="8"/>
  <c r="AW307" i="8"/>
  <c r="AW308" i="8"/>
  <c r="AW309" i="8"/>
  <c r="AW310" i="8"/>
  <c r="AW311" i="8"/>
  <c r="AW312" i="8"/>
  <c r="AW313" i="8"/>
  <c r="AW314" i="8"/>
  <c r="AW315" i="8"/>
  <c r="AW316" i="8"/>
  <c r="AW317" i="8"/>
  <c r="AW318" i="8"/>
  <c r="AW319" i="8"/>
  <c r="AW320" i="8"/>
  <c r="AW321" i="8"/>
  <c r="AW322" i="8"/>
  <c r="AW323" i="8"/>
  <c r="AW324" i="8"/>
  <c r="AW325" i="8"/>
  <c r="AW326" i="8"/>
  <c r="AW327" i="8"/>
  <c r="AW328" i="8"/>
  <c r="AW329" i="8"/>
  <c r="AW330" i="8"/>
  <c r="AW331" i="8"/>
  <c r="AW332" i="8"/>
  <c r="AW333" i="8"/>
  <c r="AW334" i="8"/>
  <c r="AW335" i="8"/>
  <c r="AW336" i="8"/>
  <c r="AW337" i="8"/>
  <c r="AW338" i="8"/>
  <c r="AW339" i="8"/>
  <c r="AW340" i="8"/>
  <c r="AW341" i="8"/>
  <c r="AW342" i="8"/>
  <c r="AW343" i="8"/>
  <c r="AW344" i="8"/>
  <c r="AW345" i="8"/>
  <c r="AW346" i="8"/>
  <c r="AW347" i="8"/>
  <c r="AW348" i="8"/>
  <c r="AW349" i="8"/>
  <c r="AW350" i="8"/>
  <c r="AW351" i="8"/>
  <c r="AW352" i="8"/>
  <c r="AW353" i="8"/>
  <c r="AW354" i="8"/>
  <c r="AW355" i="8"/>
  <c r="AW356" i="8"/>
  <c r="AW357" i="8"/>
  <c r="AW358" i="8"/>
  <c r="AW359" i="8"/>
  <c r="AW360" i="8"/>
  <c r="AW361" i="8"/>
  <c r="AW362" i="8"/>
  <c r="AW363" i="8"/>
  <c r="AW364" i="8"/>
  <c r="AW365" i="8"/>
  <c r="AW366" i="8"/>
  <c r="AW367" i="8"/>
  <c r="AW368" i="8"/>
  <c r="AW369" i="8"/>
  <c r="AW370" i="8"/>
  <c r="AW371" i="8"/>
  <c r="AW372" i="8"/>
  <c r="AW373" i="8"/>
  <c r="AW374" i="8"/>
  <c r="AW375" i="8"/>
  <c r="AW376" i="8"/>
  <c r="AW377" i="8"/>
  <c r="AW378" i="8"/>
  <c r="AW379" i="8"/>
  <c r="AW380" i="8"/>
  <c r="AW381" i="8"/>
  <c r="AW382" i="8"/>
  <c r="AW383" i="8"/>
  <c r="AW384" i="8"/>
  <c r="AW385" i="8"/>
  <c r="AW386" i="8"/>
  <c r="AW387" i="8"/>
  <c r="AW388" i="8"/>
  <c r="AW389" i="8"/>
  <c r="AW390" i="8"/>
  <c r="AW391" i="8"/>
  <c r="AW392" i="8"/>
  <c r="AW393" i="8"/>
  <c r="AW394" i="8"/>
  <c r="AW395" i="8"/>
  <c r="AW396" i="8"/>
  <c r="AW397" i="8"/>
  <c r="AW398" i="8"/>
  <c r="AW399" i="8"/>
  <c r="AW400" i="8"/>
  <c r="AW401" i="8"/>
  <c r="AW402" i="8"/>
  <c r="AW403" i="8"/>
  <c r="AW404" i="8"/>
  <c r="AW405" i="8"/>
  <c r="AW406" i="8"/>
  <c r="AW407" i="8"/>
  <c r="AW408" i="8"/>
  <c r="AW409" i="8"/>
  <c r="AW410" i="8"/>
  <c r="AW411" i="8"/>
  <c r="AW412" i="8"/>
  <c r="AW413" i="8"/>
  <c r="AW414" i="8"/>
  <c r="AW415" i="8"/>
  <c r="AW416" i="8"/>
  <c r="AW417" i="8"/>
  <c r="AW418" i="8"/>
  <c r="AW419" i="8"/>
  <c r="AW420" i="8"/>
  <c r="AW421" i="8"/>
  <c r="AW422" i="8"/>
  <c r="AW423" i="8"/>
  <c r="AW424" i="8"/>
  <c r="AW425" i="8"/>
  <c r="AW426" i="8"/>
  <c r="AW427" i="8"/>
  <c r="AW428" i="8"/>
  <c r="AW429" i="8"/>
  <c r="AW430" i="8"/>
  <c r="AW431" i="8"/>
  <c r="AW432" i="8"/>
  <c r="AW433" i="8"/>
  <c r="AW434" i="8"/>
  <c r="AW435" i="8"/>
  <c r="AW436" i="8"/>
  <c r="AW437" i="8"/>
  <c r="AW438" i="8"/>
  <c r="AW439" i="8"/>
  <c r="AW440" i="8"/>
  <c r="AW441" i="8"/>
  <c r="AW442" i="8"/>
  <c r="AW443" i="8"/>
  <c r="AW444" i="8"/>
  <c r="AW445" i="8"/>
  <c r="AW446" i="8"/>
  <c r="AW447" i="8"/>
  <c r="AW448" i="8"/>
  <c r="AW449" i="8"/>
  <c r="AW450" i="8"/>
  <c r="AW451" i="8"/>
  <c r="AW452" i="8"/>
  <c r="AW453" i="8"/>
  <c r="AW454" i="8"/>
  <c r="AW455" i="8"/>
  <c r="AW456" i="8"/>
  <c r="AW457" i="8"/>
  <c r="AW458" i="8"/>
  <c r="AW459" i="8"/>
  <c r="AW460" i="8"/>
  <c r="AW461" i="8"/>
  <c r="AW462" i="8"/>
  <c r="AW463" i="8"/>
  <c r="AW464" i="8"/>
  <c r="AW465" i="8"/>
  <c r="AW466" i="8"/>
  <c r="AW467" i="8"/>
  <c r="AW468" i="8"/>
  <c r="AW469" i="8"/>
  <c r="AW470" i="8"/>
  <c r="AW471" i="8"/>
  <c r="AW472" i="8"/>
  <c r="AW473" i="8"/>
  <c r="AW474" i="8"/>
  <c r="AW475" i="8"/>
  <c r="AW476" i="8"/>
  <c r="AW477" i="8"/>
  <c r="AW478" i="8"/>
  <c r="AW479" i="8"/>
  <c r="AW480" i="8"/>
  <c r="AW481" i="8"/>
  <c r="AW482" i="8"/>
  <c r="AW483" i="8"/>
  <c r="AW484" i="8"/>
  <c r="AW485" i="8"/>
  <c r="AW486" i="8"/>
  <c r="AW487" i="8"/>
  <c r="AW488" i="8"/>
  <c r="AW489" i="8"/>
  <c r="AW490" i="8"/>
  <c r="AW491" i="8"/>
  <c r="AW492" i="8"/>
  <c r="AW493" i="8"/>
  <c r="AW494" i="8"/>
  <c r="AW495" i="8"/>
  <c r="AW496" i="8"/>
  <c r="AW497" i="8"/>
  <c r="AW498" i="8"/>
  <c r="AW499" i="8"/>
  <c r="AW500" i="8"/>
  <c r="AW501" i="8"/>
  <c r="AW502" i="8"/>
  <c r="AW503" i="8"/>
  <c r="AW504" i="8"/>
  <c r="AW505" i="8"/>
  <c r="AW506" i="8"/>
  <c r="AW507" i="8"/>
  <c r="AW508" i="8"/>
  <c r="AW509" i="8"/>
  <c r="AW510" i="8"/>
  <c r="AW511" i="8"/>
  <c r="AW512" i="8"/>
  <c r="AW513" i="8"/>
  <c r="AW514" i="8"/>
  <c r="AW515" i="8"/>
  <c r="AW516" i="8"/>
  <c r="AW517" i="8"/>
  <c r="AW518" i="8"/>
  <c r="AW519" i="8"/>
  <c r="AW520" i="8"/>
  <c r="AW521" i="8"/>
  <c r="AW522" i="8"/>
  <c r="AW523" i="8"/>
  <c r="AW524" i="8"/>
  <c r="AW525" i="8"/>
  <c r="AW526" i="8"/>
  <c r="AW527" i="8"/>
  <c r="AW528" i="8"/>
  <c r="AW529" i="8"/>
  <c r="AW530" i="8"/>
  <c r="AW531" i="8"/>
  <c r="AW532" i="8"/>
  <c r="AW533" i="8"/>
  <c r="AW534" i="8"/>
  <c r="AW535" i="8"/>
  <c r="AW536" i="8"/>
  <c r="AW537" i="8"/>
  <c r="AW538" i="8"/>
  <c r="AW539" i="8"/>
  <c r="AW540" i="8"/>
  <c r="AW541" i="8"/>
  <c r="AW542" i="8"/>
  <c r="AW543" i="8"/>
  <c r="AW544" i="8"/>
  <c r="AW545" i="8"/>
  <c r="AW546" i="8"/>
  <c r="AW547" i="8"/>
  <c r="AW548" i="8"/>
  <c r="AW549" i="8"/>
  <c r="AW550" i="8"/>
  <c r="AW551" i="8"/>
  <c r="AW552" i="8"/>
  <c r="AW553" i="8"/>
  <c r="AW554" i="8"/>
  <c r="AW555" i="8"/>
  <c r="AW556" i="8"/>
  <c r="AW557" i="8"/>
  <c r="AW558" i="8"/>
  <c r="AW559" i="8"/>
  <c r="AW560" i="8"/>
  <c r="AW561" i="8"/>
  <c r="AW562" i="8"/>
  <c r="AW563" i="8"/>
  <c r="AW564" i="8"/>
  <c r="AW565" i="8"/>
  <c r="AW566" i="8"/>
  <c r="AW567" i="8"/>
  <c r="AW568" i="8"/>
  <c r="AW569" i="8"/>
  <c r="AW570" i="8"/>
  <c r="AW571" i="8"/>
  <c r="AW572" i="8"/>
  <c r="AW573" i="8"/>
  <c r="AW574" i="8"/>
  <c r="AW575" i="8"/>
  <c r="AW576" i="8"/>
  <c r="AW577" i="8"/>
  <c r="AW578" i="8"/>
  <c r="AW579" i="8"/>
  <c r="AW580" i="8"/>
  <c r="AW581" i="8"/>
  <c r="AW582" i="8"/>
  <c r="AW583" i="8"/>
  <c r="AW584" i="8"/>
  <c r="AW585" i="8"/>
  <c r="AW586" i="8"/>
  <c r="AW587" i="8"/>
  <c r="AW588" i="8"/>
  <c r="AW589" i="8"/>
  <c r="AW590" i="8"/>
  <c r="AW591" i="8"/>
  <c r="AW592" i="8"/>
  <c r="AW593" i="8"/>
  <c r="AW594" i="8"/>
  <c r="AW595" i="8"/>
  <c r="AW596" i="8"/>
  <c r="AW597" i="8"/>
  <c r="AW598" i="8"/>
  <c r="AW599" i="8"/>
  <c r="AW600" i="8"/>
  <c r="AW601" i="8"/>
  <c r="AW602" i="8"/>
  <c r="AW603" i="8"/>
  <c r="AW604" i="8"/>
  <c r="AW605" i="8"/>
  <c r="AW606" i="8"/>
  <c r="AW607" i="8"/>
  <c r="AW608" i="8"/>
  <c r="AW609" i="8"/>
  <c r="AW610" i="8"/>
  <c r="AW611" i="8"/>
  <c r="AW612" i="8"/>
  <c r="AW613" i="8"/>
  <c r="AW614" i="8"/>
  <c r="AW615" i="8"/>
  <c r="AW616" i="8"/>
  <c r="AW617" i="8"/>
  <c r="AW618" i="8"/>
  <c r="AW619" i="8"/>
  <c r="AW620" i="8"/>
  <c r="AW621" i="8"/>
  <c r="AW622" i="8"/>
  <c r="AW623" i="8"/>
  <c r="AW624" i="8"/>
  <c r="AW625" i="8"/>
  <c r="AW626" i="8"/>
  <c r="AW627" i="8"/>
  <c r="AW628" i="8"/>
  <c r="AW629" i="8"/>
  <c r="AW630" i="8"/>
  <c r="AW631" i="8"/>
  <c r="AW632" i="8"/>
  <c r="AW633" i="8"/>
  <c r="AW634" i="8"/>
  <c r="AW635" i="8"/>
  <c r="AW636" i="8"/>
  <c r="AW637" i="8"/>
  <c r="AW638" i="8"/>
  <c r="AW639" i="8"/>
  <c r="AW640" i="8"/>
  <c r="AW641" i="8"/>
  <c r="AW642" i="8"/>
  <c r="AW643" i="8"/>
  <c r="AW644" i="8"/>
  <c r="AW645" i="8"/>
  <c r="AW646" i="8"/>
  <c r="AW647" i="8"/>
  <c r="AW648" i="8"/>
  <c r="AW649" i="8"/>
  <c r="AW650" i="8"/>
  <c r="AW651" i="8"/>
  <c r="AW652" i="8"/>
  <c r="AW653" i="8"/>
  <c r="AW654" i="8"/>
  <c r="AW655" i="8"/>
  <c r="AW656" i="8"/>
  <c r="AW657" i="8"/>
  <c r="AW658" i="8"/>
  <c r="AW659" i="8"/>
  <c r="AW660" i="8"/>
  <c r="AW661" i="8"/>
  <c r="AW662" i="8"/>
  <c r="AW663" i="8"/>
  <c r="AW664" i="8"/>
  <c r="AW665" i="8"/>
  <c r="AW666" i="8"/>
  <c r="AW667" i="8"/>
  <c r="AW668" i="8"/>
  <c r="AW669" i="8"/>
  <c r="AW670" i="8"/>
  <c r="AW671" i="8"/>
  <c r="AW672" i="8"/>
  <c r="AW673" i="8"/>
  <c r="AW674" i="8"/>
  <c r="AW675" i="8"/>
  <c r="AW676" i="8"/>
  <c r="AW677" i="8"/>
  <c r="AW678" i="8"/>
  <c r="AW679" i="8"/>
  <c r="AW680" i="8"/>
  <c r="AW681" i="8"/>
  <c r="AW682" i="8"/>
  <c r="AW683" i="8"/>
  <c r="AW684" i="8"/>
  <c r="AW685" i="8"/>
  <c r="AW686" i="8"/>
  <c r="AW687" i="8"/>
  <c r="AW688" i="8"/>
  <c r="AW689" i="8"/>
  <c r="AW690" i="8"/>
  <c r="AW691" i="8"/>
  <c r="AW692" i="8"/>
  <c r="AW693" i="8"/>
  <c r="AW694" i="8"/>
  <c r="AW695" i="8"/>
  <c r="AW696" i="8"/>
  <c r="AW697" i="8"/>
  <c r="AW698" i="8"/>
  <c r="AW699" i="8"/>
  <c r="AW700" i="8"/>
  <c r="AW701" i="8"/>
  <c r="AW702" i="8"/>
  <c r="AW703" i="8"/>
  <c r="AW704" i="8"/>
  <c r="AW705" i="8"/>
  <c r="AW706" i="8"/>
  <c r="AW707" i="8"/>
  <c r="AW708" i="8"/>
  <c r="AW709" i="8"/>
  <c r="AW710" i="8"/>
  <c r="AW711" i="8"/>
  <c r="AW712" i="8"/>
  <c r="AW713" i="8"/>
  <c r="AW714" i="8"/>
  <c r="AW715" i="8"/>
  <c r="AW716" i="8"/>
  <c r="AW717" i="8"/>
  <c r="AW718" i="8"/>
  <c r="AW719" i="8"/>
  <c r="AW720" i="8"/>
  <c r="AW721" i="8"/>
  <c r="AW722" i="8"/>
  <c r="AW723" i="8"/>
  <c r="AW724" i="8"/>
  <c r="AW725" i="8"/>
  <c r="AW726" i="8"/>
  <c r="AW727" i="8"/>
  <c r="AW728" i="8"/>
  <c r="AW729" i="8"/>
  <c r="AW730" i="8"/>
  <c r="AW731" i="8"/>
  <c r="AW732" i="8"/>
  <c r="AW733" i="8"/>
  <c r="AW734" i="8"/>
  <c r="AW735" i="8"/>
  <c r="AW736" i="8"/>
  <c r="AW737" i="8"/>
  <c r="AW738" i="8"/>
  <c r="AW739" i="8"/>
  <c r="AW740" i="8"/>
  <c r="AW741" i="8"/>
  <c r="AW742" i="8"/>
  <c r="AW743" i="8"/>
  <c r="AW744" i="8"/>
  <c r="AW745" i="8"/>
  <c r="AW746" i="8"/>
  <c r="AW747" i="8"/>
  <c r="AW748" i="8"/>
  <c r="AW749" i="8"/>
  <c r="AW750" i="8"/>
  <c r="AW751" i="8"/>
  <c r="AW752" i="8"/>
  <c r="AW753" i="8"/>
  <c r="AW754" i="8"/>
  <c r="AW755" i="8"/>
  <c r="AW756" i="8"/>
  <c r="AW757" i="8"/>
  <c r="AW758" i="8"/>
  <c r="AW759" i="8"/>
  <c r="AW760" i="8"/>
  <c r="AW761" i="8"/>
  <c r="AW762" i="8"/>
  <c r="AW763" i="8"/>
  <c r="AW764" i="8"/>
  <c r="AW765" i="8"/>
  <c r="AW766" i="8"/>
  <c r="AW767" i="8"/>
  <c r="AW768" i="8"/>
  <c r="AW769" i="8"/>
  <c r="AW770" i="8"/>
  <c r="AW771" i="8"/>
  <c r="AW772" i="8"/>
  <c r="AW773" i="8"/>
  <c r="AW774" i="8"/>
  <c r="AW775" i="8"/>
  <c r="AW776" i="8"/>
  <c r="AW777" i="8"/>
  <c r="AW778" i="8"/>
  <c r="AW779" i="8"/>
  <c r="AW780" i="8"/>
  <c r="AW781" i="8"/>
  <c r="AW782" i="8"/>
  <c r="AW783" i="8"/>
  <c r="AW784" i="8"/>
  <c r="AW785" i="8"/>
  <c r="AW786" i="8"/>
  <c r="AW787" i="8"/>
  <c r="AW788" i="8"/>
  <c r="AW789" i="8"/>
  <c r="AW790" i="8"/>
  <c r="AW791" i="8"/>
  <c r="AW792" i="8"/>
  <c r="AW793" i="8"/>
  <c r="AW794" i="8"/>
  <c r="AW795" i="8"/>
  <c r="AW796" i="8"/>
  <c r="AW797" i="8"/>
  <c r="AW798" i="8"/>
  <c r="AW799" i="8"/>
  <c r="AW800" i="8"/>
  <c r="AW801" i="8"/>
  <c r="AW802" i="8"/>
  <c r="AW803" i="8"/>
  <c r="AW804" i="8"/>
  <c r="AW805" i="8"/>
  <c r="AW806" i="8"/>
  <c r="AW807" i="8"/>
  <c r="AW808" i="8"/>
  <c r="AW809" i="8"/>
  <c r="AW810" i="8"/>
  <c r="AW811" i="8"/>
  <c r="AW812" i="8"/>
  <c r="AW813" i="8"/>
  <c r="AW814" i="8"/>
  <c r="AW815" i="8"/>
  <c r="AW816" i="8"/>
  <c r="AW817" i="8"/>
  <c r="AW818" i="8"/>
  <c r="AW819" i="8"/>
  <c r="AW820" i="8"/>
  <c r="AW821" i="8"/>
  <c r="AW822" i="8"/>
  <c r="AW823" i="8"/>
  <c r="AW824" i="8"/>
  <c r="AW825" i="8"/>
  <c r="AW826" i="8"/>
  <c r="AW827" i="8"/>
  <c r="AW828" i="8"/>
  <c r="AW829" i="8"/>
  <c r="AW830" i="8"/>
  <c r="AW831" i="8"/>
  <c r="AW832" i="8"/>
  <c r="AW833" i="8"/>
  <c r="AW834" i="8"/>
  <c r="AW835" i="8"/>
  <c r="AW836" i="8"/>
  <c r="AW837" i="8"/>
  <c r="AW838" i="8"/>
  <c r="AW839" i="8"/>
  <c r="AW840" i="8"/>
  <c r="AW841" i="8"/>
  <c r="AW842" i="8"/>
  <c r="AW843" i="8"/>
  <c r="AW844" i="8"/>
  <c r="AW845" i="8"/>
  <c r="AW846" i="8"/>
  <c r="AW847" i="8"/>
  <c r="AW848" i="8"/>
  <c r="AW849" i="8"/>
  <c r="AW850" i="8"/>
  <c r="AW851" i="8"/>
  <c r="AW852" i="8"/>
  <c r="AW853" i="8"/>
  <c r="AW854" i="8"/>
  <c r="AW855" i="8"/>
  <c r="AW856" i="8"/>
  <c r="AW857" i="8"/>
  <c r="AW858" i="8"/>
  <c r="AW859" i="8"/>
  <c r="AW860" i="8"/>
  <c r="AW861" i="8"/>
  <c r="AW862" i="8"/>
  <c r="AW863" i="8"/>
  <c r="AW864" i="8"/>
  <c r="AW865" i="8"/>
  <c r="AW866" i="8"/>
  <c r="AW867" i="8"/>
  <c r="AW868" i="8"/>
  <c r="AW869" i="8"/>
  <c r="AW870" i="8"/>
  <c r="AW871" i="8"/>
  <c r="AW872" i="8"/>
  <c r="AW873" i="8"/>
  <c r="AW874" i="8"/>
  <c r="AW875" i="8"/>
  <c r="AW876" i="8"/>
  <c r="AW877" i="8"/>
  <c r="AW878" i="8"/>
  <c r="AW879" i="8"/>
  <c r="AW880" i="8"/>
  <c r="AW881" i="8"/>
  <c r="AW882" i="8"/>
  <c r="AW883" i="8"/>
  <c r="AW884" i="8"/>
  <c r="AW885" i="8"/>
  <c r="AW886" i="8"/>
  <c r="AW887" i="8"/>
  <c r="AW888" i="8"/>
  <c r="AW889" i="8"/>
  <c r="AW890" i="8"/>
  <c r="AW891" i="8"/>
  <c r="AW892" i="8"/>
  <c r="AW893" i="8"/>
  <c r="AW894" i="8"/>
  <c r="AW895" i="8"/>
  <c r="AW896" i="8"/>
  <c r="AW897" i="8"/>
  <c r="AW898" i="8"/>
  <c r="AW899" i="8"/>
  <c r="AW900" i="8"/>
  <c r="AW901" i="8"/>
  <c r="AW902" i="8"/>
  <c r="AW903" i="8"/>
  <c r="AW904" i="8"/>
  <c r="AW905" i="8"/>
  <c r="AW906" i="8"/>
  <c r="AW907" i="8"/>
  <c r="AW908" i="8"/>
  <c r="AW909" i="8"/>
  <c r="AW910" i="8"/>
  <c r="AW911" i="8"/>
  <c r="AW912" i="8"/>
  <c r="AW913" i="8"/>
  <c r="AW914" i="8"/>
  <c r="AW915" i="8"/>
  <c r="AW916" i="8"/>
  <c r="AW917" i="8"/>
  <c r="AW918" i="8"/>
  <c r="AW919" i="8"/>
  <c r="AW920" i="8"/>
  <c r="AW921" i="8"/>
  <c r="AW922" i="8"/>
  <c r="AW923" i="8"/>
  <c r="AW924" i="8"/>
  <c r="AW925" i="8"/>
  <c r="AW926" i="8"/>
  <c r="AW927" i="8"/>
  <c r="AW928" i="8"/>
  <c r="AW929" i="8"/>
  <c r="AW930" i="8"/>
  <c r="AW931" i="8"/>
  <c r="AW932" i="8"/>
  <c r="AW933" i="8"/>
  <c r="AW934" i="8"/>
  <c r="AW935" i="8"/>
  <c r="AW936" i="8"/>
  <c r="AW937" i="8"/>
  <c r="AW938" i="8"/>
  <c r="AW939" i="8"/>
  <c r="AW940" i="8"/>
  <c r="AW941" i="8"/>
  <c r="AW942" i="8"/>
  <c r="AW943" i="8"/>
  <c r="AW944" i="8"/>
  <c r="AW945" i="8"/>
  <c r="AW946" i="8"/>
  <c r="AW947" i="8"/>
  <c r="AW948" i="8"/>
  <c r="AW949" i="8"/>
  <c r="AW950" i="8"/>
  <c r="AW951" i="8"/>
  <c r="AW952" i="8"/>
  <c r="AW953" i="8"/>
  <c r="AW954" i="8"/>
  <c r="AW955" i="8"/>
  <c r="AW956" i="8"/>
  <c r="AW957" i="8"/>
  <c r="AW958" i="8"/>
  <c r="AW959" i="8"/>
  <c r="AW960" i="8"/>
  <c r="AW961" i="8"/>
  <c r="AW962" i="8"/>
  <c r="AW963" i="8"/>
  <c r="AW964" i="8"/>
  <c r="AW965" i="8"/>
  <c r="AW966" i="8"/>
  <c r="AW967" i="8"/>
  <c r="AW968" i="8"/>
  <c r="AW969" i="8"/>
  <c r="AW970" i="8"/>
  <c r="AW971" i="8"/>
  <c r="AW972" i="8"/>
  <c r="AW973" i="8"/>
  <c r="AW974" i="8"/>
  <c r="AW975" i="8"/>
  <c r="AW976" i="8"/>
  <c r="AW977" i="8"/>
  <c r="AW978" i="8"/>
  <c r="AW979" i="8"/>
  <c r="AW980" i="8"/>
  <c r="AW981" i="8"/>
  <c r="AW982" i="8"/>
  <c r="AW983" i="8"/>
  <c r="AW984" i="8"/>
  <c r="AW985" i="8"/>
  <c r="AW986" i="8"/>
  <c r="AW987" i="8"/>
  <c r="AW988" i="8"/>
  <c r="AW989" i="8"/>
  <c r="AW990" i="8"/>
  <c r="AW991" i="8"/>
  <c r="AW992" i="8"/>
  <c r="AW993" i="8"/>
  <c r="AW994" i="8"/>
  <c r="AW995" i="8"/>
  <c r="AW996" i="8"/>
  <c r="AW997" i="8"/>
  <c r="AW998" i="8"/>
  <c r="AW999" i="8"/>
  <c r="AW1000" i="8"/>
  <c r="AW1001" i="8"/>
  <c r="AW1002" i="8"/>
  <c r="AW1003" i="8"/>
  <c r="AW1004" i="8"/>
  <c r="AW1005" i="8"/>
  <c r="AW1006" i="8"/>
  <c r="AW1007" i="8"/>
  <c r="AW1008" i="8"/>
  <c r="AW1009" i="8"/>
  <c r="AW1010" i="8"/>
  <c r="AW1011" i="8"/>
  <c r="AW1012" i="8"/>
  <c r="AW1013" i="8"/>
  <c r="AW1014" i="8"/>
  <c r="AW1015" i="8"/>
  <c r="AW1016" i="8"/>
  <c r="AW1017" i="8"/>
  <c r="AW1018" i="8"/>
  <c r="AW1019" i="8"/>
  <c r="AW1020" i="8"/>
  <c r="AW1021" i="8"/>
  <c r="AW1022" i="8"/>
  <c r="AW1023" i="8"/>
  <c r="AW1024" i="8"/>
  <c r="AW1025" i="8"/>
  <c r="AW1026" i="8"/>
  <c r="AW1027" i="8"/>
  <c r="AW1028" i="8"/>
  <c r="AW1029" i="8"/>
  <c r="AW1030" i="8"/>
  <c r="AW1031" i="8"/>
  <c r="AW1032" i="8"/>
  <c r="AW1033" i="8"/>
  <c r="AW1034" i="8"/>
  <c r="AW1035" i="8"/>
  <c r="AW1036" i="8"/>
  <c r="AW1037" i="8"/>
  <c r="AW1038" i="8"/>
  <c r="AW1039" i="8"/>
  <c r="AW1040" i="8"/>
  <c r="AW1041" i="8"/>
  <c r="AW1042" i="8"/>
  <c r="AW1043" i="8"/>
  <c r="AW1044" i="8"/>
  <c r="AW1045" i="8"/>
  <c r="AW1046" i="8"/>
  <c r="AW1047" i="8"/>
  <c r="AW1048" i="8"/>
  <c r="AW1049" i="8"/>
  <c r="AW1050" i="8"/>
  <c r="AW1051" i="8"/>
  <c r="AW1052" i="8"/>
  <c r="AW1053" i="8"/>
  <c r="AW1054" i="8"/>
  <c r="AW1055" i="8"/>
  <c r="AW1056" i="8"/>
  <c r="AW1057" i="8"/>
  <c r="AW1058" i="8"/>
  <c r="AW1059" i="8"/>
  <c r="AW1060" i="8"/>
  <c r="AW1061" i="8"/>
  <c r="AW1062" i="8"/>
  <c r="AW1063" i="8"/>
  <c r="AW1064" i="8"/>
  <c r="AW1065" i="8"/>
  <c r="AW1066" i="8"/>
  <c r="AW1067" i="8"/>
  <c r="AW1068" i="8"/>
  <c r="AW1069" i="8"/>
  <c r="AW1070" i="8"/>
  <c r="AW1071" i="8"/>
  <c r="AW1072" i="8"/>
  <c r="AW1073" i="8"/>
  <c r="AW1074" i="8"/>
  <c r="AW1075" i="8"/>
  <c r="AW1076" i="8"/>
  <c r="AW1077" i="8"/>
  <c r="AW1078" i="8"/>
  <c r="AW1079" i="8"/>
  <c r="AW1080" i="8"/>
  <c r="AW1081" i="8"/>
  <c r="AW1082" i="8"/>
  <c r="AW1083" i="8"/>
  <c r="AW1084" i="8"/>
  <c r="AW1085" i="8"/>
  <c r="AW1086" i="8"/>
  <c r="AW1087" i="8"/>
  <c r="AW1088" i="8"/>
  <c r="AW1089" i="8"/>
  <c r="AW1090" i="8"/>
  <c r="AW1091" i="8"/>
  <c r="AW1092" i="8"/>
  <c r="AW1093" i="8"/>
  <c r="AW1094" i="8"/>
  <c r="AW1095" i="8"/>
  <c r="AW1096" i="8"/>
  <c r="AW1097" i="8"/>
  <c r="AW1098" i="8"/>
  <c r="AW1099" i="8"/>
  <c r="AW1100" i="8"/>
  <c r="AW1101" i="8"/>
  <c r="AW1102" i="8"/>
  <c r="AW1103" i="8"/>
  <c r="AW1104" i="8"/>
  <c r="AW1105" i="8"/>
  <c r="AW1106" i="8"/>
  <c r="AW1107" i="8"/>
  <c r="AW1108" i="8"/>
  <c r="AW1109" i="8"/>
  <c r="AW1110" i="8"/>
  <c r="AW1111" i="8"/>
  <c r="AW1112" i="8"/>
  <c r="AW1113" i="8"/>
  <c r="AW1114" i="8"/>
  <c r="AW1115" i="8"/>
  <c r="AW1116" i="8"/>
  <c r="AW1117" i="8"/>
  <c r="AW1118" i="8"/>
  <c r="AW1119" i="8"/>
  <c r="AW1120" i="8"/>
  <c r="AW1121" i="8"/>
  <c r="AW1122" i="8"/>
  <c r="AW1123" i="8"/>
  <c r="AW1124" i="8"/>
  <c r="AW1125" i="8"/>
  <c r="AW1126" i="8"/>
  <c r="AW1127" i="8"/>
  <c r="AW1128"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1" i="8"/>
  <c r="AX92" i="8"/>
  <c r="AX93" i="8"/>
  <c r="AX94" i="8"/>
  <c r="AX95" i="8"/>
  <c r="AX96" i="8"/>
  <c r="AX97" i="8"/>
  <c r="AX98" i="8"/>
  <c r="AX99" i="8"/>
  <c r="AX100" i="8"/>
  <c r="AX101" i="8"/>
  <c r="AX102" i="8"/>
  <c r="AX103" i="8"/>
  <c r="AX104" i="8"/>
  <c r="AX105" i="8"/>
  <c r="AX106" i="8"/>
  <c r="AX107" i="8"/>
  <c r="AX108" i="8"/>
  <c r="AX109" i="8"/>
  <c r="AX110" i="8"/>
  <c r="AX111" i="8"/>
  <c r="AX112" i="8"/>
  <c r="AX113" i="8"/>
  <c r="AX114" i="8"/>
  <c r="AX115" i="8"/>
  <c r="AX116" i="8"/>
  <c r="AX117" i="8"/>
  <c r="AX118" i="8"/>
  <c r="AX119" i="8"/>
  <c r="AX120" i="8"/>
  <c r="AX121" i="8"/>
  <c r="AX122" i="8"/>
  <c r="AX123" i="8"/>
  <c r="AX124" i="8"/>
  <c r="AX125" i="8"/>
  <c r="AX126" i="8"/>
  <c r="AX127" i="8"/>
  <c r="AX128" i="8"/>
  <c r="AX129" i="8"/>
  <c r="AX130" i="8"/>
  <c r="AX131" i="8"/>
  <c r="AX132" i="8"/>
  <c r="AX133" i="8"/>
  <c r="AX134" i="8"/>
  <c r="AX135" i="8"/>
  <c r="AX136" i="8"/>
  <c r="AX137" i="8"/>
  <c r="AX138" i="8"/>
  <c r="AX139" i="8"/>
  <c r="AX140" i="8"/>
  <c r="AX141" i="8"/>
  <c r="AX142" i="8"/>
  <c r="AX143" i="8"/>
  <c r="AX144" i="8"/>
  <c r="AX145" i="8"/>
  <c r="AX146" i="8"/>
  <c r="AX147" i="8"/>
  <c r="AX148" i="8"/>
  <c r="AX149" i="8"/>
  <c r="AX150" i="8"/>
  <c r="AX151" i="8"/>
  <c r="AX152" i="8"/>
  <c r="AX153" i="8"/>
  <c r="AX154" i="8"/>
  <c r="AX155" i="8"/>
  <c r="AX156" i="8"/>
  <c r="AX157" i="8"/>
  <c r="AX158" i="8"/>
  <c r="AX159" i="8"/>
  <c r="AX160" i="8"/>
  <c r="AX161" i="8"/>
  <c r="AX162" i="8"/>
  <c r="AX163" i="8"/>
  <c r="AX164" i="8"/>
  <c r="AX165" i="8"/>
  <c r="AX166" i="8"/>
  <c r="AX167" i="8"/>
  <c r="AX168" i="8"/>
  <c r="AX169" i="8"/>
  <c r="AX170" i="8"/>
  <c r="AX171" i="8"/>
  <c r="AX172" i="8"/>
  <c r="AX173" i="8"/>
  <c r="AX174" i="8"/>
  <c r="AX175" i="8"/>
  <c r="AX176" i="8"/>
  <c r="AX177" i="8"/>
  <c r="AX178" i="8"/>
  <c r="AX179" i="8"/>
  <c r="AX180" i="8"/>
  <c r="AX181" i="8"/>
  <c r="AX182" i="8"/>
  <c r="AX183" i="8"/>
  <c r="AX184" i="8"/>
  <c r="AX185" i="8"/>
  <c r="AX186" i="8"/>
  <c r="AX187" i="8"/>
  <c r="AX188" i="8"/>
  <c r="AX189" i="8"/>
  <c r="AX190" i="8"/>
  <c r="AX191" i="8"/>
  <c r="AX192" i="8"/>
  <c r="AX193" i="8"/>
  <c r="AX194" i="8"/>
  <c r="AX195" i="8"/>
  <c r="AX196" i="8"/>
  <c r="AX197" i="8"/>
  <c r="AX198" i="8"/>
  <c r="AX199" i="8"/>
  <c r="AX200" i="8"/>
  <c r="AX201" i="8"/>
  <c r="AX202" i="8"/>
  <c r="AX203" i="8"/>
  <c r="AX204" i="8"/>
  <c r="AX205" i="8"/>
  <c r="AX206" i="8"/>
  <c r="AX207" i="8"/>
  <c r="AX208" i="8"/>
  <c r="AX209" i="8"/>
  <c r="AX210" i="8"/>
  <c r="AX211" i="8"/>
  <c r="AX212" i="8"/>
  <c r="AX213" i="8"/>
  <c r="AX214" i="8"/>
  <c r="AX215" i="8"/>
  <c r="AX216" i="8"/>
  <c r="AX217" i="8"/>
  <c r="AX218" i="8"/>
  <c r="AX219" i="8"/>
  <c r="AX220" i="8"/>
  <c r="AX221" i="8"/>
  <c r="AX222" i="8"/>
  <c r="AX223" i="8"/>
  <c r="AX224" i="8"/>
  <c r="AX225" i="8"/>
  <c r="AX226" i="8"/>
  <c r="AX227" i="8"/>
  <c r="AX228" i="8"/>
  <c r="AX229" i="8"/>
  <c r="AX230" i="8"/>
  <c r="AX231" i="8"/>
  <c r="AX232" i="8"/>
  <c r="AX233" i="8"/>
  <c r="AX234" i="8"/>
  <c r="AX235" i="8"/>
  <c r="AX236" i="8"/>
  <c r="AX237" i="8"/>
  <c r="AX238" i="8"/>
  <c r="AX239" i="8"/>
  <c r="AX240" i="8"/>
  <c r="AX241" i="8"/>
  <c r="AX242" i="8"/>
  <c r="AX243" i="8"/>
  <c r="AX244" i="8"/>
  <c r="AX245" i="8"/>
  <c r="AX246" i="8"/>
  <c r="AX247" i="8"/>
  <c r="AX248" i="8"/>
  <c r="AX249" i="8"/>
  <c r="AX250" i="8"/>
  <c r="AX251" i="8"/>
  <c r="AX252" i="8"/>
  <c r="AX253" i="8"/>
  <c r="AX254" i="8"/>
  <c r="AX255" i="8"/>
  <c r="AX256" i="8"/>
  <c r="AX257" i="8"/>
  <c r="AX258" i="8"/>
  <c r="AX259" i="8"/>
  <c r="AX260" i="8"/>
  <c r="AX261" i="8"/>
  <c r="AX262" i="8"/>
  <c r="AX263" i="8"/>
  <c r="AX264" i="8"/>
  <c r="AX265" i="8"/>
  <c r="AX266" i="8"/>
  <c r="AX267" i="8"/>
  <c r="AX268" i="8"/>
  <c r="AX269" i="8"/>
  <c r="AX270" i="8"/>
  <c r="AX271" i="8"/>
  <c r="AX272" i="8"/>
  <c r="AX273" i="8"/>
  <c r="AX274" i="8"/>
  <c r="AX275" i="8"/>
  <c r="AX276" i="8"/>
  <c r="AX277" i="8"/>
  <c r="AX278" i="8"/>
  <c r="AX279" i="8"/>
  <c r="AX280" i="8"/>
  <c r="AX281" i="8"/>
  <c r="AX282" i="8"/>
  <c r="AX283" i="8"/>
  <c r="AX284" i="8"/>
  <c r="AX285" i="8"/>
  <c r="AX286" i="8"/>
  <c r="AX287" i="8"/>
  <c r="AX288" i="8"/>
  <c r="AX289" i="8"/>
  <c r="AX290" i="8"/>
  <c r="AX291" i="8"/>
  <c r="AX292" i="8"/>
  <c r="AX293" i="8"/>
  <c r="AX294" i="8"/>
  <c r="AX295" i="8"/>
  <c r="AX296" i="8"/>
  <c r="AX297" i="8"/>
  <c r="AX298" i="8"/>
  <c r="AX299" i="8"/>
  <c r="AX300" i="8"/>
  <c r="AX301" i="8"/>
  <c r="AX302" i="8"/>
  <c r="AX303" i="8"/>
  <c r="AX304" i="8"/>
  <c r="AX305" i="8"/>
  <c r="AX306" i="8"/>
  <c r="AX307" i="8"/>
  <c r="AX308" i="8"/>
  <c r="AX309" i="8"/>
  <c r="AX310" i="8"/>
  <c r="AX311" i="8"/>
  <c r="AX312" i="8"/>
  <c r="AX313" i="8"/>
  <c r="AX314" i="8"/>
  <c r="AX315" i="8"/>
  <c r="AX316" i="8"/>
  <c r="AX317" i="8"/>
  <c r="AX318" i="8"/>
  <c r="AX319" i="8"/>
  <c r="AX320" i="8"/>
  <c r="AX321" i="8"/>
  <c r="AX322" i="8"/>
  <c r="AX323" i="8"/>
  <c r="AX324" i="8"/>
  <c r="AX325" i="8"/>
  <c r="AX326" i="8"/>
  <c r="AX327" i="8"/>
  <c r="AX328" i="8"/>
  <c r="AX329" i="8"/>
  <c r="AX330" i="8"/>
  <c r="AX331" i="8"/>
  <c r="AX332" i="8"/>
  <c r="AX333" i="8"/>
  <c r="AX334" i="8"/>
  <c r="AX335" i="8"/>
  <c r="AX336" i="8"/>
  <c r="AX337" i="8"/>
  <c r="AX338" i="8"/>
  <c r="AX339" i="8"/>
  <c r="AX340" i="8"/>
  <c r="AX341" i="8"/>
  <c r="AX342" i="8"/>
  <c r="AX343" i="8"/>
  <c r="AX344" i="8"/>
  <c r="AX345" i="8"/>
  <c r="AX346" i="8"/>
  <c r="AX347" i="8"/>
  <c r="AX348" i="8"/>
  <c r="AX349" i="8"/>
  <c r="AX350" i="8"/>
  <c r="AX351" i="8"/>
  <c r="AX352" i="8"/>
  <c r="AX353" i="8"/>
  <c r="AX354" i="8"/>
  <c r="AX355" i="8"/>
  <c r="AX356" i="8"/>
  <c r="AX357" i="8"/>
  <c r="AX358" i="8"/>
  <c r="AX359" i="8"/>
  <c r="AX360" i="8"/>
  <c r="AX361" i="8"/>
  <c r="AX362" i="8"/>
  <c r="AX363" i="8"/>
  <c r="AX364" i="8"/>
  <c r="AX365" i="8"/>
  <c r="AX366" i="8"/>
  <c r="AX367" i="8"/>
  <c r="AX368" i="8"/>
  <c r="AX369" i="8"/>
  <c r="AX370" i="8"/>
  <c r="AX371" i="8"/>
  <c r="AX372" i="8"/>
  <c r="AX373" i="8"/>
  <c r="AX374" i="8"/>
  <c r="AX375" i="8"/>
  <c r="AX376" i="8"/>
  <c r="AX377" i="8"/>
  <c r="AX378" i="8"/>
  <c r="AX379" i="8"/>
  <c r="AX380" i="8"/>
  <c r="AX381" i="8"/>
  <c r="AX382" i="8"/>
  <c r="AX383" i="8"/>
  <c r="AX384" i="8"/>
  <c r="AX385" i="8"/>
  <c r="AX386" i="8"/>
  <c r="AX387" i="8"/>
  <c r="AX388" i="8"/>
  <c r="AX389" i="8"/>
  <c r="AX390" i="8"/>
  <c r="AX391" i="8"/>
  <c r="AX392" i="8"/>
  <c r="AX393" i="8"/>
  <c r="AX394" i="8"/>
  <c r="AX395" i="8"/>
  <c r="AX396" i="8"/>
  <c r="AX397" i="8"/>
  <c r="AX398" i="8"/>
  <c r="AX399" i="8"/>
  <c r="AX400" i="8"/>
  <c r="AX401" i="8"/>
  <c r="AX402" i="8"/>
  <c r="AX403" i="8"/>
  <c r="AX404" i="8"/>
  <c r="AX405" i="8"/>
  <c r="AX406" i="8"/>
  <c r="AX407" i="8"/>
  <c r="AX408" i="8"/>
  <c r="AX409" i="8"/>
  <c r="AX410" i="8"/>
  <c r="AX411" i="8"/>
  <c r="AX412" i="8"/>
  <c r="AX413" i="8"/>
  <c r="AX414" i="8"/>
  <c r="AX415" i="8"/>
  <c r="AX416" i="8"/>
  <c r="AX417" i="8"/>
  <c r="AX418" i="8"/>
  <c r="AX419" i="8"/>
  <c r="AX420" i="8"/>
  <c r="AX421" i="8"/>
  <c r="AX422" i="8"/>
  <c r="AX423" i="8"/>
  <c r="AX424" i="8"/>
  <c r="AX425" i="8"/>
  <c r="AX426" i="8"/>
  <c r="AX427" i="8"/>
  <c r="AX428" i="8"/>
  <c r="AX429" i="8"/>
  <c r="AX430" i="8"/>
  <c r="AX431" i="8"/>
  <c r="AX432" i="8"/>
  <c r="AX433" i="8"/>
  <c r="AX434" i="8"/>
  <c r="AX435" i="8"/>
  <c r="AX436" i="8"/>
  <c r="AX437" i="8"/>
  <c r="AX438" i="8"/>
  <c r="AX439" i="8"/>
  <c r="AX440" i="8"/>
  <c r="AX441" i="8"/>
  <c r="AX442" i="8"/>
  <c r="AX443" i="8"/>
  <c r="AX444" i="8"/>
  <c r="AX445" i="8"/>
  <c r="AX446" i="8"/>
  <c r="AX447" i="8"/>
  <c r="AX448" i="8"/>
  <c r="AX449" i="8"/>
  <c r="AX450" i="8"/>
  <c r="AX451" i="8"/>
  <c r="AX452" i="8"/>
  <c r="AX453" i="8"/>
  <c r="AX454" i="8"/>
  <c r="AX455" i="8"/>
  <c r="AX456" i="8"/>
  <c r="AX457" i="8"/>
  <c r="AX458" i="8"/>
  <c r="AX459" i="8"/>
  <c r="AX460" i="8"/>
  <c r="AX461" i="8"/>
  <c r="AX462" i="8"/>
  <c r="AX463" i="8"/>
  <c r="AX464" i="8"/>
  <c r="AX465" i="8"/>
  <c r="AX466" i="8"/>
  <c r="AX467" i="8"/>
  <c r="AX468" i="8"/>
  <c r="AX469" i="8"/>
  <c r="AX470" i="8"/>
  <c r="AX471" i="8"/>
  <c r="AX472" i="8"/>
  <c r="AX473" i="8"/>
  <c r="AX474" i="8"/>
  <c r="AX475" i="8"/>
  <c r="AX476" i="8"/>
  <c r="AX477" i="8"/>
  <c r="AX478" i="8"/>
  <c r="AX479" i="8"/>
  <c r="AX480" i="8"/>
  <c r="AX481" i="8"/>
  <c r="AX482" i="8"/>
  <c r="AX483" i="8"/>
  <c r="AX484" i="8"/>
  <c r="AX485" i="8"/>
  <c r="AX486" i="8"/>
  <c r="AX487" i="8"/>
  <c r="AX488" i="8"/>
  <c r="AX489" i="8"/>
  <c r="AX490" i="8"/>
  <c r="AX491" i="8"/>
  <c r="AX492" i="8"/>
  <c r="AX493" i="8"/>
  <c r="AX494" i="8"/>
  <c r="AX495" i="8"/>
  <c r="AX496" i="8"/>
  <c r="AX497" i="8"/>
  <c r="AX498" i="8"/>
  <c r="AX499" i="8"/>
  <c r="AX500" i="8"/>
  <c r="AX501" i="8"/>
  <c r="AX502" i="8"/>
  <c r="AX503" i="8"/>
  <c r="AX504" i="8"/>
  <c r="AX505" i="8"/>
  <c r="AX506" i="8"/>
  <c r="AX507" i="8"/>
  <c r="AX508" i="8"/>
  <c r="AX509" i="8"/>
  <c r="AX510" i="8"/>
  <c r="AX511" i="8"/>
  <c r="AX512" i="8"/>
  <c r="AX513" i="8"/>
  <c r="AX514" i="8"/>
  <c r="AX515" i="8"/>
  <c r="AX516" i="8"/>
  <c r="AX517" i="8"/>
  <c r="AX518" i="8"/>
  <c r="AX519" i="8"/>
  <c r="AX520" i="8"/>
  <c r="AX521" i="8"/>
  <c r="AX522" i="8"/>
  <c r="AX523" i="8"/>
  <c r="AX524" i="8"/>
  <c r="AX525" i="8"/>
  <c r="AX526" i="8"/>
  <c r="AX527" i="8"/>
  <c r="AX528" i="8"/>
  <c r="AX529" i="8"/>
  <c r="AX530" i="8"/>
  <c r="AX531" i="8"/>
  <c r="AX532" i="8"/>
  <c r="AX533" i="8"/>
  <c r="AX534" i="8"/>
  <c r="AX535" i="8"/>
  <c r="AX536" i="8"/>
  <c r="AX537" i="8"/>
  <c r="AX538" i="8"/>
  <c r="AX539" i="8"/>
  <c r="AX540" i="8"/>
  <c r="AX541" i="8"/>
  <c r="AX542" i="8"/>
  <c r="AX543" i="8"/>
  <c r="AX544" i="8"/>
  <c r="AX545" i="8"/>
  <c r="AX546" i="8"/>
  <c r="AX547" i="8"/>
  <c r="AX548" i="8"/>
  <c r="AX549" i="8"/>
  <c r="AX550" i="8"/>
  <c r="AX551" i="8"/>
  <c r="AX552" i="8"/>
  <c r="AX553" i="8"/>
  <c r="AX554" i="8"/>
  <c r="AX555" i="8"/>
  <c r="AX556" i="8"/>
  <c r="AX557" i="8"/>
  <c r="AX558" i="8"/>
  <c r="AX559" i="8"/>
  <c r="AX560" i="8"/>
  <c r="AX561" i="8"/>
  <c r="AX562" i="8"/>
  <c r="AX563" i="8"/>
  <c r="AX564" i="8"/>
  <c r="AX565" i="8"/>
  <c r="AX566" i="8"/>
  <c r="AX567" i="8"/>
  <c r="AX568" i="8"/>
  <c r="AX569" i="8"/>
  <c r="AX570" i="8"/>
  <c r="AX571" i="8"/>
  <c r="AX572" i="8"/>
  <c r="AX573" i="8"/>
  <c r="AX574" i="8"/>
  <c r="AX575" i="8"/>
  <c r="AX576" i="8"/>
  <c r="AX577" i="8"/>
  <c r="AX578" i="8"/>
  <c r="AX579" i="8"/>
  <c r="AX580" i="8"/>
  <c r="AX581" i="8"/>
  <c r="AX582" i="8"/>
  <c r="AX583" i="8"/>
  <c r="AX584" i="8"/>
  <c r="AX585" i="8"/>
  <c r="AX586" i="8"/>
  <c r="AX587" i="8"/>
  <c r="AX588" i="8"/>
  <c r="AX589" i="8"/>
  <c r="AX590" i="8"/>
  <c r="AX591" i="8"/>
  <c r="AX592" i="8"/>
  <c r="AX593" i="8"/>
  <c r="AX594" i="8"/>
  <c r="AX595" i="8"/>
  <c r="AX596" i="8"/>
  <c r="AX597" i="8"/>
  <c r="AX598" i="8"/>
  <c r="AX599" i="8"/>
  <c r="AX600" i="8"/>
  <c r="AX601" i="8"/>
  <c r="AX602" i="8"/>
  <c r="AX603" i="8"/>
  <c r="AX604" i="8"/>
  <c r="AX605" i="8"/>
  <c r="AX606" i="8"/>
  <c r="AX607" i="8"/>
  <c r="AX608" i="8"/>
  <c r="AX609" i="8"/>
  <c r="AX610" i="8"/>
  <c r="AX611" i="8"/>
  <c r="AX612" i="8"/>
  <c r="AX613" i="8"/>
  <c r="AX614" i="8"/>
  <c r="AX615" i="8"/>
  <c r="AX616" i="8"/>
  <c r="AX617" i="8"/>
  <c r="AX618" i="8"/>
  <c r="AX619" i="8"/>
  <c r="AX620" i="8"/>
  <c r="AX621" i="8"/>
  <c r="AX622" i="8"/>
  <c r="AX623" i="8"/>
  <c r="AX624" i="8"/>
  <c r="AX625" i="8"/>
  <c r="AX626" i="8"/>
  <c r="AX627" i="8"/>
  <c r="AX628" i="8"/>
  <c r="AX629" i="8"/>
  <c r="AX630" i="8"/>
  <c r="AX631" i="8"/>
  <c r="AX632" i="8"/>
  <c r="AX633" i="8"/>
  <c r="AX634" i="8"/>
  <c r="AX635" i="8"/>
  <c r="AX636" i="8"/>
  <c r="AX637" i="8"/>
  <c r="AX638" i="8"/>
  <c r="AX639" i="8"/>
  <c r="AX640" i="8"/>
  <c r="AX641" i="8"/>
  <c r="AX642" i="8"/>
  <c r="AX643" i="8"/>
  <c r="AX644" i="8"/>
  <c r="AX645" i="8"/>
  <c r="AX646" i="8"/>
  <c r="AX647" i="8"/>
  <c r="AX648" i="8"/>
  <c r="AX649" i="8"/>
  <c r="AX650" i="8"/>
  <c r="AX651" i="8"/>
  <c r="AX652" i="8"/>
  <c r="AX653" i="8"/>
  <c r="AX654" i="8"/>
  <c r="AX655" i="8"/>
  <c r="AX656" i="8"/>
  <c r="AX657" i="8"/>
  <c r="AX658" i="8"/>
  <c r="AX659" i="8"/>
  <c r="AX660" i="8"/>
  <c r="AX661" i="8"/>
  <c r="AX662" i="8"/>
  <c r="AX663" i="8"/>
  <c r="AX664" i="8"/>
  <c r="AX665" i="8"/>
  <c r="AX666" i="8"/>
  <c r="AX667" i="8"/>
  <c r="AX668" i="8"/>
  <c r="AX669" i="8"/>
  <c r="AX670" i="8"/>
  <c r="AX671" i="8"/>
  <c r="AX672" i="8"/>
  <c r="AX673" i="8"/>
  <c r="AX674" i="8"/>
  <c r="AX675" i="8"/>
  <c r="AX676" i="8"/>
  <c r="AX677" i="8"/>
  <c r="AX678" i="8"/>
  <c r="AX679" i="8"/>
  <c r="AX680" i="8"/>
  <c r="AX681" i="8"/>
  <c r="AX682" i="8"/>
  <c r="AX683" i="8"/>
  <c r="AX684" i="8"/>
  <c r="AX685" i="8"/>
  <c r="AX686" i="8"/>
  <c r="AX687" i="8"/>
  <c r="AX688" i="8"/>
  <c r="AX689" i="8"/>
  <c r="AX690" i="8"/>
  <c r="AX691" i="8"/>
  <c r="AX692" i="8"/>
  <c r="AX693" i="8"/>
  <c r="AX694" i="8"/>
  <c r="AX695" i="8"/>
  <c r="AX696" i="8"/>
  <c r="AX697" i="8"/>
  <c r="AX698" i="8"/>
  <c r="AX699" i="8"/>
  <c r="AX700" i="8"/>
  <c r="AX701" i="8"/>
  <c r="AX702" i="8"/>
  <c r="AX703" i="8"/>
  <c r="AX704" i="8"/>
  <c r="AX705" i="8"/>
  <c r="AX706" i="8"/>
  <c r="AX707" i="8"/>
  <c r="AX708" i="8"/>
  <c r="AX709" i="8"/>
  <c r="AX710" i="8"/>
  <c r="AX711" i="8"/>
  <c r="AX712" i="8"/>
  <c r="AX713" i="8"/>
  <c r="AX714" i="8"/>
  <c r="AX715" i="8"/>
  <c r="AX716" i="8"/>
  <c r="AX717" i="8"/>
  <c r="AX718" i="8"/>
  <c r="AX719" i="8"/>
  <c r="AX720" i="8"/>
  <c r="AX721" i="8"/>
  <c r="AX722" i="8"/>
  <c r="AX723" i="8"/>
  <c r="AX724" i="8"/>
  <c r="AX725" i="8"/>
  <c r="AX726" i="8"/>
  <c r="AX727" i="8"/>
  <c r="AX728" i="8"/>
  <c r="AX729" i="8"/>
  <c r="AX730" i="8"/>
  <c r="AX731" i="8"/>
  <c r="AX732" i="8"/>
  <c r="AX733" i="8"/>
  <c r="AX734" i="8"/>
  <c r="AX735" i="8"/>
  <c r="AX736" i="8"/>
  <c r="AX737" i="8"/>
  <c r="AX738" i="8"/>
  <c r="AX739" i="8"/>
  <c r="AX740" i="8"/>
  <c r="AX741" i="8"/>
  <c r="AX742" i="8"/>
  <c r="AX743" i="8"/>
  <c r="AX744" i="8"/>
  <c r="AX745" i="8"/>
  <c r="AX746" i="8"/>
  <c r="AX747" i="8"/>
  <c r="AX748" i="8"/>
  <c r="AX749" i="8"/>
  <c r="AX750" i="8"/>
  <c r="AX751" i="8"/>
  <c r="AX752" i="8"/>
  <c r="AX753" i="8"/>
  <c r="AX754" i="8"/>
  <c r="AX755" i="8"/>
  <c r="AX756" i="8"/>
  <c r="AX757" i="8"/>
  <c r="AX758" i="8"/>
  <c r="AX759" i="8"/>
  <c r="AX760" i="8"/>
  <c r="AX761" i="8"/>
  <c r="AX762" i="8"/>
  <c r="AX763" i="8"/>
  <c r="AX764" i="8"/>
  <c r="AX765" i="8"/>
  <c r="AX766" i="8"/>
  <c r="AX767" i="8"/>
  <c r="AX768" i="8"/>
  <c r="AX769" i="8"/>
  <c r="AX770" i="8"/>
  <c r="AX771" i="8"/>
  <c r="AX772" i="8"/>
  <c r="AX773" i="8"/>
  <c r="AX774" i="8"/>
  <c r="AX775" i="8"/>
  <c r="AX776" i="8"/>
  <c r="AX777" i="8"/>
  <c r="AX778" i="8"/>
  <c r="AX779" i="8"/>
  <c r="AX780" i="8"/>
  <c r="AX781" i="8"/>
  <c r="AX782" i="8"/>
  <c r="AX783" i="8"/>
  <c r="AX784" i="8"/>
  <c r="AX785" i="8"/>
  <c r="AX786" i="8"/>
  <c r="AX787" i="8"/>
  <c r="AX788" i="8"/>
  <c r="AX789" i="8"/>
  <c r="AX790" i="8"/>
  <c r="AX791" i="8"/>
  <c r="AX792" i="8"/>
  <c r="AX793" i="8"/>
  <c r="AX794" i="8"/>
  <c r="AX795" i="8"/>
  <c r="AX796" i="8"/>
  <c r="AX797" i="8"/>
  <c r="AX798" i="8"/>
  <c r="AX799" i="8"/>
  <c r="AX800" i="8"/>
  <c r="AX801" i="8"/>
  <c r="AX802" i="8"/>
  <c r="AX803" i="8"/>
  <c r="AX804" i="8"/>
  <c r="AX805" i="8"/>
  <c r="AX806" i="8"/>
  <c r="AX807" i="8"/>
  <c r="AX808" i="8"/>
  <c r="AX809" i="8"/>
  <c r="AX810" i="8"/>
  <c r="AX811" i="8"/>
  <c r="AX812" i="8"/>
  <c r="AX813" i="8"/>
  <c r="AX814" i="8"/>
  <c r="AX815" i="8"/>
  <c r="AX816" i="8"/>
  <c r="AX817" i="8"/>
  <c r="AX818" i="8"/>
  <c r="AX819" i="8"/>
  <c r="AX820" i="8"/>
  <c r="AX821" i="8"/>
  <c r="AX822" i="8"/>
  <c r="AX823" i="8"/>
  <c r="AX824" i="8"/>
  <c r="AX825" i="8"/>
  <c r="AX826" i="8"/>
  <c r="AX827" i="8"/>
  <c r="AX828" i="8"/>
  <c r="AX829" i="8"/>
  <c r="AX830" i="8"/>
  <c r="AX831" i="8"/>
  <c r="AX832" i="8"/>
  <c r="AX833" i="8"/>
  <c r="AX834" i="8"/>
  <c r="AX835" i="8"/>
  <c r="AX836" i="8"/>
  <c r="AX837" i="8"/>
  <c r="AX838" i="8"/>
  <c r="AX839" i="8"/>
  <c r="AX840" i="8"/>
  <c r="AX841" i="8"/>
  <c r="AX842" i="8"/>
  <c r="AX843" i="8"/>
  <c r="AX844" i="8"/>
  <c r="AX845" i="8"/>
  <c r="AX846" i="8"/>
  <c r="AX847" i="8"/>
  <c r="AX848" i="8"/>
  <c r="AX849" i="8"/>
  <c r="AX850" i="8"/>
  <c r="AX851" i="8"/>
  <c r="AX852" i="8"/>
  <c r="AX853" i="8"/>
  <c r="AX854" i="8"/>
  <c r="AX855" i="8"/>
  <c r="AX856" i="8"/>
  <c r="AX857" i="8"/>
  <c r="AX858" i="8"/>
  <c r="AX859" i="8"/>
  <c r="AX860" i="8"/>
  <c r="AX861" i="8"/>
  <c r="AX862" i="8"/>
  <c r="AX863" i="8"/>
  <c r="AX864" i="8"/>
  <c r="AX865" i="8"/>
  <c r="AX866" i="8"/>
  <c r="AX867" i="8"/>
  <c r="AX868" i="8"/>
  <c r="AX869" i="8"/>
  <c r="AX870" i="8"/>
  <c r="AX871" i="8"/>
  <c r="AX872" i="8"/>
  <c r="AX873" i="8"/>
  <c r="AX874" i="8"/>
  <c r="AX875" i="8"/>
  <c r="AX876" i="8"/>
  <c r="AX877" i="8"/>
  <c r="AX878" i="8"/>
  <c r="AX879" i="8"/>
  <c r="AX880" i="8"/>
  <c r="AX881" i="8"/>
  <c r="AX882" i="8"/>
  <c r="AX883" i="8"/>
  <c r="AX884" i="8"/>
  <c r="AX885" i="8"/>
  <c r="AX886" i="8"/>
  <c r="AX887" i="8"/>
  <c r="AX888" i="8"/>
  <c r="AX889" i="8"/>
  <c r="AX890" i="8"/>
  <c r="AX891" i="8"/>
  <c r="AX892" i="8"/>
  <c r="AX893" i="8"/>
  <c r="AX894" i="8"/>
  <c r="AX895" i="8"/>
  <c r="AX896" i="8"/>
  <c r="AX897" i="8"/>
  <c r="AX898" i="8"/>
  <c r="AX899" i="8"/>
  <c r="AX900" i="8"/>
  <c r="AX901" i="8"/>
  <c r="AX902" i="8"/>
  <c r="AX903" i="8"/>
  <c r="AX904" i="8"/>
  <c r="AX905" i="8"/>
  <c r="AX906" i="8"/>
  <c r="AX907" i="8"/>
  <c r="AX908" i="8"/>
  <c r="AX909" i="8"/>
  <c r="AX910" i="8"/>
  <c r="AX911" i="8"/>
  <c r="AX912" i="8"/>
  <c r="AX913" i="8"/>
  <c r="AX914" i="8"/>
  <c r="AX915" i="8"/>
  <c r="AX916" i="8"/>
  <c r="AX917" i="8"/>
  <c r="AX918" i="8"/>
  <c r="AX919" i="8"/>
  <c r="AX920" i="8"/>
  <c r="AX921" i="8"/>
  <c r="AX922" i="8"/>
  <c r="AX923" i="8"/>
  <c r="AX924" i="8"/>
  <c r="AX925" i="8"/>
  <c r="AX926" i="8"/>
  <c r="AX927" i="8"/>
  <c r="AX928" i="8"/>
  <c r="AX929" i="8"/>
  <c r="AX930" i="8"/>
  <c r="AX931" i="8"/>
  <c r="AX932" i="8"/>
  <c r="AX933" i="8"/>
  <c r="AX934" i="8"/>
  <c r="AX935" i="8"/>
  <c r="AX936" i="8"/>
  <c r="AX937" i="8"/>
  <c r="AX938" i="8"/>
  <c r="AX939" i="8"/>
  <c r="AX940" i="8"/>
  <c r="AX941" i="8"/>
  <c r="AX942" i="8"/>
  <c r="AX943" i="8"/>
  <c r="AX944" i="8"/>
  <c r="AX945" i="8"/>
  <c r="AX946" i="8"/>
  <c r="AX947" i="8"/>
  <c r="AX948" i="8"/>
  <c r="AX949" i="8"/>
  <c r="AX950" i="8"/>
  <c r="AX951" i="8"/>
  <c r="AX952" i="8"/>
  <c r="AX953" i="8"/>
  <c r="AX954" i="8"/>
  <c r="AX955" i="8"/>
  <c r="AX956" i="8"/>
  <c r="AX957" i="8"/>
  <c r="AX958" i="8"/>
  <c r="AX959" i="8"/>
  <c r="AX960" i="8"/>
  <c r="AX961" i="8"/>
  <c r="AX962" i="8"/>
  <c r="AX963" i="8"/>
  <c r="AX964" i="8"/>
  <c r="AX965" i="8"/>
  <c r="AX966" i="8"/>
  <c r="AX967" i="8"/>
  <c r="AX968" i="8"/>
  <c r="AX969" i="8"/>
  <c r="AX970" i="8"/>
  <c r="AX971" i="8"/>
  <c r="AX972" i="8"/>
  <c r="AX973" i="8"/>
  <c r="AX974" i="8"/>
  <c r="AX975" i="8"/>
  <c r="AX976" i="8"/>
  <c r="AX977" i="8"/>
  <c r="AX978" i="8"/>
  <c r="AX979" i="8"/>
  <c r="AX980" i="8"/>
  <c r="AX981" i="8"/>
  <c r="AX982" i="8"/>
  <c r="AX983" i="8"/>
  <c r="AX984" i="8"/>
  <c r="AX985" i="8"/>
  <c r="AX986" i="8"/>
  <c r="AX987" i="8"/>
  <c r="AX988" i="8"/>
  <c r="AX989" i="8"/>
  <c r="AX990" i="8"/>
  <c r="AX991" i="8"/>
  <c r="AX992" i="8"/>
  <c r="AX993" i="8"/>
  <c r="AX994" i="8"/>
  <c r="AX995" i="8"/>
  <c r="AX996" i="8"/>
  <c r="AX997" i="8"/>
  <c r="AX998" i="8"/>
  <c r="AX999" i="8"/>
  <c r="AX1000" i="8"/>
  <c r="AX1001" i="8"/>
  <c r="AX1002" i="8"/>
  <c r="AX1003" i="8"/>
  <c r="AX1004" i="8"/>
  <c r="AX1005" i="8"/>
  <c r="AX1006" i="8"/>
  <c r="AX1007" i="8"/>
  <c r="AX1008" i="8"/>
  <c r="AX1009" i="8"/>
  <c r="AX1010" i="8"/>
  <c r="AX1011" i="8"/>
  <c r="AX1012" i="8"/>
  <c r="AX1013" i="8"/>
  <c r="AX1014" i="8"/>
  <c r="AX1015" i="8"/>
  <c r="AX1016" i="8"/>
  <c r="AX1017" i="8"/>
  <c r="AX1018" i="8"/>
  <c r="AX1019" i="8"/>
  <c r="AX1020" i="8"/>
  <c r="AX1021" i="8"/>
  <c r="AX1022" i="8"/>
  <c r="AX1023" i="8"/>
  <c r="AX1024" i="8"/>
  <c r="AX1025" i="8"/>
  <c r="AX1026" i="8"/>
  <c r="AX1027" i="8"/>
  <c r="AX1028" i="8"/>
  <c r="AX1029" i="8"/>
  <c r="AX1030" i="8"/>
  <c r="AX1031" i="8"/>
  <c r="AX1032" i="8"/>
  <c r="AX1033" i="8"/>
  <c r="AX1034" i="8"/>
  <c r="AX1035" i="8"/>
  <c r="AX1036" i="8"/>
  <c r="AX1037" i="8"/>
  <c r="AX1038" i="8"/>
  <c r="AX1039" i="8"/>
  <c r="AX1040" i="8"/>
  <c r="AX1041" i="8"/>
  <c r="AX1042" i="8"/>
  <c r="AX1043" i="8"/>
  <c r="AX1044" i="8"/>
  <c r="AX1045" i="8"/>
  <c r="AX1046" i="8"/>
  <c r="AX1047" i="8"/>
  <c r="AX1048" i="8"/>
  <c r="AX1049" i="8"/>
  <c r="AX1050" i="8"/>
  <c r="AX1051" i="8"/>
  <c r="AX1052" i="8"/>
  <c r="AX1053" i="8"/>
  <c r="AX1054" i="8"/>
  <c r="AX1055" i="8"/>
  <c r="AX1056" i="8"/>
  <c r="AX1057" i="8"/>
  <c r="AX1058" i="8"/>
  <c r="AX1059" i="8"/>
  <c r="AX1060" i="8"/>
  <c r="AX1061" i="8"/>
  <c r="AX1062" i="8"/>
  <c r="AX1063" i="8"/>
  <c r="AX1064" i="8"/>
  <c r="AX1065" i="8"/>
  <c r="AX1066" i="8"/>
  <c r="AX1067" i="8"/>
  <c r="AX1068" i="8"/>
  <c r="AX1069" i="8"/>
  <c r="AX1070" i="8"/>
  <c r="AX1071" i="8"/>
  <c r="AX1072" i="8"/>
  <c r="AX1073" i="8"/>
  <c r="AX1074" i="8"/>
  <c r="AX1075" i="8"/>
  <c r="AX1076" i="8"/>
  <c r="AX1077" i="8"/>
  <c r="AX1078" i="8"/>
  <c r="AX1079" i="8"/>
  <c r="AX1080" i="8"/>
  <c r="AX1081" i="8"/>
  <c r="AX1082" i="8"/>
  <c r="AX1083" i="8"/>
  <c r="AX1084" i="8"/>
  <c r="AX1085" i="8"/>
  <c r="AX1086" i="8"/>
  <c r="AX1087" i="8"/>
  <c r="AX1088" i="8"/>
  <c r="AX1089" i="8"/>
  <c r="AX1090" i="8"/>
  <c r="AX1091" i="8"/>
  <c r="AX1092" i="8"/>
  <c r="AX1093" i="8"/>
  <c r="AX1094" i="8"/>
  <c r="AX1095" i="8"/>
  <c r="AX1096" i="8"/>
  <c r="AX1097" i="8"/>
  <c r="AX1098" i="8"/>
  <c r="AX1099" i="8"/>
  <c r="AX1100" i="8"/>
  <c r="AX1101" i="8"/>
  <c r="AX1102" i="8"/>
  <c r="AX1103" i="8"/>
  <c r="AX1104" i="8"/>
  <c r="AX1105" i="8"/>
  <c r="AX1106" i="8"/>
  <c r="AX1107" i="8"/>
  <c r="AX1108" i="8"/>
  <c r="AX1109" i="8"/>
  <c r="AX1110" i="8"/>
  <c r="AX1111" i="8"/>
  <c r="AX1112" i="8"/>
  <c r="AX1113" i="8"/>
  <c r="AX1114" i="8"/>
  <c r="AX1115" i="8"/>
  <c r="AX1116" i="8"/>
  <c r="AX1117" i="8"/>
  <c r="AX1118" i="8"/>
  <c r="AX1119" i="8"/>
  <c r="AX1120" i="8"/>
  <c r="AX1121" i="8"/>
  <c r="AX1122" i="8"/>
  <c r="AX1123" i="8"/>
  <c r="AX1124" i="8"/>
  <c r="AX1125" i="8"/>
  <c r="AX1126" i="8"/>
  <c r="AX1127" i="8"/>
  <c r="AX1128" i="8"/>
  <c r="AY15" i="8"/>
  <c r="AY16" i="8"/>
  <c r="AY17" i="8"/>
  <c r="AY18" i="8"/>
  <c r="AY19" i="8"/>
  <c r="AY20" i="8"/>
  <c r="AY21" i="8"/>
  <c r="AY22" i="8"/>
  <c r="AY23" i="8"/>
  <c r="AY24" i="8"/>
  <c r="AY25" i="8"/>
  <c r="AY26" i="8"/>
  <c r="AY27" i="8"/>
  <c r="AY28" i="8"/>
  <c r="AY29" i="8"/>
  <c r="AY30" i="8"/>
  <c r="AY31" i="8"/>
  <c r="AY32" i="8"/>
  <c r="AY33" i="8"/>
  <c r="AY34" i="8"/>
  <c r="AY35" i="8"/>
  <c r="AY36" i="8"/>
  <c r="AY37" i="8"/>
  <c r="AY38" i="8"/>
  <c r="AY39" i="8"/>
  <c r="AY40" i="8"/>
  <c r="AY41" i="8"/>
  <c r="AY42" i="8"/>
  <c r="AY43" i="8"/>
  <c r="AY44" i="8"/>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Y164" i="8"/>
  <c r="AY165" i="8"/>
  <c r="AY166" i="8"/>
  <c r="AY167" i="8"/>
  <c r="AY168" i="8"/>
  <c r="AY169" i="8"/>
  <c r="AY170" i="8"/>
  <c r="AY171" i="8"/>
  <c r="AY172" i="8"/>
  <c r="AY173" i="8"/>
  <c r="AY174" i="8"/>
  <c r="AY175" i="8"/>
  <c r="AY176" i="8"/>
  <c r="AY177" i="8"/>
  <c r="AY178" i="8"/>
  <c r="AY179" i="8"/>
  <c r="AY180" i="8"/>
  <c r="AY181" i="8"/>
  <c r="AY182" i="8"/>
  <c r="AY183" i="8"/>
  <c r="AY184" i="8"/>
  <c r="AY185" i="8"/>
  <c r="AY186" i="8"/>
  <c r="AY187" i="8"/>
  <c r="AY188" i="8"/>
  <c r="AY189" i="8"/>
  <c r="AY190" i="8"/>
  <c r="AY191" i="8"/>
  <c r="AY192" i="8"/>
  <c r="AY193" i="8"/>
  <c r="AY194" i="8"/>
  <c r="AY195" i="8"/>
  <c r="AY196" i="8"/>
  <c r="AY197" i="8"/>
  <c r="AY198" i="8"/>
  <c r="AY199" i="8"/>
  <c r="AY200" i="8"/>
  <c r="AY201" i="8"/>
  <c r="AY202" i="8"/>
  <c r="AY203" i="8"/>
  <c r="AY204" i="8"/>
  <c r="AY205" i="8"/>
  <c r="AY206" i="8"/>
  <c r="AY207" i="8"/>
  <c r="AY208" i="8"/>
  <c r="AY209" i="8"/>
  <c r="AY210" i="8"/>
  <c r="AY211" i="8"/>
  <c r="AY212" i="8"/>
  <c r="AY213" i="8"/>
  <c r="AY214" i="8"/>
  <c r="AY215" i="8"/>
  <c r="AY216" i="8"/>
  <c r="AY217" i="8"/>
  <c r="AY218" i="8"/>
  <c r="AY219" i="8"/>
  <c r="AY220" i="8"/>
  <c r="AY221" i="8"/>
  <c r="AY222" i="8"/>
  <c r="AY223" i="8"/>
  <c r="AY224" i="8"/>
  <c r="AY225" i="8"/>
  <c r="AY226" i="8"/>
  <c r="AY227" i="8"/>
  <c r="AY228" i="8"/>
  <c r="AY229" i="8"/>
  <c r="AY230" i="8"/>
  <c r="AY231" i="8"/>
  <c r="AY232" i="8"/>
  <c r="AY233" i="8"/>
  <c r="AY234" i="8"/>
  <c r="AY235" i="8"/>
  <c r="AY236" i="8"/>
  <c r="AY237" i="8"/>
  <c r="AY238" i="8"/>
  <c r="AY239" i="8"/>
  <c r="AY240" i="8"/>
  <c r="AY241" i="8"/>
  <c r="AY242" i="8"/>
  <c r="AY243" i="8"/>
  <c r="AY244" i="8"/>
  <c r="AY245" i="8"/>
  <c r="AY246" i="8"/>
  <c r="AY247" i="8"/>
  <c r="AY248" i="8"/>
  <c r="AY249" i="8"/>
  <c r="AY250" i="8"/>
  <c r="AY251" i="8"/>
  <c r="AY252" i="8"/>
  <c r="AY253" i="8"/>
  <c r="AY254" i="8"/>
  <c r="AY255" i="8"/>
  <c r="AY256" i="8"/>
  <c r="AY257" i="8"/>
  <c r="AY258" i="8"/>
  <c r="AY259" i="8"/>
  <c r="AY260" i="8"/>
  <c r="AY261" i="8"/>
  <c r="AY262" i="8"/>
  <c r="AY263" i="8"/>
  <c r="AY264" i="8"/>
  <c r="AY265" i="8"/>
  <c r="AY266" i="8"/>
  <c r="AY267" i="8"/>
  <c r="AY268" i="8"/>
  <c r="AY269" i="8"/>
  <c r="AY270" i="8"/>
  <c r="AY271" i="8"/>
  <c r="AY272" i="8"/>
  <c r="AY273" i="8"/>
  <c r="AY274" i="8"/>
  <c r="AY275" i="8"/>
  <c r="AY276" i="8"/>
  <c r="AY277" i="8"/>
  <c r="AY278" i="8"/>
  <c r="AY279" i="8"/>
  <c r="AY280" i="8"/>
  <c r="AY281" i="8"/>
  <c r="AY282" i="8"/>
  <c r="AY283" i="8"/>
  <c r="AY284" i="8"/>
  <c r="AY285" i="8"/>
  <c r="AY286" i="8"/>
  <c r="AY287" i="8"/>
  <c r="AY288" i="8"/>
  <c r="AY289" i="8"/>
  <c r="AY290" i="8"/>
  <c r="AY291" i="8"/>
  <c r="AY292" i="8"/>
  <c r="AY293" i="8"/>
  <c r="AY294" i="8"/>
  <c r="AY295" i="8"/>
  <c r="AY296" i="8"/>
  <c r="AY297" i="8"/>
  <c r="AY298" i="8"/>
  <c r="AY299" i="8"/>
  <c r="AY300" i="8"/>
  <c r="AY301" i="8"/>
  <c r="AY302" i="8"/>
  <c r="AY303" i="8"/>
  <c r="AY304" i="8"/>
  <c r="AY305" i="8"/>
  <c r="AY306" i="8"/>
  <c r="AY307" i="8"/>
  <c r="AY308" i="8"/>
  <c r="AY309" i="8"/>
  <c r="AY310" i="8"/>
  <c r="AY311" i="8"/>
  <c r="AY312" i="8"/>
  <c r="AY313" i="8"/>
  <c r="AY314" i="8"/>
  <c r="AY315" i="8"/>
  <c r="AY316" i="8"/>
  <c r="AY317" i="8"/>
  <c r="AY318" i="8"/>
  <c r="AY319" i="8"/>
  <c r="AY320" i="8"/>
  <c r="AY321" i="8"/>
  <c r="AY322" i="8"/>
  <c r="AY323" i="8"/>
  <c r="AY324" i="8"/>
  <c r="AY325" i="8"/>
  <c r="AY326" i="8"/>
  <c r="AY327" i="8"/>
  <c r="AY328" i="8"/>
  <c r="AY329" i="8"/>
  <c r="AY330" i="8"/>
  <c r="AY331" i="8"/>
  <c r="AY332" i="8"/>
  <c r="AY333" i="8"/>
  <c r="AY334" i="8"/>
  <c r="AY335" i="8"/>
  <c r="AY336" i="8"/>
  <c r="AY337" i="8"/>
  <c r="AY338" i="8"/>
  <c r="AY339" i="8"/>
  <c r="AY340" i="8"/>
  <c r="AY341" i="8"/>
  <c r="AY342" i="8"/>
  <c r="AY343" i="8"/>
  <c r="AY344" i="8"/>
  <c r="AY345" i="8"/>
  <c r="AY346" i="8"/>
  <c r="AY347" i="8"/>
  <c r="AY348" i="8"/>
  <c r="AY349" i="8"/>
  <c r="AY350" i="8"/>
  <c r="AY351" i="8"/>
  <c r="AY352" i="8"/>
  <c r="AY353" i="8"/>
  <c r="AY354" i="8"/>
  <c r="AY355" i="8"/>
  <c r="AY356" i="8"/>
  <c r="AY357" i="8"/>
  <c r="AY358" i="8"/>
  <c r="AY359" i="8"/>
  <c r="AY360" i="8"/>
  <c r="AY361" i="8"/>
  <c r="AY362" i="8"/>
  <c r="AY363" i="8"/>
  <c r="AY364" i="8"/>
  <c r="AY365" i="8"/>
  <c r="AY366" i="8"/>
  <c r="AY367" i="8"/>
  <c r="AY368" i="8"/>
  <c r="AY369" i="8"/>
  <c r="AY370" i="8"/>
  <c r="AY371" i="8"/>
  <c r="AY372" i="8"/>
  <c r="AY373" i="8"/>
  <c r="AY374" i="8"/>
  <c r="AY375" i="8"/>
  <c r="AY376" i="8"/>
  <c r="AY377" i="8"/>
  <c r="AY378" i="8"/>
  <c r="AY379" i="8"/>
  <c r="AY380" i="8"/>
  <c r="AY381" i="8"/>
  <c r="AY382" i="8"/>
  <c r="AY383" i="8"/>
  <c r="AY384" i="8"/>
  <c r="AY385" i="8"/>
  <c r="AY386" i="8"/>
  <c r="AY387" i="8"/>
  <c r="AY388" i="8"/>
  <c r="AY389" i="8"/>
  <c r="AY390" i="8"/>
  <c r="AY391" i="8"/>
  <c r="AY392" i="8"/>
  <c r="AY393" i="8"/>
  <c r="AY394" i="8"/>
  <c r="AY395" i="8"/>
  <c r="AY396" i="8"/>
  <c r="AY397" i="8"/>
  <c r="AY398" i="8"/>
  <c r="AY399" i="8"/>
  <c r="AY400" i="8"/>
  <c r="AY401" i="8"/>
  <c r="AY402" i="8"/>
  <c r="AY403" i="8"/>
  <c r="AY404" i="8"/>
  <c r="AY405" i="8"/>
  <c r="AY406" i="8"/>
  <c r="AY407" i="8"/>
  <c r="AY408" i="8"/>
  <c r="AY409" i="8"/>
  <c r="AY410" i="8"/>
  <c r="AY411" i="8"/>
  <c r="AY412" i="8"/>
  <c r="AY413" i="8"/>
  <c r="AY414" i="8"/>
  <c r="AY415" i="8"/>
  <c r="AY416" i="8"/>
  <c r="AY417" i="8"/>
  <c r="AY418" i="8"/>
  <c r="AY419" i="8"/>
  <c r="AY420" i="8"/>
  <c r="AY421" i="8"/>
  <c r="AY422" i="8"/>
  <c r="AY423" i="8"/>
  <c r="AY424" i="8"/>
  <c r="AY425" i="8"/>
  <c r="AY426" i="8"/>
  <c r="AY427" i="8"/>
  <c r="AY428" i="8"/>
  <c r="AY429" i="8"/>
  <c r="AY430" i="8"/>
  <c r="AY431" i="8"/>
  <c r="AY432" i="8"/>
  <c r="AY433" i="8"/>
  <c r="AY434" i="8"/>
  <c r="AY435" i="8"/>
  <c r="AY436" i="8"/>
  <c r="AY437" i="8"/>
  <c r="AY438" i="8"/>
  <c r="AY439" i="8"/>
  <c r="AY440" i="8"/>
  <c r="AY441" i="8"/>
  <c r="AY442" i="8"/>
  <c r="AY443" i="8"/>
  <c r="AY444" i="8"/>
  <c r="AY445" i="8"/>
  <c r="AY446" i="8"/>
  <c r="AY447" i="8"/>
  <c r="AY448" i="8"/>
  <c r="AY449" i="8"/>
  <c r="AY450" i="8"/>
  <c r="AY451" i="8"/>
  <c r="AY452" i="8"/>
  <c r="AY453" i="8"/>
  <c r="AY454" i="8"/>
  <c r="AY455" i="8"/>
  <c r="AY456" i="8"/>
  <c r="AY457" i="8"/>
  <c r="AY458" i="8"/>
  <c r="AY459" i="8"/>
  <c r="AY460" i="8"/>
  <c r="AY461" i="8"/>
  <c r="AY462" i="8"/>
  <c r="AY463" i="8"/>
  <c r="AY464" i="8"/>
  <c r="AY465" i="8"/>
  <c r="AY466" i="8"/>
  <c r="AY467" i="8"/>
  <c r="AY468" i="8"/>
  <c r="AY469" i="8"/>
  <c r="AY470" i="8"/>
  <c r="AY471" i="8"/>
  <c r="AY472" i="8"/>
  <c r="AY473" i="8"/>
  <c r="AY474" i="8"/>
  <c r="AY475" i="8"/>
  <c r="AY476" i="8"/>
  <c r="AY477" i="8"/>
  <c r="AY478" i="8"/>
  <c r="AY479" i="8"/>
  <c r="AY480" i="8"/>
  <c r="AY481" i="8"/>
  <c r="AY482" i="8"/>
  <c r="AY483" i="8"/>
  <c r="AY484" i="8"/>
  <c r="AY485" i="8"/>
  <c r="AY486" i="8"/>
  <c r="AY487" i="8"/>
  <c r="AY488" i="8"/>
  <c r="AY489" i="8"/>
  <c r="AY490" i="8"/>
  <c r="AY491" i="8"/>
  <c r="AY492" i="8"/>
  <c r="AY493" i="8"/>
  <c r="AY494" i="8"/>
  <c r="AY495" i="8"/>
  <c r="AY496" i="8"/>
  <c r="AY497" i="8"/>
  <c r="AY498" i="8"/>
  <c r="AY499" i="8"/>
  <c r="AY500" i="8"/>
  <c r="AY501" i="8"/>
  <c r="AY502" i="8"/>
  <c r="AY503" i="8"/>
  <c r="AY504" i="8"/>
  <c r="AY505" i="8"/>
  <c r="AY506" i="8"/>
  <c r="AY507" i="8"/>
  <c r="AY508" i="8"/>
  <c r="AY509" i="8"/>
  <c r="AY510" i="8"/>
  <c r="AY511" i="8"/>
  <c r="AY512" i="8"/>
  <c r="AY513" i="8"/>
  <c r="AY514" i="8"/>
  <c r="AY515" i="8"/>
  <c r="AY516" i="8"/>
  <c r="AY517" i="8"/>
  <c r="AY518" i="8"/>
  <c r="AY519" i="8"/>
  <c r="AY520" i="8"/>
  <c r="AY521" i="8"/>
  <c r="AY522" i="8"/>
  <c r="AY523" i="8"/>
  <c r="AY524" i="8"/>
  <c r="AY525" i="8"/>
  <c r="AY526" i="8"/>
  <c r="AY527" i="8"/>
  <c r="AY528" i="8"/>
  <c r="AY529" i="8"/>
  <c r="AY530" i="8"/>
  <c r="AY531" i="8"/>
  <c r="AY532" i="8"/>
  <c r="AY533" i="8"/>
  <c r="AY534" i="8"/>
  <c r="AY535" i="8"/>
  <c r="AY536" i="8"/>
  <c r="AY537" i="8"/>
  <c r="AY538" i="8"/>
  <c r="AY539" i="8"/>
  <c r="AY540" i="8"/>
  <c r="AY541" i="8"/>
  <c r="AY542" i="8"/>
  <c r="AY543" i="8"/>
  <c r="AY544" i="8"/>
  <c r="AY545" i="8"/>
  <c r="AY546" i="8"/>
  <c r="AY547" i="8"/>
  <c r="AY548" i="8"/>
  <c r="AY549" i="8"/>
  <c r="AY550" i="8"/>
  <c r="AY551" i="8"/>
  <c r="AY552" i="8"/>
  <c r="AY553" i="8"/>
  <c r="AY554" i="8"/>
  <c r="AY555" i="8"/>
  <c r="AY556" i="8"/>
  <c r="AY557" i="8"/>
  <c r="AY558" i="8"/>
  <c r="AY559" i="8"/>
  <c r="AY560" i="8"/>
  <c r="AY561" i="8"/>
  <c r="AY562" i="8"/>
  <c r="AY563" i="8"/>
  <c r="AY564" i="8"/>
  <c r="AY565" i="8"/>
  <c r="AY566" i="8"/>
  <c r="AY567" i="8"/>
  <c r="AY568" i="8"/>
  <c r="AY569" i="8"/>
  <c r="AY570" i="8"/>
  <c r="AY571" i="8"/>
  <c r="AY572" i="8"/>
  <c r="AY573" i="8"/>
  <c r="AY574" i="8"/>
  <c r="AY575" i="8"/>
  <c r="AY576" i="8"/>
  <c r="AY577" i="8"/>
  <c r="AY578" i="8"/>
  <c r="AY579" i="8"/>
  <c r="AY580" i="8"/>
  <c r="AY581" i="8"/>
  <c r="AY582" i="8"/>
  <c r="AY583" i="8"/>
  <c r="AY584" i="8"/>
  <c r="AY585" i="8"/>
  <c r="AY586" i="8"/>
  <c r="AY587" i="8"/>
  <c r="AY588" i="8"/>
  <c r="AY589" i="8"/>
  <c r="AY590" i="8"/>
  <c r="AY591" i="8"/>
  <c r="AY592" i="8"/>
  <c r="AY593" i="8"/>
  <c r="AY594" i="8"/>
  <c r="AY595" i="8"/>
  <c r="AY596" i="8"/>
  <c r="AY597" i="8"/>
  <c r="AY598" i="8"/>
  <c r="AY599" i="8"/>
  <c r="AY600" i="8"/>
  <c r="AY601" i="8"/>
  <c r="AY602" i="8"/>
  <c r="AY603" i="8"/>
  <c r="AY604" i="8"/>
  <c r="AY605" i="8"/>
  <c r="AY606" i="8"/>
  <c r="AY607" i="8"/>
  <c r="AY608" i="8"/>
  <c r="AY609" i="8"/>
  <c r="AY610" i="8"/>
  <c r="AY611" i="8"/>
  <c r="AY612" i="8"/>
  <c r="AY613" i="8"/>
  <c r="AY614" i="8"/>
  <c r="AY615" i="8"/>
  <c r="AY616" i="8"/>
  <c r="AY617" i="8"/>
  <c r="AY618" i="8"/>
  <c r="AY619" i="8"/>
  <c r="AY620" i="8"/>
  <c r="AY621" i="8"/>
  <c r="AY622" i="8"/>
  <c r="AY623" i="8"/>
  <c r="AY624" i="8"/>
  <c r="AY625" i="8"/>
  <c r="AY626" i="8"/>
  <c r="AY627" i="8"/>
  <c r="AY628" i="8"/>
  <c r="AY629" i="8"/>
  <c r="AY630" i="8"/>
  <c r="AY631" i="8"/>
  <c r="AY632" i="8"/>
  <c r="AY633" i="8"/>
  <c r="AY634" i="8"/>
  <c r="AY635" i="8"/>
  <c r="AY636" i="8"/>
  <c r="AY637" i="8"/>
  <c r="AY638" i="8"/>
  <c r="AY639" i="8"/>
  <c r="AY640" i="8"/>
  <c r="AY641" i="8"/>
  <c r="AY642" i="8"/>
  <c r="AY643" i="8"/>
  <c r="AY644" i="8"/>
  <c r="AY645" i="8"/>
  <c r="AY646" i="8"/>
  <c r="AY647" i="8"/>
  <c r="AY648" i="8"/>
  <c r="AY649" i="8"/>
  <c r="AY650" i="8"/>
  <c r="AY651" i="8"/>
  <c r="AY652" i="8"/>
  <c r="AY653" i="8"/>
  <c r="AY654" i="8"/>
  <c r="AY655" i="8"/>
  <c r="AY656" i="8"/>
  <c r="AY657" i="8"/>
  <c r="AY658" i="8"/>
  <c r="AY659" i="8"/>
  <c r="AY660" i="8"/>
  <c r="AY661" i="8"/>
  <c r="AY662" i="8"/>
  <c r="AY663" i="8"/>
  <c r="AY664" i="8"/>
  <c r="AY665" i="8"/>
  <c r="AY666" i="8"/>
  <c r="AY667" i="8"/>
  <c r="AY668" i="8"/>
  <c r="AY669" i="8"/>
  <c r="AY670" i="8"/>
  <c r="AY671" i="8"/>
  <c r="AY672" i="8"/>
  <c r="AY673" i="8"/>
  <c r="AY674" i="8"/>
  <c r="AY675" i="8"/>
  <c r="AY676" i="8"/>
  <c r="AY677" i="8"/>
  <c r="AY678" i="8"/>
  <c r="AY679" i="8"/>
  <c r="AY680" i="8"/>
  <c r="AY681" i="8"/>
  <c r="AY682" i="8"/>
  <c r="AY683" i="8"/>
  <c r="AY684" i="8"/>
  <c r="AY685" i="8"/>
  <c r="AY686" i="8"/>
  <c r="AY687" i="8"/>
  <c r="AY688" i="8"/>
  <c r="AY689" i="8"/>
  <c r="AY690" i="8"/>
  <c r="AY691" i="8"/>
  <c r="AY692" i="8"/>
  <c r="AY693" i="8"/>
  <c r="AY694" i="8"/>
  <c r="AY695" i="8"/>
  <c r="AY696" i="8"/>
  <c r="AY697" i="8"/>
  <c r="AY698" i="8"/>
  <c r="AY699" i="8"/>
  <c r="AY700" i="8"/>
  <c r="AY701" i="8"/>
  <c r="AY702" i="8"/>
  <c r="AY703" i="8"/>
  <c r="AY704" i="8"/>
  <c r="AY705" i="8"/>
  <c r="AY706" i="8"/>
  <c r="AY707" i="8"/>
  <c r="AY708" i="8"/>
  <c r="AY709" i="8"/>
  <c r="AY710" i="8"/>
  <c r="AY711" i="8"/>
  <c r="AY712" i="8"/>
  <c r="AY713" i="8"/>
  <c r="AY714" i="8"/>
  <c r="AY715" i="8"/>
  <c r="AY716" i="8"/>
  <c r="AY717" i="8"/>
  <c r="AY718" i="8"/>
  <c r="AY719" i="8"/>
  <c r="AY720" i="8"/>
  <c r="AY721" i="8"/>
  <c r="AY722" i="8"/>
  <c r="AY723" i="8"/>
  <c r="AY724" i="8"/>
  <c r="AY725" i="8"/>
  <c r="AY726" i="8"/>
  <c r="AY727" i="8"/>
  <c r="AY728" i="8"/>
  <c r="AY729" i="8"/>
  <c r="AY730" i="8"/>
  <c r="AY731" i="8"/>
  <c r="AY732" i="8"/>
  <c r="AY733" i="8"/>
  <c r="AY734" i="8"/>
  <c r="AY735" i="8"/>
  <c r="AY736" i="8"/>
  <c r="AY737" i="8"/>
  <c r="AY738" i="8"/>
  <c r="AY739" i="8"/>
  <c r="AY740" i="8"/>
  <c r="AY741" i="8"/>
  <c r="AY742" i="8"/>
  <c r="AY743" i="8"/>
  <c r="AY744" i="8"/>
  <c r="AY745" i="8"/>
  <c r="AY746" i="8"/>
  <c r="AY747" i="8"/>
  <c r="AY748" i="8"/>
  <c r="AY749" i="8"/>
  <c r="AY750" i="8"/>
  <c r="AY751" i="8"/>
  <c r="AY752" i="8"/>
  <c r="AY753" i="8"/>
  <c r="AY754" i="8"/>
  <c r="AY755" i="8"/>
  <c r="AY756" i="8"/>
  <c r="AY757" i="8"/>
  <c r="AY758" i="8"/>
  <c r="AY759" i="8"/>
  <c r="AY760" i="8"/>
  <c r="AY761" i="8"/>
  <c r="AY762" i="8"/>
  <c r="AY763" i="8"/>
  <c r="AY764" i="8"/>
  <c r="AY765" i="8"/>
  <c r="AY766" i="8"/>
  <c r="AY767" i="8"/>
  <c r="AY768" i="8"/>
  <c r="AY769" i="8"/>
  <c r="AY770" i="8"/>
  <c r="AY771" i="8"/>
  <c r="AY772" i="8"/>
  <c r="AY773" i="8"/>
  <c r="AY774" i="8"/>
  <c r="AY775" i="8"/>
  <c r="AY776" i="8"/>
  <c r="AY777" i="8"/>
  <c r="AY778" i="8"/>
  <c r="AY779" i="8"/>
  <c r="AY780" i="8"/>
  <c r="AY781" i="8"/>
  <c r="AY782" i="8"/>
  <c r="AY783" i="8"/>
  <c r="AY784" i="8"/>
  <c r="AY785" i="8"/>
  <c r="AY786" i="8"/>
  <c r="AY787" i="8"/>
  <c r="AY788" i="8"/>
  <c r="AY789" i="8"/>
  <c r="AY790" i="8"/>
  <c r="AY791" i="8"/>
  <c r="AY792" i="8"/>
  <c r="AY793" i="8"/>
  <c r="AY794" i="8"/>
  <c r="AY795" i="8"/>
  <c r="AY796" i="8"/>
  <c r="AY797" i="8"/>
  <c r="AY798" i="8"/>
  <c r="AY799" i="8"/>
  <c r="AY800" i="8"/>
  <c r="AY801" i="8"/>
  <c r="AY802" i="8"/>
  <c r="AY803" i="8"/>
  <c r="AY804" i="8"/>
  <c r="AY805" i="8"/>
  <c r="AY806" i="8"/>
  <c r="AY807" i="8"/>
  <c r="AY808" i="8"/>
  <c r="AY809" i="8"/>
  <c r="AY810" i="8"/>
  <c r="AY811" i="8"/>
  <c r="AY812" i="8"/>
  <c r="AY813" i="8"/>
  <c r="AY814" i="8"/>
  <c r="AY815" i="8"/>
  <c r="AY816" i="8"/>
  <c r="AY817" i="8"/>
  <c r="AY818" i="8"/>
  <c r="AY819" i="8"/>
  <c r="AY820" i="8"/>
  <c r="AY821" i="8"/>
  <c r="AY822" i="8"/>
  <c r="AY823" i="8"/>
  <c r="AY824" i="8"/>
  <c r="AY825" i="8"/>
  <c r="AY826" i="8"/>
  <c r="AY827" i="8"/>
  <c r="AY828" i="8"/>
  <c r="AY829" i="8"/>
  <c r="AY830" i="8"/>
  <c r="AY831" i="8"/>
  <c r="AY832" i="8"/>
  <c r="AY833" i="8"/>
  <c r="AY834" i="8"/>
  <c r="AY835" i="8"/>
  <c r="AY836" i="8"/>
  <c r="AY837" i="8"/>
  <c r="AY838" i="8"/>
  <c r="AY839" i="8"/>
  <c r="AY840" i="8"/>
  <c r="AY841" i="8"/>
  <c r="AY842" i="8"/>
  <c r="AY843" i="8"/>
  <c r="AY844" i="8"/>
  <c r="AY845" i="8"/>
  <c r="AY846" i="8"/>
  <c r="AY847" i="8"/>
  <c r="AY848" i="8"/>
  <c r="AY849" i="8"/>
  <c r="AY850" i="8"/>
  <c r="AY851" i="8"/>
  <c r="AY852" i="8"/>
  <c r="AY853" i="8"/>
  <c r="AY854" i="8"/>
  <c r="AY855" i="8"/>
  <c r="AY856" i="8"/>
  <c r="AY857" i="8"/>
  <c r="AY858" i="8"/>
  <c r="AY859" i="8"/>
  <c r="AY860" i="8"/>
  <c r="AY861" i="8"/>
  <c r="AY862" i="8"/>
  <c r="AY863" i="8"/>
  <c r="AY864" i="8"/>
  <c r="AY865" i="8"/>
  <c r="AY866" i="8"/>
  <c r="AY867" i="8"/>
  <c r="AY868" i="8"/>
  <c r="AY869" i="8"/>
  <c r="AY870" i="8"/>
  <c r="AY871" i="8"/>
  <c r="AY872" i="8"/>
  <c r="AY873" i="8"/>
  <c r="AY874" i="8"/>
  <c r="AY875" i="8"/>
  <c r="AY876" i="8"/>
  <c r="AY877" i="8"/>
  <c r="AY878" i="8"/>
  <c r="AY879" i="8"/>
  <c r="AY880" i="8"/>
  <c r="AY881" i="8"/>
  <c r="AY882" i="8"/>
  <c r="AY883" i="8"/>
  <c r="AY884" i="8"/>
  <c r="AY885" i="8"/>
  <c r="AY886" i="8"/>
  <c r="AY887" i="8"/>
  <c r="AY888" i="8"/>
  <c r="AY889" i="8"/>
  <c r="AY890" i="8"/>
  <c r="AY891" i="8"/>
  <c r="AY892" i="8"/>
  <c r="AY893" i="8"/>
  <c r="AY894" i="8"/>
  <c r="AY895" i="8"/>
  <c r="AY896" i="8"/>
  <c r="AY897" i="8"/>
  <c r="AY898" i="8"/>
  <c r="AY899" i="8"/>
  <c r="AY900" i="8"/>
  <c r="AY901" i="8"/>
  <c r="AY902" i="8"/>
  <c r="AY903" i="8"/>
  <c r="AY904" i="8"/>
  <c r="AY905" i="8"/>
  <c r="AY906" i="8"/>
  <c r="AY907" i="8"/>
  <c r="AY908" i="8"/>
  <c r="AY909" i="8"/>
  <c r="AY910" i="8"/>
  <c r="AY911" i="8"/>
  <c r="AY912" i="8"/>
  <c r="AY913" i="8"/>
  <c r="AY914" i="8"/>
  <c r="AY915" i="8"/>
  <c r="AY916" i="8"/>
  <c r="AY917" i="8"/>
  <c r="AY918" i="8"/>
  <c r="AY919" i="8"/>
  <c r="AY920" i="8"/>
  <c r="AY921" i="8"/>
  <c r="AY922" i="8"/>
  <c r="AY923" i="8"/>
  <c r="AY924" i="8"/>
  <c r="AY925" i="8"/>
  <c r="AY926" i="8"/>
  <c r="AY927" i="8"/>
  <c r="AY928" i="8"/>
  <c r="AY929" i="8"/>
  <c r="AY930" i="8"/>
  <c r="AY931" i="8"/>
  <c r="AY932" i="8"/>
  <c r="AY933" i="8"/>
  <c r="AY934" i="8"/>
  <c r="AY935" i="8"/>
  <c r="AY936" i="8"/>
  <c r="AY937" i="8"/>
  <c r="AY938" i="8"/>
  <c r="AY939" i="8"/>
  <c r="AY940" i="8"/>
  <c r="AY941" i="8"/>
  <c r="AY942" i="8"/>
  <c r="AY943" i="8"/>
  <c r="AY944" i="8"/>
  <c r="AY945" i="8"/>
  <c r="AY946" i="8"/>
  <c r="AY947" i="8"/>
  <c r="AY948" i="8"/>
  <c r="AY949" i="8"/>
  <c r="AY950" i="8"/>
  <c r="AY951" i="8"/>
  <c r="AY952" i="8"/>
  <c r="AY953" i="8"/>
  <c r="AY954" i="8"/>
  <c r="AY955" i="8"/>
  <c r="AY956" i="8"/>
  <c r="AY957" i="8"/>
  <c r="AY958" i="8"/>
  <c r="AY959" i="8"/>
  <c r="AY960" i="8"/>
  <c r="AY961" i="8"/>
  <c r="AY962" i="8"/>
  <c r="AY963" i="8"/>
  <c r="AY964" i="8"/>
  <c r="AY965" i="8"/>
  <c r="AY966" i="8"/>
  <c r="AY967" i="8"/>
  <c r="AY968" i="8"/>
  <c r="AY969" i="8"/>
  <c r="AY970" i="8"/>
  <c r="AY971" i="8"/>
  <c r="AY972" i="8"/>
  <c r="AY973" i="8"/>
  <c r="AY974" i="8"/>
  <c r="AY975" i="8"/>
  <c r="AY976" i="8"/>
  <c r="AY977" i="8"/>
  <c r="AY978" i="8"/>
  <c r="AY979" i="8"/>
  <c r="AY980" i="8"/>
  <c r="AY981" i="8"/>
  <c r="AY982" i="8"/>
  <c r="AY983" i="8"/>
  <c r="AY984" i="8"/>
  <c r="AY985" i="8"/>
  <c r="AY986" i="8"/>
  <c r="AY987" i="8"/>
  <c r="AY988" i="8"/>
  <c r="AY989" i="8"/>
  <c r="AY990" i="8"/>
  <c r="AY991" i="8"/>
  <c r="AY992" i="8"/>
  <c r="AY993" i="8"/>
  <c r="AY994" i="8"/>
  <c r="AY995" i="8"/>
  <c r="AY996" i="8"/>
  <c r="AY997" i="8"/>
  <c r="AY998" i="8"/>
  <c r="AY999" i="8"/>
  <c r="AY1000" i="8"/>
  <c r="AY1001" i="8"/>
  <c r="AY1002" i="8"/>
  <c r="AY1003" i="8"/>
  <c r="AY1004" i="8"/>
  <c r="AY1005" i="8"/>
  <c r="AY1006" i="8"/>
  <c r="AY1007" i="8"/>
  <c r="AY1008" i="8"/>
  <c r="AY1009" i="8"/>
  <c r="AY1010" i="8"/>
  <c r="AY1011" i="8"/>
  <c r="AY1012" i="8"/>
  <c r="AY1013" i="8"/>
  <c r="AY1014" i="8"/>
  <c r="AY1015" i="8"/>
  <c r="AY1016" i="8"/>
  <c r="AY1017" i="8"/>
  <c r="AY1018" i="8"/>
  <c r="AY1019" i="8"/>
  <c r="AY1020" i="8"/>
  <c r="AY1021" i="8"/>
  <c r="AY1022" i="8"/>
  <c r="AY1023" i="8"/>
  <c r="AY1024" i="8"/>
  <c r="AY1025" i="8"/>
  <c r="AY1026" i="8"/>
  <c r="AY1027" i="8"/>
  <c r="AY1028" i="8"/>
  <c r="AY1029" i="8"/>
  <c r="AY1030" i="8"/>
  <c r="AY1031" i="8"/>
  <c r="AY1032" i="8"/>
  <c r="AY1033" i="8"/>
  <c r="AY1034" i="8"/>
  <c r="AY1035" i="8"/>
  <c r="AY1036" i="8"/>
  <c r="AY1037" i="8"/>
  <c r="AY1038" i="8"/>
  <c r="AY1039" i="8"/>
  <c r="AY1040" i="8"/>
  <c r="AY1041" i="8"/>
  <c r="AY1042" i="8"/>
  <c r="AY1043" i="8"/>
  <c r="AY1044" i="8"/>
  <c r="AY1045" i="8"/>
  <c r="AY1046" i="8"/>
  <c r="AY1047" i="8"/>
  <c r="AY1048" i="8"/>
  <c r="AY1049" i="8"/>
  <c r="AY1050" i="8"/>
  <c r="AY1051" i="8"/>
  <c r="AY1052" i="8"/>
  <c r="AY1053" i="8"/>
  <c r="AY1054" i="8"/>
  <c r="AY1055" i="8"/>
  <c r="AY1056" i="8"/>
  <c r="AY1057" i="8"/>
  <c r="AY1058" i="8"/>
  <c r="AY1059" i="8"/>
  <c r="AY1060" i="8"/>
  <c r="AY1061" i="8"/>
  <c r="AY1062" i="8"/>
  <c r="AY1063" i="8"/>
  <c r="AY1064" i="8"/>
  <c r="AY1065" i="8"/>
  <c r="AY1066" i="8"/>
  <c r="AY1067" i="8"/>
  <c r="AY1068" i="8"/>
  <c r="AY1069" i="8"/>
  <c r="AY1070" i="8"/>
  <c r="AY1071" i="8"/>
  <c r="AY1072" i="8"/>
  <c r="AY1073" i="8"/>
  <c r="AY1074" i="8"/>
  <c r="AY1075" i="8"/>
  <c r="AY1076" i="8"/>
  <c r="AY1077" i="8"/>
  <c r="AY1078" i="8"/>
  <c r="AY1079" i="8"/>
  <c r="AY1080" i="8"/>
  <c r="AY1081" i="8"/>
  <c r="AY1082" i="8"/>
  <c r="AY1083" i="8"/>
  <c r="AY1084" i="8"/>
  <c r="AY1085" i="8"/>
  <c r="AY1086" i="8"/>
  <c r="AY1087" i="8"/>
  <c r="AY1088" i="8"/>
  <c r="AY1089" i="8"/>
  <c r="AY1090" i="8"/>
  <c r="AY1091" i="8"/>
  <c r="AY1092" i="8"/>
  <c r="AY1093" i="8"/>
  <c r="AY1094" i="8"/>
  <c r="AY1095" i="8"/>
  <c r="AY1096" i="8"/>
  <c r="AY1097" i="8"/>
  <c r="AY1098" i="8"/>
  <c r="AY1099" i="8"/>
  <c r="AY1100" i="8"/>
  <c r="AY1101" i="8"/>
  <c r="AY1102" i="8"/>
  <c r="AY1103" i="8"/>
  <c r="AY1104" i="8"/>
  <c r="AY1105" i="8"/>
  <c r="AY1106" i="8"/>
  <c r="AY1107" i="8"/>
  <c r="AY1108" i="8"/>
  <c r="AY1109" i="8"/>
  <c r="AY1110" i="8"/>
  <c r="AY1111" i="8"/>
  <c r="AY1112" i="8"/>
  <c r="AY1113" i="8"/>
  <c r="AY1114" i="8"/>
  <c r="AY1115" i="8"/>
  <c r="AY1116" i="8"/>
  <c r="AY1117" i="8"/>
  <c r="AY1118" i="8"/>
  <c r="AY1119" i="8"/>
  <c r="AY1120" i="8"/>
  <c r="AY1121" i="8"/>
  <c r="AY1122" i="8"/>
  <c r="AY1123" i="8"/>
  <c r="AY1124" i="8"/>
  <c r="AY1125" i="8"/>
  <c r="AY1126" i="8"/>
  <c r="AY1127" i="8"/>
  <c r="AY1128" i="8"/>
  <c r="AZ15" i="8"/>
  <c r="AZ16" i="8"/>
  <c r="AZ17" i="8"/>
  <c r="AZ18" i="8"/>
  <c r="AZ19" i="8"/>
  <c r="AZ20" i="8"/>
  <c r="AZ21" i="8"/>
  <c r="AZ22" i="8"/>
  <c r="AZ23" i="8"/>
  <c r="AZ24" i="8"/>
  <c r="AZ25" i="8"/>
  <c r="AZ26" i="8"/>
  <c r="AZ27" i="8"/>
  <c r="AZ28" i="8"/>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Z110" i="8"/>
  <c r="AZ111" i="8"/>
  <c r="AZ112" i="8"/>
  <c r="AZ113" i="8"/>
  <c r="AZ114" i="8"/>
  <c r="AZ115" i="8"/>
  <c r="AZ116" i="8"/>
  <c r="AZ117" i="8"/>
  <c r="AZ118" i="8"/>
  <c r="AZ119" i="8"/>
  <c r="AZ120" i="8"/>
  <c r="AZ121" i="8"/>
  <c r="AZ122" i="8"/>
  <c r="AZ123" i="8"/>
  <c r="AZ124" i="8"/>
  <c r="AZ125" i="8"/>
  <c r="AZ126" i="8"/>
  <c r="AZ127" i="8"/>
  <c r="AZ128" i="8"/>
  <c r="AZ129" i="8"/>
  <c r="AZ130" i="8"/>
  <c r="AZ131" i="8"/>
  <c r="AZ132" i="8"/>
  <c r="AZ133" i="8"/>
  <c r="AZ134" i="8"/>
  <c r="AZ135" i="8"/>
  <c r="AZ136" i="8"/>
  <c r="AZ137" i="8"/>
  <c r="AZ138" i="8"/>
  <c r="AZ139" i="8"/>
  <c r="AZ140" i="8"/>
  <c r="AZ141" i="8"/>
  <c r="AZ142" i="8"/>
  <c r="AZ143" i="8"/>
  <c r="AZ144" i="8"/>
  <c r="AZ145" i="8"/>
  <c r="AZ146" i="8"/>
  <c r="AZ147" i="8"/>
  <c r="AZ148" i="8"/>
  <c r="AZ149" i="8"/>
  <c r="AZ150" i="8"/>
  <c r="AZ151" i="8"/>
  <c r="AZ152" i="8"/>
  <c r="AZ153" i="8"/>
  <c r="AZ154" i="8"/>
  <c r="AZ155" i="8"/>
  <c r="AZ156" i="8"/>
  <c r="AZ157" i="8"/>
  <c r="AZ158" i="8"/>
  <c r="AZ159" i="8"/>
  <c r="AZ160" i="8"/>
  <c r="AZ161" i="8"/>
  <c r="AZ162" i="8"/>
  <c r="AZ163" i="8"/>
  <c r="AZ164" i="8"/>
  <c r="AZ165" i="8"/>
  <c r="AZ166" i="8"/>
  <c r="AZ167" i="8"/>
  <c r="AZ168" i="8"/>
  <c r="AZ169" i="8"/>
  <c r="AZ170" i="8"/>
  <c r="AZ171" i="8"/>
  <c r="AZ172" i="8"/>
  <c r="AZ173" i="8"/>
  <c r="AZ174" i="8"/>
  <c r="AZ175" i="8"/>
  <c r="AZ176" i="8"/>
  <c r="AZ177" i="8"/>
  <c r="AZ178" i="8"/>
  <c r="AZ179" i="8"/>
  <c r="AZ180" i="8"/>
  <c r="AZ181" i="8"/>
  <c r="AZ182" i="8"/>
  <c r="AZ183" i="8"/>
  <c r="AZ184" i="8"/>
  <c r="AZ185" i="8"/>
  <c r="AZ186" i="8"/>
  <c r="AZ187" i="8"/>
  <c r="AZ188" i="8"/>
  <c r="AZ189" i="8"/>
  <c r="AZ190" i="8"/>
  <c r="AZ191" i="8"/>
  <c r="AZ192" i="8"/>
  <c r="AZ193" i="8"/>
  <c r="AZ194" i="8"/>
  <c r="AZ195" i="8"/>
  <c r="AZ196" i="8"/>
  <c r="AZ197" i="8"/>
  <c r="AZ198" i="8"/>
  <c r="AZ199" i="8"/>
  <c r="AZ200" i="8"/>
  <c r="AZ201" i="8"/>
  <c r="AZ202" i="8"/>
  <c r="AZ203" i="8"/>
  <c r="AZ204" i="8"/>
  <c r="AZ205" i="8"/>
  <c r="AZ206" i="8"/>
  <c r="AZ207" i="8"/>
  <c r="AZ208" i="8"/>
  <c r="AZ209" i="8"/>
  <c r="AZ210" i="8"/>
  <c r="AZ211" i="8"/>
  <c r="AZ212" i="8"/>
  <c r="AZ213" i="8"/>
  <c r="AZ214" i="8"/>
  <c r="AZ215" i="8"/>
  <c r="AZ216" i="8"/>
  <c r="AZ217" i="8"/>
  <c r="AZ218" i="8"/>
  <c r="AZ219" i="8"/>
  <c r="AZ220" i="8"/>
  <c r="AZ221" i="8"/>
  <c r="AZ222" i="8"/>
  <c r="AZ223" i="8"/>
  <c r="AZ224" i="8"/>
  <c r="AZ225" i="8"/>
  <c r="AZ226" i="8"/>
  <c r="AZ227" i="8"/>
  <c r="AZ228" i="8"/>
  <c r="AZ229" i="8"/>
  <c r="AZ230" i="8"/>
  <c r="AZ231" i="8"/>
  <c r="AZ232" i="8"/>
  <c r="AZ233" i="8"/>
  <c r="AZ234" i="8"/>
  <c r="AZ235" i="8"/>
  <c r="AZ236" i="8"/>
  <c r="AZ237" i="8"/>
  <c r="AZ238" i="8"/>
  <c r="AZ239" i="8"/>
  <c r="AZ240" i="8"/>
  <c r="AZ241" i="8"/>
  <c r="AZ242" i="8"/>
  <c r="AZ243" i="8"/>
  <c r="AZ244" i="8"/>
  <c r="AZ245" i="8"/>
  <c r="AZ246" i="8"/>
  <c r="AZ247" i="8"/>
  <c r="AZ248" i="8"/>
  <c r="AZ249" i="8"/>
  <c r="AZ250" i="8"/>
  <c r="AZ251" i="8"/>
  <c r="AZ252" i="8"/>
  <c r="AZ253" i="8"/>
  <c r="AZ254" i="8"/>
  <c r="AZ255" i="8"/>
  <c r="AZ256" i="8"/>
  <c r="AZ257" i="8"/>
  <c r="AZ258" i="8"/>
  <c r="AZ259" i="8"/>
  <c r="AZ260" i="8"/>
  <c r="AZ261" i="8"/>
  <c r="AZ262" i="8"/>
  <c r="AZ263" i="8"/>
  <c r="AZ264" i="8"/>
  <c r="AZ265" i="8"/>
  <c r="AZ266" i="8"/>
  <c r="AZ267" i="8"/>
  <c r="AZ268" i="8"/>
  <c r="AZ269" i="8"/>
  <c r="AZ270" i="8"/>
  <c r="AZ271" i="8"/>
  <c r="AZ272" i="8"/>
  <c r="AZ273" i="8"/>
  <c r="AZ274" i="8"/>
  <c r="AZ275" i="8"/>
  <c r="AZ276" i="8"/>
  <c r="AZ277" i="8"/>
  <c r="AZ278" i="8"/>
  <c r="AZ279" i="8"/>
  <c r="AZ280" i="8"/>
  <c r="AZ281" i="8"/>
  <c r="AZ282" i="8"/>
  <c r="AZ283" i="8"/>
  <c r="AZ284" i="8"/>
  <c r="AZ285" i="8"/>
  <c r="AZ286" i="8"/>
  <c r="AZ287" i="8"/>
  <c r="AZ288" i="8"/>
  <c r="AZ289" i="8"/>
  <c r="AZ290" i="8"/>
  <c r="AZ291" i="8"/>
  <c r="AZ292" i="8"/>
  <c r="AZ293" i="8"/>
  <c r="AZ294" i="8"/>
  <c r="AZ295" i="8"/>
  <c r="AZ296" i="8"/>
  <c r="AZ297" i="8"/>
  <c r="AZ298" i="8"/>
  <c r="AZ299" i="8"/>
  <c r="AZ300" i="8"/>
  <c r="AZ301" i="8"/>
  <c r="AZ302" i="8"/>
  <c r="AZ303" i="8"/>
  <c r="AZ304" i="8"/>
  <c r="AZ305" i="8"/>
  <c r="AZ306" i="8"/>
  <c r="AZ307" i="8"/>
  <c r="AZ308" i="8"/>
  <c r="AZ309" i="8"/>
  <c r="AZ310" i="8"/>
  <c r="AZ311" i="8"/>
  <c r="AZ312" i="8"/>
  <c r="AZ313" i="8"/>
  <c r="AZ314" i="8"/>
  <c r="AZ315" i="8"/>
  <c r="AZ316" i="8"/>
  <c r="AZ317" i="8"/>
  <c r="AZ318" i="8"/>
  <c r="AZ319" i="8"/>
  <c r="AZ320" i="8"/>
  <c r="AZ321" i="8"/>
  <c r="AZ322" i="8"/>
  <c r="AZ323" i="8"/>
  <c r="AZ324" i="8"/>
  <c r="AZ325" i="8"/>
  <c r="AZ326" i="8"/>
  <c r="AZ327" i="8"/>
  <c r="AZ328" i="8"/>
  <c r="AZ329" i="8"/>
  <c r="AZ330" i="8"/>
  <c r="AZ331" i="8"/>
  <c r="AZ332" i="8"/>
  <c r="AZ333" i="8"/>
  <c r="AZ334" i="8"/>
  <c r="AZ335" i="8"/>
  <c r="AZ336" i="8"/>
  <c r="AZ337" i="8"/>
  <c r="AZ338" i="8"/>
  <c r="AZ339" i="8"/>
  <c r="AZ340" i="8"/>
  <c r="AZ341" i="8"/>
  <c r="AZ342" i="8"/>
  <c r="AZ343" i="8"/>
  <c r="AZ344" i="8"/>
  <c r="AZ345" i="8"/>
  <c r="AZ346" i="8"/>
  <c r="AZ347" i="8"/>
  <c r="AZ348" i="8"/>
  <c r="AZ349" i="8"/>
  <c r="AZ350" i="8"/>
  <c r="AZ351" i="8"/>
  <c r="AZ352" i="8"/>
  <c r="AZ353" i="8"/>
  <c r="AZ354" i="8"/>
  <c r="AZ355" i="8"/>
  <c r="AZ356" i="8"/>
  <c r="AZ357" i="8"/>
  <c r="AZ358" i="8"/>
  <c r="AZ359" i="8"/>
  <c r="AZ360" i="8"/>
  <c r="AZ361" i="8"/>
  <c r="AZ362" i="8"/>
  <c r="AZ363" i="8"/>
  <c r="AZ364" i="8"/>
  <c r="AZ365" i="8"/>
  <c r="AZ366" i="8"/>
  <c r="AZ367" i="8"/>
  <c r="AZ368" i="8"/>
  <c r="AZ369" i="8"/>
  <c r="AZ370" i="8"/>
  <c r="AZ371" i="8"/>
  <c r="AZ372" i="8"/>
  <c r="AZ373" i="8"/>
  <c r="AZ374" i="8"/>
  <c r="AZ375" i="8"/>
  <c r="AZ376" i="8"/>
  <c r="AZ377" i="8"/>
  <c r="AZ378" i="8"/>
  <c r="AZ379" i="8"/>
  <c r="AZ380" i="8"/>
  <c r="AZ381" i="8"/>
  <c r="AZ382" i="8"/>
  <c r="AZ383" i="8"/>
  <c r="AZ384" i="8"/>
  <c r="AZ385" i="8"/>
  <c r="AZ386" i="8"/>
  <c r="AZ387" i="8"/>
  <c r="AZ388" i="8"/>
  <c r="AZ389" i="8"/>
  <c r="AZ390" i="8"/>
  <c r="AZ391" i="8"/>
  <c r="AZ392" i="8"/>
  <c r="AZ393" i="8"/>
  <c r="AZ394" i="8"/>
  <c r="AZ395" i="8"/>
  <c r="AZ396" i="8"/>
  <c r="AZ397" i="8"/>
  <c r="AZ398" i="8"/>
  <c r="AZ399" i="8"/>
  <c r="AZ400" i="8"/>
  <c r="AZ401" i="8"/>
  <c r="AZ402" i="8"/>
  <c r="AZ403" i="8"/>
  <c r="AZ404" i="8"/>
  <c r="AZ405" i="8"/>
  <c r="AZ406" i="8"/>
  <c r="AZ407" i="8"/>
  <c r="AZ408" i="8"/>
  <c r="AZ409" i="8"/>
  <c r="AZ410" i="8"/>
  <c r="AZ411" i="8"/>
  <c r="AZ412" i="8"/>
  <c r="AZ413" i="8"/>
  <c r="AZ414" i="8"/>
  <c r="AZ415" i="8"/>
  <c r="AZ416" i="8"/>
  <c r="AZ417" i="8"/>
  <c r="AZ418" i="8"/>
  <c r="AZ419" i="8"/>
  <c r="AZ420" i="8"/>
  <c r="AZ421" i="8"/>
  <c r="AZ422" i="8"/>
  <c r="AZ423" i="8"/>
  <c r="AZ424" i="8"/>
  <c r="AZ425" i="8"/>
  <c r="AZ426" i="8"/>
  <c r="AZ427" i="8"/>
  <c r="AZ428" i="8"/>
  <c r="AZ429" i="8"/>
  <c r="AZ430" i="8"/>
  <c r="AZ431" i="8"/>
  <c r="AZ432" i="8"/>
  <c r="AZ433" i="8"/>
  <c r="AZ434" i="8"/>
  <c r="AZ435" i="8"/>
  <c r="AZ436" i="8"/>
  <c r="AZ437" i="8"/>
  <c r="AZ438" i="8"/>
  <c r="AZ439" i="8"/>
  <c r="AZ440" i="8"/>
  <c r="AZ441" i="8"/>
  <c r="AZ442" i="8"/>
  <c r="AZ443" i="8"/>
  <c r="AZ444" i="8"/>
  <c r="AZ445" i="8"/>
  <c r="AZ446" i="8"/>
  <c r="AZ447" i="8"/>
  <c r="AZ448" i="8"/>
  <c r="AZ449" i="8"/>
  <c r="AZ450" i="8"/>
  <c r="AZ451" i="8"/>
  <c r="AZ452" i="8"/>
  <c r="AZ453" i="8"/>
  <c r="AZ454" i="8"/>
  <c r="AZ455" i="8"/>
  <c r="AZ456" i="8"/>
  <c r="AZ457" i="8"/>
  <c r="AZ458" i="8"/>
  <c r="AZ459" i="8"/>
  <c r="AZ460" i="8"/>
  <c r="AZ461" i="8"/>
  <c r="AZ462" i="8"/>
  <c r="AZ463" i="8"/>
  <c r="AZ464" i="8"/>
  <c r="AZ465" i="8"/>
  <c r="AZ466" i="8"/>
  <c r="AZ467" i="8"/>
  <c r="AZ468" i="8"/>
  <c r="AZ469" i="8"/>
  <c r="AZ470" i="8"/>
  <c r="AZ471" i="8"/>
  <c r="AZ472" i="8"/>
  <c r="AZ473" i="8"/>
  <c r="AZ474" i="8"/>
  <c r="AZ475" i="8"/>
  <c r="AZ476" i="8"/>
  <c r="AZ477" i="8"/>
  <c r="AZ478" i="8"/>
  <c r="AZ479" i="8"/>
  <c r="AZ480" i="8"/>
  <c r="AZ481" i="8"/>
  <c r="AZ482" i="8"/>
  <c r="AZ483" i="8"/>
  <c r="AZ484" i="8"/>
  <c r="AZ485" i="8"/>
  <c r="AZ486" i="8"/>
  <c r="AZ487" i="8"/>
  <c r="AZ488" i="8"/>
  <c r="AZ489" i="8"/>
  <c r="AZ490" i="8"/>
  <c r="AZ491" i="8"/>
  <c r="AZ492" i="8"/>
  <c r="AZ493" i="8"/>
  <c r="AZ494" i="8"/>
  <c r="AZ495" i="8"/>
  <c r="AZ496" i="8"/>
  <c r="AZ497" i="8"/>
  <c r="AZ498" i="8"/>
  <c r="AZ499" i="8"/>
  <c r="AZ500" i="8"/>
  <c r="AZ501" i="8"/>
  <c r="AZ502" i="8"/>
  <c r="AZ503" i="8"/>
  <c r="AZ504" i="8"/>
  <c r="AZ505" i="8"/>
  <c r="AZ506" i="8"/>
  <c r="AZ507" i="8"/>
  <c r="AZ508" i="8"/>
  <c r="AZ509" i="8"/>
  <c r="AZ510" i="8"/>
  <c r="AZ511" i="8"/>
  <c r="AZ512" i="8"/>
  <c r="AZ513" i="8"/>
  <c r="AZ514" i="8"/>
  <c r="AZ515" i="8"/>
  <c r="AZ516" i="8"/>
  <c r="AZ517" i="8"/>
  <c r="AZ518" i="8"/>
  <c r="AZ519" i="8"/>
  <c r="AZ520" i="8"/>
  <c r="AZ521" i="8"/>
  <c r="AZ522" i="8"/>
  <c r="AZ523" i="8"/>
  <c r="AZ524" i="8"/>
  <c r="AZ525" i="8"/>
  <c r="AZ526" i="8"/>
  <c r="AZ527" i="8"/>
  <c r="AZ528" i="8"/>
  <c r="AZ529" i="8"/>
  <c r="AZ530" i="8"/>
  <c r="AZ531" i="8"/>
  <c r="AZ532" i="8"/>
  <c r="AZ533" i="8"/>
  <c r="AZ534" i="8"/>
  <c r="AZ535" i="8"/>
  <c r="AZ536" i="8"/>
  <c r="AZ537" i="8"/>
  <c r="AZ538" i="8"/>
  <c r="AZ539" i="8"/>
  <c r="AZ540" i="8"/>
  <c r="AZ541" i="8"/>
  <c r="AZ542" i="8"/>
  <c r="AZ543" i="8"/>
  <c r="AZ544" i="8"/>
  <c r="AZ545" i="8"/>
  <c r="AZ546" i="8"/>
  <c r="AZ547" i="8"/>
  <c r="AZ548" i="8"/>
  <c r="AZ549" i="8"/>
  <c r="AZ550" i="8"/>
  <c r="AZ551" i="8"/>
  <c r="AZ552" i="8"/>
  <c r="AZ553" i="8"/>
  <c r="AZ554" i="8"/>
  <c r="AZ555" i="8"/>
  <c r="AZ556" i="8"/>
  <c r="AZ557" i="8"/>
  <c r="AZ558" i="8"/>
  <c r="AZ559" i="8"/>
  <c r="AZ560" i="8"/>
  <c r="AZ561" i="8"/>
  <c r="AZ562" i="8"/>
  <c r="AZ563" i="8"/>
  <c r="AZ564" i="8"/>
  <c r="AZ565" i="8"/>
  <c r="AZ566" i="8"/>
  <c r="AZ567" i="8"/>
  <c r="AZ568" i="8"/>
  <c r="AZ569" i="8"/>
  <c r="AZ570" i="8"/>
  <c r="AZ571" i="8"/>
  <c r="AZ572" i="8"/>
  <c r="AZ573" i="8"/>
  <c r="AZ574" i="8"/>
  <c r="AZ575" i="8"/>
  <c r="AZ576" i="8"/>
  <c r="AZ577" i="8"/>
  <c r="AZ578" i="8"/>
  <c r="AZ579" i="8"/>
  <c r="AZ580" i="8"/>
  <c r="AZ581" i="8"/>
  <c r="AZ582" i="8"/>
  <c r="AZ583" i="8"/>
  <c r="AZ584" i="8"/>
  <c r="AZ585" i="8"/>
  <c r="AZ586" i="8"/>
  <c r="AZ587" i="8"/>
  <c r="AZ588" i="8"/>
  <c r="AZ589" i="8"/>
  <c r="AZ590" i="8"/>
  <c r="AZ591" i="8"/>
  <c r="AZ592" i="8"/>
  <c r="AZ593" i="8"/>
  <c r="AZ594" i="8"/>
  <c r="AZ595" i="8"/>
  <c r="AZ596" i="8"/>
  <c r="AZ597" i="8"/>
  <c r="AZ598" i="8"/>
  <c r="AZ599" i="8"/>
  <c r="AZ600" i="8"/>
  <c r="AZ601" i="8"/>
  <c r="AZ602" i="8"/>
  <c r="AZ603" i="8"/>
  <c r="AZ604" i="8"/>
  <c r="AZ605" i="8"/>
  <c r="AZ606" i="8"/>
  <c r="AZ607" i="8"/>
  <c r="AZ608" i="8"/>
  <c r="AZ609" i="8"/>
  <c r="AZ610" i="8"/>
  <c r="AZ611" i="8"/>
  <c r="AZ612" i="8"/>
  <c r="AZ613" i="8"/>
  <c r="AZ614" i="8"/>
  <c r="AZ615" i="8"/>
  <c r="AZ616" i="8"/>
  <c r="AZ617" i="8"/>
  <c r="AZ618" i="8"/>
  <c r="AZ619" i="8"/>
  <c r="AZ620" i="8"/>
  <c r="AZ621" i="8"/>
  <c r="AZ622" i="8"/>
  <c r="AZ623" i="8"/>
  <c r="AZ624" i="8"/>
  <c r="AZ625" i="8"/>
  <c r="AZ626" i="8"/>
  <c r="AZ627" i="8"/>
  <c r="AZ628" i="8"/>
  <c r="AZ629" i="8"/>
  <c r="AZ630" i="8"/>
  <c r="AZ631" i="8"/>
  <c r="AZ632" i="8"/>
  <c r="AZ633" i="8"/>
  <c r="AZ634" i="8"/>
  <c r="AZ635" i="8"/>
  <c r="AZ636" i="8"/>
  <c r="AZ637" i="8"/>
  <c r="AZ638" i="8"/>
  <c r="AZ639" i="8"/>
  <c r="AZ640" i="8"/>
  <c r="AZ641" i="8"/>
  <c r="AZ642" i="8"/>
  <c r="AZ643" i="8"/>
  <c r="AZ644" i="8"/>
  <c r="AZ645" i="8"/>
  <c r="AZ646" i="8"/>
  <c r="AZ647" i="8"/>
  <c r="AZ648" i="8"/>
  <c r="AZ649" i="8"/>
  <c r="AZ650" i="8"/>
  <c r="AZ651" i="8"/>
  <c r="AZ652" i="8"/>
  <c r="AZ653" i="8"/>
  <c r="AZ654" i="8"/>
  <c r="AZ655" i="8"/>
  <c r="AZ656" i="8"/>
  <c r="AZ657" i="8"/>
  <c r="AZ658" i="8"/>
  <c r="AZ659" i="8"/>
  <c r="AZ660" i="8"/>
  <c r="AZ661" i="8"/>
  <c r="AZ662" i="8"/>
  <c r="AZ663" i="8"/>
  <c r="AZ664" i="8"/>
  <c r="AZ665" i="8"/>
  <c r="AZ666" i="8"/>
  <c r="AZ667" i="8"/>
  <c r="AZ668" i="8"/>
  <c r="AZ669" i="8"/>
  <c r="AZ670" i="8"/>
  <c r="AZ671" i="8"/>
  <c r="AZ672" i="8"/>
  <c r="AZ673" i="8"/>
  <c r="AZ674" i="8"/>
  <c r="AZ675" i="8"/>
  <c r="AZ676" i="8"/>
  <c r="AZ677" i="8"/>
  <c r="AZ678" i="8"/>
  <c r="AZ679" i="8"/>
  <c r="AZ680" i="8"/>
  <c r="AZ681" i="8"/>
  <c r="AZ682" i="8"/>
  <c r="AZ683" i="8"/>
  <c r="AZ684" i="8"/>
  <c r="AZ685" i="8"/>
  <c r="AZ686" i="8"/>
  <c r="AZ687" i="8"/>
  <c r="AZ688" i="8"/>
  <c r="AZ689" i="8"/>
  <c r="AZ690" i="8"/>
  <c r="AZ691" i="8"/>
  <c r="AZ692" i="8"/>
  <c r="AZ693" i="8"/>
  <c r="AZ694" i="8"/>
  <c r="AZ695" i="8"/>
  <c r="AZ696" i="8"/>
  <c r="AZ697" i="8"/>
  <c r="AZ698" i="8"/>
  <c r="AZ699" i="8"/>
  <c r="AZ700" i="8"/>
  <c r="AZ701" i="8"/>
  <c r="AZ702" i="8"/>
  <c r="AZ703" i="8"/>
  <c r="AZ704" i="8"/>
  <c r="AZ705" i="8"/>
  <c r="AZ706" i="8"/>
  <c r="AZ707" i="8"/>
  <c r="AZ708" i="8"/>
  <c r="AZ709" i="8"/>
  <c r="AZ710" i="8"/>
  <c r="AZ711" i="8"/>
  <c r="AZ712" i="8"/>
  <c r="AZ713" i="8"/>
  <c r="AZ714" i="8"/>
  <c r="AZ715" i="8"/>
  <c r="AZ716" i="8"/>
  <c r="AZ717" i="8"/>
  <c r="AZ718" i="8"/>
  <c r="AZ719" i="8"/>
  <c r="AZ720" i="8"/>
  <c r="AZ721" i="8"/>
  <c r="AZ722" i="8"/>
  <c r="AZ723" i="8"/>
  <c r="AZ724" i="8"/>
  <c r="AZ725" i="8"/>
  <c r="AZ726" i="8"/>
  <c r="AZ727" i="8"/>
  <c r="AZ728" i="8"/>
  <c r="AZ729" i="8"/>
  <c r="AZ730" i="8"/>
  <c r="AZ731" i="8"/>
  <c r="AZ732" i="8"/>
  <c r="AZ733" i="8"/>
  <c r="AZ734" i="8"/>
  <c r="AZ735" i="8"/>
  <c r="AZ736" i="8"/>
  <c r="AZ737" i="8"/>
  <c r="AZ738" i="8"/>
  <c r="AZ739" i="8"/>
  <c r="AZ740" i="8"/>
  <c r="AZ741" i="8"/>
  <c r="AZ742" i="8"/>
  <c r="AZ743" i="8"/>
  <c r="AZ744" i="8"/>
  <c r="AZ745" i="8"/>
  <c r="AZ746" i="8"/>
  <c r="AZ747" i="8"/>
  <c r="AZ748" i="8"/>
  <c r="AZ749" i="8"/>
  <c r="AZ750" i="8"/>
  <c r="AZ751" i="8"/>
  <c r="AZ752" i="8"/>
  <c r="AZ753" i="8"/>
  <c r="AZ754" i="8"/>
  <c r="AZ755" i="8"/>
  <c r="AZ756" i="8"/>
  <c r="AZ757" i="8"/>
  <c r="AZ758" i="8"/>
  <c r="AZ759" i="8"/>
  <c r="AZ760" i="8"/>
  <c r="AZ761" i="8"/>
  <c r="AZ762" i="8"/>
  <c r="AZ763" i="8"/>
  <c r="AZ764" i="8"/>
  <c r="AZ765" i="8"/>
  <c r="AZ766" i="8"/>
  <c r="AZ767" i="8"/>
  <c r="AZ768" i="8"/>
  <c r="AZ769" i="8"/>
  <c r="AZ770" i="8"/>
  <c r="AZ771" i="8"/>
  <c r="AZ772" i="8"/>
  <c r="AZ773" i="8"/>
  <c r="AZ774" i="8"/>
  <c r="AZ775" i="8"/>
  <c r="AZ776" i="8"/>
  <c r="AZ777" i="8"/>
  <c r="AZ778" i="8"/>
  <c r="AZ779" i="8"/>
  <c r="AZ780" i="8"/>
  <c r="AZ781" i="8"/>
  <c r="AZ782" i="8"/>
  <c r="AZ783" i="8"/>
  <c r="AZ784" i="8"/>
  <c r="AZ785" i="8"/>
  <c r="AZ786" i="8"/>
  <c r="AZ787" i="8"/>
  <c r="AZ788" i="8"/>
  <c r="AZ789" i="8"/>
  <c r="AZ790" i="8"/>
  <c r="AZ791" i="8"/>
  <c r="AZ792" i="8"/>
  <c r="AZ793" i="8"/>
  <c r="AZ794" i="8"/>
  <c r="AZ795" i="8"/>
  <c r="AZ796" i="8"/>
  <c r="AZ797" i="8"/>
  <c r="AZ798" i="8"/>
  <c r="AZ799" i="8"/>
  <c r="AZ800" i="8"/>
  <c r="AZ801" i="8"/>
  <c r="AZ802" i="8"/>
  <c r="AZ803" i="8"/>
  <c r="AZ804" i="8"/>
  <c r="AZ805" i="8"/>
  <c r="AZ806" i="8"/>
  <c r="AZ807" i="8"/>
  <c r="AZ808" i="8"/>
  <c r="AZ809" i="8"/>
  <c r="AZ810" i="8"/>
  <c r="AZ811" i="8"/>
  <c r="AZ812" i="8"/>
  <c r="AZ813" i="8"/>
  <c r="AZ814" i="8"/>
  <c r="AZ815" i="8"/>
  <c r="AZ816" i="8"/>
  <c r="AZ817" i="8"/>
  <c r="AZ818" i="8"/>
  <c r="AZ819" i="8"/>
  <c r="AZ820" i="8"/>
  <c r="AZ821" i="8"/>
  <c r="AZ822" i="8"/>
  <c r="AZ823" i="8"/>
  <c r="AZ824" i="8"/>
  <c r="AZ825" i="8"/>
  <c r="AZ826" i="8"/>
  <c r="AZ827" i="8"/>
  <c r="AZ828" i="8"/>
  <c r="AZ829" i="8"/>
  <c r="AZ830" i="8"/>
  <c r="AZ831" i="8"/>
  <c r="AZ832" i="8"/>
  <c r="AZ833" i="8"/>
  <c r="AZ834" i="8"/>
  <c r="AZ835" i="8"/>
  <c r="AZ836" i="8"/>
  <c r="AZ837" i="8"/>
  <c r="AZ838" i="8"/>
  <c r="AZ839" i="8"/>
  <c r="AZ840" i="8"/>
  <c r="AZ841" i="8"/>
  <c r="AZ842" i="8"/>
  <c r="AZ843" i="8"/>
  <c r="AZ844" i="8"/>
  <c r="AZ845" i="8"/>
  <c r="AZ846" i="8"/>
  <c r="AZ847" i="8"/>
  <c r="AZ848" i="8"/>
  <c r="AZ849" i="8"/>
  <c r="AZ850" i="8"/>
  <c r="AZ851" i="8"/>
  <c r="AZ852" i="8"/>
  <c r="AZ853" i="8"/>
  <c r="AZ854" i="8"/>
  <c r="AZ855" i="8"/>
  <c r="AZ856" i="8"/>
  <c r="AZ857" i="8"/>
  <c r="AZ858" i="8"/>
  <c r="AZ859" i="8"/>
  <c r="AZ860" i="8"/>
  <c r="AZ861" i="8"/>
  <c r="AZ862" i="8"/>
  <c r="AZ863" i="8"/>
  <c r="AZ864" i="8"/>
  <c r="AZ865" i="8"/>
  <c r="AZ866" i="8"/>
  <c r="AZ867" i="8"/>
  <c r="AZ868" i="8"/>
  <c r="AZ869" i="8"/>
  <c r="AZ870" i="8"/>
  <c r="AZ871" i="8"/>
  <c r="AZ872" i="8"/>
  <c r="AZ873" i="8"/>
  <c r="AZ874" i="8"/>
  <c r="AZ875" i="8"/>
  <c r="AZ876" i="8"/>
  <c r="AZ877" i="8"/>
  <c r="AZ878" i="8"/>
  <c r="AZ879" i="8"/>
  <c r="AZ880" i="8"/>
  <c r="AZ881" i="8"/>
  <c r="AZ882" i="8"/>
  <c r="AZ883" i="8"/>
  <c r="AZ884" i="8"/>
  <c r="AZ885" i="8"/>
  <c r="AZ886" i="8"/>
  <c r="AZ887" i="8"/>
  <c r="AZ888" i="8"/>
  <c r="AZ889" i="8"/>
  <c r="AZ890" i="8"/>
  <c r="AZ891" i="8"/>
  <c r="AZ892" i="8"/>
  <c r="AZ893" i="8"/>
  <c r="AZ894" i="8"/>
  <c r="AZ895" i="8"/>
  <c r="AZ896" i="8"/>
  <c r="AZ897" i="8"/>
  <c r="AZ898" i="8"/>
  <c r="AZ899" i="8"/>
  <c r="AZ900" i="8"/>
  <c r="AZ901" i="8"/>
  <c r="AZ902" i="8"/>
  <c r="AZ903" i="8"/>
  <c r="AZ904" i="8"/>
  <c r="AZ905" i="8"/>
  <c r="AZ906" i="8"/>
  <c r="AZ907" i="8"/>
  <c r="AZ908" i="8"/>
  <c r="AZ909" i="8"/>
  <c r="AZ910" i="8"/>
  <c r="AZ911" i="8"/>
  <c r="AZ912" i="8"/>
  <c r="AZ913" i="8"/>
  <c r="AZ914" i="8"/>
  <c r="AZ915" i="8"/>
  <c r="AZ916" i="8"/>
  <c r="AZ917" i="8"/>
  <c r="AZ918" i="8"/>
  <c r="AZ919" i="8"/>
  <c r="AZ920" i="8"/>
  <c r="AZ921" i="8"/>
  <c r="AZ922" i="8"/>
  <c r="AZ923" i="8"/>
  <c r="AZ924" i="8"/>
  <c r="AZ925" i="8"/>
  <c r="AZ926" i="8"/>
  <c r="AZ927" i="8"/>
  <c r="AZ928" i="8"/>
  <c r="AZ929" i="8"/>
  <c r="AZ930" i="8"/>
  <c r="AZ931" i="8"/>
  <c r="AZ932" i="8"/>
  <c r="AZ933" i="8"/>
  <c r="AZ934" i="8"/>
  <c r="AZ935" i="8"/>
  <c r="AZ936" i="8"/>
  <c r="AZ937" i="8"/>
  <c r="AZ938" i="8"/>
  <c r="AZ939" i="8"/>
  <c r="AZ940" i="8"/>
  <c r="AZ941" i="8"/>
  <c r="AZ942" i="8"/>
  <c r="AZ943" i="8"/>
  <c r="AZ944" i="8"/>
  <c r="AZ945" i="8"/>
  <c r="AZ946" i="8"/>
  <c r="AZ947" i="8"/>
  <c r="AZ948" i="8"/>
  <c r="AZ949" i="8"/>
  <c r="AZ950" i="8"/>
  <c r="AZ951" i="8"/>
  <c r="AZ952" i="8"/>
  <c r="AZ953" i="8"/>
  <c r="AZ954" i="8"/>
  <c r="AZ955" i="8"/>
  <c r="AZ956" i="8"/>
  <c r="AZ957" i="8"/>
  <c r="AZ958" i="8"/>
  <c r="AZ959" i="8"/>
  <c r="AZ960" i="8"/>
  <c r="AZ961" i="8"/>
  <c r="AZ962" i="8"/>
  <c r="AZ963" i="8"/>
  <c r="AZ964" i="8"/>
  <c r="AZ965" i="8"/>
  <c r="AZ966" i="8"/>
  <c r="AZ967" i="8"/>
  <c r="AZ968" i="8"/>
  <c r="AZ969" i="8"/>
  <c r="AZ970" i="8"/>
  <c r="AZ971" i="8"/>
  <c r="AZ972" i="8"/>
  <c r="AZ973" i="8"/>
  <c r="AZ974" i="8"/>
  <c r="AZ975" i="8"/>
  <c r="AZ976" i="8"/>
  <c r="AZ977" i="8"/>
  <c r="AZ978" i="8"/>
  <c r="AZ979" i="8"/>
  <c r="AZ980" i="8"/>
  <c r="AZ981" i="8"/>
  <c r="AZ982" i="8"/>
  <c r="AZ983" i="8"/>
  <c r="AZ984" i="8"/>
  <c r="AZ985" i="8"/>
  <c r="AZ986" i="8"/>
  <c r="AZ987" i="8"/>
  <c r="AZ988" i="8"/>
  <c r="AZ989" i="8"/>
  <c r="AZ990" i="8"/>
  <c r="AZ991" i="8"/>
  <c r="AZ992" i="8"/>
  <c r="AZ993" i="8"/>
  <c r="AZ994" i="8"/>
  <c r="AZ995" i="8"/>
  <c r="AZ996" i="8"/>
  <c r="AZ997" i="8"/>
  <c r="AZ998" i="8"/>
  <c r="AZ999" i="8"/>
  <c r="AZ1000" i="8"/>
  <c r="AZ1001" i="8"/>
  <c r="AZ1002" i="8"/>
  <c r="AZ1003" i="8"/>
  <c r="AZ1004" i="8"/>
  <c r="AZ1005" i="8"/>
  <c r="AZ1006" i="8"/>
  <c r="AZ1007" i="8"/>
  <c r="AZ1008" i="8"/>
  <c r="AZ1009" i="8"/>
  <c r="AZ1010" i="8"/>
  <c r="AZ1011" i="8"/>
  <c r="AZ1012" i="8"/>
  <c r="AZ1013" i="8"/>
  <c r="AZ1014" i="8"/>
  <c r="AZ1015" i="8"/>
  <c r="AZ1016" i="8"/>
  <c r="AZ1017" i="8"/>
  <c r="AZ1018" i="8"/>
  <c r="AZ1019" i="8"/>
  <c r="AZ1020" i="8"/>
  <c r="AZ1021" i="8"/>
  <c r="AZ1022" i="8"/>
  <c r="AZ1023" i="8"/>
  <c r="AZ1024" i="8"/>
  <c r="AZ1025" i="8"/>
  <c r="AZ1026" i="8"/>
  <c r="AZ1027" i="8"/>
  <c r="AZ1028" i="8"/>
  <c r="AZ1029" i="8"/>
  <c r="AZ1030" i="8"/>
  <c r="AZ1031" i="8"/>
  <c r="AZ1032" i="8"/>
  <c r="AZ1033" i="8"/>
  <c r="AZ1034" i="8"/>
  <c r="AZ1035" i="8"/>
  <c r="AZ1036" i="8"/>
  <c r="AZ1037" i="8"/>
  <c r="AZ1038" i="8"/>
  <c r="AZ1039" i="8"/>
  <c r="AZ1040" i="8"/>
  <c r="AZ1041" i="8"/>
  <c r="AZ1042" i="8"/>
  <c r="AZ1043" i="8"/>
  <c r="AZ1044" i="8"/>
  <c r="AZ1045" i="8"/>
  <c r="AZ1046" i="8"/>
  <c r="AZ1047" i="8"/>
  <c r="AZ1048" i="8"/>
  <c r="AZ1049" i="8"/>
  <c r="AZ1050" i="8"/>
  <c r="AZ1051" i="8"/>
  <c r="AZ1052" i="8"/>
  <c r="AZ1053" i="8"/>
  <c r="AZ1054" i="8"/>
  <c r="AZ1055" i="8"/>
  <c r="AZ1056" i="8"/>
  <c r="AZ1057" i="8"/>
  <c r="AZ1058" i="8"/>
  <c r="AZ1059" i="8"/>
  <c r="AZ1060" i="8"/>
  <c r="AZ1061" i="8"/>
  <c r="AZ1062" i="8"/>
  <c r="AZ1063" i="8"/>
  <c r="AZ1064" i="8"/>
  <c r="AZ1065" i="8"/>
  <c r="AZ1066" i="8"/>
  <c r="AZ1067" i="8"/>
  <c r="AZ1068" i="8"/>
  <c r="AZ1069" i="8"/>
  <c r="AZ1070" i="8"/>
  <c r="AZ1071" i="8"/>
  <c r="AZ1072" i="8"/>
  <c r="AZ1073" i="8"/>
  <c r="AZ1074" i="8"/>
  <c r="AZ1075" i="8"/>
  <c r="AZ1076" i="8"/>
  <c r="AZ1077" i="8"/>
  <c r="AZ1078" i="8"/>
  <c r="AZ1079" i="8"/>
  <c r="AZ1080" i="8"/>
  <c r="AZ1081" i="8"/>
  <c r="AZ1082" i="8"/>
  <c r="AZ1083" i="8"/>
  <c r="AZ1084" i="8"/>
  <c r="AZ1085" i="8"/>
  <c r="AZ1086" i="8"/>
  <c r="AZ1087" i="8"/>
  <c r="AZ1088" i="8"/>
  <c r="AZ1089" i="8"/>
  <c r="AZ1090" i="8"/>
  <c r="AZ1091" i="8"/>
  <c r="AZ1092" i="8"/>
  <c r="AZ1093" i="8"/>
  <c r="AZ1094" i="8"/>
  <c r="AZ1095" i="8"/>
  <c r="AZ1096" i="8"/>
  <c r="AZ1097" i="8"/>
  <c r="AZ1098" i="8"/>
  <c r="AZ1099" i="8"/>
  <c r="AZ1100" i="8"/>
  <c r="AZ1101" i="8"/>
  <c r="AZ1102" i="8"/>
  <c r="AZ1103" i="8"/>
  <c r="AZ1104" i="8"/>
  <c r="AZ1105" i="8"/>
  <c r="AZ1106" i="8"/>
  <c r="AZ1107" i="8"/>
  <c r="AZ1108" i="8"/>
  <c r="AZ1109" i="8"/>
  <c r="AZ1110" i="8"/>
  <c r="AZ1111" i="8"/>
  <c r="AZ1112" i="8"/>
  <c r="AZ1113" i="8"/>
  <c r="AZ1114" i="8"/>
  <c r="AZ1115" i="8"/>
  <c r="AZ1116" i="8"/>
  <c r="AZ1117" i="8"/>
  <c r="AZ1118" i="8"/>
  <c r="AZ1119" i="8"/>
  <c r="AZ1120" i="8"/>
  <c r="AZ1121" i="8"/>
  <c r="AZ1122" i="8"/>
  <c r="AZ1123" i="8"/>
  <c r="AZ1124" i="8"/>
  <c r="AZ1125" i="8"/>
  <c r="AZ1126" i="8"/>
  <c r="AZ1127" i="8"/>
  <c r="AZ1128" i="8"/>
  <c r="BA15" i="8"/>
  <c r="BA16" i="8"/>
  <c r="BA17" i="8"/>
  <c r="BA18" i="8"/>
  <c r="BA19" i="8"/>
  <c r="BA20" i="8"/>
  <c r="BA21" i="8"/>
  <c r="BA22" i="8"/>
  <c r="BA23" i="8"/>
  <c r="BA24" i="8"/>
  <c r="BA25" i="8"/>
  <c r="BA26" i="8"/>
  <c r="BA27" i="8"/>
  <c r="BA28" i="8"/>
  <c r="BA29" i="8"/>
  <c r="BA30" i="8"/>
  <c r="BA31" i="8"/>
  <c r="BA32" i="8"/>
  <c r="BA33" i="8"/>
  <c r="BA34" i="8"/>
  <c r="BA35" i="8"/>
  <c r="BA36" i="8"/>
  <c r="BA37" i="8"/>
  <c r="BA38" i="8"/>
  <c r="BA39" i="8"/>
  <c r="BA40" i="8"/>
  <c r="BA41" i="8"/>
  <c r="BA42" i="8"/>
  <c r="BA43" i="8"/>
  <c r="BA44" i="8"/>
  <c r="BA45" i="8"/>
  <c r="BA46" i="8"/>
  <c r="BA47" i="8"/>
  <c r="BA48" i="8"/>
  <c r="BA49" i="8"/>
  <c r="BA50" i="8"/>
  <c r="BA51" i="8"/>
  <c r="BA52" i="8"/>
  <c r="BA53" i="8"/>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BA99" i="8"/>
  <c r="BA100" i="8"/>
  <c r="BA101" i="8"/>
  <c r="BA102" i="8"/>
  <c r="BA103" i="8"/>
  <c r="BA104" i="8"/>
  <c r="BA105" i="8"/>
  <c r="BA106" i="8"/>
  <c r="BA107" i="8"/>
  <c r="BA108" i="8"/>
  <c r="BA109" i="8"/>
  <c r="BA110" i="8"/>
  <c r="BA111" i="8"/>
  <c r="BA112" i="8"/>
  <c r="BA113" i="8"/>
  <c r="BA114" i="8"/>
  <c r="BA115" i="8"/>
  <c r="BA116" i="8"/>
  <c r="BA117" i="8"/>
  <c r="BA118" i="8"/>
  <c r="BA119" i="8"/>
  <c r="BA120" i="8"/>
  <c r="BA121" i="8"/>
  <c r="BA122" i="8"/>
  <c r="BA123" i="8"/>
  <c r="BA124" i="8"/>
  <c r="BA125" i="8"/>
  <c r="BA126" i="8"/>
  <c r="BA127" i="8"/>
  <c r="BA128" i="8"/>
  <c r="BA129" i="8"/>
  <c r="BA130" i="8"/>
  <c r="BA131" i="8"/>
  <c r="BA132" i="8"/>
  <c r="BA133" i="8"/>
  <c r="BA134" i="8"/>
  <c r="BA135" i="8"/>
  <c r="BA136" i="8"/>
  <c r="BA137" i="8"/>
  <c r="BA138" i="8"/>
  <c r="BA139" i="8"/>
  <c r="BA140" i="8"/>
  <c r="BA141" i="8"/>
  <c r="BA142" i="8"/>
  <c r="BA143" i="8"/>
  <c r="BA144" i="8"/>
  <c r="BA145" i="8"/>
  <c r="BA146" i="8"/>
  <c r="BA147" i="8"/>
  <c r="BA148" i="8"/>
  <c r="BA149" i="8"/>
  <c r="BA150" i="8"/>
  <c r="BA151" i="8"/>
  <c r="BA152" i="8"/>
  <c r="BA153" i="8"/>
  <c r="BA154" i="8"/>
  <c r="BA155" i="8"/>
  <c r="BA156" i="8"/>
  <c r="BA157" i="8"/>
  <c r="BA158" i="8"/>
  <c r="BA159" i="8"/>
  <c r="BA160" i="8"/>
  <c r="BA161" i="8"/>
  <c r="BA162" i="8"/>
  <c r="BA163" i="8"/>
  <c r="BA164" i="8"/>
  <c r="BA165" i="8"/>
  <c r="BA166" i="8"/>
  <c r="BA167" i="8"/>
  <c r="BA168" i="8"/>
  <c r="BA169" i="8"/>
  <c r="BA170" i="8"/>
  <c r="BA171" i="8"/>
  <c r="BA172" i="8"/>
  <c r="BA173" i="8"/>
  <c r="BA174" i="8"/>
  <c r="BA175" i="8"/>
  <c r="BA176" i="8"/>
  <c r="BA177" i="8"/>
  <c r="BA178" i="8"/>
  <c r="BA179" i="8"/>
  <c r="BA180" i="8"/>
  <c r="BA181" i="8"/>
  <c r="BA182" i="8"/>
  <c r="BA183" i="8"/>
  <c r="BA184" i="8"/>
  <c r="BA185" i="8"/>
  <c r="BA186" i="8"/>
  <c r="BA187" i="8"/>
  <c r="BA188" i="8"/>
  <c r="BA189" i="8"/>
  <c r="BA190" i="8"/>
  <c r="BA191" i="8"/>
  <c r="BA192" i="8"/>
  <c r="BA193" i="8"/>
  <c r="BA194" i="8"/>
  <c r="BA195" i="8"/>
  <c r="BA196" i="8"/>
  <c r="BA197" i="8"/>
  <c r="BA198" i="8"/>
  <c r="BA199" i="8"/>
  <c r="BA200" i="8"/>
  <c r="BA201" i="8"/>
  <c r="BA202" i="8"/>
  <c r="BA203" i="8"/>
  <c r="BA204" i="8"/>
  <c r="BA205" i="8"/>
  <c r="BA206" i="8"/>
  <c r="BA207" i="8"/>
  <c r="BA208" i="8"/>
  <c r="BA209" i="8"/>
  <c r="BA210" i="8"/>
  <c r="BA211" i="8"/>
  <c r="BA212" i="8"/>
  <c r="BA213" i="8"/>
  <c r="BA214" i="8"/>
  <c r="BA215" i="8"/>
  <c r="BA216" i="8"/>
  <c r="BA217" i="8"/>
  <c r="BA218" i="8"/>
  <c r="BA219" i="8"/>
  <c r="BA220" i="8"/>
  <c r="BA221" i="8"/>
  <c r="BA222" i="8"/>
  <c r="BA223" i="8"/>
  <c r="BA224" i="8"/>
  <c r="BA225" i="8"/>
  <c r="BA226" i="8"/>
  <c r="BA227" i="8"/>
  <c r="BA228" i="8"/>
  <c r="BA229" i="8"/>
  <c r="BA230" i="8"/>
  <c r="BA231" i="8"/>
  <c r="BA232" i="8"/>
  <c r="BA233" i="8"/>
  <c r="BA234" i="8"/>
  <c r="BA235" i="8"/>
  <c r="BA236" i="8"/>
  <c r="BA237" i="8"/>
  <c r="BA238" i="8"/>
  <c r="BA239" i="8"/>
  <c r="BA240" i="8"/>
  <c r="BA241" i="8"/>
  <c r="BA242" i="8"/>
  <c r="BA243" i="8"/>
  <c r="BA244" i="8"/>
  <c r="BA245" i="8"/>
  <c r="BA246" i="8"/>
  <c r="BA247" i="8"/>
  <c r="BA248" i="8"/>
  <c r="BA249" i="8"/>
  <c r="BA250" i="8"/>
  <c r="BA251" i="8"/>
  <c r="BA252" i="8"/>
  <c r="BA253" i="8"/>
  <c r="BA254" i="8"/>
  <c r="BA255" i="8"/>
  <c r="BA256" i="8"/>
  <c r="BA257" i="8"/>
  <c r="BA258" i="8"/>
  <c r="BA259" i="8"/>
  <c r="BA260" i="8"/>
  <c r="BA261" i="8"/>
  <c r="BA262" i="8"/>
  <c r="BA263" i="8"/>
  <c r="BA264" i="8"/>
  <c r="BA265" i="8"/>
  <c r="BA266" i="8"/>
  <c r="BA267" i="8"/>
  <c r="BA268" i="8"/>
  <c r="BA269" i="8"/>
  <c r="BA270" i="8"/>
  <c r="BA271" i="8"/>
  <c r="BA272" i="8"/>
  <c r="BA273" i="8"/>
  <c r="BA274" i="8"/>
  <c r="BA275" i="8"/>
  <c r="BA276" i="8"/>
  <c r="BA277" i="8"/>
  <c r="BA278" i="8"/>
  <c r="BA279" i="8"/>
  <c r="BA280" i="8"/>
  <c r="BA281" i="8"/>
  <c r="BA282" i="8"/>
  <c r="BA283" i="8"/>
  <c r="BA284" i="8"/>
  <c r="BA285" i="8"/>
  <c r="BA286" i="8"/>
  <c r="BA287" i="8"/>
  <c r="BA288" i="8"/>
  <c r="BA289" i="8"/>
  <c r="BA290" i="8"/>
  <c r="BA291" i="8"/>
  <c r="BA292" i="8"/>
  <c r="BA293" i="8"/>
  <c r="BA294" i="8"/>
  <c r="BA295" i="8"/>
  <c r="BA296" i="8"/>
  <c r="BA297" i="8"/>
  <c r="BA298" i="8"/>
  <c r="BA299" i="8"/>
  <c r="BA300" i="8"/>
  <c r="BA301" i="8"/>
  <c r="BA302" i="8"/>
  <c r="BA303" i="8"/>
  <c r="BA304" i="8"/>
  <c r="BA305" i="8"/>
  <c r="BA306" i="8"/>
  <c r="BA307" i="8"/>
  <c r="BA308" i="8"/>
  <c r="BA309" i="8"/>
  <c r="BA310" i="8"/>
  <c r="BA311" i="8"/>
  <c r="BA312" i="8"/>
  <c r="BA313" i="8"/>
  <c r="BA314" i="8"/>
  <c r="BA315" i="8"/>
  <c r="BA316" i="8"/>
  <c r="BA317" i="8"/>
  <c r="BA318" i="8"/>
  <c r="BA319" i="8"/>
  <c r="BA320" i="8"/>
  <c r="BA321" i="8"/>
  <c r="BA322" i="8"/>
  <c r="BA323" i="8"/>
  <c r="BA324" i="8"/>
  <c r="BA325" i="8"/>
  <c r="BA326" i="8"/>
  <c r="BA327" i="8"/>
  <c r="BA328" i="8"/>
  <c r="BA329" i="8"/>
  <c r="BA330" i="8"/>
  <c r="BA331" i="8"/>
  <c r="BA332" i="8"/>
  <c r="BA333" i="8"/>
  <c r="BA334" i="8"/>
  <c r="BA335" i="8"/>
  <c r="BA336" i="8"/>
  <c r="BA337" i="8"/>
  <c r="BA338" i="8"/>
  <c r="BA339" i="8"/>
  <c r="BA340" i="8"/>
  <c r="BA341" i="8"/>
  <c r="BA342" i="8"/>
  <c r="BA343" i="8"/>
  <c r="BA344" i="8"/>
  <c r="BA345" i="8"/>
  <c r="BA346" i="8"/>
  <c r="BA347" i="8"/>
  <c r="BA348" i="8"/>
  <c r="BA349" i="8"/>
  <c r="BA350" i="8"/>
  <c r="BA351" i="8"/>
  <c r="BA352" i="8"/>
  <c r="BA353" i="8"/>
  <c r="BA354" i="8"/>
  <c r="BA355" i="8"/>
  <c r="BA356" i="8"/>
  <c r="BA357" i="8"/>
  <c r="BA358" i="8"/>
  <c r="BA359" i="8"/>
  <c r="BA360" i="8"/>
  <c r="BA361" i="8"/>
  <c r="BA362" i="8"/>
  <c r="BA363" i="8"/>
  <c r="BA364" i="8"/>
  <c r="BA365" i="8"/>
  <c r="BA366" i="8"/>
  <c r="BA367" i="8"/>
  <c r="BA368" i="8"/>
  <c r="BA369" i="8"/>
  <c r="BA370" i="8"/>
  <c r="BA371" i="8"/>
  <c r="BA372" i="8"/>
  <c r="BA373" i="8"/>
  <c r="BA374" i="8"/>
  <c r="BA375" i="8"/>
  <c r="BA376" i="8"/>
  <c r="BA377" i="8"/>
  <c r="BA378" i="8"/>
  <c r="BA379" i="8"/>
  <c r="BA380" i="8"/>
  <c r="BA381" i="8"/>
  <c r="BA382" i="8"/>
  <c r="BA383" i="8"/>
  <c r="BA384" i="8"/>
  <c r="BA385" i="8"/>
  <c r="BA386" i="8"/>
  <c r="BA387" i="8"/>
  <c r="BA388" i="8"/>
  <c r="BA389" i="8"/>
  <c r="BA390" i="8"/>
  <c r="BA391" i="8"/>
  <c r="BA392" i="8"/>
  <c r="BA393" i="8"/>
  <c r="BA394" i="8"/>
  <c r="BA395" i="8"/>
  <c r="BA396" i="8"/>
  <c r="BA397" i="8"/>
  <c r="BA398" i="8"/>
  <c r="BA399" i="8"/>
  <c r="BA400" i="8"/>
  <c r="BA401" i="8"/>
  <c r="BA402" i="8"/>
  <c r="BA403" i="8"/>
  <c r="BA404" i="8"/>
  <c r="BA405" i="8"/>
  <c r="BA406" i="8"/>
  <c r="BA407" i="8"/>
  <c r="BA408" i="8"/>
  <c r="BA409" i="8"/>
  <c r="BA410" i="8"/>
  <c r="BA411" i="8"/>
  <c r="BA412" i="8"/>
  <c r="BA413" i="8"/>
  <c r="BA414" i="8"/>
  <c r="BA415" i="8"/>
  <c r="BA416" i="8"/>
  <c r="BA417" i="8"/>
  <c r="BA418" i="8"/>
  <c r="BA419" i="8"/>
  <c r="BA420" i="8"/>
  <c r="BA421" i="8"/>
  <c r="BA422" i="8"/>
  <c r="BA423" i="8"/>
  <c r="BA424" i="8"/>
  <c r="BA425" i="8"/>
  <c r="BA426" i="8"/>
  <c r="BA427" i="8"/>
  <c r="BA428" i="8"/>
  <c r="BA429" i="8"/>
  <c r="BA430" i="8"/>
  <c r="BA431" i="8"/>
  <c r="BA432" i="8"/>
  <c r="BA433" i="8"/>
  <c r="BA434" i="8"/>
  <c r="BA435" i="8"/>
  <c r="BA436" i="8"/>
  <c r="BA437" i="8"/>
  <c r="BA438" i="8"/>
  <c r="BA439" i="8"/>
  <c r="BA440" i="8"/>
  <c r="BA441" i="8"/>
  <c r="BA442" i="8"/>
  <c r="BA443" i="8"/>
  <c r="BA444" i="8"/>
  <c r="BA445" i="8"/>
  <c r="BA446" i="8"/>
  <c r="BA447" i="8"/>
  <c r="BA448" i="8"/>
  <c r="BA449" i="8"/>
  <c r="BA450" i="8"/>
  <c r="BA451" i="8"/>
  <c r="BA452" i="8"/>
  <c r="BA453" i="8"/>
  <c r="BA454" i="8"/>
  <c r="BA455" i="8"/>
  <c r="BA456" i="8"/>
  <c r="BA457" i="8"/>
  <c r="BA458" i="8"/>
  <c r="BA459" i="8"/>
  <c r="BA460" i="8"/>
  <c r="BA461" i="8"/>
  <c r="BA462" i="8"/>
  <c r="BA463" i="8"/>
  <c r="BA464" i="8"/>
  <c r="BA465" i="8"/>
  <c r="BA466" i="8"/>
  <c r="BA467" i="8"/>
  <c r="BA468" i="8"/>
  <c r="BA469" i="8"/>
  <c r="BA470" i="8"/>
  <c r="BA471" i="8"/>
  <c r="BA472" i="8"/>
  <c r="BA473" i="8"/>
  <c r="BA474" i="8"/>
  <c r="BA475" i="8"/>
  <c r="BA476" i="8"/>
  <c r="BA477" i="8"/>
  <c r="BA478" i="8"/>
  <c r="BA479" i="8"/>
  <c r="BA480" i="8"/>
  <c r="BA481" i="8"/>
  <c r="BA482" i="8"/>
  <c r="BA483" i="8"/>
  <c r="BA484" i="8"/>
  <c r="BA485" i="8"/>
  <c r="BA486" i="8"/>
  <c r="BA487" i="8"/>
  <c r="BA488" i="8"/>
  <c r="BA489" i="8"/>
  <c r="BA490" i="8"/>
  <c r="BA491" i="8"/>
  <c r="BA492" i="8"/>
  <c r="BA493" i="8"/>
  <c r="BA494" i="8"/>
  <c r="BA495" i="8"/>
  <c r="BA496" i="8"/>
  <c r="BA497" i="8"/>
  <c r="BA498" i="8"/>
  <c r="BA499" i="8"/>
  <c r="BA500" i="8"/>
  <c r="BA501" i="8"/>
  <c r="BA502" i="8"/>
  <c r="BA503" i="8"/>
  <c r="BA504" i="8"/>
  <c r="BA505" i="8"/>
  <c r="BA506" i="8"/>
  <c r="BA507" i="8"/>
  <c r="BA508" i="8"/>
  <c r="BA509" i="8"/>
  <c r="BA510" i="8"/>
  <c r="BA511" i="8"/>
  <c r="BA512" i="8"/>
  <c r="BA513" i="8"/>
  <c r="BA514" i="8"/>
  <c r="BA515" i="8"/>
  <c r="BA516" i="8"/>
  <c r="BA517" i="8"/>
  <c r="BA518" i="8"/>
  <c r="BA519" i="8"/>
  <c r="BA520" i="8"/>
  <c r="BA521" i="8"/>
  <c r="BA522" i="8"/>
  <c r="BA523" i="8"/>
  <c r="BA524" i="8"/>
  <c r="BA525" i="8"/>
  <c r="BA526" i="8"/>
  <c r="BA527" i="8"/>
  <c r="BA528" i="8"/>
  <c r="BA529" i="8"/>
  <c r="BA530" i="8"/>
  <c r="BA531" i="8"/>
  <c r="BA532" i="8"/>
  <c r="BA533" i="8"/>
  <c r="BA534" i="8"/>
  <c r="BA535" i="8"/>
  <c r="BA536" i="8"/>
  <c r="BA537" i="8"/>
  <c r="BA538" i="8"/>
  <c r="BA539" i="8"/>
  <c r="BA540" i="8"/>
  <c r="BA541" i="8"/>
  <c r="BA542" i="8"/>
  <c r="BA543" i="8"/>
  <c r="BA544" i="8"/>
  <c r="BA545" i="8"/>
  <c r="BA546" i="8"/>
  <c r="BA547" i="8"/>
  <c r="BA548" i="8"/>
  <c r="BA549" i="8"/>
  <c r="BA550" i="8"/>
  <c r="BA551" i="8"/>
  <c r="BA552" i="8"/>
  <c r="BA553" i="8"/>
  <c r="BA554" i="8"/>
  <c r="BA555" i="8"/>
  <c r="BA556" i="8"/>
  <c r="BA557" i="8"/>
  <c r="BA558" i="8"/>
  <c r="BA559" i="8"/>
  <c r="BA560" i="8"/>
  <c r="BA561" i="8"/>
  <c r="BA562" i="8"/>
  <c r="BA563" i="8"/>
  <c r="BA564" i="8"/>
  <c r="BA565" i="8"/>
  <c r="BA566" i="8"/>
  <c r="BA567" i="8"/>
  <c r="BA568" i="8"/>
  <c r="BA569" i="8"/>
  <c r="BA570" i="8"/>
  <c r="BA571" i="8"/>
  <c r="BA572" i="8"/>
  <c r="BA573" i="8"/>
  <c r="BA574" i="8"/>
  <c r="BA575" i="8"/>
  <c r="BA576" i="8"/>
  <c r="BA577" i="8"/>
  <c r="BA578" i="8"/>
  <c r="BA579" i="8"/>
  <c r="BA580" i="8"/>
  <c r="BA581" i="8"/>
  <c r="BA582" i="8"/>
  <c r="BA583" i="8"/>
  <c r="BA584" i="8"/>
  <c r="BA585" i="8"/>
  <c r="BA586" i="8"/>
  <c r="BA587" i="8"/>
  <c r="BA588" i="8"/>
  <c r="BA589" i="8"/>
  <c r="BA590" i="8"/>
  <c r="BA591" i="8"/>
  <c r="BA592" i="8"/>
  <c r="BA593" i="8"/>
  <c r="BA594" i="8"/>
  <c r="BA595" i="8"/>
  <c r="BA596" i="8"/>
  <c r="BA597" i="8"/>
  <c r="BA598" i="8"/>
  <c r="BA599" i="8"/>
  <c r="BA600" i="8"/>
  <c r="BA601" i="8"/>
  <c r="BA602" i="8"/>
  <c r="BA603" i="8"/>
  <c r="BA604" i="8"/>
  <c r="BA605" i="8"/>
  <c r="BA606" i="8"/>
  <c r="BA607" i="8"/>
  <c r="BA608" i="8"/>
  <c r="BA609" i="8"/>
  <c r="BA610" i="8"/>
  <c r="BA611" i="8"/>
  <c r="BA612" i="8"/>
  <c r="BA613" i="8"/>
  <c r="BA614" i="8"/>
  <c r="BA615" i="8"/>
  <c r="BA616" i="8"/>
  <c r="BA617" i="8"/>
  <c r="BA618" i="8"/>
  <c r="BA619" i="8"/>
  <c r="BA620" i="8"/>
  <c r="BA621" i="8"/>
  <c r="BA622" i="8"/>
  <c r="BA623" i="8"/>
  <c r="BA624" i="8"/>
  <c r="BA625" i="8"/>
  <c r="BA626" i="8"/>
  <c r="BA627" i="8"/>
  <c r="BA628" i="8"/>
  <c r="BA629" i="8"/>
  <c r="BA630" i="8"/>
  <c r="BA631" i="8"/>
  <c r="BA632" i="8"/>
  <c r="BA633" i="8"/>
  <c r="BA634" i="8"/>
  <c r="BA635" i="8"/>
  <c r="BA636" i="8"/>
  <c r="BA637" i="8"/>
  <c r="BA638" i="8"/>
  <c r="BA639" i="8"/>
  <c r="BA640" i="8"/>
  <c r="BA641" i="8"/>
  <c r="BA642" i="8"/>
  <c r="BA643" i="8"/>
  <c r="BA644" i="8"/>
  <c r="BA645" i="8"/>
  <c r="BA646" i="8"/>
  <c r="BA647" i="8"/>
  <c r="BA648" i="8"/>
  <c r="BA649" i="8"/>
  <c r="BA650" i="8"/>
  <c r="BA651" i="8"/>
  <c r="BA652" i="8"/>
  <c r="BA653" i="8"/>
  <c r="BA654" i="8"/>
  <c r="BA655" i="8"/>
  <c r="BA656" i="8"/>
  <c r="BA657" i="8"/>
  <c r="BA658" i="8"/>
  <c r="BA659" i="8"/>
  <c r="BA660" i="8"/>
  <c r="BA661" i="8"/>
  <c r="BA662" i="8"/>
  <c r="BA663" i="8"/>
  <c r="BA664" i="8"/>
  <c r="BA665" i="8"/>
  <c r="BA666" i="8"/>
  <c r="BA667" i="8"/>
  <c r="BA668" i="8"/>
  <c r="BA669" i="8"/>
  <c r="BA670" i="8"/>
  <c r="BA671" i="8"/>
  <c r="BA672" i="8"/>
  <c r="BA673" i="8"/>
  <c r="BA674" i="8"/>
  <c r="BA675" i="8"/>
  <c r="BA676" i="8"/>
  <c r="BA677" i="8"/>
  <c r="BA678" i="8"/>
  <c r="BA679" i="8"/>
  <c r="BA680" i="8"/>
  <c r="BA681" i="8"/>
  <c r="BA682" i="8"/>
  <c r="BA683" i="8"/>
  <c r="BA684" i="8"/>
  <c r="BA685" i="8"/>
  <c r="BA686" i="8"/>
  <c r="BA687" i="8"/>
  <c r="BA688" i="8"/>
  <c r="BA689" i="8"/>
  <c r="BA690" i="8"/>
  <c r="BA691" i="8"/>
  <c r="BA692" i="8"/>
  <c r="BA693" i="8"/>
  <c r="BA694" i="8"/>
  <c r="BA695" i="8"/>
  <c r="BA696" i="8"/>
  <c r="BA697" i="8"/>
  <c r="BA698" i="8"/>
  <c r="BA699" i="8"/>
  <c r="BA700" i="8"/>
  <c r="BA701" i="8"/>
  <c r="BA702" i="8"/>
  <c r="BA703" i="8"/>
  <c r="BA704" i="8"/>
  <c r="BA705" i="8"/>
  <c r="BA706" i="8"/>
  <c r="BA707" i="8"/>
  <c r="BA708" i="8"/>
  <c r="BA709" i="8"/>
  <c r="BA710" i="8"/>
  <c r="BA711" i="8"/>
  <c r="BA712" i="8"/>
  <c r="BA713" i="8"/>
  <c r="BA714" i="8"/>
  <c r="BA715" i="8"/>
  <c r="BA716" i="8"/>
  <c r="BA717" i="8"/>
  <c r="BA718" i="8"/>
  <c r="BA719" i="8"/>
  <c r="BA720" i="8"/>
  <c r="BA721" i="8"/>
  <c r="BA722" i="8"/>
  <c r="BA723" i="8"/>
  <c r="BA724" i="8"/>
  <c r="BA725" i="8"/>
  <c r="BA726" i="8"/>
  <c r="BA727" i="8"/>
  <c r="BA728" i="8"/>
  <c r="BA729" i="8"/>
  <c r="BA730" i="8"/>
  <c r="BA731" i="8"/>
  <c r="BA732" i="8"/>
  <c r="BA733" i="8"/>
  <c r="BA734" i="8"/>
  <c r="BA735" i="8"/>
  <c r="BA736" i="8"/>
  <c r="BA737" i="8"/>
  <c r="BA738" i="8"/>
  <c r="BA739" i="8"/>
  <c r="BA740" i="8"/>
  <c r="BA741" i="8"/>
  <c r="BA742" i="8"/>
  <c r="BA743" i="8"/>
  <c r="BA744" i="8"/>
  <c r="BA745" i="8"/>
  <c r="BA746" i="8"/>
  <c r="BA747" i="8"/>
  <c r="BA748" i="8"/>
  <c r="BA749" i="8"/>
  <c r="BA750" i="8"/>
  <c r="BA751" i="8"/>
  <c r="BA752" i="8"/>
  <c r="BA753" i="8"/>
  <c r="BA754" i="8"/>
  <c r="BA755" i="8"/>
  <c r="BA756" i="8"/>
  <c r="BA757" i="8"/>
  <c r="BA758" i="8"/>
  <c r="BA759" i="8"/>
  <c r="BA760" i="8"/>
  <c r="BA761" i="8"/>
  <c r="BA762" i="8"/>
  <c r="BA763" i="8"/>
  <c r="BA764" i="8"/>
  <c r="BA765" i="8"/>
  <c r="BA766" i="8"/>
  <c r="BA767" i="8"/>
  <c r="BA768" i="8"/>
  <c r="BA769" i="8"/>
  <c r="BA770" i="8"/>
  <c r="BA771" i="8"/>
  <c r="BA772" i="8"/>
  <c r="BA773" i="8"/>
  <c r="BA774" i="8"/>
  <c r="BA775" i="8"/>
  <c r="BA776" i="8"/>
  <c r="BA777" i="8"/>
  <c r="BA778" i="8"/>
  <c r="BA779" i="8"/>
  <c r="BA780" i="8"/>
  <c r="BA781" i="8"/>
  <c r="BA782" i="8"/>
  <c r="BA783" i="8"/>
  <c r="BA784" i="8"/>
  <c r="BA785" i="8"/>
  <c r="BA786" i="8"/>
  <c r="BA787" i="8"/>
  <c r="BA788" i="8"/>
  <c r="BA789" i="8"/>
  <c r="BA790" i="8"/>
  <c r="BA791" i="8"/>
  <c r="BA792" i="8"/>
  <c r="BA793" i="8"/>
  <c r="BA794" i="8"/>
  <c r="BA795" i="8"/>
  <c r="BA796" i="8"/>
  <c r="BA797" i="8"/>
  <c r="BA798" i="8"/>
  <c r="BA799" i="8"/>
  <c r="BA800" i="8"/>
  <c r="BA801" i="8"/>
  <c r="BA802" i="8"/>
  <c r="BA803" i="8"/>
  <c r="BA804" i="8"/>
  <c r="BA805" i="8"/>
  <c r="BA806" i="8"/>
  <c r="BA807" i="8"/>
  <c r="BA808" i="8"/>
  <c r="BA809" i="8"/>
  <c r="BA810" i="8"/>
  <c r="BA811" i="8"/>
  <c r="BA812" i="8"/>
  <c r="BA813" i="8"/>
  <c r="BA814" i="8"/>
  <c r="BA815" i="8"/>
  <c r="BA816" i="8"/>
  <c r="BA817" i="8"/>
  <c r="BA818" i="8"/>
  <c r="BA819" i="8"/>
  <c r="BA820" i="8"/>
  <c r="BA821" i="8"/>
  <c r="BA822" i="8"/>
  <c r="BA823" i="8"/>
  <c r="BA824" i="8"/>
  <c r="BA825" i="8"/>
  <c r="BA826" i="8"/>
  <c r="BA827" i="8"/>
  <c r="BA828" i="8"/>
  <c r="BA829" i="8"/>
  <c r="BA830" i="8"/>
  <c r="BA831" i="8"/>
  <c r="BA832" i="8"/>
  <c r="BA833" i="8"/>
  <c r="BA834" i="8"/>
  <c r="BA835" i="8"/>
  <c r="BA836" i="8"/>
  <c r="BA837" i="8"/>
  <c r="BA838" i="8"/>
  <c r="BA839" i="8"/>
  <c r="BA840" i="8"/>
  <c r="BA841" i="8"/>
  <c r="BA842" i="8"/>
  <c r="BA843" i="8"/>
  <c r="BA844" i="8"/>
  <c r="BA845" i="8"/>
  <c r="BA846" i="8"/>
  <c r="BA847" i="8"/>
  <c r="BA848" i="8"/>
  <c r="BA849" i="8"/>
  <c r="BA850" i="8"/>
  <c r="BA851" i="8"/>
  <c r="BA852" i="8"/>
  <c r="BA853" i="8"/>
  <c r="BA854" i="8"/>
  <c r="BA855" i="8"/>
  <c r="BA856" i="8"/>
  <c r="BA857" i="8"/>
  <c r="BA858" i="8"/>
  <c r="BA859" i="8"/>
  <c r="BA860" i="8"/>
  <c r="BA861" i="8"/>
  <c r="BA862" i="8"/>
  <c r="BA863" i="8"/>
  <c r="BA864" i="8"/>
  <c r="BA865" i="8"/>
  <c r="BA866" i="8"/>
  <c r="BA867" i="8"/>
  <c r="BA868" i="8"/>
  <c r="BA869" i="8"/>
  <c r="BA870" i="8"/>
  <c r="BA871" i="8"/>
  <c r="BA872" i="8"/>
  <c r="BA873" i="8"/>
  <c r="BA874" i="8"/>
  <c r="BA875" i="8"/>
  <c r="BA876" i="8"/>
  <c r="BA877" i="8"/>
  <c r="BA878" i="8"/>
  <c r="BA879" i="8"/>
  <c r="BA880" i="8"/>
  <c r="BA881" i="8"/>
  <c r="BA882" i="8"/>
  <c r="BA883" i="8"/>
  <c r="BA884" i="8"/>
  <c r="BA885" i="8"/>
  <c r="BA886" i="8"/>
  <c r="BA887" i="8"/>
  <c r="BA888" i="8"/>
  <c r="BA889" i="8"/>
  <c r="BA890" i="8"/>
  <c r="BA891" i="8"/>
  <c r="BA892" i="8"/>
  <c r="BA893" i="8"/>
  <c r="BA894" i="8"/>
  <c r="BA895" i="8"/>
  <c r="BA896" i="8"/>
  <c r="BA897" i="8"/>
  <c r="BA898" i="8"/>
  <c r="BA899" i="8"/>
  <c r="BA900" i="8"/>
  <c r="BA901" i="8"/>
  <c r="BA902" i="8"/>
  <c r="BA903" i="8"/>
  <c r="BA904" i="8"/>
  <c r="BA905" i="8"/>
  <c r="BA906" i="8"/>
  <c r="BA907" i="8"/>
  <c r="BA908" i="8"/>
  <c r="BA909" i="8"/>
  <c r="BA910" i="8"/>
  <c r="BA911" i="8"/>
  <c r="BA912" i="8"/>
  <c r="BA913" i="8"/>
  <c r="BA914" i="8"/>
  <c r="BA915" i="8"/>
  <c r="BA916" i="8"/>
  <c r="BA917" i="8"/>
  <c r="BA918" i="8"/>
  <c r="BA919" i="8"/>
  <c r="BA920" i="8"/>
  <c r="BA921" i="8"/>
  <c r="BA922" i="8"/>
  <c r="BA923" i="8"/>
  <c r="BA924" i="8"/>
  <c r="BA925" i="8"/>
  <c r="BA926" i="8"/>
  <c r="BA927" i="8"/>
  <c r="BA928" i="8"/>
  <c r="BA929" i="8"/>
  <c r="BA930" i="8"/>
  <c r="BA931" i="8"/>
  <c r="BA932" i="8"/>
  <c r="BA933" i="8"/>
  <c r="BA934" i="8"/>
  <c r="BA935" i="8"/>
  <c r="BA936" i="8"/>
  <c r="BA937" i="8"/>
  <c r="BA938" i="8"/>
  <c r="BA939" i="8"/>
  <c r="BA940" i="8"/>
  <c r="BA941" i="8"/>
  <c r="BA942" i="8"/>
  <c r="BA943" i="8"/>
  <c r="BA944" i="8"/>
  <c r="BA945" i="8"/>
  <c r="BA946" i="8"/>
  <c r="BA947" i="8"/>
  <c r="BA948" i="8"/>
  <c r="BA949" i="8"/>
  <c r="BA950" i="8"/>
  <c r="BA951" i="8"/>
  <c r="BA952" i="8"/>
  <c r="BA953" i="8"/>
  <c r="BA954" i="8"/>
  <c r="BA955" i="8"/>
  <c r="BA956" i="8"/>
  <c r="BA957" i="8"/>
  <c r="BA958" i="8"/>
  <c r="BA959" i="8"/>
  <c r="BA960" i="8"/>
  <c r="BA961" i="8"/>
  <c r="BA962" i="8"/>
  <c r="BA963" i="8"/>
  <c r="BA964" i="8"/>
  <c r="BA965" i="8"/>
  <c r="BA966" i="8"/>
  <c r="BA967" i="8"/>
  <c r="BA968" i="8"/>
  <c r="BA969" i="8"/>
  <c r="BA970" i="8"/>
  <c r="BA971" i="8"/>
  <c r="BA972" i="8"/>
  <c r="BA973" i="8"/>
  <c r="BA974" i="8"/>
  <c r="BA975" i="8"/>
  <c r="BA976" i="8"/>
  <c r="BA977" i="8"/>
  <c r="BA978" i="8"/>
  <c r="BA979" i="8"/>
  <c r="BA980" i="8"/>
  <c r="BA981" i="8"/>
  <c r="BA982" i="8"/>
  <c r="BA983" i="8"/>
  <c r="BA984" i="8"/>
  <c r="BA985" i="8"/>
  <c r="BA986" i="8"/>
  <c r="BA987" i="8"/>
  <c r="BA988" i="8"/>
  <c r="BA989" i="8"/>
  <c r="BA990" i="8"/>
  <c r="BA991" i="8"/>
  <c r="BA992" i="8"/>
  <c r="BA993" i="8"/>
  <c r="BA994" i="8"/>
  <c r="BA995" i="8"/>
  <c r="BA996" i="8"/>
  <c r="BA997" i="8"/>
  <c r="BA998" i="8"/>
  <c r="BA999" i="8"/>
  <c r="BA1000" i="8"/>
  <c r="BA1001" i="8"/>
  <c r="BA1002" i="8"/>
  <c r="BA1003" i="8"/>
  <c r="BA1004" i="8"/>
  <c r="BA1005" i="8"/>
  <c r="BA1006" i="8"/>
  <c r="BA1007" i="8"/>
  <c r="BA1008" i="8"/>
  <c r="BA1009" i="8"/>
  <c r="BA1010" i="8"/>
  <c r="BA1011" i="8"/>
  <c r="BA1012" i="8"/>
  <c r="BA1013" i="8"/>
  <c r="BA1014" i="8"/>
  <c r="BA1015" i="8"/>
  <c r="BA1016" i="8"/>
  <c r="BA1017" i="8"/>
  <c r="BA1018" i="8"/>
  <c r="BA1019" i="8"/>
  <c r="BA1020" i="8"/>
  <c r="BA1021" i="8"/>
  <c r="BA1022" i="8"/>
  <c r="BA1023" i="8"/>
  <c r="BA1024" i="8"/>
  <c r="BA1025" i="8"/>
  <c r="BA1026" i="8"/>
  <c r="BA1027" i="8"/>
  <c r="BA1028" i="8"/>
  <c r="BA1029" i="8"/>
  <c r="BA1030" i="8"/>
  <c r="BA1031" i="8"/>
  <c r="BA1032" i="8"/>
  <c r="BA1033" i="8"/>
  <c r="BA1034" i="8"/>
  <c r="BA1035" i="8"/>
  <c r="BA1036" i="8"/>
  <c r="BA1037" i="8"/>
  <c r="BA1038" i="8"/>
  <c r="BA1039" i="8"/>
  <c r="BA1040" i="8"/>
  <c r="BA1041" i="8"/>
  <c r="BA1042" i="8"/>
  <c r="BA1043" i="8"/>
  <c r="BA1044" i="8"/>
  <c r="BA1045" i="8"/>
  <c r="BA1046" i="8"/>
  <c r="BA1047" i="8"/>
  <c r="BA1048" i="8"/>
  <c r="BA1049" i="8"/>
  <c r="BA1050" i="8"/>
  <c r="BA1051" i="8"/>
  <c r="BA1052" i="8"/>
  <c r="BA1053" i="8"/>
  <c r="BA1054" i="8"/>
  <c r="BA1055" i="8"/>
  <c r="BA1056" i="8"/>
  <c r="BA1057" i="8"/>
  <c r="BA1058" i="8"/>
  <c r="BA1059" i="8"/>
  <c r="BA1060" i="8"/>
  <c r="BA1061" i="8"/>
  <c r="BA1062" i="8"/>
  <c r="BA1063" i="8"/>
  <c r="BA1064" i="8"/>
  <c r="BA1065" i="8"/>
  <c r="BA1066" i="8"/>
  <c r="BA1067" i="8"/>
  <c r="BA1068" i="8"/>
  <c r="BA1069" i="8"/>
  <c r="BA1070" i="8"/>
  <c r="BA1071" i="8"/>
  <c r="BA1072" i="8"/>
  <c r="BA1073" i="8"/>
  <c r="BA1074" i="8"/>
  <c r="BA1075" i="8"/>
  <c r="BA1076" i="8"/>
  <c r="BA1077" i="8"/>
  <c r="BA1078" i="8"/>
  <c r="BA1079" i="8"/>
  <c r="BA1080" i="8"/>
  <c r="BA1081" i="8"/>
  <c r="BA1082" i="8"/>
  <c r="BA1083" i="8"/>
  <c r="BA1084" i="8"/>
  <c r="BA1085" i="8"/>
  <c r="BA1086" i="8"/>
  <c r="BA1087" i="8"/>
  <c r="BA1088" i="8"/>
  <c r="BA1089" i="8"/>
  <c r="BA1090" i="8"/>
  <c r="BA1091" i="8"/>
  <c r="BA1092" i="8"/>
  <c r="BA1093" i="8"/>
  <c r="BA1094" i="8"/>
  <c r="BA1095" i="8"/>
  <c r="BA1096" i="8"/>
  <c r="BA1097" i="8"/>
  <c r="BA1098" i="8"/>
  <c r="BA1099" i="8"/>
  <c r="BA1100" i="8"/>
  <c r="BA1101" i="8"/>
  <c r="BA1102" i="8"/>
  <c r="BA1103" i="8"/>
  <c r="BA1104" i="8"/>
  <c r="BA1105" i="8"/>
  <c r="BA1106" i="8"/>
  <c r="BA1107" i="8"/>
  <c r="BA1108" i="8"/>
  <c r="BA1109" i="8"/>
  <c r="BA1110" i="8"/>
  <c r="BA1111" i="8"/>
  <c r="BA1112" i="8"/>
  <c r="BA1113" i="8"/>
  <c r="BA1114" i="8"/>
  <c r="BA1115" i="8"/>
  <c r="BA1116" i="8"/>
  <c r="BA1117" i="8"/>
  <c r="BA1118" i="8"/>
  <c r="BA1119" i="8"/>
  <c r="BA1120" i="8"/>
  <c r="BA1121" i="8"/>
  <c r="BA1122" i="8"/>
  <c r="BA1123" i="8"/>
  <c r="BA1124" i="8"/>
  <c r="BA1125" i="8"/>
  <c r="BA1126" i="8"/>
  <c r="BA1127" i="8"/>
  <c r="BA1128" i="8"/>
  <c r="BB15" i="8"/>
  <c r="BB16" i="8"/>
  <c r="BB17" i="8"/>
  <c r="BB18" i="8"/>
  <c r="BB19" i="8"/>
  <c r="BB20" i="8"/>
  <c r="BB21" i="8"/>
  <c r="BB22" i="8"/>
  <c r="BB23"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127" i="8"/>
  <c r="BB128" i="8"/>
  <c r="BB129" i="8"/>
  <c r="BB130" i="8"/>
  <c r="BB131" i="8"/>
  <c r="BB132" i="8"/>
  <c r="BB133" i="8"/>
  <c r="BB134" i="8"/>
  <c r="BB135" i="8"/>
  <c r="BB136" i="8"/>
  <c r="BB137" i="8"/>
  <c r="BB138" i="8"/>
  <c r="BB139" i="8"/>
  <c r="BB140" i="8"/>
  <c r="BB141" i="8"/>
  <c r="BB142" i="8"/>
  <c r="BB143" i="8"/>
  <c r="BB144" i="8"/>
  <c r="BB145" i="8"/>
  <c r="BB146" i="8"/>
  <c r="BB147" i="8"/>
  <c r="BB148" i="8"/>
  <c r="BB149" i="8"/>
  <c r="BB150" i="8"/>
  <c r="BB151" i="8"/>
  <c r="BB152" i="8"/>
  <c r="BB153" i="8"/>
  <c r="BB154" i="8"/>
  <c r="BB155" i="8"/>
  <c r="BB156" i="8"/>
  <c r="BB157" i="8"/>
  <c r="BB158" i="8"/>
  <c r="BB159" i="8"/>
  <c r="BB160" i="8"/>
  <c r="BB161" i="8"/>
  <c r="BB162" i="8"/>
  <c r="BB163" i="8"/>
  <c r="BB164" i="8"/>
  <c r="BB165" i="8"/>
  <c r="BB166" i="8"/>
  <c r="BB167" i="8"/>
  <c r="BB168" i="8"/>
  <c r="BB169" i="8"/>
  <c r="BB170" i="8"/>
  <c r="BB171" i="8"/>
  <c r="BB172" i="8"/>
  <c r="BB173" i="8"/>
  <c r="BB174" i="8"/>
  <c r="BB175" i="8"/>
  <c r="BB176" i="8"/>
  <c r="BB177" i="8"/>
  <c r="BB178" i="8"/>
  <c r="BB179" i="8"/>
  <c r="BB180" i="8"/>
  <c r="BB181" i="8"/>
  <c r="BB182" i="8"/>
  <c r="BB183" i="8"/>
  <c r="BB184" i="8"/>
  <c r="BB185" i="8"/>
  <c r="BB186" i="8"/>
  <c r="BB187" i="8"/>
  <c r="BB188" i="8"/>
  <c r="BB189" i="8"/>
  <c r="BB190" i="8"/>
  <c r="BB191" i="8"/>
  <c r="BB192" i="8"/>
  <c r="BB193" i="8"/>
  <c r="BB194" i="8"/>
  <c r="BB195" i="8"/>
  <c r="BB196" i="8"/>
  <c r="BB197" i="8"/>
  <c r="BB198" i="8"/>
  <c r="BB199" i="8"/>
  <c r="BB200" i="8"/>
  <c r="BB201" i="8"/>
  <c r="BB202" i="8"/>
  <c r="BB203" i="8"/>
  <c r="BB204" i="8"/>
  <c r="BB205" i="8"/>
  <c r="BB206" i="8"/>
  <c r="BB207" i="8"/>
  <c r="BB208" i="8"/>
  <c r="BB209" i="8"/>
  <c r="BB210" i="8"/>
  <c r="BB211" i="8"/>
  <c r="BB212" i="8"/>
  <c r="BB213" i="8"/>
  <c r="BB214" i="8"/>
  <c r="BB215" i="8"/>
  <c r="BB216" i="8"/>
  <c r="BB217" i="8"/>
  <c r="BB218" i="8"/>
  <c r="BB219" i="8"/>
  <c r="BB220" i="8"/>
  <c r="BB221" i="8"/>
  <c r="BB222" i="8"/>
  <c r="BB223" i="8"/>
  <c r="BB224" i="8"/>
  <c r="BB225" i="8"/>
  <c r="BB226" i="8"/>
  <c r="BB227" i="8"/>
  <c r="BB228" i="8"/>
  <c r="BB229" i="8"/>
  <c r="BB230" i="8"/>
  <c r="BB231" i="8"/>
  <c r="BB232" i="8"/>
  <c r="BB233" i="8"/>
  <c r="BB234" i="8"/>
  <c r="BB235" i="8"/>
  <c r="BB236" i="8"/>
  <c r="BB237" i="8"/>
  <c r="BB238" i="8"/>
  <c r="BB239" i="8"/>
  <c r="BB240" i="8"/>
  <c r="BB241" i="8"/>
  <c r="BB242" i="8"/>
  <c r="BB243" i="8"/>
  <c r="BB244" i="8"/>
  <c r="BB245" i="8"/>
  <c r="BB246" i="8"/>
  <c r="BB247" i="8"/>
  <c r="BB248" i="8"/>
  <c r="BB249" i="8"/>
  <c r="BB250" i="8"/>
  <c r="BB251" i="8"/>
  <c r="BB252" i="8"/>
  <c r="BB253" i="8"/>
  <c r="BB254" i="8"/>
  <c r="BB255" i="8"/>
  <c r="BB256" i="8"/>
  <c r="BB257" i="8"/>
  <c r="BB258" i="8"/>
  <c r="BB259" i="8"/>
  <c r="BB260" i="8"/>
  <c r="BB261" i="8"/>
  <c r="BB262" i="8"/>
  <c r="BB263" i="8"/>
  <c r="BB264" i="8"/>
  <c r="BB265" i="8"/>
  <c r="BB266" i="8"/>
  <c r="BB267" i="8"/>
  <c r="BB268" i="8"/>
  <c r="BB269" i="8"/>
  <c r="BB270" i="8"/>
  <c r="BB271" i="8"/>
  <c r="BB272" i="8"/>
  <c r="BB273" i="8"/>
  <c r="BB274" i="8"/>
  <c r="BB275" i="8"/>
  <c r="BB276" i="8"/>
  <c r="BB277" i="8"/>
  <c r="BB278" i="8"/>
  <c r="BB279" i="8"/>
  <c r="BB280" i="8"/>
  <c r="BB281" i="8"/>
  <c r="BB282" i="8"/>
  <c r="BB283" i="8"/>
  <c r="BB284" i="8"/>
  <c r="BB285" i="8"/>
  <c r="BB286" i="8"/>
  <c r="BB287" i="8"/>
  <c r="BB288" i="8"/>
  <c r="BB289" i="8"/>
  <c r="BB290" i="8"/>
  <c r="BB291" i="8"/>
  <c r="BB292" i="8"/>
  <c r="BB293" i="8"/>
  <c r="BB294" i="8"/>
  <c r="BB295" i="8"/>
  <c r="BB296" i="8"/>
  <c r="BB297" i="8"/>
  <c r="BB298" i="8"/>
  <c r="BB299" i="8"/>
  <c r="BB300" i="8"/>
  <c r="BB301" i="8"/>
  <c r="BB302" i="8"/>
  <c r="BB303" i="8"/>
  <c r="BB304" i="8"/>
  <c r="BB305" i="8"/>
  <c r="BB306" i="8"/>
  <c r="BB307" i="8"/>
  <c r="BB308" i="8"/>
  <c r="BB309" i="8"/>
  <c r="BB310" i="8"/>
  <c r="BB311" i="8"/>
  <c r="BB312" i="8"/>
  <c r="BB313" i="8"/>
  <c r="BB314" i="8"/>
  <c r="BB315" i="8"/>
  <c r="BB316" i="8"/>
  <c r="BB317" i="8"/>
  <c r="BB318" i="8"/>
  <c r="BB319" i="8"/>
  <c r="BB320" i="8"/>
  <c r="BB321" i="8"/>
  <c r="BB322" i="8"/>
  <c r="BB323" i="8"/>
  <c r="BB324" i="8"/>
  <c r="BB325" i="8"/>
  <c r="BB326" i="8"/>
  <c r="BB327" i="8"/>
  <c r="BB328" i="8"/>
  <c r="BB329" i="8"/>
  <c r="BB330" i="8"/>
  <c r="BB331" i="8"/>
  <c r="BB332" i="8"/>
  <c r="BB333" i="8"/>
  <c r="BB334" i="8"/>
  <c r="BB335" i="8"/>
  <c r="BB336" i="8"/>
  <c r="BB337" i="8"/>
  <c r="BB338" i="8"/>
  <c r="BB339" i="8"/>
  <c r="BB340" i="8"/>
  <c r="BB341" i="8"/>
  <c r="BB342" i="8"/>
  <c r="BB343" i="8"/>
  <c r="BB344" i="8"/>
  <c r="BB345" i="8"/>
  <c r="BB346" i="8"/>
  <c r="BB347" i="8"/>
  <c r="BB348" i="8"/>
  <c r="BB349" i="8"/>
  <c r="BB350" i="8"/>
  <c r="BB351" i="8"/>
  <c r="BB352" i="8"/>
  <c r="BB353" i="8"/>
  <c r="BB354" i="8"/>
  <c r="BB355" i="8"/>
  <c r="BB356" i="8"/>
  <c r="BB357" i="8"/>
  <c r="BB358" i="8"/>
  <c r="BB359" i="8"/>
  <c r="BB360" i="8"/>
  <c r="BB361" i="8"/>
  <c r="BB362" i="8"/>
  <c r="BB363" i="8"/>
  <c r="BB364" i="8"/>
  <c r="BB365" i="8"/>
  <c r="BB366" i="8"/>
  <c r="BB367" i="8"/>
  <c r="BB368" i="8"/>
  <c r="BB369" i="8"/>
  <c r="BB370" i="8"/>
  <c r="BB371" i="8"/>
  <c r="BB372" i="8"/>
  <c r="BB373" i="8"/>
  <c r="BB374" i="8"/>
  <c r="BB375" i="8"/>
  <c r="BB376" i="8"/>
  <c r="BB377" i="8"/>
  <c r="BB378" i="8"/>
  <c r="BB379" i="8"/>
  <c r="BB380" i="8"/>
  <c r="BB381" i="8"/>
  <c r="BB382" i="8"/>
  <c r="BB383" i="8"/>
  <c r="BB384" i="8"/>
  <c r="BB385" i="8"/>
  <c r="BB386" i="8"/>
  <c r="BB387" i="8"/>
  <c r="BB388" i="8"/>
  <c r="BB389" i="8"/>
  <c r="BB390" i="8"/>
  <c r="BB391" i="8"/>
  <c r="BB392" i="8"/>
  <c r="BB393" i="8"/>
  <c r="BB394" i="8"/>
  <c r="BB395" i="8"/>
  <c r="BB396" i="8"/>
  <c r="BB397" i="8"/>
  <c r="BB398" i="8"/>
  <c r="BB399" i="8"/>
  <c r="BB400" i="8"/>
  <c r="BB401" i="8"/>
  <c r="BB402" i="8"/>
  <c r="BB403" i="8"/>
  <c r="BB404" i="8"/>
  <c r="BB405" i="8"/>
  <c r="BB406" i="8"/>
  <c r="BB407" i="8"/>
  <c r="BB408" i="8"/>
  <c r="BB409" i="8"/>
  <c r="BB410" i="8"/>
  <c r="BB411" i="8"/>
  <c r="BB412" i="8"/>
  <c r="BB413" i="8"/>
  <c r="BB414" i="8"/>
  <c r="BB415" i="8"/>
  <c r="BB416" i="8"/>
  <c r="BB417" i="8"/>
  <c r="BB418" i="8"/>
  <c r="BB419" i="8"/>
  <c r="BB420" i="8"/>
  <c r="BB421" i="8"/>
  <c r="BB422" i="8"/>
  <c r="BB423" i="8"/>
  <c r="BB424" i="8"/>
  <c r="BB425" i="8"/>
  <c r="BB426" i="8"/>
  <c r="BB427" i="8"/>
  <c r="BB428" i="8"/>
  <c r="BB429" i="8"/>
  <c r="BB430" i="8"/>
  <c r="BB431" i="8"/>
  <c r="BB432" i="8"/>
  <c r="BB433" i="8"/>
  <c r="BB434" i="8"/>
  <c r="BB435" i="8"/>
  <c r="BB436" i="8"/>
  <c r="BB437" i="8"/>
  <c r="BB438" i="8"/>
  <c r="BB439" i="8"/>
  <c r="BB440" i="8"/>
  <c r="BB441" i="8"/>
  <c r="BB442" i="8"/>
  <c r="BB443" i="8"/>
  <c r="BB444" i="8"/>
  <c r="BB445" i="8"/>
  <c r="BB446" i="8"/>
  <c r="BB447" i="8"/>
  <c r="BB448" i="8"/>
  <c r="BB449" i="8"/>
  <c r="BB450" i="8"/>
  <c r="BB451" i="8"/>
  <c r="BB452" i="8"/>
  <c r="BB453" i="8"/>
  <c r="BB454" i="8"/>
  <c r="BB455" i="8"/>
  <c r="BB456" i="8"/>
  <c r="BB457" i="8"/>
  <c r="BB458" i="8"/>
  <c r="BB459" i="8"/>
  <c r="BB460" i="8"/>
  <c r="BB461" i="8"/>
  <c r="BB462" i="8"/>
  <c r="BB463" i="8"/>
  <c r="BB464" i="8"/>
  <c r="BB465" i="8"/>
  <c r="BB466" i="8"/>
  <c r="BB467" i="8"/>
  <c r="BB468" i="8"/>
  <c r="BB469" i="8"/>
  <c r="BB470" i="8"/>
  <c r="BB471" i="8"/>
  <c r="BB472" i="8"/>
  <c r="BB473" i="8"/>
  <c r="BB474" i="8"/>
  <c r="BB475" i="8"/>
  <c r="BB476" i="8"/>
  <c r="BB477" i="8"/>
  <c r="BB478" i="8"/>
  <c r="BB479" i="8"/>
  <c r="BB480" i="8"/>
  <c r="BB481" i="8"/>
  <c r="BB482" i="8"/>
  <c r="BB483" i="8"/>
  <c r="BB484" i="8"/>
  <c r="BB485" i="8"/>
  <c r="BB486" i="8"/>
  <c r="BB487" i="8"/>
  <c r="BB488" i="8"/>
  <c r="BB489" i="8"/>
  <c r="BB490" i="8"/>
  <c r="BB491" i="8"/>
  <c r="BB492" i="8"/>
  <c r="BB493" i="8"/>
  <c r="BB494" i="8"/>
  <c r="BB495" i="8"/>
  <c r="BB496" i="8"/>
  <c r="BB497" i="8"/>
  <c r="BB498" i="8"/>
  <c r="BB499" i="8"/>
  <c r="BB500" i="8"/>
  <c r="BB501" i="8"/>
  <c r="BB502" i="8"/>
  <c r="BB503" i="8"/>
  <c r="BB504" i="8"/>
  <c r="BB505" i="8"/>
  <c r="BB506" i="8"/>
  <c r="BB507" i="8"/>
  <c r="BB508" i="8"/>
  <c r="BB509" i="8"/>
  <c r="BB510" i="8"/>
  <c r="BB511" i="8"/>
  <c r="BB512" i="8"/>
  <c r="BB513" i="8"/>
  <c r="BB514" i="8"/>
  <c r="BB515" i="8"/>
  <c r="BB516" i="8"/>
  <c r="BB517" i="8"/>
  <c r="BB518" i="8"/>
  <c r="BB519" i="8"/>
  <c r="BB520" i="8"/>
  <c r="BB521" i="8"/>
  <c r="BB522" i="8"/>
  <c r="BB523" i="8"/>
  <c r="BB524" i="8"/>
  <c r="BB525" i="8"/>
  <c r="BB526" i="8"/>
  <c r="BB527" i="8"/>
  <c r="BB528" i="8"/>
  <c r="BB529" i="8"/>
  <c r="BB530" i="8"/>
  <c r="BB531" i="8"/>
  <c r="BB532" i="8"/>
  <c r="BB533" i="8"/>
  <c r="BB534" i="8"/>
  <c r="BB535" i="8"/>
  <c r="BB536" i="8"/>
  <c r="BB537" i="8"/>
  <c r="BB538" i="8"/>
  <c r="BB539" i="8"/>
  <c r="BB540" i="8"/>
  <c r="BB541" i="8"/>
  <c r="BB542" i="8"/>
  <c r="BB543" i="8"/>
  <c r="BB544" i="8"/>
  <c r="BB545" i="8"/>
  <c r="BB546" i="8"/>
  <c r="BB547" i="8"/>
  <c r="BB548" i="8"/>
  <c r="BB549" i="8"/>
  <c r="BB550" i="8"/>
  <c r="BB551" i="8"/>
  <c r="BB552" i="8"/>
  <c r="BB553" i="8"/>
  <c r="BB554" i="8"/>
  <c r="BB555" i="8"/>
  <c r="BB556" i="8"/>
  <c r="BB557" i="8"/>
  <c r="BB558" i="8"/>
  <c r="BB559" i="8"/>
  <c r="BB560" i="8"/>
  <c r="BB561" i="8"/>
  <c r="BB562" i="8"/>
  <c r="BB563" i="8"/>
  <c r="BB564" i="8"/>
  <c r="BB565" i="8"/>
  <c r="BB566" i="8"/>
  <c r="BB567" i="8"/>
  <c r="BB568" i="8"/>
  <c r="BB569" i="8"/>
  <c r="BB570" i="8"/>
  <c r="BB571" i="8"/>
  <c r="BB572" i="8"/>
  <c r="BB573" i="8"/>
  <c r="BB574" i="8"/>
  <c r="BB575" i="8"/>
  <c r="BB576" i="8"/>
  <c r="BB577" i="8"/>
  <c r="BB578" i="8"/>
  <c r="BB579" i="8"/>
  <c r="BB580" i="8"/>
  <c r="BB581" i="8"/>
  <c r="BB582" i="8"/>
  <c r="BB583" i="8"/>
  <c r="BB584" i="8"/>
  <c r="BB585" i="8"/>
  <c r="BB586" i="8"/>
  <c r="BB587" i="8"/>
  <c r="BB588" i="8"/>
  <c r="BB589" i="8"/>
  <c r="BB590" i="8"/>
  <c r="BB591" i="8"/>
  <c r="BB592" i="8"/>
  <c r="BB593" i="8"/>
  <c r="BB594" i="8"/>
  <c r="BB595" i="8"/>
  <c r="BB596" i="8"/>
  <c r="BB597" i="8"/>
  <c r="BB598" i="8"/>
  <c r="BB599" i="8"/>
  <c r="BB600" i="8"/>
  <c r="BB601" i="8"/>
  <c r="BB602" i="8"/>
  <c r="BB603" i="8"/>
  <c r="BB604" i="8"/>
  <c r="BB605" i="8"/>
  <c r="BB606" i="8"/>
  <c r="BB607" i="8"/>
  <c r="BB608" i="8"/>
  <c r="BB609" i="8"/>
  <c r="BB610" i="8"/>
  <c r="BB611" i="8"/>
  <c r="BB612" i="8"/>
  <c r="BB613" i="8"/>
  <c r="BB614" i="8"/>
  <c r="BB615" i="8"/>
  <c r="BB616" i="8"/>
  <c r="BB617" i="8"/>
  <c r="BB618" i="8"/>
  <c r="BB619" i="8"/>
  <c r="BB620" i="8"/>
  <c r="BB621" i="8"/>
  <c r="BB622" i="8"/>
  <c r="BB623" i="8"/>
  <c r="BB624" i="8"/>
  <c r="BB625" i="8"/>
  <c r="BB626" i="8"/>
  <c r="BB627" i="8"/>
  <c r="BB628" i="8"/>
  <c r="BB629" i="8"/>
  <c r="BB630" i="8"/>
  <c r="BB631" i="8"/>
  <c r="BB632" i="8"/>
  <c r="BB633" i="8"/>
  <c r="BB634" i="8"/>
  <c r="BB635" i="8"/>
  <c r="BB636" i="8"/>
  <c r="BB637" i="8"/>
  <c r="BB638" i="8"/>
  <c r="BB639" i="8"/>
  <c r="BB640" i="8"/>
  <c r="BB641" i="8"/>
  <c r="BB642" i="8"/>
  <c r="BB643" i="8"/>
  <c r="BB644" i="8"/>
  <c r="BB645" i="8"/>
  <c r="BB646" i="8"/>
  <c r="BB647" i="8"/>
  <c r="BB648" i="8"/>
  <c r="BB649" i="8"/>
  <c r="BB650" i="8"/>
  <c r="BB651" i="8"/>
  <c r="BB652" i="8"/>
  <c r="BB653" i="8"/>
  <c r="BB654" i="8"/>
  <c r="BB655" i="8"/>
  <c r="BB656" i="8"/>
  <c r="BB657" i="8"/>
  <c r="BB658" i="8"/>
  <c r="BB659" i="8"/>
  <c r="BB660" i="8"/>
  <c r="BB661" i="8"/>
  <c r="BB662" i="8"/>
  <c r="BB663" i="8"/>
  <c r="BB664" i="8"/>
  <c r="BB665" i="8"/>
  <c r="BB666" i="8"/>
  <c r="BB667" i="8"/>
  <c r="BB668" i="8"/>
  <c r="BB669" i="8"/>
  <c r="BB670" i="8"/>
  <c r="BB671" i="8"/>
  <c r="BB672" i="8"/>
  <c r="BB673" i="8"/>
  <c r="BB674" i="8"/>
  <c r="BB675" i="8"/>
  <c r="BB676" i="8"/>
  <c r="BB677" i="8"/>
  <c r="BB678" i="8"/>
  <c r="BB679" i="8"/>
  <c r="BB680" i="8"/>
  <c r="BB681" i="8"/>
  <c r="BB682" i="8"/>
  <c r="BB683" i="8"/>
  <c r="BB684" i="8"/>
  <c r="BB685" i="8"/>
  <c r="BB686" i="8"/>
  <c r="BB687" i="8"/>
  <c r="BB688" i="8"/>
  <c r="BB689" i="8"/>
  <c r="BB690" i="8"/>
  <c r="BB691" i="8"/>
  <c r="BB692" i="8"/>
  <c r="BB693" i="8"/>
  <c r="BB694" i="8"/>
  <c r="BB695" i="8"/>
  <c r="BB696" i="8"/>
  <c r="BB697" i="8"/>
  <c r="BB698" i="8"/>
  <c r="BB699" i="8"/>
  <c r="BB700" i="8"/>
  <c r="BB701" i="8"/>
  <c r="BB702" i="8"/>
  <c r="BB703" i="8"/>
  <c r="BB704" i="8"/>
  <c r="BB705" i="8"/>
  <c r="BB706" i="8"/>
  <c r="BB707" i="8"/>
  <c r="BB708" i="8"/>
  <c r="BB709" i="8"/>
  <c r="BB710" i="8"/>
  <c r="BB711" i="8"/>
  <c r="BB712" i="8"/>
  <c r="BB713" i="8"/>
  <c r="BB714" i="8"/>
  <c r="BB715" i="8"/>
  <c r="BB716" i="8"/>
  <c r="BB717" i="8"/>
  <c r="BB718" i="8"/>
  <c r="BB719" i="8"/>
  <c r="BB720" i="8"/>
  <c r="BB721" i="8"/>
  <c r="BB722" i="8"/>
  <c r="BB723" i="8"/>
  <c r="BB724" i="8"/>
  <c r="BB725" i="8"/>
  <c r="BB726" i="8"/>
  <c r="BB727" i="8"/>
  <c r="BB728" i="8"/>
  <c r="BB729" i="8"/>
  <c r="BB730" i="8"/>
  <c r="BB731" i="8"/>
  <c r="BB732" i="8"/>
  <c r="BB733" i="8"/>
  <c r="BB734" i="8"/>
  <c r="BB735" i="8"/>
  <c r="BB736" i="8"/>
  <c r="BB737" i="8"/>
  <c r="BB738" i="8"/>
  <c r="BB739" i="8"/>
  <c r="BB740" i="8"/>
  <c r="BB741" i="8"/>
  <c r="BB742" i="8"/>
  <c r="BB743" i="8"/>
  <c r="BB744" i="8"/>
  <c r="BB745" i="8"/>
  <c r="BB746" i="8"/>
  <c r="BB747" i="8"/>
  <c r="BB748" i="8"/>
  <c r="BB749" i="8"/>
  <c r="BB750" i="8"/>
  <c r="BB751" i="8"/>
  <c r="BB752" i="8"/>
  <c r="BB753" i="8"/>
  <c r="BB754" i="8"/>
  <c r="BB755" i="8"/>
  <c r="BB756" i="8"/>
  <c r="BB757" i="8"/>
  <c r="BB758" i="8"/>
  <c r="BB759" i="8"/>
  <c r="BB760" i="8"/>
  <c r="BB761" i="8"/>
  <c r="BB762" i="8"/>
  <c r="BB763" i="8"/>
  <c r="BB764" i="8"/>
  <c r="BB765" i="8"/>
  <c r="BB766" i="8"/>
  <c r="BB767" i="8"/>
  <c r="BB768" i="8"/>
  <c r="BB769" i="8"/>
  <c r="BB770" i="8"/>
  <c r="BB771" i="8"/>
  <c r="BB772" i="8"/>
  <c r="BB773" i="8"/>
  <c r="BB774" i="8"/>
  <c r="BB775" i="8"/>
  <c r="BB776" i="8"/>
  <c r="BB777" i="8"/>
  <c r="BB778" i="8"/>
  <c r="BB779" i="8"/>
  <c r="BB780" i="8"/>
  <c r="BB781" i="8"/>
  <c r="BB782" i="8"/>
  <c r="BB783" i="8"/>
  <c r="BB784" i="8"/>
  <c r="BB785" i="8"/>
  <c r="BB786" i="8"/>
  <c r="BB787" i="8"/>
  <c r="BB788" i="8"/>
  <c r="BB789" i="8"/>
  <c r="BB790" i="8"/>
  <c r="BB791" i="8"/>
  <c r="BB792" i="8"/>
  <c r="BB793" i="8"/>
  <c r="BB794" i="8"/>
  <c r="BB795" i="8"/>
  <c r="BB796" i="8"/>
  <c r="BB797" i="8"/>
  <c r="BB798" i="8"/>
  <c r="BB799" i="8"/>
  <c r="BB800" i="8"/>
  <c r="BB801" i="8"/>
  <c r="BB802" i="8"/>
  <c r="BB803" i="8"/>
  <c r="BB804" i="8"/>
  <c r="BB805" i="8"/>
  <c r="BB806" i="8"/>
  <c r="BB807" i="8"/>
  <c r="BB808" i="8"/>
  <c r="BB809" i="8"/>
  <c r="BB810" i="8"/>
  <c r="BB811" i="8"/>
  <c r="BB812" i="8"/>
  <c r="BB813" i="8"/>
  <c r="BB814" i="8"/>
  <c r="BB815" i="8"/>
  <c r="BB816" i="8"/>
  <c r="BB817" i="8"/>
  <c r="BB818" i="8"/>
  <c r="BB819" i="8"/>
  <c r="BB820" i="8"/>
  <c r="BB821" i="8"/>
  <c r="BB822" i="8"/>
  <c r="BB823" i="8"/>
  <c r="BB824" i="8"/>
  <c r="BB825" i="8"/>
  <c r="BB826" i="8"/>
  <c r="BB827" i="8"/>
  <c r="BB828" i="8"/>
  <c r="BB829" i="8"/>
  <c r="BB830" i="8"/>
  <c r="BB831" i="8"/>
  <c r="BB832" i="8"/>
  <c r="BB833" i="8"/>
  <c r="BB834" i="8"/>
  <c r="BB835" i="8"/>
  <c r="BB836" i="8"/>
  <c r="BB837" i="8"/>
  <c r="BB838" i="8"/>
  <c r="BB839" i="8"/>
  <c r="BB840" i="8"/>
  <c r="BB841" i="8"/>
  <c r="BB842" i="8"/>
  <c r="BB843" i="8"/>
  <c r="BB844" i="8"/>
  <c r="BB845" i="8"/>
  <c r="BB846" i="8"/>
  <c r="BB847" i="8"/>
  <c r="BB848" i="8"/>
  <c r="BB849" i="8"/>
  <c r="BB850" i="8"/>
  <c r="BB851" i="8"/>
  <c r="BB852" i="8"/>
  <c r="BB853" i="8"/>
  <c r="BB854" i="8"/>
  <c r="BB855" i="8"/>
  <c r="BB856" i="8"/>
  <c r="BB857" i="8"/>
  <c r="BB858" i="8"/>
  <c r="BB859" i="8"/>
  <c r="BB860" i="8"/>
  <c r="BB861" i="8"/>
  <c r="BB862" i="8"/>
  <c r="BB863" i="8"/>
  <c r="BB864" i="8"/>
  <c r="BB865" i="8"/>
  <c r="BB866" i="8"/>
  <c r="BB867" i="8"/>
  <c r="BB868" i="8"/>
  <c r="BB869" i="8"/>
  <c r="BB870" i="8"/>
  <c r="BB871" i="8"/>
  <c r="BB872" i="8"/>
  <c r="BB873" i="8"/>
  <c r="BB874" i="8"/>
  <c r="BB875" i="8"/>
  <c r="BB876" i="8"/>
  <c r="BB877" i="8"/>
  <c r="BB878" i="8"/>
  <c r="BB879" i="8"/>
  <c r="BB880" i="8"/>
  <c r="BB881" i="8"/>
  <c r="BB882" i="8"/>
  <c r="BB883" i="8"/>
  <c r="BB884" i="8"/>
  <c r="BB885" i="8"/>
  <c r="BB886" i="8"/>
  <c r="BB887" i="8"/>
  <c r="BB888" i="8"/>
  <c r="BB889" i="8"/>
  <c r="BB890" i="8"/>
  <c r="BB891" i="8"/>
  <c r="BB892" i="8"/>
  <c r="BB893" i="8"/>
  <c r="BB894" i="8"/>
  <c r="BB895" i="8"/>
  <c r="BB896" i="8"/>
  <c r="BB897" i="8"/>
  <c r="BB898" i="8"/>
  <c r="BB899" i="8"/>
  <c r="BB900" i="8"/>
  <c r="BB901" i="8"/>
  <c r="BB902" i="8"/>
  <c r="BB903" i="8"/>
  <c r="BB904" i="8"/>
  <c r="BB905" i="8"/>
  <c r="BB906" i="8"/>
  <c r="BB907" i="8"/>
  <c r="BB908" i="8"/>
  <c r="BB909" i="8"/>
  <c r="BB910" i="8"/>
  <c r="BB911" i="8"/>
  <c r="BB912" i="8"/>
  <c r="BB913" i="8"/>
  <c r="BB914" i="8"/>
  <c r="BB915" i="8"/>
  <c r="BB916" i="8"/>
  <c r="BB917" i="8"/>
  <c r="BB918" i="8"/>
  <c r="BB919" i="8"/>
  <c r="BB920" i="8"/>
  <c r="BB921" i="8"/>
  <c r="BB922" i="8"/>
  <c r="BB923" i="8"/>
  <c r="BB924" i="8"/>
  <c r="BB925" i="8"/>
  <c r="BB926" i="8"/>
  <c r="BB927" i="8"/>
  <c r="BB928" i="8"/>
  <c r="BB929" i="8"/>
  <c r="BB930" i="8"/>
  <c r="BB931" i="8"/>
  <c r="BB932" i="8"/>
  <c r="BB933" i="8"/>
  <c r="BB934" i="8"/>
  <c r="BB935" i="8"/>
  <c r="BB936" i="8"/>
  <c r="BB937" i="8"/>
  <c r="BB938" i="8"/>
  <c r="BB939" i="8"/>
  <c r="BB940" i="8"/>
  <c r="BB941" i="8"/>
  <c r="BB942" i="8"/>
  <c r="BB943" i="8"/>
  <c r="BB944" i="8"/>
  <c r="BB945" i="8"/>
  <c r="BB946" i="8"/>
  <c r="BB947" i="8"/>
  <c r="BB948" i="8"/>
  <c r="BB949" i="8"/>
  <c r="BB950" i="8"/>
  <c r="BB951" i="8"/>
  <c r="BB952" i="8"/>
  <c r="BB953" i="8"/>
  <c r="BB954" i="8"/>
  <c r="BB955" i="8"/>
  <c r="BB956" i="8"/>
  <c r="BB957" i="8"/>
  <c r="BB958" i="8"/>
  <c r="BB959" i="8"/>
  <c r="BB960" i="8"/>
  <c r="BB961" i="8"/>
  <c r="BB962" i="8"/>
  <c r="BB963" i="8"/>
  <c r="BB964" i="8"/>
  <c r="BB965" i="8"/>
  <c r="BB966" i="8"/>
  <c r="BB967" i="8"/>
  <c r="BB968" i="8"/>
  <c r="BB969" i="8"/>
  <c r="BB970" i="8"/>
  <c r="BB971" i="8"/>
  <c r="BB972" i="8"/>
  <c r="BB973" i="8"/>
  <c r="BB974" i="8"/>
  <c r="BB975" i="8"/>
  <c r="BB976" i="8"/>
  <c r="BB977" i="8"/>
  <c r="BB978" i="8"/>
  <c r="BB979" i="8"/>
  <c r="BB980" i="8"/>
  <c r="BB981" i="8"/>
  <c r="BB982" i="8"/>
  <c r="BB983" i="8"/>
  <c r="BB984" i="8"/>
  <c r="BB985" i="8"/>
  <c r="BB986" i="8"/>
  <c r="BB987" i="8"/>
  <c r="BB988" i="8"/>
  <c r="BB989" i="8"/>
  <c r="BB990" i="8"/>
  <c r="BB991" i="8"/>
  <c r="BB992" i="8"/>
  <c r="BB993" i="8"/>
  <c r="BB994" i="8"/>
  <c r="BB995" i="8"/>
  <c r="BB996" i="8"/>
  <c r="BB997" i="8"/>
  <c r="BB998" i="8"/>
  <c r="BB999" i="8"/>
  <c r="BB1000" i="8"/>
  <c r="BB1001" i="8"/>
  <c r="BB1002" i="8"/>
  <c r="BB1003" i="8"/>
  <c r="BB1004" i="8"/>
  <c r="BB1005" i="8"/>
  <c r="BB1006" i="8"/>
  <c r="BB1007" i="8"/>
  <c r="BB1008" i="8"/>
  <c r="BB1009" i="8"/>
  <c r="BB1010" i="8"/>
  <c r="BB1011" i="8"/>
  <c r="BB1012" i="8"/>
  <c r="BB1013" i="8"/>
  <c r="BB1014" i="8"/>
  <c r="BB1015" i="8"/>
  <c r="BB1016" i="8"/>
  <c r="BB1017" i="8"/>
  <c r="BB1018" i="8"/>
  <c r="BB1019" i="8"/>
  <c r="BB1020" i="8"/>
  <c r="BB1021" i="8"/>
  <c r="BB1022" i="8"/>
  <c r="BB1023" i="8"/>
  <c r="BB1024" i="8"/>
  <c r="BB1025" i="8"/>
  <c r="BB1026" i="8"/>
  <c r="BB1027" i="8"/>
  <c r="BB1028" i="8"/>
  <c r="BB1029" i="8"/>
  <c r="BB1030" i="8"/>
  <c r="BB1031" i="8"/>
  <c r="BB1032" i="8"/>
  <c r="BB1033" i="8"/>
  <c r="BB1034" i="8"/>
  <c r="BB1035" i="8"/>
  <c r="BB1036" i="8"/>
  <c r="BB1037" i="8"/>
  <c r="BB1038" i="8"/>
  <c r="BB1039" i="8"/>
  <c r="BB1040" i="8"/>
  <c r="BB1041" i="8"/>
  <c r="BB1042" i="8"/>
  <c r="BB1043" i="8"/>
  <c r="BB1044" i="8"/>
  <c r="BB1045" i="8"/>
  <c r="BB1046" i="8"/>
  <c r="BB1047" i="8"/>
  <c r="BB1048" i="8"/>
  <c r="BB1049" i="8"/>
  <c r="BB1050" i="8"/>
  <c r="BB1051" i="8"/>
  <c r="BB1052" i="8"/>
  <c r="BB1053" i="8"/>
  <c r="BB1054" i="8"/>
  <c r="BB1055" i="8"/>
  <c r="BB1056" i="8"/>
  <c r="BB1057" i="8"/>
  <c r="BB1058" i="8"/>
  <c r="BB1059" i="8"/>
  <c r="BB1060" i="8"/>
  <c r="BB1061" i="8"/>
  <c r="BB1062" i="8"/>
  <c r="BB1063" i="8"/>
  <c r="BB1064" i="8"/>
  <c r="BB1065" i="8"/>
  <c r="BB1066" i="8"/>
  <c r="BB1067" i="8"/>
  <c r="BB1068" i="8"/>
  <c r="BB1069" i="8"/>
  <c r="BB1070" i="8"/>
  <c r="BB1071" i="8"/>
  <c r="BB1072" i="8"/>
  <c r="BB1073" i="8"/>
  <c r="BB1074" i="8"/>
  <c r="BB1075" i="8"/>
  <c r="BB1076" i="8"/>
  <c r="BB1077" i="8"/>
  <c r="BB1078" i="8"/>
  <c r="BB1079" i="8"/>
  <c r="BB1080" i="8"/>
  <c r="BB1081" i="8"/>
  <c r="BB1082" i="8"/>
  <c r="BB1083" i="8"/>
  <c r="BB1084" i="8"/>
  <c r="BB1085" i="8"/>
  <c r="BB1086" i="8"/>
  <c r="BB1087" i="8"/>
  <c r="BB1088" i="8"/>
  <c r="BB1089" i="8"/>
  <c r="BB1090" i="8"/>
  <c r="BB1091" i="8"/>
  <c r="BB1092" i="8"/>
  <c r="BB1093" i="8"/>
  <c r="BB1094" i="8"/>
  <c r="BB1095" i="8"/>
  <c r="BB1096" i="8"/>
  <c r="BB1097" i="8"/>
  <c r="BB1098" i="8"/>
  <c r="BB1099" i="8"/>
  <c r="BB1100" i="8"/>
  <c r="BB1101" i="8"/>
  <c r="BB1102" i="8"/>
  <c r="BB1103" i="8"/>
  <c r="BB1104" i="8"/>
  <c r="BB1105" i="8"/>
  <c r="BB1106" i="8"/>
  <c r="BB1107" i="8"/>
  <c r="BB1108" i="8"/>
  <c r="BB1109" i="8"/>
  <c r="BB1110" i="8"/>
  <c r="BB1111" i="8"/>
  <c r="BB1112" i="8"/>
  <c r="BB1113" i="8"/>
  <c r="BB1114" i="8"/>
  <c r="BB1115" i="8"/>
  <c r="BB1116" i="8"/>
  <c r="BB1117" i="8"/>
  <c r="BB1118" i="8"/>
  <c r="BB1119" i="8"/>
  <c r="BB1120" i="8"/>
  <c r="BB1121" i="8"/>
  <c r="BB1122" i="8"/>
  <c r="BB1123" i="8"/>
  <c r="BB1124" i="8"/>
  <c r="BB1125" i="8"/>
  <c r="BB1126" i="8"/>
  <c r="BB1127" i="8"/>
  <c r="BB1128" i="8"/>
  <c r="BC15" i="8"/>
  <c r="BC16" i="8"/>
  <c r="BC17" i="8"/>
  <c r="BC18" i="8"/>
  <c r="BC19" i="8"/>
  <c r="BC20" i="8"/>
  <c r="BC21" i="8"/>
  <c r="BC22" i="8"/>
  <c r="BC23" i="8"/>
  <c r="BC24" i="8"/>
  <c r="BC25" i="8"/>
  <c r="BC26" i="8"/>
  <c r="BC27" i="8"/>
  <c r="BC28" i="8"/>
  <c r="BC29" i="8"/>
  <c r="BC30" i="8"/>
  <c r="BC31" i="8"/>
  <c r="BC32" i="8"/>
  <c r="BC33" i="8"/>
  <c r="BC34" i="8"/>
  <c r="BC35" i="8"/>
  <c r="BC36" i="8"/>
  <c r="BC37" i="8"/>
  <c r="BC38" i="8"/>
  <c r="BC39" i="8"/>
  <c r="BC40" i="8"/>
  <c r="BC41" i="8"/>
  <c r="BC42" i="8"/>
  <c r="BC43" i="8"/>
  <c r="BC44" i="8"/>
  <c r="BC45" i="8"/>
  <c r="BC46" i="8"/>
  <c r="BC47" i="8"/>
  <c r="BC48" i="8"/>
  <c r="BC49" i="8"/>
  <c r="BC50" i="8"/>
  <c r="BC51" i="8"/>
  <c r="BC52" i="8"/>
  <c r="BC53" i="8"/>
  <c r="BC54" i="8"/>
  <c r="BC55" i="8"/>
  <c r="BC56" i="8"/>
  <c r="BC57" i="8"/>
  <c r="BC58" i="8"/>
  <c r="BC59" i="8"/>
  <c r="BC60" i="8"/>
  <c r="BC61" i="8"/>
  <c r="BC62" i="8"/>
  <c r="BC63" i="8"/>
  <c r="BC64" i="8"/>
  <c r="BC65" i="8"/>
  <c r="BC66" i="8"/>
  <c r="BC67" i="8"/>
  <c r="BC68" i="8"/>
  <c r="BC69" i="8"/>
  <c r="BC70" i="8"/>
  <c r="BC71" i="8"/>
  <c r="BC72" i="8"/>
  <c r="BC73" i="8"/>
  <c r="BC74" i="8"/>
  <c r="BC75" i="8"/>
  <c r="BC76" i="8"/>
  <c r="BC77" i="8"/>
  <c r="BC78" i="8"/>
  <c r="BC79" i="8"/>
  <c r="BC80" i="8"/>
  <c r="BC81" i="8"/>
  <c r="BC82" i="8"/>
  <c r="BC83" i="8"/>
  <c r="BC84" i="8"/>
  <c r="BC85" i="8"/>
  <c r="BC86" i="8"/>
  <c r="BC87" i="8"/>
  <c r="BC88" i="8"/>
  <c r="BC89" i="8"/>
  <c r="BC90" i="8"/>
  <c r="BC91" i="8"/>
  <c r="BC92" i="8"/>
  <c r="BC93" i="8"/>
  <c r="BC94" i="8"/>
  <c r="BC95" i="8"/>
  <c r="BC96" i="8"/>
  <c r="BC97" i="8"/>
  <c r="BC98" i="8"/>
  <c r="BC99" i="8"/>
  <c r="BC100" i="8"/>
  <c r="BC101" i="8"/>
  <c r="BC102" i="8"/>
  <c r="BC103" i="8"/>
  <c r="BC104" i="8"/>
  <c r="BC105" i="8"/>
  <c r="BC106" i="8"/>
  <c r="BC107" i="8"/>
  <c r="BC108" i="8"/>
  <c r="BC109" i="8"/>
  <c r="BC110" i="8"/>
  <c r="BC111" i="8"/>
  <c r="BC112" i="8"/>
  <c r="BC113" i="8"/>
  <c r="BC114" i="8"/>
  <c r="BC115" i="8"/>
  <c r="BC116" i="8"/>
  <c r="BC117" i="8"/>
  <c r="BC118" i="8"/>
  <c r="BC119" i="8"/>
  <c r="BC120" i="8"/>
  <c r="BC121" i="8"/>
  <c r="BC122" i="8"/>
  <c r="BC123" i="8"/>
  <c r="BC124" i="8"/>
  <c r="BC125" i="8"/>
  <c r="BC126" i="8"/>
  <c r="BC127" i="8"/>
  <c r="BC128" i="8"/>
  <c r="BC129" i="8"/>
  <c r="BC130" i="8"/>
  <c r="BC131" i="8"/>
  <c r="BC132" i="8"/>
  <c r="BC133" i="8"/>
  <c r="BC134" i="8"/>
  <c r="BC135" i="8"/>
  <c r="BC136" i="8"/>
  <c r="BC137" i="8"/>
  <c r="BC138" i="8"/>
  <c r="BC139" i="8"/>
  <c r="BC140" i="8"/>
  <c r="BC141" i="8"/>
  <c r="BC142" i="8"/>
  <c r="BC143" i="8"/>
  <c r="BC144" i="8"/>
  <c r="BC145" i="8"/>
  <c r="BC146" i="8"/>
  <c r="BC147" i="8"/>
  <c r="BC148" i="8"/>
  <c r="BC149" i="8"/>
  <c r="BC150" i="8"/>
  <c r="BC151" i="8"/>
  <c r="BC152" i="8"/>
  <c r="BC153" i="8"/>
  <c r="BC154" i="8"/>
  <c r="BC155" i="8"/>
  <c r="BC156" i="8"/>
  <c r="BC157" i="8"/>
  <c r="BC158" i="8"/>
  <c r="BC159" i="8"/>
  <c r="BC160" i="8"/>
  <c r="BC161" i="8"/>
  <c r="BC162" i="8"/>
  <c r="BC163" i="8"/>
  <c r="BC164" i="8"/>
  <c r="BC165" i="8"/>
  <c r="BC166" i="8"/>
  <c r="BC167" i="8"/>
  <c r="BC168" i="8"/>
  <c r="BC169" i="8"/>
  <c r="BC170" i="8"/>
  <c r="BC171" i="8"/>
  <c r="BC172" i="8"/>
  <c r="BC173" i="8"/>
  <c r="BC174" i="8"/>
  <c r="BC175" i="8"/>
  <c r="BC176" i="8"/>
  <c r="BC177" i="8"/>
  <c r="BC178" i="8"/>
  <c r="BC179" i="8"/>
  <c r="BC180" i="8"/>
  <c r="BC181" i="8"/>
  <c r="BC182" i="8"/>
  <c r="BC183" i="8"/>
  <c r="BC184" i="8"/>
  <c r="BC185" i="8"/>
  <c r="BC186" i="8"/>
  <c r="BC187" i="8"/>
  <c r="BC188" i="8"/>
  <c r="BC189" i="8"/>
  <c r="BC190" i="8"/>
  <c r="BC191" i="8"/>
  <c r="BC192" i="8"/>
  <c r="BC193" i="8"/>
  <c r="BC194" i="8"/>
  <c r="BC195" i="8"/>
  <c r="BC196" i="8"/>
  <c r="BC197" i="8"/>
  <c r="BC198" i="8"/>
  <c r="BC199" i="8"/>
  <c r="BC200" i="8"/>
  <c r="BC201" i="8"/>
  <c r="BC202" i="8"/>
  <c r="BC203" i="8"/>
  <c r="BC204" i="8"/>
  <c r="BC205" i="8"/>
  <c r="BC206" i="8"/>
  <c r="BC207" i="8"/>
  <c r="BC208" i="8"/>
  <c r="BC209" i="8"/>
  <c r="BC210" i="8"/>
  <c r="BC211" i="8"/>
  <c r="BC212" i="8"/>
  <c r="BC213" i="8"/>
  <c r="BC214" i="8"/>
  <c r="BC215" i="8"/>
  <c r="BC216" i="8"/>
  <c r="BC217" i="8"/>
  <c r="BC218" i="8"/>
  <c r="BC219" i="8"/>
  <c r="BC220" i="8"/>
  <c r="BC221" i="8"/>
  <c r="BC222" i="8"/>
  <c r="BC223" i="8"/>
  <c r="BC224" i="8"/>
  <c r="BC225" i="8"/>
  <c r="BC226" i="8"/>
  <c r="BC227" i="8"/>
  <c r="BC228" i="8"/>
  <c r="BC229" i="8"/>
  <c r="BC230" i="8"/>
  <c r="BC231" i="8"/>
  <c r="BC232" i="8"/>
  <c r="BC233" i="8"/>
  <c r="BC234" i="8"/>
  <c r="BC235" i="8"/>
  <c r="BC236" i="8"/>
  <c r="BC237" i="8"/>
  <c r="BC238" i="8"/>
  <c r="BC239" i="8"/>
  <c r="BC240" i="8"/>
  <c r="BC241" i="8"/>
  <c r="BC242" i="8"/>
  <c r="BC243" i="8"/>
  <c r="BC244" i="8"/>
  <c r="BC245" i="8"/>
  <c r="BC246" i="8"/>
  <c r="BC247" i="8"/>
  <c r="BC248" i="8"/>
  <c r="BC249" i="8"/>
  <c r="BC250" i="8"/>
  <c r="BC251" i="8"/>
  <c r="BC252" i="8"/>
  <c r="BC253" i="8"/>
  <c r="BC254" i="8"/>
  <c r="BC255" i="8"/>
  <c r="BC256" i="8"/>
  <c r="BC257" i="8"/>
  <c r="BC258" i="8"/>
  <c r="BC259" i="8"/>
  <c r="BC260" i="8"/>
  <c r="BC261" i="8"/>
  <c r="BC262" i="8"/>
  <c r="BC263" i="8"/>
  <c r="BC264" i="8"/>
  <c r="BC265" i="8"/>
  <c r="BC266" i="8"/>
  <c r="BC267" i="8"/>
  <c r="BC268" i="8"/>
  <c r="BC269" i="8"/>
  <c r="BC270" i="8"/>
  <c r="BC271" i="8"/>
  <c r="BC272" i="8"/>
  <c r="BC273" i="8"/>
  <c r="BC274" i="8"/>
  <c r="BC275" i="8"/>
  <c r="BC276" i="8"/>
  <c r="BC277" i="8"/>
  <c r="BC278" i="8"/>
  <c r="BC279" i="8"/>
  <c r="BC280" i="8"/>
  <c r="BC281" i="8"/>
  <c r="BC282" i="8"/>
  <c r="BC283" i="8"/>
  <c r="BC284" i="8"/>
  <c r="BC285" i="8"/>
  <c r="BC286" i="8"/>
  <c r="BC287" i="8"/>
  <c r="BC288" i="8"/>
  <c r="BC289" i="8"/>
  <c r="BC290" i="8"/>
  <c r="BC291" i="8"/>
  <c r="BC292" i="8"/>
  <c r="BC293" i="8"/>
  <c r="BC294" i="8"/>
  <c r="BC295" i="8"/>
  <c r="BC296" i="8"/>
  <c r="BC297" i="8"/>
  <c r="BC298" i="8"/>
  <c r="BC299" i="8"/>
  <c r="BC300" i="8"/>
  <c r="BC301" i="8"/>
  <c r="BC302" i="8"/>
  <c r="BC303" i="8"/>
  <c r="BC304" i="8"/>
  <c r="BC305" i="8"/>
  <c r="BC306" i="8"/>
  <c r="BC307" i="8"/>
  <c r="BC308" i="8"/>
  <c r="BC309" i="8"/>
  <c r="BC310" i="8"/>
  <c r="BC311" i="8"/>
  <c r="BC312" i="8"/>
  <c r="BC313" i="8"/>
  <c r="BC314" i="8"/>
  <c r="BC315" i="8"/>
  <c r="BC316" i="8"/>
  <c r="BC317" i="8"/>
  <c r="BC318" i="8"/>
  <c r="BC319" i="8"/>
  <c r="BC320" i="8"/>
  <c r="BC321" i="8"/>
  <c r="BC322" i="8"/>
  <c r="BC323" i="8"/>
  <c r="BC324" i="8"/>
  <c r="BC325" i="8"/>
  <c r="BC326" i="8"/>
  <c r="BC327" i="8"/>
  <c r="BC328" i="8"/>
  <c r="BC329" i="8"/>
  <c r="BC330" i="8"/>
  <c r="BC331" i="8"/>
  <c r="BC332" i="8"/>
  <c r="BC333" i="8"/>
  <c r="BC334" i="8"/>
  <c r="BC335" i="8"/>
  <c r="BC336" i="8"/>
  <c r="BC337" i="8"/>
  <c r="BC338" i="8"/>
  <c r="BC339" i="8"/>
  <c r="BC340" i="8"/>
  <c r="BC341" i="8"/>
  <c r="BC342" i="8"/>
  <c r="BC343" i="8"/>
  <c r="BC344" i="8"/>
  <c r="BC345" i="8"/>
  <c r="BC346" i="8"/>
  <c r="BC347" i="8"/>
  <c r="BC348" i="8"/>
  <c r="BC349" i="8"/>
  <c r="BC350" i="8"/>
  <c r="BC351" i="8"/>
  <c r="BC352" i="8"/>
  <c r="BC353" i="8"/>
  <c r="BC354" i="8"/>
  <c r="BC355" i="8"/>
  <c r="BC356" i="8"/>
  <c r="BC357" i="8"/>
  <c r="BC358" i="8"/>
  <c r="BC359" i="8"/>
  <c r="BC360" i="8"/>
  <c r="BC361" i="8"/>
  <c r="BC362" i="8"/>
  <c r="BC363" i="8"/>
  <c r="BC364" i="8"/>
  <c r="BC365" i="8"/>
  <c r="BC366" i="8"/>
  <c r="BC367" i="8"/>
  <c r="BC368" i="8"/>
  <c r="BC369" i="8"/>
  <c r="BC370" i="8"/>
  <c r="BC371" i="8"/>
  <c r="BC372" i="8"/>
  <c r="BC373" i="8"/>
  <c r="BC374" i="8"/>
  <c r="BC375" i="8"/>
  <c r="BC376" i="8"/>
  <c r="BC377" i="8"/>
  <c r="BC378" i="8"/>
  <c r="BC379" i="8"/>
  <c r="BC380" i="8"/>
  <c r="BC381" i="8"/>
  <c r="BC382" i="8"/>
  <c r="BC383" i="8"/>
  <c r="BC384" i="8"/>
  <c r="BC385" i="8"/>
  <c r="BC386" i="8"/>
  <c r="BC387" i="8"/>
  <c r="BC388" i="8"/>
  <c r="BC389" i="8"/>
  <c r="BC390" i="8"/>
  <c r="BC391" i="8"/>
  <c r="BC392" i="8"/>
  <c r="BC393" i="8"/>
  <c r="BC394" i="8"/>
  <c r="BC395" i="8"/>
  <c r="BC396" i="8"/>
  <c r="BC397" i="8"/>
  <c r="BC398" i="8"/>
  <c r="BC399" i="8"/>
  <c r="BC400" i="8"/>
  <c r="BC401" i="8"/>
  <c r="BC402" i="8"/>
  <c r="BC403" i="8"/>
  <c r="BC404" i="8"/>
  <c r="BC405" i="8"/>
  <c r="BC406" i="8"/>
  <c r="BC407" i="8"/>
  <c r="BC408" i="8"/>
  <c r="BC409" i="8"/>
  <c r="BC410" i="8"/>
  <c r="BC411" i="8"/>
  <c r="BC412" i="8"/>
  <c r="BC413" i="8"/>
  <c r="BC414" i="8"/>
  <c r="BC415" i="8"/>
  <c r="BC416" i="8"/>
  <c r="BC417" i="8"/>
  <c r="BC418" i="8"/>
  <c r="BC419" i="8"/>
  <c r="BC420" i="8"/>
  <c r="BC421" i="8"/>
  <c r="BC422" i="8"/>
  <c r="BC423" i="8"/>
  <c r="BC424" i="8"/>
  <c r="BC425" i="8"/>
  <c r="BC426" i="8"/>
  <c r="BC427" i="8"/>
  <c r="BC428" i="8"/>
  <c r="BC429" i="8"/>
  <c r="BC430" i="8"/>
  <c r="BC431" i="8"/>
  <c r="BC432" i="8"/>
  <c r="BC433" i="8"/>
  <c r="BC434" i="8"/>
  <c r="BC435" i="8"/>
  <c r="BC436" i="8"/>
  <c r="BC437" i="8"/>
  <c r="BC438" i="8"/>
  <c r="BC439" i="8"/>
  <c r="BC440" i="8"/>
  <c r="BC441" i="8"/>
  <c r="BC442" i="8"/>
  <c r="BC443" i="8"/>
  <c r="BC444" i="8"/>
  <c r="BC445" i="8"/>
  <c r="BC446" i="8"/>
  <c r="BC447" i="8"/>
  <c r="BC448" i="8"/>
  <c r="BC449" i="8"/>
  <c r="BC450" i="8"/>
  <c r="BC451" i="8"/>
  <c r="BC452" i="8"/>
  <c r="BC453" i="8"/>
  <c r="BC454" i="8"/>
  <c r="BC455" i="8"/>
  <c r="BC456" i="8"/>
  <c r="BC457" i="8"/>
  <c r="BC458" i="8"/>
  <c r="BC459" i="8"/>
  <c r="BC460" i="8"/>
  <c r="BC461" i="8"/>
  <c r="BC462" i="8"/>
  <c r="BC463" i="8"/>
  <c r="BC464" i="8"/>
  <c r="BC465" i="8"/>
  <c r="BC466" i="8"/>
  <c r="BC467" i="8"/>
  <c r="BC468" i="8"/>
  <c r="BC469" i="8"/>
  <c r="BC470" i="8"/>
  <c r="BC471" i="8"/>
  <c r="BC472" i="8"/>
  <c r="BC473" i="8"/>
  <c r="BC474" i="8"/>
  <c r="BC475" i="8"/>
  <c r="BC476" i="8"/>
  <c r="BC477" i="8"/>
  <c r="BC478" i="8"/>
  <c r="BC479" i="8"/>
  <c r="BC480" i="8"/>
  <c r="BC481" i="8"/>
  <c r="BC482" i="8"/>
  <c r="BC483" i="8"/>
  <c r="BC484" i="8"/>
  <c r="BC485" i="8"/>
  <c r="BC486" i="8"/>
  <c r="BC487" i="8"/>
  <c r="BC488" i="8"/>
  <c r="BC489" i="8"/>
  <c r="BC490" i="8"/>
  <c r="BC491" i="8"/>
  <c r="BC492" i="8"/>
  <c r="BC493" i="8"/>
  <c r="BC494" i="8"/>
  <c r="BC495" i="8"/>
  <c r="BC496" i="8"/>
  <c r="BC497" i="8"/>
  <c r="BC498" i="8"/>
  <c r="BC499" i="8"/>
  <c r="BC500" i="8"/>
  <c r="BC501" i="8"/>
  <c r="BC502" i="8"/>
  <c r="BC503" i="8"/>
  <c r="BC504" i="8"/>
  <c r="BC505" i="8"/>
  <c r="BC506" i="8"/>
  <c r="BC507" i="8"/>
  <c r="BC508" i="8"/>
  <c r="BC509" i="8"/>
  <c r="BC510" i="8"/>
  <c r="BC511" i="8"/>
  <c r="BC512" i="8"/>
  <c r="BC513" i="8"/>
  <c r="BC514" i="8"/>
  <c r="BC515" i="8"/>
  <c r="BC516" i="8"/>
  <c r="BC517" i="8"/>
  <c r="BC518" i="8"/>
  <c r="BC519" i="8"/>
  <c r="BC520" i="8"/>
  <c r="BC521" i="8"/>
  <c r="BC522" i="8"/>
  <c r="BC523" i="8"/>
  <c r="BC524" i="8"/>
  <c r="BC525" i="8"/>
  <c r="BC526" i="8"/>
  <c r="BC527" i="8"/>
  <c r="BC528" i="8"/>
  <c r="BC529" i="8"/>
  <c r="BC530" i="8"/>
  <c r="BC531" i="8"/>
  <c r="BC532" i="8"/>
  <c r="BC533" i="8"/>
  <c r="BC534" i="8"/>
  <c r="BC535" i="8"/>
  <c r="BC536" i="8"/>
  <c r="BC537" i="8"/>
  <c r="BC538" i="8"/>
  <c r="BC539" i="8"/>
  <c r="BC540" i="8"/>
  <c r="BC541" i="8"/>
  <c r="BC542" i="8"/>
  <c r="BC543" i="8"/>
  <c r="BC544" i="8"/>
  <c r="BC545" i="8"/>
  <c r="BC546" i="8"/>
  <c r="BC547" i="8"/>
  <c r="BC548" i="8"/>
  <c r="BC549" i="8"/>
  <c r="BC550" i="8"/>
  <c r="BC551" i="8"/>
  <c r="BC552" i="8"/>
  <c r="BC553" i="8"/>
  <c r="BC554" i="8"/>
  <c r="BC555" i="8"/>
  <c r="BC556" i="8"/>
  <c r="BC557" i="8"/>
  <c r="BC558" i="8"/>
  <c r="BC559" i="8"/>
  <c r="BC560" i="8"/>
  <c r="BC561" i="8"/>
  <c r="BC562" i="8"/>
  <c r="BC563" i="8"/>
  <c r="BC564" i="8"/>
  <c r="BC565" i="8"/>
  <c r="BC566" i="8"/>
  <c r="BC567" i="8"/>
  <c r="BC568" i="8"/>
  <c r="BC569" i="8"/>
  <c r="BC570" i="8"/>
  <c r="BC571" i="8"/>
  <c r="BC572" i="8"/>
  <c r="BC573" i="8"/>
  <c r="BC574" i="8"/>
  <c r="BC575" i="8"/>
  <c r="BC576" i="8"/>
  <c r="BC577" i="8"/>
  <c r="BC578" i="8"/>
  <c r="BC579" i="8"/>
  <c r="BC580" i="8"/>
  <c r="BC581" i="8"/>
  <c r="BC582" i="8"/>
  <c r="BC583" i="8"/>
  <c r="BC584" i="8"/>
  <c r="BC585" i="8"/>
  <c r="BC586" i="8"/>
  <c r="BC587" i="8"/>
  <c r="BC588" i="8"/>
  <c r="BC589" i="8"/>
  <c r="BC590" i="8"/>
  <c r="BC591" i="8"/>
  <c r="BC592" i="8"/>
  <c r="BC593" i="8"/>
  <c r="BC594" i="8"/>
  <c r="BC595" i="8"/>
  <c r="BC596" i="8"/>
  <c r="BC597" i="8"/>
  <c r="BC598" i="8"/>
  <c r="BC599" i="8"/>
  <c r="BC600" i="8"/>
  <c r="BC601" i="8"/>
  <c r="BC602" i="8"/>
  <c r="BC603" i="8"/>
  <c r="BC604" i="8"/>
  <c r="BC605" i="8"/>
  <c r="BC606" i="8"/>
  <c r="BC607" i="8"/>
  <c r="BC608" i="8"/>
  <c r="BC609" i="8"/>
  <c r="BC610" i="8"/>
  <c r="BC611" i="8"/>
  <c r="BC612" i="8"/>
  <c r="BC613" i="8"/>
  <c r="BC614" i="8"/>
  <c r="BC615" i="8"/>
  <c r="BC616" i="8"/>
  <c r="BC617" i="8"/>
  <c r="BC618" i="8"/>
  <c r="BC619" i="8"/>
  <c r="BC620" i="8"/>
  <c r="BC621" i="8"/>
  <c r="BC622" i="8"/>
  <c r="BC623" i="8"/>
  <c r="BC624" i="8"/>
  <c r="BC625" i="8"/>
  <c r="BC626" i="8"/>
  <c r="BC627" i="8"/>
  <c r="BC628" i="8"/>
  <c r="BC629" i="8"/>
  <c r="BC630" i="8"/>
  <c r="BC631" i="8"/>
  <c r="BC632" i="8"/>
  <c r="BC633" i="8"/>
  <c r="BC634" i="8"/>
  <c r="BC635" i="8"/>
  <c r="BC636" i="8"/>
  <c r="BC637" i="8"/>
  <c r="BC638" i="8"/>
  <c r="BC639" i="8"/>
  <c r="BC640" i="8"/>
  <c r="BC641" i="8"/>
  <c r="BC642" i="8"/>
  <c r="BC643" i="8"/>
  <c r="BC644" i="8"/>
  <c r="BC645" i="8"/>
  <c r="BC646" i="8"/>
  <c r="BC647" i="8"/>
  <c r="BC648" i="8"/>
  <c r="BC649" i="8"/>
  <c r="BC650" i="8"/>
  <c r="BC651" i="8"/>
  <c r="BC652" i="8"/>
  <c r="BC653" i="8"/>
  <c r="BC654" i="8"/>
  <c r="BC655" i="8"/>
  <c r="BC656" i="8"/>
  <c r="BC657" i="8"/>
  <c r="BC658" i="8"/>
  <c r="BC659" i="8"/>
  <c r="BC660" i="8"/>
  <c r="BC661" i="8"/>
  <c r="BC662" i="8"/>
  <c r="BC663" i="8"/>
  <c r="BC664" i="8"/>
  <c r="BC665" i="8"/>
  <c r="BC666" i="8"/>
  <c r="BC667" i="8"/>
  <c r="BC668" i="8"/>
  <c r="BC669" i="8"/>
  <c r="BC670" i="8"/>
  <c r="BC671" i="8"/>
  <c r="BC672" i="8"/>
  <c r="BC673" i="8"/>
  <c r="BC674" i="8"/>
  <c r="BC675" i="8"/>
  <c r="BC676" i="8"/>
  <c r="BC677" i="8"/>
  <c r="BC678" i="8"/>
  <c r="BC679" i="8"/>
  <c r="BC680" i="8"/>
  <c r="BC681" i="8"/>
  <c r="BC682" i="8"/>
  <c r="BC683" i="8"/>
  <c r="BC684" i="8"/>
  <c r="BC685" i="8"/>
  <c r="BC686" i="8"/>
  <c r="BC687" i="8"/>
  <c r="BC688" i="8"/>
  <c r="BC689" i="8"/>
  <c r="BC690" i="8"/>
  <c r="BC691" i="8"/>
  <c r="BC692" i="8"/>
  <c r="BC693" i="8"/>
  <c r="BC694" i="8"/>
  <c r="BC695" i="8"/>
  <c r="BC696" i="8"/>
  <c r="BC697" i="8"/>
  <c r="BC698" i="8"/>
  <c r="BC699" i="8"/>
  <c r="BC700" i="8"/>
  <c r="BC701" i="8"/>
  <c r="BC702" i="8"/>
  <c r="BC703" i="8"/>
  <c r="BC704" i="8"/>
  <c r="BC705" i="8"/>
  <c r="BC706" i="8"/>
  <c r="BC707" i="8"/>
  <c r="BC708" i="8"/>
  <c r="BC709" i="8"/>
  <c r="BC710" i="8"/>
  <c r="BC711" i="8"/>
  <c r="BC712" i="8"/>
  <c r="BC713" i="8"/>
  <c r="BC714" i="8"/>
  <c r="BC715" i="8"/>
  <c r="BC716" i="8"/>
  <c r="BC717" i="8"/>
  <c r="BC718" i="8"/>
  <c r="BC719" i="8"/>
  <c r="BC720" i="8"/>
  <c r="BC721" i="8"/>
  <c r="BC722" i="8"/>
  <c r="BC723" i="8"/>
  <c r="BC724" i="8"/>
  <c r="BC725" i="8"/>
  <c r="BC726" i="8"/>
  <c r="BC727" i="8"/>
  <c r="BC728" i="8"/>
  <c r="BC729" i="8"/>
  <c r="BC730" i="8"/>
  <c r="BC731" i="8"/>
  <c r="BC732" i="8"/>
  <c r="BC733" i="8"/>
  <c r="BC734" i="8"/>
  <c r="BC735" i="8"/>
  <c r="BC736" i="8"/>
  <c r="BC737" i="8"/>
  <c r="BC738" i="8"/>
  <c r="BC739" i="8"/>
  <c r="BC740" i="8"/>
  <c r="BC741" i="8"/>
  <c r="BC742" i="8"/>
  <c r="BC743" i="8"/>
  <c r="BC744" i="8"/>
  <c r="BC745" i="8"/>
  <c r="BC746" i="8"/>
  <c r="BC747" i="8"/>
  <c r="BC748" i="8"/>
  <c r="BC749" i="8"/>
  <c r="BC750" i="8"/>
  <c r="BC751" i="8"/>
  <c r="BC752" i="8"/>
  <c r="BC753" i="8"/>
  <c r="BC754" i="8"/>
  <c r="BC755" i="8"/>
  <c r="BC756" i="8"/>
  <c r="BC757" i="8"/>
  <c r="BC758" i="8"/>
  <c r="BC759" i="8"/>
  <c r="BC760" i="8"/>
  <c r="BC761" i="8"/>
  <c r="BC762" i="8"/>
  <c r="BC763" i="8"/>
  <c r="BC764" i="8"/>
  <c r="BC765" i="8"/>
  <c r="BC766" i="8"/>
  <c r="BC767" i="8"/>
  <c r="BC768" i="8"/>
  <c r="BC769" i="8"/>
  <c r="BC770" i="8"/>
  <c r="BC771" i="8"/>
  <c r="BC772" i="8"/>
  <c r="BC773" i="8"/>
  <c r="BC774" i="8"/>
  <c r="BC775" i="8"/>
  <c r="BC776" i="8"/>
  <c r="BC777" i="8"/>
  <c r="BC778" i="8"/>
  <c r="BC779" i="8"/>
  <c r="BC780" i="8"/>
  <c r="BC781" i="8"/>
  <c r="BC782" i="8"/>
  <c r="BC783" i="8"/>
  <c r="BC784" i="8"/>
  <c r="BC785" i="8"/>
  <c r="BC786" i="8"/>
  <c r="BC787" i="8"/>
  <c r="BC788" i="8"/>
  <c r="BC789" i="8"/>
  <c r="BC790" i="8"/>
  <c r="BC791" i="8"/>
  <c r="BC792" i="8"/>
  <c r="BC793" i="8"/>
  <c r="BC794" i="8"/>
  <c r="BC795" i="8"/>
  <c r="BC796" i="8"/>
  <c r="BC797" i="8"/>
  <c r="BC798" i="8"/>
  <c r="BC799" i="8"/>
  <c r="BC800" i="8"/>
  <c r="BC801" i="8"/>
  <c r="BC802" i="8"/>
  <c r="BC803" i="8"/>
  <c r="BC804" i="8"/>
  <c r="BC805" i="8"/>
  <c r="BC806" i="8"/>
  <c r="BC807" i="8"/>
  <c r="BC808" i="8"/>
  <c r="BC809" i="8"/>
  <c r="BC810" i="8"/>
  <c r="BC811" i="8"/>
  <c r="BC812" i="8"/>
  <c r="BC813" i="8"/>
  <c r="BC814" i="8"/>
  <c r="BC815" i="8"/>
  <c r="BC816" i="8"/>
  <c r="BC817" i="8"/>
  <c r="BC818" i="8"/>
  <c r="BC819" i="8"/>
  <c r="BC820" i="8"/>
  <c r="BC821" i="8"/>
  <c r="BC822" i="8"/>
  <c r="BC823" i="8"/>
  <c r="BC824" i="8"/>
  <c r="BC825" i="8"/>
  <c r="BC826" i="8"/>
  <c r="BC827" i="8"/>
  <c r="BC828" i="8"/>
  <c r="BC829" i="8"/>
  <c r="BC830" i="8"/>
  <c r="BC831" i="8"/>
  <c r="BC832" i="8"/>
  <c r="BC833" i="8"/>
  <c r="BC834" i="8"/>
  <c r="BC835" i="8"/>
  <c r="BC836" i="8"/>
  <c r="BC837" i="8"/>
  <c r="BC838" i="8"/>
  <c r="BC839" i="8"/>
  <c r="BC840" i="8"/>
  <c r="BC841" i="8"/>
  <c r="BC842" i="8"/>
  <c r="BC843" i="8"/>
  <c r="BC844" i="8"/>
  <c r="BC845" i="8"/>
  <c r="BC846" i="8"/>
  <c r="BC847" i="8"/>
  <c r="BC848" i="8"/>
  <c r="BC849" i="8"/>
  <c r="BC850" i="8"/>
  <c r="BC851" i="8"/>
  <c r="BC852" i="8"/>
  <c r="BC853" i="8"/>
  <c r="BC854" i="8"/>
  <c r="BC855" i="8"/>
  <c r="BC856" i="8"/>
  <c r="BC857" i="8"/>
  <c r="BC858" i="8"/>
  <c r="BC859" i="8"/>
  <c r="BC860" i="8"/>
  <c r="BC861" i="8"/>
  <c r="BC862" i="8"/>
  <c r="BC863" i="8"/>
  <c r="BC864" i="8"/>
  <c r="BC865" i="8"/>
  <c r="BC866" i="8"/>
  <c r="BC867" i="8"/>
  <c r="BC868" i="8"/>
  <c r="BC869" i="8"/>
  <c r="BC870" i="8"/>
  <c r="BC871" i="8"/>
  <c r="BC872" i="8"/>
  <c r="BC873" i="8"/>
  <c r="BC874" i="8"/>
  <c r="BC875" i="8"/>
  <c r="BC876" i="8"/>
  <c r="BC877" i="8"/>
  <c r="BC878" i="8"/>
  <c r="BC879" i="8"/>
  <c r="BC880" i="8"/>
  <c r="BC881" i="8"/>
  <c r="BC882" i="8"/>
  <c r="BC883" i="8"/>
  <c r="BC884" i="8"/>
  <c r="BC885" i="8"/>
  <c r="BC886" i="8"/>
  <c r="BC887" i="8"/>
  <c r="BC888" i="8"/>
  <c r="BC889" i="8"/>
  <c r="BC890" i="8"/>
  <c r="BC891" i="8"/>
  <c r="BC892" i="8"/>
  <c r="BC893" i="8"/>
  <c r="BC894" i="8"/>
  <c r="BC895" i="8"/>
  <c r="BC896" i="8"/>
  <c r="BC897" i="8"/>
  <c r="BC898" i="8"/>
  <c r="BC899" i="8"/>
  <c r="BC900" i="8"/>
  <c r="BC901" i="8"/>
  <c r="BC902" i="8"/>
  <c r="BC903" i="8"/>
  <c r="BC904" i="8"/>
  <c r="BC905" i="8"/>
  <c r="BC906" i="8"/>
  <c r="BC907" i="8"/>
  <c r="BC908" i="8"/>
  <c r="BC909" i="8"/>
  <c r="BC910" i="8"/>
  <c r="BC911" i="8"/>
  <c r="BC912" i="8"/>
  <c r="BC913" i="8"/>
  <c r="BC914" i="8"/>
  <c r="BC915" i="8"/>
  <c r="BC916" i="8"/>
  <c r="BC917" i="8"/>
  <c r="BC918" i="8"/>
  <c r="BC919" i="8"/>
  <c r="BC920" i="8"/>
  <c r="BC921" i="8"/>
  <c r="BC922" i="8"/>
  <c r="BC923" i="8"/>
  <c r="BC924" i="8"/>
  <c r="BC925" i="8"/>
  <c r="BC926" i="8"/>
  <c r="BC927" i="8"/>
  <c r="BC928" i="8"/>
  <c r="BC929" i="8"/>
  <c r="BC930" i="8"/>
  <c r="BC931" i="8"/>
  <c r="BC932" i="8"/>
  <c r="BC933" i="8"/>
  <c r="BC934" i="8"/>
  <c r="BC935" i="8"/>
  <c r="BC936" i="8"/>
  <c r="BC937" i="8"/>
  <c r="BC938" i="8"/>
  <c r="BC939" i="8"/>
  <c r="BC940" i="8"/>
  <c r="BC941" i="8"/>
  <c r="BC942" i="8"/>
  <c r="BC943" i="8"/>
  <c r="BC944" i="8"/>
  <c r="BC945" i="8"/>
  <c r="BC946" i="8"/>
  <c r="BC947" i="8"/>
  <c r="BC948" i="8"/>
  <c r="BC949" i="8"/>
  <c r="BC950" i="8"/>
  <c r="BC951" i="8"/>
  <c r="BC952" i="8"/>
  <c r="BC953" i="8"/>
  <c r="BC954" i="8"/>
  <c r="BC955" i="8"/>
  <c r="BC956" i="8"/>
  <c r="BC957" i="8"/>
  <c r="BC958" i="8"/>
  <c r="BC959" i="8"/>
  <c r="BC960" i="8"/>
  <c r="BC961" i="8"/>
  <c r="BC962" i="8"/>
  <c r="BC963" i="8"/>
  <c r="BC964" i="8"/>
  <c r="BC965" i="8"/>
  <c r="BC966" i="8"/>
  <c r="BC967" i="8"/>
  <c r="BC968" i="8"/>
  <c r="BC969" i="8"/>
  <c r="BC970" i="8"/>
  <c r="BC971" i="8"/>
  <c r="BC972" i="8"/>
  <c r="BC973" i="8"/>
  <c r="BC974" i="8"/>
  <c r="BC975" i="8"/>
  <c r="BC976" i="8"/>
  <c r="BC977" i="8"/>
  <c r="BC978" i="8"/>
  <c r="BC979" i="8"/>
  <c r="BC980" i="8"/>
  <c r="BC981" i="8"/>
  <c r="BC982" i="8"/>
  <c r="BC983" i="8"/>
  <c r="BC984" i="8"/>
  <c r="BC985" i="8"/>
  <c r="BC986" i="8"/>
  <c r="BC987" i="8"/>
  <c r="BC988" i="8"/>
  <c r="BC989" i="8"/>
  <c r="BC990" i="8"/>
  <c r="BC991" i="8"/>
  <c r="BC992" i="8"/>
  <c r="BC993" i="8"/>
  <c r="BC994" i="8"/>
  <c r="BC995" i="8"/>
  <c r="BC996" i="8"/>
  <c r="BC997" i="8"/>
  <c r="BC998" i="8"/>
  <c r="BC999" i="8"/>
  <c r="BC1000" i="8"/>
  <c r="BC1001" i="8"/>
  <c r="BC1002" i="8"/>
  <c r="BC1003" i="8"/>
  <c r="BC1004" i="8"/>
  <c r="BC1005" i="8"/>
  <c r="BC1006" i="8"/>
  <c r="BC1007" i="8"/>
  <c r="BC1008" i="8"/>
  <c r="BC1009" i="8"/>
  <c r="BC1010" i="8"/>
  <c r="BC1011" i="8"/>
  <c r="BC1012" i="8"/>
  <c r="BC1013" i="8"/>
  <c r="BC1014" i="8"/>
  <c r="BC1015" i="8"/>
  <c r="BC1016" i="8"/>
  <c r="BC1017" i="8"/>
  <c r="BC1018" i="8"/>
  <c r="BC1019" i="8"/>
  <c r="BC1020" i="8"/>
  <c r="BC1021" i="8"/>
  <c r="BC1022" i="8"/>
  <c r="BC1023" i="8"/>
  <c r="BC1024" i="8"/>
  <c r="BC1025" i="8"/>
  <c r="BC1026" i="8"/>
  <c r="BC1027" i="8"/>
  <c r="BC1028" i="8"/>
  <c r="BC1029" i="8"/>
  <c r="BC1030" i="8"/>
  <c r="BC1031" i="8"/>
  <c r="BC1032" i="8"/>
  <c r="BC1033" i="8"/>
  <c r="BC1034" i="8"/>
  <c r="BC1035" i="8"/>
  <c r="BC1036" i="8"/>
  <c r="BC1037" i="8"/>
  <c r="BC1038" i="8"/>
  <c r="BC1039" i="8"/>
  <c r="BC1040" i="8"/>
  <c r="BC1041" i="8"/>
  <c r="BC1042" i="8"/>
  <c r="BC1043" i="8"/>
  <c r="BC1044" i="8"/>
  <c r="BC1045" i="8"/>
  <c r="BC1046" i="8"/>
  <c r="BC1047" i="8"/>
  <c r="BC1048" i="8"/>
  <c r="BC1049" i="8"/>
  <c r="BC1050" i="8"/>
  <c r="BC1051" i="8"/>
  <c r="BC1052" i="8"/>
  <c r="BC1053" i="8"/>
  <c r="BC1054" i="8"/>
  <c r="BC1055" i="8"/>
  <c r="BC1056" i="8"/>
  <c r="BC1057" i="8"/>
  <c r="BC1058" i="8"/>
  <c r="BC1059" i="8"/>
  <c r="BC1060" i="8"/>
  <c r="BC1061" i="8"/>
  <c r="BC1062" i="8"/>
  <c r="BC1063" i="8"/>
  <c r="BC1064" i="8"/>
  <c r="BC1065" i="8"/>
  <c r="BC1066" i="8"/>
  <c r="BC1067" i="8"/>
  <c r="BC1068" i="8"/>
  <c r="BC1069" i="8"/>
  <c r="BC1070" i="8"/>
  <c r="BC1071" i="8"/>
  <c r="BC1072" i="8"/>
  <c r="BC1073" i="8"/>
  <c r="BC1074" i="8"/>
  <c r="BC1075" i="8"/>
  <c r="BC1076" i="8"/>
  <c r="BC1077" i="8"/>
  <c r="BC1078" i="8"/>
  <c r="BC1079" i="8"/>
  <c r="BC1080" i="8"/>
  <c r="BC1081" i="8"/>
  <c r="BC1082" i="8"/>
  <c r="BC1083" i="8"/>
  <c r="BC1084" i="8"/>
  <c r="BC1085" i="8"/>
  <c r="BC1086" i="8"/>
  <c r="BC1087" i="8"/>
  <c r="BC1088" i="8"/>
  <c r="BC1089" i="8"/>
  <c r="BC1090" i="8"/>
  <c r="BC1091" i="8"/>
  <c r="BC1092" i="8"/>
  <c r="BC1093" i="8"/>
  <c r="BC1094" i="8"/>
  <c r="BC1095" i="8"/>
  <c r="BC1096" i="8"/>
  <c r="BC1097" i="8"/>
  <c r="BC1098" i="8"/>
  <c r="BC1099" i="8"/>
  <c r="BC1100" i="8"/>
  <c r="BC1101" i="8"/>
  <c r="BC1102" i="8"/>
  <c r="BC1103" i="8"/>
  <c r="BC1104" i="8"/>
  <c r="BC1105" i="8"/>
  <c r="BC1106" i="8"/>
  <c r="BC1107" i="8"/>
  <c r="BC1108" i="8"/>
  <c r="BC1109" i="8"/>
  <c r="BC1110" i="8"/>
  <c r="BC1111" i="8"/>
  <c r="BC1112" i="8"/>
  <c r="BC1113" i="8"/>
  <c r="BC1114" i="8"/>
  <c r="BC1115" i="8"/>
  <c r="BC1116" i="8"/>
  <c r="BC1117" i="8"/>
  <c r="BC1118" i="8"/>
  <c r="BC1119" i="8"/>
  <c r="BC1120" i="8"/>
  <c r="BC1121" i="8"/>
  <c r="BC1122" i="8"/>
  <c r="BC1123" i="8"/>
  <c r="BC1124" i="8"/>
  <c r="BC1125" i="8"/>
  <c r="BC1126" i="8"/>
  <c r="BC1127" i="8"/>
  <c r="BC1128" i="8"/>
  <c r="BD15" i="8"/>
  <c r="BD16" i="8"/>
  <c r="BD17" i="8"/>
  <c r="BD18" i="8"/>
  <c r="BD19" i="8"/>
  <c r="BD20" i="8"/>
  <c r="BD21" i="8"/>
  <c r="BD22" i="8"/>
  <c r="BD23" i="8"/>
  <c r="BD24" i="8"/>
  <c r="BD25" i="8"/>
  <c r="BD26" i="8"/>
  <c r="BD27" i="8"/>
  <c r="BD28" i="8"/>
  <c r="BD29" i="8"/>
  <c r="BD30" i="8"/>
  <c r="BD31" i="8"/>
  <c r="BD32" i="8"/>
  <c r="BD33" i="8"/>
  <c r="BD34" i="8"/>
  <c r="BD35" i="8"/>
  <c r="BD36" i="8"/>
  <c r="BD37" i="8"/>
  <c r="BD38" i="8"/>
  <c r="BD39" i="8"/>
  <c r="BD40" i="8"/>
  <c r="BD41" i="8"/>
  <c r="BD42" i="8"/>
  <c r="BD43" i="8"/>
  <c r="BD44" i="8"/>
  <c r="BD45" i="8"/>
  <c r="BD46" i="8"/>
  <c r="BD47" i="8"/>
  <c r="BD48" i="8"/>
  <c r="BD49" i="8"/>
  <c r="BD50" i="8"/>
  <c r="BD51" i="8"/>
  <c r="BD52" i="8"/>
  <c r="BD53" i="8"/>
  <c r="BD54" i="8"/>
  <c r="BD55" i="8"/>
  <c r="BD56" i="8"/>
  <c r="BD57" i="8"/>
  <c r="BD58" i="8"/>
  <c r="BD59" i="8"/>
  <c r="BD60" i="8"/>
  <c r="BD61" i="8"/>
  <c r="BD62" i="8"/>
  <c r="BD63" i="8"/>
  <c r="BD64" i="8"/>
  <c r="BD65" i="8"/>
  <c r="BD66" i="8"/>
  <c r="BD67" i="8"/>
  <c r="BD68" i="8"/>
  <c r="BD69" i="8"/>
  <c r="BD70" i="8"/>
  <c r="BD71" i="8"/>
  <c r="BD72" i="8"/>
  <c r="BD73" i="8"/>
  <c r="BD74" i="8"/>
  <c r="BD75" i="8"/>
  <c r="BD76" i="8"/>
  <c r="BD77" i="8"/>
  <c r="BD78" i="8"/>
  <c r="BD79" i="8"/>
  <c r="BD80" i="8"/>
  <c r="BD81" i="8"/>
  <c r="BD82" i="8"/>
  <c r="BD83" i="8"/>
  <c r="BD84" i="8"/>
  <c r="BD85" i="8"/>
  <c r="BD86" i="8"/>
  <c r="BD87" i="8"/>
  <c r="BD88" i="8"/>
  <c r="BD89" i="8"/>
  <c r="BD90" i="8"/>
  <c r="BD91" i="8"/>
  <c r="BD92" i="8"/>
  <c r="BD93" i="8"/>
  <c r="BD94" i="8"/>
  <c r="BD95" i="8"/>
  <c r="BD96" i="8"/>
  <c r="BD97" i="8"/>
  <c r="BD98" i="8"/>
  <c r="BD99" i="8"/>
  <c r="BD100" i="8"/>
  <c r="BD101" i="8"/>
  <c r="BD102" i="8"/>
  <c r="BD103" i="8"/>
  <c r="BD104" i="8"/>
  <c r="BD105" i="8"/>
  <c r="BD106" i="8"/>
  <c r="BD107" i="8"/>
  <c r="BD108" i="8"/>
  <c r="BD109" i="8"/>
  <c r="BD110" i="8"/>
  <c r="BD111" i="8"/>
  <c r="BD112" i="8"/>
  <c r="BD113" i="8"/>
  <c r="BD114" i="8"/>
  <c r="BD115" i="8"/>
  <c r="BD116" i="8"/>
  <c r="BD117" i="8"/>
  <c r="BD118" i="8"/>
  <c r="BD119" i="8"/>
  <c r="BD120" i="8"/>
  <c r="BD121" i="8"/>
  <c r="BD122" i="8"/>
  <c r="BD123" i="8"/>
  <c r="BD124" i="8"/>
  <c r="BD125" i="8"/>
  <c r="BD126" i="8"/>
  <c r="BD127" i="8"/>
  <c r="BD128" i="8"/>
  <c r="BD129" i="8"/>
  <c r="BD130" i="8"/>
  <c r="BD131" i="8"/>
  <c r="BD132" i="8"/>
  <c r="BD133" i="8"/>
  <c r="BD134" i="8"/>
  <c r="BD135" i="8"/>
  <c r="BD136" i="8"/>
  <c r="BD137" i="8"/>
  <c r="BD138" i="8"/>
  <c r="BD139" i="8"/>
  <c r="BD140" i="8"/>
  <c r="BD141" i="8"/>
  <c r="BD142" i="8"/>
  <c r="BD143" i="8"/>
  <c r="BD144" i="8"/>
  <c r="BD145" i="8"/>
  <c r="BD146" i="8"/>
  <c r="BD147" i="8"/>
  <c r="BD148" i="8"/>
  <c r="BD149" i="8"/>
  <c r="BD150" i="8"/>
  <c r="BD151" i="8"/>
  <c r="BD152" i="8"/>
  <c r="BD153" i="8"/>
  <c r="BD154" i="8"/>
  <c r="BD155" i="8"/>
  <c r="BD156" i="8"/>
  <c r="BD157" i="8"/>
  <c r="BD158" i="8"/>
  <c r="BD159" i="8"/>
  <c r="BD160" i="8"/>
  <c r="BD161" i="8"/>
  <c r="BD162" i="8"/>
  <c r="BD163" i="8"/>
  <c r="BD164" i="8"/>
  <c r="BD165" i="8"/>
  <c r="BD166" i="8"/>
  <c r="BD167" i="8"/>
  <c r="BD168" i="8"/>
  <c r="BD169" i="8"/>
  <c r="BD170" i="8"/>
  <c r="BD171" i="8"/>
  <c r="BD172" i="8"/>
  <c r="BD173" i="8"/>
  <c r="BD174" i="8"/>
  <c r="BD175" i="8"/>
  <c r="BD176" i="8"/>
  <c r="BD177" i="8"/>
  <c r="BD178" i="8"/>
  <c r="BD179" i="8"/>
  <c r="BD180" i="8"/>
  <c r="BD181" i="8"/>
  <c r="BD182" i="8"/>
  <c r="BD183" i="8"/>
  <c r="BD184" i="8"/>
  <c r="BD185" i="8"/>
  <c r="BD186" i="8"/>
  <c r="BD187" i="8"/>
  <c r="BD188" i="8"/>
  <c r="BD189" i="8"/>
  <c r="BD190" i="8"/>
  <c r="BD191" i="8"/>
  <c r="BD192" i="8"/>
  <c r="BD193" i="8"/>
  <c r="BD194" i="8"/>
  <c r="BD195" i="8"/>
  <c r="BD196" i="8"/>
  <c r="BD197" i="8"/>
  <c r="BD198" i="8"/>
  <c r="BD199" i="8"/>
  <c r="BD200" i="8"/>
  <c r="BD201" i="8"/>
  <c r="BD202" i="8"/>
  <c r="BD203" i="8"/>
  <c r="BD204" i="8"/>
  <c r="BD205" i="8"/>
  <c r="BD206" i="8"/>
  <c r="BD207" i="8"/>
  <c r="BD208" i="8"/>
  <c r="BD209" i="8"/>
  <c r="BD210" i="8"/>
  <c r="BD211" i="8"/>
  <c r="BD212" i="8"/>
  <c r="BD213" i="8"/>
  <c r="BD214" i="8"/>
  <c r="BD215" i="8"/>
  <c r="BD216" i="8"/>
  <c r="BD217" i="8"/>
  <c r="BD218" i="8"/>
  <c r="BD219" i="8"/>
  <c r="BD220" i="8"/>
  <c r="BD221" i="8"/>
  <c r="BD222" i="8"/>
  <c r="BD223" i="8"/>
  <c r="BD224" i="8"/>
  <c r="BD225" i="8"/>
  <c r="BD226" i="8"/>
  <c r="BD227" i="8"/>
  <c r="BD228" i="8"/>
  <c r="BD229" i="8"/>
  <c r="BD230" i="8"/>
  <c r="BD231" i="8"/>
  <c r="BD232" i="8"/>
  <c r="BD233" i="8"/>
  <c r="BD234" i="8"/>
  <c r="BD235" i="8"/>
  <c r="BD236" i="8"/>
  <c r="BD237" i="8"/>
  <c r="BD238" i="8"/>
  <c r="BD239" i="8"/>
  <c r="BD240" i="8"/>
  <c r="BD241" i="8"/>
  <c r="BD242" i="8"/>
  <c r="BD243" i="8"/>
  <c r="BD244" i="8"/>
  <c r="BD245" i="8"/>
  <c r="BD246" i="8"/>
  <c r="BD247" i="8"/>
  <c r="BD248" i="8"/>
  <c r="BD249" i="8"/>
  <c r="BD250" i="8"/>
  <c r="BD251" i="8"/>
  <c r="BD252" i="8"/>
  <c r="BD253" i="8"/>
  <c r="BD254" i="8"/>
  <c r="BD255" i="8"/>
  <c r="BD256" i="8"/>
  <c r="BD257" i="8"/>
  <c r="BD258" i="8"/>
  <c r="BD259" i="8"/>
  <c r="BD260" i="8"/>
  <c r="BD261" i="8"/>
  <c r="BD262" i="8"/>
  <c r="BD263" i="8"/>
  <c r="BD264" i="8"/>
  <c r="BD265" i="8"/>
  <c r="BD266" i="8"/>
  <c r="BD267" i="8"/>
  <c r="BD268" i="8"/>
  <c r="BD269" i="8"/>
  <c r="BD270" i="8"/>
  <c r="BD271" i="8"/>
  <c r="BD272" i="8"/>
  <c r="BD273" i="8"/>
  <c r="BD274" i="8"/>
  <c r="BD275" i="8"/>
  <c r="BD276" i="8"/>
  <c r="BD277" i="8"/>
  <c r="BD278" i="8"/>
  <c r="BD279" i="8"/>
  <c r="BD280" i="8"/>
  <c r="BD281" i="8"/>
  <c r="BD282" i="8"/>
  <c r="BD283" i="8"/>
  <c r="BD284" i="8"/>
  <c r="BD285" i="8"/>
  <c r="BD286" i="8"/>
  <c r="BD287" i="8"/>
  <c r="BD288" i="8"/>
  <c r="BD289" i="8"/>
  <c r="BD290" i="8"/>
  <c r="BD291" i="8"/>
  <c r="BD292" i="8"/>
  <c r="BD293" i="8"/>
  <c r="BD294" i="8"/>
  <c r="BD295" i="8"/>
  <c r="BD296" i="8"/>
  <c r="BD297" i="8"/>
  <c r="BD298" i="8"/>
  <c r="BD299" i="8"/>
  <c r="BD300" i="8"/>
  <c r="BD301" i="8"/>
  <c r="BD302" i="8"/>
  <c r="BD303" i="8"/>
  <c r="BD304" i="8"/>
  <c r="BD305" i="8"/>
  <c r="BD306" i="8"/>
  <c r="BD307" i="8"/>
  <c r="BD308" i="8"/>
  <c r="BD309" i="8"/>
  <c r="BD310" i="8"/>
  <c r="BD311" i="8"/>
  <c r="BD312" i="8"/>
  <c r="BD313" i="8"/>
  <c r="BD314" i="8"/>
  <c r="BD315" i="8"/>
  <c r="BD316" i="8"/>
  <c r="BD317" i="8"/>
  <c r="BD318" i="8"/>
  <c r="BD319" i="8"/>
  <c r="BD320" i="8"/>
  <c r="BD321" i="8"/>
  <c r="BD322" i="8"/>
  <c r="BD323" i="8"/>
  <c r="BD324" i="8"/>
  <c r="BD325" i="8"/>
  <c r="BD326" i="8"/>
  <c r="BD327" i="8"/>
  <c r="BD328" i="8"/>
  <c r="BD329" i="8"/>
  <c r="BD330" i="8"/>
  <c r="BD331" i="8"/>
  <c r="BD332" i="8"/>
  <c r="BD333" i="8"/>
  <c r="BD334" i="8"/>
  <c r="BD335" i="8"/>
  <c r="BD336" i="8"/>
  <c r="BD337" i="8"/>
  <c r="BD338" i="8"/>
  <c r="BD339" i="8"/>
  <c r="BD340" i="8"/>
  <c r="BD341" i="8"/>
  <c r="BD342" i="8"/>
  <c r="BD343" i="8"/>
  <c r="BD344" i="8"/>
  <c r="BD345" i="8"/>
  <c r="BD346" i="8"/>
  <c r="BD347" i="8"/>
  <c r="BD348" i="8"/>
  <c r="BD349" i="8"/>
  <c r="BD350" i="8"/>
  <c r="BD351" i="8"/>
  <c r="BD352" i="8"/>
  <c r="BD353" i="8"/>
  <c r="BD354" i="8"/>
  <c r="BD355" i="8"/>
  <c r="BD356" i="8"/>
  <c r="BD357" i="8"/>
  <c r="BD358" i="8"/>
  <c r="BD359" i="8"/>
  <c r="BD360" i="8"/>
  <c r="BD361" i="8"/>
  <c r="BD362" i="8"/>
  <c r="BD363" i="8"/>
  <c r="BD364" i="8"/>
  <c r="BD365" i="8"/>
  <c r="BD366" i="8"/>
  <c r="BD367" i="8"/>
  <c r="BD368" i="8"/>
  <c r="BD369" i="8"/>
  <c r="BD370" i="8"/>
  <c r="BD371" i="8"/>
  <c r="BD372" i="8"/>
  <c r="BD373" i="8"/>
  <c r="BD374" i="8"/>
  <c r="BD375" i="8"/>
  <c r="BD376" i="8"/>
  <c r="BD377" i="8"/>
  <c r="BD378" i="8"/>
  <c r="BD379" i="8"/>
  <c r="BD380" i="8"/>
  <c r="BD381" i="8"/>
  <c r="BD382" i="8"/>
  <c r="BD383" i="8"/>
  <c r="BD384" i="8"/>
  <c r="BD385" i="8"/>
  <c r="BD386" i="8"/>
  <c r="BD387" i="8"/>
  <c r="BD388" i="8"/>
  <c r="BD389" i="8"/>
  <c r="BD390" i="8"/>
  <c r="BD391" i="8"/>
  <c r="BD392" i="8"/>
  <c r="BD393" i="8"/>
  <c r="BD394" i="8"/>
  <c r="BD395" i="8"/>
  <c r="BD396" i="8"/>
  <c r="BD397" i="8"/>
  <c r="BD398" i="8"/>
  <c r="BD399" i="8"/>
  <c r="BD400" i="8"/>
  <c r="BD401" i="8"/>
  <c r="BD402" i="8"/>
  <c r="BD403" i="8"/>
  <c r="BD404" i="8"/>
  <c r="BD405" i="8"/>
  <c r="BD406" i="8"/>
  <c r="BD407" i="8"/>
  <c r="BD408" i="8"/>
  <c r="BD409" i="8"/>
  <c r="BD410" i="8"/>
  <c r="BD411" i="8"/>
  <c r="BD412" i="8"/>
  <c r="BD413" i="8"/>
  <c r="BD414" i="8"/>
  <c r="BD415" i="8"/>
  <c r="BD416" i="8"/>
  <c r="BD417" i="8"/>
  <c r="BD418" i="8"/>
  <c r="BD419" i="8"/>
  <c r="BD420" i="8"/>
  <c r="BD421" i="8"/>
  <c r="BD422" i="8"/>
  <c r="BD423" i="8"/>
  <c r="BD424" i="8"/>
  <c r="BD425" i="8"/>
  <c r="BD426" i="8"/>
  <c r="BD427" i="8"/>
  <c r="BD428" i="8"/>
  <c r="BD429" i="8"/>
  <c r="BD430" i="8"/>
  <c r="BD431" i="8"/>
  <c r="BD432" i="8"/>
  <c r="BD433" i="8"/>
  <c r="BD434" i="8"/>
  <c r="BD435" i="8"/>
  <c r="BD436" i="8"/>
  <c r="BD437" i="8"/>
  <c r="BD438" i="8"/>
  <c r="BD439" i="8"/>
  <c r="BD440" i="8"/>
  <c r="BD441" i="8"/>
  <c r="BD442" i="8"/>
  <c r="BD443" i="8"/>
  <c r="BD444" i="8"/>
  <c r="BD445" i="8"/>
  <c r="BD446" i="8"/>
  <c r="BD447" i="8"/>
  <c r="BD448" i="8"/>
  <c r="BD449" i="8"/>
  <c r="BD450" i="8"/>
  <c r="BD451" i="8"/>
  <c r="BD452" i="8"/>
  <c r="BD453" i="8"/>
  <c r="BD454" i="8"/>
  <c r="BD455" i="8"/>
  <c r="BD456" i="8"/>
  <c r="BD457" i="8"/>
  <c r="BD458" i="8"/>
  <c r="BD459" i="8"/>
  <c r="BD460" i="8"/>
  <c r="BD461" i="8"/>
  <c r="BD462" i="8"/>
  <c r="BD463" i="8"/>
  <c r="BD464" i="8"/>
  <c r="BD465" i="8"/>
  <c r="BD466" i="8"/>
  <c r="BD467" i="8"/>
  <c r="BD468" i="8"/>
  <c r="BD469" i="8"/>
  <c r="BD470" i="8"/>
  <c r="BD471" i="8"/>
  <c r="BD472" i="8"/>
  <c r="BD473" i="8"/>
  <c r="BD474" i="8"/>
  <c r="BD475" i="8"/>
  <c r="BD476" i="8"/>
  <c r="BD477" i="8"/>
  <c r="BD478" i="8"/>
  <c r="BD479" i="8"/>
  <c r="BD480" i="8"/>
  <c r="BD481" i="8"/>
  <c r="BD482" i="8"/>
  <c r="BD483" i="8"/>
  <c r="BD484" i="8"/>
  <c r="BD485" i="8"/>
  <c r="BD486" i="8"/>
  <c r="BD487" i="8"/>
  <c r="BD488" i="8"/>
  <c r="BD489" i="8"/>
  <c r="BD490" i="8"/>
  <c r="BD491" i="8"/>
  <c r="BD492" i="8"/>
  <c r="BD493" i="8"/>
  <c r="BD494" i="8"/>
  <c r="BD495" i="8"/>
  <c r="BD496" i="8"/>
  <c r="BD497" i="8"/>
  <c r="BD498" i="8"/>
  <c r="BD499" i="8"/>
  <c r="BD500" i="8"/>
  <c r="BD501" i="8"/>
  <c r="BD502" i="8"/>
  <c r="BD503" i="8"/>
  <c r="BD504" i="8"/>
  <c r="BD505" i="8"/>
  <c r="BD506" i="8"/>
  <c r="BD507" i="8"/>
  <c r="BD508" i="8"/>
  <c r="BD509" i="8"/>
  <c r="BD510" i="8"/>
  <c r="BD511" i="8"/>
  <c r="BD512" i="8"/>
  <c r="BD513" i="8"/>
  <c r="BD514" i="8"/>
  <c r="BD515" i="8"/>
  <c r="BD516" i="8"/>
  <c r="BD517" i="8"/>
  <c r="BD518" i="8"/>
  <c r="BD519" i="8"/>
  <c r="BD520" i="8"/>
  <c r="BD521" i="8"/>
  <c r="BD522" i="8"/>
  <c r="BD523" i="8"/>
  <c r="BD524" i="8"/>
  <c r="BD525" i="8"/>
  <c r="BD526" i="8"/>
  <c r="BD527" i="8"/>
  <c r="BD528" i="8"/>
  <c r="BD529" i="8"/>
  <c r="BD530" i="8"/>
  <c r="BD531" i="8"/>
  <c r="BD532" i="8"/>
  <c r="BD533" i="8"/>
  <c r="BD534" i="8"/>
  <c r="BD535" i="8"/>
  <c r="BD536" i="8"/>
  <c r="BD537" i="8"/>
  <c r="BD538" i="8"/>
  <c r="BD539" i="8"/>
  <c r="BD540" i="8"/>
  <c r="BD541" i="8"/>
  <c r="BD542" i="8"/>
  <c r="BD543" i="8"/>
  <c r="BD544" i="8"/>
  <c r="BD545" i="8"/>
  <c r="BD546" i="8"/>
  <c r="BD547" i="8"/>
  <c r="BD548" i="8"/>
  <c r="BD549" i="8"/>
  <c r="BD550" i="8"/>
  <c r="BD551" i="8"/>
  <c r="BD552" i="8"/>
  <c r="BD553" i="8"/>
  <c r="BD554" i="8"/>
  <c r="BD555" i="8"/>
  <c r="BD556" i="8"/>
  <c r="BD557" i="8"/>
  <c r="BD558" i="8"/>
  <c r="BD559" i="8"/>
  <c r="BD560" i="8"/>
  <c r="BD561" i="8"/>
  <c r="BD562" i="8"/>
  <c r="BD563" i="8"/>
  <c r="BD564" i="8"/>
  <c r="BD565" i="8"/>
  <c r="BD566" i="8"/>
  <c r="BD567" i="8"/>
  <c r="BD568" i="8"/>
  <c r="BD569" i="8"/>
  <c r="BD570" i="8"/>
  <c r="BD571" i="8"/>
  <c r="BD572" i="8"/>
  <c r="BD573" i="8"/>
  <c r="BD574" i="8"/>
  <c r="BD575" i="8"/>
  <c r="BD576" i="8"/>
  <c r="BD577" i="8"/>
  <c r="BD578" i="8"/>
  <c r="BD579" i="8"/>
  <c r="BD580" i="8"/>
  <c r="BD581" i="8"/>
  <c r="BD582" i="8"/>
  <c r="BD583" i="8"/>
  <c r="BD584" i="8"/>
  <c r="BD585" i="8"/>
  <c r="BD586" i="8"/>
  <c r="BD587" i="8"/>
  <c r="BD588" i="8"/>
  <c r="BD589" i="8"/>
  <c r="BD590" i="8"/>
  <c r="BD591" i="8"/>
  <c r="BD592" i="8"/>
  <c r="BD593" i="8"/>
  <c r="BD594" i="8"/>
  <c r="BD595" i="8"/>
  <c r="BD596" i="8"/>
  <c r="BD597" i="8"/>
  <c r="BD598" i="8"/>
  <c r="BD599" i="8"/>
  <c r="BD600" i="8"/>
  <c r="BD601" i="8"/>
  <c r="BD602" i="8"/>
  <c r="BD603" i="8"/>
  <c r="BD604" i="8"/>
  <c r="BD605" i="8"/>
  <c r="BD606" i="8"/>
  <c r="BD607" i="8"/>
  <c r="BD608" i="8"/>
  <c r="BD609" i="8"/>
  <c r="BD610" i="8"/>
  <c r="BD611" i="8"/>
  <c r="BD612" i="8"/>
  <c r="BD613" i="8"/>
  <c r="BD614" i="8"/>
  <c r="BD615" i="8"/>
  <c r="BD616" i="8"/>
  <c r="BD617" i="8"/>
  <c r="BD618" i="8"/>
  <c r="BD619" i="8"/>
  <c r="BD620" i="8"/>
  <c r="BD621" i="8"/>
  <c r="BD622" i="8"/>
  <c r="BD623" i="8"/>
  <c r="BD624" i="8"/>
  <c r="BD625" i="8"/>
  <c r="BD626" i="8"/>
  <c r="BD627" i="8"/>
  <c r="BD628" i="8"/>
  <c r="BD629" i="8"/>
  <c r="BD630" i="8"/>
  <c r="BD631" i="8"/>
  <c r="BD632" i="8"/>
  <c r="BD633" i="8"/>
  <c r="BD634" i="8"/>
  <c r="BD635" i="8"/>
  <c r="BD636" i="8"/>
  <c r="BD637" i="8"/>
  <c r="BD638" i="8"/>
  <c r="BD639" i="8"/>
  <c r="BD640" i="8"/>
  <c r="BD641" i="8"/>
  <c r="BD642" i="8"/>
  <c r="BD643" i="8"/>
  <c r="BD644" i="8"/>
  <c r="BD645" i="8"/>
  <c r="BD646" i="8"/>
  <c r="BD647" i="8"/>
  <c r="BD648" i="8"/>
  <c r="BD649" i="8"/>
  <c r="BD650" i="8"/>
  <c r="BD651" i="8"/>
  <c r="BD652" i="8"/>
  <c r="BD653" i="8"/>
  <c r="BD654" i="8"/>
  <c r="BD655" i="8"/>
  <c r="BD656" i="8"/>
  <c r="BD657" i="8"/>
  <c r="BD658" i="8"/>
  <c r="BD659" i="8"/>
  <c r="BD660" i="8"/>
  <c r="BD661" i="8"/>
  <c r="BD662" i="8"/>
  <c r="BD663" i="8"/>
  <c r="BD664" i="8"/>
  <c r="BD665" i="8"/>
  <c r="BD666" i="8"/>
  <c r="BD667" i="8"/>
  <c r="BD668" i="8"/>
  <c r="BD669" i="8"/>
  <c r="BD670" i="8"/>
  <c r="BD671" i="8"/>
  <c r="BD672" i="8"/>
  <c r="BD673" i="8"/>
  <c r="BD674" i="8"/>
  <c r="BD675" i="8"/>
  <c r="BD676" i="8"/>
  <c r="BD677" i="8"/>
  <c r="BD678" i="8"/>
  <c r="BD679" i="8"/>
  <c r="BD680" i="8"/>
  <c r="BD681" i="8"/>
  <c r="BD682" i="8"/>
  <c r="BD683" i="8"/>
  <c r="BD684" i="8"/>
  <c r="BD685" i="8"/>
  <c r="BD686" i="8"/>
  <c r="BD687" i="8"/>
  <c r="BD688" i="8"/>
  <c r="BD689" i="8"/>
  <c r="BD690" i="8"/>
  <c r="BD691" i="8"/>
  <c r="BD692" i="8"/>
  <c r="BD693" i="8"/>
  <c r="BD694" i="8"/>
  <c r="BD695" i="8"/>
  <c r="BD696" i="8"/>
  <c r="BD697" i="8"/>
  <c r="BD698" i="8"/>
  <c r="BD699" i="8"/>
  <c r="BD700" i="8"/>
  <c r="BD701" i="8"/>
  <c r="BD702" i="8"/>
  <c r="BD703" i="8"/>
  <c r="BD704" i="8"/>
  <c r="BD705" i="8"/>
  <c r="BD706" i="8"/>
  <c r="BD707" i="8"/>
  <c r="BD708" i="8"/>
  <c r="BD709" i="8"/>
  <c r="BD710" i="8"/>
  <c r="BD711" i="8"/>
  <c r="BD712" i="8"/>
  <c r="BD713" i="8"/>
  <c r="BD714" i="8"/>
  <c r="BD715" i="8"/>
  <c r="BD716" i="8"/>
  <c r="BD717" i="8"/>
  <c r="BD718" i="8"/>
  <c r="BD719" i="8"/>
  <c r="BD720" i="8"/>
  <c r="BD721" i="8"/>
  <c r="BD722" i="8"/>
  <c r="BD723" i="8"/>
  <c r="BD724" i="8"/>
  <c r="BD725" i="8"/>
  <c r="BD726" i="8"/>
  <c r="BD727" i="8"/>
  <c r="BD728" i="8"/>
  <c r="BD729" i="8"/>
  <c r="BD730" i="8"/>
  <c r="BD731" i="8"/>
  <c r="BD732" i="8"/>
  <c r="BD733" i="8"/>
  <c r="BD734" i="8"/>
  <c r="BD735" i="8"/>
  <c r="BD736" i="8"/>
  <c r="BD737" i="8"/>
  <c r="BD738" i="8"/>
  <c r="BD739" i="8"/>
  <c r="BD740" i="8"/>
  <c r="BD741" i="8"/>
  <c r="BD742" i="8"/>
  <c r="BD743" i="8"/>
  <c r="BD744" i="8"/>
  <c r="BD745" i="8"/>
  <c r="BD746" i="8"/>
  <c r="BD747" i="8"/>
  <c r="BD748" i="8"/>
  <c r="BD749" i="8"/>
  <c r="BD750" i="8"/>
  <c r="BD751" i="8"/>
  <c r="BD752" i="8"/>
  <c r="BD753" i="8"/>
  <c r="BD754" i="8"/>
  <c r="BD755" i="8"/>
  <c r="BD756" i="8"/>
  <c r="BD757" i="8"/>
  <c r="BD758" i="8"/>
  <c r="BD759" i="8"/>
  <c r="BD760" i="8"/>
  <c r="BD761" i="8"/>
  <c r="BD762" i="8"/>
  <c r="BD763" i="8"/>
  <c r="BD764" i="8"/>
  <c r="BD765" i="8"/>
  <c r="BD766" i="8"/>
  <c r="BD767" i="8"/>
  <c r="BD768" i="8"/>
  <c r="BD769" i="8"/>
  <c r="BD770" i="8"/>
  <c r="BD771" i="8"/>
  <c r="BD772" i="8"/>
  <c r="BD773" i="8"/>
  <c r="BD774" i="8"/>
  <c r="BD775" i="8"/>
  <c r="BD776" i="8"/>
  <c r="BD777" i="8"/>
  <c r="BD778" i="8"/>
  <c r="BD779" i="8"/>
  <c r="BD780" i="8"/>
  <c r="BD781" i="8"/>
  <c r="BD782" i="8"/>
  <c r="BD783" i="8"/>
  <c r="BD784" i="8"/>
  <c r="BD785" i="8"/>
  <c r="BD786" i="8"/>
  <c r="BD787" i="8"/>
  <c r="BD788" i="8"/>
  <c r="BD789" i="8"/>
  <c r="BD790" i="8"/>
  <c r="BD791" i="8"/>
  <c r="BD792" i="8"/>
  <c r="BD793" i="8"/>
  <c r="BD794" i="8"/>
  <c r="BD795" i="8"/>
  <c r="BD796" i="8"/>
  <c r="BD797" i="8"/>
  <c r="BD798" i="8"/>
  <c r="BD799" i="8"/>
  <c r="BD800" i="8"/>
  <c r="BD801" i="8"/>
  <c r="BD802" i="8"/>
  <c r="BD803" i="8"/>
  <c r="BD804" i="8"/>
  <c r="BD805" i="8"/>
  <c r="BD806" i="8"/>
  <c r="BD807" i="8"/>
  <c r="BD808" i="8"/>
  <c r="BD809" i="8"/>
  <c r="BD810" i="8"/>
  <c r="BD811" i="8"/>
  <c r="BD812" i="8"/>
  <c r="BD813" i="8"/>
  <c r="BD814" i="8"/>
  <c r="BD815" i="8"/>
  <c r="BD816" i="8"/>
  <c r="BD817" i="8"/>
  <c r="BD818" i="8"/>
  <c r="BD819" i="8"/>
  <c r="BD820" i="8"/>
  <c r="BD821" i="8"/>
  <c r="BD822" i="8"/>
  <c r="BD823" i="8"/>
  <c r="BD824" i="8"/>
  <c r="BD825" i="8"/>
  <c r="BD826" i="8"/>
  <c r="BD827" i="8"/>
  <c r="BD828" i="8"/>
  <c r="BD829" i="8"/>
  <c r="BD830" i="8"/>
  <c r="BD831" i="8"/>
  <c r="BD832" i="8"/>
  <c r="BD833" i="8"/>
  <c r="BD834" i="8"/>
  <c r="BD835" i="8"/>
  <c r="BD836" i="8"/>
  <c r="BD837" i="8"/>
  <c r="BD838" i="8"/>
  <c r="BD839" i="8"/>
  <c r="BD840" i="8"/>
  <c r="BD841" i="8"/>
  <c r="BD842" i="8"/>
  <c r="BD843" i="8"/>
  <c r="BD844" i="8"/>
  <c r="BD845" i="8"/>
  <c r="BD846" i="8"/>
  <c r="BD847" i="8"/>
  <c r="BD848" i="8"/>
  <c r="BD849" i="8"/>
  <c r="BD850" i="8"/>
  <c r="BD851" i="8"/>
  <c r="BD852" i="8"/>
  <c r="BD853" i="8"/>
  <c r="BD854" i="8"/>
  <c r="BD855" i="8"/>
  <c r="BD856" i="8"/>
  <c r="BD857" i="8"/>
  <c r="BD858" i="8"/>
  <c r="BD859" i="8"/>
  <c r="BD860" i="8"/>
  <c r="BD861" i="8"/>
  <c r="BD862" i="8"/>
  <c r="BD863" i="8"/>
  <c r="BD864" i="8"/>
  <c r="BD865" i="8"/>
  <c r="BD866" i="8"/>
  <c r="BD867" i="8"/>
  <c r="BD868" i="8"/>
  <c r="BD869" i="8"/>
  <c r="BD870" i="8"/>
  <c r="BD871" i="8"/>
  <c r="BD872" i="8"/>
  <c r="BD873" i="8"/>
  <c r="BD874" i="8"/>
  <c r="BD875" i="8"/>
  <c r="BD876" i="8"/>
  <c r="BD877" i="8"/>
  <c r="BD878" i="8"/>
  <c r="BD879" i="8"/>
  <c r="BD880" i="8"/>
  <c r="BD881" i="8"/>
  <c r="BD882" i="8"/>
  <c r="BD883" i="8"/>
  <c r="BD884" i="8"/>
  <c r="BD885" i="8"/>
  <c r="BD886" i="8"/>
  <c r="BD887" i="8"/>
  <c r="BD888" i="8"/>
  <c r="BD889" i="8"/>
  <c r="BD890" i="8"/>
  <c r="BD891" i="8"/>
  <c r="BD892" i="8"/>
  <c r="BD893" i="8"/>
  <c r="BD894" i="8"/>
  <c r="BD895" i="8"/>
  <c r="BD896" i="8"/>
  <c r="BD897" i="8"/>
  <c r="BD898" i="8"/>
  <c r="BD899" i="8"/>
  <c r="BD900" i="8"/>
  <c r="BD901" i="8"/>
  <c r="BD902" i="8"/>
  <c r="BD903" i="8"/>
  <c r="BD904" i="8"/>
  <c r="BD905" i="8"/>
  <c r="BD906" i="8"/>
  <c r="BD907" i="8"/>
  <c r="BD908" i="8"/>
  <c r="BD909" i="8"/>
  <c r="BD910" i="8"/>
  <c r="BD911" i="8"/>
  <c r="BD912" i="8"/>
  <c r="BD913" i="8"/>
  <c r="BD914" i="8"/>
  <c r="BD915" i="8"/>
  <c r="BD916" i="8"/>
  <c r="BD917" i="8"/>
  <c r="BD918" i="8"/>
  <c r="BD919" i="8"/>
  <c r="BD920" i="8"/>
  <c r="BD921" i="8"/>
  <c r="BD922" i="8"/>
  <c r="BD923" i="8"/>
  <c r="BD924" i="8"/>
  <c r="BD925" i="8"/>
  <c r="BD926" i="8"/>
  <c r="BD927" i="8"/>
  <c r="BD928" i="8"/>
  <c r="BD929" i="8"/>
  <c r="BD930" i="8"/>
  <c r="BD931" i="8"/>
  <c r="BD932" i="8"/>
  <c r="BD933" i="8"/>
  <c r="BD934" i="8"/>
  <c r="BD935" i="8"/>
  <c r="BD936" i="8"/>
  <c r="BD937" i="8"/>
  <c r="BD938" i="8"/>
  <c r="BD939" i="8"/>
  <c r="BD940" i="8"/>
  <c r="BD941" i="8"/>
  <c r="BD942" i="8"/>
  <c r="BD943" i="8"/>
  <c r="BD944" i="8"/>
  <c r="BD945" i="8"/>
  <c r="BD946" i="8"/>
  <c r="BD947" i="8"/>
  <c r="BD948" i="8"/>
  <c r="BD949" i="8"/>
  <c r="BD950" i="8"/>
  <c r="BD951" i="8"/>
  <c r="BD952" i="8"/>
  <c r="BD953" i="8"/>
  <c r="BD954" i="8"/>
  <c r="BD955" i="8"/>
  <c r="BD956" i="8"/>
  <c r="BD957" i="8"/>
  <c r="BD958" i="8"/>
  <c r="BD959" i="8"/>
  <c r="BD960" i="8"/>
  <c r="BD961" i="8"/>
  <c r="BD962" i="8"/>
  <c r="BD963" i="8"/>
  <c r="BD964" i="8"/>
  <c r="BD965" i="8"/>
  <c r="BD966" i="8"/>
  <c r="BD967" i="8"/>
  <c r="BD968" i="8"/>
  <c r="BD969" i="8"/>
  <c r="BD970" i="8"/>
  <c r="BD971" i="8"/>
  <c r="BD972" i="8"/>
  <c r="BD973" i="8"/>
  <c r="BD974" i="8"/>
  <c r="BD975" i="8"/>
  <c r="BD976" i="8"/>
  <c r="BD977" i="8"/>
  <c r="BD978" i="8"/>
  <c r="BD979" i="8"/>
  <c r="BD980" i="8"/>
  <c r="BD981" i="8"/>
  <c r="BD982" i="8"/>
  <c r="BD983" i="8"/>
  <c r="BD984" i="8"/>
  <c r="BD985" i="8"/>
  <c r="BD986" i="8"/>
  <c r="BD987" i="8"/>
  <c r="BD988" i="8"/>
  <c r="BD989" i="8"/>
  <c r="BD990" i="8"/>
  <c r="BD991" i="8"/>
  <c r="BD992" i="8"/>
  <c r="BD993" i="8"/>
  <c r="BD994" i="8"/>
  <c r="BD995" i="8"/>
  <c r="BD996" i="8"/>
  <c r="BD997" i="8"/>
  <c r="BD998" i="8"/>
  <c r="BD999" i="8"/>
  <c r="BD1000" i="8"/>
  <c r="BD1001" i="8"/>
  <c r="BD1002" i="8"/>
  <c r="BD1003" i="8"/>
  <c r="BD1004" i="8"/>
  <c r="BD1005" i="8"/>
  <c r="BD1006" i="8"/>
  <c r="BD1007" i="8"/>
  <c r="BD1008" i="8"/>
  <c r="BD1009" i="8"/>
  <c r="BD1010" i="8"/>
  <c r="BD1011" i="8"/>
  <c r="BD1012" i="8"/>
  <c r="BD1013" i="8"/>
  <c r="BD1014" i="8"/>
  <c r="BD1015" i="8"/>
  <c r="BD1016" i="8"/>
  <c r="BD1017" i="8"/>
  <c r="BD1018" i="8"/>
  <c r="BD1019" i="8"/>
  <c r="BD1020" i="8"/>
  <c r="BD1021" i="8"/>
  <c r="BD1022" i="8"/>
  <c r="BD1023" i="8"/>
  <c r="BD1024" i="8"/>
  <c r="BD1025" i="8"/>
  <c r="BD1026" i="8"/>
  <c r="BD1027" i="8"/>
  <c r="BD1028" i="8"/>
  <c r="BD1029" i="8"/>
  <c r="BD1030" i="8"/>
  <c r="BD1031" i="8"/>
  <c r="BD1032" i="8"/>
  <c r="BD1033" i="8"/>
  <c r="BD1034" i="8"/>
  <c r="BD1035" i="8"/>
  <c r="BD1036" i="8"/>
  <c r="BD1037" i="8"/>
  <c r="BD1038" i="8"/>
  <c r="BD1039" i="8"/>
  <c r="BD1040" i="8"/>
  <c r="BD1041" i="8"/>
  <c r="BD1042" i="8"/>
  <c r="BD1043" i="8"/>
  <c r="BD1044" i="8"/>
  <c r="BD1045" i="8"/>
  <c r="BD1046" i="8"/>
  <c r="BD1047" i="8"/>
  <c r="BD1048" i="8"/>
  <c r="BD1049" i="8"/>
  <c r="BD1050" i="8"/>
  <c r="BD1051" i="8"/>
  <c r="BD1052" i="8"/>
  <c r="BD1053" i="8"/>
  <c r="BD1054" i="8"/>
  <c r="BD1055" i="8"/>
  <c r="BD1056" i="8"/>
  <c r="BD1057" i="8"/>
  <c r="BD1058" i="8"/>
  <c r="BD1059" i="8"/>
  <c r="BD1060" i="8"/>
  <c r="BD1061" i="8"/>
  <c r="BD1062" i="8"/>
  <c r="BD1063" i="8"/>
  <c r="BD1064" i="8"/>
  <c r="BD1065" i="8"/>
  <c r="BD1066" i="8"/>
  <c r="BD1067" i="8"/>
  <c r="BD1068" i="8"/>
  <c r="BD1069" i="8"/>
  <c r="BD1070" i="8"/>
  <c r="BD1071" i="8"/>
  <c r="BD1072" i="8"/>
  <c r="BD1073" i="8"/>
  <c r="BD1074" i="8"/>
  <c r="BD1075" i="8"/>
  <c r="BD1076" i="8"/>
  <c r="BD1077" i="8"/>
  <c r="BD1078" i="8"/>
  <c r="BD1079" i="8"/>
  <c r="BD1080" i="8"/>
  <c r="BD1081" i="8"/>
  <c r="BD1082" i="8"/>
  <c r="BD1083" i="8"/>
  <c r="BD1084" i="8"/>
  <c r="BD1085" i="8"/>
  <c r="BD1086" i="8"/>
  <c r="BD1087" i="8"/>
  <c r="BD1088" i="8"/>
  <c r="BD1089" i="8"/>
  <c r="BD1090" i="8"/>
  <c r="BD1091" i="8"/>
  <c r="BD1092" i="8"/>
  <c r="BD1093" i="8"/>
  <c r="BD1094" i="8"/>
  <c r="BD1095" i="8"/>
  <c r="BD1096" i="8"/>
  <c r="BD1097" i="8"/>
  <c r="BD1098" i="8"/>
  <c r="BD1099" i="8"/>
  <c r="BD1100" i="8"/>
  <c r="BD1101" i="8"/>
  <c r="BD1102" i="8"/>
  <c r="BD1103" i="8"/>
  <c r="BD1104" i="8"/>
  <c r="BD1105" i="8"/>
  <c r="BD1106" i="8"/>
  <c r="BD1107" i="8"/>
  <c r="BD1108" i="8"/>
  <c r="BD1109" i="8"/>
  <c r="BD1110" i="8"/>
  <c r="BD1111" i="8"/>
  <c r="BD1112" i="8"/>
  <c r="BD1113" i="8"/>
  <c r="BD1114" i="8"/>
  <c r="BD1115" i="8"/>
  <c r="BD1116" i="8"/>
  <c r="BD1117" i="8"/>
  <c r="BD1118" i="8"/>
  <c r="BD1119" i="8"/>
  <c r="BD1120" i="8"/>
  <c r="BD1121" i="8"/>
  <c r="BD1122" i="8"/>
  <c r="BD1123" i="8"/>
  <c r="BD1124" i="8"/>
  <c r="BD1125" i="8"/>
  <c r="BD1126" i="8"/>
  <c r="BD1127" i="8"/>
  <c r="BD1128" i="8"/>
  <c r="BE15" i="8"/>
  <c r="BE16" i="8"/>
  <c r="BE17" i="8"/>
  <c r="BE18" i="8"/>
  <c r="BE19" i="8"/>
  <c r="BE20" i="8"/>
  <c r="BE21" i="8"/>
  <c r="BE22" i="8"/>
  <c r="BE23" i="8"/>
  <c r="BE24" i="8"/>
  <c r="BE25" i="8"/>
  <c r="BE26" i="8"/>
  <c r="BE27" i="8"/>
  <c r="BE28" i="8"/>
  <c r="BE29" i="8"/>
  <c r="BE30" i="8"/>
  <c r="BE31" i="8"/>
  <c r="BE32" i="8"/>
  <c r="BE33" i="8"/>
  <c r="BE34" i="8"/>
  <c r="BE35" i="8"/>
  <c r="BE36" i="8"/>
  <c r="BE37" i="8"/>
  <c r="BE38" i="8"/>
  <c r="BE39" i="8"/>
  <c r="BE40" i="8"/>
  <c r="BE41" i="8"/>
  <c r="BE42" i="8"/>
  <c r="BE43" i="8"/>
  <c r="BE44" i="8"/>
  <c r="BE45" i="8"/>
  <c r="BE46" i="8"/>
  <c r="BE47" i="8"/>
  <c r="BE48" i="8"/>
  <c r="BE49" i="8"/>
  <c r="BE50" i="8"/>
  <c r="BE51" i="8"/>
  <c r="BE52" i="8"/>
  <c r="BE53" i="8"/>
  <c r="BE54" i="8"/>
  <c r="BE55" i="8"/>
  <c r="BE56" i="8"/>
  <c r="BE57" i="8"/>
  <c r="BE58" i="8"/>
  <c r="BE59" i="8"/>
  <c r="BE60" i="8"/>
  <c r="BE61" i="8"/>
  <c r="BE62" i="8"/>
  <c r="BE63" i="8"/>
  <c r="BE64" i="8"/>
  <c r="BE65" i="8"/>
  <c r="BE66" i="8"/>
  <c r="BE67" i="8"/>
  <c r="BE68" i="8"/>
  <c r="BE69" i="8"/>
  <c r="BE70" i="8"/>
  <c r="BE71" i="8"/>
  <c r="BE72" i="8"/>
  <c r="BE73" i="8"/>
  <c r="BE74" i="8"/>
  <c r="BE75" i="8"/>
  <c r="BE76" i="8"/>
  <c r="BE77" i="8"/>
  <c r="BE78" i="8"/>
  <c r="BE79" i="8"/>
  <c r="BE80" i="8"/>
  <c r="BE81" i="8"/>
  <c r="BE82" i="8"/>
  <c r="BE83" i="8"/>
  <c r="BE84" i="8"/>
  <c r="BE85" i="8"/>
  <c r="BE86" i="8"/>
  <c r="BE87" i="8"/>
  <c r="BE88" i="8"/>
  <c r="BE89" i="8"/>
  <c r="BE90" i="8"/>
  <c r="BE91" i="8"/>
  <c r="BE92" i="8"/>
  <c r="BE93" i="8"/>
  <c r="BE94" i="8"/>
  <c r="BE95" i="8"/>
  <c r="BE96" i="8"/>
  <c r="BE97" i="8"/>
  <c r="BE98" i="8"/>
  <c r="BE99" i="8"/>
  <c r="BE100" i="8"/>
  <c r="BE101" i="8"/>
  <c r="BE102" i="8"/>
  <c r="BE103" i="8"/>
  <c r="BE104" i="8"/>
  <c r="BE105" i="8"/>
  <c r="BE106" i="8"/>
  <c r="BE107" i="8"/>
  <c r="BE108" i="8"/>
  <c r="BE109" i="8"/>
  <c r="BE110" i="8"/>
  <c r="BE111" i="8"/>
  <c r="BE112" i="8"/>
  <c r="BE113" i="8"/>
  <c r="BE114" i="8"/>
  <c r="BE115" i="8"/>
  <c r="BE116" i="8"/>
  <c r="BE117" i="8"/>
  <c r="BE118" i="8"/>
  <c r="BE119" i="8"/>
  <c r="BE120" i="8"/>
  <c r="BE121" i="8"/>
  <c r="BE122" i="8"/>
  <c r="BE123" i="8"/>
  <c r="BE124" i="8"/>
  <c r="BE125" i="8"/>
  <c r="BE126" i="8"/>
  <c r="BE127" i="8"/>
  <c r="BE128" i="8"/>
  <c r="BE129" i="8"/>
  <c r="BE130" i="8"/>
  <c r="BE131" i="8"/>
  <c r="BE132" i="8"/>
  <c r="BE133" i="8"/>
  <c r="BE134" i="8"/>
  <c r="BE135" i="8"/>
  <c r="BE136" i="8"/>
  <c r="BE137" i="8"/>
  <c r="BE138" i="8"/>
  <c r="BE139" i="8"/>
  <c r="BE140" i="8"/>
  <c r="BE141" i="8"/>
  <c r="BE142" i="8"/>
  <c r="BE143" i="8"/>
  <c r="BE144" i="8"/>
  <c r="BE145" i="8"/>
  <c r="BE146" i="8"/>
  <c r="BE147" i="8"/>
  <c r="BE148" i="8"/>
  <c r="BE149" i="8"/>
  <c r="BE150" i="8"/>
  <c r="BE151" i="8"/>
  <c r="BE152" i="8"/>
  <c r="BE153" i="8"/>
  <c r="BE154" i="8"/>
  <c r="BE155" i="8"/>
  <c r="BE156" i="8"/>
  <c r="BE157" i="8"/>
  <c r="BE158" i="8"/>
  <c r="BE159" i="8"/>
  <c r="BE160" i="8"/>
  <c r="BE161" i="8"/>
  <c r="BE162" i="8"/>
  <c r="BE163" i="8"/>
  <c r="BE164" i="8"/>
  <c r="BE165" i="8"/>
  <c r="BE166" i="8"/>
  <c r="BE167" i="8"/>
  <c r="BE168" i="8"/>
  <c r="BE169" i="8"/>
  <c r="BE170" i="8"/>
  <c r="BE171" i="8"/>
  <c r="BE172" i="8"/>
  <c r="BE173" i="8"/>
  <c r="BE174" i="8"/>
  <c r="BE175" i="8"/>
  <c r="BE176" i="8"/>
  <c r="BE177" i="8"/>
  <c r="BE178" i="8"/>
  <c r="BE179" i="8"/>
  <c r="BE180" i="8"/>
  <c r="BE181" i="8"/>
  <c r="BE182" i="8"/>
  <c r="BE183" i="8"/>
  <c r="BE184" i="8"/>
  <c r="BE185" i="8"/>
  <c r="BE186" i="8"/>
  <c r="BE187" i="8"/>
  <c r="BE188" i="8"/>
  <c r="BE189" i="8"/>
  <c r="BE190" i="8"/>
  <c r="BE191" i="8"/>
  <c r="BE192" i="8"/>
  <c r="BE193" i="8"/>
  <c r="BE194" i="8"/>
  <c r="BE195" i="8"/>
  <c r="BE196" i="8"/>
  <c r="BE197" i="8"/>
  <c r="BE198" i="8"/>
  <c r="BE199" i="8"/>
  <c r="BE200" i="8"/>
  <c r="BE201" i="8"/>
  <c r="BE202" i="8"/>
  <c r="BE203" i="8"/>
  <c r="BE204" i="8"/>
  <c r="BE205" i="8"/>
  <c r="BE206" i="8"/>
  <c r="BE207" i="8"/>
  <c r="BE208" i="8"/>
  <c r="BE209" i="8"/>
  <c r="BE210" i="8"/>
  <c r="BE211" i="8"/>
  <c r="BE212" i="8"/>
  <c r="BE213" i="8"/>
  <c r="BE214" i="8"/>
  <c r="BE215" i="8"/>
  <c r="BE216" i="8"/>
  <c r="BE217" i="8"/>
  <c r="BE218" i="8"/>
  <c r="BE219" i="8"/>
  <c r="BE220" i="8"/>
  <c r="BE221" i="8"/>
  <c r="BE222" i="8"/>
  <c r="BE223" i="8"/>
  <c r="BE224" i="8"/>
  <c r="BE225" i="8"/>
  <c r="BE226" i="8"/>
  <c r="BE227" i="8"/>
  <c r="BE228" i="8"/>
  <c r="BE229" i="8"/>
  <c r="BE230" i="8"/>
  <c r="BE231" i="8"/>
  <c r="BE232" i="8"/>
  <c r="BE233" i="8"/>
  <c r="BE234" i="8"/>
  <c r="BE235" i="8"/>
  <c r="BE236" i="8"/>
  <c r="BE237" i="8"/>
  <c r="BE238" i="8"/>
  <c r="BE239" i="8"/>
  <c r="BE240" i="8"/>
  <c r="BE241" i="8"/>
  <c r="BE242" i="8"/>
  <c r="BE243" i="8"/>
  <c r="BE244" i="8"/>
  <c r="BE245" i="8"/>
  <c r="BE246" i="8"/>
  <c r="BE247" i="8"/>
  <c r="BE248" i="8"/>
  <c r="BE249" i="8"/>
  <c r="BE250" i="8"/>
  <c r="BE251" i="8"/>
  <c r="BE252" i="8"/>
  <c r="BE253" i="8"/>
  <c r="BE254" i="8"/>
  <c r="BE255" i="8"/>
  <c r="BE256" i="8"/>
  <c r="BE257" i="8"/>
  <c r="BE258" i="8"/>
  <c r="BE259" i="8"/>
  <c r="BE260" i="8"/>
  <c r="BE261" i="8"/>
  <c r="BE262" i="8"/>
  <c r="BE263" i="8"/>
  <c r="BE264" i="8"/>
  <c r="BE265" i="8"/>
  <c r="BE266" i="8"/>
  <c r="BE267" i="8"/>
  <c r="BE268" i="8"/>
  <c r="BE269" i="8"/>
  <c r="BE270" i="8"/>
  <c r="BE271" i="8"/>
  <c r="BE272" i="8"/>
  <c r="BE273" i="8"/>
  <c r="BE274" i="8"/>
  <c r="BE275" i="8"/>
  <c r="BE276" i="8"/>
  <c r="BE277" i="8"/>
  <c r="BE278" i="8"/>
  <c r="BE279" i="8"/>
  <c r="BE280" i="8"/>
  <c r="BE281" i="8"/>
  <c r="BE282" i="8"/>
  <c r="BE283" i="8"/>
  <c r="BE284" i="8"/>
  <c r="BE285" i="8"/>
  <c r="BE286" i="8"/>
  <c r="BE287" i="8"/>
  <c r="BE288" i="8"/>
  <c r="BE289" i="8"/>
  <c r="BE290" i="8"/>
  <c r="BE291" i="8"/>
  <c r="BE292" i="8"/>
  <c r="BE293" i="8"/>
  <c r="BE294" i="8"/>
  <c r="BE295" i="8"/>
  <c r="BE296" i="8"/>
  <c r="BE297" i="8"/>
  <c r="BE298" i="8"/>
  <c r="BE299" i="8"/>
  <c r="BE300" i="8"/>
  <c r="BE301" i="8"/>
  <c r="BE302" i="8"/>
  <c r="BE303" i="8"/>
  <c r="BE304" i="8"/>
  <c r="BE305" i="8"/>
  <c r="BE306" i="8"/>
  <c r="BE307" i="8"/>
  <c r="BE308" i="8"/>
  <c r="BE309" i="8"/>
  <c r="BE310" i="8"/>
  <c r="BE311" i="8"/>
  <c r="BE312" i="8"/>
  <c r="BE313" i="8"/>
  <c r="BE314" i="8"/>
  <c r="BE315" i="8"/>
  <c r="BE316" i="8"/>
  <c r="BE317" i="8"/>
  <c r="BE318" i="8"/>
  <c r="BE319" i="8"/>
  <c r="BE320" i="8"/>
  <c r="BE321" i="8"/>
  <c r="BE322" i="8"/>
  <c r="BE323" i="8"/>
  <c r="BE324" i="8"/>
  <c r="BE325" i="8"/>
  <c r="BE326" i="8"/>
  <c r="BE327" i="8"/>
  <c r="BE328" i="8"/>
  <c r="BE329" i="8"/>
  <c r="BE330" i="8"/>
  <c r="BE331" i="8"/>
  <c r="BE332" i="8"/>
  <c r="BE333" i="8"/>
  <c r="BE334" i="8"/>
  <c r="BE335" i="8"/>
  <c r="BE336" i="8"/>
  <c r="BE337" i="8"/>
  <c r="BE338" i="8"/>
  <c r="BE339" i="8"/>
  <c r="BE340" i="8"/>
  <c r="BE341" i="8"/>
  <c r="BE342" i="8"/>
  <c r="BE343" i="8"/>
  <c r="BE344" i="8"/>
  <c r="BE345" i="8"/>
  <c r="BE346" i="8"/>
  <c r="BE347" i="8"/>
  <c r="BE348" i="8"/>
  <c r="BE349" i="8"/>
  <c r="BE350" i="8"/>
  <c r="BE351" i="8"/>
  <c r="BE352" i="8"/>
  <c r="BE353" i="8"/>
  <c r="BE354" i="8"/>
  <c r="BE355" i="8"/>
  <c r="BE356" i="8"/>
  <c r="BE357" i="8"/>
  <c r="BE358" i="8"/>
  <c r="BE359" i="8"/>
  <c r="BE360" i="8"/>
  <c r="BE361" i="8"/>
  <c r="BE362" i="8"/>
  <c r="BE363" i="8"/>
  <c r="BE364" i="8"/>
  <c r="BE365" i="8"/>
  <c r="BE366" i="8"/>
  <c r="BE367" i="8"/>
  <c r="BE368" i="8"/>
  <c r="BE369" i="8"/>
  <c r="BE370" i="8"/>
  <c r="BE371" i="8"/>
  <c r="BE372" i="8"/>
  <c r="BE373" i="8"/>
  <c r="BE374" i="8"/>
  <c r="BE375" i="8"/>
  <c r="BE376" i="8"/>
  <c r="BE377" i="8"/>
  <c r="BE378" i="8"/>
  <c r="BE379" i="8"/>
  <c r="BE380" i="8"/>
  <c r="BE381" i="8"/>
  <c r="BE382" i="8"/>
  <c r="BE383" i="8"/>
  <c r="BE384" i="8"/>
  <c r="BE385" i="8"/>
  <c r="BE386" i="8"/>
  <c r="BE387" i="8"/>
  <c r="BE388" i="8"/>
  <c r="BE389" i="8"/>
  <c r="BE390" i="8"/>
  <c r="BE391" i="8"/>
  <c r="BE392" i="8"/>
  <c r="BE393" i="8"/>
  <c r="BE394" i="8"/>
  <c r="BE395" i="8"/>
  <c r="BE396" i="8"/>
  <c r="BE397" i="8"/>
  <c r="BE398" i="8"/>
  <c r="BE399" i="8"/>
  <c r="BE400" i="8"/>
  <c r="BE401" i="8"/>
  <c r="BE402" i="8"/>
  <c r="BE403" i="8"/>
  <c r="BE404" i="8"/>
  <c r="BE405" i="8"/>
  <c r="BE406" i="8"/>
  <c r="BE407" i="8"/>
  <c r="BE408" i="8"/>
  <c r="BE409" i="8"/>
  <c r="BE410" i="8"/>
  <c r="BE411" i="8"/>
  <c r="BE412" i="8"/>
  <c r="BE413" i="8"/>
  <c r="BE414" i="8"/>
  <c r="BE415" i="8"/>
  <c r="BE416" i="8"/>
  <c r="BE417" i="8"/>
  <c r="BE418" i="8"/>
  <c r="BE419" i="8"/>
  <c r="BE420" i="8"/>
  <c r="BE421" i="8"/>
  <c r="BE422" i="8"/>
  <c r="BE423" i="8"/>
  <c r="BE424" i="8"/>
  <c r="BE425" i="8"/>
  <c r="BE426" i="8"/>
  <c r="BE427" i="8"/>
  <c r="BE428" i="8"/>
  <c r="BE429" i="8"/>
  <c r="BE430" i="8"/>
  <c r="BE431" i="8"/>
  <c r="BE432" i="8"/>
  <c r="BE433" i="8"/>
  <c r="BE434" i="8"/>
  <c r="BE435" i="8"/>
  <c r="BE436" i="8"/>
  <c r="BE437" i="8"/>
  <c r="BE438" i="8"/>
  <c r="BE439" i="8"/>
  <c r="BE440" i="8"/>
  <c r="BE441" i="8"/>
  <c r="BE442" i="8"/>
  <c r="BE443" i="8"/>
  <c r="BE444" i="8"/>
  <c r="BE445" i="8"/>
  <c r="BE446" i="8"/>
  <c r="BE447" i="8"/>
  <c r="BE448" i="8"/>
  <c r="BE449" i="8"/>
  <c r="BE450" i="8"/>
  <c r="BE451" i="8"/>
  <c r="BE452" i="8"/>
  <c r="BE453" i="8"/>
  <c r="BE454" i="8"/>
  <c r="BE455" i="8"/>
  <c r="BE456" i="8"/>
  <c r="BE457" i="8"/>
  <c r="BE458" i="8"/>
  <c r="BE459" i="8"/>
  <c r="BE460" i="8"/>
  <c r="BE461" i="8"/>
  <c r="BE462" i="8"/>
  <c r="BE463" i="8"/>
  <c r="BE464" i="8"/>
  <c r="BE465" i="8"/>
  <c r="BE466" i="8"/>
  <c r="BE467" i="8"/>
  <c r="BE468" i="8"/>
  <c r="BE469" i="8"/>
  <c r="BE470" i="8"/>
  <c r="BE471" i="8"/>
  <c r="BE472" i="8"/>
  <c r="BE473" i="8"/>
  <c r="BE474" i="8"/>
  <c r="BE475" i="8"/>
  <c r="BE476" i="8"/>
  <c r="BE477" i="8"/>
  <c r="BE478" i="8"/>
  <c r="BE479" i="8"/>
  <c r="BE480" i="8"/>
  <c r="BE481" i="8"/>
  <c r="BE482" i="8"/>
  <c r="BE483" i="8"/>
  <c r="BE484" i="8"/>
  <c r="BE485" i="8"/>
  <c r="BE486" i="8"/>
  <c r="BE487" i="8"/>
  <c r="BE488" i="8"/>
  <c r="BE489" i="8"/>
  <c r="BE490" i="8"/>
  <c r="BE491" i="8"/>
  <c r="BE492" i="8"/>
  <c r="BE493" i="8"/>
  <c r="BE494" i="8"/>
  <c r="BE495" i="8"/>
  <c r="BE496" i="8"/>
  <c r="BE497" i="8"/>
  <c r="BE498" i="8"/>
  <c r="BE499" i="8"/>
  <c r="BE500" i="8"/>
  <c r="BE501" i="8"/>
  <c r="BE502" i="8"/>
  <c r="BE503" i="8"/>
  <c r="BE504" i="8"/>
  <c r="BE505" i="8"/>
  <c r="BE506" i="8"/>
  <c r="BE507" i="8"/>
  <c r="BE508" i="8"/>
  <c r="BE509" i="8"/>
  <c r="BE510" i="8"/>
  <c r="BE511" i="8"/>
  <c r="BE512" i="8"/>
  <c r="BE513" i="8"/>
  <c r="BE514" i="8"/>
  <c r="BE515" i="8"/>
  <c r="BE516" i="8"/>
  <c r="BE517" i="8"/>
  <c r="BE518" i="8"/>
  <c r="BE519" i="8"/>
  <c r="BE520" i="8"/>
  <c r="BE521" i="8"/>
  <c r="BE522" i="8"/>
  <c r="BE523" i="8"/>
  <c r="BE524" i="8"/>
  <c r="BE525" i="8"/>
  <c r="BE526" i="8"/>
  <c r="BE527" i="8"/>
  <c r="BE528" i="8"/>
  <c r="BE529" i="8"/>
  <c r="BE530" i="8"/>
  <c r="BE531" i="8"/>
  <c r="BE532" i="8"/>
  <c r="BE533" i="8"/>
  <c r="BE534" i="8"/>
  <c r="BE535" i="8"/>
  <c r="BE536" i="8"/>
  <c r="BE537" i="8"/>
  <c r="BE538" i="8"/>
  <c r="BE539" i="8"/>
  <c r="BE540" i="8"/>
  <c r="BE541" i="8"/>
  <c r="BE542" i="8"/>
  <c r="BE543" i="8"/>
  <c r="BE544" i="8"/>
  <c r="BE545" i="8"/>
  <c r="BE546" i="8"/>
  <c r="BE547" i="8"/>
  <c r="BE548" i="8"/>
  <c r="BE549" i="8"/>
  <c r="BE550" i="8"/>
  <c r="BE551" i="8"/>
  <c r="BE552" i="8"/>
  <c r="BE553" i="8"/>
  <c r="BE554" i="8"/>
  <c r="BE555" i="8"/>
  <c r="BE556" i="8"/>
  <c r="BE557" i="8"/>
  <c r="BE558" i="8"/>
  <c r="BE559" i="8"/>
  <c r="BE560" i="8"/>
  <c r="BE561" i="8"/>
  <c r="BE562" i="8"/>
  <c r="BE563" i="8"/>
  <c r="BE564" i="8"/>
  <c r="BE565" i="8"/>
  <c r="BE566" i="8"/>
  <c r="BE567" i="8"/>
  <c r="BE568" i="8"/>
  <c r="BE569" i="8"/>
  <c r="BE570" i="8"/>
  <c r="BE571" i="8"/>
  <c r="BE572" i="8"/>
  <c r="BE573" i="8"/>
  <c r="BE574" i="8"/>
  <c r="BE575" i="8"/>
  <c r="BE576" i="8"/>
  <c r="BE577" i="8"/>
  <c r="BE578" i="8"/>
  <c r="BE579" i="8"/>
  <c r="BE580" i="8"/>
  <c r="BE581" i="8"/>
  <c r="BE582" i="8"/>
  <c r="BE583" i="8"/>
  <c r="BE584" i="8"/>
  <c r="BE585" i="8"/>
  <c r="BE586" i="8"/>
  <c r="BE587" i="8"/>
  <c r="BE588" i="8"/>
  <c r="BE589" i="8"/>
  <c r="BE590" i="8"/>
  <c r="BE591" i="8"/>
  <c r="BE592" i="8"/>
  <c r="BE593" i="8"/>
  <c r="BE594" i="8"/>
  <c r="BE595" i="8"/>
  <c r="BE596" i="8"/>
  <c r="BE597" i="8"/>
  <c r="BE598" i="8"/>
  <c r="BE599" i="8"/>
  <c r="BE600" i="8"/>
  <c r="BE601" i="8"/>
  <c r="BE602" i="8"/>
  <c r="BE603" i="8"/>
  <c r="BE604" i="8"/>
  <c r="BE605" i="8"/>
  <c r="BE606" i="8"/>
  <c r="BE607" i="8"/>
  <c r="BE608" i="8"/>
  <c r="BE609" i="8"/>
  <c r="BE610" i="8"/>
  <c r="BE611" i="8"/>
  <c r="BE612" i="8"/>
  <c r="BE613" i="8"/>
  <c r="BE614" i="8"/>
  <c r="BE615" i="8"/>
  <c r="BE616" i="8"/>
  <c r="BE617" i="8"/>
  <c r="BE618" i="8"/>
  <c r="BE619" i="8"/>
  <c r="BE620" i="8"/>
  <c r="BE621" i="8"/>
  <c r="BE622" i="8"/>
  <c r="BE623" i="8"/>
  <c r="BE624" i="8"/>
  <c r="BE625" i="8"/>
  <c r="BE626" i="8"/>
  <c r="BE627" i="8"/>
  <c r="BE628" i="8"/>
  <c r="BE629" i="8"/>
  <c r="BE630" i="8"/>
  <c r="BE631" i="8"/>
  <c r="BE632" i="8"/>
  <c r="BE633" i="8"/>
  <c r="BE634" i="8"/>
  <c r="BE635" i="8"/>
  <c r="BE636" i="8"/>
  <c r="BE637" i="8"/>
  <c r="BE638" i="8"/>
  <c r="BE639" i="8"/>
  <c r="BE640" i="8"/>
  <c r="BE641" i="8"/>
  <c r="BE642" i="8"/>
  <c r="BE643" i="8"/>
  <c r="BE644" i="8"/>
  <c r="BE645" i="8"/>
  <c r="BE646" i="8"/>
  <c r="BE647" i="8"/>
  <c r="BE648" i="8"/>
  <c r="BE649" i="8"/>
  <c r="BE650" i="8"/>
  <c r="BE651" i="8"/>
  <c r="BE652" i="8"/>
  <c r="BE653" i="8"/>
  <c r="BE654" i="8"/>
  <c r="BE655" i="8"/>
  <c r="BE656" i="8"/>
  <c r="BE657" i="8"/>
  <c r="BE658" i="8"/>
  <c r="BE659" i="8"/>
  <c r="BE660" i="8"/>
  <c r="BE661" i="8"/>
  <c r="BE662" i="8"/>
  <c r="BE663" i="8"/>
  <c r="BE664" i="8"/>
  <c r="BE665" i="8"/>
  <c r="BE666" i="8"/>
  <c r="BE667" i="8"/>
  <c r="BE668" i="8"/>
  <c r="BE669" i="8"/>
  <c r="BE670" i="8"/>
  <c r="BE671" i="8"/>
  <c r="BE672" i="8"/>
  <c r="BE673" i="8"/>
  <c r="BE674" i="8"/>
  <c r="BE675" i="8"/>
  <c r="BE676" i="8"/>
  <c r="BE677" i="8"/>
  <c r="BE678" i="8"/>
  <c r="BE679" i="8"/>
  <c r="BE680" i="8"/>
  <c r="BE681" i="8"/>
  <c r="BE682" i="8"/>
  <c r="BE683" i="8"/>
  <c r="BE684" i="8"/>
  <c r="BE685" i="8"/>
  <c r="BE686" i="8"/>
  <c r="BE687" i="8"/>
  <c r="BE688" i="8"/>
  <c r="BE689" i="8"/>
  <c r="BE690" i="8"/>
  <c r="BE691" i="8"/>
  <c r="BE692" i="8"/>
  <c r="BE693" i="8"/>
  <c r="BE694" i="8"/>
  <c r="BE695" i="8"/>
  <c r="BE696" i="8"/>
  <c r="BE697" i="8"/>
  <c r="BE698" i="8"/>
  <c r="BE699" i="8"/>
  <c r="BE700" i="8"/>
  <c r="BE701" i="8"/>
  <c r="BE702" i="8"/>
  <c r="BE703" i="8"/>
  <c r="BE704" i="8"/>
  <c r="BE705" i="8"/>
  <c r="BE706" i="8"/>
  <c r="BE707" i="8"/>
  <c r="BE708" i="8"/>
  <c r="BE709" i="8"/>
  <c r="BE710" i="8"/>
  <c r="BE711" i="8"/>
  <c r="BE712" i="8"/>
  <c r="BE713" i="8"/>
  <c r="BE714" i="8"/>
  <c r="BE715" i="8"/>
  <c r="BE716" i="8"/>
  <c r="BE717" i="8"/>
  <c r="BE718" i="8"/>
  <c r="BE719" i="8"/>
  <c r="BE720" i="8"/>
  <c r="BE721" i="8"/>
  <c r="BE722" i="8"/>
  <c r="BE723" i="8"/>
  <c r="BE724" i="8"/>
  <c r="BE725" i="8"/>
  <c r="BE726" i="8"/>
  <c r="BE727" i="8"/>
  <c r="BE728" i="8"/>
  <c r="BE729" i="8"/>
  <c r="BE730" i="8"/>
  <c r="BE731" i="8"/>
  <c r="BE732" i="8"/>
  <c r="BE733" i="8"/>
  <c r="BE734" i="8"/>
  <c r="BE735" i="8"/>
  <c r="BE736" i="8"/>
  <c r="BE737" i="8"/>
  <c r="BE738" i="8"/>
  <c r="BE739" i="8"/>
  <c r="BE740" i="8"/>
  <c r="BE741" i="8"/>
  <c r="BE742" i="8"/>
  <c r="BE743" i="8"/>
  <c r="BE744" i="8"/>
  <c r="BE745" i="8"/>
  <c r="BE746" i="8"/>
  <c r="BE747" i="8"/>
  <c r="BE748" i="8"/>
  <c r="BE749" i="8"/>
  <c r="BE750" i="8"/>
  <c r="BE751" i="8"/>
  <c r="BE752" i="8"/>
  <c r="BE753" i="8"/>
  <c r="BE754" i="8"/>
  <c r="BE755" i="8"/>
  <c r="BE756" i="8"/>
  <c r="BE757" i="8"/>
  <c r="BE758" i="8"/>
  <c r="BE759" i="8"/>
  <c r="BE760" i="8"/>
  <c r="BE761" i="8"/>
  <c r="BE762" i="8"/>
  <c r="BE763" i="8"/>
  <c r="BE764" i="8"/>
  <c r="BE765" i="8"/>
  <c r="BE766" i="8"/>
  <c r="BE767" i="8"/>
  <c r="BE768" i="8"/>
  <c r="BE769" i="8"/>
  <c r="BE770" i="8"/>
  <c r="BE771" i="8"/>
  <c r="BE772" i="8"/>
  <c r="BE773" i="8"/>
  <c r="BE774" i="8"/>
  <c r="BE775" i="8"/>
  <c r="BE776" i="8"/>
  <c r="BE777" i="8"/>
  <c r="BE778" i="8"/>
  <c r="BE779" i="8"/>
  <c r="BE780" i="8"/>
  <c r="BE781" i="8"/>
  <c r="BE782" i="8"/>
  <c r="BE783" i="8"/>
  <c r="BE784" i="8"/>
  <c r="BE785" i="8"/>
  <c r="BE786" i="8"/>
  <c r="BE787" i="8"/>
  <c r="BE788" i="8"/>
  <c r="BE789" i="8"/>
  <c r="BE790" i="8"/>
  <c r="BE791" i="8"/>
  <c r="BE792" i="8"/>
  <c r="BE793" i="8"/>
  <c r="BE794" i="8"/>
  <c r="BE795" i="8"/>
  <c r="BE796" i="8"/>
  <c r="BE797" i="8"/>
  <c r="BE798" i="8"/>
  <c r="BE799" i="8"/>
  <c r="BE800" i="8"/>
  <c r="BE801" i="8"/>
  <c r="BE802" i="8"/>
  <c r="BE803" i="8"/>
  <c r="BE804" i="8"/>
  <c r="BE805" i="8"/>
  <c r="BE806" i="8"/>
  <c r="BE807" i="8"/>
  <c r="BE808" i="8"/>
  <c r="BE809" i="8"/>
  <c r="BE810" i="8"/>
  <c r="BE811" i="8"/>
  <c r="BE812" i="8"/>
  <c r="BE813" i="8"/>
  <c r="BE814" i="8"/>
  <c r="BE815" i="8"/>
  <c r="BE816" i="8"/>
  <c r="BE817" i="8"/>
  <c r="BE818" i="8"/>
  <c r="BE819" i="8"/>
  <c r="BE820" i="8"/>
  <c r="BE821" i="8"/>
  <c r="BE822" i="8"/>
  <c r="BE823" i="8"/>
  <c r="BE824" i="8"/>
  <c r="BE825" i="8"/>
  <c r="BE826" i="8"/>
  <c r="BE827" i="8"/>
  <c r="BE828" i="8"/>
  <c r="BE829" i="8"/>
  <c r="BE830" i="8"/>
  <c r="BE831" i="8"/>
  <c r="BE832" i="8"/>
  <c r="BE833" i="8"/>
  <c r="BE834" i="8"/>
  <c r="BE835" i="8"/>
  <c r="BE836" i="8"/>
  <c r="BE837" i="8"/>
  <c r="BE838" i="8"/>
  <c r="BE839" i="8"/>
  <c r="BE840" i="8"/>
  <c r="BE841" i="8"/>
  <c r="BE842" i="8"/>
  <c r="BE843" i="8"/>
  <c r="BE844" i="8"/>
  <c r="BE845" i="8"/>
  <c r="BE846" i="8"/>
  <c r="BE847" i="8"/>
  <c r="BE848" i="8"/>
  <c r="BE849" i="8"/>
  <c r="BE850" i="8"/>
  <c r="BE851" i="8"/>
  <c r="BE852" i="8"/>
  <c r="BE853" i="8"/>
  <c r="BE854" i="8"/>
  <c r="BE855" i="8"/>
  <c r="BE856" i="8"/>
  <c r="BE857" i="8"/>
  <c r="BE858" i="8"/>
  <c r="BE859" i="8"/>
  <c r="BE860" i="8"/>
  <c r="BE861" i="8"/>
  <c r="BE862" i="8"/>
  <c r="BE863" i="8"/>
  <c r="BE864" i="8"/>
  <c r="BE865" i="8"/>
  <c r="BE866" i="8"/>
  <c r="BE867" i="8"/>
  <c r="BE868" i="8"/>
  <c r="BE869" i="8"/>
  <c r="BE870" i="8"/>
  <c r="BE871" i="8"/>
  <c r="BE872" i="8"/>
  <c r="BE873" i="8"/>
  <c r="BE874" i="8"/>
  <c r="BE875" i="8"/>
  <c r="BE876" i="8"/>
  <c r="BE877" i="8"/>
  <c r="BE878" i="8"/>
  <c r="BE879" i="8"/>
  <c r="BE880" i="8"/>
  <c r="BE881" i="8"/>
  <c r="BE882" i="8"/>
  <c r="BE883" i="8"/>
  <c r="BE884" i="8"/>
  <c r="BE885" i="8"/>
  <c r="BE886" i="8"/>
  <c r="BE887" i="8"/>
  <c r="BE888" i="8"/>
  <c r="BE889" i="8"/>
  <c r="BE890" i="8"/>
  <c r="BE891" i="8"/>
  <c r="BE892" i="8"/>
  <c r="BE893" i="8"/>
  <c r="BE894" i="8"/>
  <c r="BE895" i="8"/>
  <c r="BE896" i="8"/>
  <c r="BE897" i="8"/>
  <c r="BE898" i="8"/>
  <c r="BE899" i="8"/>
  <c r="BE900" i="8"/>
  <c r="BE901" i="8"/>
  <c r="BE902" i="8"/>
  <c r="BE903" i="8"/>
  <c r="BE904" i="8"/>
  <c r="BE905" i="8"/>
  <c r="BE906" i="8"/>
  <c r="BE907" i="8"/>
  <c r="BE908" i="8"/>
  <c r="BE909" i="8"/>
  <c r="BE910" i="8"/>
  <c r="BE911" i="8"/>
  <c r="BE912" i="8"/>
  <c r="BE913" i="8"/>
  <c r="BE914" i="8"/>
  <c r="BE915" i="8"/>
  <c r="BE916" i="8"/>
  <c r="BE917" i="8"/>
  <c r="BE918" i="8"/>
  <c r="BE919" i="8"/>
  <c r="BE920" i="8"/>
  <c r="BE921" i="8"/>
  <c r="BE922" i="8"/>
  <c r="BE923" i="8"/>
  <c r="BE924" i="8"/>
  <c r="BE925" i="8"/>
  <c r="BE926" i="8"/>
  <c r="BE927" i="8"/>
  <c r="BE928" i="8"/>
  <c r="BE929" i="8"/>
  <c r="BE930" i="8"/>
  <c r="BE931" i="8"/>
  <c r="BE932" i="8"/>
  <c r="BE933" i="8"/>
  <c r="BE934" i="8"/>
  <c r="BE935" i="8"/>
  <c r="BE936" i="8"/>
  <c r="BE937" i="8"/>
  <c r="BE938" i="8"/>
  <c r="BE939" i="8"/>
  <c r="BE940" i="8"/>
  <c r="BE941" i="8"/>
  <c r="BE942" i="8"/>
  <c r="BE943" i="8"/>
  <c r="BE944" i="8"/>
  <c r="BE945" i="8"/>
  <c r="BE946" i="8"/>
  <c r="BE947" i="8"/>
  <c r="BE948" i="8"/>
  <c r="BE949" i="8"/>
  <c r="BE950" i="8"/>
  <c r="BE951" i="8"/>
  <c r="BE952" i="8"/>
  <c r="BE953" i="8"/>
  <c r="BE954" i="8"/>
  <c r="BE955" i="8"/>
  <c r="BE956" i="8"/>
  <c r="BE957" i="8"/>
  <c r="BE958" i="8"/>
  <c r="BE959" i="8"/>
  <c r="BE960" i="8"/>
  <c r="BE961" i="8"/>
  <c r="BE962" i="8"/>
  <c r="BE963" i="8"/>
  <c r="BE964" i="8"/>
  <c r="BE965" i="8"/>
  <c r="BE966" i="8"/>
  <c r="BE967" i="8"/>
  <c r="BE968" i="8"/>
  <c r="BE969" i="8"/>
  <c r="BE970" i="8"/>
  <c r="BE971" i="8"/>
  <c r="BE972" i="8"/>
  <c r="BE973" i="8"/>
  <c r="BE974" i="8"/>
  <c r="BE975" i="8"/>
  <c r="BE976" i="8"/>
  <c r="BE977" i="8"/>
  <c r="BE978" i="8"/>
  <c r="BE979" i="8"/>
  <c r="BE980" i="8"/>
  <c r="BE981" i="8"/>
  <c r="BE982" i="8"/>
  <c r="BE983" i="8"/>
  <c r="BE984" i="8"/>
  <c r="BE985" i="8"/>
  <c r="BE986" i="8"/>
  <c r="BE987" i="8"/>
  <c r="BE988" i="8"/>
  <c r="BE989" i="8"/>
  <c r="BE990" i="8"/>
  <c r="BE991" i="8"/>
  <c r="BE992" i="8"/>
  <c r="BE993" i="8"/>
  <c r="BE994" i="8"/>
  <c r="BE995" i="8"/>
  <c r="BE996" i="8"/>
  <c r="BE997" i="8"/>
  <c r="BE998" i="8"/>
  <c r="BE999" i="8"/>
  <c r="BE1000" i="8"/>
  <c r="BE1001" i="8"/>
  <c r="BE1002" i="8"/>
  <c r="BE1003" i="8"/>
  <c r="BE1004" i="8"/>
  <c r="BE1005" i="8"/>
  <c r="BE1006" i="8"/>
  <c r="BE1007" i="8"/>
  <c r="BE1008" i="8"/>
  <c r="BE1009" i="8"/>
  <c r="BE1010" i="8"/>
  <c r="BE1011" i="8"/>
  <c r="BE1012" i="8"/>
  <c r="BE1013" i="8"/>
  <c r="BE1014" i="8"/>
  <c r="BE1015" i="8"/>
  <c r="BE1016" i="8"/>
  <c r="BE1017" i="8"/>
  <c r="BE1018" i="8"/>
  <c r="BE1019" i="8"/>
  <c r="BE1020" i="8"/>
  <c r="BE1021" i="8"/>
  <c r="BE1022" i="8"/>
  <c r="BE1023" i="8"/>
  <c r="BE1024" i="8"/>
  <c r="BE1025" i="8"/>
  <c r="BE1026" i="8"/>
  <c r="BE1027" i="8"/>
  <c r="BE1028" i="8"/>
  <c r="BE1029" i="8"/>
  <c r="BE1030" i="8"/>
  <c r="BE1031" i="8"/>
  <c r="BE1032" i="8"/>
  <c r="BE1033" i="8"/>
  <c r="BE1034" i="8"/>
  <c r="BE1035" i="8"/>
  <c r="BE1036" i="8"/>
  <c r="BE1037" i="8"/>
  <c r="BE1038" i="8"/>
  <c r="BE1039" i="8"/>
  <c r="BE1040" i="8"/>
  <c r="BE1041" i="8"/>
  <c r="BE1042" i="8"/>
  <c r="BE1043" i="8"/>
  <c r="BE1044" i="8"/>
  <c r="BE1045" i="8"/>
  <c r="BE1046" i="8"/>
  <c r="BE1047" i="8"/>
  <c r="BE1048" i="8"/>
  <c r="BE1049" i="8"/>
  <c r="BE1050" i="8"/>
  <c r="BE1051" i="8"/>
  <c r="BE1052" i="8"/>
  <c r="BE1053" i="8"/>
  <c r="BE1054" i="8"/>
  <c r="BE1055" i="8"/>
  <c r="BE1056" i="8"/>
  <c r="BE1057" i="8"/>
  <c r="BE1058" i="8"/>
  <c r="BE1059" i="8"/>
  <c r="BE1060" i="8"/>
  <c r="BE1061" i="8"/>
  <c r="BE1062" i="8"/>
  <c r="BE1063" i="8"/>
  <c r="BE1064" i="8"/>
  <c r="BE1065" i="8"/>
  <c r="BE1066" i="8"/>
  <c r="BE1067" i="8"/>
  <c r="BE1068" i="8"/>
  <c r="BE1069" i="8"/>
  <c r="BE1070" i="8"/>
  <c r="BE1071" i="8"/>
  <c r="BE1072" i="8"/>
  <c r="BE1073" i="8"/>
  <c r="BE1074" i="8"/>
  <c r="BE1075" i="8"/>
  <c r="BE1076" i="8"/>
  <c r="BE1077" i="8"/>
  <c r="BE1078" i="8"/>
  <c r="BE1079" i="8"/>
  <c r="BE1080" i="8"/>
  <c r="BE1081" i="8"/>
  <c r="BE1082" i="8"/>
  <c r="BE1083" i="8"/>
  <c r="BE1084" i="8"/>
  <c r="BE1085" i="8"/>
  <c r="BE1086" i="8"/>
  <c r="BE1087" i="8"/>
  <c r="BE1088" i="8"/>
  <c r="BE1089" i="8"/>
  <c r="BE1090" i="8"/>
  <c r="BE1091" i="8"/>
  <c r="BE1092" i="8"/>
  <c r="BE1093" i="8"/>
  <c r="BE1094" i="8"/>
  <c r="BE1095" i="8"/>
  <c r="BE1096" i="8"/>
  <c r="BE1097" i="8"/>
  <c r="BE1098" i="8"/>
  <c r="BE1099" i="8"/>
  <c r="BE1100" i="8"/>
  <c r="BE1101" i="8"/>
  <c r="BE1102" i="8"/>
  <c r="BE1103" i="8"/>
  <c r="BE1104" i="8"/>
  <c r="BE1105" i="8"/>
  <c r="BE1106" i="8"/>
  <c r="BE1107" i="8"/>
  <c r="BE1108" i="8"/>
  <c r="BE1109" i="8"/>
  <c r="BE1110" i="8"/>
  <c r="BE1111" i="8"/>
  <c r="BE1112" i="8"/>
  <c r="BE1113" i="8"/>
  <c r="BE1114" i="8"/>
  <c r="BE1115" i="8"/>
  <c r="BE1116" i="8"/>
  <c r="BE1117" i="8"/>
  <c r="BE1118" i="8"/>
  <c r="BE1119" i="8"/>
  <c r="BE1120" i="8"/>
  <c r="BE1121" i="8"/>
  <c r="BE1122" i="8"/>
  <c r="BE1123" i="8"/>
  <c r="BE1124" i="8"/>
  <c r="BE1125" i="8"/>
  <c r="BE1126" i="8"/>
  <c r="BE1127" i="8"/>
  <c r="BE1128" i="8"/>
  <c r="A44"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P37" i="2"/>
  <c r="T37" i="2" s="1"/>
  <c r="AA37" i="2" s="1"/>
  <c r="P38" i="2"/>
  <c r="S38" i="2" s="1"/>
  <c r="Z38" i="2" s="1"/>
  <c r="P39" i="2"/>
  <c r="Q39" i="8" s="1"/>
  <c r="P40" i="2"/>
  <c r="P41" i="2"/>
  <c r="Q41" i="8" s="1"/>
  <c r="P42" i="2"/>
  <c r="Q42" i="8" s="1"/>
  <c r="P43" i="2"/>
  <c r="P44" i="2"/>
  <c r="P45" i="2"/>
  <c r="Q45" i="8" s="1"/>
  <c r="P46" i="2"/>
  <c r="Q46" i="8" s="1"/>
  <c r="P47" i="2"/>
  <c r="Q47" i="8" s="1"/>
  <c r="P48" i="2"/>
  <c r="P49" i="2"/>
  <c r="Q49" i="8" s="1"/>
  <c r="P50" i="2"/>
  <c r="U50" i="2" s="1"/>
  <c r="P51" i="2"/>
  <c r="Q51" i="8" s="1"/>
  <c r="P52" i="2"/>
  <c r="R52" i="2" s="1"/>
  <c r="Y52" i="2" s="1"/>
  <c r="P53" i="2"/>
  <c r="P54" i="2"/>
  <c r="P55" i="2"/>
  <c r="S55" i="2" s="1"/>
  <c r="Z55" i="2" s="1"/>
  <c r="P56" i="2"/>
  <c r="P57" i="2"/>
  <c r="V57" i="2" s="1"/>
  <c r="P58" i="2"/>
  <c r="Q58" i="8" s="1"/>
  <c r="P59" i="2"/>
  <c r="Q59" i="8" s="1"/>
  <c r="P60" i="2"/>
  <c r="Q60" i="8" s="1"/>
  <c r="P61" i="2"/>
  <c r="Q61" i="8" s="1"/>
  <c r="P62" i="2"/>
  <c r="Q62" i="8" s="1"/>
  <c r="P63" i="2"/>
  <c r="Q63" i="8" s="1"/>
  <c r="P64" i="2"/>
  <c r="P65" i="2"/>
  <c r="Q65" i="8" s="1"/>
  <c r="P66" i="2"/>
  <c r="V66" i="2" s="1"/>
  <c r="P67" i="2"/>
  <c r="P68" i="2"/>
  <c r="Q68" i="8" s="1"/>
  <c r="P69" i="2"/>
  <c r="S69" i="2" s="1"/>
  <c r="Z69" i="2" s="1"/>
  <c r="P70" i="2"/>
  <c r="T70" i="2" s="1"/>
  <c r="AA70" i="2" s="1"/>
  <c r="P71" i="2"/>
  <c r="Q71" i="8" s="1"/>
  <c r="P72" i="2"/>
  <c r="P73" i="2"/>
  <c r="Q73" i="8" s="1"/>
  <c r="P74" i="2"/>
  <c r="Q74" i="8" s="1"/>
  <c r="P75" i="2"/>
  <c r="Q75" i="8" s="1"/>
  <c r="P76" i="2"/>
  <c r="Q76" i="8" s="1"/>
  <c r="P77" i="2"/>
  <c r="Q77" i="8" s="1"/>
  <c r="P78" i="2"/>
  <c r="T78" i="2" s="1"/>
  <c r="AA78" i="2" s="1"/>
  <c r="P79" i="2"/>
  <c r="Q79" i="8" s="1"/>
  <c r="P80" i="2"/>
  <c r="T80" i="2" s="1"/>
  <c r="AA80" i="2" s="1"/>
  <c r="P81" i="2"/>
  <c r="Q81" i="8" s="1"/>
  <c r="P82" i="2"/>
  <c r="W82" i="2" s="1"/>
  <c r="P83" i="2"/>
  <c r="Q83" i="8" s="1"/>
  <c r="P84" i="2"/>
  <c r="Q84" i="8" s="1"/>
  <c r="P85" i="2"/>
  <c r="S85" i="2" s="1"/>
  <c r="Z85" i="2" s="1"/>
  <c r="P86" i="2"/>
  <c r="Q86" i="8" s="1"/>
  <c r="P87" i="2"/>
  <c r="S87" i="2" s="1"/>
  <c r="Z87" i="2" s="1"/>
  <c r="P88" i="2"/>
  <c r="P89" i="2"/>
  <c r="U89" i="2" s="1"/>
  <c r="P90" i="2"/>
  <c r="Q90" i="8" s="1"/>
  <c r="P91" i="2"/>
  <c r="P92" i="2"/>
  <c r="Q92" i="8" s="1"/>
  <c r="P93" i="2"/>
  <c r="Q93" i="8" s="1"/>
  <c r="P94" i="2"/>
  <c r="S94" i="2" s="1"/>
  <c r="Z94" i="2" s="1"/>
  <c r="P95" i="2"/>
  <c r="Q95" i="8" s="1"/>
  <c r="P96" i="2"/>
  <c r="V96" i="2" s="1"/>
  <c r="P97" i="2"/>
  <c r="Q97" i="8" s="1"/>
  <c r="P98" i="2"/>
  <c r="P99" i="2"/>
  <c r="Q99" i="8" s="1"/>
  <c r="P100" i="2"/>
  <c r="W100" i="2" s="1"/>
  <c r="P101" i="2"/>
  <c r="P102" i="2"/>
  <c r="P103" i="2"/>
  <c r="T103" i="2" s="1"/>
  <c r="AA103" i="2" s="1"/>
  <c r="P104" i="2"/>
  <c r="W104" i="2" s="1"/>
  <c r="P105" i="2"/>
  <c r="W105" i="2" s="1"/>
  <c r="P106" i="2"/>
  <c r="Q106" i="8" s="1"/>
  <c r="P107" i="2"/>
  <c r="Q107" i="8" s="1"/>
  <c r="P108" i="2"/>
  <c r="Q108" i="8" s="1"/>
  <c r="P109" i="2"/>
  <c r="Q109" i="8" s="1"/>
  <c r="P110" i="2"/>
  <c r="Q110" i="8" s="1"/>
  <c r="P111" i="2"/>
  <c r="Q111" i="8" s="1"/>
  <c r="P112" i="2"/>
  <c r="P113" i="2"/>
  <c r="Q113" i="8" s="1"/>
  <c r="P114" i="2"/>
  <c r="W114" i="2" s="1"/>
  <c r="P115" i="2"/>
  <c r="P116" i="2"/>
  <c r="Q116" i="8" s="1"/>
  <c r="P117" i="2"/>
  <c r="W117" i="2" s="1"/>
  <c r="P118" i="2"/>
  <c r="T118" i="2" s="1"/>
  <c r="AA118" i="2" s="1"/>
  <c r="P119" i="2"/>
  <c r="Q119" i="8" s="1"/>
  <c r="P120" i="2"/>
  <c r="P121" i="2"/>
  <c r="T121" i="2" s="1"/>
  <c r="AA121" i="2" s="1"/>
  <c r="P122" i="2"/>
  <c r="Q122" i="8" s="1"/>
  <c r="P123" i="2"/>
  <c r="Q123" i="8" s="1"/>
  <c r="P124" i="2"/>
  <c r="Q124" i="8" s="1"/>
  <c r="P125" i="2"/>
  <c r="Q125" i="8" s="1"/>
  <c r="P126" i="2"/>
  <c r="P127" i="2"/>
  <c r="Q127" i="8" s="1"/>
  <c r="P128" i="2"/>
  <c r="U128" i="2" s="1"/>
  <c r="P129" i="2"/>
  <c r="Q129" i="8" s="1"/>
  <c r="P130" i="2"/>
  <c r="T130" i="2" s="1"/>
  <c r="AA130" i="2" s="1"/>
  <c r="P131" i="2"/>
  <c r="Q131" i="8" s="1"/>
  <c r="P132" i="2"/>
  <c r="Q132" i="8" s="1"/>
  <c r="P133" i="2"/>
  <c r="P134" i="2"/>
  <c r="T134" i="2" s="1"/>
  <c r="AA134" i="2" s="1"/>
  <c r="P135" i="2"/>
  <c r="U135" i="2" s="1"/>
  <c r="P136" i="2"/>
  <c r="P137" i="2"/>
  <c r="W137" i="2" s="1"/>
  <c r="P138" i="2"/>
  <c r="Q138" i="8" s="1"/>
  <c r="P139" i="2"/>
  <c r="P140" i="2"/>
  <c r="Q140" i="8" s="1"/>
  <c r="P141" i="2"/>
  <c r="Q141" i="8" s="1"/>
  <c r="P142" i="2"/>
  <c r="R142" i="2" s="1"/>
  <c r="Y142" i="2" s="1"/>
  <c r="P143" i="2"/>
  <c r="Q143" i="8" s="1"/>
  <c r="P144" i="2"/>
  <c r="P145" i="2"/>
  <c r="Q145" i="8" s="1"/>
  <c r="P146" i="2"/>
  <c r="R146" i="2" s="1"/>
  <c r="Y146" i="2" s="1"/>
  <c r="P147" i="2"/>
  <c r="Q147" i="8" s="1"/>
  <c r="P148" i="2"/>
  <c r="V148" i="2" s="1"/>
  <c r="P149" i="2"/>
  <c r="P150" i="2"/>
  <c r="S150" i="2" s="1"/>
  <c r="Z150" i="2" s="1"/>
  <c r="P151" i="2"/>
  <c r="W151" i="2" s="1"/>
  <c r="P152" i="2"/>
  <c r="U152" i="2" s="1"/>
  <c r="P153" i="2"/>
  <c r="W153" i="2" s="1"/>
  <c r="P154" i="2"/>
  <c r="Q154" i="8" s="1"/>
  <c r="P155" i="2"/>
  <c r="Q155" i="8" s="1"/>
  <c r="P156" i="2"/>
  <c r="Q156" i="8" s="1"/>
  <c r="P157" i="2"/>
  <c r="T157" i="2" s="1"/>
  <c r="AA157" i="2" s="1"/>
  <c r="P158" i="2"/>
  <c r="Q158" i="8" s="1"/>
  <c r="P159" i="2"/>
  <c r="Q159" i="8" s="1"/>
  <c r="P160" i="2"/>
  <c r="W160" i="2" s="1"/>
  <c r="P161" i="2"/>
  <c r="R161" i="2" s="1"/>
  <c r="Y161" i="2" s="1"/>
  <c r="P162" i="2"/>
  <c r="W162" i="2" s="1"/>
  <c r="P163" i="2"/>
  <c r="S163" i="2" s="1"/>
  <c r="Z163" i="2" s="1"/>
  <c r="P164" i="2"/>
  <c r="Q164" i="8" s="1"/>
  <c r="P165" i="2"/>
  <c r="W165" i="2" s="1"/>
  <c r="P166" i="2"/>
  <c r="Q166" i="8" s="1"/>
  <c r="P167" i="2"/>
  <c r="Q167" i="8" s="1"/>
  <c r="P168" i="2"/>
  <c r="P169" i="2"/>
  <c r="Q169" i="8" s="1"/>
  <c r="P170" i="2"/>
  <c r="Q170" i="8" s="1"/>
  <c r="P171" i="2"/>
  <c r="Q171" i="8" s="1"/>
  <c r="P172" i="2"/>
  <c r="Q172" i="8" s="1"/>
  <c r="P173" i="2"/>
  <c r="Q173" i="8" s="1"/>
  <c r="P174" i="2"/>
  <c r="P175" i="2"/>
  <c r="S175" i="2" s="1"/>
  <c r="Z175" i="2" s="1"/>
  <c r="P176" i="2"/>
  <c r="Q176" i="8" s="1"/>
  <c r="P177" i="2"/>
  <c r="T177" i="2" s="1"/>
  <c r="AA177" i="2" s="1"/>
  <c r="P178" i="2"/>
  <c r="V178" i="2" s="1"/>
  <c r="P179" i="2"/>
  <c r="Q179" i="8" s="1"/>
  <c r="P180" i="2"/>
  <c r="Q180" i="8" s="1"/>
  <c r="P181" i="2"/>
  <c r="P182" i="2"/>
  <c r="Q182" i="8" s="1"/>
  <c r="P183" i="2"/>
  <c r="U183" i="2" s="1"/>
  <c r="P184" i="2"/>
  <c r="P185" i="2"/>
  <c r="Q185" i="8" s="1"/>
  <c r="P186" i="2"/>
  <c r="S186" i="2" s="1"/>
  <c r="Z186" i="2" s="1"/>
  <c r="P187" i="2"/>
  <c r="W187" i="2" s="1"/>
  <c r="P188" i="2"/>
  <c r="Q188" i="8" s="1"/>
  <c r="P189" i="2"/>
  <c r="Q189" i="8" s="1"/>
  <c r="P190" i="2"/>
  <c r="V190" i="2" s="1"/>
  <c r="P191" i="2"/>
  <c r="V191" i="2" s="1"/>
  <c r="P192" i="2"/>
  <c r="P193" i="2"/>
  <c r="U193" i="2" s="1"/>
  <c r="P194" i="2"/>
  <c r="V194" i="2" s="1"/>
  <c r="P195" i="2"/>
  <c r="Q195" i="8" s="1"/>
  <c r="P196" i="2"/>
  <c r="W196" i="2" s="1"/>
  <c r="P197" i="2"/>
  <c r="V197" i="2" s="1"/>
  <c r="P198" i="2"/>
  <c r="P199" i="2"/>
  <c r="Q199" i="8" s="1"/>
  <c r="P200" i="2"/>
  <c r="P201" i="2"/>
  <c r="S201" i="2" s="1"/>
  <c r="Z201" i="2" s="1"/>
  <c r="P202" i="2"/>
  <c r="Q202" i="8" s="1"/>
  <c r="P203" i="2"/>
  <c r="Q203" i="8" s="1"/>
  <c r="P204" i="2"/>
  <c r="Q204" i="8" s="1"/>
  <c r="P205" i="2"/>
  <c r="S205" i="2" s="1"/>
  <c r="Z205" i="2" s="1"/>
  <c r="P206" i="2"/>
  <c r="Q206" i="8" s="1"/>
  <c r="P207" i="2"/>
  <c r="U207" i="2" s="1"/>
  <c r="P208" i="2"/>
  <c r="P209" i="2"/>
  <c r="V209" i="2" s="1"/>
  <c r="P210" i="2"/>
  <c r="T210" i="2" s="1"/>
  <c r="AA210" i="2" s="1"/>
  <c r="P211" i="2"/>
  <c r="P212" i="2"/>
  <c r="Q212" i="8" s="1"/>
  <c r="P213" i="2"/>
  <c r="W213" i="2" s="1"/>
  <c r="P214" i="2"/>
  <c r="Q214" i="8" s="1"/>
  <c r="P215" i="2"/>
  <c r="Q215" i="8" s="1"/>
  <c r="P216" i="2"/>
  <c r="P217" i="2"/>
  <c r="V217" i="2" s="1"/>
  <c r="P218" i="2"/>
  <c r="Q218" i="8" s="1"/>
  <c r="P219" i="2"/>
  <c r="Q219" i="8" s="1"/>
  <c r="P220" i="2"/>
  <c r="Q220" i="8" s="1"/>
  <c r="P221" i="2"/>
  <c r="Q221" i="8" s="1"/>
  <c r="P222" i="2"/>
  <c r="R222" i="2" s="1"/>
  <c r="Y222" i="2" s="1"/>
  <c r="P223" i="2"/>
  <c r="W223" i="2" s="1"/>
  <c r="P224" i="2"/>
  <c r="R224" i="2" s="1"/>
  <c r="Y224" i="2" s="1"/>
  <c r="P225" i="2"/>
  <c r="P226" i="2"/>
  <c r="V226" i="2" s="1"/>
  <c r="P227" i="2"/>
  <c r="Q227" i="8" s="1"/>
  <c r="P228" i="2"/>
  <c r="Q228" i="8" s="1"/>
  <c r="P229" i="2"/>
  <c r="S229" i="2" s="1"/>
  <c r="Z229" i="2" s="1"/>
  <c r="P230" i="2"/>
  <c r="T230" i="2" s="1"/>
  <c r="AA230" i="2" s="1"/>
  <c r="P231" i="2"/>
  <c r="Q231" i="8" s="1"/>
  <c r="P232" i="2"/>
  <c r="P233" i="2"/>
  <c r="Q233" i="8" s="1"/>
  <c r="P234" i="2"/>
  <c r="S234" i="2" s="1"/>
  <c r="Z234" i="2" s="1"/>
  <c r="P235" i="2"/>
  <c r="P236" i="2"/>
  <c r="Q236" i="8" s="1"/>
  <c r="P237" i="2"/>
  <c r="Q237" i="8" s="1"/>
  <c r="P238" i="2"/>
  <c r="Q238" i="8" s="1"/>
  <c r="P239" i="2"/>
  <c r="Q239" i="8" s="1"/>
  <c r="P240" i="2"/>
  <c r="S240" i="2" s="1"/>
  <c r="Z240" i="2" s="1"/>
  <c r="P241" i="2"/>
  <c r="U241" i="2" s="1"/>
  <c r="P242" i="2"/>
  <c r="W242" i="2" s="1"/>
  <c r="P243" i="2"/>
  <c r="Q243" i="8" s="1"/>
  <c r="P244" i="2"/>
  <c r="V244" i="2" s="1"/>
  <c r="P245" i="2"/>
  <c r="S245" i="2" s="1"/>
  <c r="Z245" i="2" s="1"/>
  <c r="P246" i="2"/>
  <c r="P247" i="2"/>
  <c r="Q247" i="8" s="1"/>
  <c r="P248" i="2"/>
  <c r="V248" i="2" s="1"/>
  <c r="P249" i="2"/>
  <c r="V249" i="2" s="1"/>
  <c r="P250" i="2"/>
  <c r="Q250" i="8" s="1"/>
  <c r="P251" i="2"/>
  <c r="Q251" i="8" s="1"/>
  <c r="P252" i="2"/>
  <c r="Q252" i="8" s="1"/>
  <c r="P253" i="2"/>
  <c r="R253" i="2" s="1"/>
  <c r="Y253" i="2" s="1"/>
  <c r="P254" i="2"/>
  <c r="R254" i="2" s="1"/>
  <c r="Y254" i="2" s="1"/>
  <c r="P255" i="2"/>
  <c r="Q255" i="8" s="1"/>
  <c r="P256" i="2"/>
  <c r="P257" i="2"/>
  <c r="V257" i="2" s="1"/>
  <c r="P258" i="2"/>
  <c r="U258" i="2" s="1"/>
  <c r="P259" i="2"/>
  <c r="P260" i="2"/>
  <c r="Q260" i="8" s="1"/>
  <c r="P261" i="2"/>
  <c r="V261" i="2" s="1"/>
  <c r="P262" i="2"/>
  <c r="U262" i="2" s="1"/>
  <c r="P263" i="2"/>
  <c r="V263" i="2" s="1"/>
  <c r="P264" i="2"/>
  <c r="P265" i="2"/>
  <c r="T265" i="2" s="1"/>
  <c r="AA265" i="2" s="1"/>
  <c r="P266" i="2"/>
  <c r="U266" i="2" s="1"/>
  <c r="P267" i="2"/>
  <c r="Q267" i="8" s="1"/>
  <c r="P268" i="2"/>
  <c r="Q268" i="8" s="1"/>
  <c r="P269" i="2"/>
  <c r="Q269" i="8" s="1"/>
  <c r="P270" i="2"/>
  <c r="P271" i="2"/>
  <c r="S271" i="2" s="1"/>
  <c r="Z271" i="2" s="1"/>
  <c r="P272" i="2"/>
  <c r="T272" i="2" s="1"/>
  <c r="AA272" i="2" s="1"/>
  <c r="P273" i="2"/>
  <c r="P274" i="2"/>
  <c r="W274" i="2" s="1"/>
  <c r="P275" i="2"/>
  <c r="Q275" i="8" s="1"/>
  <c r="P276" i="2"/>
  <c r="Q276" i="8" s="1"/>
  <c r="P277" i="2"/>
  <c r="V277" i="2" s="1"/>
  <c r="P278" i="2"/>
  <c r="S278" i="2" s="1"/>
  <c r="Z278" i="2" s="1"/>
  <c r="P279" i="2"/>
  <c r="S279" i="2" s="1"/>
  <c r="Z279" i="2" s="1"/>
  <c r="P280" i="2"/>
  <c r="P281" i="2"/>
  <c r="Q281" i="8" s="1"/>
  <c r="P282" i="2"/>
  <c r="Q282" i="8" s="1"/>
  <c r="P283" i="2"/>
  <c r="P284" i="2"/>
  <c r="Q284" i="8" s="1"/>
  <c r="P285" i="2"/>
  <c r="Q285" i="8" s="1"/>
  <c r="P286" i="2"/>
  <c r="W286" i="2" s="1"/>
  <c r="P287" i="2"/>
  <c r="W287" i="2" s="1"/>
  <c r="P288" i="2"/>
  <c r="P289" i="2"/>
  <c r="P290" i="2"/>
  <c r="W290" i="2" s="1"/>
  <c r="P291" i="2"/>
  <c r="S291" i="2" s="1"/>
  <c r="Z291" i="2" s="1"/>
  <c r="P292" i="2"/>
  <c r="W292" i="2" s="1"/>
  <c r="P293" i="2"/>
  <c r="Q293" i="8" s="1"/>
  <c r="P294" i="2"/>
  <c r="U294" i="2" s="1"/>
  <c r="P295" i="2"/>
  <c r="W295" i="2" s="1"/>
  <c r="P296" i="2"/>
  <c r="W296" i="2" s="1"/>
  <c r="P297" i="2"/>
  <c r="U297" i="2" s="1"/>
  <c r="P298" i="2"/>
  <c r="V298" i="2" s="1"/>
  <c r="P299" i="2"/>
  <c r="Q299" i="8" s="1"/>
  <c r="P300" i="2"/>
  <c r="Q300" i="8" s="1"/>
  <c r="P301" i="2"/>
  <c r="T301" i="2" s="1"/>
  <c r="AA301" i="2" s="1"/>
  <c r="P302" i="2"/>
  <c r="W302" i="2" s="1"/>
  <c r="P303" i="2"/>
  <c r="T303" i="2" s="1"/>
  <c r="AA303" i="2" s="1"/>
  <c r="P304" i="2"/>
  <c r="P305" i="2"/>
  <c r="T305" i="2" s="1"/>
  <c r="AA305" i="2" s="1"/>
  <c r="P306" i="2"/>
  <c r="W306" i="2" s="1"/>
  <c r="P307" i="2"/>
  <c r="P308" i="2"/>
  <c r="Q308" i="8" s="1"/>
  <c r="P309" i="2"/>
  <c r="Q309" i="8" s="1"/>
  <c r="P310" i="2"/>
  <c r="Q310" i="8" s="1"/>
  <c r="P311" i="2"/>
  <c r="Q311" i="8" s="1"/>
  <c r="P312" i="2"/>
  <c r="P313" i="2"/>
  <c r="V313" i="2" s="1"/>
  <c r="P314" i="2"/>
  <c r="Q314" i="8" s="1"/>
  <c r="P315" i="2"/>
  <c r="Q315" i="8" s="1"/>
  <c r="P316" i="2"/>
  <c r="Q316" i="8" s="1"/>
  <c r="P317" i="2"/>
  <c r="V317" i="2" s="1"/>
  <c r="P318" i="2"/>
  <c r="P319" i="2"/>
  <c r="V319" i="2" s="1"/>
  <c r="P320" i="2"/>
  <c r="Q320" i="8" s="1"/>
  <c r="P321" i="2"/>
  <c r="S321" i="2" s="1"/>
  <c r="Z321" i="2" s="1"/>
  <c r="P322" i="2"/>
  <c r="V322" i="2" s="1"/>
  <c r="P323" i="2"/>
  <c r="Q323" i="8" s="1"/>
  <c r="P324" i="2"/>
  <c r="Q324" i="8" s="1"/>
  <c r="P325" i="2"/>
  <c r="P326" i="2"/>
  <c r="Q326" i="8" s="1"/>
  <c r="P327" i="2"/>
  <c r="Q327" i="8" s="1"/>
  <c r="P328" i="2"/>
  <c r="P329" i="2"/>
  <c r="Q329" i="8" s="1"/>
  <c r="P330" i="2"/>
  <c r="W330" i="2" s="1"/>
  <c r="P331" i="2"/>
  <c r="P332" i="2"/>
  <c r="Q332" i="8" s="1"/>
  <c r="P333" i="2"/>
  <c r="Q333" i="8" s="1"/>
  <c r="P334" i="2"/>
  <c r="W334" i="2" s="1"/>
  <c r="P335" i="2"/>
  <c r="P336" i="2"/>
  <c r="R336" i="2" s="1"/>
  <c r="Y336" i="2" s="1"/>
  <c r="P337" i="2"/>
  <c r="V337" i="2" s="1"/>
  <c r="P338" i="2"/>
  <c r="W338" i="2" s="1"/>
  <c r="P339" i="2"/>
  <c r="Q339" i="8" s="1"/>
  <c r="P340" i="2"/>
  <c r="U340" i="2" s="1"/>
  <c r="P341" i="2"/>
  <c r="V341" i="2" s="1"/>
  <c r="P342" i="2"/>
  <c r="P343" i="2"/>
  <c r="S343" i="2" s="1"/>
  <c r="Z343" i="2" s="1"/>
  <c r="P344" i="2"/>
  <c r="P345" i="2"/>
  <c r="W345" i="2" s="1"/>
  <c r="P346" i="2"/>
  <c r="Q346" i="8" s="1"/>
  <c r="P347" i="2"/>
  <c r="Q347" i="8" s="1"/>
  <c r="P348" i="2"/>
  <c r="Q348" i="8" s="1"/>
  <c r="P349" i="2"/>
  <c r="Q349" i="8" s="1"/>
  <c r="P350" i="2"/>
  <c r="T350" i="2" s="1"/>
  <c r="AA350" i="2" s="1"/>
  <c r="P351" i="2"/>
  <c r="V351" i="2" s="1"/>
  <c r="P352" i="2"/>
  <c r="P353" i="2"/>
  <c r="T353" i="2" s="1"/>
  <c r="AA353" i="2" s="1"/>
  <c r="P354" i="2"/>
  <c r="T354" i="2" s="1"/>
  <c r="AA354" i="2" s="1"/>
  <c r="P355" i="2"/>
  <c r="S355" i="2" s="1"/>
  <c r="Z355" i="2" s="1"/>
  <c r="P356" i="2"/>
  <c r="Q356" i="8" s="1"/>
  <c r="P357" i="2"/>
  <c r="V357" i="2" s="1"/>
  <c r="P358" i="2"/>
  <c r="Q358" i="8" s="1"/>
  <c r="P359" i="2"/>
  <c r="Q359" i="8" s="1"/>
  <c r="P360" i="2"/>
  <c r="S360" i="2" s="1"/>
  <c r="Z360" i="2" s="1"/>
  <c r="P361" i="2"/>
  <c r="S361" i="2" s="1"/>
  <c r="Z361" i="2" s="1"/>
  <c r="P362" i="2"/>
  <c r="Q362" i="8" s="1"/>
  <c r="P363" i="2"/>
  <c r="Q363" i="8" s="1"/>
  <c r="P364" i="2"/>
  <c r="T364" i="2" s="1"/>
  <c r="AA364" i="2" s="1"/>
  <c r="P365" i="2"/>
  <c r="Q365" i="8" s="1"/>
  <c r="P366" i="2"/>
  <c r="T366" i="2" s="1"/>
  <c r="AA366" i="2" s="1"/>
  <c r="P367" i="2"/>
  <c r="S367" i="2" s="1"/>
  <c r="Z367" i="2" s="1"/>
  <c r="P368" i="2"/>
  <c r="Q368" i="8" s="1"/>
  <c r="P369" i="2"/>
  <c r="W369" i="2" s="1"/>
  <c r="P370" i="2"/>
  <c r="R370" i="2" s="1"/>
  <c r="Y370" i="2" s="1"/>
  <c r="P371" i="2"/>
  <c r="Q371" i="8" s="1"/>
  <c r="P372" i="2"/>
  <c r="Q372" i="8" s="1"/>
  <c r="P373" i="2"/>
  <c r="P374" i="2"/>
  <c r="U374" i="2" s="1"/>
  <c r="P375" i="2"/>
  <c r="S375" i="2" s="1"/>
  <c r="Z375" i="2" s="1"/>
  <c r="P376" i="2"/>
  <c r="P377" i="2"/>
  <c r="S377" i="2" s="1"/>
  <c r="Z377" i="2" s="1"/>
  <c r="P378" i="2"/>
  <c r="S378" i="2" s="1"/>
  <c r="Z378" i="2" s="1"/>
  <c r="P379" i="2"/>
  <c r="W379" i="2" s="1"/>
  <c r="P380" i="2"/>
  <c r="Q380" i="8" s="1"/>
  <c r="P381" i="2"/>
  <c r="T381" i="2" s="1"/>
  <c r="AA381" i="2" s="1"/>
  <c r="P382" i="2"/>
  <c r="Q382" i="8" s="1"/>
  <c r="P383" i="2"/>
  <c r="P384" i="2"/>
  <c r="P385" i="2"/>
  <c r="V385" i="2" s="1"/>
  <c r="P386" i="2"/>
  <c r="T386" i="2" s="1"/>
  <c r="AA386" i="2" s="1"/>
  <c r="P387" i="2"/>
  <c r="R387" i="2" s="1"/>
  <c r="Y387" i="2" s="1"/>
  <c r="P388" i="2"/>
  <c r="V388" i="2" s="1"/>
  <c r="P389" i="2"/>
  <c r="S389" i="2" s="1"/>
  <c r="Z389" i="2" s="1"/>
  <c r="P390" i="2"/>
  <c r="P391" i="2"/>
  <c r="Q391" i="8" s="1"/>
  <c r="P392" i="2"/>
  <c r="P393" i="2"/>
  <c r="Q393" i="8" s="1"/>
  <c r="P394" i="2"/>
  <c r="P395" i="2"/>
  <c r="Q395" i="8" s="1"/>
  <c r="P396" i="2"/>
  <c r="Q396" i="8" s="1"/>
  <c r="P397" i="2"/>
  <c r="U397" i="2" s="1"/>
  <c r="P398" i="2"/>
  <c r="Q398" i="8" s="1"/>
  <c r="P399" i="2"/>
  <c r="V399" i="2" s="1"/>
  <c r="P400" i="2"/>
  <c r="P401" i="2"/>
  <c r="P402" i="2"/>
  <c r="W402" i="2" s="1"/>
  <c r="P403" i="2"/>
  <c r="P404" i="2"/>
  <c r="Q404" i="8" s="1"/>
  <c r="P405" i="2"/>
  <c r="S405" i="2" s="1"/>
  <c r="Z405" i="2" s="1"/>
  <c r="P406" i="2"/>
  <c r="Q406" i="8" s="1"/>
  <c r="P407" i="2"/>
  <c r="Q407" i="8" s="1"/>
  <c r="P408" i="2"/>
  <c r="P409" i="2"/>
  <c r="Q409" i="8" s="1"/>
  <c r="P410" i="2"/>
  <c r="Q410" i="8" s="1"/>
  <c r="P411" i="2"/>
  <c r="Q411" i="8" s="1"/>
  <c r="P412" i="2"/>
  <c r="V412" i="2" s="1"/>
  <c r="P413" i="2"/>
  <c r="V413" i="2" s="1"/>
  <c r="P414" i="2"/>
  <c r="P415" i="2"/>
  <c r="V415" i="2" s="1"/>
  <c r="P416" i="2"/>
  <c r="Q416" i="8" s="1"/>
  <c r="P417" i="2"/>
  <c r="S417" i="2" s="1"/>
  <c r="Z417" i="2" s="1"/>
  <c r="P418" i="2"/>
  <c r="W418" i="2" s="1"/>
  <c r="P419" i="2"/>
  <c r="Q419" i="8" s="1"/>
  <c r="P420" i="2"/>
  <c r="Q420" i="8" s="1"/>
  <c r="P421" i="2"/>
  <c r="P422" i="2"/>
  <c r="S422" i="2" s="1"/>
  <c r="Z422" i="2" s="1"/>
  <c r="P423" i="2"/>
  <c r="R423" i="2" s="1"/>
  <c r="Y423" i="2" s="1"/>
  <c r="P424" i="2"/>
  <c r="P425" i="2"/>
  <c r="R425" i="2" s="1"/>
  <c r="Y425" i="2" s="1"/>
  <c r="P426" i="2"/>
  <c r="V426" i="2" s="1"/>
  <c r="P427" i="2"/>
  <c r="P428" i="2"/>
  <c r="Q428" i="8" s="1"/>
  <c r="P429" i="2"/>
  <c r="T429" i="2" s="1"/>
  <c r="AA429" i="2" s="1"/>
  <c r="P430" i="2"/>
  <c r="T430" i="2" s="1"/>
  <c r="AA430" i="2" s="1"/>
  <c r="P431" i="2"/>
  <c r="T431" i="2" s="1"/>
  <c r="AA431" i="2" s="1"/>
  <c r="P432" i="2"/>
  <c r="P433" i="2"/>
  <c r="P434" i="2"/>
  <c r="W434" i="2" s="1"/>
  <c r="P435" i="2"/>
  <c r="T435" i="2" s="1"/>
  <c r="AA435" i="2" s="1"/>
  <c r="P436" i="2"/>
  <c r="W436" i="2" s="1"/>
  <c r="P437" i="2"/>
  <c r="P438" i="2"/>
  <c r="S438" i="2" s="1"/>
  <c r="Z438" i="2" s="1"/>
  <c r="P439" i="2"/>
  <c r="Q439" i="8" s="1"/>
  <c r="P440" i="2"/>
  <c r="V440" i="2" s="1"/>
  <c r="P441" i="2"/>
  <c r="Q441" i="8" s="1"/>
  <c r="P442" i="2"/>
  <c r="Q442" i="8" s="1"/>
  <c r="P443" i="2"/>
  <c r="Q443" i="8" s="1"/>
  <c r="P444" i="2"/>
  <c r="Q444" i="8" s="1"/>
  <c r="P445" i="2"/>
  <c r="U445" i="2" s="1"/>
  <c r="P446" i="2"/>
  <c r="Q446" i="8" s="1"/>
  <c r="P447" i="2"/>
  <c r="P448" i="2"/>
  <c r="P449" i="2"/>
  <c r="V449" i="2" s="1"/>
  <c r="P450" i="2"/>
  <c r="V450" i="2" s="1"/>
  <c r="P451" i="2"/>
  <c r="P452" i="2"/>
  <c r="Q452" i="8" s="1"/>
  <c r="P453" i="2"/>
  <c r="V453" i="2" s="1"/>
  <c r="P454" i="2"/>
  <c r="Q454" i="8" s="1"/>
  <c r="P455" i="2"/>
  <c r="S455" i="2" s="1"/>
  <c r="Z455" i="2" s="1"/>
  <c r="P456" i="2"/>
  <c r="P457" i="2"/>
  <c r="V457" i="2" s="1"/>
  <c r="P458" i="2"/>
  <c r="Q458" i="8" s="1"/>
  <c r="P459" i="2"/>
  <c r="Q459" i="8" s="1"/>
  <c r="P460" i="2"/>
  <c r="Q460" i="8" s="1"/>
  <c r="P461" i="2"/>
  <c r="R461" i="2" s="1"/>
  <c r="Y461" i="2" s="1"/>
  <c r="P462" i="2"/>
  <c r="P463" i="2"/>
  <c r="U463" i="2" s="1"/>
  <c r="P464" i="2"/>
  <c r="S464" i="2" s="1"/>
  <c r="Z464" i="2" s="1"/>
  <c r="P465" i="2"/>
  <c r="W465" i="2" s="1"/>
  <c r="P466" i="2"/>
  <c r="W466" i="2" s="1"/>
  <c r="P467" i="2"/>
  <c r="Q467" i="8" s="1"/>
  <c r="P468" i="2"/>
  <c r="Q468" i="8" s="1"/>
  <c r="P469" i="2"/>
  <c r="U469" i="2" s="1"/>
  <c r="P470" i="2"/>
  <c r="V470" i="2" s="1"/>
  <c r="P471" i="2"/>
  <c r="T471" i="2" s="1"/>
  <c r="AA471" i="2" s="1"/>
  <c r="P472" i="2"/>
  <c r="P473" i="2"/>
  <c r="Q473" i="8" s="1"/>
  <c r="P474" i="2"/>
  <c r="Q474" i="8" s="1"/>
  <c r="P475" i="2"/>
  <c r="P476" i="2"/>
  <c r="Q476" i="8" s="1"/>
  <c r="P477" i="2"/>
  <c r="V477" i="2" s="1"/>
  <c r="P478" i="2"/>
  <c r="W478" i="2" s="1"/>
  <c r="P479" i="2"/>
  <c r="T479" i="2" s="1"/>
  <c r="AA479" i="2" s="1"/>
  <c r="P480" i="2"/>
  <c r="P481" i="2"/>
  <c r="T481" i="2" s="1"/>
  <c r="AA481" i="2" s="1"/>
  <c r="P482" i="2"/>
  <c r="U482" i="2" s="1"/>
  <c r="P483" i="2"/>
  <c r="Q483" i="8" s="1"/>
  <c r="P484" i="2"/>
  <c r="U484" i="2" s="1"/>
  <c r="P485" i="2"/>
  <c r="R485" i="2" s="1"/>
  <c r="Y485" i="2" s="1"/>
  <c r="P486" i="2"/>
  <c r="P487" i="2"/>
  <c r="T487" i="2" s="1"/>
  <c r="AA487" i="2" s="1"/>
  <c r="P488" i="2"/>
  <c r="P489" i="2"/>
  <c r="Q489" i="8" s="1"/>
  <c r="P490" i="2"/>
  <c r="Q490" i="8" s="1"/>
  <c r="P491" i="2"/>
  <c r="Q491" i="8" s="1"/>
  <c r="P492" i="2"/>
  <c r="Q492" i="8" s="1"/>
  <c r="P493" i="2"/>
  <c r="U493" i="2" s="1"/>
  <c r="P494" i="2"/>
  <c r="V494" i="2" s="1"/>
  <c r="P495" i="2"/>
  <c r="S495" i="2" s="1"/>
  <c r="Z495" i="2" s="1"/>
  <c r="P496" i="2"/>
  <c r="P497" i="2"/>
  <c r="V497" i="2" s="1"/>
  <c r="P498" i="2"/>
  <c r="P499" i="2"/>
  <c r="P500" i="2"/>
  <c r="Q500" i="8" s="1"/>
  <c r="P501" i="2"/>
  <c r="V501" i="2" s="1"/>
  <c r="P502" i="2"/>
  <c r="Q502" i="8" s="1"/>
  <c r="P503" i="2"/>
  <c r="V503" i="2" s="1"/>
  <c r="P504" i="2"/>
  <c r="T504" i="2" s="1"/>
  <c r="AA504" i="2" s="1"/>
  <c r="P505" i="2"/>
  <c r="S505" i="2" s="1"/>
  <c r="Z505" i="2" s="1"/>
  <c r="P506" i="2"/>
  <c r="T506" i="2" s="1"/>
  <c r="AA506" i="2" s="1"/>
  <c r="P507" i="2"/>
  <c r="R507" i="2" s="1"/>
  <c r="Y507" i="2" s="1"/>
  <c r="P508" i="2"/>
  <c r="W508" i="2" s="1"/>
  <c r="P509" i="2"/>
  <c r="S509" i="2" s="1"/>
  <c r="Z509" i="2" s="1"/>
  <c r="P510" i="2"/>
  <c r="V510" i="2" s="1"/>
  <c r="P511" i="2"/>
  <c r="V511" i="2" s="1"/>
  <c r="P512" i="2"/>
  <c r="S512" i="2" s="1"/>
  <c r="Z512" i="2" s="1"/>
  <c r="P513" i="2"/>
  <c r="W513" i="2" s="1"/>
  <c r="P514" i="2"/>
  <c r="W514" i="2" s="1"/>
  <c r="P515" i="2"/>
  <c r="Q515" i="8" s="1"/>
  <c r="P516" i="2"/>
  <c r="Q516" i="8" s="1"/>
  <c r="P517" i="2"/>
  <c r="W517" i="2" s="1"/>
  <c r="P518" i="2"/>
  <c r="Q518" i="8" s="1"/>
  <c r="P519" i="2"/>
  <c r="T519" i="2" s="1"/>
  <c r="AA519" i="2" s="1"/>
  <c r="P520" i="2"/>
  <c r="P521" i="2"/>
  <c r="U521" i="2" s="1"/>
  <c r="P522" i="2"/>
  <c r="Q522" i="8" s="1"/>
  <c r="P523" i="2"/>
  <c r="P524" i="2"/>
  <c r="Q524" i="8" s="1"/>
  <c r="P525" i="2"/>
  <c r="Q525" i="8" s="1"/>
  <c r="P526" i="2"/>
  <c r="S526" i="2" s="1"/>
  <c r="Z526" i="2" s="1"/>
  <c r="P527" i="2"/>
  <c r="T527" i="2" s="1"/>
  <c r="AA527" i="2" s="1"/>
  <c r="P528" i="2"/>
  <c r="P529" i="2"/>
  <c r="T529" i="2" s="1"/>
  <c r="AA529" i="2" s="1"/>
  <c r="P530" i="2"/>
  <c r="R530" i="2" s="1"/>
  <c r="Y530" i="2" s="1"/>
  <c r="P531" i="2"/>
  <c r="Q531" i="8" s="1"/>
  <c r="P532" i="2"/>
  <c r="T532" i="2" s="1"/>
  <c r="AA532" i="2" s="1"/>
  <c r="P533" i="2"/>
  <c r="V533" i="2" s="1"/>
  <c r="P534" i="2"/>
  <c r="P535" i="2"/>
  <c r="V535" i="2" s="1"/>
  <c r="P536" i="2"/>
  <c r="V536" i="2" s="1"/>
  <c r="P537" i="2"/>
  <c r="U537" i="2" s="1"/>
  <c r="P538" i="2"/>
  <c r="Q538" i="8" s="1"/>
  <c r="P539" i="2"/>
  <c r="Q539" i="8" s="1"/>
  <c r="P540" i="2"/>
  <c r="Q540" i="8" s="1"/>
  <c r="P541" i="2"/>
  <c r="V541" i="2" s="1"/>
  <c r="P542" i="2"/>
  <c r="Q542" i="8" s="1"/>
  <c r="P543" i="2"/>
  <c r="W543" i="2" s="1"/>
  <c r="P544" i="2"/>
  <c r="P545" i="2"/>
  <c r="P546" i="2"/>
  <c r="W546" i="2" s="1"/>
  <c r="P547" i="2"/>
  <c r="P548" i="2"/>
  <c r="P549" i="2"/>
  <c r="R549" i="2" s="1"/>
  <c r="Y549" i="2" s="1"/>
  <c r="P550" i="2"/>
  <c r="Q550" i="8" s="1"/>
  <c r="P551" i="2"/>
  <c r="Q551" i="8" s="1"/>
  <c r="P552" i="2"/>
  <c r="P553" i="2"/>
  <c r="R553" i="2" s="1"/>
  <c r="Y553" i="2" s="1"/>
  <c r="P554" i="2"/>
  <c r="Q554" i="8" s="1"/>
  <c r="P555" i="2"/>
  <c r="R555" i="2" s="1"/>
  <c r="Y555" i="2" s="1"/>
  <c r="P556" i="2"/>
  <c r="R556" i="2" s="1"/>
  <c r="Y556" i="2" s="1"/>
  <c r="P557" i="2"/>
  <c r="U557" i="2" s="1"/>
  <c r="P558" i="2"/>
  <c r="P559" i="2"/>
  <c r="R559" i="2" s="1"/>
  <c r="Y559" i="2" s="1"/>
  <c r="P560" i="2"/>
  <c r="S560" i="2" s="1"/>
  <c r="Z560" i="2" s="1"/>
  <c r="P561" i="2"/>
  <c r="V561" i="2" s="1"/>
  <c r="P562" i="2"/>
  <c r="V562" i="2" s="1"/>
  <c r="P563" i="2"/>
  <c r="Q563" i="8" s="1"/>
  <c r="P564" i="2"/>
  <c r="Q564" i="8" s="1"/>
  <c r="P565" i="2"/>
  <c r="T565" i="2" s="1"/>
  <c r="AA565" i="2" s="1"/>
  <c r="P566" i="2"/>
  <c r="U566" i="2" s="1"/>
  <c r="P567" i="2"/>
  <c r="W567" i="2" s="1"/>
  <c r="P568" i="2"/>
  <c r="P569" i="2"/>
  <c r="S569" i="2" s="1"/>
  <c r="Z569" i="2" s="1"/>
  <c r="P570" i="2"/>
  <c r="Q570" i="8" s="1"/>
  <c r="P571" i="2"/>
  <c r="V571" i="2" s="1"/>
  <c r="P572" i="2"/>
  <c r="Q572" i="8" s="1"/>
  <c r="P573" i="2"/>
  <c r="S573" i="2" s="1"/>
  <c r="Z573" i="2" s="1"/>
  <c r="P574" i="2"/>
  <c r="Q574" i="8" s="1"/>
  <c r="P575" i="2"/>
  <c r="V575" i="2" s="1"/>
  <c r="P576" i="2"/>
  <c r="P577" i="2"/>
  <c r="S577" i="2" s="1"/>
  <c r="Z577" i="2" s="1"/>
  <c r="P578" i="2"/>
  <c r="V578" i="2" s="1"/>
  <c r="P579" i="2"/>
  <c r="Q579" i="8" s="1"/>
  <c r="P580" i="2"/>
  <c r="V580" i="2" s="1"/>
  <c r="P581" i="2"/>
  <c r="U581" i="2" s="1"/>
  <c r="P582" i="2"/>
  <c r="Q582" i="8" s="1"/>
  <c r="P583" i="2"/>
  <c r="T583" i="2" s="1"/>
  <c r="AA583" i="2" s="1"/>
  <c r="P584" i="2"/>
  <c r="S584" i="2" s="1"/>
  <c r="Z584" i="2" s="1"/>
  <c r="P585" i="2"/>
  <c r="Q585" i="8" s="1"/>
  <c r="P586" i="2"/>
  <c r="Q586" i="8" s="1"/>
  <c r="P587" i="2"/>
  <c r="Q587" i="8" s="1"/>
  <c r="P588" i="2"/>
  <c r="Q588" i="8" s="1"/>
  <c r="P589" i="2"/>
  <c r="W589" i="2" s="1"/>
  <c r="P590" i="2"/>
  <c r="W590" i="2" s="1"/>
  <c r="P591" i="2"/>
  <c r="W591" i="2" s="1"/>
  <c r="P592" i="2"/>
  <c r="P593" i="2"/>
  <c r="P594" i="2"/>
  <c r="W594" i="2" s="1"/>
  <c r="P595" i="2"/>
  <c r="P596" i="2"/>
  <c r="Q596" i="8" s="1"/>
  <c r="P597" i="2"/>
  <c r="P598" i="2"/>
  <c r="R598" i="2" s="1"/>
  <c r="Y598" i="2" s="1"/>
  <c r="P599" i="2"/>
  <c r="T599" i="2" s="1"/>
  <c r="AA599" i="2" s="1"/>
  <c r="P600" i="2"/>
  <c r="P601" i="2"/>
  <c r="Q601" i="8" s="1"/>
  <c r="P602" i="2"/>
  <c r="P603" i="2"/>
  <c r="Q603" i="8" s="1"/>
  <c r="P604" i="2"/>
  <c r="V604" i="2" s="1"/>
  <c r="P605" i="2"/>
  <c r="U605" i="2" s="1"/>
  <c r="P606" i="2"/>
  <c r="Q606" i="8" s="1"/>
  <c r="P607" i="2"/>
  <c r="V607" i="2" s="1"/>
  <c r="P608" i="2"/>
  <c r="Q608" i="8" s="1"/>
  <c r="P609" i="2"/>
  <c r="V609" i="2" s="1"/>
  <c r="P610" i="2"/>
  <c r="U610" i="2" s="1"/>
  <c r="P611" i="2"/>
  <c r="Q611" i="8" s="1"/>
  <c r="P612" i="2"/>
  <c r="Q612" i="8" s="1"/>
  <c r="P613" i="2"/>
  <c r="U613" i="2" s="1"/>
  <c r="P614" i="2"/>
  <c r="U614" i="2" s="1"/>
  <c r="P615" i="2"/>
  <c r="S615" i="2" s="1"/>
  <c r="Z615" i="2" s="1"/>
  <c r="P616" i="2"/>
  <c r="P617" i="2"/>
  <c r="U617" i="2" s="1"/>
  <c r="P618" i="2"/>
  <c r="P619" i="2"/>
  <c r="P620" i="2"/>
  <c r="Q620" i="8" s="1"/>
  <c r="P621" i="2"/>
  <c r="T621" i="2" s="1"/>
  <c r="AA621" i="2" s="1"/>
  <c r="P622" i="2"/>
  <c r="S622" i="2" s="1"/>
  <c r="Z622" i="2" s="1"/>
  <c r="P623" i="2"/>
  <c r="W623" i="2" s="1"/>
  <c r="P624" i="2"/>
  <c r="P625" i="2"/>
  <c r="W625" i="2" s="1"/>
  <c r="P626" i="2"/>
  <c r="W626" i="2" s="1"/>
  <c r="P627" i="2"/>
  <c r="R627" i="2" s="1"/>
  <c r="Y627" i="2" s="1"/>
  <c r="P628" i="2"/>
  <c r="U628" i="2" s="1"/>
  <c r="P629" i="2"/>
  <c r="W629" i="2" s="1"/>
  <c r="P630" i="2"/>
  <c r="Q630" i="8" s="1"/>
  <c r="P631" i="2"/>
  <c r="U631" i="2" s="1"/>
  <c r="P632" i="2"/>
  <c r="P633" i="2"/>
  <c r="Q633" i="8" s="1"/>
  <c r="P634" i="2"/>
  <c r="S634" i="2" s="1"/>
  <c r="Z634" i="2" s="1"/>
  <c r="P635" i="2"/>
  <c r="Q635" i="8" s="1"/>
  <c r="P636" i="2"/>
  <c r="Q636" i="8" s="1"/>
  <c r="P637" i="2"/>
  <c r="Q637" i="8" s="1"/>
  <c r="P638" i="2"/>
  <c r="Q638" i="8" s="1"/>
  <c r="P639" i="2"/>
  <c r="V639" i="2" s="1"/>
  <c r="P640" i="2"/>
  <c r="P641" i="2"/>
  <c r="W641" i="2" s="1"/>
  <c r="P642" i="2"/>
  <c r="T642" i="2" s="1"/>
  <c r="AA642" i="2" s="1"/>
  <c r="P643" i="2"/>
  <c r="P644" i="2"/>
  <c r="Q644" i="8" s="1"/>
  <c r="P645" i="2"/>
  <c r="W645" i="2" s="1"/>
  <c r="P646" i="2"/>
  <c r="U646" i="2" s="1"/>
  <c r="P647" i="2"/>
  <c r="Q647" i="8" s="1"/>
  <c r="P648" i="2"/>
  <c r="P649" i="2"/>
  <c r="T649" i="2" s="1"/>
  <c r="AA649" i="2" s="1"/>
  <c r="P650" i="2"/>
  <c r="Q650" i="8" s="1"/>
  <c r="P651" i="2"/>
  <c r="S651" i="2" s="1"/>
  <c r="Z651" i="2" s="1"/>
  <c r="P652" i="2"/>
  <c r="T652" i="2" s="1"/>
  <c r="AA652" i="2" s="1"/>
  <c r="P653" i="2"/>
  <c r="R653" i="2" s="1"/>
  <c r="Y653" i="2" s="1"/>
  <c r="P654" i="2"/>
  <c r="T654" i="2" s="1"/>
  <c r="AA654" i="2" s="1"/>
  <c r="P655" i="2"/>
  <c r="T655" i="2" s="1"/>
  <c r="AA655" i="2" s="1"/>
  <c r="P656" i="2"/>
  <c r="U656" i="2" s="1"/>
  <c r="P657" i="2"/>
  <c r="S657" i="2" s="1"/>
  <c r="Z657" i="2" s="1"/>
  <c r="P658" i="2"/>
  <c r="U658" i="2" s="1"/>
  <c r="P659" i="2"/>
  <c r="Q659" i="8" s="1"/>
  <c r="P660" i="2"/>
  <c r="Q660" i="8" s="1"/>
  <c r="P661" i="2"/>
  <c r="T661" i="2" s="1"/>
  <c r="AA661" i="2" s="1"/>
  <c r="P662" i="2"/>
  <c r="S662" i="2" s="1"/>
  <c r="Z662" i="2" s="1"/>
  <c r="P663" i="2"/>
  <c r="S663" i="2" s="1"/>
  <c r="Z663" i="2" s="1"/>
  <c r="P664" i="2"/>
  <c r="P665" i="2"/>
  <c r="U665" i="2" s="1"/>
  <c r="P666" i="2"/>
  <c r="T666" i="2" s="1"/>
  <c r="AA666" i="2" s="1"/>
  <c r="P667" i="2"/>
  <c r="P668" i="2"/>
  <c r="Q668" i="8" s="1"/>
  <c r="P669" i="2"/>
  <c r="S669" i="2" s="1"/>
  <c r="Z669" i="2" s="1"/>
  <c r="P670" i="2"/>
  <c r="S670" i="2" s="1"/>
  <c r="Z670" i="2" s="1"/>
  <c r="P671" i="2"/>
  <c r="U671" i="2" s="1"/>
  <c r="P672" i="2"/>
  <c r="P673" i="2"/>
  <c r="W673" i="2" s="1"/>
  <c r="P674" i="2"/>
  <c r="V674" i="2" s="1"/>
  <c r="P675" i="2"/>
  <c r="U675" i="2" s="1"/>
  <c r="P676" i="2"/>
  <c r="V676" i="2" s="1"/>
  <c r="P677" i="2"/>
  <c r="R677" i="2" s="1"/>
  <c r="Y677" i="2" s="1"/>
  <c r="P678" i="2"/>
  <c r="P679" i="2"/>
  <c r="S679" i="2" s="1"/>
  <c r="Z679" i="2" s="1"/>
  <c r="P680" i="2"/>
  <c r="V680" i="2" s="1"/>
  <c r="P681" i="2"/>
  <c r="T681" i="2" s="1"/>
  <c r="AA681" i="2" s="1"/>
  <c r="P682" i="2"/>
  <c r="S682" i="2" s="1"/>
  <c r="Z682" i="2" s="1"/>
  <c r="P683" i="2"/>
  <c r="Q683" i="8" s="1"/>
  <c r="P684" i="2"/>
  <c r="Q684" i="8" s="1"/>
  <c r="P685" i="2"/>
  <c r="T685" i="2" s="1"/>
  <c r="AA685" i="2" s="1"/>
  <c r="P686" i="2"/>
  <c r="Q686" i="8" s="1"/>
  <c r="P687" i="2"/>
  <c r="W687" i="2" s="1"/>
  <c r="P688" i="2"/>
  <c r="P689" i="2"/>
  <c r="V689" i="2" s="1"/>
  <c r="P690" i="2"/>
  <c r="V690" i="2" s="1"/>
  <c r="P691" i="2"/>
  <c r="P692" i="2"/>
  <c r="P693" i="2"/>
  <c r="S693" i="2" s="1"/>
  <c r="Z693" i="2" s="1"/>
  <c r="P694" i="2"/>
  <c r="R694" i="2" s="1"/>
  <c r="P695" i="2"/>
  <c r="S695" i="2" s="1"/>
  <c r="Z695" i="2" s="1"/>
  <c r="P696" i="2"/>
  <c r="V696" i="2" s="1"/>
  <c r="P697" i="2"/>
  <c r="T697" i="2" s="1"/>
  <c r="AA697" i="2" s="1"/>
  <c r="P698" i="2"/>
  <c r="V698" i="2" s="1"/>
  <c r="P699" i="2"/>
  <c r="Q699" i="8" s="1"/>
  <c r="P700" i="2"/>
  <c r="Q700" i="8" s="1"/>
  <c r="P701" i="2"/>
  <c r="T701" i="2" s="1"/>
  <c r="P702" i="2"/>
  <c r="P703" i="2"/>
  <c r="T703" i="2" s="1"/>
  <c r="AA703" i="2" s="1"/>
  <c r="P704" i="2"/>
  <c r="Q704" i="8" s="1"/>
  <c r="P705" i="2"/>
  <c r="U705" i="2" s="1"/>
  <c r="P706" i="2"/>
  <c r="W706" i="2" s="1"/>
  <c r="P707" i="2"/>
  <c r="Q707" i="8" s="1"/>
  <c r="P708" i="2"/>
  <c r="Q708" i="8" s="1"/>
  <c r="P709" i="2"/>
  <c r="P710" i="2"/>
  <c r="T710" i="2" s="1"/>
  <c r="AA710" i="2" s="1"/>
  <c r="P711" i="2"/>
  <c r="V711" i="2" s="1"/>
  <c r="P712" i="2"/>
  <c r="P713" i="2"/>
  <c r="S713" i="2" s="1"/>
  <c r="Z713" i="2" s="1"/>
  <c r="P714" i="2"/>
  <c r="Q714" i="8" s="1"/>
  <c r="P715" i="2"/>
  <c r="P716" i="2"/>
  <c r="Q716" i="8" s="1"/>
  <c r="P717" i="2"/>
  <c r="S717" i="2" s="1"/>
  <c r="Z717" i="2" s="1"/>
  <c r="P718" i="2"/>
  <c r="W718" i="2" s="1"/>
  <c r="P719" i="2"/>
  <c r="W719" i="2" s="1"/>
  <c r="P720" i="2"/>
  <c r="P721" i="2"/>
  <c r="W721" i="2" s="1"/>
  <c r="P722" i="2"/>
  <c r="W722" i="2" s="1"/>
  <c r="P723" i="2"/>
  <c r="Q723" i="8" s="1"/>
  <c r="P724" i="2"/>
  <c r="S724" i="2" s="1"/>
  <c r="Z724" i="2" s="1"/>
  <c r="P725" i="2"/>
  <c r="R725" i="2" s="1"/>
  <c r="Y725" i="2" s="1"/>
  <c r="P726" i="2"/>
  <c r="S726" i="2" s="1"/>
  <c r="Z726" i="2" s="1"/>
  <c r="P727" i="2"/>
  <c r="R727" i="2" s="1"/>
  <c r="Y727" i="2" s="1"/>
  <c r="P728" i="2"/>
  <c r="Q728" i="8" s="1"/>
  <c r="P729" i="2"/>
  <c r="U729" i="2" s="1"/>
  <c r="P730" i="2"/>
  <c r="R730" i="2" s="1"/>
  <c r="Y730" i="2" s="1"/>
  <c r="P731" i="2"/>
  <c r="Q731" i="8" s="1"/>
  <c r="P732" i="2"/>
  <c r="Q732" i="8" s="1"/>
  <c r="P733" i="2"/>
  <c r="Q733" i="8" s="1"/>
  <c r="P734" i="2"/>
  <c r="W734" i="2" s="1"/>
  <c r="P735" i="2"/>
  <c r="W735" i="2" s="1"/>
  <c r="P736" i="2"/>
  <c r="P737" i="2"/>
  <c r="V737" i="2" s="1"/>
  <c r="P738" i="2"/>
  <c r="V738" i="2" s="1"/>
  <c r="P739" i="2"/>
  <c r="P740" i="2"/>
  <c r="Q740" i="8" s="1"/>
  <c r="P741" i="2"/>
  <c r="P742" i="2"/>
  <c r="Q742" i="8" s="1"/>
  <c r="P743" i="2"/>
  <c r="Q743" i="8" s="1"/>
  <c r="P744" i="2"/>
  <c r="P745" i="2"/>
  <c r="U745" i="2" s="1"/>
  <c r="P746" i="2"/>
  <c r="S746" i="2" s="1"/>
  <c r="Z746" i="2" s="1"/>
  <c r="P747" i="2"/>
  <c r="S747" i="2" s="1"/>
  <c r="Z747" i="2" s="1"/>
  <c r="P748" i="2"/>
  <c r="Q748" i="8" s="1"/>
  <c r="P749" i="2"/>
  <c r="V749" i="2" s="1"/>
  <c r="P750" i="2"/>
  <c r="P751" i="2"/>
  <c r="W751" i="2" s="1"/>
  <c r="P752" i="2"/>
  <c r="U752" i="2" s="1"/>
  <c r="P753" i="2"/>
  <c r="U753" i="2" s="1"/>
  <c r="P754" i="2"/>
  <c r="S754" i="2" s="1"/>
  <c r="Z754" i="2" s="1"/>
  <c r="P755" i="2"/>
  <c r="Q755" i="8" s="1"/>
  <c r="P756" i="2"/>
  <c r="Q756" i="8" s="1"/>
  <c r="P757" i="2"/>
  <c r="U757" i="2" s="1"/>
  <c r="P758" i="2"/>
  <c r="U758" i="2" s="1"/>
  <c r="P759" i="2"/>
  <c r="V759" i="2" s="1"/>
  <c r="P760" i="2"/>
  <c r="W760" i="2" s="1"/>
  <c r="P761" i="2"/>
  <c r="W761" i="2" s="1"/>
  <c r="P762" i="2"/>
  <c r="S762" i="2" s="1"/>
  <c r="Z762" i="2" s="1"/>
  <c r="P763" i="2"/>
  <c r="U763" i="2" s="1"/>
  <c r="P764" i="2"/>
  <c r="P765" i="2"/>
  <c r="U765" i="2" s="1"/>
  <c r="P766" i="2"/>
  <c r="Q766" i="8" s="1"/>
  <c r="P767" i="2"/>
  <c r="P768" i="2"/>
  <c r="P769" i="2"/>
  <c r="U769" i="2" s="1"/>
  <c r="P770" i="2"/>
  <c r="S770" i="2" s="1"/>
  <c r="Z770" i="2" s="1"/>
  <c r="P771" i="2"/>
  <c r="Q771" i="8" s="1"/>
  <c r="P772" i="2"/>
  <c r="S772" i="2" s="1"/>
  <c r="Z772" i="2" s="1"/>
  <c r="P773" i="2"/>
  <c r="T773" i="2" s="1"/>
  <c r="AA773" i="2" s="1"/>
  <c r="P774" i="2"/>
  <c r="P775" i="2"/>
  <c r="Q775" i="8" s="1"/>
  <c r="P776" i="2"/>
  <c r="P777" i="2"/>
  <c r="W777" i="2" s="1"/>
  <c r="P778" i="2"/>
  <c r="T778" i="2" s="1"/>
  <c r="AA778" i="2" s="1"/>
  <c r="P779" i="2"/>
  <c r="Q779" i="8" s="1"/>
  <c r="P780" i="2"/>
  <c r="Q780" i="8" s="1"/>
  <c r="P781" i="2"/>
  <c r="T781" i="2" s="1"/>
  <c r="AA781" i="2" s="1"/>
  <c r="P782" i="2"/>
  <c r="W782" i="2" s="1"/>
  <c r="P783" i="2"/>
  <c r="V783" i="2" s="1"/>
  <c r="P784" i="2"/>
  <c r="P785" i="2"/>
  <c r="P786" i="2"/>
  <c r="W786" i="2" s="1"/>
  <c r="P787" i="2"/>
  <c r="P788" i="2"/>
  <c r="Q788" i="8" s="1"/>
  <c r="P789" i="2"/>
  <c r="Q789" i="8" s="1"/>
  <c r="P790" i="2"/>
  <c r="Q790" i="8" s="1"/>
  <c r="P791" i="2"/>
  <c r="Q791" i="8" s="1"/>
  <c r="P792" i="2"/>
  <c r="P793" i="2"/>
  <c r="U793" i="2" s="1"/>
  <c r="P794" i="2"/>
  <c r="Q794" i="8" s="1"/>
  <c r="P795" i="2"/>
  <c r="R795" i="2" s="1"/>
  <c r="Y795" i="2" s="1"/>
  <c r="P796" i="2"/>
  <c r="T796" i="2" s="1"/>
  <c r="AA796" i="2" s="1"/>
  <c r="P797" i="2"/>
  <c r="U797" i="2" s="1"/>
  <c r="P798" i="2"/>
  <c r="V798" i="2" s="1"/>
  <c r="P799" i="2"/>
  <c r="R799" i="2" s="1"/>
  <c r="Y799" i="2" s="1"/>
  <c r="P800" i="2"/>
  <c r="T800" i="2" s="1"/>
  <c r="AA800" i="2" s="1"/>
  <c r="P801" i="2"/>
  <c r="W801" i="2" s="1"/>
  <c r="P802" i="2"/>
  <c r="V802" i="2" s="1"/>
  <c r="P803" i="2"/>
  <c r="Q803" i="8" s="1"/>
  <c r="P804" i="2"/>
  <c r="Q804" i="8" s="1"/>
  <c r="P805" i="2"/>
  <c r="S805" i="2" s="1"/>
  <c r="Z805" i="2" s="1"/>
  <c r="P806" i="2"/>
  <c r="V806" i="2" s="1"/>
  <c r="P807" i="2"/>
  <c r="S807" i="2" s="1"/>
  <c r="Z807" i="2" s="1"/>
  <c r="P808" i="2"/>
  <c r="P809" i="2"/>
  <c r="Q809" i="8" s="1"/>
  <c r="P810" i="2"/>
  <c r="U810" i="2" s="1"/>
  <c r="P811" i="2"/>
  <c r="P812" i="2"/>
  <c r="Q812" i="8" s="1"/>
  <c r="P813" i="2"/>
  <c r="T813" i="2" s="1"/>
  <c r="AA813" i="2" s="1"/>
  <c r="P814" i="2"/>
  <c r="S814" i="2" s="1"/>
  <c r="Z814" i="2" s="1"/>
  <c r="P815" i="2"/>
  <c r="W815" i="2" s="1"/>
  <c r="P816" i="2"/>
  <c r="P817" i="2"/>
  <c r="S817" i="2" s="1"/>
  <c r="Z817" i="2" s="1"/>
  <c r="P818" i="2"/>
  <c r="V818" i="2" s="1"/>
  <c r="P819" i="2"/>
  <c r="W819" i="2" s="1"/>
  <c r="P820" i="2"/>
  <c r="V820" i="2" s="1"/>
  <c r="P821" i="2"/>
  <c r="S821" i="2" s="1"/>
  <c r="Z821" i="2" s="1"/>
  <c r="P822" i="2"/>
  <c r="P823" i="2"/>
  <c r="V823" i="2" s="1"/>
  <c r="P824" i="2"/>
  <c r="P825" i="2"/>
  <c r="U825" i="2" s="1"/>
  <c r="P826" i="2"/>
  <c r="S826" i="2" s="1"/>
  <c r="Z826" i="2" s="1"/>
  <c r="P827" i="2"/>
  <c r="Q827" i="8" s="1"/>
  <c r="P828" i="2"/>
  <c r="Q828" i="8" s="1"/>
  <c r="P829" i="2"/>
  <c r="R829" i="2" s="1"/>
  <c r="Y829" i="2" s="1"/>
  <c r="P830" i="2"/>
  <c r="U830" i="2" s="1"/>
  <c r="P831" i="2"/>
  <c r="W831" i="2" s="1"/>
  <c r="P832" i="2"/>
  <c r="P833" i="2"/>
  <c r="V833" i="2" s="1"/>
  <c r="P834" i="2"/>
  <c r="P835" i="2"/>
  <c r="P836" i="2"/>
  <c r="Q836" i="8" s="1"/>
  <c r="P837" i="2"/>
  <c r="P838" i="2"/>
  <c r="U838" i="2" s="1"/>
  <c r="P839" i="2"/>
  <c r="Q839" i="8" s="1"/>
  <c r="P840" i="2"/>
  <c r="P841" i="2"/>
  <c r="T841" i="2" s="1"/>
  <c r="AA841" i="2" s="1"/>
  <c r="P842" i="2"/>
  <c r="Q842" i="8" s="1"/>
  <c r="P843" i="2"/>
  <c r="U843" i="2" s="1"/>
  <c r="P844" i="2"/>
  <c r="V844" i="2" s="1"/>
  <c r="P845" i="2"/>
  <c r="R845" i="2" s="1"/>
  <c r="Y845" i="2" s="1"/>
  <c r="P846" i="2"/>
  <c r="P847" i="2"/>
  <c r="R847" i="2" s="1"/>
  <c r="Y847" i="2" s="1"/>
  <c r="P848" i="2"/>
  <c r="Q848" i="8" s="1"/>
  <c r="P849" i="2"/>
  <c r="P850" i="2"/>
  <c r="W850" i="2" s="1"/>
  <c r="P851" i="2"/>
  <c r="Q851" i="8" s="1"/>
  <c r="P852" i="2"/>
  <c r="Q852" i="8" s="1"/>
  <c r="P853" i="2"/>
  <c r="S853" i="2" s="1"/>
  <c r="Z853" i="2" s="1"/>
  <c r="P854" i="2"/>
  <c r="Q854" i="8" s="1"/>
  <c r="P855" i="2"/>
  <c r="U855" i="2" s="1"/>
  <c r="P856" i="2"/>
  <c r="W856" i="2" s="1"/>
  <c r="P857" i="2"/>
  <c r="U857" i="2" s="1"/>
  <c r="P858" i="2"/>
  <c r="P859" i="2"/>
  <c r="P860" i="2"/>
  <c r="P861" i="2"/>
  <c r="T861" i="2" s="1"/>
  <c r="AA861" i="2" s="1"/>
  <c r="P862" i="2"/>
  <c r="Q862" i="8" s="1"/>
  <c r="P863" i="2"/>
  <c r="V863" i="2" s="1"/>
  <c r="P864" i="2"/>
  <c r="P865" i="2"/>
  <c r="P866" i="2"/>
  <c r="T866" i="2" s="1"/>
  <c r="AA866" i="2" s="1"/>
  <c r="P867" i="2"/>
  <c r="T867" i="2" s="1"/>
  <c r="AA867" i="2" s="1"/>
  <c r="P868" i="2"/>
  <c r="W868" i="2" s="1"/>
  <c r="P869" i="2"/>
  <c r="R869" i="2" s="1"/>
  <c r="Y869" i="2" s="1"/>
  <c r="P870" i="2"/>
  <c r="U870" i="2" s="1"/>
  <c r="P871" i="2"/>
  <c r="Q871" i="8" s="1"/>
  <c r="P872" i="2"/>
  <c r="P873" i="2"/>
  <c r="V873" i="2" s="1"/>
  <c r="P874" i="2"/>
  <c r="Q874" i="8" s="1"/>
  <c r="P875" i="2"/>
  <c r="Q875" i="8" s="1"/>
  <c r="P876" i="2"/>
  <c r="Q876" i="8" s="1"/>
  <c r="P877" i="2"/>
  <c r="U877" i="2" s="1"/>
  <c r="P878" i="2"/>
  <c r="Q878" i="8" s="1"/>
  <c r="P879" i="2"/>
  <c r="W879" i="2" s="1"/>
  <c r="P880" i="2"/>
  <c r="P881" i="2"/>
  <c r="P882" i="2"/>
  <c r="S882" i="2" s="1"/>
  <c r="Z882" i="2" s="1"/>
  <c r="P883" i="2"/>
  <c r="P884" i="2"/>
  <c r="Q884" i="8" s="1"/>
  <c r="P885" i="2"/>
  <c r="S885" i="2" s="1"/>
  <c r="Z885" i="2" s="1"/>
  <c r="P886" i="2"/>
  <c r="Q886" i="8" s="1"/>
  <c r="P887" i="2"/>
  <c r="V887" i="2" s="1"/>
  <c r="P888" i="2"/>
  <c r="P889" i="2"/>
  <c r="V889" i="2" s="1"/>
  <c r="P890" i="2"/>
  <c r="R890" i="2" s="1"/>
  <c r="Y890" i="2" s="1"/>
  <c r="P891" i="2"/>
  <c r="Q891" i="8" s="1"/>
  <c r="P892" i="2"/>
  <c r="W892" i="2" s="1"/>
  <c r="P893" i="2"/>
  <c r="V893" i="2" s="1"/>
  <c r="P894" i="2"/>
  <c r="P895" i="2"/>
  <c r="W895" i="2" s="1"/>
  <c r="P896" i="2"/>
  <c r="U896" i="2" s="1"/>
  <c r="P897" i="2"/>
  <c r="W897" i="2" s="1"/>
  <c r="P898" i="2"/>
  <c r="V898" i="2" s="1"/>
  <c r="P899" i="2"/>
  <c r="Q899" i="8" s="1"/>
  <c r="P900" i="2"/>
  <c r="Q900" i="8" s="1"/>
  <c r="P901" i="2"/>
  <c r="R901" i="2" s="1"/>
  <c r="Y901" i="2" s="1"/>
  <c r="P902" i="2"/>
  <c r="Q902" i="8" s="1"/>
  <c r="P903" i="2"/>
  <c r="P904" i="2"/>
  <c r="P905" i="2"/>
  <c r="P906" i="2"/>
  <c r="Q906" i="8" s="1"/>
  <c r="P907" i="2"/>
  <c r="P908" i="2"/>
  <c r="Q908" i="8" s="1"/>
  <c r="P909" i="2"/>
  <c r="S909" i="2" s="1"/>
  <c r="Z909" i="2" s="1"/>
  <c r="P910" i="2"/>
  <c r="S910" i="2" s="1"/>
  <c r="P911" i="2"/>
  <c r="W911" i="2" s="1"/>
  <c r="P912" i="2"/>
  <c r="P913" i="2"/>
  <c r="V913" i="2" s="1"/>
  <c r="P914" i="2"/>
  <c r="V914" i="2" s="1"/>
  <c r="P915" i="2"/>
  <c r="U915" i="2" s="1"/>
  <c r="P916" i="2"/>
  <c r="W916" i="2" s="1"/>
  <c r="P917" i="2"/>
  <c r="P918" i="2"/>
  <c r="P919" i="2"/>
  <c r="R919" i="2" s="1"/>
  <c r="Y919" i="2" s="1"/>
  <c r="P920" i="2"/>
  <c r="P921" i="2"/>
  <c r="T921" i="2" s="1"/>
  <c r="AA921" i="2" s="1"/>
  <c r="P922" i="2"/>
  <c r="S922" i="2" s="1"/>
  <c r="Z922" i="2" s="1"/>
  <c r="P923" i="2"/>
  <c r="Q923" i="8" s="1"/>
  <c r="P924" i="2"/>
  <c r="Q924" i="8" s="1"/>
  <c r="P925" i="2"/>
  <c r="Q925" i="8" s="1"/>
  <c r="P926" i="2"/>
  <c r="Q926" i="8" s="1"/>
  <c r="P927" i="2"/>
  <c r="S927" i="2" s="1"/>
  <c r="Z927" i="2" s="1"/>
  <c r="P928" i="2"/>
  <c r="P929" i="2"/>
  <c r="R929" i="2" s="1"/>
  <c r="Y929" i="2" s="1"/>
  <c r="P930" i="2"/>
  <c r="U930" i="2" s="1"/>
  <c r="P931" i="2"/>
  <c r="P932" i="2"/>
  <c r="P933" i="2"/>
  <c r="V933" i="2" s="1"/>
  <c r="P934" i="2"/>
  <c r="Q934" i="8" s="1"/>
  <c r="P935" i="2"/>
  <c r="U935" i="2" s="1"/>
  <c r="P936" i="2"/>
  <c r="P937" i="2"/>
  <c r="V937" i="2" s="1"/>
  <c r="P938" i="2"/>
  <c r="P939" i="2"/>
  <c r="W939" i="2" s="1"/>
  <c r="P940" i="2"/>
  <c r="Q940" i="8" s="1"/>
  <c r="P941" i="2"/>
  <c r="V941" i="2" s="1"/>
  <c r="P942" i="2"/>
  <c r="T942" i="2" s="1"/>
  <c r="AA942" i="2" s="1"/>
  <c r="P943" i="2"/>
  <c r="V943" i="2" s="1"/>
  <c r="P944" i="2"/>
  <c r="Q944" i="8" s="1"/>
  <c r="P945" i="2"/>
  <c r="T945" i="2" s="1"/>
  <c r="AA945" i="2" s="1"/>
  <c r="P946" i="2"/>
  <c r="V946" i="2" s="1"/>
  <c r="P947" i="2"/>
  <c r="Q947" i="8" s="1"/>
  <c r="P948" i="2"/>
  <c r="Q948" i="8" s="1"/>
  <c r="P949" i="2"/>
  <c r="T949" i="2" s="1"/>
  <c r="AA949" i="2" s="1"/>
  <c r="P950" i="2"/>
  <c r="Q950" i="8" s="1"/>
  <c r="P951" i="2"/>
  <c r="T951" i="2" s="1"/>
  <c r="AA951" i="2" s="1"/>
  <c r="P952" i="2"/>
  <c r="W952" i="2" s="1"/>
  <c r="P953" i="2"/>
  <c r="U953" i="2" s="1"/>
  <c r="P954" i="2"/>
  <c r="S954" i="2" s="1"/>
  <c r="Z954" i="2" s="1"/>
  <c r="P955" i="2"/>
  <c r="P956" i="2"/>
  <c r="P957" i="2"/>
  <c r="V957" i="2" s="1"/>
  <c r="P958" i="2"/>
  <c r="W958" i="2" s="1"/>
  <c r="P959" i="2"/>
  <c r="V959" i="2" s="1"/>
  <c r="P960" i="2"/>
  <c r="P961" i="2"/>
  <c r="S961" i="2" s="1"/>
  <c r="Z961" i="2" s="1"/>
  <c r="P962" i="2"/>
  <c r="S962" i="2" s="1"/>
  <c r="Z962" i="2" s="1"/>
  <c r="P963" i="2"/>
  <c r="Q963" i="8" s="1"/>
  <c r="P964" i="2"/>
  <c r="V964" i="2" s="1"/>
  <c r="P965" i="2"/>
  <c r="Q965" i="8" s="1"/>
  <c r="P966" i="2"/>
  <c r="P967" i="2"/>
  <c r="W967" i="2" s="1"/>
  <c r="P968" i="2"/>
  <c r="W968" i="2" s="1"/>
  <c r="P969" i="2"/>
  <c r="V969" i="2" s="1"/>
  <c r="P970" i="2"/>
  <c r="Q970" i="8" s="1"/>
  <c r="P971" i="2"/>
  <c r="Q971" i="8" s="1"/>
  <c r="P972" i="2"/>
  <c r="Q972" i="8" s="1"/>
  <c r="P973" i="2"/>
  <c r="S973" i="2" s="1"/>
  <c r="Z973" i="2" s="1"/>
  <c r="P974" i="2"/>
  <c r="T974" i="2" s="1"/>
  <c r="AA974" i="2" s="1"/>
  <c r="P975" i="2"/>
  <c r="U975" i="2" s="1"/>
  <c r="P976" i="2"/>
  <c r="P977" i="2"/>
  <c r="V977" i="2" s="1"/>
  <c r="P978" i="2"/>
  <c r="V978" i="2" s="1"/>
  <c r="P979" i="2"/>
  <c r="P980" i="2"/>
  <c r="Q980" i="8" s="1"/>
  <c r="P981" i="2"/>
  <c r="Q981" i="8" s="1"/>
  <c r="P982" i="2"/>
  <c r="U982" i="2" s="1"/>
  <c r="P983" i="2"/>
  <c r="P984" i="2"/>
  <c r="P985" i="2"/>
  <c r="W985" i="2" s="1"/>
  <c r="P986" i="2"/>
  <c r="T986" i="2" s="1"/>
  <c r="AA986" i="2" s="1"/>
  <c r="P987" i="2"/>
  <c r="S987" i="2" s="1"/>
  <c r="Z987" i="2" s="1"/>
  <c r="P988" i="2"/>
  <c r="U988" i="2" s="1"/>
  <c r="P989" i="2"/>
  <c r="S989" i="2" s="1"/>
  <c r="Z989" i="2" s="1"/>
  <c r="P990" i="2"/>
  <c r="P991" i="2"/>
  <c r="V991" i="2" s="1"/>
  <c r="P992" i="2"/>
  <c r="T992" i="2" s="1"/>
  <c r="AA992" i="2" s="1"/>
  <c r="P993" i="2"/>
  <c r="V993" i="2" s="1"/>
  <c r="P994" i="2"/>
  <c r="V994" i="2" s="1"/>
  <c r="P995" i="2"/>
  <c r="Q995" i="8" s="1"/>
  <c r="P996" i="2"/>
  <c r="Q996" i="8" s="1"/>
  <c r="P997" i="2"/>
  <c r="U997" i="2" s="1"/>
  <c r="P998" i="2"/>
  <c r="U998" i="2" s="1"/>
  <c r="P999" i="2"/>
  <c r="U999" i="2" s="1"/>
  <c r="P1000" i="2"/>
  <c r="T1000" i="2" s="1"/>
  <c r="AA1000" i="2" s="1"/>
  <c r="P1001" i="2"/>
  <c r="W1001" i="2" s="1"/>
  <c r="P1002" i="2"/>
  <c r="U1002" i="2" s="1"/>
  <c r="P1003" i="2"/>
  <c r="P1004" i="2"/>
  <c r="P1005" i="2"/>
  <c r="V1005" i="2" s="1"/>
  <c r="P1006" i="2"/>
  <c r="W1006" i="2" s="1"/>
  <c r="P1007" i="2"/>
  <c r="W1007" i="2" s="1"/>
  <c r="P1008" i="2"/>
  <c r="P1009" i="2"/>
  <c r="W1009" i="2" s="1"/>
  <c r="P1010" i="2"/>
  <c r="R1010" i="2" s="1"/>
  <c r="Y1010" i="2" s="1"/>
  <c r="P1011" i="2"/>
  <c r="W1011" i="2" s="1"/>
  <c r="P1012" i="2"/>
  <c r="V1012" i="2" s="1"/>
  <c r="P1013" i="2"/>
  <c r="S1013" i="2" s="1"/>
  <c r="Z1013" i="2" s="1"/>
  <c r="P1014" i="2"/>
  <c r="S1014" i="2" s="1"/>
  <c r="P1015" i="2"/>
  <c r="S1015" i="2" s="1"/>
  <c r="Z1015" i="2" s="1"/>
  <c r="P1016" i="2"/>
  <c r="P1017" i="2"/>
  <c r="T1017" i="2" s="1"/>
  <c r="AA1017" i="2" s="1"/>
  <c r="P1018" i="2"/>
  <c r="S1018" i="2" s="1"/>
  <c r="Z1018" i="2" s="1"/>
  <c r="P1019" i="2"/>
  <c r="Q1019" i="8" s="1"/>
  <c r="P1020" i="2"/>
  <c r="Q1020" i="8" s="1"/>
  <c r="P1021" i="2"/>
  <c r="T1021" i="2" s="1"/>
  <c r="AA1021" i="2" s="1"/>
  <c r="P1022" i="2"/>
  <c r="W1022" i="2" s="1"/>
  <c r="P1023" i="2"/>
  <c r="U1023" i="2" s="1"/>
  <c r="P1024" i="2"/>
  <c r="P1025" i="2"/>
  <c r="U1025" i="2" s="1"/>
  <c r="P1026" i="2"/>
  <c r="T1026" i="2" s="1"/>
  <c r="AA1026" i="2" s="1"/>
  <c r="P1027" i="2"/>
  <c r="P1028" i="2"/>
  <c r="Q1028" i="8" s="1"/>
  <c r="P1029" i="2"/>
  <c r="V1029" i="2" s="1"/>
  <c r="P1030" i="2"/>
  <c r="Q1030" i="8" s="1"/>
  <c r="P1031" i="2"/>
  <c r="T1031" i="2" s="1"/>
  <c r="AA1031" i="2" s="1"/>
  <c r="P1032" i="2"/>
  <c r="P1033" i="2"/>
  <c r="V1033" i="2" s="1"/>
  <c r="P1034" i="2"/>
  <c r="Q1034" i="8" s="1"/>
  <c r="P1035" i="2"/>
  <c r="Q1035" i="8" s="1"/>
  <c r="P1036" i="2"/>
  <c r="Q1036" i="8" s="1"/>
  <c r="P1037" i="2"/>
  <c r="Q1037" i="8" s="1"/>
  <c r="P1038" i="2"/>
  <c r="P1039" i="2"/>
  <c r="W1039" i="2" s="1"/>
  <c r="P1040" i="2"/>
  <c r="Q1040" i="8" s="1"/>
  <c r="P1041" i="2"/>
  <c r="U1041" i="2" s="1"/>
  <c r="P1042" i="2"/>
  <c r="S1042" i="2" s="1"/>
  <c r="Z1042" i="2" s="1"/>
  <c r="P1043" i="2"/>
  <c r="Q1043" i="8" s="1"/>
  <c r="P1044" i="2"/>
  <c r="Q1044" i="8" s="1"/>
  <c r="P1045" i="2"/>
  <c r="U1045" i="2" s="1"/>
  <c r="P1046" i="2"/>
  <c r="T1046" i="2" s="1"/>
  <c r="AA1046" i="2" s="1"/>
  <c r="P1047" i="2"/>
  <c r="P1048" i="2"/>
  <c r="P1049" i="2"/>
  <c r="T1049" i="2" s="1"/>
  <c r="AA1049" i="2" s="1"/>
  <c r="P1050" i="2"/>
  <c r="W1050" i="2" s="1"/>
  <c r="P1051" i="2"/>
  <c r="P1052" i="2"/>
  <c r="Q1052" i="8" s="1"/>
  <c r="P1053" i="2"/>
  <c r="V1053" i="2" s="1"/>
  <c r="P1054" i="2"/>
  <c r="V1054" i="2" s="1"/>
  <c r="P1055" i="2"/>
  <c r="W1055" i="2" s="1"/>
  <c r="P1056" i="2"/>
  <c r="V1056" i="2" s="1"/>
  <c r="P1057" i="2"/>
  <c r="V1057" i="2" s="1"/>
  <c r="P1058" i="2"/>
  <c r="T1058" i="2" s="1"/>
  <c r="AA1058" i="2" s="1"/>
  <c r="P1059" i="2"/>
  <c r="Q1059" i="8" s="1"/>
  <c r="P1060" i="2"/>
  <c r="V1060" i="2" s="1"/>
  <c r="P1061" i="2"/>
  <c r="W1061" i="2" s="1"/>
  <c r="P1062" i="2"/>
  <c r="P1063" i="2"/>
  <c r="T1063" i="2" s="1"/>
  <c r="AA1063" i="2" s="1"/>
  <c r="P1064" i="2"/>
  <c r="P1065" i="2"/>
  <c r="V1065" i="2" s="1"/>
  <c r="P1066" i="2"/>
  <c r="T1066" i="2" s="1"/>
  <c r="AA1066" i="2" s="1"/>
  <c r="P1067" i="2"/>
  <c r="Q1067" i="8" s="1"/>
  <c r="P1068" i="2"/>
  <c r="Q1068" i="8" s="1"/>
  <c r="P1069" i="2"/>
  <c r="T1069" i="2" s="1"/>
  <c r="AA1069" i="2" s="1"/>
  <c r="P1070" i="2"/>
  <c r="Q1070" i="8" s="1"/>
  <c r="P1071" i="2"/>
  <c r="T1071" i="2" s="1"/>
  <c r="AA1071" i="2" s="1"/>
  <c r="P1072" i="2"/>
  <c r="P1073" i="2"/>
  <c r="U1073" i="2" s="1"/>
  <c r="P1074" i="2"/>
  <c r="W1074" i="2" s="1"/>
  <c r="P1075" i="2"/>
  <c r="P1076" i="2"/>
  <c r="Q1076" i="8" s="1"/>
  <c r="P1077" i="2"/>
  <c r="Q1077" i="8" s="1"/>
  <c r="P1078" i="2"/>
  <c r="W1078" i="2" s="1"/>
  <c r="P1079" i="2"/>
  <c r="T1079" i="2" s="1"/>
  <c r="AA1079" i="2" s="1"/>
  <c r="P1080" i="2"/>
  <c r="P1081" i="2"/>
  <c r="V1081" i="2" s="1"/>
  <c r="P1082" i="2"/>
  <c r="V1082" i="2" s="1"/>
  <c r="P1083" i="2"/>
  <c r="Q1083" i="8" s="1"/>
  <c r="P1084" i="2"/>
  <c r="Q1084" i="8" s="1"/>
  <c r="P1085" i="2"/>
  <c r="Q1085" i="8" s="1"/>
  <c r="P1086" i="2"/>
  <c r="V1086" i="2" s="1"/>
  <c r="P1087" i="2"/>
  <c r="U1087" i="2" s="1"/>
  <c r="P1088" i="2"/>
  <c r="U1088" i="2" s="1"/>
  <c r="P1089" i="2"/>
  <c r="V1089" i="2" s="1"/>
  <c r="P1090" i="2"/>
  <c r="T1090" i="2" s="1"/>
  <c r="AA1090" i="2" s="1"/>
  <c r="P1091" i="2"/>
  <c r="Q1091" i="8" s="1"/>
  <c r="P1092" i="2"/>
  <c r="Q1092" i="8" s="1"/>
  <c r="P1093" i="2"/>
  <c r="Q1093" i="8" s="1"/>
  <c r="P1094" i="2"/>
  <c r="W1094" i="2" s="1"/>
  <c r="P1095" i="2"/>
  <c r="Q1095" i="8" s="1"/>
  <c r="P1096" i="2"/>
  <c r="T1096" i="2" s="1"/>
  <c r="AA1096" i="2" s="1"/>
  <c r="P1097" i="2"/>
  <c r="U1097" i="2" s="1"/>
  <c r="P1098" i="2"/>
  <c r="U1098" i="2" s="1"/>
  <c r="P1099" i="2"/>
  <c r="P1100" i="2"/>
  <c r="Q1100" i="8" s="1"/>
  <c r="P1101" i="2"/>
  <c r="Q1101" i="8" s="1"/>
  <c r="P1102" i="2"/>
  <c r="U1102" i="2" s="1"/>
  <c r="P1103" i="2"/>
  <c r="R1103" i="2" s="1"/>
  <c r="Y1103" i="2" s="1"/>
  <c r="P1104" i="2"/>
  <c r="P1105" i="2"/>
  <c r="V1105" i="2" s="1"/>
  <c r="P1106" i="2"/>
  <c r="V1106" i="2" s="1"/>
  <c r="P1107" i="2"/>
  <c r="S1107" i="2" s="1"/>
  <c r="Z1107" i="2" s="1"/>
  <c r="P1108" i="2"/>
  <c r="W1108" i="2" s="1"/>
  <c r="P1109" i="2"/>
  <c r="U1109" i="2" s="1"/>
  <c r="P1110" i="2"/>
  <c r="P1111" i="2"/>
  <c r="V1111" i="2" s="1"/>
  <c r="P1112" i="2"/>
  <c r="V1112" i="2" s="1"/>
  <c r="P1113" i="2"/>
  <c r="T1113" i="2" s="1"/>
  <c r="AA1113" i="2" s="1"/>
  <c r="P1114" i="2"/>
  <c r="Q1114" i="8" s="1"/>
  <c r="P1115" i="2"/>
  <c r="Q1115" i="8" s="1"/>
  <c r="P1116" i="2"/>
  <c r="Q1116" i="8" s="1"/>
  <c r="P1117" i="2"/>
  <c r="Q1117" i="8" s="1"/>
  <c r="P1118" i="2"/>
  <c r="T1118" i="2" s="1"/>
  <c r="AA1118" i="2" s="1"/>
  <c r="P1119" i="2"/>
  <c r="W1119" i="2" s="1"/>
  <c r="P1120" i="2"/>
  <c r="P1121" i="2"/>
  <c r="U1121" i="2" s="1"/>
  <c r="P1122" i="2"/>
  <c r="W1122" i="2" s="1"/>
  <c r="P1123" i="2"/>
  <c r="P1124" i="2"/>
  <c r="Q1124" i="8" s="1"/>
  <c r="P1125" i="2"/>
  <c r="T1125" i="2" s="1"/>
  <c r="AA1125" i="2" s="1"/>
  <c r="P1126" i="2"/>
  <c r="Q1126" i="8" s="1"/>
  <c r="P1127" i="2"/>
  <c r="Q1127" i="8" s="1"/>
  <c r="P1128" i="2"/>
  <c r="U1128" i="2" s="1"/>
  <c r="R41" i="2"/>
  <c r="Y41" i="2" s="1"/>
  <c r="R42" i="2"/>
  <c r="Y42" i="2" s="1"/>
  <c r="R50" i="2"/>
  <c r="Y50" i="2" s="1"/>
  <c r="R76" i="2"/>
  <c r="Y76" i="2" s="1"/>
  <c r="R166" i="2"/>
  <c r="Y166" i="2" s="1"/>
  <c r="R214" i="2"/>
  <c r="Y214" i="2" s="1"/>
  <c r="T79" i="2"/>
  <c r="AA79" i="2" s="1"/>
  <c r="T194" i="2"/>
  <c r="AA194" i="2" s="1"/>
  <c r="T994" i="2"/>
  <c r="U38" i="2"/>
  <c r="U44" i="2"/>
  <c r="U98" i="2"/>
  <c r="U466" i="2"/>
  <c r="U882" i="2"/>
  <c r="V46" i="2"/>
  <c r="V354" i="2"/>
  <c r="V402" i="2"/>
  <c r="V514" i="2"/>
  <c r="V1042" i="2"/>
  <c r="W66" i="2"/>
  <c r="W76" i="2"/>
  <c r="W166" i="2"/>
  <c r="W182" i="2"/>
  <c r="W226" i="2"/>
  <c r="W322" i="2"/>
  <c r="W498" i="2"/>
  <c r="W994" i="2"/>
  <c r="B7" i="3"/>
  <c r="B6" i="3" s="1"/>
  <c r="AQ199" i="8" l="1"/>
  <c r="AR1127" i="8"/>
  <c r="AQ366" i="8"/>
  <c r="AR1066" i="8"/>
  <c r="AQ568" i="8"/>
  <c r="AR926" i="8"/>
  <c r="AR894" i="8"/>
  <c r="AQ846" i="8"/>
  <c r="AR814" i="8"/>
  <c r="AQ798" i="8"/>
  <c r="AR782" i="8"/>
  <c r="AR750" i="8"/>
  <c r="AQ702" i="8"/>
  <c r="AR686" i="8"/>
  <c r="AR600" i="8"/>
  <c r="AR126" i="8"/>
  <c r="AR24" i="8"/>
  <c r="AQ1090" i="8"/>
  <c r="AQ1032" i="8"/>
  <c r="AQ696" i="8"/>
  <c r="AQ641" i="8"/>
  <c r="AQ328" i="8"/>
  <c r="AQ168" i="8"/>
  <c r="AR50" i="8"/>
  <c r="AR670" i="8"/>
  <c r="AR622" i="8"/>
  <c r="AR574" i="8"/>
  <c r="AQ526" i="8"/>
  <c r="AQ510" i="8"/>
  <c r="AR478" i="8"/>
  <c r="AR430" i="8"/>
  <c r="AQ414" i="8"/>
  <c r="AQ382" i="8"/>
  <c r="AQ334" i="8"/>
  <c r="AR286" i="8"/>
  <c r="AQ270" i="8"/>
  <c r="AQ238" i="8"/>
  <c r="AQ190" i="8"/>
  <c r="AR142" i="8"/>
  <c r="AR94" i="8"/>
  <c r="AR46" i="8"/>
  <c r="AR1112" i="8"/>
  <c r="AR1064" i="8"/>
  <c r="AR1016" i="8"/>
  <c r="AR968" i="8"/>
  <c r="AR920" i="8"/>
  <c r="AQ872" i="8"/>
  <c r="AQ824" i="8"/>
  <c r="AR776" i="8"/>
  <c r="AQ728" i="8"/>
  <c r="AQ680" i="8"/>
  <c r="AR632" i="8"/>
  <c r="AR584" i="8"/>
  <c r="AR536" i="8"/>
  <c r="AR488" i="8"/>
  <c r="AQ440" i="8"/>
  <c r="AR392" i="8"/>
  <c r="AR1128" i="8"/>
  <c r="AR945" i="8"/>
  <c r="AR264" i="8"/>
  <c r="AQ962" i="8"/>
  <c r="AQ856" i="8"/>
  <c r="AR898" i="8"/>
  <c r="AR552" i="8"/>
  <c r="AR194" i="8"/>
  <c r="AQ961" i="8"/>
  <c r="AQ322" i="8"/>
  <c r="AQ178" i="8"/>
  <c r="AQ34" i="8"/>
  <c r="AR654" i="8"/>
  <c r="AQ370" i="8"/>
  <c r="AQ98" i="8"/>
  <c r="AR760" i="8"/>
  <c r="AR82" i="8"/>
  <c r="AQ674" i="8"/>
  <c r="AQ578" i="8"/>
  <c r="AQ424" i="8"/>
  <c r="AQ312" i="8"/>
  <c r="AR616" i="8"/>
  <c r="AR222" i="8"/>
  <c r="AR40" i="8"/>
  <c r="AQ472" i="8"/>
  <c r="AR722" i="8"/>
  <c r="AR290" i="8"/>
  <c r="AQ466" i="8"/>
  <c r="AR1116" i="8"/>
  <c r="AQ1068" i="8"/>
  <c r="AR1052" i="8"/>
  <c r="AR1036" i="8"/>
  <c r="AR1020" i="8"/>
  <c r="AQ1004" i="8"/>
  <c r="AR972" i="8"/>
  <c r="AQ956" i="8"/>
  <c r="AQ924" i="8"/>
  <c r="AQ876" i="8"/>
  <c r="AR860" i="8"/>
  <c r="AR828" i="8"/>
  <c r="AR812" i="8"/>
  <c r="AQ780" i="8"/>
  <c r="AR764" i="8"/>
  <c r="AQ732" i="8"/>
  <c r="AQ684" i="8"/>
  <c r="AR668" i="8"/>
  <c r="AQ636" i="8"/>
  <c r="AR588" i="8"/>
  <c r="AQ572" i="8"/>
  <c r="AR540" i="8"/>
  <c r="AQ492" i="8"/>
  <c r="AQ444" i="8"/>
  <c r="AQ428" i="8"/>
  <c r="AR396" i="8"/>
  <c r="AQ380" i="8"/>
  <c r="AQ348" i="8"/>
  <c r="AR332" i="8"/>
  <c r="AQ300" i="8"/>
  <c r="AQ284" i="8"/>
  <c r="AQ252" i="8"/>
  <c r="AQ236" i="8"/>
  <c r="AQ204" i="8"/>
  <c r="AQ156" i="8"/>
  <c r="AQ140" i="8"/>
  <c r="AR108" i="8"/>
  <c r="AQ60" i="8"/>
  <c r="AR44" i="8"/>
  <c r="AR1094" i="8"/>
  <c r="AR1046" i="8"/>
  <c r="AQ1014" i="8"/>
  <c r="AR998" i="8"/>
  <c r="AQ918" i="8"/>
  <c r="AR870" i="8"/>
  <c r="AQ774" i="8"/>
  <c r="AR758" i="8"/>
  <c r="AQ726" i="8"/>
  <c r="AR710" i="8"/>
  <c r="AR630" i="8"/>
  <c r="AR614" i="8"/>
  <c r="AQ582" i="8"/>
  <c r="AR534" i="8"/>
  <c r="AR518" i="8"/>
  <c r="AQ486" i="8"/>
  <c r="AQ294" i="8"/>
  <c r="AR230" i="8"/>
  <c r="AR198" i="8"/>
  <c r="AQ150" i="8"/>
  <c r="AQ54" i="8"/>
  <c r="AQ1120" i="8"/>
  <c r="AQ1104" i="8"/>
  <c r="AQ928" i="8"/>
  <c r="AQ624" i="8"/>
  <c r="AQ1105" i="8"/>
  <c r="AQ923" i="8"/>
  <c r="AR827" i="8"/>
  <c r="AQ779" i="8"/>
  <c r="AQ635" i="8"/>
  <c r="AQ491" i="8"/>
  <c r="AQ347" i="8"/>
  <c r="AQ203" i="8"/>
  <c r="AQ59" i="8"/>
  <c r="AR712" i="8"/>
  <c r="AR280" i="8"/>
  <c r="AQ1100" i="8"/>
  <c r="AQ456" i="8"/>
  <c r="W38" i="2"/>
  <c r="V1074" i="2"/>
  <c r="T38" i="2"/>
  <c r="AA38" i="2" s="1"/>
  <c r="V70" i="2"/>
  <c r="W962" i="2"/>
  <c r="W802" i="2"/>
  <c r="U914" i="2"/>
  <c r="W178" i="2"/>
  <c r="V242" i="2"/>
  <c r="V172" i="2"/>
  <c r="W146" i="2"/>
  <c r="V162" i="2"/>
  <c r="V866" i="2"/>
  <c r="U130" i="2"/>
  <c r="W674" i="2"/>
  <c r="W562" i="2"/>
  <c r="V658" i="2"/>
  <c r="U76" i="2"/>
  <c r="W150" i="2"/>
  <c r="W70" i="2"/>
  <c r="V86" i="2"/>
  <c r="U134" i="2"/>
  <c r="V215" i="2"/>
  <c r="V434" i="2"/>
  <c r="U338" i="2"/>
  <c r="S579" i="2"/>
  <c r="Z579" i="2" s="1"/>
  <c r="W147" i="2"/>
  <c r="S51" i="2"/>
  <c r="Z51" i="2" s="1"/>
  <c r="V291" i="2"/>
  <c r="U99" i="2"/>
  <c r="R51" i="2"/>
  <c r="Y51" i="2" s="1"/>
  <c r="W51" i="2"/>
  <c r="V1058" i="2"/>
  <c r="V147" i="2"/>
  <c r="T946" i="2"/>
  <c r="AA946" i="2" s="1"/>
  <c r="T195" i="2"/>
  <c r="AA195" i="2" s="1"/>
  <c r="T99" i="2"/>
  <c r="AA99" i="2" s="1"/>
  <c r="V454" i="2"/>
  <c r="V128" i="2"/>
  <c r="V594" i="2"/>
  <c r="T594" i="2"/>
  <c r="AA594" i="2" s="1"/>
  <c r="W253" i="2"/>
  <c r="W578" i="2"/>
  <c r="V338" i="2"/>
  <c r="W799" i="2"/>
  <c r="V1103" i="2"/>
  <c r="V47" i="2"/>
  <c r="T63" i="2"/>
  <c r="AA63" i="2" s="1"/>
  <c r="R63" i="2"/>
  <c r="Y63" i="2" s="1"/>
  <c r="U63" i="2"/>
  <c r="W703" i="2"/>
  <c r="U47" i="2"/>
  <c r="R47" i="2"/>
  <c r="Y47" i="2" s="1"/>
  <c r="W607" i="2"/>
  <c r="S127" i="2"/>
  <c r="Z127" i="2" s="1"/>
  <c r="W143" i="2"/>
  <c r="S79" i="2"/>
  <c r="Z79" i="2" s="1"/>
  <c r="W127" i="2"/>
  <c r="V214" i="2"/>
  <c r="U243" i="2"/>
  <c r="S76" i="2"/>
  <c r="Z76" i="2" s="1"/>
  <c r="W111" i="2"/>
  <c r="U223" i="2"/>
  <c r="V287" i="2"/>
  <c r="W95" i="2"/>
  <c r="U191" i="2"/>
  <c r="W527" i="2"/>
  <c r="S47" i="2"/>
  <c r="Z47" i="2" s="1"/>
  <c r="W79" i="2"/>
  <c r="V159" i="2"/>
  <c r="U143" i="2"/>
  <c r="V127" i="2"/>
  <c r="U127" i="2"/>
  <c r="T143" i="2"/>
  <c r="AA143" i="2" s="1"/>
  <c r="R127" i="2"/>
  <c r="Y127" i="2" s="1"/>
  <c r="U124" i="2"/>
  <c r="V463" i="2"/>
  <c r="R191" i="2"/>
  <c r="Y191" i="2" s="1"/>
  <c r="V95" i="2"/>
  <c r="R124" i="2"/>
  <c r="Y124" i="2" s="1"/>
  <c r="W47" i="2"/>
  <c r="V367" i="2"/>
  <c r="U111" i="2"/>
  <c r="T95" i="2"/>
  <c r="AA95" i="2" s="1"/>
  <c r="R95" i="2"/>
  <c r="Y95" i="2" s="1"/>
  <c r="V418" i="2"/>
  <c r="T562" i="2"/>
  <c r="AA562" i="2" s="1"/>
  <c r="W690" i="2"/>
  <c r="T530" i="2"/>
  <c r="AA530" i="2" s="1"/>
  <c r="R291" i="2"/>
  <c r="Y291" i="2" s="1"/>
  <c r="V243" i="2"/>
  <c r="V642" i="2"/>
  <c r="U898" i="2"/>
  <c r="R99" i="2"/>
  <c r="Y99" i="2" s="1"/>
  <c r="V530" i="2"/>
  <c r="U677" i="2"/>
  <c r="U109" i="2"/>
  <c r="T141" i="2"/>
  <c r="AA141" i="2" s="1"/>
  <c r="V435" i="2"/>
  <c r="V207" i="2"/>
  <c r="W531" i="2"/>
  <c r="R175" i="2"/>
  <c r="Y175" i="2" s="1"/>
  <c r="W431" i="2"/>
  <c r="W959" i="2"/>
  <c r="W119" i="2"/>
  <c r="V703" i="2"/>
  <c r="V316" i="2"/>
  <c r="S223" i="2"/>
  <c r="Z223" i="2" s="1"/>
  <c r="S191" i="2"/>
  <c r="Z191" i="2" s="1"/>
  <c r="T125" i="2"/>
  <c r="AA125" i="2" s="1"/>
  <c r="W157" i="2"/>
  <c r="W255" i="2"/>
  <c r="V255" i="2"/>
  <c r="V61" i="2"/>
  <c r="S109" i="2"/>
  <c r="Z109" i="2" s="1"/>
  <c r="R61" i="2"/>
  <c r="Y61" i="2" s="1"/>
  <c r="AR596" i="8"/>
  <c r="AR428" i="8"/>
  <c r="AQ832" i="8"/>
  <c r="AQ442" i="8"/>
  <c r="AQ362" i="8"/>
  <c r="AR1087" i="8"/>
  <c r="AR1039" i="8"/>
  <c r="AR991" i="8"/>
  <c r="AR943" i="8"/>
  <c r="AQ847" i="8"/>
  <c r="AQ799" i="8"/>
  <c r="AQ703" i="8"/>
  <c r="AR655" i="8"/>
  <c r="AR559" i="8"/>
  <c r="AQ511" i="8"/>
  <c r="AR463" i="8"/>
  <c r="AQ415" i="8"/>
  <c r="AR367" i="8"/>
  <c r="AQ319" i="8"/>
  <c r="AQ271" i="8"/>
  <c r="AQ223" i="8"/>
  <c r="AQ175" i="8"/>
  <c r="AQ127" i="8"/>
  <c r="AR79" i="8"/>
  <c r="AQ31" i="8"/>
  <c r="AR1018" i="8"/>
  <c r="AR400" i="8"/>
  <c r="AR342" i="8"/>
  <c r="AR68" i="8"/>
  <c r="AQ672" i="8"/>
  <c r="AQ438" i="8"/>
  <c r="AR1092" i="8"/>
  <c r="AQ1044" i="8"/>
  <c r="AR996" i="8"/>
  <c r="AR948" i="8"/>
  <c r="AQ900" i="8"/>
  <c r="AR852" i="8"/>
  <c r="AR804" i="8"/>
  <c r="AQ756" i="8"/>
  <c r="AQ708" i="8"/>
  <c r="AR660" i="8"/>
  <c r="AR612" i="8"/>
  <c r="AR564" i="8"/>
  <c r="AR516" i="8"/>
  <c r="AQ468" i="8"/>
  <c r="AR420" i="8"/>
  <c r="AR372" i="8"/>
  <c r="AQ324" i="8"/>
  <c r="AQ276" i="8"/>
  <c r="AR228" i="8"/>
  <c r="AQ180" i="8"/>
  <c r="AR132" i="8"/>
  <c r="AR84" i="8"/>
  <c r="AR36" i="8"/>
  <c r="AQ1102" i="8"/>
  <c r="AQ1054" i="8"/>
  <c r="AR1006" i="8"/>
  <c r="AQ958" i="8"/>
  <c r="AQ910" i="8"/>
  <c r="AR862" i="8"/>
  <c r="AQ814" i="8"/>
  <c r="AR766" i="8"/>
  <c r="AR718" i="8"/>
  <c r="AR344" i="8"/>
  <c r="AQ296" i="8"/>
  <c r="AQ248" i="8"/>
  <c r="AR200" i="8"/>
  <c r="AQ152" i="8"/>
  <c r="AR104" i="8"/>
  <c r="AR56" i="8"/>
  <c r="AQ1122" i="8"/>
  <c r="AQ1074" i="8"/>
  <c r="AR1026" i="8"/>
  <c r="AR978" i="8"/>
  <c r="AQ930" i="8"/>
  <c r="AQ882" i="8"/>
  <c r="AR866" i="8"/>
  <c r="AR834" i="8"/>
  <c r="AQ786" i="8"/>
  <c r="AQ738" i="8"/>
  <c r="AR690" i="8"/>
  <c r="AR932" i="8"/>
  <c r="AR874" i="8"/>
  <c r="AR730" i="8"/>
  <c r="AR644" i="8"/>
  <c r="AR452" i="8"/>
  <c r="AQ784" i="8"/>
  <c r="AQ746" i="8"/>
  <c r="AQ554" i="8"/>
  <c r="AQ480" i="8"/>
  <c r="AQ356" i="8"/>
  <c r="AQ164" i="8"/>
  <c r="AQ122" i="8"/>
  <c r="AQ1053" i="8"/>
  <c r="AQ909" i="8"/>
  <c r="AR765" i="8"/>
  <c r="AQ621" i="8"/>
  <c r="AQ477" i="8"/>
  <c r="AQ333" i="8"/>
  <c r="AQ189" i="8"/>
  <c r="AR1124" i="8"/>
  <c r="AR986" i="8"/>
  <c r="AR960" i="8"/>
  <c r="AR798" i="8"/>
  <c r="AR774" i="8"/>
  <c r="AR726" i="8"/>
  <c r="AR314" i="8"/>
  <c r="AR256" i="8"/>
  <c r="AR64" i="8"/>
  <c r="AQ1056" i="8"/>
  <c r="AQ938" i="8"/>
  <c r="AQ860" i="8"/>
  <c r="AQ668" i="8"/>
  <c r="AQ630" i="8"/>
  <c r="AQ198" i="8"/>
  <c r="AR572" i="8"/>
  <c r="AR380" i="8"/>
  <c r="AR846" i="8"/>
  <c r="AR698" i="8"/>
  <c r="AR506" i="8"/>
  <c r="AR96" i="8"/>
  <c r="AQ955" i="8"/>
  <c r="AQ811" i="8"/>
  <c r="AQ667" i="8"/>
  <c r="AQ523" i="8"/>
  <c r="AQ379" i="8"/>
  <c r="AQ235" i="8"/>
  <c r="AQ91" i="8"/>
  <c r="AR75" i="8"/>
  <c r="AR956" i="8"/>
  <c r="AR336" i="8"/>
  <c r="AR170" i="8"/>
  <c r="AQ586" i="8"/>
  <c r="AQ352" i="8"/>
  <c r="AQ154" i="8"/>
  <c r="AQ74" i="8"/>
  <c r="AR924" i="8"/>
  <c r="AR794" i="8"/>
  <c r="AR528" i="8"/>
  <c r="AR777" i="8"/>
  <c r="AR729" i="8"/>
  <c r="AR585" i="8"/>
  <c r="AR489" i="8"/>
  <c r="AR393" i="8"/>
  <c r="AR297" i="8"/>
  <c r="AR1034" i="8"/>
  <c r="AR842" i="8"/>
  <c r="AR308" i="8"/>
  <c r="AQ1082" i="8"/>
  <c r="AQ970" i="8"/>
  <c r="AQ812" i="8"/>
  <c r="AQ500" i="8"/>
  <c r="AQ266" i="8"/>
  <c r="AQ192" i="8"/>
  <c r="AR768" i="8"/>
  <c r="AR140" i="8"/>
  <c r="AQ544" i="8"/>
  <c r="AQ384" i="8"/>
  <c r="AQ112" i="8"/>
  <c r="AQ26" i="8"/>
  <c r="AR1111" i="8"/>
  <c r="AR1063" i="8"/>
  <c r="AR1015" i="8"/>
  <c r="AR967" i="8"/>
  <c r="AR919" i="8"/>
  <c r="AQ871" i="8"/>
  <c r="AQ727" i="8"/>
  <c r="AQ583" i="8"/>
  <c r="AQ439" i="8"/>
  <c r="AQ391" i="8"/>
  <c r="AQ295" i="8"/>
  <c r="AQ247" i="8"/>
  <c r="AQ151" i="8"/>
  <c r="AR103" i="8"/>
  <c r="AQ55" i="8"/>
  <c r="AR1121" i="8"/>
  <c r="AR1073" i="8"/>
  <c r="AR1025" i="8"/>
  <c r="AQ1009" i="8"/>
  <c r="AR977" i="8"/>
  <c r="AR929" i="8"/>
  <c r="AR1114" i="8"/>
  <c r="AQ1126" i="8"/>
  <c r="AQ1078" i="8"/>
  <c r="AR1030" i="8"/>
  <c r="AQ982" i="8"/>
  <c r="AQ934" i="8"/>
  <c r="AQ886" i="8"/>
  <c r="AQ838" i="8"/>
  <c r="AR790" i="8"/>
  <c r="AR742" i="8"/>
  <c r="AQ694" i="8"/>
  <c r="AR646" i="8"/>
  <c r="AR598" i="8"/>
  <c r="AQ550" i="8"/>
  <c r="AR502" i="8"/>
  <c r="AR454" i="8"/>
  <c r="AQ406" i="8"/>
  <c r="AQ358" i="8"/>
  <c r="AR310" i="8"/>
  <c r="AQ262" i="8"/>
  <c r="AQ214" i="8"/>
  <c r="AQ166" i="8"/>
  <c r="AR118" i="8"/>
  <c r="AR70" i="8"/>
  <c r="AR22" i="8"/>
  <c r="AR1088" i="8"/>
  <c r="AQ1040" i="8"/>
  <c r="AR992" i="8"/>
  <c r="AR944" i="8"/>
  <c r="AQ896" i="8"/>
  <c r="AR848" i="8"/>
  <c r="AR800" i="8"/>
  <c r="AQ752" i="8"/>
  <c r="AQ704" i="8"/>
  <c r="AR656" i="8"/>
  <c r="AQ608" i="8"/>
  <c r="AR560" i="8"/>
  <c r="AR512" i="8"/>
  <c r="AQ464" i="8"/>
  <c r="AQ416" i="8"/>
  <c r="AR368" i="8"/>
  <c r="AQ320" i="8"/>
  <c r="AQ272" i="8"/>
  <c r="AQ224" i="8"/>
  <c r="AQ176" i="8"/>
  <c r="AR128" i="8"/>
  <c r="AR80" i="8"/>
  <c r="AQ32" i="8"/>
  <c r="AQ1098" i="8"/>
  <c r="AQ1050" i="8"/>
  <c r="AR1002" i="8"/>
  <c r="AQ954" i="8"/>
  <c r="AQ906" i="8"/>
  <c r="AR890" i="8"/>
  <c r="AR858" i="8"/>
  <c r="AQ810" i="8"/>
  <c r="AQ762" i="8"/>
  <c r="AQ714" i="8"/>
  <c r="AR666" i="8"/>
  <c r="AR618" i="8"/>
  <c r="AR570" i="8"/>
  <c r="AR522" i="8"/>
  <c r="AR474" i="8"/>
  <c r="AR426" i="8"/>
  <c r="AR378" i="8"/>
  <c r="AR330" i="8"/>
  <c r="AR918" i="8"/>
  <c r="AR688" i="8"/>
  <c r="AR496" i="8"/>
  <c r="AQ650" i="8"/>
  <c r="AQ458" i="8"/>
  <c r="AQ298" i="8"/>
  <c r="AQ218" i="8"/>
  <c r="AQ981" i="8"/>
  <c r="AQ837" i="8"/>
  <c r="AR741" i="8"/>
  <c r="AQ693" i="8"/>
  <c r="AR597" i="8"/>
  <c r="AQ549" i="8"/>
  <c r="AQ405" i="8"/>
  <c r="AQ261" i="8"/>
  <c r="AR213" i="8"/>
  <c r="AQ117" i="8"/>
  <c r="AQ884" i="8"/>
  <c r="AQ826" i="8"/>
  <c r="AQ682" i="8"/>
  <c r="AQ538" i="8"/>
  <c r="AQ394" i="8"/>
  <c r="AQ250" i="8"/>
  <c r="AQ106" i="8"/>
  <c r="AR410" i="8"/>
  <c r="AQ212" i="8"/>
  <c r="AQ1027" i="8"/>
  <c r="AQ883" i="8"/>
  <c r="AQ739" i="8"/>
  <c r="AQ595" i="8"/>
  <c r="AQ451" i="8"/>
  <c r="AQ307" i="8"/>
  <c r="AQ163" i="8"/>
  <c r="AQ19" i="8"/>
  <c r="AR1085" i="8"/>
  <c r="AR1037" i="8"/>
  <c r="AQ1021" i="8"/>
  <c r="AR989" i="8"/>
  <c r="AR941" i="8"/>
  <c r="AQ877" i="8"/>
  <c r="AR829" i="8"/>
  <c r="AQ993" i="8"/>
  <c r="AQ849" i="8"/>
  <c r="AR753" i="8"/>
  <c r="AQ705" i="8"/>
  <c r="AQ561" i="8"/>
  <c r="AQ417" i="8"/>
  <c r="AQ273" i="8"/>
  <c r="AQ129" i="8"/>
  <c r="AQ1097" i="8"/>
  <c r="AQ1081" i="8"/>
  <c r="AR1049" i="8"/>
  <c r="AR1001" i="8"/>
  <c r="AQ953" i="8"/>
  <c r="AQ937" i="8"/>
  <c r="AR841" i="8"/>
  <c r="AQ809" i="8"/>
  <c r="AQ793" i="8"/>
  <c r="AQ665" i="8"/>
  <c r="AR617" i="8"/>
  <c r="AR569" i="8"/>
  <c r="AR521" i="8"/>
  <c r="AR473" i="8"/>
  <c r="AR425" i="8"/>
  <c r="AR377" i="8"/>
  <c r="AR329" i="8"/>
  <c r="AR281" i="8"/>
  <c r="AR233" i="8"/>
  <c r="AR185" i="8"/>
  <c r="AR137" i="8"/>
  <c r="AR89" i="8"/>
  <c r="AR41" i="8"/>
  <c r="AQ1107" i="8"/>
  <c r="AQ1059" i="8"/>
  <c r="AQ1011" i="8"/>
  <c r="AQ963" i="8"/>
  <c r="AQ915" i="8"/>
  <c r="AQ867" i="8"/>
  <c r="AQ819" i="8"/>
  <c r="AQ771" i="8"/>
  <c r="AQ723" i="8"/>
  <c r="AQ675" i="8"/>
  <c r="AQ627" i="8"/>
  <c r="AR642" i="8"/>
  <c r="AR594" i="8"/>
  <c r="AR546" i="8"/>
  <c r="AR498" i="8"/>
  <c r="AR450" i="8"/>
  <c r="AR402" i="8"/>
  <c r="AR354" i="8"/>
  <c r="AR306" i="8"/>
  <c r="AR258" i="8"/>
  <c r="AR210" i="8"/>
  <c r="AR162" i="8"/>
  <c r="AR114" i="8"/>
  <c r="AR66" i="8"/>
  <c r="AR18" i="8"/>
  <c r="AQ1084" i="8"/>
  <c r="AQ1036" i="8"/>
  <c r="AQ988" i="8"/>
  <c r="AQ1094" i="8"/>
  <c r="AQ1046" i="8"/>
  <c r="AQ998" i="8"/>
  <c r="AQ950" i="8"/>
  <c r="AQ902" i="8"/>
  <c r="AQ854" i="8"/>
  <c r="AQ806" i="8"/>
  <c r="AQ758" i="8"/>
  <c r="AQ710" i="8"/>
  <c r="AQ662" i="8"/>
  <c r="AQ614" i="8"/>
  <c r="AQ566" i="8"/>
  <c r="AQ518" i="8"/>
  <c r="AQ470" i="8"/>
  <c r="AQ422" i="8"/>
  <c r="AQ374" i="8"/>
  <c r="AQ326" i="8"/>
  <c r="AQ278" i="8"/>
  <c r="AQ230" i="8"/>
  <c r="AQ182" i="8"/>
  <c r="AQ134" i="8"/>
  <c r="AQ86" i="8"/>
  <c r="AQ38" i="8"/>
  <c r="AQ1008" i="8"/>
  <c r="AQ864" i="8"/>
  <c r="AR816" i="8"/>
  <c r="AQ720" i="8"/>
  <c r="AR624" i="8"/>
  <c r="AQ576" i="8"/>
  <c r="AQ432" i="8"/>
  <c r="AQ288" i="8"/>
  <c r="AR240" i="8"/>
  <c r="AQ144" i="8"/>
  <c r="AR48" i="8"/>
  <c r="AQ1066" i="8"/>
  <c r="AQ922" i="8"/>
  <c r="AQ778" i="8"/>
  <c r="AQ634" i="8"/>
  <c r="AQ490" i="8"/>
  <c r="AQ346" i="8"/>
  <c r="AQ202" i="8"/>
  <c r="AQ58" i="8"/>
  <c r="AQ980" i="8"/>
  <c r="AQ836" i="8"/>
  <c r="AR740" i="8"/>
  <c r="AQ692" i="8"/>
  <c r="AQ548" i="8"/>
  <c r="AQ404" i="8"/>
  <c r="AQ260" i="8"/>
  <c r="AQ116" i="8"/>
  <c r="AR1086" i="8"/>
  <c r="AQ1038" i="8"/>
  <c r="AR990" i="8"/>
  <c r="AR942" i="8"/>
  <c r="AQ894" i="8"/>
  <c r="AQ750" i="8"/>
  <c r="AQ606" i="8"/>
  <c r="AQ462" i="8"/>
  <c r="AQ318" i="8"/>
  <c r="AQ174" i="8"/>
  <c r="AQ30" i="8"/>
  <c r="AQ952" i="8"/>
  <c r="AQ808" i="8"/>
  <c r="AQ664" i="8"/>
  <c r="AQ520" i="8"/>
  <c r="AQ376" i="8"/>
  <c r="AQ232" i="8"/>
  <c r="AQ88" i="8"/>
  <c r="AQ45" i="8"/>
  <c r="AQ1095" i="8"/>
  <c r="AQ1047" i="8"/>
  <c r="AQ967" i="8"/>
  <c r="AR903" i="8"/>
  <c r="AQ823" i="8"/>
  <c r="AR727" i="8"/>
  <c r="AQ679" i="8"/>
  <c r="AQ535" i="8"/>
  <c r="AR487" i="8"/>
  <c r="AR188" i="8"/>
  <c r="AQ1110" i="8"/>
  <c r="AR1120" i="8"/>
  <c r="AR1072" i="8"/>
  <c r="AR1024" i="8"/>
  <c r="AR976" i="8"/>
  <c r="AR928" i="8"/>
  <c r="AQ43" i="8"/>
  <c r="AR1109" i="8"/>
  <c r="AR1061" i="8"/>
  <c r="AR1013" i="8"/>
  <c r="AR965" i="8"/>
  <c r="AR917" i="8"/>
  <c r="AR853" i="8"/>
  <c r="AQ821" i="8"/>
  <c r="AQ677" i="8"/>
  <c r="AQ533" i="8"/>
  <c r="AQ389" i="8"/>
  <c r="AQ245" i="8"/>
  <c r="AQ101" i="8"/>
  <c r="AQ975" i="8"/>
  <c r="AQ927" i="8"/>
  <c r="AQ879" i="8"/>
  <c r="AQ831" i="8"/>
  <c r="AQ783" i="8"/>
  <c r="AQ735" i="8"/>
  <c r="AQ687" i="8"/>
  <c r="AQ639" i="8"/>
  <c r="AQ591" i="8"/>
  <c r="AQ543" i="8"/>
  <c r="AQ495" i="8"/>
  <c r="AQ447" i="8"/>
  <c r="AQ399" i="8"/>
  <c r="AQ351" i="8"/>
  <c r="AQ303" i="8"/>
  <c r="AQ255" i="8"/>
  <c r="AR201" i="8"/>
  <c r="AR105" i="8"/>
  <c r="AQ1123" i="8"/>
  <c r="AR915" i="8"/>
  <c r="AR691" i="8"/>
  <c r="AR626" i="8"/>
  <c r="AR530" i="8"/>
  <c r="AR434" i="8"/>
  <c r="AQ881" i="8"/>
  <c r="AR865" i="8"/>
  <c r="AQ737" i="8"/>
  <c r="AR593" i="8"/>
  <c r="AR545" i="8"/>
  <c r="AR497" i="8"/>
  <c r="AR449" i="8"/>
  <c r="AR401" i="8"/>
  <c r="AR353" i="8"/>
  <c r="AR305" i="8"/>
  <c r="AR257" i="8"/>
  <c r="AR209" i="8"/>
  <c r="AR161" i="8"/>
  <c r="AR113" i="8"/>
  <c r="AR65" i="8"/>
  <c r="AR17" i="8"/>
  <c r="AQ1083" i="8"/>
  <c r="AQ1035" i="8"/>
  <c r="AQ987" i="8"/>
  <c r="AQ939" i="8"/>
  <c r="AQ891" i="8"/>
  <c r="AQ843" i="8"/>
  <c r="AQ795" i="8"/>
  <c r="AQ747" i="8"/>
  <c r="AQ699" i="8"/>
  <c r="AQ651" i="8"/>
  <c r="AQ603" i="8"/>
  <c r="AR282" i="8"/>
  <c r="AR234" i="8"/>
  <c r="AR186" i="8"/>
  <c r="AR138" i="8"/>
  <c r="AR90" i="8"/>
  <c r="AR42" i="8"/>
  <c r="AQ1108" i="8"/>
  <c r="AQ1060" i="8"/>
  <c r="AQ1012" i="8"/>
  <c r="AQ964" i="8"/>
  <c r="AQ1118" i="8"/>
  <c r="AQ1070" i="8"/>
  <c r="AQ1022" i="8"/>
  <c r="AQ974" i="8"/>
  <c r="AQ926" i="8"/>
  <c r="AQ878" i="8"/>
  <c r="AQ830" i="8"/>
  <c r="AQ782" i="8"/>
  <c r="AQ734" i="8"/>
  <c r="AQ686" i="8"/>
  <c r="AQ638" i="8"/>
  <c r="AQ590" i="8"/>
  <c r="AQ542" i="8"/>
  <c r="AQ494" i="8"/>
  <c r="AQ446" i="8"/>
  <c r="AQ398" i="8"/>
  <c r="AQ350" i="8"/>
  <c r="AQ302" i="8"/>
  <c r="AQ254" i="8"/>
  <c r="AQ206" i="8"/>
  <c r="AQ158" i="8"/>
  <c r="AQ110" i="8"/>
  <c r="AQ62" i="8"/>
  <c r="AQ1080" i="8"/>
  <c r="AQ936" i="8"/>
  <c r="AR840" i="8"/>
  <c r="AQ792" i="8"/>
  <c r="AQ648" i="8"/>
  <c r="AQ504" i="8"/>
  <c r="AQ360" i="8"/>
  <c r="AQ216" i="8"/>
  <c r="AQ72" i="8"/>
  <c r="AQ994" i="8"/>
  <c r="AQ850" i="8"/>
  <c r="AR802" i="8"/>
  <c r="AR754" i="8"/>
  <c r="AQ706" i="8"/>
  <c r="AQ562" i="8"/>
  <c r="AR514" i="8"/>
  <c r="AQ418" i="8"/>
  <c r="AR322" i="8"/>
  <c r="AQ274" i="8"/>
  <c r="AR130" i="8"/>
  <c r="AQ1052" i="8"/>
  <c r="AQ908" i="8"/>
  <c r="AQ764" i="8"/>
  <c r="AR716" i="8"/>
  <c r="AQ620" i="8"/>
  <c r="AR476" i="8"/>
  <c r="AQ332" i="8"/>
  <c r="AR284" i="8"/>
  <c r="AQ188" i="8"/>
  <c r="AR92" i="8"/>
  <c r="AQ44" i="8"/>
  <c r="AR1110" i="8"/>
  <c r="AR1062" i="8"/>
  <c r="AR1014" i="8"/>
  <c r="AR966" i="8"/>
  <c r="AQ822" i="8"/>
  <c r="AQ678" i="8"/>
  <c r="AQ534" i="8"/>
  <c r="AQ390" i="8"/>
  <c r="AQ246" i="8"/>
  <c r="AQ102" i="8"/>
  <c r="AQ1024" i="8"/>
  <c r="AQ880" i="8"/>
  <c r="AQ736" i="8"/>
  <c r="AQ592" i="8"/>
  <c r="AQ448" i="8"/>
  <c r="AQ304" i="8"/>
  <c r="AQ160" i="8"/>
  <c r="AQ16" i="8"/>
  <c r="AR21" i="8"/>
  <c r="AQ1071" i="8"/>
  <c r="AQ1039" i="8"/>
  <c r="AQ1023" i="8"/>
  <c r="AR927" i="8"/>
  <c r="AQ895" i="8"/>
  <c r="AR879" i="8"/>
  <c r="AQ751" i="8"/>
  <c r="AR703" i="8"/>
  <c r="AR639" i="8"/>
  <c r="AQ607" i="8"/>
  <c r="AR543" i="8"/>
  <c r="AQ463" i="8"/>
  <c r="AR447" i="8"/>
  <c r="AR351" i="8"/>
  <c r="AR255" i="8"/>
  <c r="AR159" i="8"/>
  <c r="AR63" i="8"/>
  <c r="AR702" i="8"/>
  <c r="AR558" i="8"/>
  <c r="AR462" i="8"/>
  <c r="AR366" i="8"/>
  <c r="AR270" i="8"/>
  <c r="AR174" i="8"/>
  <c r="AR78" i="8"/>
  <c r="AQ1096" i="8"/>
  <c r="AR1048" i="8"/>
  <c r="AR1000" i="8"/>
  <c r="AR952" i="8"/>
  <c r="AR904" i="8"/>
  <c r="AR664" i="8"/>
  <c r="AR568" i="8"/>
  <c r="AR376" i="8"/>
  <c r="AR184" i="8"/>
  <c r="AQ1106" i="8"/>
  <c r="AQ733" i="8"/>
  <c r="AR653" i="8"/>
  <c r="AQ589" i="8"/>
  <c r="AR557" i="8"/>
  <c r="AR541" i="8"/>
  <c r="AR461" i="8"/>
  <c r="AQ445" i="8"/>
  <c r="AR365" i="8"/>
  <c r="AR349" i="8"/>
  <c r="AQ301" i="8"/>
  <c r="AR269" i="8"/>
  <c r="AR173" i="8"/>
  <c r="AR77" i="8"/>
  <c r="AQ999" i="8"/>
  <c r="AQ951" i="8"/>
  <c r="AQ903" i="8"/>
  <c r="AQ855" i="8"/>
  <c r="AQ807" i="8"/>
  <c r="AQ759" i="8"/>
  <c r="AQ711" i="8"/>
  <c r="AQ663" i="8"/>
  <c r="AQ615" i="8"/>
  <c r="AQ567" i="8"/>
  <c r="AQ519" i="8"/>
  <c r="AQ471" i="8"/>
  <c r="AQ423" i="8"/>
  <c r="AQ375" i="8"/>
  <c r="AQ327" i="8"/>
  <c r="AQ279" i="8"/>
  <c r="AR338" i="8"/>
  <c r="AR242" i="8"/>
  <c r="AR146" i="8"/>
  <c r="AQ1051" i="8"/>
  <c r="AQ907" i="8"/>
  <c r="AR891" i="8"/>
  <c r="AQ763" i="8"/>
  <c r="AR715" i="8"/>
  <c r="AR651" i="8"/>
  <c r="AQ619" i="8"/>
  <c r="AR571" i="8"/>
  <c r="AR475" i="8"/>
  <c r="AR459" i="8"/>
  <c r="AR379" i="8"/>
  <c r="AQ331" i="8"/>
  <c r="AR283" i="8"/>
  <c r="AR267" i="8"/>
  <c r="AQ187" i="8"/>
  <c r="AR91" i="8"/>
  <c r="V278" i="2"/>
  <c r="R65" i="2"/>
  <c r="Y65" i="2" s="1"/>
  <c r="V339" i="2"/>
  <c r="W291" i="2"/>
  <c r="U147" i="2"/>
  <c r="S627" i="2"/>
  <c r="Z627" i="2" s="1"/>
  <c r="V573" i="2"/>
  <c r="T975" i="2"/>
  <c r="AA975" i="2" s="1"/>
  <c r="V87" i="2"/>
  <c r="W55" i="2"/>
  <c r="W310" i="2"/>
  <c r="V38" i="2"/>
  <c r="U118" i="2"/>
  <c r="T310" i="2"/>
  <c r="AA310" i="2" s="1"/>
  <c r="V182" i="2"/>
  <c r="S262" i="2"/>
  <c r="Z262" i="2" s="1"/>
  <c r="W262" i="2"/>
  <c r="W118" i="2"/>
  <c r="T182" i="2"/>
  <c r="AA182" i="2" s="1"/>
  <c r="W86" i="2"/>
  <c r="W230" i="2"/>
  <c r="V134" i="2"/>
  <c r="T309" i="2"/>
  <c r="AA309" i="2" s="1"/>
  <c r="V309" i="2"/>
  <c r="W309" i="2"/>
  <c r="V293" i="2"/>
  <c r="U245" i="2"/>
  <c r="W245" i="2"/>
  <c r="V245" i="2"/>
  <c r="W229" i="2"/>
  <c r="W949" i="2"/>
  <c r="V389" i="2"/>
  <c r="W469" i="2"/>
  <c r="W197" i="2"/>
  <c r="R389" i="2"/>
  <c r="Y389" i="2" s="1"/>
  <c r="V581" i="2"/>
  <c r="U1093" i="2"/>
  <c r="W214" i="2"/>
  <c r="S124" i="2"/>
  <c r="Z124" i="2" s="1"/>
  <c r="U171" i="2"/>
  <c r="V358" i="2"/>
  <c r="S317" i="2"/>
  <c r="Z317" i="2" s="1"/>
  <c r="W387" i="2"/>
  <c r="W205" i="2"/>
  <c r="W339" i="2"/>
  <c r="W99" i="2"/>
  <c r="V269" i="2"/>
  <c r="W195" i="2"/>
  <c r="V771" i="2"/>
  <c r="T51" i="2"/>
  <c r="AA51" i="2" s="1"/>
  <c r="U579" i="2"/>
  <c r="V99" i="2"/>
  <c r="T317" i="2"/>
  <c r="AA317" i="2" s="1"/>
  <c r="V387" i="2"/>
  <c r="U339" i="2"/>
  <c r="V51" i="2"/>
  <c r="U195" i="2"/>
  <c r="U51" i="2"/>
  <c r="W243" i="2"/>
  <c r="V333" i="2"/>
  <c r="T147" i="2"/>
  <c r="AA147" i="2" s="1"/>
  <c r="S243" i="2"/>
  <c r="Z243" i="2" s="1"/>
  <c r="W435" i="2"/>
  <c r="W386" i="2"/>
  <c r="T770" i="2"/>
  <c r="AA770" i="2" s="1"/>
  <c r="U290" i="2"/>
  <c r="S322" i="2"/>
  <c r="Z322" i="2" s="1"/>
  <c r="U306" i="2"/>
  <c r="T754" i="2"/>
  <c r="AA754" i="2" s="1"/>
  <c r="W530" i="2"/>
  <c r="U1042" i="2"/>
  <c r="U274" i="2"/>
  <c r="T738" i="2"/>
  <c r="AA738" i="2" s="1"/>
  <c r="U1107" i="2"/>
  <c r="W770" i="2"/>
  <c r="W244" i="2"/>
  <c r="V1010" i="2"/>
  <c r="S338" i="2"/>
  <c r="Z338" i="2" s="1"/>
  <c r="W1058" i="2"/>
  <c r="W738" i="2"/>
  <c r="W354" i="2"/>
  <c r="V930" i="2"/>
  <c r="U1058" i="2"/>
  <c r="W1026" i="2"/>
  <c r="W1010" i="2"/>
  <c r="V531" i="2"/>
  <c r="V114" i="2"/>
  <c r="U994" i="2"/>
  <c r="T610" i="2"/>
  <c r="AA610" i="2" s="1"/>
  <c r="R435" i="2"/>
  <c r="Y435" i="2" s="1"/>
  <c r="W130" i="2"/>
  <c r="W658" i="2"/>
  <c r="U770" i="2"/>
  <c r="W482" i="2"/>
  <c r="V770" i="2"/>
  <c r="W930" i="2"/>
  <c r="W210" i="2"/>
  <c r="W50" i="2"/>
  <c r="V754" i="2"/>
  <c r="W882" i="2"/>
  <c r="V195" i="2"/>
  <c r="S147" i="2"/>
  <c r="Z147" i="2" s="1"/>
  <c r="U194" i="2"/>
  <c r="S994" i="2"/>
  <c r="Z994" i="2" s="1"/>
  <c r="S146" i="2"/>
  <c r="Z146" i="2" s="1"/>
  <c r="R210" i="2"/>
  <c r="Y210" i="2" s="1"/>
  <c r="W866" i="2"/>
  <c r="W818" i="2"/>
  <c r="U530" i="2"/>
  <c r="U146" i="2"/>
  <c r="V482" i="2"/>
  <c r="U850" i="2"/>
  <c r="W610" i="2"/>
  <c r="W258" i="2"/>
  <c r="W194" i="2"/>
  <c r="V1090" i="2"/>
  <c r="W340" i="2"/>
  <c r="W961" i="2"/>
  <c r="U853" i="2"/>
  <c r="U244" i="2"/>
  <c r="S263" i="2"/>
  <c r="Z263" i="2" s="1"/>
  <c r="V292" i="2"/>
  <c r="W869" i="2"/>
  <c r="W215" i="2"/>
  <c r="W148" i="2"/>
  <c r="V356" i="2"/>
  <c r="W580" i="2"/>
  <c r="V340" i="2"/>
  <c r="W1042" i="2"/>
  <c r="U1026" i="2"/>
  <c r="U329" i="2"/>
  <c r="U292" i="2"/>
  <c r="W388" i="2"/>
  <c r="W317" i="2"/>
  <c r="U239" i="2"/>
  <c r="V455" i="2"/>
  <c r="W327" i="2"/>
  <c r="U559" i="2"/>
  <c r="W1071" i="2"/>
  <c r="W159" i="2"/>
  <c r="V239" i="2"/>
  <c r="U175" i="2"/>
  <c r="U79" i="2"/>
  <c r="T127" i="2"/>
  <c r="AA127" i="2" s="1"/>
  <c r="W158" i="2"/>
  <c r="U159" i="2"/>
  <c r="U65" i="2"/>
  <c r="S95" i="2"/>
  <c r="Z95" i="2" s="1"/>
  <c r="R143" i="2"/>
  <c r="Y143" i="2" s="1"/>
  <c r="S319" i="2"/>
  <c r="Z319" i="2" s="1"/>
  <c r="V407" i="2"/>
  <c r="V79" i="2"/>
  <c r="U145" i="2"/>
  <c r="T65" i="2"/>
  <c r="AA65" i="2" s="1"/>
  <c r="R111" i="2"/>
  <c r="Y111" i="2" s="1"/>
  <c r="W62" i="2"/>
  <c r="V869" i="2"/>
  <c r="V175" i="2"/>
  <c r="V63" i="2"/>
  <c r="T46" i="2"/>
  <c r="AA46" i="2" s="1"/>
  <c r="S46" i="2"/>
  <c r="Z46" i="2" s="1"/>
  <c r="W769" i="2"/>
  <c r="W209" i="2"/>
  <c r="W97" i="2"/>
  <c r="U721" i="2"/>
  <c r="W1121" i="2"/>
  <c r="W481" i="2"/>
  <c r="W257" i="2"/>
  <c r="V829" i="2"/>
  <c r="S81" i="2"/>
  <c r="Z81" i="2" s="1"/>
  <c r="W945" i="2"/>
  <c r="T145" i="2"/>
  <c r="AA145" i="2" s="1"/>
  <c r="W1073" i="2"/>
  <c r="W81" i="2"/>
  <c r="W913" i="2"/>
  <c r="S65" i="2"/>
  <c r="Z65" i="2" s="1"/>
  <c r="V97" i="2"/>
  <c r="R145" i="2"/>
  <c r="Y145" i="2" s="1"/>
  <c r="W561" i="2"/>
  <c r="W129" i="2"/>
  <c r="V513" i="2"/>
  <c r="U511" i="2"/>
  <c r="U113" i="2"/>
  <c r="S190" i="2"/>
  <c r="Z190" i="2" s="1"/>
  <c r="W925" i="2"/>
  <c r="S49" i="2"/>
  <c r="Z49" i="2" s="1"/>
  <c r="W145" i="2"/>
  <c r="U49" i="2"/>
  <c r="W321" i="2"/>
  <c r="V1009" i="2"/>
  <c r="W867" i="2"/>
  <c r="W422" i="2"/>
  <c r="W239" i="2"/>
  <c r="V719" i="2"/>
  <c r="V262" i="2"/>
  <c r="U182" i="2"/>
  <c r="T339" i="2"/>
  <c r="AA339" i="2" s="1"/>
  <c r="S159" i="2"/>
  <c r="Z159" i="2" s="1"/>
  <c r="T113" i="2"/>
  <c r="AA113" i="2" s="1"/>
  <c r="V65" i="2"/>
  <c r="U897" i="2"/>
  <c r="R769" i="2"/>
  <c r="Y769" i="2" s="1"/>
  <c r="W161" i="2"/>
  <c r="V927" i="2"/>
  <c r="U161" i="2"/>
  <c r="U97" i="2"/>
  <c r="T97" i="2"/>
  <c r="AA97" i="2" s="1"/>
  <c r="S369" i="2"/>
  <c r="Z369" i="2" s="1"/>
  <c r="W1089" i="2"/>
  <c r="W65" i="2"/>
  <c r="W657" i="2"/>
  <c r="W305" i="2"/>
  <c r="W113" i="2"/>
  <c r="V145" i="2"/>
  <c r="U81" i="2"/>
  <c r="S129" i="2"/>
  <c r="Z129" i="2" s="1"/>
  <c r="R81" i="2"/>
  <c r="Y81" i="2" s="1"/>
  <c r="T81" i="2"/>
  <c r="AA81" i="2" s="1"/>
  <c r="W977" i="2"/>
  <c r="W385" i="2"/>
  <c r="W49" i="2"/>
  <c r="V897" i="2"/>
  <c r="V326" i="2"/>
  <c r="V129" i="2"/>
  <c r="V49" i="2"/>
  <c r="U817" i="2"/>
  <c r="T751" i="2"/>
  <c r="AA751" i="2" s="1"/>
  <c r="T223" i="2"/>
  <c r="AA223" i="2" s="1"/>
  <c r="R239" i="2"/>
  <c r="Y239" i="2" s="1"/>
  <c r="R70" i="2"/>
  <c r="Y70" i="2" s="1"/>
  <c r="W525" i="2"/>
  <c r="W77" i="2"/>
  <c r="V1085" i="2"/>
  <c r="V589" i="2"/>
  <c r="V189" i="2"/>
  <c r="T653" i="2"/>
  <c r="AA653" i="2" s="1"/>
  <c r="T128" i="2"/>
  <c r="AA128" i="2" s="1"/>
  <c r="T45" i="2"/>
  <c r="AA45" i="2" s="1"/>
  <c r="S272" i="2"/>
  <c r="Z272" i="2" s="1"/>
  <c r="S125" i="2"/>
  <c r="Z125" i="2" s="1"/>
  <c r="W621" i="2"/>
  <c r="V125" i="2"/>
  <c r="U509" i="2"/>
  <c r="U272" i="2"/>
  <c r="T637" i="2"/>
  <c r="AA637" i="2" s="1"/>
  <c r="S45" i="2"/>
  <c r="Z45" i="2" s="1"/>
  <c r="V176" i="2"/>
  <c r="V109" i="2"/>
  <c r="U861" i="2"/>
  <c r="U477" i="2"/>
  <c r="U45" i="2"/>
  <c r="S253" i="2"/>
  <c r="Z253" i="2" s="1"/>
  <c r="R525" i="2"/>
  <c r="Y525" i="2" s="1"/>
  <c r="R125" i="2"/>
  <c r="Y125" i="2" s="1"/>
  <c r="W512" i="2"/>
  <c r="U157" i="2"/>
  <c r="S93" i="2"/>
  <c r="Z93" i="2" s="1"/>
  <c r="R45" i="2"/>
  <c r="Y45" i="2" s="1"/>
  <c r="U416" i="2"/>
  <c r="U237" i="2"/>
  <c r="U93" i="2"/>
  <c r="S80" i="2"/>
  <c r="Z80" i="2" s="1"/>
  <c r="W301" i="2"/>
  <c r="W189" i="2"/>
  <c r="V301" i="2"/>
  <c r="V45" i="2"/>
  <c r="U413" i="2"/>
  <c r="U224" i="2"/>
  <c r="T525" i="2"/>
  <c r="AA525" i="2" s="1"/>
  <c r="T93" i="2"/>
  <c r="AA93" i="2" s="1"/>
  <c r="W848" i="2"/>
  <c r="W237" i="2"/>
  <c r="V512" i="2"/>
  <c r="V237" i="2"/>
  <c r="V93" i="2"/>
  <c r="U733" i="2"/>
  <c r="U80" i="2"/>
  <c r="S589" i="2"/>
  <c r="Z589" i="2" s="1"/>
  <c r="S77" i="2"/>
  <c r="Z77" i="2" s="1"/>
  <c r="R237" i="2"/>
  <c r="Y237" i="2" s="1"/>
  <c r="R93" i="2"/>
  <c r="Y93" i="2" s="1"/>
  <c r="W109" i="2"/>
  <c r="V173" i="2"/>
  <c r="W141" i="2"/>
  <c r="V509" i="2"/>
  <c r="V368" i="2"/>
  <c r="V157" i="2"/>
  <c r="U221" i="2"/>
  <c r="U141" i="2"/>
  <c r="T416" i="2"/>
  <c r="AA416" i="2" s="1"/>
  <c r="W397" i="2"/>
  <c r="W557" i="2"/>
  <c r="W176" i="2"/>
  <c r="W93" i="2"/>
  <c r="V669" i="2"/>
  <c r="V221" i="2"/>
  <c r="U205" i="2"/>
  <c r="U77" i="2"/>
  <c r="T413" i="2"/>
  <c r="AA413" i="2" s="1"/>
  <c r="T176" i="2"/>
  <c r="AA176" i="2" s="1"/>
  <c r="T77" i="2"/>
  <c r="AA77" i="2" s="1"/>
  <c r="S157" i="2"/>
  <c r="Z157" i="2" s="1"/>
  <c r="R77" i="2"/>
  <c r="Y77" i="2" s="1"/>
  <c r="W349" i="2"/>
  <c r="W285" i="2"/>
  <c r="W173" i="2"/>
  <c r="V80" i="2"/>
  <c r="U320" i="2"/>
  <c r="T397" i="2"/>
  <c r="AA397" i="2" s="1"/>
  <c r="T173" i="2"/>
  <c r="AA173" i="2" s="1"/>
  <c r="W704" i="2"/>
  <c r="U464" i="2"/>
  <c r="W653" i="2"/>
  <c r="W464" i="2"/>
  <c r="W221" i="2"/>
  <c r="W128" i="2"/>
  <c r="W45" i="2"/>
  <c r="V285" i="2"/>
  <c r="V141" i="2"/>
  <c r="S61" i="2"/>
  <c r="Z61" i="2" s="1"/>
  <c r="R176" i="2"/>
  <c r="Y176" i="2" s="1"/>
  <c r="W461" i="2"/>
  <c r="W269" i="2"/>
  <c r="V637" i="2"/>
  <c r="V77" i="2"/>
  <c r="U573" i="2"/>
  <c r="U301" i="2"/>
  <c r="U125" i="2"/>
  <c r="T349" i="2"/>
  <c r="AA349" i="2" s="1"/>
  <c r="T61" i="2"/>
  <c r="AA61" i="2" s="1"/>
  <c r="W509" i="2"/>
  <c r="T205" i="2"/>
  <c r="AA205" i="2" s="1"/>
  <c r="W61" i="2"/>
  <c r="W781" i="2"/>
  <c r="W445" i="2"/>
  <c r="W125" i="2"/>
  <c r="W80" i="2"/>
  <c r="V349" i="2"/>
  <c r="V272" i="2"/>
  <c r="V205" i="2"/>
  <c r="U189" i="2"/>
  <c r="U61" i="2"/>
  <c r="T839" i="2"/>
  <c r="AA839" i="2" s="1"/>
  <c r="W375" i="2"/>
  <c r="V789" i="2"/>
  <c r="U172" i="2"/>
  <c r="W758" i="2"/>
  <c r="T172" i="2"/>
  <c r="AA172" i="2" s="1"/>
  <c r="S535" i="2"/>
  <c r="Z535" i="2" s="1"/>
  <c r="W757" i="2"/>
  <c r="W627" i="2"/>
  <c r="W365" i="2"/>
  <c r="V1041" i="2"/>
  <c r="V775" i="2"/>
  <c r="V605" i="2"/>
  <c r="V365" i="2"/>
  <c r="U801" i="2"/>
  <c r="T333" i="2"/>
  <c r="AA333" i="2" s="1"/>
  <c r="S172" i="2"/>
  <c r="Z172" i="2" s="1"/>
  <c r="W605" i="2"/>
  <c r="W429" i="2"/>
  <c r="W333" i="2"/>
  <c r="W92" i="2"/>
  <c r="V549" i="2"/>
  <c r="V436" i="2"/>
  <c r="V76" i="2"/>
  <c r="U333" i="2"/>
  <c r="T1045" i="2"/>
  <c r="AA1045" i="2" s="1"/>
  <c r="T285" i="2"/>
  <c r="AA285" i="2" s="1"/>
  <c r="T124" i="2"/>
  <c r="AA124" i="2" s="1"/>
  <c r="W172" i="2"/>
  <c r="W805" i="2"/>
  <c r="V909" i="2"/>
  <c r="S268" i="2"/>
  <c r="Z268" i="2" s="1"/>
  <c r="W675" i="2"/>
  <c r="W124" i="2"/>
  <c r="V675" i="2"/>
  <c r="V525" i="2"/>
  <c r="V124" i="2"/>
  <c r="U567" i="2"/>
  <c r="U309" i="2"/>
  <c r="W1037" i="2"/>
  <c r="T1119" i="2"/>
  <c r="AA1119" i="2" s="1"/>
  <c r="T94" i="2"/>
  <c r="AA94" i="2" s="1"/>
  <c r="R110" i="2"/>
  <c r="Y110" i="2" s="1"/>
  <c r="V895" i="2"/>
  <c r="S925" i="2"/>
  <c r="Z925" i="2" s="1"/>
  <c r="W1023" i="2"/>
  <c r="W671" i="2"/>
  <c r="V877" i="2"/>
  <c r="V94" i="2"/>
  <c r="V701" i="2"/>
  <c r="T607" i="2"/>
  <c r="AA607" i="2" s="1"/>
  <c r="W669" i="2"/>
  <c r="U483" i="2"/>
  <c r="V206" i="2"/>
  <c r="W991" i="2"/>
  <c r="V1007" i="2"/>
  <c r="U1078" i="2"/>
  <c r="U190" i="2"/>
  <c r="R158" i="2"/>
  <c r="Y158" i="2" s="1"/>
  <c r="W1103" i="2"/>
  <c r="W975" i="2"/>
  <c r="W863" i="2"/>
  <c r="W723" i="2"/>
  <c r="W573" i="2"/>
  <c r="W493" i="2"/>
  <c r="W413" i="2"/>
  <c r="W271" i="2"/>
  <c r="V655" i="2"/>
  <c r="V253" i="2"/>
  <c r="U255" i="2"/>
  <c r="T807" i="2"/>
  <c r="AA807" i="2" s="1"/>
  <c r="T518" i="2"/>
  <c r="AA518" i="2" s="1"/>
  <c r="T255" i="2"/>
  <c r="AA255" i="2" s="1"/>
  <c r="S484" i="2"/>
  <c r="Z484" i="2" s="1"/>
  <c r="R147" i="2"/>
  <c r="Y147" i="2" s="1"/>
  <c r="W973" i="2"/>
  <c r="W861" i="2"/>
  <c r="W483" i="2"/>
  <c r="W406" i="2"/>
  <c r="W326" i="2"/>
  <c r="V781" i="2"/>
  <c r="V653" i="2"/>
  <c r="U435" i="2"/>
  <c r="U253" i="2"/>
  <c r="T799" i="2"/>
  <c r="AA799" i="2" s="1"/>
  <c r="T245" i="2"/>
  <c r="AA245" i="2" s="1"/>
  <c r="S413" i="2"/>
  <c r="Z413" i="2" s="1"/>
  <c r="S99" i="2"/>
  <c r="Z99" i="2" s="1"/>
  <c r="W646" i="2"/>
  <c r="T62" i="2"/>
  <c r="AA62" i="2" s="1"/>
  <c r="W963" i="2"/>
  <c r="W637" i="2"/>
  <c r="U655" i="2"/>
  <c r="T243" i="2"/>
  <c r="AA243" i="2" s="1"/>
  <c r="S195" i="2"/>
  <c r="Z195" i="2" s="1"/>
  <c r="R675" i="2"/>
  <c r="Y675" i="2" s="1"/>
  <c r="W1040" i="2"/>
  <c r="W726" i="2"/>
  <c r="W518" i="2"/>
  <c r="V1122" i="2"/>
  <c r="U1101" i="2"/>
  <c r="T723" i="2"/>
  <c r="AA723" i="2" s="1"/>
  <c r="S531" i="2"/>
  <c r="Z531" i="2" s="1"/>
  <c r="R195" i="2"/>
  <c r="Y195" i="2" s="1"/>
  <c r="W724" i="2"/>
  <c r="V1117" i="2"/>
  <c r="U771" i="2"/>
  <c r="W934" i="2"/>
  <c r="W579" i="2"/>
  <c r="W374" i="2"/>
  <c r="V627" i="2"/>
  <c r="V406" i="2"/>
  <c r="T1040" i="2"/>
  <c r="AA1040" i="2" s="1"/>
  <c r="T412" i="2"/>
  <c r="AA412" i="2" s="1"/>
  <c r="W915" i="2"/>
  <c r="W790" i="2"/>
  <c r="W566" i="2"/>
  <c r="W502" i="2"/>
  <c r="V723" i="2"/>
  <c r="V483" i="2"/>
  <c r="R531" i="2"/>
  <c r="Y531" i="2" s="1"/>
  <c r="W628" i="2"/>
  <c r="U963" i="2"/>
  <c r="T580" i="2"/>
  <c r="AA580" i="2" s="1"/>
  <c r="S339" i="2"/>
  <c r="Z339" i="2" s="1"/>
  <c r="W1085" i="2"/>
  <c r="T579" i="2"/>
  <c r="AA579" i="2" s="1"/>
  <c r="W989" i="2"/>
  <c r="W886" i="2"/>
  <c r="W771" i="2"/>
  <c r="W484" i="2"/>
  <c r="V867" i="2"/>
  <c r="R422" i="2"/>
  <c r="Y422" i="2" s="1"/>
  <c r="W676" i="2"/>
  <c r="T806" i="2"/>
  <c r="AA806" i="2" s="1"/>
  <c r="T531" i="2"/>
  <c r="AA531" i="2" s="1"/>
  <c r="S771" i="2"/>
  <c r="Z771" i="2" s="1"/>
  <c r="W171" i="2"/>
  <c r="S411" i="2"/>
  <c r="Z411" i="2" s="1"/>
  <c r="U315" i="2"/>
  <c r="V219" i="2"/>
  <c r="V171" i="2"/>
  <c r="W123" i="2"/>
  <c r="W41" i="2"/>
  <c r="V998" i="2"/>
  <c r="U950" i="2"/>
  <c r="V1118" i="2"/>
  <c r="T1059" i="2"/>
  <c r="AA1059" i="2" s="1"/>
  <c r="V41" i="2"/>
  <c r="V819" i="2"/>
  <c r="V500" i="2"/>
  <c r="U867" i="2"/>
  <c r="V267" i="2"/>
  <c r="V987" i="2"/>
  <c r="W946" i="2"/>
  <c r="W742" i="2"/>
  <c r="W614" i="2"/>
  <c r="W417" i="2"/>
  <c r="V963" i="2"/>
  <c r="V699" i="2"/>
  <c r="U1122" i="2"/>
  <c r="U866" i="2"/>
  <c r="U642" i="2"/>
  <c r="U75" i="2"/>
  <c r="T1042" i="2"/>
  <c r="AA1042" i="2" s="1"/>
  <c r="W935" i="2"/>
  <c r="W470" i="2"/>
  <c r="W411" i="2"/>
  <c r="W337" i="2"/>
  <c r="V801" i="2"/>
  <c r="V374" i="2"/>
  <c r="U123" i="2"/>
  <c r="T49" i="2"/>
  <c r="AA49" i="2" s="1"/>
  <c r="S145" i="2"/>
  <c r="Z145" i="2" s="1"/>
  <c r="R113" i="2"/>
  <c r="Y113" i="2" s="1"/>
  <c r="R49" i="2"/>
  <c r="Y49" i="2" s="1"/>
  <c r="W272" i="2"/>
  <c r="V441" i="2"/>
  <c r="U57" i="2"/>
  <c r="T41" i="2"/>
  <c r="AA41" i="2" s="1"/>
  <c r="V73" i="2"/>
  <c r="U473" i="2"/>
  <c r="T464" i="2"/>
  <c r="AA464" i="2" s="1"/>
  <c r="W320" i="2"/>
  <c r="W224" i="2"/>
  <c r="V1108" i="2"/>
  <c r="V848" i="2"/>
  <c r="V617" i="2"/>
  <c r="U217" i="2"/>
  <c r="S73" i="2"/>
  <c r="Z73" i="2" s="1"/>
  <c r="R73" i="2"/>
  <c r="Y73" i="2" s="1"/>
  <c r="W73" i="2"/>
  <c r="S992" i="2"/>
  <c r="Z992" i="2" s="1"/>
  <c r="V224" i="2"/>
  <c r="T73" i="2"/>
  <c r="AA73" i="2" s="1"/>
  <c r="W745" i="2"/>
  <c r="T617" i="2"/>
  <c r="AA617" i="2" s="1"/>
  <c r="W313" i="2"/>
  <c r="W560" i="2"/>
  <c r="W368" i="2"/>
  <c r="W58" i="2"/>
  <c r="V416" i="2"/>
  <c r="T944" i="2"/>
  <c r="AA944" i="2" s="1"/>
  <c r="S368" i="2"/>
  <c r="Z368" i="2" s="1"/>
  <c r="R368" i="2"/>
  <c r="Y368" i="2" s="1"/>
  <c r="R128" i="2"/>
  <c r="Y128" i="2" s="1"/>
  <c r="W57" i="2"/>
  <c r="V409" i="2"/>
  <c r="U608" i="2"/>
  <c r="U425" i="2"/>
  <c r="T896" i="2"/>
  <c r="AA896" i="2" s="1"/>
  <c r="S224" i="2"/>
  <c r="Z224" i="2" s="1"/>
  <c r="S57" i="2"/>
  <c r="Z57" i="2" s="1"/>
  <c r="W633" i="2"/>
  <c r="W608" i="2"/>
  <c r="W250" i="2"/>
  <c r="V800" i="2"/>
  <c r="U800" i="2"/>
  <c r="S813" i="2"/>
  <c r="Z813" i="2" s="1"/>
  <c r="U41" i="2"/>
  <c r="W896" i="2"/>
  <c r="W800" i="2"/>
  <c r="W656" i="2"/>
  <c r="W416" i="2"/>
  <c r="U992" i="2"/>
  <c r="U368" i="2"/>
  <c r="U185" i="2"/>
  <c r="T569" i="2"/>
  <c r="AA569" i="2" s="1"/>
  <c r="T58" i="2"/>
  <c r="AA58" i="2" s="1"/>
  <c r="T57" i="2"/>
  <c r="AA57" i="2" s="1"/>
  <c r="V320" i="2"/>
  <c r="U176" i="2"/>
  <c r="T320" i="2"/>
  <c r="AA320" i="2" s="1"/>
  <c r="T185" i="2"/>
  <c r="AA185" i="2" s="1"/>
  <c r="S320" i="2"/>
  <c r="Z320" i="2" s="1"/>
  <c r="V560" i="2"/>
  <c r="U944" i="2"/>
  <c r="U73" i="2"/>
  <c r="S176" i="2"/>
  <c r="Z176" i="2" s="1"/>
  <c r="S41" i="2"/>
  <c r="Z41" i="2" s="1"/>
  <c r="W1035" i="2"/>
  <c r="W847" i="2"/>
  <c r="W772" i="2"/>
  <c r="W459" i="2"/>
  <c r="U699" i="2"/>
  <c r="U560" i="2"/>
  <c r="U219" i="2"/>
  <c r="T411" i="2"/>
  <c r="AA411" i="2" s="1"/>
  <c r="S800" i="2"/>
  <c r="Z800" i="2" s="1"/>
  <c r="S255" i="2"/>
  <c r="Z255" i="2" s="1"/>
  <c r="S158" i="2"/>
  <c r="Z158" i="2" s="1"/>
  <c r="R315" i="2"/>
  <c r="Y315" i="2" s="1"/>
  <c r="W1117" i="2"/>
  <c r="W909" i="2"/>
  <c r="W845" i="2"/>
  <c r="V1087" i="2"/>
  <c r="V765" i="2"/>
  <c r="V58" i="2"/>
  <c r="U58" i="2"/>
  <c r="T752" i="2"/>
  <c r="AA752" i="2" s="1"/>
  <c r="T407" i="2"/>
  <c r="AA407" i="2" s="1"/>
  <c r="T267" i="2"/>
  <c r="AA267" i="2" s="1"/>
  <c r="S42" i="2"/>
  <c r="Z42" i="2" s="1"/>
  <c r="R74" i="2"/>
  <c r="Y74" i="2" s="1"/>
  <c r="V763" i="2"/>
  <c r="R267" i="2"/>
  <c r="Y267" i="2" s="1"/>
  <c r="W1101" i="2"/>
  <c r="W957" i="2"/>
  <c r="V845" i="2"/>
  <c r="U525" i="2"/>
  <c r="T151" i="2"/>
  <c r="AA151" i="2" s="1"/>
  <c r="S655" i="2"/>
  <c r="Z655" i="2" s="1"/>
  <c r="R71" i="2"/>
  <c r="Y71" i="2" s="1"/>
  <c r="W1021" i="2"/>
  <c r="W829" i="2"/>
  <c r="W717" i="2"/>
  <c r="V507" i="2"/>
  <c r="V315" i="2"/>
  <c r="W893" i="2"/>
  <c r="W765" i="2"/>
  <c r="W555" i="2"/>
  <c r="W381" i="2"/>
  <c r="V944" i="2"/>
  <c r="V843" i="2"/>
  <c r="V751" i="2"/>
  <c r="V656" i="2"/>
  <c r="V429" i="2"/>
  <c r="V363" i="2"/>
  <c r="U669" i="2"/>
  <c r="U512" i="2"/>
  <c r="U365" i="2"/>
  <c r="U267" i="2"/>
  <c r="T724" i="2"/>
  <c r="AA724" i="2" s="1"/>
  <c r="T363" i="2"/>
  <c r="AA363" i="2" s="1"/>
  <c r="S653" i="2"/>
  <c r="Z653" i="2" s="1"/>
  <c r="S340" i="2"/>
  <c r="Z340" i="2" s="1"/>
  <c r="S75" i="2"/>
  <c r="Z75" i="2" s="1"/>
  <c r="T42" i="2"/>
  <c r="AA42" i="2" s="1"/>
  <c r="S74" i="2"/>
  <c r="Z74" i="2" s="1"/>
  <c r="R219" i="2"/>
  <c r="Y219" i="2" s="1"/>
  <c r="U363" i="2"/>
  <c r="T234" i="2"/>
  <c r="AA234" i="2" s="1"/>
  <c r="W651" i="2"/>
  <c r="S219" i="2"/>
  <c r="Z219" i="2" s="1"/>
  <c r="R603" i="2"/>
  <c r="Y603" i="2" s="1"/>
  <c r="W1005" i="2"/>
  <c r="U138" i="2"/>
  <c r="W944" i="2"/>
  <c r="W877" i="2"/>
  <c r="W813" i="2"/>
  <c r="W752" i="2"/>
  <c r="W701" i="2"/>
  <c r="W603" i="2"/>
  <c r="W541" i="2"/>
  <c r="W75" i="2"/>
  <c r="W42" i="2"/>
  <c r="V1021" i="2"/>
  <c r="V925" i="2"/>
  <c r="V733" i="2"/>
  <c r="V559" i="2"/>
  <c r="U987" i="2"/>
  <c r="U807" i="2"/>
  <c r="T699" i="2"/>
  <c r="AA699" i="2" s="1"/>
  <c r="T219" i="2"/>
  <c r="AA219" i="2" s="1"/>
  <c r="T142" i="2"/>
  <c r="AA142" i="2" s="1"/>
  <c r="S207" i="2"/>
  <c r="Z207" i="2" s="1"/>
  <c r="R122" i="2"/>
  <c r="Y122" i="2" s="1"/>
  <c r="W843" i="2"/>
  <c r="W507" i="2"/>
  <c r="U362" i="2"/>
  <c r="T973" i="2"/>
  <c r="AA973" i="2" s="1"/>
  <c r="W992" i="2"/>
  <c r="W941" i="2"/>
  <c r="W871" i="2"/>
  <c r="W749" i="2"/>
  <c r="W699" i="2"/>
  <c r="W315" i="2"/>
  <c r="W267" i="2"/>
  <c r="W74" i="2"/>
  <c r="V919" i="2"/>
  <c r="V724" i="2"/>
  <c r="V555" i="2"/>
  <c r="V464" i="2"/>
  <c r="V411" i="2"/>
  <c r="V42" i="2"/>
  <c r="U973" i="2"/>
  <c r="U637" i="2"/>
  <c r="T512" i="2"/>
  <c r="AA512" i="2" s="1"/>
  <c r="T215" i="2"/>
  <c r="AA215" i="2" s="1"/>
  <c r="T75" i="2"/>
  <c r="AA75" i="2" s="1"/>
  <c r="S541" i="2"/>
  <c r="Z541" i="2" s="1"/>
  <c r="R527" i="2"/>
  <c r="Y527" i="2" s="1"/>
  <c r="R202" i="2"/>
  <c r="Y202" i="2" s="1"/>
  <c r="R58" i="2"/>
  <c r="Y58" i="2" s="1"/>
  <c r="V123" i="2"/>
  <c r="V75" i="2"/>
  <c r="U42" i="2"/>
  <c r="T507" i="2"/>
  <c r="AA507" i="2" s="1"/>
  <c r="T74" i="2"/>
  <c r="AA74" i="2" s="1"/>
  <c r="W747" i="2"/>
  <c r="W698" i="2"/>
  <c r="W363" i="2"/>
  <c r="W219" i="2"/>
  <c r="V459" i="2"/>
  <c r="V122" i="2"/>
  <c r="V74" i="2"/>
  <c r="U795" i="2"/>
  <c r="T315" i="2"/>
  <c r="AA315" i="2" s="1"/>
  <c r="S58" i="2"/>
  <c r="Z58" i="2" s="1"/>
  <c r="S106" i="2"/>
  <c r="Z106" i="2" s="1"/>
  <c r="W987" i="2"/>
  <c r="W795" i="2"/>
  <c r="U603" i="2"/>
  <c r="U74" i="2"/>
  <c r="S459" i="2"/>
  <c r="Z459" i="2" s="1"/>
  <c r="V522" i="2"/>
  <c r="T55" i="2"/>
  <c r="AA55" i="2" s="1"/>
  <c r="S183" i="2"/>
  <c r="Z183" i="2" s="1"/>
  <c r="W1126" i="2"/>
  <c r="W1014" i="2"/>
  <c r="W929" i="2"/>
  <c r="W806" i="2"/>
  <c r="W631" i="2"/>
  <c r="W598" i="2"/>
  <c r="W551" i="2"/>
  <c r="W247" i="2"/>
  <c r="V769" i="2"/>
  <c r="V695" i="2"/>
  <c r="V625" i="2"/>
  <c r="V310" i="2"/>
  <c r="V167" i="2"/>
  <c r="V81" i="2"/>
  <c r="V55" i="2"/>
  <c r="U909" i="2"/>
  <c r="U470" i="2"/>
  <c r="U359" i="2"/>
  <c r="U129" i="2"/>
  <c r="U87" i="2"/>
  <c r="U55" i="2"/>
  <c r="T614" i="2"/>
  <c r="AA614" i="2" s="1"/>
  <c r="T206" i="2"/>
  <c r="AA206" i="2" s="1"/>
  <c r="T87" i="2"/>
  <c r="AA87" i="2" s="1"/>
  <c r="S877" i="2"/>
  <c r="Z877" i="2" s="1"/>
  <c r="S525" i="2"/>
  <c r="Z525" i="2" s="1"/>
  <c r="S118" i="2"/>
  <c r="Z118" i="2" s="1"/>
  <c r="S39" i="2"/>
  <c r="Z39" i="2" s="1"/>
  <c r="R391" i="2"/>
  <c r="Y391" i="2" s="1"/>
  <c r="R206" i="2"/>
  <c r="Y206" i="2" s="1"/>
  <c r="W1063" i="2"/>
  <c r="W759" i="2"/>
  <c r="W550" i="2"/>
  <c r="W503" i="2"/>
  <c r="V391" i="2"/>
  <c r="V166" i="2"/>
  <c r="U1063" i="2"/>
  <c r="U657" i="2"/>
  <c r="U551" i="2"/>
  <c r="U86" i="2"/>
  <c r="S327" i="2"/>
  <c r="Z327" i="2" s="1"/>
  <c r="S113" i="2"/>
  <c r="Z113" i="2" s="1"/>
  <c r="V839" i="2"/>
  <c r="U279" i="2"/>
  <c r="V902" i="2"/>
  <c r="V615" i="2"/>
  <c r="V343" i="2"/>
  <c r="V247" i="2"/>
  <c r="V119" i="2"/>
  <c r="U790" i="2"/>
  <c r="U535" i="2"/>
  <c r="U215" i="2"/>
  <c r="U167" i="2"/>
  <c r="T359" i="2"/>
  <c r="AA359" i="2" s="1"/>
  <c r="T279" i="2"/>
  <c r="AA279" i="2" s="1"/>
  <c r="T199" i="2"/>
  <c r="AA199" i="2" s="1"/>
  <c r="S71" i="2"/>
  <c r="Z71" i="2" s="1"/>
  <c r="R199" i="2"/>
  <c r="Y199" i="2" s="1"/>
  <c r="W1057" i="2"/>
  <c r="W711" i="2"/>
  <c r="W454" i="2"/>
  <c r="W407" i="2"/>
  <c r="W278" i="2"/>
  <c r="W206" i="2"/>
  <c r="W167" i="2"/>
  <c r="V614" i="2"/>
  <c r="V502" i="2"/>
  <c r="V295" i="2"/>
  <c r="V118" i="2"/>
  <c r="U1053" i="2"/>
  <c r="U893" i="2"/>
  <c r="U775" i="2"/>
  <c r="U214" i="2"/>
  <c r="U166" i="2"/>
  <c r="T1030" i="2"/>
  <c r="AA1030" i="2" s="1"/>
  <c r="T598" i="2"/>
  <c r="AA598" i="2" s="1"/>
  <c r="T477" i="2"/>
  <c r="AA477" i="2" s="1"/>
  <c r="T358" i="2"/>
  <c r="AA358" i="2" s="1"/>
  <c r="T135" i="2"/>
  <c r="AA135" i="2" s="1"/>
  <c r="S423" i="2"/>
  <c r="Z423" i="2" s="1"/>
  <c r="S238" i="2"/>
  <c r="Z238" i="2" s="1"/>
  <c r="W1015" i="2"/>
  <c r="U471" i="2"/>
  <c r="W455" i="2"/>
  <c r="W279" i="2"/>
  <c r="W583" i="2"/>
  <c r="W135" i="2"/>
  <c r="V807" i="2"/>
  <c r="V199" i="2"/>
  <c r="S231" i="2"/>
  <c r="Z231" i="2" s="1"/>
  <c r="W1127" i="2"/>
  <c r="V311" i="2"/>
  <c r="T615" i="2"/>
  <c r="AA615" i="2" s="1"/>
  <c r="W710" i="2"/>
  <c r="S103" i="2"/>
  <c r="Z103" i="2" s="1"/>
  <c r="W1107" i="2"/>
  <c r="W1053" i="2"/>
  <c r="W999" i="2"/>
  <c r="W951" i="2"/>
  <c r="W662" i="2"/>
  <c r="W487" i="2"/>
  <c r="W439" i="2"/>
  <c r="W358" i="2"/>
  <c r="W199" i="2"/>
  <c r="W134" i="2"/>
  <c r="V743" i="2"/>
  <c r="V550" i="2"/>
  <c r="V151" i="2"/>
  <c r="V113" i="2"/>
  <c r="U615" i="2"/>
  <c r="U518" i="2"/>
  <c r="U327" i="2"/>
  <c r="U199" i="2"/>
  <c r="U46" i="2"/>
  <c r="T747" i="2"/>
  <c r="AA747" i="2" s="1"/>
  <c r="T455" i="2"/>
  <c r="AA455" i="2" s="1"/>
  <c r="T343" i="2"/>
  <c r="AA343" i="2" s="1"/>
  <c r="T263" i="2"/>
  <c r="AA263" i="2" s="1"/>
  <c r="S412" i="2"/>
  <c r="Z412" i="2" s="1"/>
  <c r="S230" i="2"/>
  <c r="Z230" i="2" s="1"/>
  <c r="S62" i="2"/>
  <c r="Z62" i="2" s="1"/>
  <c r="R717" i="2"/>
  <c r="Y717" i="2" s="1"/>
  <c r="R333" i="2"/>
  <c r="Y333" i="2" s="1"/>
  <c r="W599" i="2"/>
  <c r="T391" i="2"/>
  <c r="AA391" i="2" s="1"/>
  <c r="W919" i="2"/>
  <c r="W359" i="2"/>
  <c r="W103" i="2"/>
  <c r="V551" i="2"/>
  <c r="U454" i="2"/>
  <c r="R358" i="2"/>
  <c r="Y358" i="2" s="1"/>
  <c r="W1105" i="2"/>
  <c r="W950" i="2"/>
  <c r="W438" i="2"/>
  <c r="W311" i="2"/>
  <c r="W71" i="2"/>
  <c r="W39" i="2"/>
  <c r="V950" i="2"/>
  <c r="V663" i="2"/>
  <c r="V598" i="2"/>
  <c r="V375" i="2"/>
  <c r="U247" i="2"/>
  <c r="U119" i="2"/>
  <c r="T454" i="2"/>
  <c r="AA454" i="2" s="1"/>
  <c r="T262" i="2"/>
  <c r="AA262" i="2" s="1"/>
  <c r="T183" i="2"/>
  <c r="AA183" i="2" s="1"/>
  <c r="T39" i="2"/>
  <c r="AA39" i="2" s="1"/>
  <c r="S700" i="2"/>
  <c r="Z700" i="2" s="1"/>
  <c r="S151" i="2"/>
  <c r="Z151" i="2" s="1"/>
  <c r="S97" i="2"/>
  <c r="Z97" i="2" s="1"/>
  <c r="R699" i="2"/>
  <c r="Y699" i="2" s="1"/>
  <c r="R327" i="2"/>
  <c r="Y327" i="2" s="1"/>
  <c r="R97" i="2"/>
  <c r="Y97" i="2" s="1"/>
  <c r="U151" i="2"/>
  <c r="S407" i="2"/>
  <c r="Z407" i="2" s="1"/>
  <c r="W391" i="2"/>
  <c r="S311" i="2"/>
  <c r="Z311" i="2" s="1"/>
  <c r="W743" i="2"/>
  <c r="W615" i="2"/>
  <c r="W343" i="2"/>
  <c r="V423" i="2"/>
  <c r="V327" i="2"/>
  <c r="V183" i="2"/>
  <c r="V71" i="2"/>
  <c r="V39" i="2"/>
  <c r="U311" i="2"/>
  <c r="T567" i="2"/>
  <c r="AA567" i="2" s="1"/>
  <c r="T327" i="2"/>
  <c r="AA327" i="2" s="1"/>
  <c r="T71" i="2"/>
  <c r="AA71" i="2" s="1"/>
  <c r="S295" i="2"/>
  <c r="Z295" i="2" s="1"/>
  <c r="W1095" i="2"/>
  <c r="W839" i="2"/>
  <c r="W519" i="2"/>
  <c r="W263" i="2"/>
  <c r="V1015" i="2"/>
  <c r="V935" i="2"/>
  <c r="V790" i="2"/>
  <c r="V727" i="2"/>
  <c r="V583" i="2"/>
  <c r="V279" i="2"/>
  <c r="V231" i="2"/>
  <c r="U711" i="2"/>
  <c r="U503" i="2"/>
  <c r="U407" i="2"/>
  <c r="T119" i="2"/>
  <c r="AA119" i="2" s="1"/>
  <c r="S215" i="2"/>
  <c r="Z215" i="2" s="1"/>
  <c r="S86" i="2"/>
  <c r="Z86" i="2" s="1"/>
  <c r="R551" i="2"/>
  <c r="Y551" i="2" s="1"/>
  <c r="W791" i="2"/>
  <c r="W231" i="2"/>
  <c r="V103" i="2"/>
  <c r="T439" i="2"/>
  <c r="AA439" i="2" s="1"/>
  <c r="W887" i="2"/>
  <c r="W471" i="2"/>
  <c r="V934" i="2"/>
  <c r="V471" i="2"/>
  <c r="U599" i="2"/>
  <c r="U391" i="2"/>
  <c r="U71" i="2"/>
  <c r="U39" i="2"/>
  <c r="T550" i="2"/>
  <c r="AA550" i="2" s="1"/>
  <c r="R247" i="2"/>
  <c r="Y247" i="2" s="1"/>
  <c r="W1031" i="2"/>
  <c r="W775" i="2"/>
  <c r="V854" i="2"/>
  <c r="V647" i="2"/>
  <c r="V519" i="2"/>
  <c r="U598" i="2"/>
  <c r="U375" i="2"/>
  <c r="U103" i="2"/>
  <c r="T934" i="2"/>
  <c r="AA934" i="2" s="1"/>
  <c r="T231" i="2"/>
  <c r="AA231" i="2" s="1"/>
  <c r="S135" i="2"/>
  <c r="Z135" i="2" s="1"/>
  <c r="V487" i="2"/>
  <c r="W982" i="2"/>
  <c r="W823" i="2"/>
  <c r="W695" i="2"/>
  <c r="W87" i="2"/>
  <c r="W1079" i="2"/>
  <c r="W727" i="2"/>
  <c r="W694" i="2"/>
  <c r="W423" i="2"/>
  <c r="W183" i="2"/>
  <c r="V518" i="2"/>
  <c r="V359" i="2"/>
  <c r="U231" i="2"/>
  <c r="T311" i="2"/>
  <c r="AA311" i="2" s="1"/>
  <c r="T167" i="2"/>
  <c r="AA167" i="2" s="1"/>
  <c r="S359" i="2"/>
  <c r="Z359" i="2" s="1"/>
  <c r="R39" i="2"/>
  <c r="Y39" i="2" s="1"/>
  <c r="W677" i="2"/>
  <c r="T229" i="2"/>
  <c r="AA229" i="2" s="1"/>
  <c r="U1111" i="2"/>
  <c r="W1111" i="2"/>
  <c r="Q1047" i="8"/>
  <c r="W1047" i="2"/>
  <c r="Q983" i="8"/>
  <c r="W983" i="2"/>
  <c r="S967" i="2"/>
  <c r="Z967" i="2" s="1"/>
  <c r="V967" i="2"/>
  <c r="U903" i="2"/>
  <c r="W903" i="2"/>
  <c r="S855" i="2"/>
  <c r="Z855" i="2" s="1"/>
  <c r="W855" i="2"/>
  <c r="V855" i="2"/>
  <c r="S917" i="2"/>
  <c r="Z917" i="2" s="1"/>
  <c r="V917" i="2"/>
  <c r="Q645" i="8"/>
  <c r="U645" i="2"/>
  <c r="T645" i="2"/>
  <c r="AA645" i="2" s="1"/>
  <c r="U629" i="2"/>
  <c r="V629" i="2"/>
  <c r="V613" i="2"/>
  <c r="W613" i="2"/>
  <c r="U597" i="2"/>
  <c r="W597" i="2"/>
  <c r="S533" i="2"/>
  <c r="Z533" i="2" s="1"/>
  <c r="W533" i="2"/>
  <c r="S517" i="2"/>
  <c r="Z517" i="2" s="1"/>
  <c r="U517" i="2"/>
  <c r="Q453" i="8"/>
  <c r="T453" i="2"/>
  <c r="AA453" i="2" s="1"/>
  <c r="V437" i="2"/>
  <c r="W437" i="2"/>
  <c r="S421" i="2"/>
  <c r="Z421" i="2" s="1"/>
  <c r="W421" i="2"/>
  <c r="Q405" i="8"/>
  <c r="T405" i="2"/>
  <c r="AA405" i="2" s="1"/>
  <c r="W405" i="2"/>
  <c r="R405" i="2"/>
  <c r="Y405" i="2" s="1"/>
  <c r="S373" i="2"/>
  <c r="Z373" i="2" s="1"/>
  <c r="V373" i="2"/>
  <c r="S341" i="2"/>
  <c r="Z341" i="2" s="1"/>
  <c r="W341" i="2"/>
  <c r="R325" i="2"/>
  <c r="Y325" i="2" s="1"/>
  <c r="W325" i="2"/>
  <c r="S261" i="2"/>
  <c r="Z261" i="2" s="1"/>
  <c r="R261" i="2"/>
  <c r="Y261" i="2" s="1"/>
  <c r="Q213" i="8"/>
  <c r="S213" i="2"/>
  <c r="Z213" i="2" s="1"/>
  <c r="Q181" i="8"/>
  <c r="V181" i="2"/>
  <c r="Q165" i="8"/>
  <c r="R165" i="2"/>
  <c r="Y165" i="2" s="1"/>
  <c r="Q149" i="8"/>
  <c r="W149" i="2"/>
  <c r="Q133" i="8"/>
  <c r="W133" i="2"/>
  <c r="Q117" i="8"/>
  <c r="U117" i="2"/>
  <c r="T101" i="2"/>
  <c r="AA101" i="2" s="1"/>
  <c r="W101" i="2"/>
  <c r="S101" i="2"/>
  <c r="Z101" i="2" s="1"/>
  <c r="Q69" i="8"/>
  <c r="T69" i="2"/>
  <c r="AA69" i="2" s="1"/>
  <c r="Q53" i="8"/>
  <c r="T53" i="2"/>
  <c r="AA53" i="2" s="1"/>
  <c r="V53" i="2"/>
  <c r="R53" i="2"/>
  <c r="Y53" i="2" s="1"/>
  <c r="Q37" i="8"/>
  <c r="R37" i="2"/>
  <c r="Y37" i="2" s="1"/>
  <c r="V37" i="2"/>
  <c r="W37" i="2"/>
  <c r="S37" i="2"/>
  <c r="Z37" i="2" s="1"/>
  <c r="V837" i="2"/>
  <c r="W837" i="2"/>
  <c r="S741" i="2"/>
  <c r="Z741" i="2" s="1"/>
  <c r="V741" i="2"/>
  <c r="Q709" i="8"/>
  <c r="U709" i="2"/>
  <c r="U501" i="2"/>
  <c r="T501" i="2"/>
  <c r="AA501" i="2" s="1"/>
  <c r="W501" i="2"/>
  <c r="V85" i="2"/>
  <c r="U373" i="2"/>
  <c r="T373" i="2"/>
  <c r="AA373" i="2" s="1"/>
  <c r="R117" i="2"/>
  <c r="Y117" i="2" s="1"/>
  <c r="W1029" i="2"/>
  <c r="V965" i="2"/>
  <c r="V421" i="2"/>
  <c r="V149" i="2"/>
  <c r="V117" i="2"/>
  <c r="U565" i="2"/>
  <c r="T469" i="2"/>
  <c r="AA469" i="2" s="1"/>
  <c r="S549" i="2"/>
  <c r="Z549" i="2" s="1"/>
  <c r="S293" i="2"/>
  <c r="Z293" i="2" s="1"/>
  <c r="W1125" i="2"/>
  <c r="W293" i="2"/>
  <c r="W261" i="2"/>
  <c r="W69" i="2"/>
  <c r="V901" i="2"/>
  <c r="V469" i="2"/>
  <c r="T741" i="2"/>
  <c r="AA741" i="2" s="1"/>
  <c r="W789" i="2"/>
  <c r="W373" i="2"/>
  <c r="V565" i="2"/>
  <c r="V517" i="2"/>
  <c r="U69" i="2"/>
  <c r="T85" i="2"/>
  <c r="AA85" i="2" s="1"/>
  <c r="S357" i="2"/>
  <c r="Z357" i="2" s="1"/>
  <c r="S53" i="2"/>
  <c r="Z53" i="2" s="1"/>
  <c r="R645" i="2"/>
  <c r="Y645" i="2" s="1"/>
  <c r="Q1088" i="8"/>
  <c r="W1088" i="2"/>
  <c r="W885" i="2"/>
  <c r="W661" i="2"/>
  <c r="V1035" i="2"/>
  <c r="V757" i="2"/>
  <c r="T197" i="2"/>
  <c r="AA197" i="2" s="1"/>
  <c r="W1077" i="2"/>
  <c r="W933" i="2"/>
  <c r="W821" i="2"/>
  <c r="W453" i="2"/>
  <c r="V949" i="2"/>
  <c r="V677" i="2"/>
  <c r="U773" i="2"/>
  <c r="U341" i="2"/>
  <c r="U277" i="2"/>
  <c r="S133" i="2"/>
  <c r="Z133" i="2" s="1"/>
  <c r="R597" i="2"/>
  <c r="Y597" i="2" s="1"/>
  <c r="W549" i="2"/>
  <c r="W965" i="2"/>
  <c r="W1109" i="2"/>
  <c r="W485" i="2"/>
  <c r="W181" i="2"/>
  <c r="W85" i="2"/>
  <c r="V805" i="2"/>
  <c r="V101" i="2"/>
  <c r="U133" i="2"/>
  <c r="U37" i="2"/>
  <c r="T261" i="2"/>
  <c r="AA261" i="2" s="1"/>
  <c r="V133" i="2"/>
  <c r="S453" i="2"/>
  <c r="Z453" i="2" s="1"/>
  <c r="W725" i="2"/>
  <c r="W693" i="2"/>
  <c r="T821" i="2"/>
  <c r="AA821" i="2" s="1"/>
  <c r="S709" i="2"/>
  <c r="Z709" i="2" s="1"/>
  <c r="S325" i="2"/>
  <c r="Z325" i="2" s="1"/>
  <c r="W917" i="2"/>
  <c r="W389" i="2"/>
  <c r="W357" i="2"/>
  <c r="W277" i="2"/>
  <c r="W53" i="2"/>
  <c r="V661" i="2"/>
  <c r="V213" i="2"/>
  <c r="V69" i="2"/>
  <c r="U213" i="2"/>
  <c r="U53" i="2"/>
  <c r="W797" i="2"/>
  <c r="W535" i="2"/>
  <c r="U943" i="2"/>
  <c r="U607" i="2"/>
  <c r="U461" i="2"/>
  <c r="T797" i="2"/>
  <c r="AA797" i="2" s="1"/>
  <c r="T541" i="2"/>
  <c r="AA541" i="2" s="1"/>
  <c r="T159" i="2"/>
  <c r="AA159" i="2" s="1"/>
  <c r="T111" i="2"/>
  <c r="AA111" i="2" s="1"/>
  <c r="S460" i="2"/>
  <c r="Z460" i="2" s="1"/>
  <c r="S349" i="2"/>
  <c r="Z349" i="2" s="1"/>
  <c r="S63" i="2"/>
  <c r="Z63" i="2" s="1"/>
  <c r="R493" i="2"/>
  <c r="Y493" i="2" s="1"/>
  <c r="W685" i="2"/>
  <c r="V742" i="2"/>
  <c r="V685" i="2"/>
  <c r="V223" i="2"/>
  <c r="U829" i="2"/>
  <c r="W1046" i="2"/>
  <c r="W679" i="2"/>
  <c r="W647" i="2"/>
  <c r="W575" i="2"/>
  <c r="W460" i="2"/>
  <c r="W207" i="2"/>
  <c r="W175" i="2"/>
  <c r="W63" i="2"/>
  <c r="V915" i="2"/>
  <c r="V799" i="2"/>
  <c r="V679" i="2"/>
  <c r="V628" i="2"/>
  <c r="V527" i="2"/>
  <c r="V493" i="2"/>
  <c r="V439" i="2"/>
  <c r="V397" i="2"/>
  <c r="V143" i="2"/>
  <c r="U1071" i="2"/>
  <c r="U455" i="2"/>
  <c r="U343" i="2"/>
  <c r="U285" i="2"/>
  <c r="U188" i="2"/>
  <c r="T1010" i="2"/>
  <c r="AA1010" i="2" s="1"/>
  <c r="T771" i="2"/>
  <c r="AA771" i="2" s="1"/>
  <c r="T445" i="2"/>
  <c r="AA445" i="2" s="1"/>
  <c r="T207" i="2"/>
  <c r="AA207" i="2" s="1"/>
  <c r="S727" i="2"/>
  <c r="Z727" i="2" s="1"/>
  <c r="R483" i="2"/>
  <c r="Y483" i="2" s="1"/>
  <c r="R255" i="2"/>
  <c r="Y255" i="2" s="1"/>
  <c r="R159" i="2"/>
  <c r="Y159" i="2" s="1"/>
  <c r="W1069" i="2"/>
  <c r="W807" i="2"/>
  <c r="W733" i="2"/>
  <c r="W663" i="2"/>
  <c r="W477" i="2"/>
  <c r="W191" i="2"/>
  <c r="V896" i="2"/>
  <c r="V717" i="2"/>
  <c r="V599" i="2"/>
  <c r="V557" i="2"/>
  <c r="V461" i="2"/>
  <c r="U474" i="2"/>
  <c r="U381" i="2"/>
  <c r="T909" i="2"/>
  <c r="AA909" i="2" s="1"/>
  <c r="T733" i="2"/>
  <c r="AA733" i="2" s="1"/>
  <c r="T239" i="2"/>
  <c r="AA239" i="2" s="1"/>
  <c r="S915" i="2"/>
  <c r="Z915" i="2" s="1"/>
  <c r="S391" i="2"/>
  <c r="Z391" i="2" s="1"/>
  <c r="S239" i="2"/>
  <c r="Z239" i="2" s="1"/>
  <c r="R365" i="2"/>
  <c r="Y365" i="2" s="1"/>
  <c r="W997" i="2"/>
  <c r="W581" i="2"/>
  <c r="V853" i="2"/>
  <c r="V693" i="2"/>
  <c r="V645" i="2"/>
  <c r="V597" i="2"/>
  <c r="U789" i="2"/>
  <c r="U679" i="2"/>
  <c r="U325" i="2"/>
  <c r="U101" i="2"/>
  <c r="T1029" i="2"/>
  <c r="AA1029" i="2" s="1"/>
  <c r="T869" i="2"/>
  <c r="AA869" i="2" s="1"/>
  <c r="T743" i="2"/>
  <c r="AA743" i="2" s="1"/>
  <c r="T631" i="2"/>
  <c r="AA631" i="2" s="1"/>
  <c r="T460" i="2"/>
  <c r="AA460" i="2" s="1"/>
  <c r="S982" i="2"/>
  <c r="Z982" i="2" s="1"/>
  <c r="S565" i="2"/>
  <c r="Z565" i="2" s="1"/>
  <c r="S277" i="2"/>
  <c r="Z277" i="2" s="1"/>
  <c r="R407" i="2"/>
  <c r="Y407" i="2" s="1"/>
  <c r="R181" i="2"/>
  <c r="Y181" i="2" s="1"/>
  <c r="R69" i="2"/>
  <c r="Y69" i="2" s="1"/>
  <c r="U949" i="2"/>
  <c r="T1013" i="2"/>
  <c r="AA1013" i="2" s="1"/>
  <c r="T837" i="2"/>
  <c r="AA837" i="2" s="1"/>
  <c r="S725" i="2"/>
  <c r="Z725" i="2" s="1"/>
  <c r="R613" i="2"/>
  <c r="Y613" i="2" s="1"/>
  <c r="U940" i="2"/>
  <c r="U661" i="2"/>
  <c r="S661" i="2"/>
  <c r="Z661" i="2" s="1"/>
  <c r="W709" i="2"/>
  <c r="V1125" i="2"/>
  <c r="V165" i="2"/>
  <c r="U1030" i="2"/>
  <c r="U197" i="2"/>
  <c r="T1111" i="2"/>
  <c r="AA1111" i="2" s="1"/>
  <c r="T805" i="2"/>
  <c r="AA805" i="2" s="1"/>
  <c r="T709" i="2"/>
  <c r="AA709" i="2" s="1"/>
  <c r="T517" i="2"/>
  <c r="AA517" i="2" s="1"/>
  <c r="T437" i="2"/>
  <c r="AA437" i="2" s="1"/>
  <c r="S197" i="2"/>
  <c r="Z197" i="2" s="1"/>
  <c r="R229" i="2"/>
  <c r="Y229" i="2" s="1"/>
  <c r="W981" i="2"/>
  <c r="W901" i="2"/>
  <c r="W773" i="2"/>
  <c r="W741" i="2"/>
  <c r="V1045" i="2"/>
  <c r="V773" i="2"/>
  <c r="V405" i="2"/>
  <c r="V325" i="2"/>
  <c r="U743" i="2"/>
  <c r="U453" i="2"/>
  <c r="U85" i="2"/>
  <c r="T1109" i="2"/>
  <c r="AA1109" i="2" s="1"/>
  <c r="T965" i="2"/>
  <c r="AA965" i="2" s="1"/>
  <c r="T277" i="2"/>
  <c r="AA277" i="2" s="1"/>
  <c r="T213" i="2"/>
  <c r="AA213" i="2" s="1"/>
  <c r="T117" i="2"/>
  <c r="AA117" i="2" s="1"/>
  <c r="S501" i="2"/>
  <c r="Z501" i="2" s="1"/>
  <c r="R885" i="2"/>
  <c r="Y885" i="2" s="1"/>
  <c r="R359" i="2"/>
  <c r="Y359" i="2" s="1"/>
  <c r="W1093" i="2"/>
  <c r="W1013" i="2"/>
  <c r="W853" i="2"/>
  <c r="W565" i="2"/>
  <c r="V983" i="2"/>
  <c r="V821" i="2"/>
  <c r="U1125" i="2"/>
  <c r="U821" i="2"/>
  <c r="U741" i="2"/>
  <c r="U437" i="2"/>
  <c r="U293" i="2"/>
  <c r="T581" i="2"/>
  <c r="AA581" i="2" s="1"/>
  <c r="T421" i="2"/>
  <c r="AA421" i="2" s="1"/>
  <c r="S871" i="2"/>
  <c r="Z871" i="2" s="1"/>
  <c r="S646" i="2"/>
  <c r="Z646" i="2" s="1"/>
  <c r="S487" i="2"/>
  <c r="Z487" i="2" s="1"/>
  <c r="V981" i="2"/>
  <c r="V485" i="2"/>
  <c r="U901" i="2"/>
  <c r="U647" i="2"/>
  <c r="T1077" i="2"/>
  <c r="AA1077" i="2" s="1"/>
  <c r="T789" i="2"/>
  <c r="AA789" i="2" s="1"/>
  <c r="T694" i="2"/>
  <c r="AA694" i="2" s="1"/>
  <c r="T503" i="2"/>
  <c r="AA503" i="2" s="1"/>
  <c r="T341" i="2"/>
  <c r="AA341" i="2" s="1"/>
  <c r="S869" i="2"/>
  <c r="Z869" i="2" s="1"/>
  <c r="S645" i="2"/>
  <c r="Z645" i="2" s="1"/>
  <c r="R839" i="2"/>
  <c r="Y839" i="2" s="1"/>
  <c r="R519" i="2"/>
  <c r="Y519" i="2" s="1"/>
  <c r="R213" i="2"/>
  <c r="Y213" i="2" s="1"/>
  <c r="T677" i="2"/>
  <c r="AA677" i="2" s="1"/>
  <c r="S629" i="2"/>
  <c r="Z629" i="2" s="1"/>
  <c r="S469" i="2"/>
  <c r="Z469" i="2" s="1"/>
  <c r="W1045" i="2"/>
  <c r="V709" i="2"/>
  <c r="U805" i="2"/>
  <c r="U421" i="2"/>
  <c r="T485" i="2"/>
  <c r="AA485" i="2" s="1"/>
  <c r="S309" i="2"/>
  <c r="Z309" i="2" s="1"/>
  <c r="S181" i="2"/>
  <c r="Z181" i="2" s="1"/>
  <c r="R133" i="2"/>
  <c r="Y133" i="2" s="1"/>
  <c r="U885" i="2"/>
  <c r="T901" i="2"/>
  <c r="AA901" i="2" s="1"/>
  <c r="S1093" i="2"/>
  <c r="Z1093" i="2" s="1"/>
  <c r="S789" i="2"/>
  <c r="Z789" i="2" s="1"/>
  <c r="R709" i="2"/>
  <c r="Y709" i="2" s="1"/>
  <c r="R453" i="2"/>
  <c r="Y453" i="2" s="1"/>
  <c r="R309" i="2"/>
  <c r="Y309" i="2" s="1"/>
  <c r="V1093" i="2"/>
  <c r="V1013" i="2"/>
  <c r="S581" i="2"/>
  <c r="Z581" i="2" s="1"/>
  <c r="R293" i="2"/>
  <c r="Y293" i="2" s="1"/>
  <c r="U1077" i="2"/>
  <c r="U965" i="2"/>
  <c r="U693" i="2"/>
  <c r="U533" i="2"/>
  <c r="U405" i="2"/>
  <c r="T885" i="2"/>
  <c r="AA885" i="2" s="1"/>
  <c r="S165" i="2"/>
  <c r="Z165" i="2" s="1"/>
  <c r="R693" i="2"/>
  <c r="Y693" i="2" s="1"/>
  <c r="V1101" i="2"/>
  <c r="V1037" i="2"/>
  <c r="V797" i="2"/>
  <c r="T717" i="2"/>
  <c r="AA717" i="2" s="1"/>
  <c r="T461" i="2"/>
  <c r="AA461" i="2" s="1"/>
  <c r="T406" i="2"/>
  <c r="AA406" i="2" s="1"/>
  <c r="S733" i="2"/>
  <c r="Z733" i="2" s="1"/>
  <c r="S493" i="2"/>
  <c r="Z493" i="2" s="1"/>
  <c r="S269" i="2"/>
  <c r="Z269" i="2" s="1"/>
  <c r="R723" i="2"/>
  <c r="Y723" i="2" s="1"/>
  <c r="R172" i="2"/>
  <c r="Y172" i="2" s="1"/>
  <c r="W350" i="2"/>
  <c r="V430" i="2"/>
  <c r="U718" i="2"/>
  <c r="U574" i="2"/>
  <c r="T398" i="2"/>
  <c r="AA398" i="2" s="1"/>
  <c r="W1102" i="2"/>
  <c r="V1022" i="2"/>
  <c r="V686" i="2"/>
  <c r="U1108" i="2"/>
  <c r="U1037" i="2"/>
  <c r="T1037" i="2"/>
  <c r="AA1037" i="2" s="1"/>
  <c r="S718" i="2"/>
  <c r="Z718" i="2" s="1"/>
  <c r="S614" i="2"/>
  <c r="Z614" i="2" s="1"/>
  <c r="S474" i="2"/>
  <c r="Z474" i="2" s="1"/>
  <c r="R334" i="2"/>
  <c r="Y334" i="2" s="1"/>
  <c r="W430" i="2"/>
  <c r="V222" i="2"/>
  <c r="T766" i="2"/>
  <c r="AA766" i="2" s="1"/>
  <c r="W910" i="2"/>
  <c r="W446" i="2"/>
  <c r="W1054" i="2"/>
  <c r="V1079" i="2"/>
  <c r="V814" i="2"/>
  <c r="V542" i="2"/>
  <c r="U1095" i="2"/>
  <c r="U854" i="2"/>
  <c r="U694" i="2"/>
  <c r="U494" i="2"/>
  <c r="S1063" i="2"/>
  <c r="Z1063" i="2" s="1"/>
  <c r="S365" i="2"/>
  <c r="Z365" i="2" s="1"/>
  <c r="S316" i="2"/>
  <c r="Z316" i="2" s="1"/>
  <c r="R477" i="2"/>
  <c r="Y477" i="2" s="1"/>
  <c r="V734" i="2"/>
  <c r="V1126" i="2"/>
  <c r="V813" i="2"/>
  <c r="V254" i="2"/>
  <c r="T1015" i="2"/>
  <c r="AA1015" i="2" s="1"/>
  <c r="T679" i="2"/>
  <c r="AA679" i="2" s="1"/>
  <c r="T509" i="2"/>
  <c r="AA509" i="2" s="1"/>
  <c r="T365" i="2"/>
  <c r="AA365" i="2" s="1"/>
  <c r="T237" i="2"/>
  <c r="AA237" i="2" s="1"/>
  <c r="T189" i="2"/>
  <c r="AA189" i="2" s="1"/>
  <c r="S1045" i="2"/>
  <c r="Z1045" i="2" s="1"/>
  <c r="S861" i="2"/>
  <c r="Z861" i="2" s="1"/>
  <c r="R471" i="2"/>
  <c r="Y471" i="2" s="1"/>
  <c r="W670" i="2"/>
  <c r="W686" i="2"/>
  <c r="W474" i="2"/>
  <c r="V1070" i="2"/>
  <c r="V812" i="2"/>
  <c r="U1021" i="2"/>
  <c r="U925" i="2"/>
  <c r="S1021" i="2"/>
  <c r="Z1021" i="2" s="1"/>
  <c r="S829" i="2"/>
  <c r="Z829" i="2" s="1"/>
  <c r="R925" i="2"/>
  <c r="Y925" i="2" s="1"/>
  <c r="R637" i="2"/>
  <c r="Y637" i="2" s="1"/>
  <c r="W878" i="2"/>
  <c r="V1069" i="2"/>
  <c r="V670" i="2"/>
  <c r="U1085" i="2"/>
  <c r="U1015" i="2"/>
  <c r="U541" i="2"/>
  <c r="U349" i="2"/>
  <c r="T1117" i="2"/>
  <c r="AA1117" i="2" s="1"/>
  <c r="T844" i="2"/>
  <c r="AA844" i="2" s="1"/>
  <c r="S189" i="2"/>
  <c r="Z189" i="2" s="1"/>
  <c r="S141" i="2"/>
  <c r="Z141" i="2" s="1"/>
  <c r="R141" i="2"/>
  <c r="Y141" i="2" s="1"/>
  <c r="W398" i="2"/>
  <c r="U670" i="2"/>
  <c r="S286" i="2"/>
  <c r="Z286" i="2" s="1"/>
  <c r="U734" i="2"/>
  <c r="U526" i="2"/>
  <c r="U286" i="2"/>
  <c r="W574" i="2"/>
  <c r="U334" i="2"/>
  <c r="R542" i="2"/>
  <c r="Y542" i="2" s="1"/>
  <c r="W766" i="2"/>
  <c r="W638" i="2"/>
  <c r="W254" i="2"/>
  <c r="V989" i="2"/>
  <c r="V478" i="2"/>
  <c r="V398" i="2"/>
  <c r="V238" i="2"/>
  <c r="U1059" i="2"/>
  <c r="U724" i="2"/>
  <c r="S637" i="2"/>
  <c r="Z637" i="2" s="1"/>
  <c r="S398" i="2"/>
  <c r="Z398" i="2" s="1"/>
  <c r="R733" i="2"/>
  <c r="Y733" i="2" s="1"/>
  <c r="Q398" i="2"/>
  <c r="X398" i="2" s="1"/>
  <c r="W604" i="2"/>
  <c r="W457" i="2"/>
  <c r="V649" i="2"/>
  <c r="V268" i="2"/>
  <c r="V89" i="2"/>
  <c r="T220" i="2"/>
  <c r="AA220" i="2" s="1"/>
  <c r="S536" i="2"/>
  <c r="Z536" i="2" s="1"/>
  <c r="S313" i="2"/>
  <c r="Z313" i="2" s="1"/>
  <c r="R633" i="2"/>
  <c r="Y633" i="2" s="1"/>
  <c r="R329" i="2"/>
  <c r="Y329" i="2" s="1"/>
  <c r="R201" i="2"/>
  <c r="Y201" i="2" s="1"/>
  <c r="V121" i="2"/>
  <c r="W844" i="2"/>
  <c r="W393" i="2"/>
  <c r="U281" i="2"/>
  <c r="S457" i="2"/>
  <c r="Z457" i="2" s="1"/>
  <c r="S393" i="2"/>
  <c r="Z393" i="2" s="1"/>
  <c r="S345" i="2"/>
  <c r="Z345" i="2" s="1"/>
  <c r="S217" i="2"/>
  <c r="Z217" i="2" s="1"/>
  <c r="S137" i="2"/>
  <c r="Z137" i="2" s="1"/>
  <c r="T313" i="2"/>
  <c r="AA313" i="2" s="1"/>
  <c r="W425" i="2"/>
  <c r="V233" i="2"/>
  <c r="U713" i="2"/>
  <c r="W601" i="2"/>
  <c r="W569" i="2"/>
  <c r="W542" i="2"/>
  <c r="W364" i="2"/>
  <c r="V766" i="2"/>
  <c r="V646" i="2"/>
  <c r="V364" i="2"/>
  <c r="V297" i="2"/>
  <c r="V265" i="2"/>
  <c r="V62" i="2"/>
  <c r="U902" i="2"/>
  <c r="U412" i="2"/>
  <c r="U316" i="2"/>
  <c r="U142" i="2"/>
  <c r="T892" i="2"/>
  <c r="AA892" i="2" s="1"/>
  <c r="T662" i="2"/>
  <c r="AA662" i="2" s="1"/>
  <c r="T608" i="2"/>
  <c r="AA608" i="2" s="1"/>
  <c r="T553" i="2"/>
  <c r="AA553" i="2" s="1"/>
  <c r="T502" i="2"/>
  <c r="AA502" i="2" s="1"/>
  <c r="T217" i="2"/>
  <c r="AA217" i="2" s="1"/>
  <c r="S608" i="2"/>
  <c r="Z608" i="2" s="1"/>
  <c r="S254" i="2"/>
  <c r="Z254" i="2" s="1"/>
  <c r="R759" i="2"/>
  <c r="Y759" i="2" s="1"/>
  <c r="R489" i="2"/>
  <c r="Y489" i="2" s="1"/>
  <c r="R398" i="2"/>
  <c r="Y398" i="2" s="1"/>
  <c r="R238" i="2"/>
  <c r="Y238" i="2" s="1"/>
  <c r="W281" i="2"/>
  <c r="S697" i="2"/>
  <c r="Z697" i="2" s="1"/>
  <c r="T665" i="2"/>
  <c r="AA665" i="2" s="1"/>
  <c r="T556" i="2"/>
  <c r="AA556" i="2" s="1"/>
  <c r="T105" i="2"/>
  <c r="AA105" i="2" s="1"/>
  <c r="W902" i="2"/>
  <c r="W838" i="2"/>
  <c r="W681" i="2"/>
  <c r="W249" i="2"/>
  <c r="W169" i="2"/>
  <c r="W121" i="2"/>
  <c r="W94" i="2"/>
  <c r="W46" i="2"/>
  <c r="V891" i="2"/>
  <c r="V841" i="2"/>
  <c r="V608" i="2"/>
  <c r="V566" i="2"/>
  <c r="V505" i="2"/>
  <c r="V230" i="2"/>
  <c r="V201" i="2"/>
  <c r="V142" i="2"/>
  <c r="U1047" i="2"/>
  <c r="U848" i="2"/>
  <c r="U604" i="2"/>
  <c r="U553" i="2"/>
  <c r="U505" i="2"/>
  <c r="U409" i="2"/>
  <c r="U361" i="2"/>
  <c r="U278" i="2"/>
  <c r="U206" i="2"/>
  <c r="T889" i="2"/>
  <c r="AA889" i="2" s="1"/>
  <c r="T551" i="2"/>
  <c r="AA551" i="2" s="1"/>
  <c r="T441" i="2"/>
  <c r="AA441" i="2" s="1"/>
  <c r="T393" i="2"/>
  <c r="AA393" i="2" s="1"/>
  <c r="T345" i="2"/>
  <c r="AA345" i="2" s="1"/>
  <c r="T137" i="2"/>
  <c r="AA137" i="2" s="1"/>
  <c r="S934" i="2"/>
  <c r="Z934" i="2" s="1"/>
  <c r="S766" i="2"/>
  <c r="Z766" i="2" s="1"/>
  <c r="S603" i="2"/>
  <c r="Z603" i="2" s="1"/>
  <c r="S454" i="2"/>
  <c r="Z454" i="2" s="1"/>
  <c r="S297" i="2"/>
  <c r="Z297" i="2" s="1"/>
  <c r="S171" i="2"/>
  <c r="Z171" i="2" s="1"/>
  <c r="S70" i="2"/>
  <c r="Z70" i="2" s="1"/>
  <c r="R747" i="2"/>
  <c r="Y747" i="2" s="1"/>
  <c r="R604" i="2"/>
  <c r="Y604" i="2" s="1"/>
  <c r="R487" i="2"/>
  <c r="Y487" i="2" s="1"/>
  <c r="R393" i="2"/>
  <c r="Y393" i="2" s="1"/>
  <c r="R316" i="2"/>
  <c r="Y316" i="2" s="1"/>
  <c r="R94" i="2"/>
  <c r="Y94" i="2" s="1"/>
  <c r="W713" i="2"/>
  <c r="W974" i="2"/>
  <c r="W537" i="2"/>
  <c r="W361" i="2"/>
  <c r="W329" i="2"/>
  <c r="V926" i="2"/>
  <c r="V361" i="2"/>
  <c r="V329" i="2"/>
  <c r="V169" i="2"/>
  <c r="U313" i="2"/>
  <c r="T1088" i="2"/>
  <c r="AA1088" i="2" s="1"/>
  <c r="T886" i="2"/>
  <c r="AA886" i="2" s="1"/>
  <c r="T604" i="2"/>
  <c r="AA604" i="2" s="1"/>
  <c r="T489" i="2"/>
  <c r="AA489" i="2" s="1"/>
  <c r="T249" i="2"/>
  <c r="AA249" i="2" s="1"/>
  <c r="S601" i="2"/>
  <c r="Z601" i="2" s="1"/>
  <c r="S521" i="2"/>
  <c r="Z521" i="2" s="1"/>
  <c r="S374" i="2"/>
  <c r="Z374" i="2" s="1"/>
  <c r="S249" i="2"/>
  <c r="Z249" i="2" s="1"/>
  <c r="S169" i="2"/>
  <c r="Z169" i="2" s="1"/>
  <c r="R233" i="2"/>
  <c r="Y233" i="2" s="1"/>
  <c r="R185" i="2"/>
  <c r="Y185" i="2" s="1"/>
  <c r="V473" i="2"/>
  <c r="U249" i="2"/>
  <c r="V537" i="2"/>
  <c r="W220" i="2"/>
  <c r="W1070" i="2"/>
  <c r="W1036" i="2"/>
  <c r="W652" i="2"/>
  <c r="V1095" i="2"/>
  <c r="V1047" i="2"/>
  <c r="V886" i="2"/>
  <c r="V838" i="2"/>
  <c r="V758" i="2"/>
  <c r="V460" i="2"/>
  <c r="V137" i="2"/>
  <c r="V110" i="2"/>
  <c r="U1040" i="2"/>
  <c r="U958" i="2"/>
  <c r="U704" i="2"/>
  <c r="U601" i="2"/>
  <c r="U550" i="2"/>
  <c r="U502" i="2"/>
  <c r="U460" i="2"/>
  <c r="U406" i="2"/>
  <c r="U358" i="2"/>
  <c r="U238" i="2"/>
  <c r="U201" i="2"/>
  <c r="U169" i="2"/>
  <c r="U137" i="2"/>
  <c r="T983" i="2"/>
  <c r="AA983" i="2" s="1"/>
  <c r="T601" i="2"/>
  <c r="AA601" i="2" s="1"/>
  <c r="T542" i="2"/>
  <c r="AA542" i="2" s="1"/>
  <c r="T297" i="2"/>
  <c r="AA297" i="2" s="1"/>
  <c r="T171" i="2"/>
  <c r="AA171" i="2" s="1"/>
  <c r="S599" i="2"/>
  <c r="Z599" i="2" s="1"/>
  <c r="S519" i="2"/>
  <c r="Z519" i="2" s="1"/>
  <c r="S441" i="2"/>
  <c r="Z441" i="2" s="1"/>
  <c r="S206" i="2"/>
  <c r="Z206" i="2" s="1"/>
  <c r="S167" i="2"/>
  <c r="Z167" i="2" s="1"/>
  <c r="R601" i="2"/>
  <c r="Y601" i="2" s="1"/>
  <c r="R311" i="2"/>
  <c r="Y311" i="2" s="1"/>
  <c r="R231" i="2"/>
  <c r="Y231" i="2" s="1"/>
  <c r="R182" i="2"/>
  <c r="Y182" i="2" s="1"/>
  <c r="R89" i="2"/>
  <c r="Y89" i="2" s="1"/>
  <c r="R409" i="2"/>
  <c r="Y409" i="2" s="1"/>
  <c r="W862" i="2"/>
  <c r="W830" i="2"/>
  <c r="W622" i="2"/>
  <c r="W505" i="2"/>
  <c r="W473" i="2"/>
  <c r="W441" i="2"/>
  <c r="W297" i="2"/>
  <c r="W217" i="2"/>
  <c r="W190" i="2"/>
  <c r="W142" i="2"/>
  <c r="W89" i="2"/>
  <c r="V1094" i="2"/>
  <c r="V1046" i="2"/>
  <c r="V958" i="2"/>
  <c r="V878" i="2"/>
  <c r="V713" i="2"/>
  <c r="V638" i="2"/>
  <c r="V526" i="2"/>
  <c r="V425" i="2"/>
  <c r="V393" i="2"/>
  <c r="U951" i="2"/>
  <c r="U700" i="2"/>
  <c r="U542" i="2"/>
  <c r="U310" i="2"/>
  <c r="U105" i="2"/>
  <c r="T982" i="2"/>
  <c r="AA982" i="2" s="1"/>
  <c r="T871" i="2"/>
  <c r="AA871" i="2" s="1"/>
  <c r="T775" i="2"/>
  <c r="AA775" i="2" s="1"/>
  <c r="T382" i="2"/>
  <c r="AA382" i="2" s="1"/>
  <c r="T286" i="2"/>
  <c r="AA286" i="2" s="1"/>
  <c r="T169" i="2"/>
  <c r="AA169" i="2" s="1"/>
  <c r="S329" i="2"/>
  <c r="Z329" i="2" s="1"/>
  <c r="R473" i="2"/>
  <c r="Y473" i="2" s="1"/>
  <c r="R382" i="2"/>
  <c r="Y382" i="2" s="1"/>
  <c r="R310" i="2"/>
  <c r="Y310" i="2" s="1"/>
  <c r="R230" i="2"/>
  <c r="Y230" i="2" s="1"/>
  <c r="W201" i="2"/>
  <c r="W649" i="2"/>
  <c r="V105" i="2"/>
  <c r="S585" i="2"/>
  <c r="Z585" i="2" s="1"/>
  <c r="S89" i="2"/>
  <c r="Z89" i="2" s="1"/>
  <c r="R377" i="2"/>
  <c r="Y377" i="2" s="1"/>
  <c r="U121" i="2"/>
  <c r="S617" i="2"/>
  <c r="Z617" i="2" s="1"/>
  <c r="W268" i="2"/>
  <c r="U345" i="2"/>
  <c r="U268" i="2"/>
  <c r="U233" i="2"/>
  <c r="T377" i="2"/>
  <c r="AA377" i="2" s="1"/>
  <c r="W1030" i="2"/>
  <c r="W998" i="2"/>
  <c r="W857" i="2"/>
  <c r="W700" i="2"/>
  <c r="W617" i="2"/>
  <c r="W412" i="2"/>
  <c r="W382" i="2"/>
  <c r="V951" i="2"/>
  <c r="V871" i="2"/>
  <c r="V791" i="2"/>
  <c r="V752" i="2"/>
  <c r="V704" i="2"/>
  <c r="V633" i="2"/>
  <c r="V422" i="2"/>
  <c r="V286" i="2"/>
  <c r="U886" i="2"/>
  <c r="U697" i="2"/>
  <c r="U489" i="2"/>
  <c r="U393" i="2"/>
  <c r="T704" i="2"/>
  <c r="AA704" i="2" s="1"/>
  <c r="T647" i="2"/>
  <c r="AA647" i="2" s="1"/>
  <c r="T374" i="2"/>
  <c r="AA374" i="2" s="1"/>
  <c r="T329" i="2"/>
  <c r="AA329" i="2" s="1"/>
  <c r="T281" i="2"/>
  <c r="AA281" i="2" s="1"/>
  <c r="T238" i="2"/>
  <c r="AA238" i="2" s="1"/>
  <c r="T166" i="2"/>
  <c r="AA166" i="2" s="1"/>
  <c r="S1047" i="2"/>
  <c r="Z1047" i="2" s="1"/>
  <c r="S502" i="2"/>
  <c r="Z502" i="2" s="1"/>
  <c r="S326" i="2"/>
  <c r="Z326" i="2" s="1"/>
  <c r="S281" i="2"/>
  <c r="Z281" i="2" s="1"/>
  <c r="S123" i="2"/>
  <c r="Z123" i="2" s="1"/>
  <c r="R944" i="2"/>
  <c r="Y944" i="2" s="1"/>
  <c r="R454" i="2"/>
  <c r="Y454" i="2" s="1"/>
  <c r="R220" i="2"/>
  <c r="Y220" i="2" s="1"/>
  <c r="R46" i="2"/>
  <c r="Y46" i="2" s="1"/>
  <c r="W889" i="2"/>
  <c r="W185" i="2"/>
  <c r="V665" i="2"/>
  <c r="V521" i="2"/>
  <c r="V220" i="2"/>
  <c r="U585" i="2"/>
  <c r="T585" i="2"/>
  <c r="AA585" i="2" s="1"/>
  <c r="S121" i="2"/>
  <c r="Z121" i="2" s="1"/>
  <c r="W585" i="2"/>
  <c r="W265" i="2"/>
  <c r="V489" i="2"/>
  <c r="U265" i="2"/>
  <c r="T473" i="2"/>
  <c r="AA473" i="2" s="1"/>
  <c r="W854" i="2"/>
  <c r="W556" i="2"/>
  <c r="W526" i="2"/>
  <c r="W409" i="2"/>
  <c r="W238" i="2"/>
  <c r="W110" i="2"/>
  <c r="V1127" i="2"/>
  <c r="V1088" i="2"/>
  <c r="V1040" i="2"/>
  <c r="V992" i="2"/>
  <c r="V556" i="2"/>
  <c r="V281" i="2"/>
  <c r="V185" i="2"/>
  <c r="V158" i="2"/>
  <c r="U742" i="2"/>
  <c r="U582" i="2"/>
  <c r="U441" i="2"/>
  <c r="U382" i="2"/>
  <c r="U158" i="2"/>
  <c r="T848" i="2"/>
  <c r="AA848" i="2" s="1"/>
  <c r="T759" i="2"/>
  <c r="AA759" i="2" s="1"/>
  <c r="T470" i="2"/>
  <c r="AA470" i="2" s="1"/>
  <c r="T368" i="2"/>
  <c r="AA368" i="2" s="1"/>
  <c r="T326" i="2"/>
  <c r="AA326" i="2" s="1"/>
  <c r="T278" i="2"/>
  <c r="AA278" i="2" s="1"/>
  <c r="T158" i="2"/>
  <c r="AA158" i="2" s="1"/>
  <c r="T123" i="2"/>
  <c r="AA123" i="2" s="1"/>
  <c r="T86" i="2"/>
  <c r="AA86" i="2" s="1"/>
  <c r="S1040" i="2"/>
  <c r="S723" i="2"/>
  <c r="Z723" i="2" s="1"/>
  <c r="S364" i="2"/>
  <c r="Z364" i="2" s="1"/>
  <c r="S233" i="2"/>
  <c r="Z233" i="2" s="1"/>
  <c r="S119" i="2"/>
  <c r="Z119" i="2" s="1"/>
  <c r="R550" i="2"/>
  <c r="Y550" i="2" s="1"/>
  <c r="R441" i="2"/>
  <c r="Y441" i="2" s="1"/>
  <c r="R281" i="2"/>
  <c r="Y281" i="2" s="1"/>
  <c r="R215" i="2"/>
  <c r="Y215" i="2" s="1"/>
  <c r="R171" i="2"/>
  <c r="Y171" i="2" s="1"/>
  <c r="R123" i="2"/>
  <c r="Y123" i="2" s="1"/>
  <c r="W377" i="2"/>
  <c r="U681" i="2"/>
  <c r="T233" i="2"/>
  <c r="AA233" i="2" s="1"/>
  <c r="R169" i="2"/>
  <c r="Y169" i="2" s="1"/>
  <c r="W489" i="2"/>
  <c r="V697" i="2"/>
  <c r="V553" i="2"/>
  <c r="V345" i="2"/>
  <c r="V153" i="2"/>
  <c r="U153" i="2"/>
  <c r="T153" i="2"/>
  <c r="AA153" i="2" s="1"/>
  <c r="S633" i="2"/>
  <c r="Z633" i="2" s="1"/>
  <c r="R430" i="2"/>
  <c r="Y430" i="2" s="1"/>
  <c r="R265" i="2"/>
  <c r="Y265" i="2" s="1"/>
  <c r="W697" i="2"/>
  <c r="V585" i="2"/>
  <c r="W748" i="2"/>
  <c r="W553" i="2"/>
  <c r="W521" i="2"/>
  <c r="W316" i="2"/>
  <c r="W233" i="2"/>
  <c r="U220" i="2"/>
  <c r="W814" i="2"/>
  <c r="W665" i="2"/>
  <c r="V1030" i="2"/>
  <c r="V622" i="2"/>
  <c r="V446" i="2"/>
  <c r="U934" i="2"/>
  <c r="U430" i="2"/>
  <c r="U254" i="2"/>
  <c r="U62" i="2"/>
  <c r="T940" i="2"/>
  <c r="AA940" i="2" s="1"/>
  <c r="T686" i="2"/>
  <c r="AA686" i="2" s="1"/>
  <c r="T574" i="2"/>
  <c r="AA574" i="2" s="1"/>
  <c r="T409" i="2"/>
  <c r="AA409" i="2" s="1"/>
  <c r="T316" i="2"/>
  <c r="AA316" i="2" s="1"/>
  <c r="T268" i="2"/>
  <c r="AA268" i="2" s="1"/>
  <c r="S704" i="2"/>
  <c r="Z704" i="2" s="1"/>
  <c r="S551" i="2"/>
  <c r="Z551" i="2" s="1"/>
  <c r="S409" i="2"/>
  <c r="Z409" i="2" s="1"/>
  <c r="S358" i="2"/>
  <c r="Z358" i="2" s="1"/>
  <c r="S185" i="2"/>
  <c r="Z185" i="2" s="1"/>
  <c r="S110" i="2"/>
  <c r="Z110" i="2" s="1"/>
  <c r="R854" i="2"/>
  <c r="Y854" i="2" s="1"/>
  <c r="U1060" i="2"/>
  <c r="U1012" i="2"/>
  <c r="T935" i="2"/>
  <c r="AA935" i="2" s="1"/>
  <c r="R935" i="2"/>
  <c r="Y935" i="2" s="1"/>
  <c r="Q663" i="8"/>
  <c r="T663" i="2"/>
  <c r="AA663" i="2" s="1"/>
  <c r="U663" i="2"/>
  <c r="S567" i="2"/>
  <c r="Z567" i="2" s="1"/>
  <c r="V567" i="2"/>
  <c r="T295" i="2"/>
  <c r="AA295" i="2" s="1"/>
  <c r="U295" i="2"/>
  <c r="Q263" i="8"/>
  <c r="U263" i="2"/>
  <c r="V916" i="2"/>
  <c r="S728" i="2"/>
  <c r="Z728" i="2" s="1"/>
  <c r="S1094" i="2"/>
  <c r="Z1094" i="2" s="1"/>
  <c r="T1094" i="2"/>
  <c r="AA1094" i="2" s="1"/>
  <c r="Q710" i="8"/>
  <c r="U710" i="2"/>
  <c r="V710" i="2"/>
  <c r="W1060" i="2"/>
  <c r="S1012" i="2"/>
  <c r="Z1012" i="2" s="1"/>
  <c r="Q1029" i="8"/>
  <c r="S1029" i="2"/>
  <c r="Z1029" i="2" s="1"/>
  <c r="S837" i="2"/>
  <c r="Z837" i="2" s="1"/>
  <c r="U837" i="2"/>
  <c r="T757" i="2"/>
  <c r="AA757" i="2" s="1"/>
  <c r="S757" i="2"/>
  <c r="Z757" i="2" s="1"/>
  <c r="Q613" i="8"/>
  <c r="T613" i="2"/>
  <c r="AA613" i="2" s="1"/>
  <c r="Q501" i="8"/>
  <c r="R501" i="2"/>
  <c r="Y501" i="2" s="1"/>
  <c r="Q421" i="8"/>
  <c r="R421" i="2"/>
  <c r="Y421" i="2" s="1"/>
  <c r="Q1011" i="8"/>
  <c r="V1011" i="2"/>
  <c r="W248" i="2"/>
  <c r="V1063" i="2"/>
  <c r="V910" i="2"/>
  <c r="U926" i="2"/>
  <c r="U638" i="2"/>
  <c r="T1085" i="2"/>
  <c r="AA1085" i="2" s="1"/>
  <c r="T1012" i="2"/>
  <c r="AA1012" i="2" s="1"/>
  <c r="T903" i="2"/>
  <c r="AA903" i="2" s="1"/>
  <c r="T823" i="2"/>
  <c r="AA823" i="2" s="1"/>
  <c r="T700" i="2"/>
  <c r="AA700" i="2" s="1"/>
  <c r="T590" i="2"/>
  <c r="AA590" i="2" s="1"/>
  <c r="T535" i="2"/>
  <c r="AA535" i="2" s="1"/>
  <c r="S983" i="2"/>
  <c r="Z983" i="2" s="1"/>
  <c r="S823" i="2"/>
  <c r="Z823" i="2" s="1"/>
  <c r="S446" i="2"/>
  <c r="Z446" i="2" s="1"/>
  <c r="R657" i="2"/>
  <c r="Y657" i="2" s="1"/>
  <c r="R446" i="2"/>
  <c r="Y446" i="2" s="1"/>
  <c r="R375" i="2"/>
  <c r="Y375" i="2" s="1"/>
  <c r="R129" i="2"/>
  <c r="Y129" i="2" s="1"/>
  <c r="U849" i="2"/>
  <c r="T849" i="2"/>
  <c r="AA849" i="2" s="1"/>
  <c r="V1102" i="2"/>
  <c r="V1059" i="2"/>
  <c r="V940" i="2"/>
  <c r="V903" i="2"/>
  <c r="V700" i="2"/>
  <c r="V161" i="2"/>
  <c r="U1094" i="2"/>
  <c r="U917" i="2"/>
  <c r="U791" i="2"/>
  <c r="U439" i="2"/>
  <c r="T998" i="2"/>
  <c r="AA998" i="2" s="1"/>
  <c r="T897" i="2"/>
  <c r="AA897" i="2" s="1"/>
  <c r="T814" i="2"/>
  <c r="AA814" i="2" s="1"/>
  <c r="T749" i="2"/>
  <c r="AA749" i="2" s="1"/>
  <c r="T129" i="2"/>
  <c r="AA129" i="2" s="1"/>
  <c r="S981" i="2"/>
  <c r="Z981" i="2" s="1"/>
  <c r="S710" i="2"/>
  <c r="Z710" i="2" s="1"/>
  <c r="S638" i="2"/>
  <c r="Z638" i="2" s="1"/>
  <c r="S503" i="2"/>
  <c r="Z503" i="2" s="1"/>
  <c r="S439" i="2"/>
  <c r="Z439" i="2" s="1"/>
  <c r="R647" i="2"/>
  <c r="Y647" i="2" s="1"/>
  <c r="R439" i="2"/>
  <c r="Y439" i="2" s="1"/>
  <c r="W820" i="2"/>
  <c r="S1126" i="2"/>
  <c r="Z1126" i="2" s="1"/>
  <c r="S574" i="2"/>
  <c r="Z574" i="2" s="1"/>
  <c r="Q175" i="8"/>
  <c r="T175" i="2"/>
  <c r="AA175" i="2" s="1"/>
  <c r="Q718" i="8"/>
  <c r="T718" i="2"/>
  <c r="AA718" i="2" s="1"/>
  <c r="Q494" i="8"/>
  <c r="S494" i="2"/>
  <c r="Z494" i="2" s="1"/>
  <c r="R350" i="2"/>
  <c r="Y350" i="2" s="1"/>
  <c r="V350" i="2"/>
  <c r="Q286" i="8"/>
  <c r="R286" i="2"/>
  <c r="Y286" i="2" s="1"/>
  <c r="W584" i="2"/>
  <c r="S1070" i="2"/>
  <c r="Z1070" i="2" s="1"/>
  <c r="Q973" i="8"/>
  <c r="V973" i="2"/>
  <c r="S941" i="2"/>
  <c r="Z941" i="2" s="1"/>
  <c r="T941" i="2"/>
  <c r="AA941" i="2" s="1"/>
  <c r="U941" i="2"/>
  <c r="U685" i="2"/>
  <c r="S685" i="2"/>
  <c r="Z685" i="2" s="1"/>
  <c r="S605" i="2"/>
  <c r="Z605" i="2" s="1"/>
  <c r="R605" i="2"/>
  <c r="Y605" i="2" s="1"/>
  <c r="Q573" i="8"/>
  <c r="T573" i="2"/>
  <c r="AA573" i="2" s="1"/>
  <c r="S445" i="2"/>
  <c r="Z445" i="2" s="1"/>
  <c r="V445" i="2"/>
  <c r="U429" i="2"/>
  <c r="S429" i="2"/>
  <c r="Z429" i="2" s="1"/>
  <c r="Q892" i="8"/>
  <c r="U892" i="2"/>
  <c r="W1012" i="2"/>
  <c r="S1059" i="2"/>
  <c r="Z1059" i="2" s="1"/>
  <c r="S161" i="2"/>
  <c r="Z161" i="2" s="1"/>
  <c r="R1093" i="2"/>
  <c r="Y1093" i="2" s="1"/>
  <c r="S939" i="2"/>
  <c r="Z939" i="2" s="1"/>
  <c r="V939" i="2"/>
  <c r="S795" i="2"/>
  <c r="Z795" i="2" s="1"/>
  <c r="V795" i="2"/>
  <c r="U868" i="2"/>
  <c r="V868" i="2"/>
  <c r="W905" i="2"/>
  <c r="V905" i="2"/>
  <c r="Q425" i="8"/>
  <c r="T425" i="2"/>
  <c r="AA425" i="2" s="1"/>
  <c r="Q377" i="8"/>
  <c r="U377" i="2"/>
  <c r="V377" i="2"/>
  <c r="V135" i="2"/>
  <c r="V111" i="2"/>
  <c r="U165" i="2"/>
  <c r="U110" i="2"/>
  <c r="T247" i="2"/>
  <c r="AA247" i="2" s="1"/>
  <c r="T214" i="2"/>
  <c r="AA214" i="2" s="1"/>
  <c r="T110" i="2"/>
  <c r="AA110" i="2" s="1"/>
  <c r="T76" i="2"/>
  <c r="AA76" i="2" s="1"/>
  <c r="T47" i="2"/>
  <c r="AA47" i="2" s="1"/>
  <c r="S310" i="2"/>
  <c r="Z310" i="2" s="1"/>
  <c r="S221" i="2"/>
  <c r="Z221" i="2" s="1"/>
  <c r="S182" i="2"/>
  <c r="Z182" i="2" s="1"/>
  <c r="S149" i="2"/>
  <c r="Z149" i="2" s="1"/>
  <c r="S117" i="2"/>
  <c r="Z117" i="2" s="1"/>
  <c r="R363" i="2"/>
  <c r="Y363" i="2" s="1"/>
  <c r="R173" i="2"/>
  <c r="Y173" i="2" s="1"/>
  <c r="R86" i="2"/>
  <c r="Y86" i="2" s="1"/>
  <c r="V458" i="2"/>
  <c r="U796" i="2"/>
  <c r="T1093" i="2"/>
  <c r="AA1093" i="2" s="1"/>
  <c r="T891" i="2"/>
  <c r="AA891" i="2" s="1"/>
  <c r="S949" i="2"/>
  <c r="Z949" i="2" s="1"/>
  <c r="S1035" i="2"/>
  <c r="Z1035" i="2" s="1"/>
  <c r="S940" i="2"/>
  <c r="Z940" i="2" s="1"/>
  <c r="Q1031" i="8"/>
  <c r="S1031" i="2"/>
  <c r="Z1031" i="2" s="1"/>
  <c r="Q919" i="8"/>
  <c r="S919" i="2"/>
  <c r="Z919" i="2" s="1"/>
  <c r="S887" i="2"/>
  <c r="Z887" i="2" s="1"/>
  <c r="U887" i="2"/>
  <c r="Q823" i="8"/>
  <c r="U823" i="2"/>
  <c r="S631" i="2"/>
  <c r="Z631" i="2" s="1"/>
  <c r="V631" i="2"/>
  <c r="Q599" i="8"/>
  <c r="R599" i="2"/>
  <c r="Y599" i="2" s="1"/>
  <c r="S583" i="2"/>
  <c r="Z583" i="2" s="1"/>
  <c r="U583" i="2"/>
  <c r="Q535" i="8"/>
  <c r="R535" i="2"/>
  <c r="Y535" i="2" s="1"/>
  <c r="Q455" i="8"/>
  <c r="R455" i="2"/>
  <c r="Y455" i="2" s="1"/>
  <c r="Q375" i="8"/>
  <c r="T375" i="2"/>
  <c r="AA375" i="2" s="1"/>
  <c r="Q1078" i="8"/>
  <c r="T1078" i="2"/>
  <c r="AA1078" i="2" s="1"/>
  <c r="S1046" i="2"/>
  <c r="Z1046" i="2" s="1"/>
  <c r="U1046" i="2"/>
  <c r="Q982" i="8"/>
  <c r="V982" i="2"/>
  <c r="Q838" i="8"/>
  <c r="R838" i="2"/>
  <c r="Y838" i="2" s="1"/>
  <c r="Q694" i="8"/>
  <c r="V694" i="2"/>
  <c r="Q662" i="8"/>
  <c r="U662" i="2"/>
  <c r="V662" i="2"/>
  <c r="Q646" i="8"/>
  <c r="T646" i="2"/>
  <c r="AA646" i="2" s="1"/>
  <c r="Q614" i="8"/>
  <c r="R614" i="2"/>
  <c r="Y614" i="2" s="1"/>
  <c r="U1083" i="2"/>
  <c r="S1061" i="2"/>
  <c r="Z1061" i="2" s="1"/>
  <c r="U1061" i="2"/>
  <c r="Q997" i="8"/>
  <c r="T997" i="2"/>
  <c r="AA997" i="2" s="1"/>
  <c r="Q933" i="8"/>
  <c r="U933" i="2"/>
  <c r="Q885" i="8"/>
  <c r="V885" i="2"/>
  <c r="Q869" i="8"/>
  <c r="U869" i="2"/>
  <c r="Q773" i="8"/>
  <c r="R773" i="2"/>
  <c r="Y773" i="2" s="1"/>
  <c r="U725" i="2"/>
  <c r="V725" i="2"/>
  <c r="Q693" i="8"/>
  <c r="T693" i="2"/>
  <c r="AA693" i="2" s="1"/>
  <c r="Q549" i="8"/>
  <c r="T549" i="2"/>
  <c r="AA549" i="2" s="1"/>
  <c r="U549" i="2"/>
  <c r="Q437" i="8"/>
  <c r="R437" i="2"/>
  <c r="Y437" i="2" s="1"/>
  <c r="Q261" i="8"/>
  <c r="U261" i="2"/>
  <c r="Q229" i="8"/>
  <c r="U229" i="2"/>
  <c r="V229" i="2"/>
  <c r="U1035" i="2"/>
  <c r="R1083" i="2"/>
  <c r="Y1083" i="2" s="1"/>
  <c r="Q867" i="8"/>
  <c r="S867" i="2"/>
  <c r="Z867" i="2" s="1"/>
  <c r="T819" i="2"/>
  <c r="AA819" i="2" s="1"/>
  <c r="S819" i="2"/>
  <c r="Z819" i="2" s="1"/>
  <c r="V1083" i="2"/>
  <c r="U1127" i="2"/>
  <c r="U1031" i="2"/>
  <c r="U983" i="2"/>
  <c r="U633" i="2"/>
  <c r="T1061" i="2"/>
  <c r="AA1061" i="2" s="1"/>
  <c r="S997" i="2"/>
  <c r="Z997" i="2" s="1"/>
  <c r="S613" i="2"/>
  <c r="Z613" i="2" s="1"/>
  <c r="S437" i="2"/>
  <c r="Z437" i="2" s="1"/>
  <c r="R1047" i="2"/>
  <c r="Y1047" i="2" s="1"/>
  <c r="R823" i="2"/>
  <c r="Y823" i="2" s="1"/>
  <c r="R1030" i="2"/>
  <c r="Y1030" i="2" s="1"/>
  <c r="Q161" i="8"/>
  <c r="T161" i="2"/>
  <c r="AA161" i="2" s="1"/>
  <c r="W1084" i="2"/>
  <c r="W891" i="2"/>
  <c r="W762" i="2"/>
  <c r="V1107" i="2"/>
  <c r="V1078" i="2"/>
  <c r="V862" i="2"/>
  <c r="V748" i="2"/>
  <c r="U1070" i="2"/>
  <c r="U1029" i="2"/>
  <c r="U820" i="2"/>
  <c r="T933" i="2"/>
  <c r="AA933" i="2" s="1"/>
  <c r="T855" i="2"/>
  <c r="AA855" i="2" s="1"/>
  <c r="T633" i="2"/>
  <c r="AA633" i="2" s="1"/>
  <c r="S1111" i="2"/>
  <c r="Z1111" i="2" s="1"/>
  <c r="S781" i="2"/>
  <c r="Z781" i="2" s="1"/>
  <c r="S542" i="2"/>
  <c r="Z542" i="2" s="1"/>
  <c r="S485" i="2"/>
  <c r="Z485" i="2" s="1"/>
  <c r="R1029" i="2"/>
  <c r="Y1029" i="2" s="1"/>
  <c r="R791" i="2"/>
  <c r="Y791" i="2" s="1"/>
  <c r="R665" i="2"/>
  <c r="Y665" i="2" s="1"/>
  <c r="R573" i="2"/>
  <c r="Y573" i="2" s="1"/>
  <c r="R410" i="2"/>
  <c r="Y410" i="2" s="1"/>
  <c r="W1113" i="2"/>
  <c r="W1083" i="2"/>
  <c r="V1077" i="2"/>
  <c r="V997" i="2"/>
  <c r="V601" i="2"/>
  <c r="U1069" i="2"/>
  <c r="U967" i="2"/>
  <c r="U919" i="2"/>
  <c r="U819" i="2"/>
  <c r="T1047" i="2"/>
  <c r="AA1047" i="2" s="1"/>
  <c r="T987" i="2"/>
  <c r="AA987" i="2" s="1"/>
  <c r="T926" i="2"/>
  <c r="AA926" i="2" s="1"/>
  <c r="T853" i="2"/>
  <c r="AA853" i="2" s="1"/>
  <c r="T791" i="2"/>
  <c r="AA791" i="2" s="1"/>
  <c r="T533" i="2"/>
  <c r="AA533" i="2" s="1"/>
  <c r="S1101" i="2"/>
  <c r="Z1101" i="2" s="1"/>
  <c r="S985" i="2"/>
  <c r="Z985" i="2" s="1"/>
  <c r="S886" i="2"/>
  <c r="Z886" i="2" s="1"/>
  <c r="S773" i="2"/>
  <c r="Z773" i="2" s="1"/>
  <c r="R781" i="2"/>
  <c r="Y781" i="2" s="1"/>
  <c r="R663" i="2"/>
  <c r="Y663" i="2" s="1"/>
  <c r="Q782" i="8"/>
  <c r="U782" i="2"/>
  <c r="V782" i="2"/>
  <c r="S734" i="2"/>
  <c r="Z734" i="2" s="1"/>
  <c r="T734" i="2"/>
  <c r="AA734" i="2" s="1"/>
  <c r="Q670" i="8"/>
  <c r="R670" i="2"/>
  <c r="Y670" i="2" s="1"/>
  <c r="Q622" i="8"/>
  <c r="T622" i="2"/>
  <c r="AA622" i="2" s="1"/>
  <c r="Q590" i="8"/>
  <c r="V590" i="2"/>
  <c r="Q478" i="8"/>
  <c r="T478" i="2"/>
  <c r="AA478" i="2" s="1"/>
  <c r="T334" i="2"/>
  <c r="AA334" i="2" s="1"/>
  <c r="V334" i="2"/>
  <c r="T302" i="2"/>
  <c r="AA302" i="2" s="1"/>
  <c r="U302" i="2"/>
  <c r="V302" i="2"/>
  <c r="S1053" i="2"/>
  <c r="Z1053" i="2" s="1"/>
  <c r="T1053" i="2"/>
  <c r="AA1053" i="2" s="1"/>
  <c r="Q1005" i="8"/>
  <c r="U1005" i="2"/>
  <c r="T957" i="2"/>
  <c r="AA957" i="2" s="1"/>
  <c r="U957" i="2"/>
  <c r="Q893" i="8"/>
  <c r="T893" i="2"/>
  <c r="AA893" i="2" s="1"/>
  <c r="Q877" i="8"/>
  <c r="T877" i="2"/>
  <c r="AA877" i="2" s="1"/>
  <c r="Q861" i="8"/>
  <c r="V861" i="2"/>
  <c r="Q765" i="8"/>
  <c r="T765" i="2"/>
  <c r="AA765" i="2" s="1"/>
  <c r="S765" i="2"/>
  <c r="Z765" i="2" s="1"/>
  <c r="S701" i="2"/>
  <c r="Z701" i="2" s="1"/>
  <c r="U701" i="2"/>
  <c r="Q669" i="8"/>
  <c r="T669" i="2"/>
  <c r="AA669" i="2" s="1"/>
  <c r="U621" i="2"/>
  <c r="V621" i="2"/>
  <c r="U589" i="2"/>
  <c r="T589" i="2"/>
  <c r="AA589" i="2" s="1"/>
  <c r="Q477" i="8"/>
  <c r="S477" i="2"/>
  <c r="Z477" i="2" s="1"/>
  <c r="S381" i="2"/>
  <c r="Z381" i="2" s="1"/>
  <c r="V381" i="2"/>
  <c r="Q796" i="8"/>
  <c r="V796" i="2"/>
  <c r="Q652" i="8"/>
  <c r="V652" i="2"/>
  <c r="Q604" i="8"/>
  <c r="S604" i="2"/>
  <c r="Z604" i="2" s="1"/>
  <c r="Q508" i="8"/>
  <c r="T508" i="2"/>
  <c r="AA508" i="2" s="1"/>
  <c r="U508" i="2"/>
  <c r="Q364" i="8"/>
  <c r="U364" i="2"/>
  <c r="U939" i="2"/>
  <c r="T939" i="2"/>
  <c r="AA939" i="2" s="1"/>
  <c r="R843" i="2"/>
  <c r="Y843" i="2" s="1"/>
  <c r="T843" i="2"/>
  <c r="AA843" i="2" s="1"/>
  <c r="Q810" i="8"/>
  <c r="V810" i="2"/>
  <c r="Q602" i="8"/>
  <c r="T602" i="2"/>
  <c r="AA602" i="2" s="1"/>
  <c r="Q713" i="8"/>
  <c r="T713" i="2"/>
  <c r="AA713" i="2" s="1"/>
  <c r="Q681" i="8"/>
  <c r="S681" i="2"/>
  <c r="Z681" i="2" s="1"/>
  <c r="V681" i="2"/>
  <c r="S649" i="2"/>
  <c r="Z649" i="2" s="1"/>
  <c r="U649" i="2"/>
  <c r="Q569" i="8"/>
  <c r="U569" i="2"/>
  <c r="V569" i="2"/>
  <c r="Q521" i="8"/>
  <c r="T521" i="2"/>
  <c r="AA521" i="2" s="1"/>
  <c r="Q505" i="8"/>
  <c r="R505" i="2"/>
  <c r="Y505" i="2" s="1"/>
  <c r="T457" i="2"/>
  <c r="AA457" i="2" s="1"/>
  <c r="U457" i="2"/>
  <c r="V603" i="2"/>
  <c r="U269" i="2"/>
  <c r="U181" i="2"/>
  <c r="U149" i="2"/>
  <c r="S944" i="2"/>
  <c r="Z944" i="2" s="1"/>
  <c r="S550" i="2"/>
  <c r="Z550" i="2" s="1"/>
  <c r="S406" i="2"/>
  <c r="Z406" i="2" s="1"/>
  <c r="S285" i="2"/>
  <c r="Z285" i="2" s="1"/>
  <c r="S247" i="2"/>
  <c r="Z247" i="2" s="1"/>
  <c r="S214" i="2"/>
  <c r="Z214" i="2" s="1"/>
  <c r="R1040" i="2"/>
  <c r="Y1040" i="2" s="1"/>
  <c r="R704" i="2"/>
  <c r="Y704" i="2" s="1"/>
  <c r="R406" i="2"/>
  <c r="Y406" i="2" s="1"/>
  <c r="R339" i="2"/>
  <c r="Y339" i="2" s="1"/>
  <c r="R285" i="2"/>
  <c r="Y285" i="2" s="1"/>
  <c r="R221" i="2"/>
  <c r="Y221" i="2" s="1"/>
  <c r="R62" i="2"/>
  <c r="Y62" i="2" s="1"/>
  <c r="BF1116" i="8"/>
  <c r="BG1116" i="8" s="1"/>
  <c r="BF924" i="8"/>
  <c r="BG924" i="8" s="1"/>
  <c r="BF876" i="8"/>
  <c r="BG876" i="8" s="1"/>
  <c r="BF828" i="8"/>
  <c r="BG828" i="8" s="1"/>
  <c r="BF732" i="8"/>
  <c r="BG732" i="8" s="1"/>
  <c r="BF636" i="8"/>
  <c r="BG636" i="8" s="1"/>
  <c r="BF540" i="8"/>
  <c r="BG540" i="8" s="1"/>
  <c r="BF348" i="8"/>
  <c r="BG348" i="8" s="1"/>
  <c r="BF300" i="8"/>
  <c r="BG300" i="8" s="1"/>
  <c r="BF252" i="8"/>
  <c r="BG252" i="8" s="1"/>
  <c r="BF156" i="8"/>
  <c r="BG156" i="8" s="1"/>
  <c r="U531" i="2"/>
  <c r="U411" i="2"/>
  <c r="U326" i="2"/>
  <c r="T340" i="2"/>
  <c r="AA340" i="2" s="1"/>
  <c r="T181" i="2"/>
  <c r="AA181" i="2" s="1"/>
  <c r="T149" i="2"/>
  <c r="AA149" i="2" s="1"/>
  <c r="S425" i="2"/>
  <c r="Z425" i="2" s="1"/>
  <c r="S315" i="2"/>
  <c r="Z315" i="2" s="1"/>
  <c r="S199" i="2"/>
  <c r="Z199" i="2" s="1"/>
  <c r="S166" i="2"/>
  <c r="Z166" i="2" s="1"/>
  <c r="S134" i="2"/>
  <c r="Z134" i="2" s="1"/>
  <c r="R326" i="2"/>
  <c r="Y326" i="2" s="1"/>
  <c r="R167" i="2"/>
  <c r="Y167" i="2" s="1"/>
  <c r="R79" i="2"/>
  <c r="Y79" i="2" s="1"/>
  <c r="BF427" i="8"/>
  <c r="BG427" i="8" s="1"/>
  <c r="T1064" i="2"/>
  <c r="AA1064" i="2" s="1"/>
  <c r="S1064" i="2"/>
  <c r="Z1064" i="2" s="1"/>
  <c r="T920" i="2"/>
  <c r="AA920" i="2" s="1"/>
  <c r="V920" i="2"/>
  <c r="S920" i="2"/>
  <c r="Z920" i="2" s="1"/>
  <c r="Q776" i="8"/>
  <c r="S776" i="2"/>
  <c r="Z776" i="2" s="1"/>
  <c r="R776" i="2"/>
  <c r="Y776" i="2" s="1"/>
  <c r="T776" i="2"/>
  <c r="AA776" i="2" s="1"/>
  <c r="V776" i="2"/>
  <c r="Q392" i="8"/>
  <c r="S392" i="2"/>
  <c r="Z392" i="2" s="1"/>
  <c r="R392" i="2"/>
  <c r="Y392" i="2" s="1"/>
  <c r="W1081" i="2"/>
  <c r="U776" i="2"/>
  <c r="S680" i="2"/>
  <c r="Z680" i="2" s="1"/>
  <c r="R968" i="2"/>
  <c r="Y968" i="2" s="1"/>
  <c r="Q1016" i="8"/>
  <c r="S1016" i="2"/>
  <c r="Z1016" i="2" s="1"/>
  <c r="R1016" i="2"/>
  <c r="Y1016" i="2" s="1"/>
  <c r="T872" i="2"/>
  <c r="AA872" i="2" s="1"/>
  <c r="U872" i="2"/>
  <c r="T584" i="2"/>
  <c r="AA584" i="2" s="1"/>
  <c r="U584" i="2"/>
  <c r="S344" i="2"/>
  <c r="Z344" i="2" s="1"/>
  <c r="T344" i="2"/>
  <c r="AA344" i="2" s="1"/>
  <c r="W969" i="2"/>
  <c r="W825" i="2"/>
  <c r="V745" i="2"/>
  <c r="U1017" i="2"/>
  <c r="U968" i="2"/>
  <c r="U728" i="2"/>
  <c r="T729" i="2"/>
  <c r="AA729" i="2" s="1"/>
  <c r="W1049" i="2"/>
  <c r="V1016" i="2"/>
  <c r="V985" i="2"/>
  <c r="V953" i="2"/>
  <c r="V392" i="2"/>
  <c r="U889" i="2"/>
  <c r="U809" i="2"/>
  <c r="T1033" i="2"/>
  <c r="AA1033" i="2" s="1"/>
  <c r="T985" i="2"/>
  <c r="AA985" i="2" s="1"/>
  <c r="Q488" i="8"/>
  <c r="W488" i="2"/>
  <c r="T488" i="2"/>
  <c r="AA488" i="2" s="1"/>
  <c r="T728" i="2"/>
  <c r="AA728" i="2" s="1"/>
  <c r="W1017" i="2"/>
  <c r="W937" i="2"/>
  <c r="V1049" i="2"/>
  <c r="T809" i="2"/>
  <c r="AA809" i="2" s="1"/>
  <c r="T392" i="2"/>
  <c r="AA392" i="2" s="1"/>
  <c r="Q824" i="8"/>
  <c r="S824" i="2"/>
  <c r="Z824" i="2" s="1"/>
  <c r="V824" i="2"/>
  <c r="T824" i="2"/>
  <c r="AA824" i="2" s="1"/>
  <c r="T937" i="2"/>
  <c r="AA937" i="2" s="1"/>
  <c r="W1016" i="2"/>
  <c r="W344" i="2"/>
  <c r="V921" i="2"/>
  <c r="U921" i="2"/>
  <c r="U488" i="2"/>
  <c r="T761" i="2"/>
  <c r="AA761" i="2" s="1"/>
  <c r="S873" i="2"/>
  <c r="Z873" i="2" s="1"/>
  <c r="V104" i="2"/>
  <c r="U920" i="2"/>
  <c r="S872" i="2"/>
  <c r="Z872" i="2" s="1"/>
  <c r="Q680" i="8"/>
  <c r="U680" i="2"/>
  <c r="R680" i="2"/>
  <c r="Y680" i="2" s="1"/>
  <c r="T680" i="2"/>
  <c r="AA680" i="2" s="1"/>
  <c r="Q296" i="8"/>
  <c r="T296" i="2"/>
  <c r="AA296" i="2" s="1"/>
  <c r="R296" i="2"/>
  <c r="Y296" i="2" s="1"/>
  <c r="U296" i="2"/>
  <c r="S296" i="2"/>
  <c r="Z296" i="2" s="1"/>
  <c r="Q248" i="8"/>
  <c r="S248" i="2"/>
  <c r="Z248" i="2" s="1"/>
  <c r="R248" i="2"/>
  <c r="Y248" i="2" s="1"/>
  <c r="Q200" i="8"/>
  <c r="S200" i="2"/>
  <c r="Z200" i="2" s="1"/>
  <c r="U200" i="2"/>
  <c r="R200" i="2"/>
  <c r="Y200" i="2" s="1"/>
  <c r="T200" i="2"/>
  <c r="AA200" i="2" s="1"/>
  <c r="Q56" i="8"/>
  <c r="S56" i="2"/>
  <c r="Z56" i="2" s="1"/>
  <c r="V56" i="2"/>
  <c r="R56" i="2"/>
  <c r="Y56" i="2" s="1"/>
  <c r="W1097" i="2"/>
  <c r="W729" i="2"/>
  <c r="W680" i="2"/>
  <c r="V584" i="2"/>
  <c r="V296" i="2"/>
  <c r="U841" i="2"/>
  <c r="Q1112" i="8"/>
  <c r="R1112" i="2"/>
  <c r="W1112" i="2"/>
  <c r="U1112" i="2"/>
  <c r="Q968" i="8"/>
  <c r="S968" i="2"/>
  <c r="Z968" i="2" s="1"/>
  <c r="Q632" i="8"/>
  <c r="S632" i="2"/>
  <c r="Z632" i="2" s="1"/>
  <c r="R632" i="2"/>
  <c r="Y632" i="2" s="1"/>
  <c r="T632" i="2"/>
  <c r="AA632" i="2" s="1"/>
  <c r="V632" i="2"/>
  <c r="W632" i="2"/>
  <c r="Q152" i="8"/>
  <c r="R152" i="2"/>
  <c r="Y152" i="2" s="1"/>
  <c r="T152" i="2"/>
  <c r="AA152" i="2" s="1"/>
  <c r="V152" i="2"/>
  <c r="S152" i="2"/>
  <c r="Z152" i="2" s="1"/>
  <c r="V1017" i="2"/>
  <c r="W728" i="2"/>
  <c r="V761" i="2"/>
  <c r="U56" i="2"/>
  <c r="R488" i="2"/>
  <c r="Y488" i="2" s="1"/>
  <c r="W872" i="2"/>
  <c r="W1065" i="2"/>
  <c r="V1097" i="2"/>
  <c r="V793" i="2"/>
  <c r="V729" i="2"/>
  <c r="U1065" i="2"/>
  <c r="U1033" i="2"/>
  <c r="T1016" i="2"/>
  <c r="AA1016" i="2" s="1"/>
  <c r="T968" i="2"/>
  <c r="AA968" i="2" s="1"/>
  <c r="S1118" i="2"/>
  <c r="Z1118" i="2" s="1"/>
  <c r="U1118" i="2"/>
  <c r="W1118" i="2"/>
  <c r="Q1102" i="8"/>
  <c r="T1102" i="2"/>
  <c r="AA1102" i="2" s="1"/>
  <c r="R1102" i="2"/>
  <c r="Y1102" i="2" s="1"/>
  <c r="Q1054" i="8"/>
  <c r="T1054" i="2"/>
  <c r="AA1054" i="2" s="1"/>
  <c r="S1054" i="2"/>
  <c r="Z1054" i="2" s="1"/>
  <c r="R1054" i="2"/>
  <c r="Y1054" i="2" s="1"/>
  <c r="U1054" i="2"/>
  <c r="Q1022" i="8"/>
  <c r="T1022" i="2"/>
  <c r="S1022" i="2"/>
  <c r="Z1022" i="2" s="1"/>
  <c r="R1022" i="2"/>
  <c r="Y1022" i="2" s="1"/>
  <c r="Q1006" i="8"/>
  <c r="S1006" i="2"/>
  <c r="Z1006" i="2" s="1"/>
  <c r="V1006" i="2"/>
  <c r="Q974" i="8"/>
  <c r="R974" i="2"/>
  <c r="Y974" i="2" s="1"/>
  <c r="V974" i="2"/>
  <c r="S974" i="2"/>
  <c r="Z974" i="2" s="1"/>
  <c r="Q958" i="8"/>
  <c r="S958" i="2"/>
  <c r="Z958" i="2" s="1"/>
  <c r="R958" i="2"/>
  <c r="Y958" i="2" s="1"/>
  <c r="T958" i="2"/>
  <c r="AA958" i="2" s="1"/>
  <c r="Q536" i="8"/>
  <c r="U536" i="2"/>
  <c r="W1064" i="2"/>
  <c r="W841" i="2"/>
  <c r="W392" i="2"/>
  <c r="V728" i="2"/>
  <c r="U1064" i="2"/>
  <c r="U632" i="2"/>
  <c r="T536" i="2"/>
  <c r="AA536" i="2" s="1"/>
  <c r="Q440" i="8"/>
  <c r="R440" i="2"/>
  <c r="Y440" i="2" s="1"/>
  <c r="T440" i="2"/>
  <c r="AA440" i="2" s="1"/>
  <c r="U440" i="2"/>
  <c r="S440" i="2"/>
  <c r="Z440" i="2" s="1"/>
  <c r="W824" i="2"/>
  <c r="W921" i="2"/>
  <c r="W809" i="2"/>
  <c r="W536" i="2"/>
  <c r="W152" i="2"/>
  <c r="V1064" i="2"/>
  <c r="V968" i="2"/>
  <c r="U392" i="2"/>
  <c r="S1112" i="2"/>
  <c r="Z1112" i="2" s="1"/>
  <c r="S104" i="2"/>
  <c r="Z104" i="2" s="1"/>
  <c r="T104" i="2"/>
  <c r="AA104" i="2" s="1"/>
  <c r="W920" i="2"/>
  <c r="W776" i="2"/>
  <c r="W200" i="2"/>
  <c r="W56" i="2"/>
  <c r="U824" i="2"/>
  <c r="U248" i="2"/>
  <c r="T1112" i="2"/>
  <c r="AA1112" i="2" s="1"/>
  <c r="T248" i="2"/>
  <c r="AA248" i="2" s="1"/>
  <c r="U1016" i="2"/>
  <c r="V809" i="2"/>
  <c r="V344" i="2"/>
  <c r="V200" i="2"/>
  <c r="U344" i="2"/>
  <c r="U104" i="2"/>
  <c r="T56" i="2"/>
  <c r="AA56" i="2" s="1"/>
  <c r="R536" i="2"/>
  <c r="Y536" i="2" s="1"/>
  <c r="S986" i="2"/>
  <c r="Z986" i="2" s="1"/>
  <c r="W986" i="2"/>
  <c r="W440" i="2"/>
  <c r="V872" i="2"/>
  <c r="V488" i="2"/>
  <c r="S488" i="2"/>
  <c r="Z488" i="2" s="1"/>
  <c r="U1113" i="2"/>
  <c r="V1113" i="2"/>
  <c r="T1097" i="2"/>
  <c r="AA1097" i="2" s="1"/>
  <c r="S1097" i="2"/>
  <c r="Z1097" i="2" s="1"/>
  <c r="S1081" i="2"/>
  <c r="Z1081" i="2" s="1"/>
  <c r="T1081" i="2"/>
  <c r="AA1081" i="2" s="1"/>
  <c r="U1081" i="2"/>
  <c r="Q1065" i="8"/>
  <c r="S1065" i="2"/>
  <c r="Z1065" i="2" s="1"/>
  <c r="S1049" i="2"/>
  <c r="Z1049" i="2" s="1"/>
  <c r="U1049" i="2"/>
  <c r="Q1033" i="8"/>
  <c r="W1033" i="2"/>
  <c r="U1001" i="2"/>
  <c r="V1001" i="2"/>
  <c r="T1001" i="2"/>
  <c r="AA1001" i="2" s="1"/>
  <c r="Q985" i="8"/>
  <c r="U985" i="2"/>
  <c r="T969" i="2"/>
  <c r="AA969" i="2" s="1"/>
  <c r="U969" i="2"/>
  <c r="S953" i="2"/>
  <c r="Z953" i="2" s="1"/>
  <c r="T953" i="2"/>
  <c r="AA953" i="2" s="1"/>
  <c r="W953" i="2"/>
  <c r="S937" i="2"/>
  <c r="Z937" i="2" s="1"/>
  <c r="U937" i="2"/>
  <c r="S905" i="2"/>
  <c r="Z905" i="2" s="1"/>
  <c r="U905" i="2"/>
  <c r="T905" i="2"/>
  <c r="AA905" i="2" s="1"/>
  <c r="Q873" i="8"/>
  <c r="T873" i="2"/>
  <c r="AA873" i="2" s="1"/>
  <c r="U873" i="2"/>
  <c r="W873" i="2"/>
  <c r="T857" i="2"/>
  <c r="AA857" i="2" s="1"/>
  <c r="V857" i="2"/>
  <c r="Q841" i="8"/>
  <c r="S841" i="2"/>
  <c r="Z841" i="2" s="1"/>
  <c r="Q825" i="8"/>
  <c r="S825" i="2"/>
  <c r="Z825" i="2" s="1"/>
  <c r="V825" i="2"/>
  <c r="Q793" i="8"/>
  <c r="T793" i="2"/>
  <c r="AA793" i="2" s="1"/>
  <c r="S793" i="2"/>
  <c r="Z793" i="2" s="1"/>
  <c r="W793" i="2"/>
  <c r="Q777" i="8"/>
  <c r="U777" i="2"/>
  <c r="T777" i="2"/>
  <c r="AA777" i="2" s="1"/>
  <c r="V777" i="2"/>
  <c r="Q761" i="8"/>
  <c r="S761" i="2"/>
  <c r="Z761" i="2" s="1"/>
  <c r="U761" i="2"/>
  <c r="Q745" i="8"/>
  <c r="T745" i="2"/>
  <c r="AA745" i="2" s="1"/>
  <c r="R926" i="2"/>
  <c r="Y926" i="2" s="1"/>
  <c r="Q999" i="8"/>
  <c r="S999" i="2"/>
  <c r="Z999" i="2" s="1"/>
  <c r="Q951" i="8"/>
  <c r="S951" i="2"/>
  <c r="Z951" i="2" s="1"/>
  <c r="Q759" i="8"/>
  <c r="S759" i="2"/>
  <c r="Z759" i="2" s="1"/>
  <c r="Q727" i="8"/>
  <c r="T727" i="2"/>
  <c r="Q711" i="8"/>
  <c r="S711" i="2"/>
  <c r="Z711" i="2" s="1"/>
  <c r="Q695" i="8"/>
  <c r="T695" i="2"/>
  <c r="AA695" i="2" s="1"/>
  <c r="Q679" i="8"/>
  <c r="R679" i="2"/>
  <c r="Y679" i="2" s="1"/>
  <c r="Q631" i="8"/>
  <c r="R631" i="2"/>
  <c r="Y631" i="2" s="1"/>
  <c r="Q519" i="8"/>
  <c r="U519" i="2"/>
  <c r="Q503" i="8"/>
  <c r="R503" i="2"/>
  <c r="Y503" i="2" s="1"/>
  <c r="Q487" i="8"/>
  <c r="U487" i="2"/>
  <c r="Q471" i="8"/>
  <c r="S471" i="2"/>
  <c r="Z471" i="2" s="1"/>
  <c r="Q423" i="8"/>
  <c r="T423" i="2"/>
  <c r="AA423" i="2" s="1"/>
  <c r="U423" i="2"/>
  <c r="R478" i="2"/>
  <c r="Y478" i="2" s="1"/>
  <c r="Q998" i="8"/>
  <c r="R998" i="2"/>
  <c r="Y998" i="2" s="1"/>
  <c r="S998" i="2"/>
  <c r="Z998" i="2" s="1"/>
  <c r="Q806" i="8"/>
  <c r="S806" i="2"/>
  <c r="Q758" i="8"/>
  <c r="T758" i="2"/>
  <c r="AA758" i="2" s="1"/>
  <c r="Q598" i="8"/>
  <c r="S598" i="2"/>
  <c r="Z598" i="2" s="1"/>
  <c r="Q566" i="8"/>
  <c r="R566" i="2"/>
  <c r="Y566" i="2" s="1"/>
  <c r="Q470" i="8"/>
  <c r="S470" i="2"/>
  <c r="Z470" i="2" s="1"/>
  <c r="Q422" i="8"/>
  <c r="T422" i="2"/>
  <c r="AA422" i="2" s="1"/>
  <c r="U422" i="2"/>
  <c r="Q374" i="8"/>
  <c r="R374" i="2"/>
  <c r="Y374" i="2" s="1"/>
  <c r="Q262" i="8"/>
  <c r="R262" i="2"/>
  <c r="Y262" i="2" s="1"/>
  <c r="Q230" i="8"/>
  <c r="U230" i="2"/>
  <c r="Q118" i="8"/>
  <c r="R118" i="2"/>
  <c r="Y118" i="2" s="1"/>
  <c r="Q70" i="8"/>
  <c r="U70" i="2"/>
  <c r="Q1125" i="8"/>
  <c r="R1125" i="2"/>
  <c r="Y1125" i="2" s="1"/>
  <c r="Q1109" i="8"/>
  <c r="S1109" i="2"/>
  <c r="Z1109" i="2" s="1"/>
  <c r="Q1013" i="8"/>
  <c r="U1013" i="2"/>
  <c r="Q917" i="8"/>
  <c r="R917" i="2"/>
  <c r="Y917" i="2" s="1"/>
  <c r="T917" i="2"/>
  <c r="AA917" i="2" s="1"/>
  <c r="Q901" i="8"/>
  <c r="S901" i="2"/>
  <c r="Z901" i="2" s="1"/>
  <c r="Q837" i="8"/>
  <c r="R837" i="2"/>
  <c r="Y837" i="2" s="1"/>
  <c r="Q741" i="8"/>
  <c r="R741" i="2"/>
  <c r="Y741" i="2" s="1"/>
  <c r="Q725" i="8"/>
  <c r="T725" i="2"/>
  <c r="AA725" i="2" s="1"/>
  <c r="Q677" i="8"/>
  <c r="S677" i="2"/>
  <c r="Z677" i="2" s="1"/>
  <c r="Q629" i="8"/>
  <c r="R629" i="2"/>
  <c r="Y629" i="2" s="1"/>
  <c r="T629" i="2"/>
  <c r="AA629" i="2" s="1"/>
  <c r="Q597" i="8"/>
  <c r="S597" i="2"/>
  <c r="Z597" i="2" s="1"/>
  <c r="T597" i="2"/>
  <c r="AA597" i="2" s="1"/>
  <c r="Q485" i="8"/>
  <c r="U485" i="2"/>
  <c r="Q389" i="8"/>
  <c r="T389" i="2"/>
  <c r="AA389" i="2" s="1"/>
  <c r="U389" i="2"/>
  <c r="T357" i="2"/>
  <c r="AA357" i="2" s="1"/>
  <c r="U357" i="2"/>
  <c r="Q325" i="8"/>
  <c r="T325" i="2"/>
  <c r="AA325" i="2" s="1"/>
  <c r="U878" i="2"/>
  <c r="T1011" i="2"/>
  <c r="AA1011" i="2" s="1"/>
  <c r="T714" i="2"/>
  <c r="AA714" i="2" s="1"/>
  <c r="T494" i="2"/>
  <c r="AA494" i="2" s="1"/>
  <c r="S1095" i="2"/>
  <c r="Z1095" i="2" s="1"/>
  <c r="S1030" i="2"/>
  <c r="Z1030" i="2" s="1"/>
  <c r="S862" i="2"/>
  <c r="Z862" i="2" s="1"/>
  <c r="S478" i="2"/>
  <c r="Z478" i="2" s="1"/>
  <c r="R1011" i="2"/>
  <c r="Y1011" i="2" s="1"/>
  <c r="R910" i="2"/>
  <c r="Y910" i="2" s="1"/>
  <c r="R718" i="2"/>
  <c r="Y718" i="2" s="1"/>
  <c r="T1108" i="2"/>
  <c r="AA1108" i="2" s="1"/>
  <c r="S1108" i="2"/>
  <c r="Z1108" i="2" s="1"/>
  <c r="Q1107" i="8"/>
  <c r="T1107" i="2"/>
  <c r="AA1107" i="2" s="1"/>
  <c r="Q915" i="8"/>
  <c r="R915" i="2"/>
  <c r="Y915" i="2" s="1"/>
  <c r="Q675" i="8"/>
  <c r="S675" i="2"/>
  <c r="Z675" i="2" s="1"/>
  <c r="Q627" i="8"/>
  <c r="T627" i="2"/>
  <c r="AA627" i="2" s="1"/>
  <c r="Q435" i="8"/>
  <c r="S435" i="2"/>
  <c r="Z435" i="2" s="1"/>
  <c r="Q387" i="8"/>
  <c r="T387" i="2"/>
  <c r="AA387" i="2" s="1"/>
  <c r="U387" i="2"/>
  <c r="Q291" i="8"/>
  <c r="T291" i="2"/>
  <c r="AA291" i="2" s="1"/>
  <c r="U291" i="2"/>
  <c r="W494" i="2"/>
  <c r="V1061" i="2"/>
  <c r="V1036" i="2"/>
  <c r="V830" i="2"/>
  <c r="V579" i="2"/>
  <c r="V382" i="2"/>
  <c r="U1084" i="2"/>
  <c r="U910" i="2"/>
  <c r="U871" i="2"/>
  <c r="U839" i="2"/>
  <c r="U766" i="2"/>
  <c r="U727" i="2"/>
  <c r="U695" i="2"/>
  <c r="U627" i="2"/>
  <c r="U590" i="2"/>
  <c r="U478" i="2"/>
  <c r="U446" i="2"/>
  <c r="T1005" i="2"/>
  <c r="AA1005" i="2" s="1"/>
  <c r="T967" i="2"/>
  <c r="AA967" i="2" s="1"/>
  <c r="T925" i="2"/>
  <c r="AA925" i="2" s="1"/>
  <c r="T878" i="2"/>
  <c r="AA878" i="2" s="1"/>
  <c r="T782" i="2"/>
  <c r="AA782" i="2" s="1"/>
  <c r="T711" i="2"/>
  <c r="AA711" i="2" s="1"/>
  <c r="T638" i="2"/>
  <c r="AA638" i="2" s="1"/>
  <c r="T566" i="2"/>
  <c r="AA566" i="2" s="1"/>
  <c r="S1088" i="2"/>
  <c r="Z1088" i="2" s="1"/>
  <c r="S854" i="2"/>
  <c r="Z854" i="2" s="1"/>
  <c r="S743" i="2"/>
  <c r="Z743" i="2" s="1"/>
  <c r="S699" i="2"/>
  <c r="Z699" i="2" s="1"/>
  <c r="S387" i="2"/>
  <c r="Z387" i="2" s="1"/>
  <c r="R1126" i="2"/>
  <c r="Y1126" i="2" s="1"/>
  <c r="R997" i="2"/>
  <c r="Y997" i="2" s="1"/>
  <c r="R886" i="2"/>
  <c r="Y886" i="2" s="1"/>
  <c r="R789" i="2"/>
  <c r="Y789" i="2" s="1"/>
  <c r="R711" i="2"/>
  <c r="Y711" i="2" s="1"/>
  <c r="R646" i="2"/>
  <c r="Y646" i="2" s="1"/>
  <c r="R518" i="2"/>
  <c r="Y518" i="2" s="1"/>
  <c r="R470" i="2"/>
  <c r="Y470" i="2" s="1"/>
  <c r="R243" i="2"/>
  <c r="Y243" i="2" s="1"/>
  <c r="U622" i="2"/>
  <c r="T675" i="2"/>
  <c r="AA675" i="2" s="1"/>
  <c r="S1084" i="2"/>
  <c r="Z1084" i="2" s="1"/>
  <c r="S382" i="2"/>
  <c r="Z382" i="2" s="1"/>
  <c r="R983" i="2"/>
  <c r="R782" i="2"/>
  <c r="Y782" i="2" s="1"/>
  <c r="R710" i="2"/>
  <c r="Y710" i="2" s="1"/>
  <c r="R590" i="2"/>
  <c r="Y590" i="2" s="1"/>
  <c r="R302" i="2"/>
  <c r="Y302" i="2" s="1"/>
  <c r="T670" i="2"/>
  <c r="AA670" i="2" s="1"/>
  <c r="T446" i="2"/>
  <c r="AA446" i="2" s="1"/>
  <c r="S1079" i="2"/>
  <c r="Z1079" i="2" s="1"/>
  <c r="S963" i="2"/>
  <c r="Z963" i="2" s="1"/>
  <c r="S903" i="2"/>
  <c r="Z903" i="2" s="1"/>
  <c r="S839" i="2"/>
  <c r="Z839" i="2" s="1"/>
  <c r="S791" i="2"/>
  <c r="Z791" i="2" s="1"/>
  <c r="S350" i="2"/>
  <c r="Z350" i="2" s="1"/>
  <c r="R981" i="2"/>
  <c r="Y981" i="2" s="1"/>
  <c r="R878" i="2"/>
  <c r="R638" i="2"/>
  <c r="Y638" i="2" s="1"/>
  <c r="R579" i="2"/>
  <c r="Y579" i="2" s="1"/>
  <c r="Q896" i="8"/>
  <c r="S896" i="2"/>
  <c r="Z896" i="2" s="1"/>
  <c r="Q656" i="8"/>
  <c r="T656" i="2"/>
  <c r="AA656" i="2" s="1"/>
  <c r="W1059" i="2"/>
  <c r="W926" i="2"/>
  <c r="V1109" i="2"/>
  <c r="V1031" i="2"/>
  <c r="V999" i="2"/>
  <c r="V746" i="2"/>
  <c r="V718" i="2"/>
  <c r="V574" i="2"/>
  <c r="U1079" i="2"/>
  <c r="U981" i="2"/>
  <c r="U759" i="2"/>
  <c r="U723" i="2"/>
  <c r="U686" i="2"/>
  <c r="U398" i="2"/>
  <c r="T1127" i="2"/>
  <c r="AA1127" i="2" s="1"/>
  <c r="T1035" i="2"/>
  <c r="AA1035" i="2" s="1"/>
  <c r="T999" i="2"/>
  <c r="AA999" i="2" s="1"/>
  <c r="T919" i="2"/>
  <c r="AA919" i="2" s="1"/>
  <c r="T742" i="2"/>
  <c r="AA742" i="2" s="1"/>
  <c r="T483" i="2"/>
  <c r="AA483" i="2" s="1"/>
  <c r="S1077" i="2"/>
  <c r="Z1077" i="2" s="1"/>
  <c r="S891" i="2"/>
  <c r="Z891" i="2" s="1"/>
  <c r="S790" i="2"/>
  <c r="Z790" i="2" s="1"/>
  <c r="S694" i="2"/>
  <c r="Z694" i="2" s="1"/>
  <c r="S647" i="2"/>
  <c r="Z647" i="2" s="1"/>
  <c r="S566" i="2"/>
  <c r="Z566" i="2" s="1"/>
  <c r="R1095" i="2"/>
  <c r="Y1095" i="2" s="1"/>
  <c r="R871" i="2"/>
  <c r="Y871" i="2" s="1"/>
  <c r="R502" i="2"/>
  <c r="Y502" i="2" s="1"/>
  <c r="Q191" i="8"/>
  <c r="T191" i="2"/>
  <c r="AA191" i="2" s="1"/>
  <c r="Q910" i="8"/>
  <c r="T910" i="2"/>
  <c r="AA910" i="2" s="1"/>
  <c r="Q830" i="8"/>
  <c r="R830" i="2"/>
  <c r="Y830" i="2" s="1"/>
  <c r="T830" i="2"/>
  <c r="AA830" i="2" s="1"/>
  <c r="Q814" i="8"/>
  <c r="U814" i="2"/>
  <c r="Q734" i="8"/>
  <c r="R734" i="2"/>
  <c r="Y734" i="2" s="1"/>
  <c r="Q526" i="8"/>
  <c r="T526" i="2"/>
  <c r="AA526" i="2" s="1"/>
  <c r="Q430" i="8"/>
  <c r="S430" i="2"/>
  <c r="Z430" i="2" s="1"/>
  <c r="Q350" i="8"/>
  <c r="U350" i="2"/>
  <c r="Q334" i="8"/>
  <c r="S334" i="2"/>
  <c r="Z334" i="2" s="1"/>
  <c r="Q302" i="8"/>
  <c r="S302" i="2"/>
  <c r="Z302" i="2" s="1"/>
  <c r="Q254" i="8"/>
  <c r="T254" i="2"/>
  <c r="AA254" i="2" s="1"/>
  <c r="Q190" i="8"/>
  <c r="T190" i="2"/>
  <c r="AA190" i="2" s="1"/>
  <c r="R190" i="2"/>
  <c r="Y190" i="2" s="1"/>
  <c r="Q142" i="8"/>
  <c r="S142" i="2"/>
  <c r="Z142" i="2" s="1"/>
  <c r="Q94" i="8"/>
  <c r="U94" i="2"/>
  <c r="T862" i="2"/>
  <c r="AA862" i="2" s="1"/>
  <c r="S782" i="2"/>
  <c r="Z782" i="2" s="1"/>
  <c r="S686" i="2"/>
  <c r="Z686" i="2" s="1"/>
  <c r="R963" i="2"/>
  <c r="Y963" i="2" s="1"/>
  <c r="R867" i="2"/>
  <c r="R771" i="2"/>
  <c r="Y771" i="2" s="1"/>
  <c r="R494" i="2"/>
  <c r="Y494" i="2" s="1"/>
  <c r="Q845" i="8"/>
  <c r="U845" i="2"/>
  <c r="Q813" i="8"/>
  <c r="U813" i="2"/>
  <c r="Q781" i="8"/>
  <c r="U781" i="2"/>
  <c r="S749" i="2"/>
  <c r="Z749" i="2" s="1"/>
  <c r="U749" i="2"/>
  <c r="Q717" i="8"/>
  <c r="U717" i="2"/>
  <c r="Q653" i="8"/>
  <c r="U653" i="2"/>
  <c r="T557" i="2"/>
  <c r="AA557" i="2" s="1"/>
  <c r="S557" i="2"/>
  <c r="Z557" i="2" s="1"/>
  <c r="Q493" i="8"/>
  <c r="T493" i="2"/>
  <c r="AA493" i="2" s="1"/>
  <c r="Q413" i="8"/>
  <c r="R413" i="2"/>
  <c r="Y413" i="2" s="1"/>
  <c r="Q317" i="8"/>
  <c r="R317" i="2"/>
  <c r="Y317" i="2" s="1"/>
  <c r="U317" i="2"/>
  <c r="Q301" i="8"/>
  <c r="S301" i="2"/>
  <c r="Z301" i="2" s="1"/>
  <c r="Q253" i="8"/>
  <c r="T253" i="2"/>
  <c r="AA253" i="2" s="1"/>
  <c r="R1059" i="2"/>
  <c r="Y1059" i="2" s="1"/>
  <c r="R862" i="2"/>
  <c r="Y862" i="2" s="1"/>
  <c r="V988" i="2"/>
  <c r="T988" i="2"/>
  <c r="AA988" i="2" s="1"/>
  <c r="Q844" i="8"/>
  <c r="S844" i="2"/>
  <c r="Z844" i="2" s="1"/>
  <c r="U844" i="2"/>
  <c r="Q556" i="8"/>
  <c r="U556" i="2"/>
  <c r="S1127" i="2"/>
  <c r="Z1127" i="2" s="1"/>
  <c r="S878" i="2"/>
  <c r="Z878" i="2" s="1"/>
  <c r="S590" i="2"/>
  <c r="Z590" i="2" s="1"/>
  <c r="R951" i="2"/>
  <c r="Y951" i="2" s="1"/>
  <c r="R766" i="2"/>
  <c r="Y766" i="2" s="1"/>
  <c r="R686" i="2"/>
  <c r="Y686" i="2" s="1"/>
  <c r="R622" i="2"/>
  <c r="Y622" i="2" s="1"/>
  <c r="Q795" i="8"/>
  <c r="T795" i="2"/>
  <c r="AA795" i="2" s="1"/>
  <c r="Q747" i="8"/>
  <c r="U747" i="2"/>
  <c r="V651" i="2"/>
  <c r="U651" i="2"/>
  <c r="Q555" i="8"/>
  <c r="S555" i="2"/>
  <c r="Z555" i="2" s="1"/>
  <c r="U555" i="2"/>
  <c r="Q507" i="8"/>
  <c r="S507" i="2"/>
  <c r="Z507" i="2" s="1"/>
  <c r="W826" i="2"/>
  <c r="T826" i="2"/>
  <c r="AA826" i="2" s="1"/>
  <c r="BF942" i="8"/>
  <c r="BG942" i="8" s="1"/>
  <c r="BF798" i="8"/>
  <c r="BG798" i="8" s="1"/>
  <c r="BF670" i="8"/>
  <c r="BG670" i="8" s="1"/>
  <c r="BF558" i="8"/>
  <c r="BG558" i="8" s="1"/>
  <c r="BF526" i="8"/>
  <c r="BG526" i="8" s="1"/>
  <c r="BF414" i="8"/>
  <c r="BG414" i="8" s="1"/>
  <c r="BF334" i="8"/>
  <c r="BG334" i="8" s="1"/>
  <c r="BF318" i="8"/>
  <c r="BG318" i="8" s="1"/>
  <c r="BF238" i="8"/>
  <c r="BG238" i="8" s="1"/>
  <c r="BF174" i="8"/>
  <c r="BG174" i="8" s="1"/>
  <c r="BF126" i="8"/>
  <c r="BG126" i="8" s="1"/>
  <c r="BF1000" i="8"/>
  <c r="BG1000" i="8" s="1"/>
  <c r="BF968" i="8"/>
  <c r="BG968" i="8" s="1"/>
  <c r="BF904" i="8"/>
  <c r="BG904" i="8" s="1"/>
  <c r="BF808" i="8"/>
  <c r="BG808" i="8" s="1"/>
  <c r="BF776" i="8"/>
  <c r="BG776" i="8" s="1"/>
  <c r="BF728" i="8"/>
  <c r="BG728" i="8" s="1"/>
  <c r="BF712" i="8"/>
  <c r="BG712" i="8" s="1"/>
  <c r="BF664" i="8"/>
  <c r="BG664" i="8" s="1"/>
  <c r="BF616" i="8"/>
  <c r="BG616" i="8" s="1"/>
  <c r="BF520" i="8"/>
  <c r="BG520" i="8" s="1"/>
  <c r="BF488" i="8"/>
  <c r="BG488" i="8" s="1"/>
  <c r="BF472" i="8"/>
  <c r="BG472" i="8" s="1"/>
  <c r="BF424" i="8"/>
  <c r="BG424" i="8" s="1"/>
  <c r="BF392" i="8"/>
  <c r="BG392" i="8" s="1"/>
  <c r="BF376" i="8"/>
  <c r="BG376" i="8" s="1"/>
  <c r="BF328" i="8"/>
  <c r="BG328" i="8" s="1"/>
  <c r="BF248" i="8"/>
  <c r="BG248" i="8" s="1"/>
  <c r="BF232" i="8"/>
  <c r="BG232" i="8" s="1"/>
  <c r="BF184" i="8"/>
  <c r="BG184" i="8" s="1"/>
  <c r="BF104" i="8"/>
  <c r="BG104" i="8" s="1"/>
  <c r="BF88" i="8"/>
  <c r="BG88" i="8" s="1"/>
  <c r="BF56" i="8"/>
  <c r="BG56" i="8" s="1"/>
  <c r="BF40" i="8"/>
  <c r="BG40" i="8" s="1"/>
  <c r="BF146" i="8"/>
  <c r="BG146" i="8" s="1"/>
  <c r="U173" i="2"/>
  <c r="U95" i="2"/>
  <c r="T293" i="2"/>
  <c r="AA293" i="2" s="1"/>
  <c r="T221" i="2"/>
  <c r="AA221" i="2" s="1"/>
  <c r="T165" i="2"/>
  <c r="AA165" i="2" s="1"/>
  <c r="T109" i="2"/>
  <c r="AA109" i="2" s="1"/>
  <c r="S363" i="2"/>
  <c r="Z363" i="2" s="1"/>
  <c r="S237" i="2"/>
  <c r="Z237" i="2" s="1"/>
  <c r="S143" i="2"/>
  <c r="Z143" i="2" s="1"/>
  <c r="R320" i="2"/>
  <c r="Y320" i="2" s="1"/>
  <c r="R263" i="2"/>
  <c r="Y263" i="2" s="1"/>
  <c r="R119" i="2"/>
  <c r="Y119" i="2" s="1"/>
  <c r="U459" i="2"/>
  <c r="T459" i="2"/>
  <c r="AA459" i="2" s="1"/>
  <c r="T133" i="2"/>
  <c r="AA133" i="2" s="1"/>
  <c r="S267" i="2"/>
  <c r="Z267" i="2" s="1"/>
  <c r="S111" i="2"/>
  <c r="Z111" i="2" s="1"/>
  <c r="R459" i="2"/>
  <c r="Y459" i="2" s="1"/>
  <c r="R411" i="2"/>
  <c r="Y411" i="2" s="1"/>
  <c r="R149" i="2"/>
  <c r="Y149" i="2" s="1"/>
  <c r="R75" i="2"/>
  <c r="Y75" i="2" s="1"/>
  <c r="S1060" i="2"/>
  <c r="Z1060" i="2" s="1"/>
  <c r="T1060" i="2"/>
  <c r="AA1060" i="2" s="1"/>
  <c r="Q964" i="8"/>
  <c r="R964" i="2"/>
  <c r="Y964" i="2" s="1"/>
  <c r="W964" i="2"/>
  <c r="T964" i="2"/>
  <c r="AA964" i="2" s="1"/>
  <c r="U964" i="2"/>
  <c r="S964" i="2"/>
  <c r="Z964" i="2" s="1"/>
  <c r="S916" i="2"/>
  <c r="Z916" i="2" s="1"/>
  <c r="U916" i="2"/>
  <c r="T916" i="2"/>
  <c r="AA916" i="2" s="1"/>
  <c r="Q868" i="8"/>
  <c r="S868" i="2"/>
  <c r="Z868" i="2" s="1"/>
  <c r="T868" i="2"/>
  <c r="AA868" i="2" s="1"/>
  <c r="R868" i="2"/>
  <c r="Y868" i="2" s="1"/>
  <c r="T820" i="2"/>
  <c r="AA820" i="2" s="1"/>
  <c r="S820" i="2"/>
  <c r="Z820" i="2" s="1"/>
  <c r="Q772" i="8"/>
  <c r="R772" i="2"/>
  <c r="Y772" i="2" s="1"/>
  <c r="T772" i="2"/>
  <c r="AA772" i="2" s="1"/>
  <c r="V772" i="2"/>
  <c r="U772" i="2"/>
  <c r="Q692" i="8"/>
  <c r="W692" i="2"/>
  <c r="Q676" i="8"/>
  <c r="R676" i="2"/>
  <c r="Y676" i="2" s="1"/>
  <c r="U676" i="2"/>
  <c r="S676" i="2"/>
  <c r="Z676" i="2" s="1"/>
  <c r="T676" i="2"/>
  <c r="AA676" i="2" s="1"/>
  <c r="T628" i="2"/>
  <c r="AA628" i="2" s="1"/>
  <c r="S628" i="2"/>
  <c r="Z628" i="2" s="1"/>
  <c r="Q580" i="8"/>
  <c r="S580" i="2"/>
  <c r="Z580" i="2" s="1"/>
  <c r="U580" i="2"/>
  <c r="R580" i="2"/>
  <c r="Y580" i="2" s="1"/>
  <c r="Q548" i="8"/>
  <c r="W548" i="2"/>
  <c r="U532" i="2"/>
  <c r="S532" i="2"/>
  <c r="Z532" i="2" s="1"/>
  <c r="V532" i="2"/>
  <c r="W532" i="2"/>
  <c r="Q484" i="8"/>
  <c r="V484" i="2"/>
  <c r="T484" i="2"/>
  <c r="AA484" i="2" s="1"/>
  <c r="R484" i="2"/>
  <c r="Y484" i="2" s="1"/>
  <c r="S436" i="2"/>
  <c r="Z436" i="2" s="1"/>
  <c r="T436" i="2"/>
  <c r="AA436" i="2" s="1"/>
  <c r="U436" i="2"/>
  <c r="Q388" i="8"/>
  <c r="T388" i="2"/>
  <c r="AA388" i="2" s="1"/>
  <c r="U388" i="2"/>
  <c r="R388" i="2"/>
  <c r="Y388" i="2" s="1"/>
  <c r="S388" i="2"/>
  <c r="Z388" i="2" s="1"/>
  <c r="Q292" i="8"/>
  <c r="R292" i="2"/>
  <c r="Y292" i="2" s="1"/>
  <c r="S292" i="2"/>
  <c r="Z292" i="2" s="1"/>
  <c r="T292" i="2"/>
  <c r="AA292" i="2" s="1"/>
  <c r="T244" i="2"/>
  <c r="AA244" i="2" s="1"/>
  <c r="S244" i="2"/>
  <c r="Z244" i="2" s="1"/>
  <c r="Q196" i="8"/>
  <c r="T196" i="2"/>
  <c r="AA196" i="2" s="1"/>
  <c r="U196" i="2"/>
  <c r="R196" i="2"/>
  <c r="Y196" i="2" s="1"/>
  <c r="V196" i="2"/>
  <c r="S196" i="2"/>
  <c r="Z196" i="2" s="1"/>
  <c r="Q148" i="8"/>
  <c r="R148" i="2"/>
  <c r="Y148" i="2" s="1"/>
  <c r="S148" i="2"/>
  <c r="Z148" i="2" s="1"/>
  <c r="U148" i="2"/>
  <c r="T148" i="2"/>
  <c r="AA148" i="2" s="1"/>
  <c r="Q100" i="8"/>
  <c r="S100" i="2"/>
  <c r="Z100" i="2" s="1"/>
  <c r="U100" i="2"/>
  <c r="R100" i="2"/>
  <c r="Y100" i="2" s="1"/>
  <c r="T100" i="2"/>
  <c r="AA100" i="2" s="1"/>
  <c r="V100" i="2"/>
  <c r="Q52" i="8"/>
  <c r="S52" i="2"/>
  <c r="Z52" i="2" s="1"/>
  <c r="W52" i="2"/>
  <c r="U52" i="2"/>
  <c r="T52" i="2"/>
  <c r="AA52" i="2" s="1"/>
  <c r="V52" i="2"/>
  <c r="Q1122" i="8"/>
  <c r="T1122" i="2"/>
  <c r="AA1122" i="2" s="1"/>
  <c r="S1122" i="2"/>
  <c r="Z1122" i="2" s="1"/>
  <c r="Q1106" i="8"/>
  <c r="U1106" i="2"/>
  <c r="S1106" i="2"/>
  <c r="Z1106" i="2" s="1"/>
  <c r="W1106" i="2"/>
  <c r="T1106" i="2"/>
  <c r="AA1106" i="2" s="1"/>
  <c r="R1090" i="2"/>
  <c r="Y1090" i="2" s="1"/>
  <c r="W1090" i="2"/>
  <c r="U1090" i="2"/>
  <c r="Q1074" i="8"/>
  <c r="U1074" i="2"/>
  <c r="S1074" i="2"/>
  <c r="Z1074" i="2" s="1"/>
  <c r="T1074" i="2"/>
  <c r="AA1074" i="2" s="1"/>
  <c r="Q1058" i="8"/>
  <c r="S1058" i="2"/>
  <c r="Z1058" i="2" s="1"/>
  <c r="R1058" i="2"/>
  <c r="Y1058" i="2" s="1"/>
  <c r="S1026" i="2"/>
  <c r="Z1026" i="2" s="1"/>
  <c r="V1026" i="2"/>
  <c r="Q1010" i="8"/>
  <c r="U1010" i="2"/>
  <c r="S1010" i="2"/>
  <c r="Z1010" i="2" s="1"/>
  <c r="R978" i="2"/>
  <c r="Y978" i="2" s="1"/>
  <c r="T978" i="2"/>
  <c r="AA978" i="2" s="1"/>
  <c r="U978" i="2"/>
  <c r="W978" i="2"/>
  <c r="T962" i="2"/>
  <c r="AA962" i="2" s="1"/>
  <c r="U962" i="2"/>
  <c r="V962" i="2"/>
  <c r="Q946" i="8"/>
  <c r="S946" i="2"/>
  <c r="Z946" i="2" s="1"/>
  <c r="U946" i="2"/>
  <c r="Q930" i="8"/>
  <c r="T930" i="2"/>
  <c r="AA930" i="2" s="1"/>
  <c r="R930" i="2"/>
  <c r="Y930" i="2" s="1"/>
  <c r="Q914" i="8"/>
  <c r="S914" i="2"/>
  <c r="Z914" i="2" s="1"/>
  <c r="W914" i="2"/>
  <c r="T914" i="2"/>
  <c r="AA914" i="2" s="1"/>
  <c r="Q898" i="8"/>
  <c r="T898" i="2"/>
  <c r="AA898" i="2" s="1"/>
  <c r="W898" i="2"/>
  <c r="S898" i="2"/>
  <c r="Z898" i="2" s="1"/>
  <c r="V882" i="2"/>
  <c r="T882" i="2"/>
  <c r="AA882" i="2" s="1"/>
  <c r="V850" i="2"/>
  <c r="S850" i="2"/>
  <c r="Z850" i="2" s="1"/>
  <c r="T850" i="2"/>
  <c r="AA850" i="2" s="1"/>
  <c r="T834" i="2"/>
  <c r="AA834" i="2" s="1"/>
  <c r="W834" i="2"/>
  <c r="S834" i="2"/>
  <c r="Z834" i="2" s="1"/>
  <c r="V834" i="2"/>
  <c r="U834" i="2"/>
  <c r="Q818" i="8"/>
  <c r="U818" i="2"/>
  <c r="T818" i="2"/>
  <c r="AA818" i="2" s="1"/>
  <c r="S818" i="2"/>
  <c r="Z818" i="2" s="1"/>
  <c r="T802" i="2"/>
  <c r="AA802" i="2" s="1"/>
  <c r="S802" i="2"/>
  <c r="Z802" i="2" s="1"/>
  <c r="U802" i="2"/>
  <c r="U786" i="2"/>
  <c r="T786" i="2"/>
  <c r="AA786" i="2" s="1"/>
  <c r="V786" i="2"/>
  <c r="Q754" i="8"/>
  <c r="W754" i="2"/>
  <c r="U754" i="2"/>
  <c r="Q738" i="8"/>
  <c r="U738" i="2"/>
  <c r="S738" i="2"/>
  <c r="Z738" i="2" s="1"/>
  <c r="S722" i="2"/>
  <c r="Z722" i="2" s="1"/>
  <c r="V722" i="2"/>
  <c r="T722" i="2"/>
  <c r="AA722" i="2" s="1"/>
  <c r="U722" i="2"/>
  <c r="Q706" i="8"/>
  <c r="U706" i="2"/>
  <c r="S706" i="2"/>
  <c r="Z706" i="2" s="1"/>
  <c r="V706" i="2"/>
  <c r="R706" i="2"/>
  <c r="Y706" i="2" s="1"/>
  <c r="T706" i="2"/>
  <c r="Q690" i="8"/>
  <c r="S690" i="2"/>
  <c r="Z690" i="2" s="1"/>
  <c r="T690" i="2"/>
  <c r="AA690" i="2" s="1"/>
  <c r="R690" i="2"/>
  <c r="Y690" i="2" s="1"/>
  <c r="U690" i="2"/>
  <c r="U674" i="2"/>
  <c r="S674" i="2"/>
  <c r="Z674" i="2" s="1"/>
  <c r="T674" i="2"/>
  <c r="AA674" i="2" s="1"/>
  <c r="Q658" i="8"/>
  <c r="S658" i="2"/>
  <c r="Z658" i="2" s="1"/>
  <c r="T658" i="2"/>
  <c r="AA658" i="2" s="1"/>
  <c r="R658" i="2"/>
  <c r="Y658" i="2" s="1"/>
  <c r="R642" i="2"/>
  <c r="Y642" i="2" s="1"/>
  <c r="W642" i="2"/>
  <c r="Q626" i="8"/>
  <c r="S626" i="2"/>
  <c r="Z626" i="2" s="1"/>
  <c r="U626" i="2"/>
  <c r="V626" i="2"/>
  <c r="R626" i="2"/>
  <c r="Y626" i="2" s="1"/>
  <c r="T626" i="2"/>
  <c r="AA626" i="2" s="1"/>
  <c r="Q610" i="8"/>
  <c r="V610" i="2"/>
  <c r="R610" i="2"/>
  <c r="Y610" i="2" s="1"/>
  <c r="S610" i="2"/>
  <c r="Z610" i="2" s="1"/>
  <c r="Q594" i="8"/>
  <c r="R594" i="2"/>
  <c r="Y594" i="2" s="1"/>
  <c r="S594" i="2"/>
  <c r="Z594" i="2" s="1"/>
  <c r="U594" i="2"/>
  <c r="T578" i="2"/>
  <c r="AA578" i="2" s="1"/>
  <c r="S578" i="2"/>
  <c r="Z578" i="2" s="1"/>
  <c r="U578" i="2"/>
  <c r="Q562" i="8"/>
  <c r="S562" i="2"/>
  <c r="Z562" i="2" s="1"/>
  <c r="U562" i="2"/>
  <c r="R562" i="2"/>
  <c r="Y562" i="2" s="1"/>
  <c r="T546" i="2"/>
  <c r="AA546" i="2" s="1"/>
  <c r="U546" i="2"/>
  <c r="S546" i="2"/>
  <c r="Z546" i="2" s="1"/>
  <c r="V546" i="2"/>
  <c r="U514" i="2"/>
  <c r="S514" i="2"/>
  <c r="Z514" i="2" s="1"/>
  <c r="S498" i="2"/>
  <c r="Z498" i="2" s="1"/>
  <c r="T498" i="2"/>
  <c r="AA498" i="2" s="1"/>
  <c r="V498" i="2"/>
  <c r="U498" i="2"/>
  <c r="T482" i="2"/>
  <c r="AA482" i="2" s="1"/>
  <c r="S482" i="2"/>
  <c r="Z482" i="2" s="1"/>
  <c r="Q466" i="8"/>
  <c r="S466" i="2"/>
  <c r="Z466" i="2" s="1"/>
  <c r="R466" i="2"/>
  <c r="Y466" i="2" s="1"/>
  <c r="T466" i="2"/>
  <c r="AA466" i="2" s="1"/>
  <c r="V466" i="2"/>
  <c r="T450" i="2"/>
  <c r="AA450" i="2" s="1"/>
  <c r="U450" i="2"/>
  <c r="W450" i="2"/>
  <c r="S450" i="2"/>
  <c r="Z450" i="2" s="1"/>
  <c r="Q434" i="8"/>
  <c r="S434" i="2"/>
  <c r="Z434" i="2" s="1"/>
  <c r="R434" i="2"/>
  <c r="Y434" i="2" s="1"/>
  <c r="T434" i="2"/>
  <c r="AA434" i="2" s="1"/>
  <c r="U434" i="2"/>
  <c r="T418" i="2"/>
  <c r="AA418" i="2" s="1"/>
  <c r="R418" i="2"/>
  <c r="Y418" i="2" s="1"/>
  <c r="U418" i="2"/>
  <c r="S402" i="2"/>
  <c r="Z402" i="2" s="1"/>
  <c r="T402" i="2"/>
  <c r="AA402" i="2" s="1"/>
  <c r="U402" i="2"/>
  <c r="U386" i="2"/>
  <c r="S386" i="2"/>
  <c r="Z386" i="2" s="1"/>
  <c r="V386" i="2"/>
  <c r="Q370" i="8"/>
  <c r="S370" i="2"/>
  <c r="Z370" i="2" s="1"/>
  <c r="V370" i="2"/>
  <c r="T370" i="2"/>
  <c r="AA370" i="2" s="1"/>
  <c r="U370" i="2"/>
  <c r="W370" i="2"/>
  <c r="Q354" i="8"/>
  <c r="U354" i="2"/>
  <c r="S354" i="2"/>
  <c r="Z354" i="2" s="1"/>
  <c r="R354" i="2"/>
  <c r="Y354" i="2" s="1"/>
  <c r="Q338" i="8"/>
  <c r="R338" i="2"/>
  <c r="Y338" i="2" s="1"/>
  <c r="T338" i="2"/>
  <c r="AA338" i="2" s="1"/>
  <c r="Q322" i="8"/>
  <c r="U322" i="2"/>
  <c r="T322" i="2"/>
  <c r="AA322" i="2" s="1"/>
  <c r="Q306" i="8"/>
  <c r="T306" i="2"/>
  <c r="AA306" i="2" s="1"/>
  <c r="R306" i="2"/>
  <c r="Y306" i="2" s="1"/>
  <c r="S306" i="2"/>
  <c r="Z306" i="2" s="1"/>
  <c r="V306" i="2"/>
  <c r="Q290" i="8"/>
  <c r="R290" i="2"/>
  <c r="Y290" i="2" s="1"/>
  <c r="S290" i="2"/>
  <c r="Z290" i="2" s="1"/>
  <c r="V290" i="2"/>
  <c r="T290" i="2"/>
  <c r="AA290" i="2" s="1"/>
  <c r="T274" i="2"/>
  <c r="AA274" i="2" s="1"/>
  <c r="V274" i="2"/>
  <c r="S274" i="2"/>
  <c r="Z274" i="2" s="1"/>
  <c r="V258" i="2"/>
  <c r="S258" i="2"/>
  <c r="Z258" i="2" s="1"/>
  <c r="T258" i="2"/>
  <c r="AA258" i="2" s="1"/>
  <c r="Q242" i="8"/>
  <c r="R242" i="2"/>
  <c r="Y242" i="2" s="1"/>
  <c r="T242" i="2"/>
  <c r="AA242" i="2" s="1"/>
  <c r="U242" i="2"/>
  <c r="S242" i="2"/>
  <c r="Z242" i="2" s="1"/>
  <c r="Q226" i="8"/>
  <c r="S226" i="2"/>
  <c r="Z226" i="2" s="1"/>
  <c r="R226" i="2"/>
  <c r="Y226" i="2" s="1"/>
  <c r="T226" i="2"/>
  <c r="AA226" i="2" s="1"/>
  <c r="U226" i="2"/>
  <c r="Q210" i="8"/>
  <c r="U210" i="2"/>
  <c r="V210" i="2"/>
  <c r="S210" i="2"/>
  <c r="Z210" i="2" s="1"/>
  <c r="Q194" i="8"/>
  <c r="R194" i="2"/>
  <c r="Y194" i="2" s="1"/>
  <c r="S194" i="2"/>
  <c r="Z194" i="2" s="1"/>
  <c r="Q178" i="8"/>
  <c r="R178" i="2"/>
  <c r="Y178" i="2" s="1"/>
  <c r="S178" i="2"/>
  <c r="Z178" i="2" s="1"/>
  <c r="U178" i="2"/>
  <c r="T178" i="2"/>
  <c r="AA178" i="2" s="1"/>
  <c r="Q162" i="8"/>
  <c r="U162" i="2"/>
  <c r="T162" i="2"/>
  <c r="AA162" i="2" s="1"/>
  <c r="R162" i="2"/>
  <c r="Y162" i="2" s="1"/>
  <c r="S162" i="2"/>
  <c r="Z162" i="2" s="1"/>
  <c r="Q146" i="8"/>
  <c r="T146" i="2"/>
  <c r="AA146" i="2" s="1"/>
  <c r="V146" i="2"/>
  <c r="Q130" i="8"/>
  <c r="V130" i="2"/>
  <c r="S130" i="2"/>
  <c r="Z130" i="2" s="1"/>
  <c r="R130" i="2"/>
  <c r="Y130" i="2" s="1"/>
  <c r="Q114" i="8"/>
  <c r="U114" i="2"/>
  <c r="T114" i="2"/>
  <c r="AA114" i="2" s="1"/>
  <c r="S114" i="2"/>
  <c r="Z114" i="2" s="1"/>
  <c r="R114" i="2"/>
  <c r="Y114" i="2" s="1"/>
  <c r="Q98" i="8"/>
  <c r="S98" i="2"/>
  <c r="Z98" i="2" s="1"/>
  <c r="W98" i="2"/>
  <c r="R98" i="2"/>
  <c r="Y98" i="2" s="1"/>
  <c r="T98" i="2"/>
  <c r="AA98" i="2" s="1"/>
  <c r="V98" i="2"/>
  <c r="Q82" i="8"/>
  <c r="R82" i="2"/>
  <c r="Y82" i="2" s="1"/>
  <c r="T82" i="2"/>
  <c r="AA82" i="2" s="1"/>
  <c r="V82" i="2"/>
  <c r="S82" i="2"/>
  <c r="Z82" i="2" s="1"/>
  <c r="U82" i="2"/>
  <c r="U66" i="2"/>
  <c r="T66" i="2"/>
  <c r="AA66" i="2" s="1"/>
  <c r="S66" i="2"/>
  <c r="Z66" i="2" s="1"/>
  <c r="Q50" i="8"/>
  <c r="S50" i="2"/>
  <c r="Z50" i="2" s="1"/>
  <c r="T50" i="2"/>
  <c r="AA50" i="2" s="1"/>
  <c r="V50" i="2"/>
  <c r="S748" i="2"/>
  <c r="Z748" i="2" s="1"/>
  <c r="S652" i="2"/>
  <c r="Z652" i="2" s="1"/>
  <c r="S556" i="2"/>
  <c r="Z556" i="2" s="1"/>
  <c r="R1084" i="2"/>
  <c r="Y1084" i="2" s="1"/>
  <c r="W796" i="2"/>
  <c r="V1084" i="2"/>
  <c r="U1036" i="2"/>
  <c r="U1011" i="2"/>
  <c r="U891" i="2"/>
  <c r="U862" i="2"/>
  <c r="U806" i="2"/>
  <c r="T1101" i="2"/>
  <c r="AA1101" i="2" s="1"/>
  <c r="T1070" i="2"/>
  <c r="AA1070" i="2" s="1"/>
  <c r="T1036" i="2"/>
  <c r="AA1036" i="2" s="1"/>
  <c r="T1006" i="2"/>
  <c r="AA1006" i="2" s="1"/>
  <c r="T981" i="2"/>
  <c r="AA981" i="2" s="1"/>
  <c r="T887" i="2"/>
  <c r="AA887" i="2" s="1"/>
  <c r="T854" i="2"/>
  <c r="AA854" i="2" s="1"/>
  <c r="T763" i="2"/>
  <c r="AA763" i="2" s="1"/>
  <c r="T651" i="2"/>
  <c r="AA651" i="2" s="1"/>
  <c r="S1125" i="2"/>
  <c r="Z1125" i="2" s="1"/>
  <c r="S1083" i="2"/>
  <c r="Z1083" i="2" s="1"/>
  <c r="S933" i="2"/>
  <c r="Z933" i="2" s="1"/>
  <c r="S892" i="2"/>
  <c r="Z892" i="2" s="1"/>
  <c r="S745" i="2"/>
  <c r="Z745" i="2" s="1"/>
  <c r="S483" i="2"/>
  <c r="Z483" i="2" s="1"/>
  <c r="S220" i="2"/>
  <c r="Z220" i="2" s="1"/>
  <c r="R1077" i="2"/>
  <c r="Y1077" i="2" s="1"/>
  <c r="R1006" i="2"/>
  <c r="Y1006" i="2" s="1"/>
  <c r="R933" i="2"/>
  <c r="Y933" i="2" s="1"/>
  <c r="R877" i="2"/>
  <c r="Y877" i="2" s="1"/>
  <c r="R824" i="2"/>
  <c r="Y824" i="2" s="1"/>
  <c r="R765" i="2"/>
  <c r="Y765" i="2" s="1"/>
  <c r="R662" i="2"/>
  <c r="Y662" i="2" s="1"/>
  <c r="R574" i="2"/>
  <c r="Y574" i="2" s="1"/>
  <c r="R526" i="2"/>
  <c r="Y526" i="2" s="1"/>
  <c r="R364" i="2"/>
  <c r="Y364" i="2" s="1"/>
  <c r="R268" i="2"/>
  <c r="Y268" i="2" s="1"/>
  <c r="R1070" i="2"/>
  <c r="Y1070" i="2" s="1"/>
  <c r="R1005" i="2"/>
  <c r="Y1005" i="2" s="1"/>
  <c r="BF1096" i="8"/>
  <c r="BG1096" i="8" s="1"/>
  <c r="BF824" i="8"/>
  <c r="BG824" i="8" s="1"/>
  <c r="BF760" i="8"/>
  <c r="BG760" i="8" s="1"/>
  <c r="V892" i="2"/>
  <c r="U1117" i="2"/>
  <c r="U1006" i="2"/>
  <c r="U974" i="2"/>
  <c r="U748" i="2"/>
  <c r="T1126" i="2"/>
  <c r="AA1126" i="2" s="1"/>
  <c r="T1095" i="2"/>
  <c r="AA1095" i="2" s="1"/>
  <c r="T915" i="2"/>
  <c r="AA915" i="2" s="1"/>
  <c r="T790" i="2"/>
  <c r="AA790" i="2" s="1"/>
  <c r="T555" i="2"/>
  <c r="AA555" i="2" s="1"/>
  <c r="S1078" i="2"/>
  <c r="Z1078" i="2" s="1"/>
  <c r="S1005" i="2"/>
  <c r="Z1005" i="2" s="1"/>
  <c r="S965" i="2"/>
  <c r="Z965" i="2" s="1"/>
  <c r="S926" i="2"/>
  <c r="Z926" i="2" s="1"/>
  <c r="S508" i="2"/>
  <c r="Z508" i="2" s="1"/>
  <c r="S416" i="2"/>
  <c r="Z416" i="2" s="1"/>
  <c r="R1065" i="2"/>
  <c r="Y1065" i="2" s="1"/>
  <c r="R999" i="2"/>
  <c r="Y999" i="2" s="1"/>
  <c r="R814" i="2"/>
  <c r="Y814" i="2" s="1"/>
  <c r="R758" i="2"/>
  <c r="Y758" i="2" s="1"/>
  <c r="R700" i="2"/>
  <c r="Y700" i="2" s="1"/>
  <c r="R796" i="2"/>
  <c r="Y796" i="2" s="1"/>
  <c r="R748" i="2"/>
  <c r="Y748" i="2" s="1"/>
  <c r="S1036" i="2"/>
  <c r="Z1036" i="2" s="1"/>
  <c r="R652" i="2"/>
  <c r="Y652" i="2" s="1"/>
  <c r="R508" i="2"/>
  <c r="Y508" i="2" s="1"/>
  <c r="BF1122" i="8"/>
  <c r="BG1122" i="8" s="1"/>
  <c r="BF1074" i="8"/>
  <c r="BG1074" i="8" s="1"/>
  <c r="BF1026" i="8"/>
  <c r="BG1026" i="8" s="1"/>
  <c r="BF882" i="8"/>
  <c r="BG882" i="8" s="1"/>
  <c r="BF834" i="8"/>
  <c r="BG834" i="8" s="1"/>
  <c r="BF786" i="8"/>
  <c r="BG786" i="8" s="1"/>
  <c r="BF738" i="8"/>
  <c r="BG738" i="8" s="1"/>
  <c r="BF642" i="8"/>
  <c r="BG642" i="8" s="1"/>
  <c r="BF594" i="8"/>
  <c r="BG594" i="8" s="1"/>
  <c r="BF546" i="8"/>
  <c r="BG546" i="8" s="1"/>
  <c r="BF498" i="8"/>
  <c r="BG498" i="8" s="1"/>
  <c r="BF450" i="8"/>
  <c r="BG450" i="8" s="1"/>
  <c r="BF306" i="8"/>
  <c r="BG306" i="8" s="1"/>
  <c r="BF258" i="8"/>
  <c r="BG258" i="8" s="1"/>
  <c r="BF114" i="8"/>
  <c r="BG114" i="8" s="1"/>
  <c r="BF18" i="8"/>
  <c r="BG18" i="8" s="1"/>
  <c r="T1084" i="2"/>
  <c r="AA1084" i="2" s="1"/>
  <c r="S988" i="2"/>
  <c r="Z988" i="2" s="1"/>
  <c r="R1037" i="2"/>
  <c r="Y1037" i="2" s="1"/>
  <c r="W988" i="2"/>
  <c r="W940" i="2"/>
  <c r="V747" i="2"/>
  <c r="V508" i="2"/>
  <c r="U1022" i="2"/>
  <c r="U989" i="2"/>
  <c r="U652" i="2"/>
  <c r="U507" i="2"/>
  <c r="T1083" i="2"/>
  <c r="AA1083" i="2" s="1"/>
  <c r="T989" i="2"/>
  <c r="AA989" i="2" s="1"/>
  <c r="T963" i="2"/>
  <c r="AA963" i="2" s="1"/>
  <c r="T838" i="2"/>
  <c r="AA838" i="2" s="1"/>
  <c r="T748" i="2"/>
  <c r="AA748" i="2" s="1"/>
  <c r="T603" i="2"/>
  <c r="AA603" i="2" s="1"/>
  <c r="S1102" i="2"/>
  <c r="Z1102" i="2" s="1"/>
  <c r="S950" i="2"/>
  <c r="Z950" i="2" s="1"/>
  <c r="S830" i="2"/>
  <c r="Z830" i="2" s="1"/>
  <c r="R1109" i="2"/>
  <c r="Y1109" i="2" s="1"/>
  <c r="R1031" i="2"/>
  <c r="Y1031" i="2" s="1"/>
  <c r="R965" i="2"/>
  <c r="Y965" i="2" s="1"/>
  <c r="R902" i="2"/>
  <c r="Y902" i="2" s="1"/>
  <c r="R844" i="2"/>
  <c r="Y844" i="2" s="1"/>
  <c r="R777" i="2"/>
  <c r="Y777" i="2" s="1"/>
  <c r="R460" i="2"/>
  <c r="Y460" i="2" s="1"/>
  <c r="S796" i="2"/>
  <c r="Z796" i="2" s="1"/>
  <c r="R892" i="2"/>
  <c r="Y892" i="2" s="1"/>
  <c r="BF1086" i="8"/>
  <c r="BG1086" i="8" s="1"/>
  <c r="BF158" i="8"/>
  <c r="BG158" i="8" s="1"/>
  <c r="R891" i="2"/>
  <c r="Y891" i="2" s="1"/>
  <c r="BF679" i="8"/>
  <c r="BG679" i="8" s="1"/>
  <c r="BF55" i="8"/>
  <c r="BG55" i="8" s="1"/>
  <c r="BF1003" i="8"/>
  <c r="BG1003" i="8" s="1"/>
  <c r="BF715" i="8"/>
  <c r="BG715" i="8" s="1"/>
  <c r="BF619" i="8"/>
  <c r="BG619" i="8" s="1"/>
  <c r="BF571" i="8"/>
  <c r="BG571" i="8" s="1"/>
  <c r="BF331" i="8"/>
  <c r="BG331" i="8" s="1"/>
  <c r="BF139" i="8"/>
  <c r="BG139" i="8" s="1"/>
  <c r="BF91" i="8"/>
  <c r="BG91" i="8" s="1"/>
  <c r="BF75" i="8"/>
  <c r="BG75" i="8" s="1"/>
  <c r="BF1087" i="8"/>
  <c r="BG1087" i="8" s="1"/>
  <c r="BF921" i="8"/>
  <c r="BG921" i="8" s="1"/>
  <c r="BF297" i="8"/>
  <c r="BG297" i="8" s="1"/>
  <c r="BF19" i="8"/>
  <c r="BG19" i="8" s="1"/>
  <c r="Q1121" i="8"/>
  <c r="R1121" i="2"/>
  <c r="Y1121" i="2" s="1"/>
  <c r="V1121" i="2"/>
  <c r="S1121" i="2"/>
  <c r="Z1121" i="2" s="1"/>
  <c r="S1105" i="2"/>
  <c r="Z1105" i="2" s="1"/>
  <c r="U1105" i="2"/>
  <c r="T1105" i="2"/>
  <c r="AA1105" i="2" s="1"/>
  <c r="R1089" i="2"/>
  <c r="Y1089" i="2" s="1"/>
  <c r="U1089" i="2"/>
  <c r="T1089" i="2"/>
  <c r="AA1089" i="2" s="1"/>
  <c r="Q1073" i="8"/>
  <c r="S1073" i="2"/>
  <c r="Z1073" i="2" s="1"/>
  <c r="R1073" i="2"/>
  <c r="Y1073" i="2" s="1"/>
  <c r="V1073" i="2"/>
  <c r="Q1057" i="8"/>
  <c r="U1057" i="2"/>
  <c r="T1057" i="2"/>
  <c r="AA1057" i="2" s="1"/>
  <c r="S1057" i="2"/>
  <c r="Z1057" i="2" s="1"/>
  <c r="W1041" i="2"/>
  <c r="T1041" i="2"/>
  <c r="AA1041" i="2" s="1"/>
  <c r="T1025" i="2"/>
  <c r="AA1025" i="2" s="1"/>
  <c r="V1025" i="2"/>
  <c r="S1025" i="2"/>
  <c r="Z1025" i="2" s="1"/>
  <c r="W1025" i="2"/>
  <c r="Q1009" i="8"/>
  <c r="U1009" i="2"/>
  <c r="T1009" i="2"/>
  <c r="AA1009" i="2" s="1"/>
  <c r="S1009" i="2"/>
  <c r="Z1009" i="2" s="1"/>
  <c r="S993" i="2"/>
  <c r="Z993" i="2" s="1"/>
  <c r="W993" i="2"/>
  <c r="U993" i="2"/>
  <c r="T993" i="2"/>
  <c r="AA993" i="2" s="1"/>
  <c r="Q977" i="8"/>
  <c r="T977" i="2"/>
  <c r="AA977" i="2" s="1"/>
  <c r="U977" i="2"/>
  <c r="R977" i="2"/>
  <c r="Y977" i="2" s="1"/>
  <c r="S977" i="2"/>
  <c r="Z977" i="2" s="1"/>
  <c r="Q961" i="8"/>
  <c r="T961" i="2"/>
  <c r="AA961" i="2" s="1"/>
  <c r="U961" i="2"/>
  <c r="V961" i="2"/>
  <c r="R961" i="2"/>
  <c r="Y961" i="2" s="1"/>
  <c r="Q945" i="8"/>
  <c r="V945" i="2"/>
  <c r="R945" i="2"/>
  <c r="Y945" i="2" s="1"/>
  <c r="S945" i="2"/>
  <c r="Z945" i="2" s="1"/>
  <c r="U945" i="2"/>
  <c r="Q929" i="8"/>
  <c r="T929" i="2"/>
  <c r="AA929" i="2" s="1"/>
  <c r="U929" i="2"/>
  <c r="V929" i="2"/>
  <c r="T913" i="2"/>
  <c r="AA913" i="2" s="1"/>
  <c r="U913" i="2"/>
  <c r="Q881" i="8"/>
  <c r="T881" i="2"/>
  <c r="AA881" i="2" s="1"/>
  <c r="U881" i="2"/>
  <c r="S881" i="2"/>
  <c r="Z881" i="2" s="1"/>
  <c r="V881" i="2"/>
  <c r="W881" i="2"/>
  <c r="Q865" i="8"/>
  <c r="W865" i="2"/>
  <c r="R865" i="2"/>
  <c r="Y865" i="2" s="1"/>
  <c r="U865" i="2"/>
  <c r="T865" i="2"/>
  <c r="S865" i="2"/>
  <c r="Z865" i="2" s="1"/>
  <c r="V865" i="2"/>
  <c r="Q849" i="8"/>
  <c r="R849" i="2"/>
  <c r="Y849" i="2" s="1"/>
  <c r="S849" i="2"/>
  <c r="Z849" i="2" s="1"/>
  <c r="V849" i="2"/>
  <c r="W849" i="2"/>
  <c r="Q833" i="8"/>
  <c r="U833" i="2"/>
  <c r="T833" i="2"/>
  <c r="AA833" i="2" s="1"/>
  <c r="R833" i="2"/>
  <c r="Y833" i="2" s="1"/>
  <c r="S833" i="2"/>
  <c r="Z833" i="2" s="1"/>
  <c r="W833" i="2"/>
  <c r="Q817" i="8"/>
  <c r="W817" i="2"/>
  <c r="R817" i="2"/>
  <c r="Y817" i="2" s="1"/>
  <c r="T817" i="2"/>
  <c r="AA817" i="2" s="1"/>
  <c r="V817" i="2"/>
  <c r="T801" i="2"/>
  <c r="AA801" i="2" s="1"/>
  <c r="S801" i="2"/>
  <c r="Z801" i="2" s="1"/>
  <c r="U785" i="2"/>
  <c r="T785" i="2"/>
  <c r="AA785" i="2" s="1"/>
  <c r="V785" i="2"/>
  <c r="S785" i="2"/>
  <c r="Z785" i="2" s="1"/>
  <c r="W785" i="2"/>
  <c r="Q769" i="8"/>
  <c r="S769" i="2"/>
  <c r="Z769" i="2" s="1"/>
  <c r="T769" i="2"/>
  <c r="AA769" i="2" s="1"/>
  <c r="Q753" i="8"/>
  <c r="T753" i="2"/>
  <c r="AA753" i="2" s="1"/>
  <c r="V753" i="2"/>
  <c r="W753" i="2"/>
  <c r="R753" i="2"/>
  <c r="Y753" i="2" s="1"/>
  <c r="S753" i="2"/>
  <c r="Z753" i="2" s="1"/>
  <c r="Q737" i="8"/>
  <c r="S737" i="2"/>
  <c r="Z737" i="2" s="1"/>
  <c r="U737" i="2"/>
  <c r="R737" i="2"/>
  <c r="Y737" i="2" s="1"/>
  <c r="T737" i="2"/>
  <c r="AA737" i="2" s="1"/>
  <c r="W737" i="2"/>
  <c r="Q721" i="8"/>
  <c r="S721" i="2"/>
  <c r="Z721" i="2" s="1"/>
  <c r="V721" i="2"/>
  <c r="T721" i="2"/>
  <c r="AA721" i="2" s="1"/>
  <c r="R721" i="2"/>
  <c r="Y721" i="2" s="1"/>
  <c r="T705" i="2"/>
  <c r="AA705" i="2" s="1"/>
  <c r="V705" i="2"/>
  <c r="W705" i="2"/>
  <c r="S705" i="2"/>
  <c r="Z705" i="2" s="1"/>
  <c r="Q689" i="8"/>
  <c r="S689" i="2"/>
  <c r="Z689" i="2" s="1"/>
  <c r="U689" i="2"/>
  <c r="T689" i="2"/>
  <c r="AA689" i="2" s="1"/>
  <c r="W689" i="2"/>
  <c r="R689" i="2"/>
  <c r="Y689" i="2" s="1"/>
  <c r="Q673" i="8"/>
  <c r="R673" i="2"/>
  <c r="Y673" i="2" s="1"/>
  <c r="S673" i="2"/>
  <c r="Z673" i="2" s="1"/>
  <c r="U673" i="2"/>
  <c r="V673" i="2"/>
  <c r="T673" i="2"/>
  <c r="AA673" i="2" s="1"/>
  <c r="Q657" i="8"/>
  <c r="V657" i="2"/>
  <c r="T657" i="2"/>
  <c r="AA657" i="2" s="1"/>
  <c r="Q641" i="8"/>
  <c r="U641" i="2"/>
  <c r="R641" i="2"/>
  <c r="Y641" i="2" s="1"/>
  <c r="T641" i="2"/>
  <c r="AA641" i="2" s="1"/>
  <c r="V641" i="2"/>
  <c r="S641" i="2"/>
  <c r="Z641" i="2" s="1"/>
  <c r="Q625" i="8"/>
  <c r="U625" i="2"/>
  <c r="T625" i="2"/>
  <c r="AA625" i="2" s="1"/>
  <c r="R625" i="2"/>
  <c r="Y625" i="2" s="1"/>
  <c r="S625" i="2"/>
  <c r="Z625" i="2" s="1"/>
  <c r="U609" i="2"/>
  <c r="T609" i="2"/>
  <c r="AA609" i="2" s="1"/>
  <c r="S609" i="2"/>
  <c r="Z609" i="2" s="1"/>
  <c r="W609" i="2"/>
  <c r="Q593" i="8"/>
  <c r="U593" i="2"/>
  <c r="T593" i="2"/>
  <c r="AA593" i="2" s="1"/>
  <c r="V593" i="2"/>
  <c r="S593" i="2"/>
  <c r="Z593" i="2" s="1"/>
  <c r="W593" i="2"/>
  <c r="R593" i="2"/>
  <c r="Y593" i="2" s="1"/>
  <c r="Q577" i="8"/>
  <c r="W577" i="2"/>
  <c r="R577" i="2"/>
  <c r="Y577" i="2" s="1"/>
  <c r="U577" i="2"/>
  <c r="T577" i="2"/>
  <c r="AA577" i="2" s="1"/>
  <c r="V577" i="2"/>
  <c r="Q561" i="8"/>
  <c r="U561" i="2"/>
  <c r="T561" i="2"/>
  <c r="AA561" i="2" s="1"/>
  <c r="S561" i="2"/>
  <c r="Z561" i="2" s="1"/>
  <c r="Q545" i="8"/>
  <c r="U545" i="2"/>
  <c r="V545" i="2"/>
  <c r="R545" i="2"/>
  <c r="Y545" i="2" s="1"/>
  <c r="T545" i="2"/>
  <c r="AA545" i="2" s="1"/>
  <c r="S545" i="2"/>
  <c r="Z545" i="2" s="1"/>
  <c r="W545" i="2"/>
  <c r="Q529" i="8"/>
  <c r="R529" i="2"/>
  <c r="Y529" i="2" s="1"/>
  <c r="W529" i="2"/>
  <c r="S529" i="2"/>
  <c r="Z529" i="2" s="1"/>
  <c r="U529" i="2"/>
  <c r="V529" i="2"/>
  <c r="U513" i="2"/>
  <c r="T513" i="2"/>
  <c r="AA513" i="2" s="1"/>
  <c r="S513" i="2"/>
  <c r="Z513" i="2" s="1"/>
  <c r="Q497" i="8"/>
  <c r="R497" i="2"/>
  <c r="Y497" i="2" s="1"/>
  <c r="U497" i="2"/>
  <c r="T497" i="2"/>
  <c r="AA497" i="2" s="1"/>
  <c r="W497" i="2"/>
  <c r="Q481" i="8"/>
  <c r="S481" i="2"/>
  <c r="Z481" i="2" s="1"/>
  <c r="R481" i="2"/>
  <c r="Y481" i="2" s="1"/>
  <c r="V481" i="2"/>
  <c r="U481" i="2"/>
  <c r="Q465" i="8"/>
  <c r="V465" i="2"/>
  <c r="R465" i="2"/>
  <c r="Y465" i="2" s="1"/>
  <c r="U465" i="2"/>
  <c r="T465" i="2"/>
  <c r="AA465" i="2" s="1"/>
  <c r="S465" i="2"/>
  <c r="Z465" i="2" s="1"/>
  <c r="Q449" i="8"/>
  <c r="R449" i="2"/>
  <c r="Y449" i="2" s="1"/>
  <c r="S449" i="2"/>
  <c r="Z449" i="2" s="1"/>
  <c r="U449" i="2"/>
  <c r="T449" i="2"/>
  <c r="AA449" i="2" s="1"/>
  <c r="W449" i="2"/>
  <c r="Q433" i="8"/>
  <c r="T433" i="2"/>
  <c r="AA433" i="2" s="1"/>
  <c r="W433" i="2"/>
  <c r="R433" i="2"/>
  <c r="Y433" i="2" s="1"/>
  <c r="S433" i="2"/>
  <c r="Z433" i="2" s="1"/>
  <c r="V433" i="2"/>
  <c r="U433" i="2"/>
  <c r="V417" i="2"/>
  <c r="U417" i="2"/>
  <c r="T417" i="2"/>
  <c r="AA417" i="2" s="1"/>
  <c r="Q401" i="8"/>
  <c r="S401" i="2"/>
  <c r="Z401" i="2" s="1"/>
  <c r="R401" i="2"/>
  <c r="Y401" i="2" s="1"/>
  <c r="V401" i="2"/>
  <c r="U401" i="2"/>
  <c r="T401" i="2"/>
  <c r="AA401" i="2" s="1"/>
  <c r="W401" i="2"/>
  <c r="Q385" i="8"/>
  <c r="T385" i="2"/>
  <c r="AA385" i="2" s="1"/>
  <c r="S385" i="2"/>
  <c r="Z385" i="2" s="1"/>
  <c r="R385" i="2"/>
  <c r="Y385" i="2" s="1"/>
  <c r="U385" i="2"/>
  <c r="Q369" i="8"/>
  <c r="V369" i="2"/>
  <c r="R369" i="2"/>
  <c r="Y369" i="2" s="1"/>
  <c r="U369" i="2"/>
  <c r="T369" i="2"/>
  <c r="AA369" i="2" s="1"/>
  <c r="Q353" i="8"/>
  <c r="S353" i="2"/>
  <c r="Z353" i="2" s="1"/>
  <c r="V353" i="2"/>
  <c r="U353" i="2"/>
  <c r="R353" i="2"/>
  <c r="Y353" i="2" s="1"/>
  <c r="W353" i="2"/>
  <c r="Q337" i="8"/>
  <c r="T337" i="2"/>
  <c r="AA337" i="2" s="1"/>
  <c r="R337" i="2"/>
  <c r="Y337" i="2" s="1"/>
  <c r="S337" i="2"/>
  <c r="Z337" i="2" s="1"/>
  <c r="U337" i="2"/>
  <c r="Q321" i="8"/>
  <c r="R321" i="2"/>
  <c r="Y321" i="2" s="1"/>
  <c r="V321" i="2"/>
  <c r="U321" i="2"/>
  <c r="T321" i="2"/>
  <c r="AA321" i="2" s="1"/>
  <c r="Q305" i="8"/>
  <c r="R305" i="2"/>
  <c r="Y305" i="2" s="1"/>
  <c r="S305" i="2"/>
  <c r="Z305" i="2" s="1"/>
  <c r="V305" i="2"/>
  <c r="U305" i="2"/>
  <c r="Q289" i="8"/>
  <c r="W289" i="2"/>
  <c r="T289" i="2"/>
  <c r="AA289" i="2" s="1"/>
  <c r="S289" i="2"/>
  <c r="Z289" i="2" s="1"/>
  <c r="R289" i="2"/>
  <c r="Y289" i="2" s="1"/>
  <c r="V289" i="2"/>
  <c r="U289" i="2"/>
  <c r="S273" i="2"/>
  <c r="Z273" i="2" s="1"/>
  <c r="V273" i="2"/>
  <c r="U273" i="2"/>
  <c r="W273" i="2"/>
  <c r="T273" i="2"/>
  <c r="AA273" i="2" s="1"/>
  <c r="Q257" i="8"/>
  <c r="T257" i="2"/>
  <c r="AA257" i="2" s="1"/>
  <c r="S257" i="2"/>
  <c r="Z257" i="2" s="1"/>
  <c r="U257" i="2"/>
  <c r="Q241" i="8"/>
  <c r="W241" i="2"/>
  <c r="T241" i="2"/>
  <c r="AA241" i="2" s="1"/>
  <c r="R241" i="2"/>
  <c r="Y241" i="2" s="1"/>
  <c r="S241" i="2"/>
  <c r="Z241" i="2" s="1"/>
  <c r="V241" i="2"/>
  <c r="Q225" i="8"/>
  <c r="S225" i="2"/>
  <c r="Z225" i="2" s="1"/>
  <c r="V225" i="2"/>
  <c r="U225" i="2"/>
  <c r="W225" i="2"/>
  <c r="T225" i="2"/>
  <c r="AA225" i="2" s="1"/>
  <c r="Q209" i="8"/>
  <c r="T209" i="2"/>
  <c r="AA209" i="2" s="1"/>
  <c r="R209" i="2"/>
  <c r="Y209" i="2" s="1"/>
  <c r="S209" i="2"/>
  <c r="Z209" i="2" s="1"/>
  <c r="U209" i="2"/>
  <c r="Q193" i="8"/>
  <c r="W193" i="2"/>
  <c r="T193" i="2"/>
  <c r="AA193" i="2" s="1"/>
  <c r="R193" i="2"/>
  <c r="Y193" i="2" s="1"/>
  <c r="S193" i="2"/>
  <c r="Z193" i="2" s="1"/>
  <c r="V193" i="2"/>
  <c r="Q177" i="8"/>
  <c r="S177" i="2"/>
  <c r="Z177" i="2" s="1"/>
  <c r="V177" i="2"/>
  <c r="R177" i="2"/>
  <c r="Y177" i="2" s="1"/>
  <c r="U177" i="2"/>
  <c r="W177" i="2"/>
  <c r="T1073" i="2"/>
  <c r="AA1073" i="2" s="1"/>
  <c r="S497" i="2"/>
  <c r="Z497" i="2" s="1"/>
  <c r="R561" i="2"/>
  <c r="Y561" i="2" s="1"/>
  <c r="Q1119" i="8"/>
  <c r="R1119" i="2"/>
  <c r="Y1119" i="2" s="1"/>
  <c r="V1119" i="2"/>
  <c r="S1119" i="2"/>
  <c r="Z1119" i="2" s="1"/>
  <c r="U1119" i="2"/>
  <c r="Q1103" i="8"/>
  <c r="S1103" i="2"/>
  <c r="Z1103" i="2" s="1"/>
  <c r="U1103" i="2"/>
  <c r="T1103" i="2"/>
  <c r="AA1103" i="2" s="1"/>
  <c r="Q1087" i="8"/>
  <c r="W1087" i="2"/>
  <c r="R1087" i="2"/>
  <c r="Y1087" i="2" s="1"/>
  <c r="T1087" i="2"/>
  <c r="AA1087" i="2" s="1"/>
  <c r="S1087" i="2"/>
  <c r="Z1087" i="2" s="1"/>
  <c r="Q1071" i="8"/>
  <c r="S1071" i="2"/>
  <c r="Z1071" i="2" s="1"/>
  <c r="R1071" i="2"/>
  <c r="Y1071" i="2" s="1"/>
  <c r="V1071" i="2"/>
  <c r="Q1055" i="8"/>
  <c r="U1055" i="2"/>
  <c r="T1055" i="2"/>
  <c r="AA1055" i="2" s="1"/>
  <c r="S1055" i="2"/>
  <c r="Z1055" i="2" s="1"/>
  <c r="V1055" i="2"/>
  <c r="R1055" i="2"/>
  <c r="Y1055" i="2" s="1"/>
  <c r="Q1039" i="8"/>
  <c r="R1039" i="2"/>
  <c r="Y1039" i="2" s="1"/>
  <c r="U1039" i="2"/>
  <c r="T1039" i="2"/>
  <c r="AA1039" i="2" s="1"/>
  <c r="S1039" i="2"/>
  <c r="Z1039" i="2" s="1"/>
  <c r="V1039" i="2"/>
  <c r="T1023" i="2"/>
  <c r="AA1023" i="2" s="1"/>
  <c r="V1023" i="2"/>
  <c r="Q1007" i="8"/>
  <c r="U1007" i="2"/>
  <c r="T1007" i="2"/>
  <c r="AA1007" i="2" s="1"/>
  <c r="S1007" i="2"/>
  <c r="Z1007" i="2" s="1"/>
  <c r="R1007" i="2"/>
  <c r="Y1007" i="2" s="1"/>
  <c r="Q991" i="8"/>
  <c r="S991" i="2"/>
  <c r="Z991" i="2" s="1"/>
  <c r="R991" i="2"/>
  <c r="Y991" i="2" s="1"/>
  <c r="U991" i="2"/>
  <c r="T991" i="2"/>
  <c r="AA991" i="2" s="1"/>
  <c r="Q975" i="8"/>
  <c r="R975" i="2"/>
  <c r="Y975" i="2" s="1"/>
  <c r="V975" i="2"/>
  <c r="S975" i="2"/>
  <c r="Z975" i="2" s="1"/>
  <c r="Q959" i="8"/>
  <c r="T959" i="2"/>
  <c r="AA959" i="2" s="1"/>
  <c r="U959" i="2"/>
  <c r="R959" i="2"/>
  <c r="Y959" i="2" s="1"/>
  <c r="Q943" i="8"/>
  <c r="R943" i="2"/>
  <c r="Y943" i="2" s="1"/>
  <c r="W943" i="2"/>
  <c r="S943" i="2"/>
  <c r="Z943" i="2" s="1"/>
  <c r="T943" i="2"/>
  <c r="AA943" i="2" s="1"/>
  <c r="Q927" i="8"/>
  <c r="T927" i="2"/>
  <c r="AA927" i="2" s="1"/>
  <c r="U927" i="2"/>
  <c r="W927" i="2"/>
  <c r="R927" i="2"/>
  <c r="Y927" i="2" s="1"/>
  <c r="Q911" i="8"/>
  <c r="S911" i="2"/>
  <c r="Z911" i="2" s="1"/>
  <c r="T911" i="2"/>
  <c r="AA911" i="2" s="1"/>
  <c r="U911" i="2"/>
  <c r="R911" i="2"/>
  <c r="Y911" i="2" s="1"/>
  <c r="V911" i="2"/>
  <c r="Q895" i="8"/>
  <c r="R895" i="2"/>
  <c r="Y895" i="2" s="1"/>
  <c r="S895" i="2"/>
  <c r="Z895" i="2" s="1"/>
  <c r="T895" i="2"/>
  <c r="AA895" i="2" s="1"/>
  <c r="U895" i="2"/>
  <c r="Q879" i="8"/>
  <c r="T879" i="2"/>
  <c r="AA879" i="2" s="1"/>
  <c r="U879" i="2"/>
  <c r="S879" i="2"/>
  <c r="Z879" i="2" s="1"/>
  <c r="V879" i="2"/>
  <c r="R879" i="2"/>
  <c r="Y879" i="2" s="1"/>
  <c r="Q863" i="8"/>
  <c r="R863" i="2"/>
  <c r="Y863" i="2" s="1"/>
  <c r="U863" i="2"/>
  <c r="T863" i="2"/>
  <c r="AA863" i="2" s="1"/>
  <c r="S863" i="2"/>
  <c r="Z863" i="2" s="1"/>
  <c r="Q847" i="8"/>
  <c r="S847" i="2"/>
  <c r="Z847" i="2" s="1"/>
  <c r="V847" i="2"/>
  <c r="U847" i="2"/>
  <c r="T847" i="2"/>
  <c r="AA847" i="2" s="1"/>
  <c r="Q831" i="8"/>
  <c r="U831" i="2"/>
  <c r="T831" i="2"/>
  <c r="AA831" i="2" s="1"/>
  <c r="V831" i="2"/>
  <c r="S831" i="2"/>
  <c r="Z831" i="2" s="1"/>
  <c r="Q815" i="8"/>
  <c r="R815" i="2"/>
  <c r="Y815" i="2" s="1"/>
  <c r="U815" i="2"/>
  <c r="T815" i="2"/>
  <c r="AA815" i="2" s="1"/>
  <c r="V815" i="2"/>
  <c r="S815" i="2"/>
  <c r="Z815" i="2" s="1"/>
  <c r="Q799" i="8"/>
  <c r="S799" i="2"/>
  <c r="Z799" i="2" s="1"/>
  <c r="U799" i="2"/>
  <c r="Q783" i="8"/>
  <c r="U783" i="2"/>
  <c r="T783" i="2"/>
  <c r="AA783" i="2" s="1"/>
  <c r="R783" i="2"/>
  <c r="Y783" i="2" s="1"/>
  <c r="S783" i="2"/>
  <c r="Z783" i="2" s="1"/>
  <c r="W783" i="2"/>
  <c r="Q767" i="8"/>
  <c r="W767" i="2"/>
  <c r="S767" i="2"/>
  <c r="Z767" i="2" s="1"/>
  <c r="U767" i="2"/>
  <c r="T767" i="2"/>
  <c r="AA767" i="2" s="1"/>
  <c r="V767" i="2"/>
  <c r="S751" i="2"/>
  <c r="Z751" i="2" s="1"/>
  <c r="U751" i="2"/>
  <c r="Q735" i="8"/>
  <c r="U735" i="2"/>
  <c r="R735" i="2"/>
  <c r="Y735" i="2" s="1"/>
  <c r="V735" i="2"/>
  <c r="T735" i="2"/>
  <c r="AA735" i="2" s="1"/>
  <c r="Q719" i="8"/>
  <c r="S719" i="2"/>
  <c r="Z719" i="2" s="1"/>
  <c r="U719" i="2"/>
  <c r="T719" i="2"/>
  <c r="AA719" i="2" s="1"/>
  <c r="R719" i="2"/>
  <c r="Y719" i="2" s="1"/>
  <c r="Q703" i="8"/>
  <c r="R703" i="2"/>
  <c r="Y703" i="2" s="1"/>
  <c r="S703" i="2"/>
  <c r="Z703" i="2" s="1"/>
  <c r="U703" i="2"/>
  <c r="Q687" i="8"/>
  <c r="S687" i="2"/>
  <c r="Z687" i="2" s="1"/>
  <c r="U687" i="2"/>
  <c r="V687" i="2"/>
  <c r="T687" i="2"/>
  <c r="AA687" i="2" s="1"/>
  <c r="R687" i="2"/>
  <c r="Y687" i="2" s="1"/>
  <c r="Q671" i="8"/>
  <c r="R671" i="2"/>
  <c r="Y671" i="2" s="1"/>
  <c r="S671" i="2"/>
  <c r="Z671" i="2" s="1"/>
  <c r="V671" i="2"/>
  <c r="T671" i="2"/>
  <c r="AA671" i="2" s="1"/>
  <c r="Q655" i="8"/>
  <c r="W655" i="2"/>
  <c r="R655" i="2"/>
  <c r="Y655" i="2" s="1"/>
  <c r="Q639" i="8"/>
  <c r="U639" i="2"/>
  <c r="R639" i="2"/>
  <c r="Y639" i="2" s="1"/>
  <c r="T639" i="2"/>
  <c r="AA639" i="2" s="1"/>
  <c r="S639" i="2"/>
  <c r="Z639" i="2" s="1"/>
  <c r="W639" i="2"/>
  <c r="Q623" i="8"/>
  <c r="U623" i="2"/>
  <c r="T623" i="2"/>
  <c r="AA623" i="2" s="1"/>
  <c r="V623" i="2"/>
  <c r="R623" i="2"/>
  <c r="Y623" i="2" s="1"/>
  <c r="S623" i="2"/>
  <c r="Z623" i="2" s="1"/>
  <c r="Q607" i="8"/>
  <c r="S607" i="2"/>
  <c r="Z607" i="2" s="1"/>
  <c r="R607" i="2"/>
  <c r="Y607" i="2" s="1"/>
  <c r="Q591" i="8"/>
  <c r="U591" i="2"/>
  <c r="T591" i="2"/>
  <c r="AA591" i="2" s="1"/>
  <c r="V591" i="2"/>
  <c r="S591" i="2"/>
  <c r="Z591" i="2" s="1"/>
  <c r="R591" i="2"/>
  <c r="Y591" i="2" s="1"/>
  <c r="Q575" i="8"/>
  <c r="R575" i="2"/>
  <c r="Y575" i="2" s="1"/>
  <c r="U575" i="2"/>
  <c r="T575" i="2"/>
  <c r="AA575" i="2" s="1"/>
  <c r="S575" i="2"/>
  <c r="Z575" i="2" s="1"/>
  <c r="Q559" i="8"/>
  <c r="T559" i="2"/>
  <c r="AA559" i="2" s="1"/>
  <c r="S559" i="2"/>
  <c r="Z559" i="2" s="1"/>
  <c r="W559" i="2"/>
  <c r="Q543" i="8"/>
  <c r="U543" i="2"/>
  <c r="V543" i="2"/>
  <c r="R543" i="2"/>
  <c r="Y543" i="2" s="1"/>
  <c r="T543" i="2"/>
  <c r="AA543" i="2" s="1"/>
  <c r="S543" i="2"/>
  <c r="Z543" i="2" s="1"/>
  <c r="Q527" i="8"/>
  <c r="S527" i="2"/>
  <c r="Z527" i="2" s="1"/>
  <c r="U527" i="2"/>
  <c r="Q511" i="8"/>
  <c r="T511" i="2"/>
  <c r="AA511" i="2" s="1"/>
  <c r="W511" i="2"/>
  <c r="S511" i="2"/>
  <c r="Z511" i="2" s="1"/>
  <c r="R511" i="2"/>
  <c r="Y511" i="2" s="1"/>
  <c r="Q495" i="8"/>
  <c r="R495" i="2"/>
  <c r="Y495" i="2" s="1"/>
  <c r="V495" i="2"/>
  <c r="U495" i="2"/>
  <c r="T495" i="2"/>
  <c r="AA495" i="2" s="1"/>
  <c r="W495" i="2"/>
  <c r="Q479" i="8"/>
  <c r="W479" i="2"/>
  <c r="S479" i="2"/>
  <c r="Z479" i="2" s="1"/>
  <c r="R479" i="2"/>
  <c r="Y479" i="2" s="1"/>
  <c r="V479" i="2"/>
  <c r="U479" i="2"/>
  <c r="Q463" i="8"/>
  <c r="R463" i="2"/>
  <c r="Y463" i="2" s="1"/>
  <c r="T463" i="2"/>
  <c r="AA463" i="2" s="1"/>
  <c r="W463" i="2"/>
  <c r="S463" i="2"/>
  <c r="Z463" i="2" s="1"/>
  <c r="S447" i="2"/>
  <c r="Z447" i="2" s="1"/>
  <c r="V447" i="2"/>
  <c r="U447" i="2"/>
  <c r="T447" i="2"/>
  <c r="AA447" i="2" s="1"/>
  <c r="W447" i="2"/>
  <c r="Q431" i="8"/>
  <c r="R431" i="2"/>
  <c r="Y431" i="2" s="1"/>
  <c r="S431" i="2"/>
  <c r="Z431" i="2" s="1"/>
  <c r="V431" i="2"/>
  <c r="U431" i="2"/>
  <c r="Q415" i="8"/>
  <c r="R415" i="2"/>
  <c r="Y415" i="2" s="1"/>
  <c r="U415" i="2"/>
  <c r="T415" i="2"/>
  <c r="AA415" i="2" s="1"/>
  <c r="W415" i="2"/>
  <c r="S415" i="2"/>
  <c r="Z415" i="2" s="1"/>
  <c r="Q399" i="8"/>
  <c r="S399" i="2"/>
  <c r="Z399" i="2" s="1"/>
  <c r="R399" i="2"/>
  <c r="Y399" i="2" s="1"/>
  <c r="U399" i="2"/>
  <c r="T399" i="2"/>
  <c r="AA399" i="2" s="1"/>
  <c r="W399" i="2"/>
  <c r="Q383" i="8"/>
  <c r="T383" i="2"/>
  <c r="AA383" i="2" s="1"/>
  <c r="W383" i="2"/>
  <c r="S383" i="2"/>
  <c r="Z383" i="2" s="1"/>
  <c r="R383" i="2"/>
  <c r="Y383" i="2" s="1"/>
  <c r="V383" i="2"/>
  <c r="U383" i="2"/>
  <c r="Q367" i="8"/>
  <c r="R367" i="2"/>
  <c r="Y367" i="2" s="1"/>
  <c r="U367" i="2"/>
  <c r="W367" i="2"/>
  <c r="T367" i="2"/>
  <c r="AA367" i="2" s="1"/>
  <c r="Q351" i="8"/>
  <c r="S351" i="2"/>
  <c r="Z351" i="2" s="1"/>
  <c r="U351" i="2"/>
  <c r="R351" i="2"/>
  <c r="Y351" i="2" s="1"/>
  <c r="W351" i="2"/>
  <c r="T351" i="2"/>
  <c r="AA351" i="2" s="1"/>
  <c r="Q335" i="8"/>
  <c r="W335" i="2"/>
  <c r="T335" i="2"/>
  <c r="AA335" i="2" s="1"/>
  <c r="R335" i="2"/>
  <c r="Y335" i="2" s="1"/>
  <c r="S335" i="2"/>
  <c r="Z335" i="2" s="1"/>
  <c r="V335" i="2"/>
  <c r="U335" i="2"/>
  <c r="Q319" i="8"/>
  <c r="U319" i="2"/>
  <c r="W319" i="2"/>
  <c r="T319" i="2"/>
  <c r="AA319" i="2" s="1"/>
  <c r="R319" i="2"/>
  <c r="Y319" i="2" s="1"/>
  <c r="Q303" i="8"/>
  <c r="R303" i="2"/>
  <c r="Y303" i="2" s="1"/>
  <c r="S303" i="2"/>
  <c r="Z303" i="2" s="1"/>
  <c r="V303" i="2"/>
  <c r="U303" i="2"/>
  <c r="W303" i="2"/>
  <c r="Q287" i="8"/>
  <c r="T287" i="2"/>
  <c r="AA287" i="2" s="1"/>
  <c r="S287" i="2"/>
  <c r="Z287" i="2" s="1"/>
  <c r="R287" i="2"/>
  <c r="Y287" i="2" s="1"/>
  <c r="U287" i="2"/>
  <c r="Q271" i="8"/>
  <c r="V271" i="2"/>
  <c r="U271" i="2"/>
  <c r="R271" i="2"/>
  <c r="Y271" i="2" s="1"/>
  <c r="T271" i="2"/>
  <c r="AA271" i="2" s="1"/>
  <c r="R257" i="2"/>
  <c r="Y257" i="2" s="1"/>
  <c r="R225" i="2"/>
  <c r="Y225" i="2" s="1"/>
  <c r="S897" i="2"/>
  <c r="Z897" i="2" s="1"/>
  <c r="T1121" i="2"/>
  <c r="AA1121" i="2" s="1"/>
  <c r="S1041" i="2"/>
  <c r="Z1041" i="2" s="1"/>
  <c r="S929" i="2"/>
  <c r="Z929" i="2" s="1"/>
  <c r="R1009" i="2"/>
  <c r="Y1009" i="2" s="1"/>
  <c r="R881" i="2"/>
  <c r="Y881" i="2" s="1"/>
  <c r="S959" i="2"/>
  <c r="Z959" i="2" s="1"/>
  <c r="S735" i="2"/>
  <c r="Z735" i="2" s="1"/>
  <c r="R767" i="2"/>
  <c r="Y767" i="2" s="1"/>
  <c r="BF237" i="8"/>
  <c r="BG237" i="8" s="1"/>
  <c r="T1065" i="2"/>
  <c r="AA1065" i="2" s="1"/>
  <c r="S1011" i="2"/>
  <c r="Z1011" i="2" s="1"/>
  <c r="S838" i="2"/>
  <c r="Z838" i="2" s="1"/>
  <c r="S758" i="2"/>
  <c r="Z758" i="2" s="1"/>
  <c r="S518" i="2"/>
  <c r="Z518" i="2" s="1"/>
  <c r="R794" i="2"/>
  <c r="Y794" i="2" s="1"/>
  <c r="R793" i="2"/>
  <c r="Y793" i="2" s="1"/>
  <c r="S1033" i="2"/>
  <c r="Z1033" i="2" s="1"/>
  <c r="S809" i="2"/>
  <c r="Z809" i="2" s="1"/>
  <c r="R873" i="2"/>
  <c r="Y873" i="2" s="1"/>
  <c r="R790" i="2"/>
  <c r="Y790" i="2" s="1"/>
  <c r="R585" i="2"/>
  <c r="Y585" i="2" s="1"/>
  <c r="R1036" i="2"/>
  <c r="Y1036" i="2" s="1"/>
  <c r="R950" i="2"/>
  <c r="Y950" i="2" s="1"/>
  <c r="R742" i="2"/>
  <c r="Y742" i="2" s="1"/>
  <c r="Q104" i="8"/>
  <c r="R104" i="2"/>
  <c r="Y104" i="2" s="1"/>
  <c r="R1078" i="2"/>
  <c r="Y1078" i="2" s="1"/>
  <c r="R985" i="2"/>
  <c r="Y985" i="2" s="1"/>
  <c r="S742" i="2"/>
  <c r="Z742" i="2" s="1"/>
  <c r="R982" i="2"/>
  <c r="Y982" i="2" s="1"/>
  <c r="Q357" i="8"/>
  <c r="R357" i="2"/>
  <c r="Y357" i="2" s="1"/>
  <c r="R940" i="2"/>
  <c r="Y940" i="2" s="1"/>
  <c r="R569" i="2"/>
  <c r="Y569" i="2" s="1"/>
  <c r="U1126" i="2"/>
  <c r="T950" i="2"/>
  <c r="AA950" i="2" s="1"/>
  <c r="T902" i="2"/>
  <c r="AA902" i="2" s="1"/>
  <c r="T825" i="2"/>
  <c r="AA825" i="2" s="1"/>
  <c r="T505" i="2"/>
  <c r="AA505" i="2" s="1"/>
  <c r="S902" i="2"/>
  <c r="Z902" i="2" s="1"/>
  <c r="S874" i="2"/>
  <c r="Z874" i="2" s="1"/>
  <c r="S473" i="2"/>
  <c r="Z473" i="2" s="1"/>
  <c r="R1117" i="2"/>
  <c r="Y1117" i="2" s="1"/>
  <c r="R1066" i="2"/>
  <c r="Y1066" i="2" s="1"/>
  <c r="R1013" i="2"/>
  <c r="Y1013" i="2" s="1"/>
  <c r="R934" i="2"/>
  <c r="Y934" i="2" s="1"/>
  <c r="R806" i="2"/>
  <c r="Y806" i="2" s="1"/>
  <c r="R728" i="2"/>
  <c r="Y728" i="2" s="1"/>
  <c r="R695" i="2"/>
  <c r="Y695" i="2" s="1"/>
  <c r="BF605" i="8"/>
  <c r="BG605" i="8" s="1"/>
  <c r="BF429" i="8"/>
  <c r="BG429" i="8" s="1"/>
  <c r="BF365" i="8"/>
  <c r="BG365" i="8" s="1"/>
  <c r="BF1015" i="8"/>
  <c r="BG1015" i="8" s="1"/>
  <c r="BF983" i="8"/>
  <c r="BG983" i="8" s="1"/>
  <c r="BF823" i="8"/>
  <c r="BG823" i="8" s="1"/>
  <c r="BF535" i="8"/>
  <c r="BG535" i="8" s="1"/>
  <c r="BF487" i="8"/>
  <c r="BG487" i="8" s="1"/>
  <c r="BF391" i="8"/>
  <c r="BG391" i="8" s="1"/>
  <c r="BF199" i="8"/>
  <c r="BG199" i="8" s="1"/>
  <c r="BF183" i="8"/>
  <c r="BG183" i="8" s="1"/>
  <c r="BF103" i="8"/>
  <c r="BG103" i="8" s="1"/>
  <c r="BF39" i="8"/>
  <c r="BG39" i="8" s="1"/>
  <c r="BF465" i="8"/>
  <c r="BG465" i="8" s="1"/>
  <c r="BF369" i="8"/>
  <c r="BG369" i="8" s="1"/>
  <c r="BF273" i="8"/>
  <c r="BG273" i="8" s="1"/>
  <c r="BF113" i="8"/>
  <c r="BG113" i="8" s="1"/>
  <c r="BF17" i="8"/>
  <c r="BG17" i="8" s="1"/>
  <c r="BF1126" i="8"/>
  <c r="BG1126" i="8" s="1"/>
  <c r="BF1078" i="8"/>
  <c r="BG1078" i="8" s="1"/>
  <c r="BF1062" i="8"/>
  <c r="BG1062" i="8" s="1"/>
  <c r="BF1030" i="8"/>
  <c r="BG1030" i="8" s="1"/>
  <c r="BF982" i="8"/>
  <c r="BG982" i="8" s="1"/>
  <c r="BF966" i="8"/>
  <c r="BG966" i="8" s="1"/>
  <c r="BF934" i="8"/>
  <c r="BG934" i="8" s="1"/>
  <c r="BF790" i="8"/>
  <c r="BG790" i="8" s="1"/>
  <c r="BF742" i="8"/>
  <c r="BG742" i="8" s="1"/>
  <c r="BF694" i="8"/>
  <c r="BG694" i="8" s="1"/>
  <c r="BF646" i="8"/>
  <c r="BG646" i="8" s="1"/>
  <c r="BF550" i="8"/>
  <c r="BG550" i="8" s="1"/>
  <c r="BF502" i="8"/>
  <c r="BG502" i="8" s="1"/>
  <c r="BF486" i="8"/>
  <c r="BG486" i="8" s="1"/>
  <c r="BF454" i="8"/>
  <c r="BG454" i="8" s="1"/>
  <c r="BF406" i="8"/>
  <c r="BG406" i="8" s="1"/>
  <c r="BF390" i="8"/>
  <c r="BG390" i="8" s="1"/>
  <c r="BF358" i="8"/>
  <c r="BG358" i="8" s="1"/>
  <c r="BF214" i="8"/>
  <c r="BG214" i="8" s="1"/>
  <c r="BF198" i="8"/>
  <c r="BG198" i="8" s="1"/>
  <c r="BF102" i="8"/>
  <c r="BG102" i="8" s="1"/>
  <c r="BF70" i="8"/>
  <c r="BG70" i="8" s="1"/>
  <c r="BF1088" i="8"/>
  <c r="BG1088" i="8" s="1"/>
  <c r="BF1040" i="8"/>
  <c r="BG1040" i="8" s="1"/>
  <c r="BF992" i="8"/>
  <c r="BG992" i="8" s="1"/>
  <c r="BF944" i="8"/>
  <c r="BG944" i="8" s="1"/>
  <c r="BF896" i="8"/>
  <c r="BG896" i="8" s="1"/>
  <c r="BF848" i="8"/>
  <c r="BG848" i="8" s="1"/>
  <c r="BF800" i="8"/>
  <c r="BG800" i="8" s="1"/>
  <c r="BF752" i="8"/>
  <c r="BG752" i="8" s="1"/>
  <c r="BF704" i="8"/>
  <c r="BG704" i="8" s="1"/>
  <c r="BF656" i="8"/>
  <c r="BG656" i="8" s="1"/>
  <c r="BF640" i="8"/>
  <c r="BG640" i="8" s="1"/>
  <c r="BF608" i="8"/>
  <c r="BG608" i="8" s="1"/>
  <c r="BF560" i="8"/>
  <c r="BG560" i="8" s="1"/>
  <c r="BF544" i="8"/>
  <c r="BG544" i="8" s="1"/>
  <c r="BF512" i="8"/>
  <c r="BG512" i="8" s="1"/>
  <c r="BF464" i="8"/>
  <c r="BG464" i="8" s="1"/>
  <c r="BF416" i="8"/>
  <c r="BG416" i="8" s="1"/>
  <c r="BF368" i="8"/>
  <c r="BG368" i="8" s="1"/>
  <c r="BF352" i="8"/>
  <c r="BG352" i="8" s="1"/>
  <c r="BF320" i="8"/>
  <c r="BG320" i="8" s="1"/>
  <c r="BF272" i="8"/>
  <c r="BG272" i="8" s="1"/>
  <c r="BF256" i="8"/>
  <c r="BG256" i="8" s="1"/>
  <c r="BF224" i="8"/>
  <c r="BG224" i="8" s="1"/>
  <c r="BF176" i="8"/>
  <c r="BG176" i="8" s="1"/>
  <c r="BF160" i="8"/>
  <c r="BG160" i="8" s="1"/>
  <c r="BF128" i="8"/>
  <c r="BG128" i="8" s="1"/>
  <c r="BF112" i="8"/>
  <c r="BG112" i="8" s="1"/>
  <c r="BF64" i="8"/>
  <c r="BG64" i="8" s="1"/>
  <c r="BF32" i="8"/>
  <c r="BG32" i="8" s="1"/>
  <c r="BF16" i="8"/>
  <c r="BG16" i="8" s="1"/>
  <c r="BF122" i="8"/>
  <c r="BG122" i="8" s="1"/>
  <c r="BF404" i="8"/>
  <c r="BG404" i="8" s="1"/>
  <c r="BF212" i="8"/>
  <c r="BG212" i="8" s="1"/>
  <c r="BF84" i="8"/>
  <c r="BG84" i="8" s="1"/>
  <c r="BF1079" i="8"/>
  <c r="BG1079" i="8" s="1"/>
  <c r="BF887" i="8"/>
  <c r="BG887" i="8" s="1"/>
  <c r="BF599" i="8"/>
  <c r="BG599" i="8" s="1"/>
  <c r="BF1093" i="8"/>
  <c r="BG1093" i="8" s="1"/>
  <c r="BF1061" i="8"/>
  <c r="BG1061" i="8" s="1"/>
  <c r="BF997" i="8"/>
  <c r="BG997" i="8" s="1"/>
  <c r="BF965" i="8"/>
  <c r="BG965" i="8" s="1"/>
  <c r="BF949" i="8"/>
  <c r="BG949" i="8" s="1"/>
  <c r="BF869" i="8"/>
  <c r="BG869" i="8" s="1"/>
  <c r="BF773" i="8"/>
  <c r="BG773" i="8" s="1"/>
  <c r="BF725" i="8"/>
  <c r="BG725" i="8" s="1"/>
  <c r="BF709" i="8"/>
  <c r="BG709" i="8" s="1"/>
  <c r="BF693" i="8"/>
  <c r="BG693" i="8" s="1"/>
  <c r="BF677" i="8"/>
  <c r="BG677" i="8" s="1"/>
  <c r="BF581" i="8"/>
  <c r="BG581" i="8" s="1"/>
  <c r="BF485" i="8"/>
  <c r="BG485" i="8" s="1"/>
  <c r="BF469" i="8"/>
  <c r="BG469" i="8" s="1"/>
  <c r="BF453" i="8"/>
  <c r="BG453" i="8" s="1"/>
  <c r="BF405" i="8"/>
  <c r="BG405" i="8" s="1"/>
  <c r="BF389" i="8"/>
  <c r="BG389" i="8" s="1"/>
  <c r="BF293" i="8"/>
  <c r="BG293" i="8" s="1"/>
  <c r="BF277" i="8"/>
  <c r="BG277" i="8" s="1"/>
  <c r="BF261" i="8"/>
  <c r="BG261" i="8" s="1"/>
  <c r="BF229" i="8"/>
  <c r="BG229" i="8" s="1"/>
  <c r="BF213" i="8"/>
  <c r="BG213" i="8" s="1"/>
  <c r="BF197" i="8"/>
  <c r="BG197" i="8" s="1"/>
  <c r="BF149" i="8"/>
  <c r="BG149" i="8" s="1"/>
  <c r="BF101" i="8"/>
  <c r="BG101" i="8" s="1"/>
  <c r="BF85" i="8"/>
  <c r="BG85" i="8" s="1"/>
  <c r="BF53" i="8"/>
  <c r="BG53" i="8" s="1"/>
  <c r="BF943" i="8"/>
  <c r="BG943" i="8" s="1"/>
  <c r="BF847" i="8"/>
  <c r="BG847" i="8" s="1"/>
  <c r="BF671" i="8"/>
  <c r="BG671" i="8" s="1"/>
  <c r="BF575" i="8"/>
  <c r="BG575" i="8" s="1"/>
  <c r="BF527" i="8"/>
  <c r="BG527" i="8" s="1"/>
  <c r="BF511" i="8"/>
  <c r="BG511" i="8" s="1"/>
  <c r="BF367" i="8"/>
  <c r="BG367" i="8" s="1"/>
  <c r="BF319" i="8"/>
  <c r="BG319" i="8" s="1"/>
  <c r="BF287" i="8"/>
  <c r="BG287" i="8" s="1"/>
  <c r="BF271" i="8"/>
  <c r="BG271" i="8" s="1"/>
  <c r="BF223" i="8"/>
  <c r="BG223" i="8" s="1"/>
  <c r="BF191" i="8"/>
  <c r="BG191" i="8" s="1"/>
  <c r="BF175" i="8"/>
  <c r="BG175" i="8" s="1"/>
  <c r="BF159" i="8"/>
  <c r="BG159" i="8" s="1"/>
  <c r="BF143" i="8"/>
  <c r="BG143" i="8" s="1"/>
  <c r="BF127" i="8"/>
  <c r="BG127" i="8" s="1"/>
  <c r="BF111" i="8"/>
  <c r="BG111" i="8" s="1"/>
  <c r="BF63" i="8"/>
  <c r="BG63" i="8" s="1"/>
  <c r="BF31" i="8"/>
  <c r="BG31" i="8" s="1"/>
  <c r="BF15" i="8"/>
  <c r="BG15" i="8" s="1"/>
  <c r="BF1017" i="8"/>
  <c r="BG1017" i="8" s="1"/>
  <c r="BF681" i="8"/>
  <c r="BG681" i="8" s="1"/>
  <c r="BF633" i="8"/>
  <c r="BG633" i="8" s="1"/>
  <c r="BF489" i="8"/>
  <c r="BG489" i="8" s="1"/>
  <c r="BF441" i="8"/>
  <c r="BG441" i="8" s="1"/>
  <c r="BF393" i="8"/>
  <c r="BG393" i="8" s="1"/>
  <c r="BF377" i="8"/>
  <c r="BG377" i="8" s="1"/>
  <c r="BF345" i="8"/>
  <c r="BG345" i="8" s="1"/>
  <c r="BF201" i="8"/>
  <c r="BG201" i="8" s="1"/>
  <c r="BF1123" i="8"/>
  <c r="BG1123" i="8" s="1"/>
  <c r="BF883" i="8"/>
  <c r="BG883" i="8" s="1"/>
  <c r="BF835" i="8"/>
  <c r="BG835" i="8" s="1"/>
  <c r="BF739" i="8"/>
  <c r="BG739" i="8" s="1"/>
  <c r="BF595" i="8"/>
  <c r="BG595" i="8" s="1"/>
  <c r="BF547" i="8"/>
  <c r="BG547" i="8" s="1"/>
  <c r="BF499" i="8"/>
  <c r="BG499" i="8" s="1"/>
  <c r="BF451" i="8"/>
  <c r="BG451" i="8" s="1"/>
  <c r="BF403" i="8"/>
  <c r="BG403" i="8" s="1"/>
  <c r="BF307" i="8"/>
  <c r="BG307" i="8" s="1"/>
  <c r="BF259" i="8"/>
  <c r="BG259" i="8" s="1"/>
  <c r="BF211" i="8"/>
  <c r="BG211" i="8" s="1"/>
  <c r="BF163" i="8"/>
  <c r="BG163" i="8" s="1"/>
  <c r="BF67" i="8"/>
  <c r="BG67" i="8" s="1"/>
  <c r="BF1101" i="8"/>
  <c r="BG1101" i="8" s="1"/>
  <c r="BF1005" i="8"/>
  <c r="BG1005" i="8" s="1"/>
  <c r="BF941" i="8"/>
  <c r="BG941" i="8" s="1"/>
  <c r="BF893" i="8"/>
  <c r="BG893" i="8" s="1"/>
  <c r="BF653" i="8"/>
  <c r="BG653" i="8" s="1"/>
  <c r="BF557" i="8"/>
  <c r="BG557" i="8" s="1"/>
  <c r="BF525" i="8"/>
  <c r="BG525" i="8" s="1"/>
  <c r="BF1121" i="8"/>
  <c r="BG1121" i="8" s="1"/>
  <c r="BF1073" i="8"/>
  <c r="BG1073" i="8" s="1"/>
  <c r="BF1025" i="8"/>
  <c r="BG1025" i="8" s="1"/>
  <c r="BF929" i="8"/>
  <c r="BG929" i="8" s="1"/>
  <c r="BF881" i="8"/>
  <c r="BG881" i="8" s="1"/>
  <c r="BF833" i="8"/>
  <c r="BG833" i="8" s="1"/>
  <c r="BF737" i="8"/>
  <c r="BG737" i="8" s="1"/>
  <c r="BF641" i="8"/>
  <c r="BG641" i="8" s="1"/>
  <c r="BF593" i="8"/>
  <c r="BG593" i="8" s="1"/>
  <c r="BF545" i="8"/>
  <c r="BG545" i="8" s="1"/>
  <c r="BF449" i="8"/>
  <c r="BG449" i="8" s="1"/>
  <c r="BF353" i="8"/>
  <c r="BG353" i="8" s="1"/>
  <c r="BF305" i="8"/>
  <c r="BG305" i="8" s="1"/>
  <c r="BF257" i="8"/>
  <c r="BG257" i="8" s="1"/>
  <c r="BF209" i="8"/>
  <c r="BG209" i="8" s="1"/>
  <c r="BF161" i="8"/>
  <c r="BG161" i="8" s="1"/>
  <c r="Q394" i="8"/>
  <c r="S394" i="2"/>
  <c r="Z394" i="2" s="1"/>
  <c r="V1098" i="2"/>
  <c r="V1034" i="2"/>
  <c r="V874" i="2"/>
  <c r="V586" i="2"/>
  <c r="U1034" i="2"/>
  <c r="U874" i="2"/>
  <c r="U698" i="2"/>
  <c r="U202" i="2"/>
  <c r="T1050" i="2"/>
  <c r="AA1050" i="2" s="1"/>
  <c r="T554" i="2"/>
  <c r="AA554" i="2" s="1"/>
  <c r="T346" i="2"/>
  <c r="AA346" i="2" s="1"/>
  <c r="S970" i="2"/>
  <c r="Z970" i="2" s="1"/>
  <c r="S778" i="2"/>
  <c r="Z778" i="2" s="1"/>
  <c r="S266" i="2"/>
  <c r="Z266" i="2" s="1"/>
  <c r="R762" i="2"/>
  <c r="Y762" i="2" s="1"/>
  <c r="R90" i="2"/>
  <c r="Y90" i="2" s="1"/>
  <c r="R1113" i="2"/>
  <c r="Y1113" i="2" s="1"/>
  <c r="Q1113" i="8"/>
  <c r="S1113" i="2"/>
  <c r="Z1113" i="2" s="1"/>
  <c r="R1097" i="2"/>
  <c r="Y1097" i="2" s="1"/>
  <c r="Q1097" i="8"/>
  <c r="R1081" i="2"/>
  <c r="Y1081" i="2" s="1"/>
  <c r="Q1081" i="8"/>
  <c r="R1049" i="2"/>
  <c r="Y1049" i="2" s="1"/>
  <c r="Q1049" i="8"/>
  <c r="Q1017" i="8"/>
  <c r="R1017" i="2"/>
  <c r="Y1017" i="2" s="1"/>
  <c r="Q1001" i="8"/>
  <c r="S1001" i="2"/>
  <c r="Z1001" i="2" s="1"/>
  <c r="Q969" i="8"/>
  <c r="R969" i="2"/>
  <c r="Y969" i="2" s="1"/>
  <c r="R953" i="2"/>
  <c r="Y953" i="2" s="1"/>
  <c r="Q953" i="8"/>
  <c r="Q937" i="8"/>
  <c r="R937" i="2"/>
  <c r="Y937" i="2" s="1"/>
  <c r="R921" i="2"/>
  <c r="Y921" i="2" s="1"/>
  <c r="Q921" i="8"/>
  <c r="R905" i="2"/>
  <c r="Y905" i="2" s="1"/>
  <c r="Q905" i="8"/>
  <c r="Q889" i="8"/>
  <c r="S889" i="2"/>
  <c r="Z889" i="2" s="1"/>
  <c r="Q857" i="8"/>
  <c r="R857" i="2"/>
  <c r="Y857" i="2" s="1"/>
  <c r="Q729" i="8"/>
  <c r="S729" i="2"/>
  <c r="Z729" i="2" s="1"/>
  <c r="Q697" i="8"/>
  <c r="R697" i="2"/>
  <c r="Y697" i="2" s="1"/>
  <c r="Q665" i="8"/>
  <c r="S665" i="2"/>
  <c r="Z665" i="2" s="1"/>
  <c r="Q649" i="8"/>
  <c r="R649" i="2"/>
  <c r="Y649" i="2" s="1"/>
  <c r="R617" i="2"/>
  <c r="Y617" i="2" s="1"/>
  <c r="Q617" i="8"/>
  <c r="Q553" i="8"/>
  <c r="S553" i="2"/>
  <c r="Z553" i="2" s="1"/>
  <c r="Q537" i="8"/>
  <c r="R537" i="2"/>
  <c r="Y537" i="2" s="1"/>
  <c r="T537" i="2"/>
  <c r="AA537" i="2" s="1"/>
  <c r="R457" i="2"/>
  <c r="Y457" i="2" s="1"/>
  <c r="Q457" i="8"/>
  <c r="R361" i="2"/>
  <c r="Y361" i="2" s="1"/>
  <c r="Q361" i="8"/>
  <c r="T361" i="2"/>
  <c r="AA361" i="2" s="1"/>
  <c r="Q345" i="8"/>
  <c r="R345" i="2"/>
  <c r="Y345" i="2" s="1"/>
  <c r="Q313" i="8"/>
  <c r="R313" i="2"/>
  <c r="Y313" i="2" s="1"/>
  <c r="R297" i="2"/>
  <c r="Y297" i="2" s="1"/>
  <c r="Q297" i="8"/>
  <c r="Q265" i="8"/>
  <c r="S265" i="2"/>
  <c r="Z265" i="2" s="1"/>
  <c r="R249" i="2"/>
  <c r="Y249" i="2" s="1"/>
  <c r="Q249" i="8"/>
  <c r="R217" i="2"/>
  <c r="Y217" i="2" s="1"/>
  <c r="Q217" i="8"/>
  <c r="Q201" i="8"/>
  <c r="T201" i="2"/>
  <c r="AA201" i="2" s="1"/>
  <c r="R153" i="2"/>
  <c r="Y153" i="2" s="1"/>
  <c r="Q153" i="8"/>
  <c r="S153" i="2"/>
  <c r="Z153" i="2" s="1"/>
  <c r="Q137" i="8"/>
  <c r="R137" i="2"/>
  <c r="Y137" i="2" s="1"/>
  <c r="R121" i="2"/>
  <c r="Y121" i="2" s="1"/>
  <c r="Q121" i="8"/>
  <c r="Q105" i="8"/>
  <c r="R105" i="2"/>
  <c r="Y105" i="2" s="1"/>
  <c r="S105" i="2"/>
  <c r="Z105" i="2" s="1"/>
  <c r="Q89" i="8"/>
  <c r="T89" i="2"/>
  <c r="AA89" i="2" s="1"/>
  <c r="R57" i="2"/>
  <c r="Y57" i="2" s="1"/>
  <c r="Q57" i="8"/>
  <c r="W538" i="2"/>
  <c r="W362" i="2"/>
  <c r="W202" i="2"/>
  <c r="V410" i="2"/>
  <c r="V186" i="2"/>
  <c r="U538" i="2"/>
  <c r="U426" i="2"/>
  <c r="U314" i="2"/>
  <c r="U90" i="2"/>
  <c r="T1114" i="2"/>
  <c r="AA1114" i="2" s="1"/>
  <c r="T138" i="2"/>
  <c r="AA138" i="2" s="1"/>
  <c r="S1117" i="2"/>
  <c r="Z1117" i="2" s="1"/>
  <c r="S1017" i="2"/>
  <c r="Z1017" i="2" s="1"/>
  <c r="S969" i="2"/>
  <c r="Z969" i="2" s="1"/>
  <c r="S921" i="2"/>
  <c r="Z921" i="2" s="1"/>
  <c r="S848" i="2"/>
  <c r="Z848" i="2" s="1"/>
  <c r="S777" i="2"/>
  <c r="Z777" i="2" s="1"/>
  <c r="S586" i="2"/>
  <c r="Z586" i="2" s="1"/>
  <c r="S426" i="2"/>
  <c r="Z426" i="2" s="1"/>
  <c r="R1127" i="2"/>
  <c r="Y1127" i="2" s="1"/>
  <c r="R957" i="2"/>
  <c r="Y957" i="2" s="1"/>
  <c r="R889" i="2"/>
  <c r="Y889" i="2" s="1"/>
  <c r="R861" i="2"/>
  <c r="Y861" i="2" s="1"/>
  <c r="R825" i="2"/>
  <c r="Y825" i="2" s="1"/>
  <c r="R761" i="2"/>
  <c r="Y761" i="2" s="1"/>
  <c r="R729" i="2"/>
  <c r="Y729" i="2" s="1"/>
  <c r="R586" i="2"/>
  <c r="Y586" i="2" s="1"/>
  <c r="R554" i="2"/>
  <c r="Y554" i="2" s="1"/>
  <c r="R490" i="2"/>
  <c r="Y490" i="2" s="1"/>
  <c r="Q1050" i="8"/>
  <c r="R1050" i="2"/>
  <c r="Y1050" i="2" s="1"/>
  <c r="Q938" i="8"/>
  <c r="R938" i="2"/>
  <c r="Y938" i="2" s="1"/>
  <c r="R922" i="2"/>
  <c r="Y922" i="2" s="1"/>
  <c r="Q922" i="8"/>
  <c r="Q890" i="8"/>
  <c r="S890" i="2"/>
  <c r="Z890" i="2" s="1"/>
  <c r="Q858" i="8"/>
  <c r="R858" i="2"/>
  <c r="Y858" i="2" s="1"/>
  <c r="Q826" i="8"/>
  <c r="R826" i="2"/>
  <c r="Y826" i="2" s="1"/>
  <c r="Q778" i="8"/>
  <c r="R778" i="2"/>
  <c r="Y778" i="2" s="1"/>
  <c r="Q730" i="8"/>
  <c r="S730" i="2"/>
  <c r="Z730" i="2" s="1"/>
  <c r="Q698" i="8"/>
  <c r="R698" i="2"/>
  <c r="Y698" i="2" s="1"/>
  <c r="R682" i="2"/>
  <c r="Y682" i="2" s="1"/>
  <c r="Q682" i="8"/>
  <c r="Q618" i="8"/>
  <c r="R618" i="2"/>
  <c r="Y618" i="2" s="1"/>
  <c r="S618" i="2"/>
  <c r="Z618" i="2" s="1"/>
  <c r="Q506" i="8"/>
  <c r="R506" i="2"/>
  <c r="Y506" i="2" s="1"/>
  <c r="S506" i="2"/>
  <c r="Z506" i="2" s="1"/>
  <c r="R378" i="2"/>
  <c r="Y378" i="2" s="1"/>
  <c r="Q378" i="8"/>
  <c r="Q298" i="8"/>
  <c r="R298" i="2"/>
  <c r="Y298" i="2" s="1"/>
  <c r="W1114" i="2"/>
  <c r="W938" i="2"/>
  <c r="W650" i="2"/>
  <c r="W426" i="2"/>
  <c r="W138" i="2"/>
  <c r="V986" i="2"/>
  <c r="V826" i="2"/>
  <c r="V250" i="2"/>
  <c r="U986" i="2"/>
  <c r="U762" i="2"/>
  <c r="U650" i="2"/>
  <c r="T1002" i="2"/>
  <c r="AA1002" i="2" s="1"/>
  <c r="T938" i="2"/>
  <c r="AA938" i="2" s="1"/>
  <c r="T298" i="2"/>
  <c r="AA298" i="2" s="1"/>
  <c r="S1114" i="2"/>
  <c r="Z1114" i="2" s="1"/>
  <c r="S538" i="2"/>
  <c r="Z538" i="2" s="1"/>
  <c r="S490" i="2"/>
  <c r="Z490" i="2" s="1"/>
  <c r="S218" i="2"/>
  <c r="Z218" i="2" s="1"/>
  <c r="R522" i="2"/>
  <c r="Y522" i="2" s="1"/>
  <c r="R1111" i="2"/>
  <c r="Y1111" i="2" s="1"/>
  <c r="Q1111" i="8"/>
  <c r="Q1079" i="8"/>
  <c r="R1079" i="2"/>
  <c r="Y1079" i="2" s="1"/>
  <c r="R1063" i="2"/>
  <c r="Y1063" i="2" s="1"/>
  <c r="Q1063" i="8"/>
  <c r="Q1015" i="8"/>
  <c r="R1015" i="2"/>
  <c r="Y1015" i="2" s="1"/>
  <c r="Q967" i="8"/>
  <c r="R967" i="2"/>
  <c r="Y967" i="2" s="1"/>
  <c r="Q935" i="8"/>
  <c r="S935" i="2"/>
  <c r="Z935" i="2" s="1"/>
  <c r="Q903" i="8"/>
  <c r="R903" i="2"/>
  <c r="Y903" i="2" s="1"/>
  <c r="Q887" i="8"/>
  <c r="R887" i="2"/>
  <c r="Y887" i="2" s="1"/>
  <c r="R855" i="2"/>
  <c r="Y855" i="2" s="1"/>
  <c r="Q855" i="8"/>
  <c r="Q807" i="8"/>
  <c r="R807" i="2"/>
  <c r="Y807" i="2" s="1"/>
  <c r="W1002" i="2"/>
  <c r="W778" i="2"/>
  <c r="W714" i="2"/>
  <c r="W490" i="2"/>
  <c r="W314" i="2"/>
  <c r="V762" i="2"/>
  <c r="V538" i="2"/>
  <c r="V474" i="2"/>
  <c r="V362" i="2"/>
  <c r="V138" i="2"/>
  <c r="U826" i="2"/>
  <c r="U490" i="2"/>
  <c r="U378" i="2"/>
  <c r="U154" i="2"/>
  <c r="T845" i="2"/>
  <c r="AA845" i="2" s="1"/>
  <c r="T730" i="2"/>
  <c r="AA730" i="2" s="1"/>
  <c r="T458" i="2"/>
  <c r="AA458" i="2" s="1"/>
  <c r="T250" i="2"/>
  <c r="AA250" i="2" s="1"/>
  <c r="T90" i="2"/>
  <c r="AA90" i="2" s="1"/>
  <c r="S845" i="2"/>
  <c r="Z845" i="2" s="1"/>
  <c r="S656" i="2"/>
  <c r="Z656" i="2" s="1"/>
  <c r="S537" i="2"/>
  <c r="Z537" i="2" s="1"/>
  <c r="S489" i="2"/>
  <c r="Z489" i="2" s="1"/>
  <c r="S170" i="2"/>
  <c r="Z170" i="2" s="1"/>
  <c r="R1088" i="2"/>
  <c r="Y1088" i="2" s="1"/>
  <c r="R1057" i="2"/>
  <c r="Y1057" i="2" s="1"/>
  <c r="R608" i="2"/>
  <c r="Y608" i="2" s="1"/>
  <c r="R521" i="2"/>
  <c r="Y521" i="2" s="1"/>
  <c r="R346" i="2"/>
  <c r="Y346" i="2" s="1"/>
  <c r="R170" i="2"/>
  <c r="Y170" i="2" s="1"/>
  <c r="T186" i="2"/>
  <c r="AA186" i="2" s="1"/>
  <c r="R1018" i="2"/>
  <c r="Y1018" i="2" s="1"/>
  <c r="Q1018" i="8"/>
  <c r="Q666" i="8"/>
  <c r="R666" i="2"/>
  <c r="Y666" i="2" s="1"/>
  <c r="W1066" i="2"/>
  <c r="W890" i="2"/>
  <c r="W602" i="2"/>
  <c r="V1114" i="2"/>
  <c r="V1050" i="2"/>
  <c r="V938" i="2"/>
  <c r="V650" i="2"/>
  <c r="U1050" i="2"/>
  <c r="U938" i="2"/>
  <c r="U714" i="2"/>
  <c r="U602" i="2"/>
  <c r="T890" i="2"/>
  <c r="AA890" i="2" s="1"/>
  <c r="T618" i="2"/>
  <c r="AA618" i="2" s="1"/>
  <c r="T410" i="2"/>
  <c r="AA410" i="2" s="1"/>
  <c r="T202" i="2"/>
  <c r="AA202" i="2" s="1"/>
  <c r="S1085" i="2"/>
  <c r="Z1085" i="2" s="1"/>
  <c r="S1037" i="2"/>
  <c r="Z1037" i="2" s="1"/>
  <c r="S893" i="2"/>
  <c r="Z893" i="2" s="1"/>
  <c r="S442" i="2"/>
  <c r="Z442" i="2" s="1"/>
  <c r="S282" i="2"/>
  <c r="Z282" i="2" s="1"/>
  <c r="R1122" i="2"/>
  <c r="Y1122" i="2" s="1"/>
  <c r="R946" i="2"/>
  <c r="Y946" i="2" s="1"/>
  <c r="R914" i="2"/>
  <c r="Y914" i="2" s="1"/>
  <c r="R848" i="2"/>
  <c r="Y848" i="2" s="1"/>
  <c r="R818" i="2"/>
  <c r="Y818" i="2" s="1"/>
  <c r="R754" i="2"/>
  <c r="Y754" i="2" s="1"/>
  <c r="R669" i="2"/>
  <c r="Y669" i="2" s="1"/>
  <c r="R250" i="2"/>
  <c r="Y250" i="2" s="1"/>
  <c r="Q1066" i="8"/>
  <c r="S1066" i="2"/>
  <c r="Z1066" i="2" s="1"/>
  <c r="R634" i="2"/>
  <c r="Y634" i="2" s="1"/>
  <c r="Q634" i="8"/>
  <c r="Q266" i="8"/>
  <c r="R266" i="2"/>
  <c r="Y266" i="2" s="1"/>
  <c r="W954" i="2"/>
  <c r="W442" i="2"/>
  <c r="W378" i="2"/>
  <c r="W266" i="2"/>
  <c r="W154" i="2"/>
  <c r="W90" i="2"/>
  <c r="V714" i="2"/>
  <c r="V202" i="2"/>
  <c r="U778" i="2"/>
  <c r="U442" i="2"/>
  <c r="U330" i="2"/>
  <c r="U106" i="2"/>
  <c r="T954" i="2"/>
  <c r="AA954" i="2" s="1"/>
  <c r="T682" i="2"/>
  <c r="AA682" i="2" s="1"/>
  <c r="T570" i="2"/>
  <c r="AA570" i="2" s="1"/>
  <c r="T522" i="2"/>
  <c r="AA522" i="2" s="1"/>
  <c r="T154" i="2"/>
  <c r="AA154" i="2" s="1"/>
  <c r="S842" i="2"/>
  <c r="Z842" i="2" s="1"/>
  <c r="S122" i="2"/>
  <c r="Z122" i="2" s="1"/>
  <c r="R1085" i="2"/>
  <c r="Y1085" i="2" s="1"/>
  <c r="Q1108" i="8"/>
  <c r="R1108" i="2"/>
  <c r="Y1108" i="2" s="1"/>
  <c r="R1060" i="2"/>
  <c r="Q1060" i="8"/>
  <c r="R1012" i="2"/>
  <c r="Y1012" i="2" s="1"/>
  <c r="Q1012" i="8"/>
  <c r="U932" i="2"/>
  <c r="Q932" i="8"/>
  <c r="W1018" i="2"/>
  <c r="W554" i="2"/>
  <c r="V1002" i="2"/>
  <c r="V890" i="2"/>
  <c r="V778" i="2"/>
  <c r="V602" i="2"/>
  <c r="V314" i="2"/>
  <c r="V90" i="2"/>
  <c r="U1114" i="2"/>
  <c r="U890" i="2"/>
  <c r="U666" i="2"/>
  <c r="U218" i="2"/>
  <c r="T1018" i="2"/>
  <c r="AA1018" i="2" s="1"/>
  <c r="T842" i="2"/>
  <c r="AA842" i="2" s="1"/>
  <c r="S794" i="2"/>
  <c r="Z794" i="2" s="1"/>
  <c r="R458" i="2"/>
  <c r="Y458" i="2" s="1"/>
  <c r="R314" i="2"/>
  <c r="Y314" i="2" s="1"/>
  <c r="R138" i="2"/>
  <c r="Y138" i="2" s="1"/>
  <c r="R1098" i="2"/>
  <c r="Y1098" i="2" s="1"/>
  <c r="Q1098" i="8"/>
  <c r="Q1002" i="8"/>
  <c r="S1002" i="2"/>
  <c r="Z1002" i="2" s="1"/>
  <c r="Q746" i="8"/>
  <c r="R746" i="2"/>
  <c r="Y746" i="2" s="1"/>
  <c r="W666" i="2"/>
  <c r="W842" i="2"/>
  <c r="W218" i="2"/>
  <c r="V1066" i="2"/>
  <c r="V490" i="2"/>
  <c r="V378" i="2"/>
  <c r="V154" i="2"/>
  <c r="U554" i="2"/>
  <c r="U394" i="2"/>
  <c r="T794" i="2"/>
  <c r="AA794" i="2" s="1"/>
  <c r="T474" i="2"/>
  <c r="AA474" i="2" s="1"/>
  <c r="T362" i="2"/>
  <c r="AA362" i="2" s="1"/>
  <c r="T106" i="2"/>
  <c r="AA106" i="2" s="1"/>
  <c r="S1082" i="2"/>
  <c r="Z1082" i="2" s="1"/>
  <c r="S1034" i="2"/>
  <c r="Z1034" i="2" s="1"/>
  <c r="S938" i="2"/>
  <c r="Z938" i="2" s="1"/>
  <c r="S698" i="2"/>
  <c r="Z698" i="2" s="1"/>
  <c r="S602" i="2"/>
  <c r="Z602" i="2" s="1"/>
  <c r="R906" i="2"/>
  <c r="Y906" i="2" s="1"/>
  <c r="R394" i="2"/>
  <c r="Y394" i="2" s="1"/>
  <c r="R282" i="2"/>
  <c r="Y282" i="2" s="1"/>
  <c r="R106" i="2"/>
  <c r="Y106" i="2" s="1"/>
  <c r="Q1090" i="8"/>
  <c r="S1090" i="2"/>
  <c r="Z1090" i="2" s="1"/>
  <c r="Q1042" i="8"/>
  <c r="R1042" i="2"/>
  <c r="Y1042" i="2" s="1"/>
  <c r="Q1026" i="8"/>
  <c r="R1026" i="2"/>
  <c r="Y1026" i="2" s="1"/>
  <c r="Q994" i="8"/>
  <c r="R994" i="2"/>
  <c r="Y994" i="2" s="1"/>
  <c r="Q978" i="8"/>
  <c r="S978" i="2"/>
  <c r="Z978" i="2" s="1"/>
  <c r="R962" i="2"/>
  <c r="Y962" i="2" s="1"/>
  <c r="Q962" i="8"/>
  <c r="Q882" i="8"/>
  <c r="R882" i="2"/>
  <c r="Y882" i="2" s="1"/>
  <c r="R866" i="2"/>
  <c r="Y866" i="2" s="1"/>
  <c r="Q866" i="8"/>
  <c r="S866" i="2"/>
  <c r="Z866" i="2" s="1"/>
  <c r="R850" i="2"/>
  <c r="Y850" i="2" s="1"/>
  <c r="Q850" i="8"/>
  <c r="Q834" i="8"/>
  <c r="R834" i="2"/>
  <c r="Y834" i="2" s="1"/>
  <c r="Q802" i="8"/>
  <c r="R802" i="2"/>
  <c r="Y802" i="2" s="1"/>
  <c r="R786" i="2"/>
  <c r="Y786" i="2" s="1"/>
  <c r="Q786" i="8"/>
  <c r="R770" i="2"/>
  <c r="Y770" i="2" s="1"/>
  <c r="Q770" i="8"/>
  <c r="Q722" i="8"/>
  <c r="R722" i="2"/>
  <c r="Y722" i="2" s="1"/>
  <c r="R674" i="2"/>
  <c r="Y674" i="2" s="1"/>
  <c r="Q674" i="8"/>
  <c r="Q642" i="8"/>
  <c r="S642" i="2"/>
  <c r="Z642" i="2" s="1"/>
  <c r="R578" i="2"/>
  <c r="Y578" i="2" s="1"/>
  <c r="Q578" i="8"/>
  <c r="R546" i="2"/>
  <c r="Y546" i="2" s="1"/>
  <c r="Q546" i="8"/>
  <c r="Q530" i="8"/>
  <c r="S530" i="2"/>
  <c r="Z530" i="2" s="1"/>
  <c r="R514" i="2"/>
  <c r="Y514" i="2" s="1"/>
  <c r="Q514" i="8"/>
  <c r="T514" i="2"/>
  <c r="AA514" i="2" s="1"/>
  <c r="R498" i="2"/>
  <c r="Y498" i="2" s="1"/>
  <c r="Q498" i="8"/>
  <c r="R482" i="2"/>
  <c r="Y482" i="2" s="1"/>
  <c r="Q482" i="8"/>
  <c r="Q450" i="8"/>
  <c r="R450" i="2"/>
  <c r="Y450" i="2" s="1"/>
  <c r="Q418" i="8"/>
  <c r="S418" i="2"/>
  <c r="Z418" i="2" s="1"/>
  <c r="Q402" i="8"/>
  <c r="R402" i="2"/>
  <c r="Y402" i="2" s="1"/>
  <c r="R386" i="2"/>
  <c r="Y386" i="2" s="1"/>
  <c r="Q386" i="8"/>
  <c r="Q426" i="8"/>
  <c r="R426" i="2"/>
  <c r="Y426" i="2" s="1"/>
  <c r="T426" i="2"/>
  <c r="AA426" i="2" s="1"/>
  <c r="W906" i="2"/>
  <c r="W618" i="2"/>
  <c r="W394" i="2"/>
  <c r="W106" i="2"/>
  <c r="V954" i="2"/>
  <c r="V842" i="2"/>
  <c r="V666" i="2"/>
  <c r="V266" i="2"/>
  <c r="U1066" i="2"/>
  <c r="U954" i="2"/>
  <c r="U730" i="2"/>
  <c r="U618" i="2"/>
  <c r="U282" i="2"/>
  <c r="T906" i="2"/>
  <c r="AA906" i="2" s="1"/>
  <c r="T634" i="2"/>
  <c r="AA634" i="2" s="1"/>
  <c r="T314" i="2"/>
  <c r="AA314" i="2" s="1"/>
  <c r="S650" i="2"/>
  <c r="Z650" i="2" s="1"/>
  <c r="S346" i="2"/>
  <c r="Z346" i="2" s="1"/>
  <c r="S298" i="2"/>
  <c r="Z298" i="2" s="1"/>
  <c r="R1114" i="2"/>
  <c r="Y1114" i="2" s="1"/>
  <c r="R973" i="2"/>
  <c r="Y973" i="2" s="1"/>
  <c r="R874" i="2"/>
  <c r="Y874" i="2" s="1"/>
  <c r="R813" i="2"/>
  <c r="Y813" i="2" s="1"/>
  <c r="R745" i="2"/>
  <c r="Y745" i="2" s="1"/>
  <c r="R602" i="2"/>
  <c r="Y602" i="2" s="1"/>
  <c r="R218" i="2"/>
  <c r="Y218" i="2" s="1"/>
  <c r="Q1105" i="8"/>
  <c r="R1105" i="2"/>
  <c r="Y1105" i="2" s="1"/>
  <c r="Q1089" i="8"/>
  <c r="S1089" i="2"/>
  <c r="Z1089" i="2" s="1"/>
  <c r="R1041" i="2"/>
  <c r="Y1041" i="2" s="1"/>
  <c r="Q1041" i="8"/>
  <c r="R1025" i="2"/>
  <c r="Y1025" i="2" s="1"/>
  <c r="Q1025" i="8"/>
  <c r="R993" i="2"/>
  <c r="Y993" i="2" s="1"/>
  <c r="Q993" i="8"/>
  <c r="Q913" i="8"/>
  <c r="S913" i="2"/>
  <c r="Z913" i="2" s="1"/>
  <c r="R913" i="2"/>
  <c r="Y913" i="2" s="1"/>
  <c r="W970" i="2"/>
  <c r="W794" i="2"/>
  <c r="W506" i="2"/>
  <c r="W282" i="2"/>
  <c r="V730" i="2"/>
  <c r="V554" i="2"/>
  <c r="V442" i="2"/>
  <c r="V106" i="2"/>
  <c r="U842" i="2"/>
  <c r="U506" i="2"/>
  <c r="U346" i="2"/>
  <c r="U170" i="2"/>
  <c r="T970" i="2"/>
  <c r="AA970" i="2" s="1"/>
  <c r="T746" i="2"/>
  <c r="AA746" i="2" s="1"/>
  <c r="T586" i="2"/>
  <c r="AA586" i="2" s="1"/>
  <c r="T266" i="2"/>
  <c r="AA266" i="2" s="1"/>
  <c r="S554" i="2"/>
  <c r="Z554" i="2" s="1"/>
  <c r="S250" i="2"/>
  <c r="Z250" i="2" s="1"/>
  <c r="R970" i="2"/>
  <c r="Y970" i="2" s="1"/>
  <c r="R842" i="2"/>
  <c r="Y842" i="2" s="1"/>
  <c r="R810" i="2"/>
  <c r="Y810" i="2" s="1"/>
  <c r="R570" i="2"/>
  <c r="Y570" i="2" s="1"/>
  <c r="R538" i="2"/>
  <c r="Y538" i="2" s="1"/>
  <c r="V1120" i="2"/>
  <c r="Q1120" i="8"/>
  <c r="V1104" i="2"/>
  <c r="Q1104" i="8"/>
  <c r="W1072" i="2"/>
  <c r="Q1072" i="8"/>
  <c r="U1056" i="2"/>
  <c r="Q1056" i="8"/>
  <c r="U1024" i="2"/>
  <c r="Q1024" i="8"/>
  <c r="T1008" i="2"/>
  <c r="AA1008" i="2" s="1"/>
  <c r="Q1008" i="8"/>
  <c r="Q992" i="8"/>
  <c r="R992" i="2"/>
  <c r="Y992" i="2" s="1"/>
  <c r="S976" i="2"/>
  <c r="Z976" i="2" s="1"/>
  <c r="Q976" i="8"/>
  <c r="R960" i="2"/>
  <c r="Y960" i="2" s="1"/>
  <c r="Q960" i="8"/>
  <c r="U928" i="2"/>
  <c r="Q928" i="8"/>
  <c r="T912" i="2"/>
  <c r="AA912" i="2" s="1"/>
  <c r="Q912" i="8"/>
  <c r="S880" i="2"/>
  <c r="Z880" i="2" s="1"/>
  <c r="Q880" i="8"/>
  <c r="V864" i="2"/>
  <c r="Q864" i="8"/>
  <c r="U832" i="2"/>
  <c r="Q832" i="8"/>
  <c r="U816" i="2"/>
  <c r="Q816" i="8"/>
  <c r="Q800" i="8"/>
  <c r="R800" i="2"/>
  <c r="Y800" i="2" s="1"/>
  <c r="S784" i="2"/>
  <c r="Z784" i="2" s="1"/>
  <c r="Q784" i="8"/>
  <c r="S768" i="2"/>
  <c r="Z768" i="2" s="1"/>
  <c r="Q768" i="8"/>
  <c r="R752" i="2"/>
  <c r="Y752" i="2" s="1"/>
  <c r="Q752" i="8"/>
  <c r="S752" i="2"/>
  <c r="Z752" i="2" s="1"/>
  <c r="R736" i="2"/>
  <c r="Y736" i="2" s="1"/>
  <c r="Q736" i="8"/>
  <c r="R720" i="2"/>
  <c r="Y720" i="2" s="1"/>
  <c r="Q720" i="8"/>
  <c r="S688" i="2"/>
  <c r="Z688" i="2" s="1"/>
  <c r="Q688" i="8"/>
  <c r="T672" i="2"/>
  <c r="AA672" i="2" s="1"/>
  <c r="Q672" i="8"/>
  <c r="R640" i="2"/>
  <c r="Y640" i="2" s="1"/>
  <c r="Q640" i="8"/>
  <c r="R624" i="2"/>
  <c r="Y624" i="2" s="1"/>
  <c r="Q624" i="8"/>
  <c r="S592" i="2"/>
  <c r="Z592" i="2" s="1"/>
  <c r="Q592" i="8"/>
  <c r="U576" i="2"/>
  <c r="Q576" i="8"/>
  <c r="Q560" i="8"/>
  <c r="R560" i="2"/>
  <c r="Y560" i="2" s="1"/>
  <c r="T560" i="2"/>
  <c r="AA560" i="2" s="1"/>
  <c r="U544" i="2"/>
  <c r="Q544" i="8"/>
  <c r="S528" i="2"/>
  <c r="Z528" i="2" s="1"/>
  <c r="Q528" i="8"/>
  <c r="R512" i="2"/>
  <c r="Y512" i="2" s="1"/>
  <c r="Q512" i="8"/>
  <c r="S496" i="2"/>
  <c r="Z496" i="2" s="1"/>
  <c r="Q496" i="8"/>
  <c r="R480" i="2"/>
  <c r="Y480" i="2" s="1"/>
  <c r="Q480" i="8"/>
  <c r="R464" i="2"/>
  <c r="Y464" i="2" s="1"/>
  <c r="Q464" i="8"/>
  <c r="W448" i="2"/>
  <c r="Q448" i="8"/>
  <c r="T432" i="2"/>
  <c r="AA432" i="2" s="1"/>
  <c r="Q432" i="8"/>
  <c r="R400" i="2"/>
  <c r="Y400" i="2" s="1"/>
  <c r="Q400" i="8"/>
  <c r="R384" i="2"/>
  <c r="Y384" i="2" s="1"/>
  <c r="Q384" i="8"/>
  <c r="W352" i="2"/>
  <c r="Q352" i="8"/>
  <c r="U336" i="2"/>
  <c r="Q336" i="8"/>
  <c r="V304" i="2"/>
  <c r="Q304" i="8"/>
  <c r="S288" i="2"/>
  <c r="Z288" i="2" s="1"/>
  <c r="Q288" i="8"/>
  <c r="R272" i="2"/>
  <c r="Y272" i="2" s="1"/>
  <c r="Q272" i="8"/>
  <c r="U256" i="2"/>
  <c r="Q256" i="8"/>
  <c r="U240" i="2"/>
  <c r="Q240" i="8"/>
  <c r="Q224" i="8"/>
  <c r="T224" i="2"/>
  <c r="AA224" i="2" s="1"/>
  <c r="V208" i="2"/>
  <c r="Q208" i="8"/>
  <c r="T192" i="2"/>
  <c r="AA192" i="2" s="1"/>
  <c r="Q192" i="8"/>
  <c r="R160" i="2"/>
  <c r="Y160" i="2" s="1"/>
  <c r="Q160" i="8"/>
  <c r="V144" i="2"/>
  <c r="Q144" i="8"/>
  <c r="Q128" i="8"/>
  <c r="S128" i="2"/>
  <c r="Z128" i="2" s="1"/>
  <c r="V112" i="2"/>
  <c r="Q112" i="8"/>
  <c r="U96" i="2"/>
  <c r="Q96" i="8"/>
  <c r="Q80" i="8"/>
  <c r="R80" i="2"/>
  <c r="Y80" i="2" s="1"/>
  <c r="U64" i="2"/>
  <c r="Q64" i="8"/>
  <c r="S64" i="2"/>
  <c r="Z64" i="2" s="1"/>
  <c r="S48" i="2"/>
  <c r="Z48" i="2" s="1"/>
  <c r="Q48" i="8"/>
  <c r="Q330" i="8"/>
  <c r="S330" i="2"/>
  <c r="Z330" i="2" s="1"/>
  <c r="Q234" i="8"/>
  <c r="R234" i="2"/>
  <c r="Y234" i="2" s="1"/>
  <c r="W730" i="2"/>
  <c r="W1082" i="2"/>
  <c r="W858" i="2"/>
  <c r="W682" i="2"/>
  <c r="W570" i="2"/>
  <c r="W170" i="2"/>
  <c r="V1018" i="2"/>
  <c r="V906" i="2"/>
  <c r="V618" i="2"/>
  <c r="V330" i="2"/>
  <c r="U1018" i="2"/>
  <c r="U906" i="2"/>
  <c r="U682" i="2"/>
  <c r="U234" i="2"/>
  <c r="T1082" i="2"/>
  <c r="AA1082" i="2" s="1"/>
  <c r="T858" i="2"/>
  <c r="AA858" i="2" s="1"/>
  <c r="T538" i="2"/>
  <c r="AA538" i="2" s="1"/>
  <c r="T378" i="2"/>
  <c r="AA378" i="2" s="1"/>
  <c r="T218" i="2"/>
  <c r="AA218" i="2" s="1"/>
  <c r="S858" i="2"/>
  <c r="Z858" i="2" s="1"/>
  <c r="S458" i="2"/>
  <c r="Z458" i="2" s="1"/>
  <c r="S138" i="2"/>
  <c r="Z138" i="2" s="1"/>
  <c r="S90" i="2"/>
  <c r="Z90" i="2" s="1"/>
  <c r="R1074" i="2"/>
  <c r="Y1074" i="2" s="1"/>
  <c r="R1002" i="2"/>
  <c r="Y1002" i="2" s="1"/>
  <c r="R898" i="2"/>
  <c r="Y898" i="2" s="1"/>
  <c r="R841" i="2"/>
  <c r="Y841" i="2" s="1"/>
  <c r="R809" i="2"/>
  <c r="Y809" i="2" s="1"/>
  <c r="R714" i="2"/>
  <c r="Y714" i="2" s="1"/>
  <c r="R656" i="2"/>
  <c r="Y656" i="2" s="1"/>
  <c r="W458" i="2"/>
  <c r="W346" i="2"/>
  <c r="W234" i="2"/>
  <c r="V394" i="2"/>
  <c r="V218" i="2"/>
  <c r="U794" i="2"/>
  <c r="U570" i="2"/>
  <c r="U458" i="2"/>
  <c r="U298" i="2"/>
  <c r="U122" i="2"/>
  <c r="T810" i="2"/>
  <c r="AA810" i="2" s="1"/>
  <c r="T698" i="2"/>
  <c r="AA698" i="2" s="1"/>
  <c r="T490" i="2"/>
  <c r="AA490" i="2" s="1"/>
  <c r="T170" i="2"/>
  <c r="AA170" i="2" s="1"/>
  <c r="S1050" i="2"/>
  <c r="Z1050" i="2" s="1"/>
  <c r="S930" i="2"/>
  <c r="Z930" i="2" s="1"/>
  <c r="S906" i="2"/>
  <c r="Z906" i="2" s="1"/>
  <c r="S857" i="2"/>
  <c r="Z857" i="2" s="1"/>
  <c r="S810" i="2"/>
  <c r="Z810" i="2" s="1"/>
  <c r="S786" i="2"/>
  <c r="Z786" i="2" s="1"/>
  <c r="S714" i="2"/>
  <c r="Z714" i="2" s="1"/>
  <c r="S480" i="2"/>
  <c r="Z480" i="2" s="1"/>
  <c r="R1106" i="2"/>
  <c r="Y1106" i="2" s="1"/>
  <c r="R1035" i="2"/>
  <c r="Y1035" i="2" s="1"/>
  <c r="R1001" i="2"/>
  <c r="Y1001" i="2" s="1"/>
  <c r="R896" i="2"/>
  <c r="Y896" i="2" s="1"/>
  <c r="R738" i="2"/>
  <c r="Y738" i="2" s="1"/>
  <c r="R713" i="2"/>
  <c r="Y713" i="2" s="1"/>
  <c r="R681" i="2"/>
  <c r="Y681" i="2" s="1"/>
  <c r="R416" i="2"/>
  <c r="Y416" i="2" s="1"/>
  <c r="R362" i="2"/>
  <c r="Y362" i="2" s="1"/>
  <c r="R330" i="2"/>
  <c r="Y330" i="2" s="1"/>
  <c r="R954" i="2"/>
  <c r="Y954" i="2" s="1"/>
  <c r="Q954" i="8"/>
  <c r="W1034" i="2"/>
  <c r="W922" i="2"/>
  <c r="W746" i="2"/>
  <c r="W634" i="2"/>
  <c r="V970" i="2"/>
  <c r="V858" i="2"/>
  <c r="V794" i="2"/>
  <c r="V682" i="2"/>
  <c r="V506" i="2"/>
  <c r="V282" i="2"/>
  <c r="U970" i="2"/>
  <c r="U634" i="2"/>
  <c r="T1034" i="2"/>
  <c r="AA1034" i="2" s="1"/>
  <c r="T922" i="2"/>
  <c r="AA922" i="2" s="1"/>
  <c r="T330" i="2"/>
  <c r="AA330" i="2" s="1"/>
  <c r="S410" i="2"/>
  <c r="Z410" i="2" s="1"/>
  <c r="S362" i="2"/>
  <c r="Z362" i="2" s="1"/>
  <c r="S202" i="2"/>
  <c r="Z202" i="2" s="1"/>
  <c r="R1034" i="2"/>
  <c r="Y1034" i="2" s="1"/>
  <c r="R474" i="2"/>
  <c r="Y474" i="2" s="1"/>
  <c r="R442" i="2"/>
  <c r="Y442" i="2" s="1"/>
  <c r="R154" i="2"/>
  <c r="Y154" i="2" s="1"/>
  <c r="Q1069" i="8"/>
  <c r="S1069" i="2"/>
  <c r="Z1069" i="2" s="1"/>
  <c r="Q1053" i="8"/>
  <c r="R1053" i="2"/>
  <c r="Y1053" i="2" s="1"/>
  <c r="Q1021" i="8"/>
  <c r="R1021" i="2"/>
  <c r="Y1021" i="2" s="1"/>
  <c r="R989" i="2"/>
  <c r="Y989" i="2" s="1"/>
  <c r="Q989" i="8"/>
  <c r="Q957" i="8"/>
  <c r="S957" i="2"/>
  <c r="Z957" i="2" s="1"/>
  <c r="Q941" i="8"/>
  <c r="R941" i="2"/>
  <c r="Y941" i="2" s="1"/>
  <c r="Q909" i="8"/>
  <c r="R909" i="2"/>
  <c r="Y909" i="2" s="1"/>
  <c r="Q829" i="8"/>
  <c r="T829" i="2"/>
  <c r="AA829" i="2" s="1"/>
  <c r="Q797" i="8"/>
  <c r="R797" i="2"/>
  <c r="Y797" i="2" s="1"/>
  <c r="S797" i="2"/>
  <c r="Z797" i="2" s="1"/>
  <c r="R749" i="2"/>
  <c r="Y749" i="2" s="1"/>
  <c r="Q749" i="8"/>
  <c r="R701" i="2"/>
  <c r="Y701" i="2" s="1"/>
  <c r="Q701" i="8"/>
  <c r="R685" i="2"/>
  <c r="Y685" i="2" s="1"/>
  <c r="Q685" i="8"/>
  <c r="Q621" i="8"/>
  <c r="R621" i="2"/>
  <c r="Y621" i="2" s="1"/>
  <c r="S621" i="2"/>
  <c r="Z621" i="2" s="1"/>
  <c r="Q605" i="8"/>
  <c r="T605" i="2"/>
  <c r="AA605" i="2" s="1"/>
  <c r="Q589" i="8"/>
  <c r="R589" i="2"/>
  <c r="Y589" i="2" s="1"/>
  <c r="Q557" i="8"/>
  <c r="R557" i="2"/>
  <c r="Y557" i="2" s="1"/>
  <c r="Q541" i="8"/>
  <c r="R541" i="2"/>
  <c r="Y541" i="2" s="1"/>
  <c r="Q509" i="8"/>
  <c r="R509" i="2"/>
  <c r="Y509" i="2" s="1"/>
  <c r="Q461" i="8"/>
  <c r="S461" i="2"/>
  <c r="Z461" i="2" s="1"/>
  <c r="R445" i="2"/>
  <c r="Y445" i="2" s="1"/>
  <c r="Q445" i="8"/>
  <c r="Q429" i="8"/>
  <c r="R429" i="2"/>
  <c r="Y429" i="2" s="1"/>
  <c r="R397" i="2"/>
  <c r="Y397" i="2" s="1"/>
  <c r="Q397" i="8"/>
  <c r="S397" i="2"/>
  <c r="Z397" i="2" s="1"/>
  <c r="Q381" i="8"/>
  <c r="R381" i="2"/>
  <c r="Y381" i="2" s="1"/>
  <c r="Q186" i="8"/>
  <c r="R186" i="2"/>
  <c r="Y186" i="2" s="1"/>
  <c r="W810" i="2"/>
  <c r="W522" i="2"/>
  <c r="W298" i="2"/>
  <c r="V570" i="2"/>
  <c r="V170" i="2"/>
  <c r="U858" i="2"/>
  <c r="U522" i="2"/>
  <c r="U410" i="2"/>
  <c r="U186" i="2"/>
  <c r="T1098" i="2"/>
  <c r="AA1098" i="2" s="1"/>
  <c r="T442" i="2"/>
  <c r="AA442" i="2" s="1"/>
  <c r="T122" i="2"/>
  <c r="AA122" i="2" s="1"/>
  <c r="S1098" i="2"/>
  <c r="Z1098" i="2" s="1"/>
  <c r="S666" i="2"/>
  <c r="Z666" i="2" s="1"/>
  <c r="S570" i="2"/>
  <c r="Z570" i="2" s="1"/>
  <c r="S522" i="2"/>
  <c r="Z522" i="2" s="1"/>
  <c r="R1033" i="2"/>
  <c r="Y1033" i="2" s="1"/>
  <c r="R893" i="2"/>
  <c r="Y893" i="2" s="1"/>
  <c r="R1004" i="2"/>
  <c r="Y1004" i="2" s="1"/>
  <c r="Q1004" i="8"/>
  <c r="R988" i="2"/>
  <c r="Y988" i="2" s="1"/>
  <c r="Q988" i="8"/>
  <c r="V956" i="2"/>
  <c r="Q956" i="8"/>
  <c r="Q1082" i="8"/>
  <c r="R1082" i="2"/>
  <c r="Y1082" i="2" s="1"/>
  <c r="Q986" i="8"/>
  <c r="R986" i="2"/>
  <c r="Y986" i="2" s="1"/>
  <c r="Q762" i="8"/>
  <c r="T762" i="2"/>
  <c r="AA762" i="2" s="1"/>
  <c r="W1098" i="2"/>
  <c r="W874" i="2"/>
  <c r="W586" i="2"/>
  <c r="W410" i="2"/>
  <c r="W186" i="2"/>
  <c r="W122" i="2"/>
  <c r="V922" i="2"/>
  <c r="V634" i="2"/>
  <c r="V346" i="2"/>
  <c r="V234" i="2"/>
  <c r="U1082" i="2"/>
  <c r="U922" i="2"/>
  <c r="U746" i="2"/>
  <c r="U586" i="2"/>
  <c r="U250" i="2"/>
  <c r="T874" i="2"/>
  <c r="AA874" i="2" s="1"/>
  <c r="T650" i="2"/>
  <c r="AA650" i="2" s="1"/>
  <c r="T394" i="2"/>
  <c r="AA394" i="2" s="1"/>
  <c r="T282" i="2"/>
  <c r="AA282" i="2" s="1"/>
  <c r="S314" i="2"/>
  <c r="Z314" i="2" s="1"/>
  <c r="S154" i="2"/>
  <c r="Z154" i="2" s="1"/>
  <c r="R1101" i="2"/>
  <c r="Y1101" i="2" s="1"/>
  <c r="R1069" i="2"/>
  <c r="Y1069" i="2" s="1"/>
  <c r="R650" i="2"/>
  <c r="Y650" i="2" s="1"/>
  <c r="R1099" i="2"/>
  <c r="Y1099" i="2" s="1"/>
  <c r="Q1099" i="8"/>
  <c r="R1051" i="2"/>
  <c r="Y1051" i="2" s="1"/>
  <c r="Q1051" i="8"/>
  <c r="T1003" i="2"/>
  <c r="AA1003" i="2" s="1"/>
  <c r="Q1003" i="8"/>
  <c r="R987" i="2"/>
  <c r="Y987" i="2" s="1"/>
  <c r="Q987" i="8"/>
  <c r="R955" i="2"/>
  <c r="Y955" i="2" s="1"/>
  <c r="Q955" i="8"/>
  <c r="R939" i="2"/>
  <c r="Y939" i="2" s="1"/>
  <c r="Q939" i="8"/>
  <c r="R907" i="2"/>
  <c r="Y907" i="2" s="1"/>
  <c r="Q907" i="8"/>
  <c r="R859" i="2"/>
  <c r="Y859" i="2" s="1"/>
  <c r="Q859" i="8"/>
  <c r="Q843" i="8"/>
  <c r="S843" i="2"/>
  <c r="Z843" i="2" s="1"/>
  <c r="R1023" i="2"/>
  <c r="Y1023" i="2" s="1"/>
  <c r="Q1023" i="8"/>
  <c r="R751" i="2"/>
  <c r="Y751" i="2" s="1"/>
  <c r="Q751" i="8"/>
  <c r="R447" i="2"/>
  <c r="Y447" i="2" s="1"/>
  <c r="Q447" i="8"/>
  <c r="R223" i="2"/>
  <c r="Y223" i="2" s="1"/>
  <c r="Q223" i="8"/>
  <c r="R207" i="2"/>
  <c r="Y207" i="2" s="1"/>
  <c r="Q207" i="8"/>
  <c r="R1118" i="2"/>
  <c r="Y1118" i="2" s="1"/>
  <c r="Q1118" i="8"/>
  <c r="R1086" i="2"/>
  <c r="Y1086" i="2" s="1"/>
  <c r="Q1086" i="8"/>
  <c r="U1038" i="2"/>
  <c r="Q1038" i="8"/>
  <c r="R990" i="2"/>
  <c r="Y990" i="2" s="1"/>
  <c r="Q990" i="8"/>
  <c r="R942" i="2"/>
  <c r="Y942" i="2" s="1"/>
  <c r="Q942" i="8"/>
  <c r="S894" i="2"/>
  <c r="Z894" i="2" s="1"/>
  <c r="Q894" i="8"/>
  <c r="T846" i="2"/>
  <c r="AA846" i="2" s="1"/>
  <c r="Q846" i="8"/>
  <c r="T798" i="2"/>
  <c r="AA798" i="2" s="1"/>
  <c r="Q798" i="8"/>
  <c r="U750" i="2"/>
  <c r="Q750" i="8"/>
  <c r="R702" i="2"/>
  <c r="Y702" i="2" s="1"/>
  <c r="Q702" i="8"/>
  <c r="R654" i="2"/>
  <c r="Y654" i="2" s="1"/>
  <c r="Q654" i="8"/>
  <c r="T558" i="2"/>
  <c r="AA558" i="2" s="1"/>
  <c r="Q558" i="8"/>
  <c r="T510" i="2"/>
  <c r="AA510" i="2" s="1"/>
  <c r="Q510" i="8"/>
  <c r="U462" i="2"/>
  <c r="Q462" i="8"/>
  <c r="R414" i="2"/>
  <c r="Y414" i="2" s="1"/>
  <c r="Q414" i="8"/>
  <c r="R366" i="2"/>
  <c r="Y366" i="2" s="1"/>
  <c r="Q366" i="8"/>
  <c r="S318" i="2"/>
  <c r="Z318" i="2" s="1"/>
  <c r="Q318" i="8"/>
  <c r="T270" i="2"/>
  <c r="AA270" i="2" s="1"/>
  <c r="Q270" i="8"/>
  <c r="T222" i="2"/>
  <c r="AA222" i="2" s="1"/>
  <c r="Q222" i="8"/>
  <c r="U174" i="2"/>
  <c r="Q174" i="8"/>
  <c r="R126" i="2"/>
  <c r="Y126" i="2" s="1"/>
  <c r="Q126" i="8"/>
  <c r="R78" i="2"/>
  <c r="Y78" i="2" s="1"/>
  <c r="Q78" i="8"/>
  <c r="BF1002" i="8"/>
  <c r="BG1002" i="8" s="1"/>
  <c r="BF906" i="8"/>
  <c r="BG906" i="8" s="1"/>
  <c r="BF714" i="8"/>
  <c r="BG714" i="8" s="1"/>
  <c r="BF618" i="8"/>
  <c r="BG618" i="8" s="1"/>
  <c r="BF570" i="8"/>
  <c r="BG570" i="8" s="1"/>
  <c r="BF426" i="8"/>
  <c r="BG426" i="8" s="1"/>
  <c r="BF378" i="8"/>
  <c r="BG378" i="8" s="1"/>
  <c r="BF330" i="8"/>
  <c r="BG330" i="8" s="1"/>
  <c r="BF282" i="8"/>
  <c r="BG282" i="8" s="1"/>
  <c r="BF90" i="8"/>
  <c r="BG90" i="8" s="1"/>
  <c r="BF74" i="8"/>
  <c r="BG74" i="8" s="1"/>
  <c r="BF1108" i="8"/>
  <c r="BG1108" i="8" s="1"/>
  <c r="BF1060" i="8"/>
  <c r="BG1060" i="8" s="1"/>
  <c r="BF1012" i="8"/>
  <c r="BG1012" i="8" s="1"/>
  <c r="BF916" i="8"/>
  <c r="BG916" i="8" s="1"/>
  <c r="BF868" i="8"/>
  <c r="BG868" i="8" s="1"/>
  <c r="BF820" i="8"/>
  <c r="BG820" i="8" s="1"/>
  <c r="BF772" i="8"/>
  <c r="BG772" i="8" s="1"/>
  <c r="BF724" i="8"/>
  <c r="BG724" i="8" s="1"/>
  <c r="BF580" i="8"/>
  <c r="BG580" i="8" s="1"/>
  <c r="BF532" i="8"/>
  <c r="BG532" i="8" s="1"/>
  <c r="BF484" i="8"/>
  <c r="BG484" i="8" s="1"/>
  <c r="BF436" i="8"/>
  <c r="BG436" i="8" s="1"/>
  <c r="BF340" i="8"/>
  <c r="BG340" i="8" s="1"/>
  <c r="BF292" i="8"/>
  <c r="BG292" i="8" s="1"/>
  <c r="BF244" i="8"/>
  <c r="BG244" i="8" s="1"/>
  <c r="BF196" i="8"/>
  <c r="BG196" i="8" s="1"/>
  <c r="BF148" i="8"/>
  <c r="BG148" i="8" s="1"/>
  <c r="BF100" i="8"/>
  <c r="BG100" i="8" s="1"/>
  <c r="R205" i="2"/>
  <c r="Y205" i="2" s="1"/>
  <c r="Q205" i="8"/>
  <c r="R157" i="2"/>
  <c r="Y157" i="2" s="1"/>
  <c r="Q157" i="8"/>
  <c r="BF1097" i="8"/>
  <c r="BG1097" i="8" s="1"/>
  <c r="BF1001" i="8"/>
  <c r="BG1001" i="8" s="1"/>
  <c r="BF953" i="8"/>
  <c r="BG953" i="8" s="1"/>
  <c r="BF905" i="8"/>
  <c r="BG905" i="8" s="1"/>
  <c r="BF761" i="8"/>
  <c r="BG761" i="8" s="1"/>
  <c r="BF713" i="8"/>
  <c r="BG713" i="8" s="1"/>
  <c r="BF665" i="8"/>
  <c r="BG665" i="8" s="1"/>
  <c r="BF617" i="8"/>
  <c r="BG617" i="8" s="1"/>
  <c r="BF521" i="8"/>
  <c r="BG521" i="8" s="1"/>
  <c r="BF425" i="8"/>
  <c r="BG425" i="8" s="1"/>
  <c r="BF329" i="8"/>
  <c r="BG329" i="8" s="1"/>
  <c r="BF185" i="8"/>
  <c r="BG185" i="8" s="1"/>
  <c r="BF169" i="8"/>
  <c r="BG169" i="8" s="1"/>
  <c r="BF89" i="8"/>
  <c r="BG89" i="8" s="1"/>
  <c r="BF41" i="8"/>
  <c r="BG41" i="8" s="1"/>
  <c r="BF1091" i="8"/>
  <c r="BG1091" i="8" s="1"/>
  <c r="BF1043" i="8"/>
  <c r="BG1043" i="8" s="1"/>
  <c r="BF851" i="8"/>
  <c r="BG851" i="8" s="1"/>
  <c r="BF803" i="8"/>
  <c r="BG803" i="8" s="1"/>
  <c r="BF755" i="8"/>
  <c r="BG755" i="8" s="1"/>
  <c r="BF707" i="8"/>
  <c r="BG707" i="8" s="1"/>
  <c r="BF611" i="8"/>
  <c r="BG611" i="8" s="1"/>
  <c r="BF563" i="8"/>
  <c r="BG563" i="8" s="1"/>
  <c r="BF515" i="8"/>
  <c r="BG515" i="8" s="1"/>
  <c r="BF467" i="8"/>
  <c r="BG467" i="8" s="1"/>
  <c r="BF419" i="8"/>
  <c r="BG419" i="8" s="1"/>
  <c r="BF275" i="8"/>
  <c r="BG275" i="8" s="1"/>
  <c r="BF227" i="8"/>
  <c r="BG227" i="8" s="1"/>
  <c r="BF179" i="8"/>
  <c r="BG179" i="8" s="1"/>
  <c r="BF147" i="8"/>
  <c r="BG147" i="8" s="1"/>
  <c r="BF131" i="8"/>
  <c r="BG131" i="8" s="1"/>
  <c r="BF35" i="8"/>
  <c r="BG35" i="8" s="1"/>
  <c r="BF957" i="8"/>
  <c r="BG957" i="8" s="1"/>
  <c r="BF909" i="8"/>
  <c r="BG909" i="8" s="1"/>
  <c r="BF861" i="8"/>
  <c r="BG861" i="8" s="1"/>
  <c r="BF813" i="8"/>
  <c r="BG813" i="8" s="1"/>
  <c r="BF669" i="8"/>
  <c r="BG669" i="8" s="1"/>
  <c r="BF621" i="8"/>
  <c r="BG621" i="8" s="1"/>
  <c r="BF573" i="8"/>
  <c r="BG573" i="8" s="1"/>
  <c r="BF381" i="8"/>
  <c r="BG381" i="8" s="1"/>
  <c r="BF333" i="8"/>
  <c r="BG333" i="8" s="1"/>
  <c r="BF285" i="8"/>
  <c r="BG285" i="8" s="1"/>
  <c r="BF189" i="8"/>
  <c r="BG189" i="8" s="1"/>
  <c r="BF1111" i="8"/>
  <c r="BG1111" i="8" s="1"/>
  <c r="BF1063" i="8"/>
  <c r="BG1063" i="8" s="1"/>
  <c r="BF967" i="8"/>
  <c r="BG967" i="8" s="1"/>
  <c r="BF919" i="8"/>
  <c r="BG919" i="8" s="1"/>
  <c r="BF871" i="8"/>
  <c r="BG871" i="8" s="1"/>
  <c r="BF775" i="8"/>
  <c r="BG775" i="8" s="1"/>
  <c r="BF727" i="8"/>
  <c r="BG727" i="8" s="1"/>
  <c r="BF631" i="8"/>
  <c r="BG631" i="8" s="1"/>
  <c r="BF583" i="8"/>
  <c r="BG583" i="8" s="1"/>
  <c r="BF439" i="8"/>
  <c r="BG439" i="8" s="1"/>
  <c r="BF343" i="8"/>
  <c r="BG343" i="8" s="1"/>
  <c r="BF295" i="8"/>
  <c r="BG295" i="8" s="1"/>
  <c r="BF247" i="8"/>
  <c r="BG247" i="8" s="1"/>
  <c r="R860" i="2"/>
  <c r="Y860" i="2" s="1"/>
  <c r="Q860" i="8"/>
  <c r="T764" i="2"/>
  <c r="AA764" i="2" s="1"/>
  <c r="Q764" i="8"/>
  <c r="R412" i="2"/>
  <c r="Y412" i="2" s="1"/>
  <c r="Q412" i="8"/>
  <c r="T44" i="2"/>
  <c r="AA44" i="2" s="1"/>
  <c r="Q44" i="8"/>
  <c r="T811" i="2"/>
  <c r="AA811" i="2" s="1"/>
  <c r="Q811" i="8"/>
  <c r="R763" i="2"/>
  <c r="Y763" i="2" s="1"/>
  <c r="Q763" i="8"/>
  <c r="R715" i="2"/>
  <c r="Y715" i="2" s="1"/>
  <c r="Q715" i="8"/>
  <c r="R667" i="2"/>
  <c r="Y667" i="2" s="1"/>
  <c r="Q667" i="8"/>
  <c r="R651" i="2"/>
  <c r="Y651" i="2" s="1"/>
  <c r="Q651" i="8"/>
  <c r="U619" i="2"/>
  <c r="Q619" i="8"/>
  <c r="R571" i="2"/>
  <c r="Y571" i="2" s="1"/>
  <c r="Q571" i="8"/>
  <c r="R523" i="2"/>
  <c r="Y523" i="2" s="1"/>
  <c r="Q523" i="8"/>
  <c r="R475" i="2"/>
  <c r="Y475" i="2" s="1"/>
  <c r="Q475" i="8"/>
  <c r="W427" i="2"/>
  <c r="Q427" i="8"/>
  <c r="R379" i="2"/>
  <c r="Y379" i="2" s="1"/>
  <c r="Q379" i="8"/>
  <c r="R331" i="2"/>
  <c r="Y331" i="2" s="1"/>
  <c r="Q331" i="8"/>
  <c r="R283" i="2"/>
  <c r="Y283" i="2" s="1"/>
  <c r="Q283" i="8"/>
  <c r="W235" i="2"/>
  <c r="Q235" i="8"/>
  <c r="R187" i="2"/>
  <c r="Y187" i="2" s="1"/>
  <c r="Q187" i="8"/>
  <c r="R139" i="2"/>
  <c r="Y139" i="2" s="1"/>
  <c r="Q139" i="8"/>
  <c r="R91" i="2"/>
  <c r="Y91" i="2" s="1"/>
  <c r="Q91" i="8"/>
  <c r="R43" i="2"/>
  <c r="Y43" i="2" s="1"/>
  <c r="Q43" i="8"/>
  <c r="BF561" i="8"/>
  <c r="BG561" i="8" s="1"/>
  <c r="BF907" i="8"/>
  <c r="BG907" i="8" s="1"/>
  <c r="BF912" i="8"/>
  <c r="BG912" i="8" s="1"/>
  <c r="BF768" i="8"/>
  <c r="BG768" i="8" s="1"/>
  <c r="BF720" i="8"/>
  <c r="BG720" i="8" s="1"/>
  <c r="BF480" i="8"/>
  <c r="BG480" i="8" s="1"/>
  <c r="BF336" i="8"/>
  <c r="BG336" i="8" s="1"/>
  <c r="BF240" i="8"/>
  <c r="BG240" i="8" s="1"/>
  <c r="BF1066" i="8"/>
  <c r="BG1066" i="8" s="1"/>
  <c r="BF970" i="8"/>
  <c r="BG970" i="8" s="1"/>
  <c r="BF730" i="8"/>
  <c r="BG730" i="8" s="1"/>
  <c r="BF1076" i="8"/>
  <c r="BG1076" i="8" s="1"/>
  <c r="BF1028" i="8"/>
  <c r="BG1028" i="8" s="1"/>
  <c r="BF980" i="8"/>
  <c r="BG980" i="8" s="1"/>
  <c r="BF884" i="8"/>
  <c r="BG884" i="8" s="1"/>
  <c r="BF836" i="8"/>
  <c r="BG836" i="8" s="1"/>
  <c r="BF788" i="8"/>
  <c r="BG788" i="8" s="1"/>
  <c r="BF740" i="8"/>
  <c r="BG740" i="8" s="1"/>
  <c r="BF692" i="8"/>
  <c r="BG692" i="8" s="1"/>
  <c r="BF548" i="8"/>
  <c r="BG548" i="8" s="1"/>
  <c r="BF500" i="8"/>
  <c r="BG500" i="8" s="1"/>
  <c r="BF452" i="8"/>
  <c r="BG452" i="8" s="1"/>
  <c r="BF308" i="8"/>
  <c r="BG308" i="8" s="1"/>
  <c r="BF260" i="8"/>
  <c r="BG260" i="8" s="1"/>
  <c r="BF990" i="8"/>
  <c r="BG990" i="8" s="1"/>
  <c r="BF894" i="8"/>
  <c r="BG894" i="8" s="1"/>
  <c r="BF846" i="8"/>
  <c r="BG846" i="8" s="1"/>
  <c r="BF702" i="8"/>
  <c r="BG702" i="8" s="1"/>
  <c r="BF654" i="8"/>
  <c r="BG654" i="8" s="1"/>
  <c r="BF606" i="8"/>
  <c r="BG606" i="8" s="1"/>
  <c r="BF510" i="8"/>
  <c r="BG510" i="8" s="1"/>
  <c r="BF366" i="8"/>
  <c r="BG366" i="8" s="1"/>
  <c r="BF270" i="8"/>
  <c r="BG270" i="8" s="1"/>
  <c r="BF222" i="8"/>
  <c r="BG222" i="8" s="1"/>
  <c r="BF30" i="8"/>
  <c r="BG30" i="8" s="1"/>
  <c r="BF1048" i="8"/>
  <c r="BG1048" i="8" s="1"/>
  <c r="BF952" i="8"/>
  <c r="BG952" i="8" s="1"/>
  <c r="R269" i="2"/>
  <c r="Y269" i="2" s="1"/>
  <c r="T1128" i="2"/>
  <c r="AA1128" i="2" s="1"/>
  <c r="Q1128" i="8"/>
  <c r="V1096" i="2"/>
  <c r="Q1096" i="8"/>
  <c r="R1080" i="2"/>
  <c r="Y1080" i="2" s="1"/>
  <c r="Q1080" i="8"/>
  <c r="R1064" i="2"/>
  <c r="Y1064" i="2" s="1"/>
  <c r="Q1064" i="8"/>
  <c r="R1048" i="2"/>
  <c r="Y1048" i="2" s="1"/>
  <c r="Q1048" i="8"/>
  <c r="T1032" i="2"/>
  <c r="AA1032" i="2" s="1"/>
  <c r="Q1032" i="8"/>
  <c r="V1000" i="2"/>
  <c r="Q1000" i="8"/>
  <c r="V984" i="2"/>
  <c r="Q984" i="8"/>
  <c r="U952" i="2"/>
  <c r="Q952" i="8"/>
  <c r="U936" i="2"/>
  <c r="Q936" i="8"/>
  <c r="R920" i="2"/>
  <c r="Y920" i="2" s="1"/>
  <c r="Q920" i="8"/>
  <c r="T904" i="2"/>
  <c r="AA904" i="2" s="1"/>
  <c r="Q904" i="8"/>
  <c r="T888" i="2"/>
  <c r="AA888" i="2" s="1"/>
  <c r="Q888" i="8"/>
  <c r="R872" i="2"/>
  <c r="Y872" i="2" s="1"/>
  <c r="Q872" i="8"/>
  <c r="U856" i="2"/>
  <c r="Q856" i="8"/>
  <c r="R840" i="2"/>
  <c r="Y840" i="2" s="1"/>
  <c r="Q840" i="8"/>
  <c r="R808" i="2"/>
  <c r="Y808" i="2" s="1"/>
  <c r="Q808" i="8"/>
  <c r="T792" i="2"/>
  <c r="AA792" i="2" s="1"/>
  <c r="Q792" i="8"/>
  <c r="U760" i="2"/>
  <c r="Q760" i="8"/>
  <c r="V744" i="2"/>
  <c r="Q744" i="8"/>
  <c r="V712" i="2"/>
  <c r="Q712" i="8"/>
  <c r="U696" i="2"/>
  <c r="Q696" i="8"/>
  <c r="U664" i="2"/>
  <c r="Q664" i="8"/>
  <c r="S648" i="2"/>
  <c r="Z648" i="2" s="1"/>
  <c r="Q648" i="8"/>
  <c r="V616" i="2"/>
  <c r="Q616" i="8"/>
  <c r="R600" i="2"/>
  <c r="Y600" i="2" s="1"/>
  <c r="Q600" i="8"/>
  <c r="R584" i="2"/>
  <c r="Y584" i="2" s="1"/>
  <c r="Q584" i="8"/>
  <c r="R568" i="2"/>
  <c r="Y568" i="2" s="1"/>
  <c r="Q568" i="8"/>
  <c r="T552" i="2"/>
  <c r="AA552" i="2" s="1"/>
  <c r="Q552" i="8"/>
  <c r="T520" i="2"/>
  <c r="AA520" i="2" s="1"/>
  <c r="Q520" i="8"/>
  <c r="R504" i="2"/>
  <c r="Y504" i="2" s="1"/>
  <c r="Q504" i="8"/>
  <c r="W472" i="2"/>
  <c r="Q472" i="8"/>
  <c r="U456" i="2"/>
  <c r="Q456" i="8"/>
  <c r="T424" i="2"/>
  <c r="AA424" i="2" s="1"/>
  <c r="Q424" i="8"/>
  <c r="S408" i="2"/>
  <c r="Z408" i="2" s="1"/>
  <c r="Q408" i="8"/>
  <c r="W376" i="2"/>
  <c r="Q376" i="8"/>
  <c r="U360" i="2"/>
  <c r="Q360" i="8"/>
  <c r="R344" i="2"/>
  <c r="Y344" i="2" s="1"/>
  <c r="Q344" i="8"/>
  <c r="R328" i="2"/>
  <c r="Y328" i="2" s="1"/>
  <c r="Q328" i="8"/>
  <c r="T312" i="2"/>
  <c r="AA312" i="2" s="1"/>
  <c r="Q312" i="8"/>
  <c r="W280" i="2"/>
  <c r="Q280" i="8"/>
  <c r="V264" i="2"/>
  <c r="Q264" i="8"/>
  <c r="T232" i="2"/>
  <c r="AA232" i="2" s="1"/>
  <c r="Q232" i="8"/>
  <c r="U216" i="2"/>
  <c r="Q216" i="8"/>
  <c r="S184" i="2"/>
  <c r="Z184" i="2" s="1"/>
  <c r="Q184" i="8"/>
  <c r="S168" i="2"/>
  <c r="Z168" i="2" s="1"/>
  <c r="Q168" i="8"/>
  <c r="T136" i="2"/>
  <c r="AA136" i="2" s="1"/>
  <c r="Q136" i="8"/>
  <c r="U120" i="2"/>
  <c r="Q120" i="8"/>
  <c r="R88" i="2"/>
  <c r="Y88" i="2" s="1"/>
  <c r="Q88" i="8"/>
  <c r="W72" i="2"/>
  <c r="Q72" i="8"/>
  <c r="U40" i="2"/>
  <c r="Q40" i="8"/>
  <c r="BF1092" i="8"/>
  <c r="BG1092" i="8" s="1"/>
  <c r="BF1044" i="8"/>
  <c r="BG1044" i="8" s="1"/>
  <c r="BF996" i="8"/>
  <c r="BG996" i="8" s="1"/>
  <c r="BF948" i="8"/>
  <c r="BG948" i="8" s="1"/>
  <c r="BF852" i="8"/>
  <c r="BG852" i="8" s="1"/>
  <c r="BF804" i="8"/>
  <c r="BG804" i="8" s="1"/>
  <c r="BF756" i="8"/>
  <c r="BG756" i="8" s="1"/>
  <c r="BF708" i="8"/>
  <c r="BG708" i="8" s="1"/>
  <c r="BF660" i="8"/>
  <c r="BG660" i="8" s="1"/>
  <c r="BF564" i="8"/>
  <c r="BG564" i="8" s="1"/>
  <c r="BF516" i="8"/>
  <c r="BG516" i="8" s="1"/>
  <c r="BF468" i="8"/>
  <c r="BG468" i="8" s="1"/>
  <c r="BF372" i="8"/>
  <c r="BG372" i="8" s="1"/>
  <c r="BF276" i="8"/>
  <c r="BG276" i="8" s="1"/>
  <c r="BF228" i="8"/>
  <c r="BG228" i="8" s="1"/>
  <c r="BF180" i="8"/>
  <c r="BG180" i="8" s="1"/>
  <c r="BF36" i="8"/>
  <c r="BG36" i="8" s="1"/>
  <c r="BF1102" i="8"/>
  <c r="BG1102" i="8" s="1"/>
  <c r="BF1054" i="8"/>
  <c r="BG1054" i="8" s="1"/>
  <c r="BF958" i="8"/>
  <c r="BG958" i="8" s="1"/>
  <c r="BF910" i="8"/>
  <c r="BG910" i="8" s="1"/>
  <c r="BF862" i="8"/>
  <c r="BG862" i="8" s="1"/>
  <c r="BF814" i="8"/>
  <c r="BG814" i="8" s="1"/>
  <c r="BF766" i="8"/>
  <c r="BG766" i="8" s="1"/>
  <c r="BF622" i="8"/>
  <c r="BG622" i="8" s="1"/>
  <c r="BF574" i="8"/>
  <c r="BG574" i="8" s="1"/>
  <c r="BF478" i="8"/>
  <c r="BG478" i="8" s="1"/>
  <c r="BF382" i="8"/>
  <c r="BG382" i="8" s="1"/>
  <c r="BF286" i="8"/>
  <c r="BG286" i="8" s="1"/>
  <c r="BF190" i="8"/>
  <c r="BG190" i="8" s="1"/>
  <c r="BF142" i="8"/>
  <c r="BG142" i="8" s="1"/>
  <c r="BF94" i="8"/>
  <c r="BG94" i="8" s="1"/>
  <c r="BF46" i="8"/>
  <c r="BG46" i="8" s="1"/>
  <c r="BF1112" i="8"/>
  <c r="BG1112" i="8" s="1"/>
  <c r="BF1064" i="8"/>
  <c r="BG1064" i="8" s="1"/>
  <c r="BF1016" i="8"/>
  <c r="BG1016" i="8" s="1"/>
  <c r="BF920" i="8"/>
  <c r="BG920" i="8" s="1"/>
  <c r="BF872" i="8"/>
  <c r="BG872" i="8" s="1"/>
  <c r="BF680" i="8"/>
  <c r="BG680" i="8" s="1"/>
  <c r="BF632" i="8"/>
  <c r="BG632" i="8" s="1"/>
  <c r="BF584" i="8"/>
  <c r="BG584" i="8" s="1"/>
  <c r="BF536" i="8"/>
  <c r="BG536" i="8" s="1"/>
  <c r="BF440" i="8"/>
  <c r="BG440" i="8" s="1"/>
  <c r="BF344" i="8"/>
  <c r="BG344" i="8" s="1"/>
  <c r="BF296" i="8"/>
  <c r="BG296" i="8" s="1"/>
  <c r="BF200" i="8"/>
  <c r="BG200" i="8" s="1"/>
  <c r="R615" i="2"/>
  <c r="Y615" i="2" s="1"/>
  <c r="Q615" i="8"/>
  <c r="R583" i="2"/>
  <c r="Y583" i="2" s="1"/>
  <c r="Q583" i="8"/>
  <c r="R567" i="2"/>
  <c r="Y567" i="2" s="1"/>
  <c r="Q567" i="8"/>
  <c r="R343" i="2"/>
  <c r="Y343" i="2" s="1"/>
  <c r="Q343" i="8"/>
  <c r="R295" i="2"/>
  <c r="Y295" i="2" s="1"/>
  <c r="Q295" i="8"/>
  <c r="R279" i="2"/>
  <c r="Y279" i="2" s="1"/>
  <c r="Q279" i="8"/>
  <c r="R183" i="2"/>
  <c r="Y183" i="2" s="1"/>
  <c r="Q183" i="8"/>
  <c r="R151" i="2"/>
  <c r="Y151" i="2" s="1"/>
  <c r="Q151" i="8"/>
  <c r="R135" i="2"/>
  <c r="Y135" i="2" s="1"/>
  <c r="Q135" i="8"/>
  <c r="R103" i="2"/>
  <c r="Y103" i="2" s="1"/>
  <c r="Q103" i="8"/>
  <c r="R87" i="2"/>
  <c r="Y87" i="2" s="1"/>
  <c r="Q87" i="8"/>
  <c r="R55" i="2"/>
  <c r="Y55" i="2" s="1"/>
  <c r="Q55" i="8"/>
  <c r="T269" i="2"/>
  <c r="AA269" i="2" s="1"/>
  <c r="S1023" i="2"/>
  <c r="Z1023" i="2" s="1"/>
  <c r="S333" i="2"/>
  <c r="Z333" i="2" s="1"/>
  <c r="R831" i="2"/>
  <c r="Y831" i="2" s="1"/>
  <c r="R322" i="2"/>
  <c r="Y322" i="2" s="1"/>
  <c r="R301" i="2"/>
  <c r="Y301" i="2" s="1"/>
  <c r="R189" i="2"/>
  <c r="Y189" i="2" s="1"/>
  <c r="T1110" i="2"/>
  <c r="AA1110" i="2" s="1"/>
  <c r="Q1110" i="8"/>
  <c r="R1094" i="2"/>
  <c r="Y1094" i="2" s="1"/>
  <c r="Q1094" i="8"/>
  <c r="U1062" i="2"/>
  <c r="Q1062" i="8"/>
  <c r="R1046" i="2"/>
  <c r="Y1046" i="2" s="1"/>
  <c r="Q1046" i="8"/>
  <c r="U1014" i="2"/>
  <c r="Q1014" i="8"/>
  <c r="R966" i="2"/>
  <c r="Y966" i="2" s="1"/>
  <c r="Q966" i="8"/>
  <c r="S918" i="2"/>
  <c r="Z918" i="2" s="1"/>
  <c r="Q918" i="8"/>
  <c r="S870" i="2"/>
  <c r="Z870" i="2" s="1"/>
  <c r="Q870" i="8"/>
  <c r="T822" i="2"/>
  <c r="AA822" i="2" s="1"/>
  <c r="Q822" i="8"/>
  <c r="U774" i="2"/>
  <c r="Q774" i="8"/>
  <c r="U726" i="2"/>
  <c r="Q726" i="8"/>
  <c r="R678" i="2"/>
  <c r="Y678" i="2" s="1"/>
  <c r="Q678" i="8"/>
  <c r="T534" i="2"/>
  <c r="AA534" i="2" s="1"/>
  <c r="Q534" i="8"/>
  <c r="U486" i="2"/>
  <c r="Q486" i="8"/>
  <c r="U438" i="2"/>
  <c r="Q438" i="8"/>
  <c r="R390" i="2"/>
  <c r="Y390" i="2" s="1"/>
  <c r="Q390" i="8"/>
  <c r="S342" i="2"/>
  <c r="Z342" i="2" s="1"/>
  <c r="Q342" i="8"/>
  <c r="S294" i="2"/>
  <c r="Z294" i="2" s="1"/>
  <c r="Q294" i="8"/>
  <c r="R278" i="2"/>
  <c r="Y278" i="2" s="1"/>
  <c r="Q278" i="8"/>
  <c r="T246" i="2"/>
  <c r="AA246" i="2" s="1"/>
  <c r="Q246" i="8"/>
  <c r="U198" i="2"/>
  <c r="Q198" i="8"/>
  <c r="U150" i="2"/>
  <c r="Q150" i="8"/>
  <c r="R134" i="2"/>
  <c r="Y134" i="2" s="1"/>
  <c r="Q134" i="8"/>
  <c r="R102" i="2"/>
  <c r="Y102" i="2" s="1"/>
  <c r="Q102" i="8"/>
  <c r="S54" i="2"/>
  <c r="Z54" i="2" s="1"/>
  <c r="Q54" i="8"/>
  <c r="R38" i="2"/>
  <c r="Y38" i="2" s="1"/>
  <c r="Q38" i="8"/>
  <c r="BF1036" i="8"/>
  <c r="BG1036" i="8" s="1"/>
  <c r="BF988" i="8"/>
  <c r="BG988" i="8" s="1"/>
  <c r="BF940" i="8"/>
  <c r="BG940" i="8" s="1"/>
  <c r="BF892" i="8"/>
  <c r="BG892" i="8" s="1"/>
  <c r="BF844" i="8"/>
  <c r="BG844" i="8" s="1"/>
  <c r="BF748" i="8"/>
  <c r="BG748" i="8" s="1"/>
  <c r="BF700" i="8"/>
  <c r="BG700" i="8" s="1"/>
  <c r="BF652" i="8"/>
  <c r="BG652" i="8" s="1"/>
  <c r="BF604" i="8"/>
  <c r="BG604" i="8" s="1"/>
  <c r="BF556" i="8"/>
  <c r="BG556" i="8" s="1"/>
  <c r="BF460" i="8"/>
  <c r="BG460" i="8" s="1"/>
  <c r="BF412" i="8"/>
  <c r="BG412" i="8" s="1"/>
  <c r="BF364" i="8"/>
  <c r="BG364" i="8" s="1"/>
  <c r="BF316" i="8"/>
  <c r="BG316" i="8" s="1"/>
  <c r="BF268" i="8"/>
  <c r="BG268" i="8" s="1"/>
  <c r="BF220" i="8"/>
  <c r="BG220" i="8" s="1"/>
  <c r="BF172" i="8"/>
  <c r="BG172" i="8" s="1"/>
  <c r="BF76" i="8"/>
  <c r="BG76" i="8" s="1"/>
  <c r="BF28" i="8"/>
  <c r="BG28" i="8" s="1"/>
  <c r="S775" i="2"/>
  <c r="Z775" i="2" s="1"/>
  <c r="S173" i="2"/>
  <c r="Z173" i="2" s="1"/>
  <c r="R1107" i="2"/>
  <c r="Y1107" i="2" s="1"/>
  <c r="R775" i="2"/>
  <c r="Y775" i="2" s="1"/>
  <c r="R349" i="2"/>
  <c r="Y349" i="2" s="1"/>
  <c r="R109" i="2"/>
  <c r="Y109" i="2" s="1"/>
  <c r="R1061" i="2"/>
  <c r="Y1061" i="2" s="1"/>
  <c r="Q1061" i="8"/>
  <c r="R1045" i="2"/>
  <c r="Y1045" i="2" s="1"/>
  <c r="Q1045" i="8"/>
  <c r="R949" i="2"/>
  <c r="Y949" i="2" s="1"/>
  <c r="Q949" i="8"/>
  <c r="R853" i="2"/>
  <c r="Y853" i="2" s="1"/>
  <c r="Q853" i="8"/>
  <c r="R821" i="2"/>
  <c r="Y821" i="2" s="1"/>
  <c r="Q821" i="8"/>
  <c r="R805" i="2"/>
  <c r="Y805" i="2" s="1"/>
  <c r="Q805" i="8"/>
  <c r="R757" i="2"/>
  <c r="Y757" i="2" s="1"/>
  <c r="Q757" i="8"/>
  <c r="R661" i="2"/>
  <c r="Y661" i="2" s="1"/>
  <c r="Q661" i="8"/>
  <c r="R581" i="2"/>
  <c r="Y581" i="2" s="1"/>
  <c r="Q581" i="8"/>
  <c r="R565" i="2"/>
  <c r="Y565" i="2" s="1"/>
  <c r="Q565" i="8"/>
  <c r="R533" i="2"/>
  <c r="Y533" i="2" s="1"/>
  <c r="Q533" i="8"/>
  <c r="R517" i="2"/>
  <c r="Y517" i="2" s="1"/>
  <c r="Q517" i="8"/>
  <c r="R469" i="2"/>
  <c r="Y469" i="2" s="1"/>
  <c r="Q469" i="8"/>
  <c r="R373" i="2"/>
  <c r="Y373" i="2" s="1"/>
  <c r="Q373" i="8"/>
  <c r="R341" i="2"/>
  <c r="Y341" i="2" s="1"/>
  <c r="Q341" i="8"/>
  <c r="R277" i="2"/>
  <c r="Y277" i="2" s="1"/>
  <c r="Q277" i="8"/>
  <c r="R245" i="2"/>
  <c r="Y245" i="2" s="1"/>
  <c r="Q245" i="8"/>
  <c r="R197" i="2"/>
  <c r="Y197" i="2" s="1"/>
  <c r="Q197" i="8"/>
  <c r="R101" i="2"/>
  <c r="Y101" i="2" s="1"/>
  <c r="Q101" i="8"/>
  <c r="R85" i="2"/>
  <c r="Y85" i="2" s="1"/>
  <c r="Q85" i="8"/>
  <c r="BF1115" i="8"/>
  <c r="BG1115" i="8" s="1"/>
  <c r="BF1019" i="8"/>
  <c r="BG1019" i="8" s="1"/>
  <c r="BF923" i="8"/>
  <c r="BG923" i="8" s="1"/>
  <c r="BF875" i="8"/>
  <c r="BG875" i="8" s="1"/>
  <c r="BF827" i="8"/>
  <c r="BG827" i="8" s="1"/>
  <c r="BF731" i="8"/>
  <c r="BG731" i="8" s="1"/>
  <c r="BF683" i="8"/>
  <c r="BG683" i="8" s="1"/>
  <c r="BF635" i="8"/>
  <c r="BG635" i="8" s="1"/>
  <c r="BF587" i="8"/>
  <c r="BG587" i="8" s="1"/>
  <c r="BF539" i="8"/>
  <c r="BG539" i="8" s="1"/>
  <c r="BF443" i="8"/>
  <c r="BG443" i="8" s="1"/>
  <c r="BF395" i="8"/>
  <c r="BG395" i="8" s="1"/>
  <c r="BF347" i="8"/>
  <c r="BG347" i="8" s="1"/>
  <c r="BF299" i="8"/>
  <c r="BG299" i="8" s="1"/>
  <c r="BF251" i="8"/>
  <c r="BG251" i="8" s="1"/>
  <c r="BF107" i="8"/>
  <c r="BG107" i="8" s="1"/>
  <c r="BF59" i="8"/>
  <c r="BG59" i="8" s="1"/>
  <c r="BF1125" i="8"/>
  <c r="BG1125" i="8" s="1"/>
  <c r="BF1077" i="8"/>
  <c r="BG1077" i="8" s="1"/>
  <c r="BF1029" i="8"/>
  <c r="BG1029" i="8" s="1"/>
  <c r="BF981" i="8"/>
  <c r="BG981" i="8" s="1"/>
  <c r="BF933" i="8"/>
  <c r="BG933" i="8" s="1"/>
  <c r="BF837" i="8"/>
  <c r="BG837" i="8" s="1"/>
  <c r="BF789" i="8"/>
  <c r="BG789" i="8" s="1"/>
  <c r="BF741" i="8"/>
  <c r="BG741" i="8" s="1"/>
  <c r="BF645" i="8"/>
  <c r="BG645" i="8" s="1"/>
  <c r="BF549" i="8"/>
  <c r="BG549" i="8" s="1"/>
  <c r="BF501" i="8"/>
  <c r="BG501" i="8" s="1"/>
  <c r="BF357" i="8"/>
  <c r="BG357" i="8" s="1"/>
  <c r="BF309" i="8"/>
  <c r="BG309" i="8" s="1"/>
  <c r="BF1039" i="8"/>
  <c r="BG1039" i="8" s="1"/>
  <c r="BF991" i="8"/>
  <c r="BG991" i="8" s="1"/>
  <c r="BF895" i="8"/>
  <c r="BG895" i="8" s="1"/>
  <c r="BF799" i="8"/>
  <c r="BG799" i="8" s="1"/>
  <c r="BF751" i="8"/>
  <c r="BG751" i="8" s="1"/>
  <c r="BF703" i="8"/>
  <c r="BG703" i="8" s="1"/>
  <c r="BF655" i="8"/>
  <c r="BG655" i="8" s="1"/>
  <c r="BF607" i="8"/>
  <c r="BG607" i="8" s="1"/>
  <c r="BF559" i="8"/>
  <c r="BG559" i="8" s="1"/>
  <c r="BF463" i="8"/>
  <c r="BG463" i="8" s="1"/>
  <c r="BF415" i="8"/>
  <c r="BG415" i="8" s="1"/>
  <c r="R916" i="2"/>
  <c r="Y916" i="2" s="1"/>
  <c r="Q916" i="8"/>
  <c r="R820" i="2"/>
  <c r="Y820" i="2" s="1"/>
  <c r="Q820" i="8"/>
  <c r="R724" i="2"/>
  <c r="Y724" i="2" s="1"/>
  <c r="Q724" i="8"/>
  <c r="R628" i="2"/>
  <c r="Y628" i="2" s="1"/>
  <c r="Q628" i="8"/>
  <c r="R532" i="2"/>
  <c r="Y532" i="2" s="1"/>
  <c r="Q532" i="8"/>
  <c r="R436" i="2"/>
  <c r="Y436" i="2" s="1"/>
  <c r="Q436" i="8"/>
  <c r="R340" i="2"/>
  <c r="Y340" i="2" s="1"/>
  <c r="Q340" i="8"/>
  <c r="R244" i="2"/>
  <c r="Y244" i="2" s="1"/>
  <c r="Q244" i="8"/>
  <c r="R743" i="2"/>
  <c r="Y743" i="2" s="1"/>
  <c r="R1123" i="2"/>
  <c r="Y1123" i="2" s="1"/>
  <c r="Q1123" i="8"/>
  <c r="R1075" i="2"/>
  <c r="Y1075" i="2" s="1"/>
  <c r="Q1075" i="8"/>
  <c r="W1027" i="2"/>
  <c r="Q1027" i="8"/>
  <c r="R979" i="2"/>
  <c r="Y979" i="2" s="1"/>
  <c r="Q979" i="8"/>
  <c r="R931" i="2"/>
  <c r="Y931" i="2" s="1"/>
  <c r="Q931" i="8"/>
  <c r="R883" i="2"/>
  <c r="Y883" i="2" s="1"/>
  <c r="Q883" i="8"/>
  <c r="R835" i="2"/>
  <c r="Y835" i="2" s="1"/>
  <c r="Q835" i="8"/>
  <c r="R819" i="2"/>
  <c r="Y819" i="2" s="1"/>
  <c r="Q819" i="8"/>
  <c r="R787" i="2"/>
  <c r="Y787" i="2" s="1"/>
  <c r="Q787" i="8"/>
  <c r="S739" i="2"/>
  <c r="Z739" i="2" s="1"/>
  <c r="Q739" i="8"/>
  <c r="R691" i="2"/>
  <c r="Y691" i="2" s="1"/>
  <c r="Q691" i="8"/>
  <c r="R643" i="2"/>
  <c r="Y643" i="2" s="1"/>
  <c r="Q643" i="8"/>
  <c r="R595" i="2"/>
  <c r="Y595" i="2" s="1"/>
  <c r="Q595" i="8"/>
  <c r="S547" i="2"/>
  <c r="Z547" i="2" s="1"/>
  <c r="Q547" i="8"/>
  <c r="R499" i="2"/>
  <c r="Y499" i="2" s="1"/>
  <c r="Q499" i="8"/>
  <c r="R451" i="2"/>
  <c r="Y451" i="2" s="1"/>
  <c r="Q451" i="8"/>
  <c r="S403" i="2"/>
  <c r="Z403" i="2" s="1"/>
  <c r="Q403" i="8"/>
  <c r="R355" i="2"/>
  <c r="Y355" i="2" s="1"/>
  <c r="Q355" i="8"/>
  <c r="R307" i="2"/>
  <c r="Y307" i="2" s="1"/>
  <c r="Q307" i="8"/>
  <c r="R259" i="2"/>
  <c r="Y259" i="2" s="1"/>
  <c r="Q259" i="8"/>
  <c r="S211" i="2"/>
  <c r="Z211" i="2" s="1"/>
  <c r="Q211" i="8"/>
  <c r="R163" i="2"/>
  <c r="Y163" i="2" s="1"/>
  <c r="Q163" i="8"/>
  <c r="R115" i="2"/>
  <c r="Y115" i="2" s="1"/>
  <c r="Q115" i="8"/>
  <c r="R67" i="2"/>
  <c r="Y67" i="2" s="1"/>
  <c r="Q67" i="8"/>
  <c r="BF1055" i="8"/>
  <c r="BG1055" i="8" s="1"/>
  <c r="BF815" i="8"/>
  <c r="BG815" i="8" s="1"/>
  <c r="BF767" i="8"/>
  <c r="BG767" i="8" s="1"/>
  <c r="BF479" i="8"/>
  <c r="BG479" i="8" s="1"/>
  <c r="BF47" i="8"/>
  <c r="BG47" i="8" s="1"/>
  <c r="BF873" i="8"/>
  <c r="BG873" i="8" s="1"/>
  <c r="BF585" i="8"/>
  <c r="BG585" i="8" s="1"/>
  <c r="BF1075" i="8"/>
  <c r="BG1075" i="8" s="1"/>
  <c r="BF1027" i="8"/>
  <c r="BG1027" i="8" s="1"/>
  <c r="BF979" i="8"/>
  <c r="BG979" i="8" s="1"/>
  <c r="BF787" i="8"/>
  <c r="BG787" i="8" s="1"/>
  <c r="BF691" i="8"/>
  <c r="BG691" i="8" s="1"/>
  <c r="R274" i="2"/>
  <c r="Y274" i="2" s="1"/>
  <c r="Q274" i="8"/>
  <c r="R258" i="2"/>
  <c r="Y258" i="2" s="1"/>
  <c r="Q258" i="8"/>
  <c r="R66" i="2"/>
  <c r="Y66" i="2" s="1"/>
  <c r="Q66" i="8"/>
  <c r="BF984" i="8"/>
  <c r="BG984" i="8" s="1"/>
  <c r="BF792" i="8"/>
  <c r="BG792" i="8" s="1"/>
  <c r="BF600" i="8"/>
  <c r="BG600" i="8" s="1"/>
  <c r="BF408" i="8"/>
  <c r="BG408" i="8" s="1"/>
  <c r="BF850" i="8"/>
  <c r="BG850" i="8" s="1"/>
  <c r="BF562" i="8"/>
  <c r="BG562" i="8" s="1"/>
  <c r="BF466" i="8"/>
  <c r="BG466" i="8" s="1"/>
  <c r="BF418" i="8"/>
  <c r="BG418" i="8" s="1"/>
  <c r="BF1100" i="8"/>
  <c r="BG1100" i="8" s="1"/>
  <c r="BF1004" i="8"/>
  <c r="BG1004" i="8" s="1"/>
  <c r="BF956" i="8"/>
  <c r="BG956" i="8" s="1"/>
  <c r="BF908" i="8"/>
  <c r="BG908" i="8" s="1"/>
  <c r="BF812" i="8"/>
  <c r="BG812" i="8" s="1"/>
  <c r="BF716" i="8"/>
  <c r="BG716" i="8" s="1"/>
  <c r="BF620" i="8"/>
  <c r="BG620" i="8" s="1"/>
  <c r="BF524" i="8"/>
  <c r="BG524" i="8" s="1"/>
  <c r="BF428" i="8"/>
  <c r="BG428" i="8" s="1"/>
  <c r="BF332" i="8"/>
  <c r="BG332" i="8" s="1"/>
  <c r="BF236" i="8"/>
  <c r="BG236" i="8" s="1"/>
  <c r="BF1110" i="8"/>
  <c r="BG1110" i="8" s="1"/>
  <c r="BF774" i="8"/>
  <c r="BG774" i="8" s="1"/>
  <c r="BF678" i="8"/>
  <c r="BG678" i="8" s="1"/>
  <c r="BF582" i="8"/>
  <c r="BG582" i="8" s="1"/>
  <c r="BF534" i="8"/>
  <c r="BG534" i="8" s="1"/>
  <c r="BF438" i="8"/>
  <c r="BG438" i="8" s="1"/>
  <c r="BF246" i="8"/>
  <c r="BG246" i="8" s="1"/>
  <c r="BF54" i="8"/>
  <c r="BG54" i="8" s="1"/>
  <c r="BF1120" i="8"/>
  <c r="BG1120" i="8" s="1"/>
  <c r="BF1072" i="8"/>
  <c r="BG1072" i="8" s="1"/>
  <c r="BF976" i="8"/>
  <c r="BG976" i="8" s="1"/>
  <c r="R897" i="2"/>
  <c r="Y897" i="2" s="1"/>
  <c r="Q897" i="8"/>
  <c r="R801" i="2"/>
  <c r="Y801" i="2" s="1"/>
  <c r="Q801" i="8"/>
  <c r="R785" i="2"/>
  <c r="Y785" i="2" s="1"/>
  <c r="Q785" i="8"/>
  <c r="R705" i="2"/>
  <c r="Y705" i="2" s="1"/>
  <c r="Q705" i="8"/>
  <c r="R609" i="2"/>
  <c r="Y609" i="2" s="1"/>
  <c r="Q609" i="8"/>
  <c r="R513" i="2"/>
  <c r="Y513" i="2" s="1"/>
  <c r="Q513" i="8"/>
  <c r="R417" i="2"/>
  <c r="Y417" i="2" s="1"/>
  <c r="Q417" i="8"/>
  <c r="R273" i="2"/>
  <c r="Y273" i="2" s="1"/>
  <c r="Q273" i="8"/>
  <c r="BF1117" i="8"/>
  <c r="BG1117" i="8" s="1"/>
  <c r="BF1037" i="8"/>
  <c r="BG1037" i="8" s="1"/>
  <c r="BF989" i="8"/>
  <c r="BG989" i="8" s="1"/>
  <c r="BF845" i="8"/>
  <c r="BG845" i="8" s="1"/>
  <c r="BF701" i="8"/>
  <c r="BG701" i="8" s="1"/>
  <c r="BF461" i="8"/>
  <c r="BG461" i="8" s="1"/>
  <c r="BF413" i="8"/>
  <c r="BG413" i="8" s="1"/>
  <c r="BF349" i="8"/>
  <c r="BG349" i="8" s="1"/>
  <c r="BF317" i="8"/>
  <c r="BG317" i="8" s="1"/>
  <c r="BF301" i="8"/>
  <c r="BG301" i="8" s="1"/>
  <c r="BF205" i="8"/>
  <c r="BG205" i="8" s="1"/>
  <c r="BF173" i="8"/>
  <c r="BG173" i="8" s="1"/>
  <c r="BF157" i="8"/>
  <c r="BG157" i="8" s="1"/>
  <c r="BF125" i="8"/>
  <c r="BG125" i="8" s="1"/>
  <c r="BF29" i="8"/>
  <c r="BG29" i="8" s="1"/>
  <c r="BF695" i="8"/>
  <c r="BG695" i="8" s="1"/>
  <c r="BF503" i="8"/>
  <c r="BG503" i="8" s="1"/>
  <c r="BF407" i="8"/>
  <c r="BG407" i="8" s="1"/>
  <c r="BF311" i="8"/>
  <c r="BG311" i="8" s="1"/>
  <c r="BF215" i="8"/>
  <c r="BG215" i="8" s="1"/>
  <c r="BF135" i="8"/>
  <c r="BG135" i="8" s="1"/>
  <c r="BF87" i="8"/>
  <c r="BG87" i="8" s="1"/>
  <c r="BF71" i="8"/>
  <c r="BG71" i="8" s="1"/>
  <c r="BF225" i="8"/>
  <c r="BG225" i="8" s="1"/>
  <c r="BF283" i="8"/>
  <c r="BG283" i="8" s="1"/>
  <c r="BF928" i="8"/>
  <c r="BG928" i="8" s="1"/>
  <c r="BF880" i="8"/>
  <c r="BG880" i="8" s="1"/>
  <c r="BF832" i="8"/>
  <c r="BG832" i="8" s="1"/>
  <c r="BF784" i="8"/>
  <c r="BG784" i="8" s="1"/>
  <c r="BF592" i="8"/>
  <c r="BG592" i="8" s="1"/>
  <c r="BF496" i="8"/>
  <c r="BG496" i="8" s="1"/>
  <c r="BF400" i="8"/>
  <c r="BG400" i="8" s="1"/>
  <c r="BF304" i="8"/>
  <c r="BG304" i="8" s="1"/>
  <c r="BF208" i="8"/>
  <c r="BG208" i="8" s="1"/>
  <c r="BF518" i="8"/>
  <c r="BG518" i="8" s="1"/>
  <c r="BF494" i="8"/>
  <c r="BG494" i="8" s="1"/>
  <c r="BF470" i="8"/>
  <c r="BG470" i="8" s="1"/>
  <c r="BF1103" i="8"/>
  <c r="BG1103" i="8" s="1"/>
  <c r="BF911" i="8"/>
  <c r="BG911" i="8" s="1"/>
  <c r="BF863" i="8"/>
  <c r="BG863" i="8" s="1"/>
  <c r="BF791" i="8"/>
  <c r="BG791" i="8" s="1"/>
  <c r="BF446" i="8"/>
  <c r="BG446" i="8" s="1"/>
  <c r="BF422" i="8"/>
  <c r="BG422" i="8" s="1"/>
  <c r="BF398" i="8"/>
  <c r="BG398" i="8" s="1"/>
  <c r="BF374" i="8"/>
  <c r="BG374" i="8" s="1"/>
  <c r="BF350" i="8"/>
  <c r="BG350" i="8" s="1"/>
  <c r="BF326" i="8"/>
  <c r="BG326" i="8" s="1"/>
  <c r="BF302" i="8"/>
  <c r="BG302" i="8" s="1"/>
  <c r="BF278" i="8"/>
  <c r="BG278" i="8" s="1"/>
  <c r="BF254" i="8"/>
  <c r="BG254" i="8" s="1"/>
  <c r="BF230" i="8"/>
  <c r="BG230" i="8" s="1"/>
  <c r="BF206" i="8"/>
  <c r="BG206" i="8" s="1"/>
  <c r="BF182" i="8"/>
  <c r="BG182" i="8" s="1"/>
  <c r="BF134" i="8"/>
  <c r="BG134" i="8" s="1"/>
  <c r="BF110" i="8"/>
  <c r="BG110" i="8" s="1"/>
  <c r="BF86" i="8"/>
  <c r="BG86" i="8" s="1"/>
  <c r="BF62" i="8"/>
  <c r="BG62" i="8" s="1"/>
  <c r="BF38" i="8"/>
  <c r="BG38" i="8" s="1"/>
  <c r="BF1128" i="8"/>
  <c r="BG1128" i="8" s="1"/>
  <c r="BF1104" i="8"/>
  <c r="BG1104" i="8" s="1"/>
  <c r="BF1080" i="8"/>
  <c r="BG1080" i="8" s="1"/>
  <c r="BF1056" i="8"/>
  <c r="BG1056" i="8" s="1"/>
  <c r="BF1032" i="8"/>
  <c r="BG1032" i="8" s="1"/>
  <c r="BF1008" i="8"/>
  <c r="BG1008" i="8" s="1"/>
  <c r="BF960" i="8"/>
  <c r="BG960" i="8" s="1"/>
  <c r="BF936" i="8"/>
  <c r="BG936" i="8" s="1"/>
  <c r="BF888" i="8"/>
  <c r="BG888" i="8" s="1"/>
  <c r="BF864" i="8"/>
  <c r="BG864" i="8" s="1"/>
  <c r="BF816" i="8"/>
  <c r="BG816" i="8" s="1"/>
  <c r="BF744" i="8"/>
  <c r="BG744" i="8" s="1"/>
  <c r="BF696" i="8"/>
  <c r="BG696" i="8" s="1"/>
  <c r="BF576" i="8"/>
  <c r="BG576" i="8" s="1"/>
  <c r="BF312" i="8"/>
  <c r="BG312" i="8" s="1"/>
  <c r="BF623" i="8"/>
  <c r="BG623" i="8" s="1"/>
  <c r="BF335" i="8"/>
  <c r="BG335" i="8" s="1"/>
  <c r="BF239" i="8"/>
  <c r="BG239" i="8" s="1"/>
  <c r="BF1065" i="8"/>
  <c r="BG1065" i="8" s="1"/>
  <c r="BF1041" i="8"/>
  <c r="BG1041" i="8" s="1"/>
  <c r="BF969" i="8"/>
  <c r="BG969" i="8" s="1"/>
  <c r="BF945" i="8"/>
  <c r="BG945" i="8" s="1"/>
  <c r="BF849" i="8"/>
  <c r="BG849" i="8" s="1"/>
  <c r="BF777" i="8"/>
  <c r="BG777" i="8" s="1"/>
  <c r="BF753" i="8"/>
  <c r="BG753" i="8" s="1"/>
  <c r="BF729" i="8"/>
  <c r="BG729" i="8" s="1"/>
  <c r="BF1045" i="8"/>
  <c r="BG1045" i="8" s="1"/>
  <c r="BF925" i="8"/>
  <c r="BG925" i="8" s="1"/>
  <c r="BF853" i="8"/>
  <c r="BG853" i="8" s="1"/>
  <c r="BF829" i="8"/>
  <c r="BG829" i="8" s="1"/>
  <c r="BF805" i="8"/>
  <c r="BG805" i="8" s="1"/>
  <c r="BF757" i="8"/>
  <c r="BG757" i="8" s="1"/>
  <c r="BF661" i="8"/>
  <c r="BG661" i="8" s="1"/>
  <c r="BF637" i="8"/>
  <c r="BG637" i="8" s="1"/>
  <c r="BF541" i="8"/>
  <c r="BG541" i="8" s="1"/>
  <c r="BF517" i="8"/>
  <c r="BG517" i="8" s="1"/>
  <c r="BF493" i="8"/>
  <c r="BG493" i="8" s="1"/>
  <c r="BF421" i="8"/>
  <c r="BG421" i="8" s="1"/>
  <c r="BF373" i="8"/>
  <c r="BG373" i="8" s="1"/>
  <c r="BF253" i="8"/>
  <c r="BG253" i="8" s="1"/>
  <c r="BF840" i="8"/>
  <c r="BG840" i="8" s="1"/>
  <c r="BF672" i="8"/>
  <c r="BG672" i="8" s="1"/>
  <c r="BF648" i="8"/>
  <c r="BG648" i="8" s="1"/>
  <c r="BF624" i="8"/>
  <c r="BG624" i="8" s="1"/>
  <c r="BF552" i="8"/>
  <c r="BG552" i="8" s="1"/>
  <c r="BF528" i="8"/>
  <c r="BG528" i="8" s="1"/>
  <c r="BF504" i="8"/>
  <c r="BG504" i="8" s="1"/>
  <c r="BF456" i="8"/>
  <c r="BG456" i="8" s="1"/>
  <c r="BF432" i="8"/>
  <c r="BG432" i="8" s="1"/>
  <c r="BF384" i="8"/>
  <c r="BG384" i="8" s="1"/>
  <c r="BF360" i="8"/>
  <c r="BG360" i="8" s="1"/>
  <c r="BF288" i="8"/>
  <c r="BG288" i="8" s="1"/>
  <c r="BF264" i="8"/>
  <c r="BG264" i="8" s="1"/>
  <c r="BF216" i="8"/>
  <c r="BG216" i="8" s="1"/>
  <c r="BF192" i="8"/>
  <c r="BG192" i="8" s="1"/>
  <c r="BF168" i="8"/>
  <c r="BG168" i="8" s="1"/>
  <c r="BF144" i="8"/>
  <c r="BG144" i="8" s="1"/>
  <c r="BF120" i="8"/>
  <c r="BG120" i="8" s="1"/>
  <c r="BF96" i="8"/>
  <c r="BG96" i="8" s="1"/>
  <c r="BF72" i="8"/>
  <c r="BG72" i="8" s="1"/>
  <c r="BF48" i="8"/>
  <c r="BG48" i="8" s="1"/>
  <c r="BF24" i="8"/>
  <c r="BG24" i="8" s="1"/>
  <c r="BF1114" i="8"/>
  <c r="BG1114" i="8" s="1"/>
  <c r="BF1090" i="8"/>
  <c r="BG1090" i="8" s="1"/>
  <c r="BF1042" i="8"/>
  <c r="BG1042" i="8" s="1"/>
  <c r="BF1018" i="8"/>
  <c r="BG1018" i="8" s="1"/>
  <c r="BF994" i="8"/>
  <c r="BG994" i="8" s="1"/>
  <c r="BF946" i="8"/>
  <c r="BG946" i="8" s="1"/>
  <c r="BF922" i="8"/>
  <c r="BG922" i="8" s="1"/>
  <c r="BF898" i="8"/>
  <c r="BG898" i="8" s="1"/>
  <c r="BF874" i="8"/>
  <c r="BG874" i="8" s="1"/>
  <c r="BF826" i="8"/>
  <c r="BG826" i="8" s="1"/>
  <c r="BF802" i="8"/>
  <c r="BG802" i="8" s="1"/>
  <c r="BF778" i="8"/>
  <c r="BG778" i="8" s="1"/>
  <c r="BF754" i="8"/>
  <c r="BG754" i="8" s="1"/>
  <c r="BF706" i="8"/>
  <c r="BG706" i="8" s="1"/>
  <c r="BF682" i="8"/>
  <c r="BG682" i="8" s="1"/>
  <c r="BF634" i="8"/>
  <c r="BG634" i="8" s="1"/>
  <c r="BF586" i="8"/>
  <c r="BG586" i="8" s="1"/>
  <c r="BF490" i="8"/>
  <c r="BG490" i="8" s="1"/>
  <c r="BF442" i="8"/>
  <c r="BG442" i="8" s="1"/>
  <c r="BF394" i="8"/>
  <c r="BG394" i="8" s="1"/>
  <c r="BF346" i="8"/>
  <c r="BG346" i="8" s="1"/>
  <c r="BF298" i="8"/>
  <c r="BG298" i="8" s="1"/>
  <c r="BF274" i="8"/>
  <c r="BG274" i="8" s="1"/>
  <c r="BF897" i="8"/>
  <c r="BG897" i="8" s="1"/>
  <c r="BF801" i="8"/>
  <c r="BG801" i="8" s="1"/>
  <c r="BF609" i="8"/>
  <c r="BG609" i="8" s="1"/>
  <c r="BF513" i="8"/>
  <c r="BG513" i="8" s="1"/>
  <c r="BF321" i="8"/>
  <c r="BG321" i="8" s="1"/>
  <c r="BF955" i="8"/>
  <c r="BG955" i="8" s="1"/>
  <c r="BF859" i="8"/>
  <c r="BG859" i="8" s="1"/>
  <c r="BF763" i="8"/>
  <c r="BG763" i="8" s="1"/>
  <c r="BF667" i="8"/>
  <c r="BG667" i="8" s="1"/>
  <c r="BF379" i="8"/>
  <c r="BG379" i="8" s="1"/>
  <c r="BF1098" i="8"/>
  <c r="BG1098" i="8" s="1"/>
  <c r="BF1050" i="8"/>
  <c r="BG1050" i="8" s="1"/>
  <c r="BF978" i="8"/>
  <c r="BG978" i="8" s="1"/>
  <c r="BF954" i="8"/>
  <c r="BG954" i="8" s="1"/>
  <c r="BF858" i="8"/>
  <c r="BG858" i="8" s="1"/>
  <c r="BF762" i="8"/>
  <c r="BG762" i="8" s="1"/>
  <c r="BF666" i="8"/>
  <c r="BG666" i="8" s="1"/>
  <c r="BF474" i="8"/>
  <c r="BG474" i="8" s="1"/>
  <c r="BF210" i="8"/>
  <c r="BG210" i="8" s="1"/>
  <c r="BF186" i="8"/>
  <c r="BG186" i="8" s="1"/>
  <c r="BF162" i="8"/>
  <c r="BG162" i="8" s="1"/>
  <c r="BF553" i="8"/>
  <c r="BG553" i="8" s="1"/>
  <c r="BF529" i="8"/>
  <c r="BG529" i="8" s="1"/>
  <c r="BF505" i="8"/>
  <c r="BG505" i="8" s="1"/>
  <c r="BF481" i="8"/>
  <c r="BG481" i="8" s="1"/>
  <c r="BF457" i="8"/>
  <c r="BG457" i="8" s="1"/>
  <c r="BF433" i="8"/>
  <c r="BG433" i="8" s="1"/>
  <c r="BF409" i="8"/>
  <c r="BG409" i="8" s="1"/>
  <c r="BF145" i="8"/>
  <c r="BG145" i="8" s="1"/>
  <c r="BF121" i="8"/>
  <c r="BG121" i="8" s="1"/>
  <c r="BF73" i="8"/>
  <c r="BG73" i="8" s="1"/>
  <c r="BF49" i="8"/>
  <c r="BG49" i="8" s="1"/>
  <c r="BF995" i="8"/>
  <c r="BG995" i="8" s="1"/>
  <c r="BF971" i="8"/>
  <c r="BG971" i="8" s="1"/>
  <c r="BF743" i="8"/>
  <c r="BG743" i="8" s="1"/>
  <c r="BF647" i="8"/>
  <c r="BG647" i="8" s="1"/>
  <c r="BF455" i="8"/>
  <c r="BG455" i="8" s="1"/>
  <c r="BF359" i="8"/>
  <c r="BG359" i="8" s="1"/>
  <c r="BF119" i="8"/>
  <c r="BG119" i="8" s="1"/>
  <c r="BF1089" i="8"/>
  <c r="BG1089" i="8" s="1"/>
  <c r="BF972" i="8"/>
  <c r="BG972" i="8" s="1"/>
  <c r="BF684" i="8"/>
  <c r="BG684" i="8" s="1"/>
  <c r="BF588" i="8"/>
  <c r="BG588" i="8" s="1"/>
  <c r="BF420" i="8"/>
  <c r="BG420" i="8" s="1"/>
  <c r="BF396" i="8"/>
  <c r="BG396" i="8" s="1"/>
  <c r="BF1049" i="8"/>
  <c r="BG1049" i="8" s="1"/>
  <c r="BF785" i="8"/>
  <c r="BG785" i="8" s="1"/>
  <c r="BF497" i="8"/>
  <c r="BG497" i="8" s="1"/>
  <c r="BF473" i="8"/>
  <c r="BG473" i="8" s="1"/>
  <c r="BF1109" i="8"/>
  <c r="BG1109" i="8" s="1"/>
  <c r="BF1013" i="8"/>
  <c r="BG1013" i="8" s="1"/>
  <c r="BF821" i="8"/>
  <c r="BG821" i="8" s="1"/>
  <c r="BF533" i="8"/>
  <c r="BG533" i="8" s="1"/>
  <c r="BF437" i="8"/>
  <c r="BG437" i="8" s="1"/>
  <c r="BF269" i="8"/>
  <c r="BG269" i="8" s="1"/>
  <c r="BF245" i="8"/>
  <c r="BG245" i="8" s="1"/>
  <c r="BF658" i="8"/>
  <c r="BG658" i="8" s="1"/>
  <c r="BF610" i="8"/>
  <c r="BG610" i="8" s="1"/>
  <c r="BF538" i="8"/>
  <c r="BG538" i="8" s="1"/>
  <c r="BF514" i="8"/>
  <c r="BG514" i="8" s="1"/>
  <c r="BF370" i="8"/>
  <c r="BG370" i="8" s="1"/>
  <c r="BF322" i="8"/>
  <c r="BG322" i="8" s="1"/>
  <c r="BF250" i="8"/>
  <c r="BG250" i="8" s="1"/>
  <c r="BF226" i="8"/>
  <c r="BG226" i="8" s="1"/>
  <c r="BF202" i="8"/>
  <c r="BG202" i="8" s="1"/>
  <c r="BF178" i="8"/>
  <c r="BG178" i="8" s="1"/>
  <c r="BF154" i="8"/>
  <c r="BG154" i="8" s="1"/>
  <c r="BF130" i="8"/>
  <c r="BG130" i="8" s="1"/>
  <c r="BF106" i="8"/>
  <c r="BG106" i="8" s="1"/>
  <c r="BF82" i="8"/>
  <c r="BG82" i="8" s="1"/>
  <c r="BF58" i="8"/>
  <c r="BG58" i="8" s="1"/>
  <c r="BF34" i="8"/>
  <c r="BG34" i="8" s="1"/>
  <c r="BF1124" i="8"/>
  <c r="BG1124" i="8" s="1"/>
  <c r="BF1052" i="8"/>
  <c r="BG1052" i="8" s="1"/>
  <c r="BF932" i="8"/>
  <c r="BG932" i="8" s="1"/>
  <c r="BF860" i="8"/>
  <c r="BG860" i="8" s="1"/>
  <c r="BF764" i="8"/>
  <c r="BG764" i="8" s="1"/>
  <c r="BF668" i="8"/>
  <c r="BG668" i="8" s="1"/>
  <c r="BF644" i="8"/>
  <c r="BG644" i="8" s="1"/>
  <c r="BF596" i="8"/>
  <c r="BG596" i="8" s="1"/>
  <c r="BF572" i="8"/>
  <c r="BG572" i="8" s="1"/>
  <c r="BF476" i="8"/>
  <c r="BG476" i="8" s="1"/>
  <c r="BF380" i="8"/>
  <c r="BG380" i="8" s="1"/>
  <c r="BF284" i="8"/>
  <c r="BG284" i="8" s="1"/>
  <c r="BF1014" i="8"/>
  <c r="BG1014" i="8" s="1"/>
  <c r="BF822" i="8"/>
  <c r="BG822" i="8" s="1"/>
  <c r="BF726" i="8"/>
  <c r="BG726" i="8" s="1"/>
  <c r="BF171" i="8"/>
  <c r="BG171" i="8" s="1"/>
  <c r="BF99" i="8"/>
  <c r="BG99" i="8" s="1"/>
  <c r="BF27" i="8"/>
  <c r="BG27" i="8" s="1"/>
  <c r="BF1069" i="8"/>
  <c r="BG1069" i="8" s="1"/>
  <c r="BF1021" i="8"/>
  <c r="BG1021" i="8" s="1"/>
  <c r="BF973" i="8"/>
  <c r="BG973" i="8" s="1"/>
  <c r="BF901" i="8"/>
  <c r="BG901" i="8" s="1"/>
  <c r="BF877" i="8"/>
  <c r="BG877" i="8" s="1"/>
  <c r="BF781" i="8"/>
  <c r="BG781" i="8" s="1"/>
  <c r="BF733" i="8"/>
  <c r="BG733" i="8" s="1"/>
  <c r="BF685" i="8"/>
  <c r="BG685" i="8" s="1"/>
  <c r="BF613" i="8"/>
  <c r="BG613" i="8" s="1"/>
  <c r="BF589" i="8"/>
  <c r="BG589" i="8" s="1"/>
  <c r="BF565" i="8"/>
  <c r="BG565" i="8" s="1"/>
  <c r="BF397" i="8"/>
  <c r="BG397" i="8" s="1"/>
  <c r="BF1031" i="8"/>
  <c r="BG1031" i="8" s="1"/>
  <c r="BF935" i="8"/>
  <c r="BG935" i="8" s="1"/>
  <c r="BF170" i="8"/>
  <c r="BG170" i="8" s="1"/>
  <c r="BF98" i="8"/>
  <c r="BG98" i="8" s="1"/>
  <c r="BF26" i="8"/>
  <c r="BG26" i="8" s="1"/>
  <c r="BF1068" i="8"/>
  <c r="BG1068" i="8" s="1"/>
  <c r="BF1020" i="8"/>
  <c r="BG1020" i="8" s="1"/>
  <c r="BF900" i="8"/>
  <c r="BG900" i="8" s="1"/>
  <c r="BF780" i="8"/>
  <c r="BG780" i="8" s="1"/>
  <c r="BF115" i="8"/>
  <c r="BG115" i="8" s="1"/>
  <c r="BF43" i="8"/>
  <c r="BG43" i="8" s="1"/>
  <c r="BF1085" i="8"/>
  <c r="BG1085" i="8" s="1"/>
  <c r="BF917" i="8"/>
  <c r="BG917" i="8" s="1"/>
  <c r="BF797" i="8"/>
  <c r="BG797" i="8" s="1"/>
  <c r="BF749" i="8"/>
  <c r="BG749" i="8" s="1"/>
  <c r="BF629" i="8"/>
  <c r="BG629" i="8" s="1"/>
  <c r="BF509" i="8"/>
  <c r="BG509" i="8" s="1"/>
  <c r="BF341" i="8"/>
  <c r="BG341" i="8" s="1"/>
  <c r="BF221" i="8"/>
  <c r="BG221" i="8" s="1"/>
  <c r="BF77" i="8"/>
  <c r="BG77" i="8" s="1"/>
  <c r="BF930" i="8"/>
  <c r="BG930" i="8" s="1"/>
  <c r="BF810" i="8"/>
  <c r="BG810" i="8" s="1"/>
  <c r="BF690" i="8"/>
  <c r="BG690" i="8" s="1"/>
  <c r="BF522" i="8"/>
  <c r="BG522" i="8" s="1"/>
  <c r="BF402" i="8"/>
  <c r="BG402" i="8" s="1"/>
  <c r="BF354" i="8"/>
  <c r="BG354" i="8" s="1"/>
  <c r="BF234" i="8"/>
  <c r="BG234" i="8" s="1"/>
  <c r="BF138" i="8"/>
  <c r="BG138" i="8" s="1"/>
  <c r="BF42" i="8"/>
  <c r="BG42" i="8" s="1"/>
  <c r="BF1084" i="8"/>
  <c r="BG1084" i="8" s="1"/>
  <c r="BF964" i="8"/>
  <c r="BG964" i="8" s="1"/>
  <c r="BF796" i="8"/>
  <c r="BG796" i="8" s="1"/>
  <c r="BF676" i="8"/>
  <c r="BG676" i="8" s="1"/>
  <c r="BF628" i="8"/>
  <c r="BG628" i="8" s="1"/>
  <c r="BF508" i="8"/>
  <c r="BG508" i="8" s="1"/>
  <c r="BF388" i="8"/>
  <c r="BG388" i="8" s="1"/>
  <c r="BF385" i="8"/>
  <c r="BG385" i="8" s="1"/>
  <c r="BF361" i="8"/>
  <c r="BG361" i="8" s="1"/>
  <c r="BF337" i="8"/>
  <c r="BG337" i="8" s="1"/>
  <c r="BF313" i="8"/>
  <c r="BG313" i="8" s="1"/>
  <c r="BF289" i="8"/>
  <c r="BG289" i="8" s="1"/>
  <c r="BF265" i="8"/>
  <c r="BG265" i="8" s="1"/>
  <c r="BF241" i="8"/>
  <c r="BG241" i="8" s="1"/>
  <c r="BF217" i="8"/>
  <c r="BG217" i="8" s="1"/>
  <c r="BF193" i="8"/>
  <c r="BG193" i="8" s="1"/>
  <c r="BF97" i="8"/>
  <c r="BG97" i="8" s="1"/>
  <c r="BF25" i="8"/>
  <c r="BG25" i="8" s="1"/>
  <c r="BF1067" i="8"/>
  <c r="BG1067" i="8" s="1"/>
  <c r="BF947" i="8"/>
  <c r="BG947" i="8" s="1"/>
  <c r="BF899" i="8"/>
  <c r="BG899" i="8" s="1"/>
  <c r="BF779" i="8"/>
  <c r="BG779" i="8" s="1"/>
  <c r="BF659" i="8"/>
  <c r="BG659" i="8" s="1"/>
  <c r="BF491" i="8"/>
  <c r="BG491" i="8" s="1"/>
  <c r="BF371" i="8"/>
  <c r="BG371" i="8" s="1"/>
  <c r="BF323" i="8"/>
  <c r="BG323" i="8" s="1"/>
  <c r="BF203" i="8"/>
  <c r="BG203" i="8" s="1"/>
  <c r="BF155" i="8"/>
  <c r="BG155" i="8" s="1"/>
  <c r="BF83" i="8"/>
  <c r="BG83" i="8" s="1"/>
  <c r="BF1053" i="8"/>
  <c r="BG1053" i="8" s="1"/>
  <c r="BF885" i="8"/>
  <c r="BG885" i="8" s="1"/>
  <c r="BF765" i="8"/>
  <c r="BG765" i="8" s="1"/>
  <c r="BF717" i="8"/>
  <c r="BG717" i="8" s="1"/>
  <c r="BF597" i="8"/>
  <c r="BG597" i="8" s="1"/>
  <c r="BF477" i="8"/>
  <c r="BG477" i="8" s="1"/>
  <c r="BF249" i="8"/>
  <c r="BG249" i="8" s="1"/>
  <c r="BF1099" i="8"/>
  <c r="BG1099" i="8" s="1"/>
  <c r="BF1051" i="8"/>
  <c r="BG1051" i="8" s="1"/>
  <c r="BF931" i="8"/>
  <c r="BG931" i="8" s="1"/>
  <c r="BF811" i="8"/>
  <c r="BG811" i="8" s="1"/>
  <c r="BF643" i="8"/>
  <c r="BG643" i="8" s="1"/>
  <c r="BF523" i="8"/>
  <c r="BG523" i="8" s="1"/>
  <c r="BF475" i="8"/>
  <c r="BG475" i="8" s="1"/>
  <c r="BF355" i="8"/>
  <c r="BG355" i="8" s="1"/>
  <c r="BF235" i="8"/>
  <c r="BG235" i="8" s="1"/>
  <c r="BF187" i="8"/>
  <c r="BG187" i="8" s="1"/>
  <c r="BF1006" i="8"/>
  <c r="BG1006" i="8" s="1"/>
  <c r="BF886" i="8"/>
  <c r="BG886" i="8" s="1"/>
  <c r="BF838" i="8"/>
  <c r="BG838" i="8" s="1"/>
  <c r="BF718" i="8"/>
  <c r="BG718" i="8" s="1"/>
  <c r="BF598" i="8"/>
  <c r="BG598" i="8" s="1"/>
  <c r="BF430" i="8"/>
  <c r="BG430" i="8" s="1"/>
  <c r="BF310" i="8"/>
  <c r="BG310" i="8" s="1"/>
  <c r="BF262" i="8"/>
  <c r="BG262" i="8" s="1"/>
  <c r="BF118" i="8"/>
  <c r="BG118" i="8" s="1"/>
  <c r="BF977" i="8"/>
  <c r="BG977" i="8" s="1"/>
  <c r="BF857" i="8"/>
  <c r="BG857" i="8" s="1"/>
  <c r="BF809" i="8"/>
  <c r="BG809" i="8" s="1"/>
  <c r="BF689" i="8"/>
  <c r="BG689" i="8" s="1"/>
  <c r="BF569" i="8"/>
  <c r="BG569" i="8" s="1"/>
  <c r="BF401" i="8"/>
  <c r="BG401" i="8" s="1"/>
  <c r="BF281" i="8"/>
  <c r="BG281" i="8" s="1"/>
  <c r="BF233" i="8"/>
  <c r="BG233" i="8" s="1"/>
  <c r="BF137" i="8"/>
  <c r="BG137" i="8" s="1"/>
  <c r="BF65" i="8"/>
  <c r="BG65" i="8" s="1"/>
  <c r="BF356" i="8"/>
  <c r="BG356" i="8" s="1"/>
  <c r="BF188" i="8"/>
  <c r="BG188" i="8" s="1"/>
  <c r="BF164" i="8"/>
  <c r="BG164" i="8" s="1"/>
  <c r="BF140" i="8"/>
  <c r="BG140" i="8" s="1"/>
  <c r="BF116" i="8"/>
  <c r="BG116" i="8" s="1"/>
  <c r="BF92" i="8"/>
  <c r="BG92" i="8" s="1"/>
  <c r="BF68" i="8"/>
  <c r="BG68" i="8" s="1"/>
  <c r="BF44" i="8"/>
  <c r="BG44" i="8" s="1"/>
  <c r="BF20" i="8"/>
  <c r="BG20" i="8" s="1"/>
  <c r="BF1038" i="8"/>
  <c r="BG1038" i="8" s="1"/>
  <c r="BF918" i="8"/>
  <c r="BG918" i="8" s="1"/>
  <c r="BF870" i="8"/>
  <c r="BG870" i="8" s="1"/>
  <c r="BF750" i="8"/>
  <c r="BG750" i="8" s="1"/>
  <c r="BF630" i="8"/>
  <c r="BG630" i="8" s="1"/>
  <c r="BF462" i="8"/>
  <c r="BG462" i="8" s="1"/>
  <c r="BF342" i="8"/>
  <c r="BG342" i="8" s="1"/>
  <c r="BF294" i="8"/>
  <c r="BG294" i="8" s="1"/>
  <c r="BF150" i="8"/>
  <c r="BG150" i="8" s="1"/>
  <c r="BF78" i="8"/>
  <c r="BG78" i="8" s="1"/>
  <c r="BF1024" i="8"/>
  <c r="BG1024" i="8" s="1"/>
  <c r="BF856" i="8"/>
  <c r="BG856" i="8" s="1"/>
  <c r="BF736" i="8"/>
  <c r="BG736" i="8" s="1"/>
  <c r="BF688" i="8"/>
  <c r="BG688" i="8" s="1"/>
  <c r="BF568" i="8"/>
  <c r="BG568" i="8" s="1"/>
  <c r="BF448" i="8"/>
  <c r="BG448" i="8" s="1"/>
  <c r="BF280" i="8"/>
  <c r="BG280" i="8" s="1"/>
  <c r="BF445" i="8"/>
  <c r="BG445" i="8" s="1"/>
  <c r="BF325" i="8"/>
  <c r="BG325" i="8" s="1"/>
  <c r="BF181" i="8"/>
  <c r="BG181" i="8" s="1"/>
  <c r="BF133" i="8"/>
  <c r="BG133" i="8" s="1"/>
  <c r="BF109" i="8"/>
  <c r="BG109" i="8" s="1"/>
  <c r="BF61" i="8"/>
  <c r="BG61" i="8" s="1"/>
  <c r="BF37" i="8"/>
  <c r="BG37" i="8" s="1"/>
  <c r="BF1127" i="8"/>
  <c r="BG1127" i="8" s="1"/>
  <c r="BF1007" i="8"/>
  <c r="BG1007" i="8" s="1"/>
  <c r="BF959" i="8"/>
  <c r="BG959" i="8" s="1"/>
  <c r="BF839" i="8"/>
  <c r="BG839" i="8" s="1"/>
  <c r="BF719" i="8"/>
  <c r="BG719" i="8" s="1"/>
  <c r="BF551" i="8"/>
  <c r="BG551" i="8" s="1"/>
  <c r="BF431" i="8"/>
  <c r="BG431" i="8" s="1"/>
  <c r="BF383" i="8"/>
  <c r="BG383" i="8" s="1"/>
  <c r="BF263" i="8"/>
  <c r="BG263" i="8" s="1"/>
  <c r="BF1113" i="8"/>
  <c r="BG1113" i="8" s="1"/>
  <c r="BF993" i="8"/>
  <c r="BG993" i="8" s="1"/>
  <c r="BF825" i="8"/>
  <c r="BG825" i="8" s="1"/>
  <c r="BF705" i="8"/>
  <c r="BG705" i="8" s="1"/>
  <c r="BF657" i="8"/>
  <c r="BG657" i="8" s="1"/>
  <c r="BF537" i="8"/>
  <c r="BG537" i="8" s="1"/>
  <c r="BF417" i="8"/>
  <c r="BG417" i="8" s="1"/>
  <c r="BF612" i="8"/>
  <c r="BG612" i="8" s="1"/>
  <c r="BF492" i="8"/>
  <c r="BG492" i="8" s="1"/>
  <c r="BF444" i="8"/>
  <c r="BG444" i="8" s="1"/>
  <c r="BF324" i="8"/>
  <c r="BG324" i="8" s="1"/>
  <c r="BF204" i="8"/>
  <c r="BG204" i="8" s="1"/>
  <c r="BF132" i="8"/>
  <c r="BG132" i="8" s="1"/>
  <c r="BF60" i="8"/>
  <c r="BG60" i="8" s="1"/>
  <c r="BF1119" i="8"/>
  <c r="BG1119" i="8" s="1"/>
  <c r="BF1095" i="8"/>
  <c r="BG1095" i="8" s="1"/>
  <c r="BF1071" i="8"/>
  <c r="BG1071" i="8" s="1"/>
  <c r="BF1047" i="8"/>
  <c r="BG1047" i="8" s="1"/>
  <c r="BF1023" i="8"/>
  <c r="BG1023" i="8" s="1"/>
  <c r="BF999" i="8"/>
  <c r="BG999" i="8" s="1"/>
  <c r="BF975" i="8"/>
  <c r="BG975" i="8" s="1"/>
  <c r="BF951" i="8"/>
  <c r="BG951" i="8" s="1"/>
  <c r="BF927" i="8"/>
  <c r="BG927" i="8" s="1"/>
  <c r="BF903" i="8"/>
  <c r="BG903" i="8" s="1"/>
  <c r="BF879" i="8"/>
  <c r="BG879" i="8" s="1"/>
  <c r="BF855" i="8"/>
  <c r="BG855" i="8" s="1"/>
  <c r="BF831" i="8"/>
  <c r="BG831" i="8" s="1"/>
  <c r="BF807" i="8"/>
  <c r="BG807" i="8" s="1"/>
  <c r="BF783" i="8"/>
  <c r="BG783" i="8" s="1"/>
  <c r="BF759" i="8"/>
  <c r="BG759" i="8" s="1"/>
  <c r="BF735" i="8"/>
  <c r="BG735" i="8" s="1"/>
  <c r="BF711" i="8"/>
  <c r="BG711" i="8" s="1"/>
  <c r="BF687" i="8"/>
  <c r="BG687" i="8" s="1"/>
  <c r="BF663" i="8"/>
  <c r="BG663" i="8" s="1"/>
  <c r="BF639" i="8"/>
  <c r="BG639" i="8" s="1"/>
  <c r="BF615" i="8"/>
  <c r="BG615" i="8" s="1"/>
  <c r="BF591" i="8"/>
  <c r="BG591" i="8" s="1"/>
  <c r="BF567" i="8"/>
  <c r="BG567" i="8" s="1"/>
  <c r="BF543" i="8"/>
  <c r="BG543" i="8" s="1"/>
  <c r="BF519" i="8"/>
  <c r="BG519" i="8" s="1"/>
  <c r="BF495" i="8"/>
  <c r="BG495" i="8" s="1"/>
  <c r="BF471" i="8"/>
  <c r="BG471" i="8" s="1"/>
  <c r="BF447" i="8"/>
  <c r="BG447" i="8" s="1"/>
  <c r="BF423" i="8"/>
  <c r="BG423" i="8" s="1"/>
  <c r="BF399" i="8"/>
  <c r="BG399" i="8" s="1"/>
  <c r="BF375" i="8"/>
  <c r="BG375" i="8" s="1"/>
  <c r="BF351" i="8"/>
  <c r="BG351" i="8" s="1"/>
  <c r="BF327" i="8"/>
  <c r="BG327" i="8" s="1"/>
  <c r="BF303" i="8"/>
  <c r="BG303" i="8" s="1"/>
  <c r="BF279" i="8"/>
  <c r="BG279" i="8" s="1"/>
  <c r="BF255" i="8"/>
  <c r="BG255" i="8" s="1"/>
  <c r="BF231" i="8"/>
  <c r="BG231" i="8" s="1"/>
  <c r="BF207" i="8"/>
  <c r="BG207" i="8" s="1"/>
  <c r="BF124" i="8"/>
  <c r="BG124" i="8" s="1"/>
  <c r="BF52" i="8"/>
  <c r="BG52" i="8" s="1"/>
  <c r="BF1118" i="8"/>
  <c r="BG1118" i="8" s="1"/>
  <c r="BF1094" i="8"/>
  <c r="BG1094" i="8" s="1"/>
  <c r="BF1070" i="8"/>
  <c r="BG1070" i="8" s="1"/>
  <c r="BF1046" i="8"/>
  <c r="BG1046" i="8" s="1"/>
  <c r="BF1022" i="8"/>
  <c r="BG1022" i="8" s="1"/>
  <c r="BF998" i="8"/>
  <c r="BG998" i="8" s="1"/>
  <c r="BF974" i="8"/>
  <c r="BG974" i="8" s="1"/>
  <c r="BF950" i="8"/>
  <c r="BG950" i="8" s="1"/>
  <c r="BF926" i="8"/>
  <c r="BG926" i="8" s="1"/>
  <c r="BF902" i="8"/>
  <c r="BG902" i="8" s="1"/>
  <c r="BF878" i="8"/>
  <c r="BG878" i="8" s="1"/>
  <c r="BF854" i="8"/>
  <c r="BG854" i="8" s="1"/>
  <c r="BF830" i="8"/>
  <c r="BG830" i="8" s="1"/>
  <c r="BF806" i="8"/>
  <c r="BG806" i="8" s="1"/>
  <c r="BF782" i="8"/>
  <c r="BG782" i="8" s="1"/>
  <c r="BF758" i="8"/>
  <c r="BG758" i="8" s="1"/>
  <c r="BF734" i="8"/>
  <c r="BG734" i="8" s="1"/>
  <c r="BF710" i="8"/>
  <c r="BG710" i="8" s="1"/>
  <c r="BF686" i="8"/>
  <c r="BG686" i="8" s="1"/>
  <c r="BF662" i="8"/>
  <c r="BG662" i="8" s="1"/>
  <c r="BF638" i="8"/>
  <c r="BG638" i="8" s="1"/>
  <c r="BF614" i="8"/>
  <c r="BG614" i="8" s="1"/>
  <c r="BF590" i="8"/>
  <c r="BG590" i="8" s="1"/>
  <c r="BF566" i="8"/>
  <c r="BG566" i="8" s="1"/>
  <c r="BF542" i="8"/>
  <c r="BG542" i="8" s="1"/>
  <c r="BF165" i="8"/>
  <c r="BG165" i="8" s="1"/>
  <c r="BF141" i="8"/>
  <c r="BG141" i="8" s="1"/>
  <c r="BF117" i="8"/>
  <c r="BG117" i="8" s="1"/>
  <c r="BF93" i="8"/>
  <c r="BG93" i="8" s="1"/>
  <c r="BF69" i="8"/>
  <c r="BG69" i="8" s="1"/>
  <c r="BF45" i="8"/>
  <c r="BG45" i="8" s="1"/>
  <c r="BF21" i="8"/>
  <c r="BG21" i="8" s="1"/>
  <c r="BF151" i="8"/>
  <c r="BG151" i="8" s="1"/>
  <c r="BF79" i="8"/>
  <c r="BG79" i="8" s="1"/>
  <c r="BF66" i="8"/>
  <c r="BG66" i="8" s="1"/>
  <c r="BF1107" i="8"/>
  <c r="BG1107" i="8" s="1"/>
  <c r="BF1083" i="8"/>
  <c r="BG1083" i="8" s="1"/>
  <c r="BF1059" i="8"/>
  <c r="BG1059" i="8" s="1"/>
  <c r="BF1035" i="8"/>
  <c r="BG1035" i="8" s="1"/>
  <c r="BF1011" i="8"/>
  <c r="BG1011" i="8" s="1"/>
  <c r="BF987" i="8"/>
  <c r="BG987" i="8" s="1"/>
  <c r="BF963" i="8"/>
  <c r="BG963" i="8" s="1"/>
  <c r="BF939" i="8"/>
  <c r="BG939" i="8" s="1"/>
  <c r="BF915" i="8"/>
  <c r="BG915" i="8" s="1"/>
  <c r="BF891" i="8"/>
  <c r="BG891" i="8" s="1"/>
  <c r="BF867" i="8"/>
  <c r="BG867" i="8" s="1"/>
  <c r="BF843" i="8"/>
  <c r="BG843" i="8" s="1"/>
  <c r="BF819" i="8"/>
  <c r="BG819" i="8" s="1"/>
  <c r="BF795" i="8"/>
  <c r="BG795" i="8" s="1"/>
  <c r="BF771" i="8"/>
  <c r="BG771" i="8" s="1"/>
  <c r="BF747" i="8"/>
  <c r="BG747" i="8" s="1"/>
  <c r="BF723" i="8"/>
  <c r="BG723" i="8" s="1"/>
  <c r="BF699" i="8"/>
  <c r="BG699" i="8" s="1"/>
  <c r="BF675" i="8"/>
  <c r="BG675" i="8" s="1"/>
  <c r="BF651" i="8"/>
  <c r="BG651" i="8" s="1"/>
  <c r="BF627" i="8"/>
  <c r="BG627" i="8" s="1"/>
  <c r="BF603" i="8"/>
  <c r="BG603" i="8" s="1"/>
  <c r="BF579" i="8"/>
  <c r="BG579" i="8" s="1"/>
  <c r="BF555" i="8"/>
  <c r="BG555" i="8" s="1"/>
  <c r="BF531" i="8"/>
  <c r="BG531" i="8" s="1"/>
  <c r="BF507" i="8"/>
  <c r="BG507" i="8" s="1"/>
  <c r="BF483" i="8"/>
  <c r="BG483" i="8" s="1"/>
  <c r="BF459" i="8"/>
  <c r="BG459" i="8" s="1"/>
  <c r="BF435" i="8"/>
  <c r="BG435" i="8" s="1"/>
  <c r="BF411" i="8"/>
  <c r="BG411" i="8" s="1"/>
  <c r="BF387" i="8"/>
  <c r="BG387" i="8" s="1"/>
  <c r="BF363" i="8"/>
  <c r="BG363" i="8" s="1"/>
  <c r="BF339" i="8"/>
  <c r="BG339" i="8" s="1"/>
  <c r="BF315" i="8"/>
  <c r="BG315" i="8" s="1"/>
  <c r="BF291" i="8"/>
  <c r="BG291" i="8" s="1"/>
  <c r="BF267" i="8"/>
  <c r="BG267" i="8" s="1"/>
  <c r="BF243" i="8"/>
  <c r="BG243" i="8" s="1"/>
  <c r="BF219" i="8"/>
  <c r="BG219" i="8" s="1"/>
  <c r="BF195" i="8"/>
  <c r="BG195" i="8" s="1"/>
  <c r="BF123" i="8"/>
  <c r="BG123" i="8" s="1"/>
  <c r="BF51" i="8"/>
  <c r="BG51" i="8" s="1"/>
  <c r="BF1105" i="8"/>
  <c r="BG1105" i="8" s="1"/>
  <c r="BF1081" i="8"/>
  <c r="BG1081" i="8" s="1"/>
  <c r="BF1057" i="8"/>
  <c r="BG1057" i="8" s="1"/>
  <c r="BF1033" i="8"/>
  <c r="BG1033" i="8" s="1"/>
  <c r="BF1009" i="8"/>
  <c r="BG1009" i="8" s="1"/>
  <c r="BF985" i="8"/>
  <c r="BG985" i="8" s="1"/>
  <c r="BF961" i="8"/>
  <c r="BG961" i="8" s="1"/>
  <c r="BF937" i="8"/>
  <c r="BG937" i="8" s="1"/>
  <c r="BF913" i="8"/>
  <c r="BG913" i="8" s="1"/>
  <c r="BF889" i="8"/>
  <c r="BG889" i="8" s="1"/>
  <c r="BF865" i="8"/>
  <c r="BG865" i="8" s="1"/>
  <c r="BF841" i="8"/>
  <c r="BG841" i="8" s="1"/>
  <c r="BF817" i="8"/>
  <c r="BG817" i="8" s="1"/>
  <c r="BF793" i="8"/>
  <c r="BG793" i="8" s="1"/>
  <c r="BF769" i="8"/>
  <c r="BG769" i="8" s="1"/>
  <c r="BF745" i="8"/>
  <c r="BG745" i="8" s="1"/>
  <c r="BF721" i="8"/>
  <c r="BG721" i="8" s="1"/>
  <c r="BF697" i="8"/>
  <c r="BG697" i="8" s="1"/>
  <c r="BF673" i="8"/>
  <c r="BG673" i="8" s="1"/>
  <c r="BF649" i="8"/>
  <c r="BG649" i="8" s="1"/>
  <c r="BF625" i="8"/>
  <c r="BG625" i="8" s="1"/>
  <c r="BF601" i="8"/>
  <c r="BG601" i="8" s="1"/>
  <c r="BF577" i="8"/>
  <c r="BG577" i="8" s="1"/>
  <c r="BF136" i="8"/>
  <c r="BG136" i="8" s="1"/>
  <c r="BF1106" i="8"/>
  <c r="BG1106" i="8" s="1"/>
  <c r="BF1082" i="8"/>
  <c r="BG1082" i="8" s="1"/>
  <c r="BF1058" i="8"/>
  <c r="BG1058" i="8" s="1"/>
  <c r="BF1034" i="8"/>
  <c r="BG1034" i="8" s="1"/>
  <c r="BF1010" i="8"/>
  <c r="BG1010" i="8" s="1"/>
  <c r="BF986" i="8"/>
  <c r="BG986" i="8" s="1"/>
  <c r="BF962" i="8"/>
  <c r="BG962" i="8" s="1"/>
  <c r="BF938" i="8"/>
  <c r="BG938" i="8" s="1"/>
  <c r="BF914" i="8"/>
  <c r="BG914" i="8" s="1"/>
  <c r="BF890" i="8"/>
  <c r="BG890" i="8" s="1"/>
  <c r="BF866" i="8"/>
  <c r="BG866" i="8" s="1"/>
  <c r="BF842" i="8"/>
  <c r="BG842" i="8" s="1"/>
  <c r="BF818" i="8"/>
  <c r="BG818" i="8" s="1"/>
  <c r="BF794" i="8"/>
  <c r="BG794" i="8" s="1"/>
  <c r="BF770" i="8"/>
  <c r="BG770" i="8" s="1"/>
  <c r="BF746" i="8"/>
  <c r="BG746" i="8" s="1"/>
  <c r="BF722" i="8"/>
  <c r="BG722" i="8" s="1"/>
  <c r="BF698" i="8"/>
  <c r="BG698" i="8" s="1"/>
  <c r="BF674" i="8"/>
  <c r="BG674" i="8" s="1"/>
  <c r="BF650" i="8"/>
  <c r="BG650" i="8" s="1"/>
  <c r="BF626" i="8"/>
  <c r="BG626" i="8" s="1"/>
  <c r="BF602" i="8"/>
  <c r="BG602" i="8" s="1"/>
  <c r="BF578" i="8"/>
  <c r="BG578" i="8" s="1"/>
  <c r="BF554" i="8"/>
  <c r="BG554" i="8" s="1"/>
  <c r="BF530" i="8"/>
  <c r="BG530" i="8" s="1"/>
  <c r="BF506" i="8"/>
  <c r="BG506" i="8" s="1"/>
  <c r="BF482" i="8"/>
  <c r="BG482" i="8" s="1"/>
  <c r="BF458" i="8"/>
  <c r="BG458" i="8" s="1"/>
  <c r="BF434" i="8"/>
  <c r="BG434" i="8" s="1"/>
  <c r="BF410" i="8"/>
  <c r="BG410" i="8" s="1"/>
  <c r="BF386" i="8"/>
  <c r="BG386" i="8" s="1"/>
  <c r="BF362" i="8"/>
  <c r="BG362" i="8" s="1"/>
  <c r="BF338" i="8"/>
  <c r="BG338" i="8" s="1"/>
  <c r="BF314" i="8"/>
  <c r="BG314" i="8" s="1"/>
  <c r="BF290" i="8"/>
  <c r="BG290" i="8" s="1"/>
  <c r="BF266" i="8"/>
  <c r="BG266" i="8" s="1"/>
  <c r="BF242" i="8"/>
  <c r="BG242" i="8" s="1"/>
  <c r="BF218" i="8"/>
  <c r="BG218" i="8" s="1"/>
  <c r="BF194" i="8"/>
  <c r="BG194" i="8" s="1"/>
  <c r="BF50" i="8"/>
  <c r="BG50" i="8" s="1"/>
  <c r="BF167" i="8"/>
  <c r="BG167" i="8" s="1"/>
  <c r="BF95" i="8"/>
  <c r="BG95" i="8" s="1"/>
  <c r="BF23" i="8"/>
  <c r="BG23" i="8" s="1"/>
  <c r="BF177" i="8"/>
  <c r="BG177" i="8" s="1"/>
  <c r="BF153" i="8"/>
  <c r="BG153" i="8" s="1"/>
  <c r="BF129" i="8"/>
  <c r="BG129" i="8" s="1"/>
  <c r="BF105" i="8"/>
  <c r="BG105" i="8" s="1"/>
  <c r="BF81" i="8"/>
  <c r="BG81" i="8" s="1"/>
  <c r="BF57" i="8"/>
  <c r="BG57" i="8" s="1"/>
  <c r="BF33" i="8"/>
  <c r="BG33" i="8" s="1"/>
  <c r="BF108" i="8"/>
  <c r="BG108" i="8" s="1"/>
  <c r="BF166" i="8"/>
  <c r="BG166" i="8" s="1"/>
  <c r="BF22" i="8"/>
  <c r="BG22" i="8" s="1"/>
  <c r="BF152" i="8"/>
  <c r="BG152" i="8" s="1"/>
  <c r="BF80" i="8"/>
  <c r="BG80" i="8" s="1"/>
  <c r="AQ940" i="8"/>
  <c r="AR940" i="8"/>
  <c r="AQ916" i="8"/>
  <c r="AR916" i="8"/>
  <c r="AQ892" i="8"/>
  <c r="AR892" i="8"/>
  <c r="AQ868" i="8"/>
  <c r="AR868" i="8"/>
  <c r="AQ844" i="8"/>
  <c r="AR844" i="8"/>
  <c r="AQ820" i="8"/>
  <c r="AR820" i="8"/>
  <c r="AQ796" i="8"/>
  <c r="AR796" i="8"/>
  <c r="AQ772" i="8"/>
  <c r="AR772" i="8"/>
  <c r="AQ748" i="8"/>
  <c r="AR748" i="8"/>
  <c r="AQ724" i="8"/>
  <c r="AR724" i="8"/>
  <c r="AQ700" i="8"/>
  <c r="AR700" i="8"/>
  <c r="AQ676" i="8"/>
  <c r="AR676" i="8"/>
  <c r="AQ652" i="8"/>
  <c r="AR652" i="8"/>
  <c r="AQ628" i="8"/>
  <c r="AR628" i="8"/>
  <c r="AQ604" i="8"/>
  <c r="AR604" i="8"/>
  <c r="AQ580" i="8"/>
  <c r="AR580" i="8"/>
  <c r="AQ556" i="8"/>
  <c r="AR556" i="8"/>
  <c r="AQ532" i="8"/>
  <c r="AR532" i="8"/>
  <c r="AQ508" i="8"/>
  <c r="AR508" i="8"/>
  <c r="AQ484" i="8"/>
  <c r="AR484" i="8"/>
  <c r="AQ460" i="8"/>
  <c r="AR460" i="8"/>
  <c r="AQ436" i="8"/>
  <c r="AR436" i="8"/>
  <c r="AQ412" i="8"/>
  <c r="AR412" i="8"/>
  <c r="AQ388" i="8"/>
  <c r="AR388" i="8"/>
  <c r="AQ364" i="8"/>
  <c r="AR364" i="8"/>
  <c r="AQ340" i="8"/>
  <c r="AR340" i="8"/>
  <c r="AQ316" i="8"/>
  <c r="AR316" i="8"/>
  <c r="AQ292" i="8"/>
  <c r="AR292" i="8"/>
  <c r="AQ268" i="8"/>
  <c r="AR268" i="8"/>
  <c r="AQ244" i="8"/>
  <c r="AR244" i="8"/>
  <c r="AQ220" i="8"/>
  <c r="AR220" i="8"/>
  <c r="AQ196" i="8"/>
  <c r="AR196" i="8"/>
  <c r="AQ172" i="8"/>
  <c r="AR172" i="8"/>
  <c r="AQ148" i="8"/>
  <c r="AR148" i="8"/>
  <c r="AQ124" i="8"/>
  <c r="AR124" i="8"/>
  <c r="AQ100" i="8"/>
  <c r="AR100" i="8"/>
  <c r="AQ76" i="8"/>
  <c r="AR76" i="8"/>
  <c r="AQ52" i="8"/>
  <c r="AR52" i="8"/>
  <c r="AQ28" i="8"/>
  <c r="AR28" i="8"/>
  <c r="AR838" i="8"/>
  <c r="AR813" i="8"/>
  <c r="AR738" i="8"/>
  <c r="AR636" i="8"/>
  <c r="AR444" i="8"/>
  <c r="AR252" i="8"/>
  <c r="AR60" i="8"/>
  <c r="AQ1092" i="8"/>
  <c r="AQ1064" i="8"/>
  <c r="AQ1006" i="8"/>
  <c r="AQ978" i="8"/>
  <c r="AQ948" i="8"/>
  <c r="AQ920" i="8"/>
  <c r="AQ862" i="8"/>
  <c r="AQ834" i="8"/>
  <c r="AQ804" i="8"/>
  <c r="AQ776" i="8"/>
  <c r="AQ718" i="8"/>
  <c r="AQ690" i="8"/>
  <c r="AQ660" i="8"/>
  <c r="AQ632" i="8"/>
  <c r="AQ574" i="8"/>
  <c r="AQ546" i="8"/>
  <c r="AQ516" i="8"/>
  <c r="AQ488" i="8"/>
  <c r="AQ430" i="8"/>
  <c r="AQ402" i="8"/>
  <c r="AQ372" i="8"/>
  <c r="AQ344" i="8"/>
  <c r="AQ286" i="8"/>
  <c r="AQ258" i="8"/>
  <c r="AQ228" i="8"/>
  <c r="AQ200" i="8"/>
  <c r="AQ142" i="8"/>
  <c r="AQ114" i="8"/>
  <c r="AQ84" i="8"/>
  <c r="AQ56" i="8"/>
  <c r="AQ27" i="8"/>
  <c r="AR608" i="8"/>
  <c r="AR526" i="8"/>
  <c r="AR416" i="8"/>
  <c r="AR334" i="8"/>
  <c r="AR224" i="8"/>
  <c r="AR32" i="8"/>
  <c r="AQ1005" i="8"/>
  <c r="AQ717" i="8"/>
  <c r="AQ573" i="8"/>
  <c r="AQ285" i="8"/>
  <c r="AR886" i="8"/>
  <c r="AQ231" i="8"/>
  <c r="AQ207" i="8"/>
  <c r="AQ183" i="8"/>
  <c r="AQ159" i="8"/>
  <c r="AQ135" i="8"/>
  <c r="AQ111" i="8"/>
  <c r="AQ87" i="8"/>
  <c r="AQ63" i="8"/>
  <c r="AQ39" i="8"/>
  <c r="AQ15" i="8"/>
  <c r="AR910" i="8"/>
  <c r="AR810" i="8"/>
  <c r="AR468" i="8"/>
  <c r="AR276" i="8"/>
  <c r="AQ1116" i="8"/>
  <c r="AR934" i="8"/>
  <c r="AR684" i="8"/>
  <c r="AR550" i="8"/>
  <c r="AR440" i="8"/>
  <c r="AR358" i="8"/>
  <c r="AR248" i="8"/>
  <c r="AR166" i="8"/>
  <c r="AQ1088" i="8"/>
  <c r="AQ1030" i="8"/>
  <c r="AQ1002" i="8"/>
  <c r="AQ972" i="8"/>
  <c r="AQ944" i="8"/>
  <c r="AQ858" i="8"/>
  <c r="AQ828" i="8"/>
  <c r="AQ800" i="8"/>
  <c r="AQ742" i="8"/>
  <c r="AQ656" i="8"/>
  <c r="AQ598" i="8"/>
  <c r="AQ570" i="8"/>
  <c r="AQ540" i="8"/>
  <c r="AQ512" i="8"/>
  <c r="AQ454" i="8"/>
  <c r="AQ426" i="8"/>
  <c r="AQ396" i="8"/>
  <c r="AQ368" i="8"/>
  <c r="AQ310" i="8"/>
  <c r="AQ282" i="8"/>
  <c r="AQ138" i="8"/>
  <c r="AQ108" i="8"/>
  <c r="AQ80" i="8"/>
  <c r="AQ22" i="8"/>
  <c r="AR1126" i="8"/>
  <c r="AR1102" i="8"/>
  <c r="AR1078" i="8"/>
  <c r="AR1054" i="8"/>
  <c r="AR982" i="8"/>
  <c r="AR958" i="8"/>
  <c r="AR933" i="8"/>
  <c r="AR708" i="8"/>
  <c r="AR357" i="8"/>
  <c r="AR165" i="8"/>
  <c r="AQ1087" i="8"/>
  <c r="AQ1029" i="8"/>
  <c r="AQ943" i="8"/>
  <c r="AQ655" i="8"/>
  <c r="AQ453" i="8"/>
  <c r="AQ367" i="8"/>
  <c r="AQ79" i="8"/>
  <c r="AR1125" i="8"/>
  <c r="AR1101" i="8"/>
  <c r="AR1077" i="8"/>
  <c r="AR957" i="8"/>
  <c r="AR882" i="8"/>
  <c r="AR732" i="8"/>
  <c r="AR492" i="8"/>
  <c r="AR300" i="8"/>
  <c r="AR906" i="8"/>
  <c r="AR756" i="8"/>
  <c r="AR681" i="8"/>
  <c r="AR464" i="8"/>
  <c r="AR382" i="8"/>
  <c r="AR272" i="8"/>
  <c r="AR190" i="8"/>
  <c r="AQ1112" i="8"/>
  <c r="AR930" i="8"/>
  <c r="AR780" i="8"/>
  <c r="AR680" i="8"/>
  <c r="AR381" i="8"/>
  <c r="AR271" i="8"/>
  <c r="AQ1111" i="8"/>
  <c r="AQ1026" i="8"/>
  <c r="AQ996" i="8"/>
  <c r="AQ968" i="8"/>
  <c r="AQ852" i="8"/>
  <c r="AQ766" i="8"/>
  <c r="AQ622" i="8"/>
  <c r="AQ594" i="8"/>
  <c r="AQ564" i="8"/>
  <c r="AQ536" i="8"/>
  <c r="AQ478" i="8"/>
  <c r="AQ450" i="8"/>
  <c r="AQ420" i="8"/>
  <c r="AQ392" i="8"/>
  <c r="AQ306" i="8"/>
  <c r="AQ162" i="8"/>
  <c r="AQ132" i="8"/>
  <c r="AQ104" i="8"/>
  <c r="AQ46" i="8"/>
  <c r="AQ18" i="8"/>
  <c r="AR1122" i="8"/>
  <c r="AR1098" i="8"/>
  <c r="AR1074" i="8"/>
  <c r="AR1050" i="8"/>
  <c r="AR954" i="8"/>
  <c r="AR854" i="8"/>
  <c r="AR779" i="8"/>
  <c r="AR704" i="8"/>
  <c r="AR679" i="8"/>
  <c r="AR324" i="8"/>
  <c r="AR215" i="8"/>
  <c r="AQ1025" i="8"/>
  <c r="AQ765" i="8"/>
  <c r="AQ593" i="8"/>
  <c r="AQ449" i="8"/>
  <c r="AQ419" i="8"/>
  <c r="AQ305" i="8"/>
  <c r="AQ161" i="8"/>
  <c r="AQ131" i="8"/>
  <c r="AQ103" i="8"/>
  <c r="AQ17" i="8"/>
  <c r="AR1097" i="8"/>
  <c r="AR953" i="8"/>
  <c r="AR878" i="8"/>
  <c r="AR778" i="8"/>
  <c r="AR728" i="8"/>
  <c r="AR678" i="8"/>
  <c r="AR542" i="8"/>
  <c r="AR406" i="8"/>
  <c r="AR350" i="8"/>
  <c r="AR296" i="8"/>
  <c r="AR214" i="8"/>
  <c r="AR187" i="8"/>
  <c r="AR158" i="8"/>
  <c r="AQ1109" i="8"/>
  <c r="AQ966" i="8"/>
  <c r="AQ476" i="8"/>
  <c r="AQ130" i="8"/>
  <c r="AR1096" i="8"/>
  <c r="AR902" i="8"/>
  <c r="AR877" i="8"/>
  <c r="AR752" i="8"/>
  <c r="AR677" i="8"/>
  <c r="AR432" i="8"/>
  <c r="AR405" i="8"/>
  <c r="AR295" i="8"/>
  <c r="AQ965" i="8"/>
  <c r="AQ791" i="8"/>
  <c r="AQ503" i="8"/>
  <c r="AQ475" i="8"/>
  <c r="AR876" i="8"/>
  <c r="AR348" i="8"/>
  <c r="AR156" i="8"/>
  <c r="AQ1020" i="8"/>
  <c r="AQ992" i="8"/>
  <c r="AQ848" i="8"/>
  <c r="AQ790" i="8"/>
  <c r="AQ646" i="8"/>
  <c r="AQ618" i="8"/>
  <c r="AQ588" i="8"/>
  <c r="AQ560" i="8"/>
  <c r="AQ502" i="8"/>
  <c r="AQ474" i="8"/>
  <c r="AQ330" i="8"/>
  <c r="AQ186" i="8"/>
  <c r="AQ128" i="8"/>
  <c r="AQ70" i="8"/>
  <c r="AQ42" i="8"/>
  <c r="AR900" i="8"/>
  <c r="AR320" i="8"/>
  <c r="AR238" i="8"/>
  <c r="AQ991" i="8"/>
  <c r="AQ559" i="8"/>
  <c r="AQ69" i="8"/>
  <c r="AQ579" i="8"/>
  <c r="AQ555" i="8"/>
  <c r="AQ531" i="8"/>
  <c r="AQ507" i="8"/>
  <c r="AQ483" i="8"/>
  <c r="AQ459" i="8"/>
  <c r="AQ435" i="8"/>
  <c r="AQ411" i="8"/>
  <c r="AQ387" i="8"/>
  <c r="AQ363" i="8"/>
  <c r="AQ339" i="8"/>
  <c r="AQ315" i="8"/>
  <c r="AQ291" i="8"/>
  <c r="AQ267" i="8"/>
  <c r="AQ243" i="8"/>
  <c r="AQ219" i="8"/>
  <c r="AQ195" i="8"/>
  <c r="AQ171" i="8"/>
  <c r="AQ147" i="8"/>
  <c r="AQ123" i="8"/>
  <c r="AQ99" i="8"/>
  <c r="AQ75" i="8"/>
  <c r="AQ51" i="8"/>
  <c r="AR1068" i="8"/>
  <c r="AR1044" i="8"/>
  <c r="AR180" i="8"/>
  <c r="AR872" i="8"/>
  <c r="AR262" i="8"/>
  <c r="AR152" i="8"/>
  <c r="AQ1016" i="8"/>
  <c r="AQ670" i="8"/>
  <c r="AQ642" i="8"/>
  <c r="AQ612" i="8"/>
  <c r="AQ584" i="8"/>
  <c r="AQ498" i="8"/>
  <c r="AQ354" i="8"/>
  <c r="AQ210" i="8"/>
  <c r="AQ94" i="8"/>
  <c r="AQ66" i="8"/>
  <c r="AQ36" i="8"/>
  <c r="AR896" i="8"/>
  <c r="AQ1015" i="8"/>
  <c r="AQ669" i="8"/>
  <c r="AQ93" i="8"/>
  <c r="AR694" i="8"/>
  <c r="AR204" i="8"/>
  <c r="AR1040" i="8"/>
  <c r="AR176" i="8"/>
  <c r="AR175" i="8"/>
  <c r="AQ666" i="8"/>
  <c r="AQ522" i="8"/>
  <c r="AQ378" i="8"/>
  <c r="AQ234" i="8"/>
  <c r="AQ118" i="8"/>
  <c r="AQ90" i="8"/>
  <c r="AR1038" i="8"/>
  <c r="AR665" i="8"/>
  <c r="AQ865" i="8"/>
  <c r="AQ521" i="8"/>
  <c r="AQ377" i="8"/>
  <c r="AQ233" i="8"/>
  <c r="AQ89" i="8"/>
  <c r="AR638" i="8"/>
  <c r="AR446" i="8"/>
  <c r="AR254" i="8"/>
  <c r="AR62" i="8"/>
  <c r="U448" i="2"/>
  <c r="U352" i="2"/>
  <c r="R472" i="2"/>
  <c r="Y472" i="2" s="1"/>
  <c r="W976" i="2"/>
  <c r="W880" i="2"/>
  <c r="W784" i="2"/>
  <c r="W184" i="2"/>
  <c r="V520" i="2"/>
  <c r="U568" i="2"/>
  <c r="U472" i="2"/>
  <c r="U376" i="2"/>
  <c r="T1120" i="2"/>
  <c r="AA1120" i="2" s="1"/>
  <c r="T1024" i="2"/>
  <c r="AA1024" i="2" s="1"/>
  <c r="T40" i="2"/>
  <c r="AA40" i="2" s="1"/>
  <c r="S88" i="2"/>
  <c r="Z88" i="2" s="1"/>
  <c r="R904" i="2"/>
  <c r="Y904" i="2" s="1"/>
  <c r="V1024" i="2"/>
  <c r="V928" i="2"/>
  <c r="V832" i="2"/>
  <c r="U280" i="2"/>
  <c r="T928" i="2"/>
  <c r="AA928" i="2" s="1"/>
  <c r="T832" i="2"/>
  <c r="AA832" i="2" s="1"/>
  <c r="S400" i="2"/>
  <c r="Z400" i="2" s="1"/>
  <c r="R496" i="2"/>
  <c r="Y496" i="2" s="1"/>
  <c r="R256" i="2"/>
  <c r="Y256" i="2" s="1"/>
  <c r="W688" i="2"/>
  <c r="W592" i="2"/>
  <c r="W88" i="2"/>
  <c r="V424" i="2"/>
  <c r="U184" i="2"/>
  <c r="U88" i="2"/>
  <c r="T736" i="2"/>
  <c r="AA736" i="2" s="1"/>
  <c r="R664" i="2"/>
  <c r="Y664" i="2" s="1"/>
  <c r="W496" i="2"/>
  <c r="V328" i="2"/>
  <c r="V232" i="2"/>
  <c r="U1072" i="2"/>
  <c r="U976" i="2"/>
  <c r="U880" i="2"/>
  <c r="T640" i="2"/>
  <c r="AA640" i="2" s="1"/>
  <c r="T544" i="2"/>
  <c r="AA544" i="2" s="1"/>
  <c r="S1096" i="2"/>
  <c r="Z1096" i="2" s="1"/>
  <c r="S304" i="2"/>
  <c r="Z304" i="2" s="1"/>
  <c r="R832" i="2"/>
  <c r="Y832" i="2" s="1"/>
  <c r="R424" i="2"/>
  <c r="Y424" i="2" s="1"/>
  <c r="R184" i="2"/>
  <c r="Y184" i="2" s="1"/>
  <c r="W400" i="2"/>
  <c r="V736" i="2"/>
  <c r="V136" i="2"/>
  <c r="U784" i="2"/>
  <c r="T448" i="2"/>
  <c r="AA448" i="2" s="1"/>
  <c r="S1000" i="2"/>
  <c r="Z1000" i="2" s="1"/>
  <c r="S904" i="2"/>
  <c r="Z904" i="2" s="1"/>
  <c r="S808" i="2"/>
  <c r="Z808" i="2" s="1"/>
  <c r="S208" i="2"/>
  <c r="Z208" i="2" s="1"/>
  <c r="R1000" i="2"/>
  <c r="Y1000" i="2" s="1"/>
  <c r="R112" i="2"/>
  <c r="Y112" i="2" s="1"/>
  <c r="W1096" i="2"/>
  <c r="W304" i="2"/>
  <c r="W208" i="2"/>
  <c r="V640" i="2"/>
  <c r="V40" i="2"/>
  <c r="U688" i="2"/>
  <c r="U592" i="2"/>
  <c r="T352" i="2"/>
  <c r="AA352" i="2" s="1"/>
  <c r="T256" i="2"/>
  <c r="AA256" i="2" s="1"/>
  <c r="T160" i="2"/>
  <c r="AA160" i="2" s="1"/>
  <c r="S712" i="2"/>
  <c r="Z712" i="2" s="1"/>
  <c r="S616" i="2"/>
  <c r="Z616" i="2" s="1"/>
  <c r="S520" i="2"/>
  <c r="Z520" i="2" s="1"/>
  <c r="R1072" i="2"/>
  <c r="Y1072" i="2" s="1"/>
  <c r="R592" i="2"/>
  <c r="Y592" i="2" s="1"/>
  <c r="R352" i="2"/>
  <c r="Y352" i="2" s="1"/>
  <c r="S472" i="2"/>
  <c r="Z472" i="2" s="1"/>
  <c r="W1000" i="2"/>
  <c r="W904" i="2"/>
  <c r="W808" i="2"/>
  <c r="V544" i="2"/>
  <c r="U496" i="2"/>
  <c r="U400" i="2"/>
  <c r="U304" i="2"/>
  <c r="T1048" i="2"/>
  <c r="AA1048" i="2" s="1"/>
  <c r="T952" i="2"/>
  <c r="AA952" i="2" s="1"/>
  <c r="T64" i="2"/>
  <c r="AA64" i="2" s="1"/>
  <c r="S112" i="2"/>
  <c r="Z112" i="2" s="1"/>
  <c r="R760" i="2"/>
  <c r="Y760" i="2" s="1"/>
  <c r="R40" i="2"/>
  <c r="Y40" i="2" s="1"/>
  <c r="W712" i="2"/>
  <c r="W112" i="2"/>
  <c r="V1048" i="2"/>
  <c r="V952" i="2"/>
  <c r="V856" i="2"/>
  <c r="U208" i="2"/>
  <c r="T856" i="2"/>
  <c r="AA856" i="2" s="1"/>
  <c r="S424" i="2"/>
  <c r="Z424" i="2" s="1"/>
  <c r="R928" i="2"/>
  <c r="Y928" i="2" s="1"/>
  <c r="W616" i="2"/>
  <c r="V448" i="2"/>
  <c r="U112" i="2"/>
  <c r="T760" i="2"/>
  <c r="AA760" i="2" s="1"/>
  <c r="T664" i="2"/>
  <c r="AA664" i="2" s="1"/>
  <c r="R520" i="2"/>
  <c r="Y520" i="2" s="1"/>
  <c r="W520" i="2"/>
  <c r="V352" i="2"/>
  <c r="V256" i="2"/>
  <c r="U1096" i="2"/>
  <c r="U1000" i="2"/>
  <c r="U904" i="2"/>
  <c r="T568" i="2"/>
  <c r="AA568" i="2" s="1"/>
  <c r="S1120" i="2"/>
  <c r="Z1120" i="2" s="1"/>
  <c r="S1024" i="2"/>
  <c r="Z1024" i="2" s="1"/>
  <c r="S328" i="2"/>
  <c r="Z328" i="2" s="1"/>
  <c r="R688" i="2"/>
  <c r="Y688" i="2" s="1"/>
  <c r="W424" i="2"/>
  <c r="V760" i="2"/>
  <c r="V160" i="2"/>
  <c r="U808" i="2"/>
  <c r="T472" i="2"/>
  <c r="AA472" i="2" s="1"/>
  <c r="T376" i="2"/>
  <c r="AA376" i="2" s="1"/>
  <c r="S928" i="2"/>
  <c r="Z928" i="2" s="1"/>
  <c r="S832" i="2"/>
  <c r="Z832" i="2" s="1"/>
  <c r="S736" i="2"/>
  <c r="Z736" i="2" s="1"/>
  <c r="S232" i="2"/>
  <c r="Z232" i="2" s="1"/>
  <c r="R856" i="2"/>
  <c r="Y856" i="2" s="1"/>
  <c r="R448" i="2"/>
  <c r="Y448" i="2" s="1"/>
  <c r="R280" i="2"/>
  <c r="Y280" i="2" s="1"/>
  <c r="R208" i="2"/>
  <c r="Y208" i="2" s="1"/>
  <c r="W1120" i="2"/>
  <c r="W1024" i="2"/>
  <c r="W328" i="2"/>
  <c r="W232" i="2"/>
  <c r="V664" i="2"/>
  <c r="V64" i="2"/>
  <c r="U712" i="2"/>
  <c r="U616" i="2"/>
  <c r="T280" i="2"/>
  <c r="AA280" i="2" s="1"/>
  <c r="T184" i="2"/>
  <c r="AA184" i="2" s="1"/>
  <c r="T88" i="2"/>
  <c r="AA88" i="2" s="1"/>
  <c r="S640" i="2"/>
  <c r="Z640" i="2" s="1"/>
  <c r="S544" i="2"/>
  <c r="Z544" i="2" s="1"/>
  <c r="W928" i="2"/>
  <c r="W832" i="2"/>
  <c r="W736" i="2"/>
  <c r="V1072" i="2"/>
  <c r="V568" i="2"/>
  <c r="U520" i="2"/>
  <c r="U424" i="2"/>
  <c r="U328" i="2"/>
  <c r="T1072" i="2"/>
  <c r="AA1072" i="2" s="1"/>
  <c r="T976" i="2"/>
  <c r="AA976" i="2" s="1"/>
  <c r="S448" i="2"/>
  <c r="Z448" i="2" s="1"/>
  <c r="S136" i="2"/>
  <c r="Z136" i="2" s="1"/>
  <c r="S40" i="2"/>
  <c r="Z40" i="2" s="1"/>
  <c r="R1024" i="2"/>
  <c r="Y1024" i="2" s="1"/>
  <c r="R616" i="2"/>
  <c r="Y616" i="2" s="1"/>
  <c r="R136" i="2"/>
  <c r="Y136" i="2" s="1"/>
  <c r="W136" i="2"/>
  <c r="V976" i="2"/>
  <c r="V880" i="2"/>
  <c r="U232" i="2"/>
  <c r="T880" i="2"/>
  <c r="AA880" i="2" s="1"/>
  <c r="T784" i="2"/>
  <c r="AA784" i="2" s="1"/>
  <c r="R1096" i="2"/>
  <c r="Y1096" i="2" s="1"/>
  <c r="R784" i="2"/>
  <c r="Y784" i="2" s="1"/>
  <c r="R376" i="2"/>
  <c r="Y376" i="2" s="1"/>
  <c r="W640" i="2"/>
  <c r="W40" i="2"/>
  <c r="V472" i="2"/>
  <c r="V376" i="2"/>
  <c r="U136" i="2"/>
  <c r="T688" i="2"/>
  <c r="AA688" i="2" s="1"/>
  <c r="R952" i="2"/>
  <c r="Y952" i="2" s="1"/>
  <c r="R64" i="2"/>
  <c r="Y64" i="2" s="1"/>
  <c r="W544" i="2"/>
  <c r="V784" i="2"/>
  <c r="V280" i="2"/>
  <c r="U1120" i="2"/>
  <c r="T592" i="2"/>
  <c r="AA592" i="2" s="1"/>
  <c r="S1048" i="2"/>
  <c r="Z1048" i="2" s="1"/>
  <c r="S352" i="2"/>
  <c r="Z352" i="2" s="1"/>
  <c r="S256" i="2"/>
  <c r="Z256" i="2" s="1"/>
  <c r="R544" i="2"/>
  <c r="Y544" i="2" s="1"/>
  <c r="V184" i="2"/>
  <c r="T496" i="2"/>
  <c r="AA496" i="2" s="1"/>
  <c r="T400" i="2"/>
  <c r="AA400" i="2" s="1"/>
  <c r="S952" i="2"/>
  <c r="Z952" i="2" s="1"/>
  <c r="S856" i="2"/>
  <c r="Z856" i="2" s="1"/>
  <c r="S760" i="2"/>
  <c r="Z760" i="2" s="1"/>
  <c r="R712" i="2"/>
  <c r="Y712" i="2" s="1"/>
  <c r="R232" i="2"/>
  <c r="Y232" i="2" s="1"/>
  <c r="W1048" i="2"/>
  <c r="W256" i="2"/>
  <c r="V688" i="2"/>
  <c r="V592" i="2"/>
  <c r="V88" i="2"/>
  <c r="U736" i="2"/>
  <c r="U640" i="2"/>
  <c r="T304" i="2"/>
  <c r="AA304" i="2" s="1"/>
  <c r="T208" i="2"/>
  <c r="AA208" i="2" s="1"/>
  <c r="T112" i="2"/>
  <c r="AA112" i="2" s="1"/>
  <c r="S664" i="2"/>
  <c r="Z664" i="2" s="1"/>
  <c r="S568" i="2"/>
  <c r="Z568" i="2" s="1"/>
  <c r="S160" i="2"/>
  <c r="Z160" i="2" s="1"/>
  <c r="R880" i="2"/>
  <c r="Y880" i="2" s="1"/>
  <c r="R304" i="2"/>
  <c r="Y304" i="2" s="1"/>
  <c r="V904" i="2"/>
  <c r="T808" i="2"/>
  <c r="AA808" i="2" s="1"/>
  <c r="S376" i="2"/>
  <c r="Z376" i="2" s="1"/>
  <c r="W664" i="2"/>
  <c r="W568" i="2"/>
  <c r="W64" i="2"/>
  <c r="V808" i="2"/>
  <c r="V496" i="2"/>
  <c r="V400" i="2"/>
  <c r="U160" i="2"/>
  <c r="T712" i="2"/>
  <c r="AA712" i="2" s="1"/>
  <c r="U1048" i="2"/>
  <c r="T616" i="2"/>
  <c r="AA616" i="2" s="1"/>
  <c r="S1072" i="2"/>
  <c r="Z1072" i="2" s="1"/>
  <c r="S280" i="2"/>
  <c r="Z280" i="2" s="1"/>
  <c r="R1120" i="2"/>
  <c r="Y1120" i="2" s="1"/>
  <c r="R976" i="2"/>
  <c r="Y976" i="2" s="1"/>
  <c r="T328" i="2"/>
  <c r="AA328" i="2" s="1"/>
  <c r="R216" i="2"/>
  <c r="Y216" i="2" s="1"/>
  <c r="R1032" i="2"/>
  <c r="Y1032" i="2" s="1"/>
  <c r="R510" i="2"/>
  <c r="Y510" i="2" s="1"/>
  <c r="W1056" i="2"/>
  <c r="W936" i="2"/>
  <c r="W336" i="2"/>
  <c r="W96" i="2"/>
  <c r="V888" i="2"/>
  <c r="U960" i="2"/>
  <c r="U840" i="2"/>
  <c r="U720" i="2"/>
  <c r="T216" i="2"/>
  <c r="AA216" i="2" s="1"/>
  <c r="S1128" i="2"/>
  <c r="Z1128" i="2" s="1"/>
  <c r="S1008" i="2"/>
  <c r="Z1008" i="2" s="1"/>
  <c r="R864" i="2"/>
  <c r="Y864" i="2" s="1"/>
  <c r="R48" i="2"/>
  <c r="Y48" i="2" s="1"/>
  <c r="W456" i="2"/>
  <c r="U600" i="2"/>
  <c r="U480" i="2"/>
  <c r="T96" i="2"/>
  <c r="AA96" i="2" s="1"/>
  <c r="V1128" i="2"/>
  <c r="V1008" i="2"/>
  <c r="V768" i="2"/>
  <c r="V648" i="2"/>
  <c r="V528" i="2"/>
  <c r="V48" i="2"/>
  <c r="U1080" i="2"/>
  <c r="T456" i="2"/>
  <c r="AA456" i="2" s="1"/>
  <c r="T336" i="2"/>
  <c r="AA336" i="2" s="1"/>
  <c r="S192" i="2"/>
  <c r="Z192" i="2" s="1"/>
  <c r="R984" i="2"/>
  <c r="Y984" i="2" s="1"/>
  <c r="R288" i="2"/>
  <c r="Y288" i="2" s="1"/>
  <c r="R168" i="2"/>
  <c r="Y168" i="2" s="1"/>
  <c r="V408" i="2"/>
  <c r="V288" i="2"/>
  <c r="V168" i="2"/>
  <c r="T816" i="2"/>
  <c r="AA816" i="2" s="1"/>
  <c r="T696" i="2"/>
  <c r="AA696" i="2" s="1"/>
  <c r="T576" i="2"/>
  <c r="AA576" i="2" s="1"/>
  <c r="S552" i="2"/>
  <c r="Z552" i="2" s="1"/>
  <c r="S432" i="2"/>
  <c r="Z432" i="2" s="1"/>
  <c r="S312" i="2"/>
  <c r="Z312" i="2" s="1"/>
  <c r="S72" i="2"/>
  <c r="Z72" i="2" s="1"/>
  <c r="R1104" i="2"/>
  <c r="Y1104" i="2" s="1"/>
  <c r="R528" i="2"/>
  <c r="Y528" i="2" s="1"/>
  <c r="R408" i="2"/>
  <c r="Y408" i="2" s="1"/>
  <c r="U384" i="2"/>
  <c r="U264" i="2"/>
  <c r="U144" i="2"/>
  <c r="T1056" i="2"/>
  <c r="AA1056" i="2" s="1"/>
  <c r="T936" i="2"/>
  <c r="AA936" i="2" s="1"/>
  <c r="S792" i="2"/>
  <c r="Z792" i="2" s="1"/>
  <c r="S672" i="2"/>
  <c r="Z672" i="2" s="1"/>
  <c r="R648" i="2"/>
  <c r="Y648" i="2" s="1"/>
  <c r="W840" i="2"/>
  <c r="W720" i="2"/>
  <c r="W600" i="2"/>
  <c r="W480" i="2"/>
  <c r="W240" i="2"/>
  <c r="U624" i="2"/>
  <c r="U504" i="2"/>
  <c r="T120" i="2"/>
  <c r="AA120" i="2" s="1"/>
  <c r="S1032" i="2"/>
  <c r="Z1032" i="2" s="1"/>
  <c r="S912" i="2"/>
  <c r="Z912" i="2" s="1"/>
  <c r="R768" i="2"/>
  <c r="Y768" i="2" s="1"/>
  <c r="W696" i="2"/>
  <c r="W1080" i="2"/>
  <c r="W960" i="2"/>
  <c r="W360" i="2"/>
  <c r="W120" i="2"/>
  <c r="V912" i="2"/>
  <c r="U984" i="2"/>
  <c r="U864" i="2"/>
  <c r="U744" i="2"/>
  <c r="T240" i="2"/>
  <c r="AA240" i="2" s="1"/>
  <c r="R888" i="2"/>
  <c r="Y888" i="2" s="1"/>
  <c r="R72" i="2"/>
  <c r="Y72" i="2" s="1"/>
  <c r="W816" i="2"/>
  <c r="W216" i="2"/>
  <c r="V1032" i="2"/>
  <c r="V792" i="2"/>
  <c r="V672" i="2"/>
  <c r="V552" i="2"/>
  <c r="V72" i="2"/>
  <c r="U1104" i="2"/>
  <c r="T480" i="2"/>
  <c r="AA480" i="2" s="1"/>
  <c r="T360" i="2"/>
  <c r="AA360" i="2" s="1"/>
  <c r="S456" i="2"/>
  <c r="Z456" i="2" s="1"/>
  <c r="S216" i="2"/>
  <c r="Z216" i="2" s="1"/>
  <c r="R1008" i="2"/>
  <c r="Y1008" i="2" s="1"/>
  <c r="R312" i="2"/>
  <c r="Y312" i="2" s="1"/>
  <c r="R192" i="2"/>
  <c r="Y192" i="2" s="1"/>
  <c r="W576" i="2"/>
  <c r="S888" i="2"/>
  <c r="Z888" i="2" s="1"/>
  <c r="R744" i="2"/>
  <c r="Y744" i="2" s="1"/>
  <c r="V432" i="2"/>
  <c r="V312" i="2"/>
  <c r="V192" i="2"/>
  <c r="U48" i="2"/>
  <c r="T960" i="2"/>
  <c r="AA960" i="2" s="1"/>
  <c r="T840" i="2"/>
  <c r="AA840" i="2" s="1"/>
  <c r="T720" i="2"/>
  <c r="AA720" i="2" s="1"/>
  <c r="T600" i="2"/>
  <c r="AA600" i="2" s="1"/>
  <c r="S576" i="2"/>
  <c r="Z576" i="2" s="1"/>
  <c r="S336" i="2"/>
  <c r="Z336" i="2" s="1"/>
  <c r="S96" i="2"/>
  <c r="Z96" i="2" s="1"/>
  <c r="R1128" i="2"/>
  <c r="Y1128" i="2" s="1"/>
  <c r="R552" i="2"/>
  <c r="Y552" i="2" s="1"/>
  <c r="R432" i="2"/>
  <c r="Y432" i="2" s="1"/>
  <c r="W744" i="2"/>
  <c r="U408" i="2"/>
  <c r="U288" i="2"/>
  <c r="U168" i="2"/>
  <c r="T1080" i="2"/>
  <c r="AA1080" i="2" s="1"/>
  <c r="S816" i="2"/>
  <c r="Z816" i="2" s="1"/>
  <c r="S696" i="2"/>
  <c r="Z696" i="2" s="1"/>
  <c r="R672" i="2"/>
  <c r="Y672" i="2" s="1"/>
  <c r="W864" i="2"/>
  <c r="W624" i="2"/>
  <c r="W504" i="2"/>
  <c r="W384" i="2"/>
  <c r="W264" i="2"/>
  <c r="V816" i="2"/>
  <c r="U888" i="2"/>
  <c r="U768" i="2"/>
  <c r="U648" i="2"/>
  <c r="U528" i="2"/>
  <c r="T144" i="2"/>
  <c r="AA144" i="2" s="1"/>
  <c r="S1056" i="2"/>
  <c r="Z1056" i="2" s="1"/>
  <c r="S936" i="2"/>
  <c r="Z936" i="2" s="1"/>
  <c r="R792" i="2"/>
  <c r="Y792" i="2" s="1"/>
  <c r="W1104" i="2"/>
  <c r="W984" i="2"/>
  <c r="W144" i="2"/>
  <c r="V936" i="2"/>
  <c r="V576" i="2"/>
  <c r="U1008" i="2"/>
  <c r="T384" i="2"/>
  <c r="AA384" i="2" s="1"/>
  <c r="T264" i="2"/>
  <c r="AA264" i="2" s="1"/>
  <c r="R912" i="2"/>
  <c r="Y912" i="2" s="1"/>
  <c r="R96" i="2"/>
  <c r="Y96" i="2" s="1"/>
  <c r="V456" i="2"/>
  <c r="V336" i="2"/>
  <c r="V216" i="2"/>
  <c r="U312" i="2"/>
  <c r="U192" i="2"/>
  <c r="U72" i="2"/>
  <c r="T984" i="2"/>
  <c r="AA984" i="2" s="1"/>
  <c r="T864" i="2"/>
  <c r="AA864" i="2" s="1"/>
  <c r="T744" i="2"/>
  <c r="AA744" i="2" s="1"/>
  <c r="T624" i="2"/>
  <c r="AA624" i="2" s="1"/>
  <c r="S600" i="2"/>
  <c r="Z600" i="2" s="1"/>
  <c r="S120" i="2"/>
  <c r="Z120" i="2" s="1"/>
  <c r="R576" i="2"/>
  <c r="Y576" i="2" s="1"/>
  <c r="R456" i="2"/>
  <c r="Y456" i="2" s="1"/>
  <c r="W768" i="2"/>
  <c r="U432" i="2"/>
  <c r="T1104" i="2"/>
  <c r="AA1104" i="2" s="1"/>
  <c r="S840" i="2"/>
  <c r="Z840" i="2" s="1"/>
  <c r="S720" i="2"/>
  <c r="Z720" i="2" s="1"/>
  <c r="R696" i="2"/>
  <c r="Y696" i="2" s="1"/>
  <c r="W888" i="2"/>
  <c r="W648" i="2"/>
  <c r="W528" i="2"/>
  <c r="W408" i="2"/>
  <c r="W288" i="2"/>
  <c r="W168" i="2"/>
  <c r="V840" i="2"/>
  <c r="U912" i="2"/>
  <c r="U792" i="2"/>
  <c r="U672" i="2"/>
  <c r="U552" i="2"/>
  <c r="T168" i="2"/>
  <c r="AA168" i="2" s="1"/>
  <c r="T48" i="2"/>
  <c r="AA48" i="2" s="1"/>
  <c r="S1080" i="2"/>
  <c r="Z1080" i="2" s="1"/>
  <c r="S960" i="2"/>
  <c r="Z960" i="2" s="1"/>
  <c r="R816" i="2"/>
  <c r="Y816" i="2" s="1"/>
  <c r="W1128" i="2"/>
  <c r="W1008" i="2"/>
  <c r="W48" i="2"/>
  <c r="V960" i="2"/>
  <c r="V600" i="2"/>
  <c r="U1032" i="2"/>
  <c r="T408" i="2"/>
  <c r="AA408" i="2" s="1"/>
  <c r="T288" i="2"/>
  <c r="AA288" i="2" s="1"/>
  <c r="R936" i="2"/>
  <c r="Y936" i="2" s="1"/>
  <c r="R240" i="2"/>
  <c r="Y240" i="2" s="1"/>
  <c r="R120" i="2"/>
  <c r="Y120" i="2" s="1"/>
  <c r="V1080" i="2"/>
  <c r="V720" i="2"/>
  <c r="V360" i="2"/>
  <c r="V240" i="2"/>
  <c r="V120" i="2"/>
  <c r="T768" i="2"/>
  <c r="AA768" i="2" s="1"/>
  <c r="T528" i="2"/>
  <c r="AA528" i="2" s="1"/>
  <c r="S504" i="2"/>
  <c r="Z504" i="2" s="1"/>
  <c r="S384" i="2"/>
  <c r="Z384" i="2" s="1"/>
  <c r="S264" i="2"/>
  <c r="Z264" i="2" s="1"/>
  <c r="R1056" i="2"/>
  <c r="Y1056" i="2" s="1"/>
  <c r="R360" i="2"/>
  <c r="Y360" i="2" s="1"/>
  <c r="V480" i="2"/>
  <c r="T648" i="2"/>
  <c r="AA648" i="2" s="1"/>
  <c r="S744" i="2"/>
  <c r="Z744" i="2" s="1"/>
  <c r="S624" i="2"/>
  <c r="Z624" i="2" s="1"/>
  <c r="S144" i="2"/>
  <c r="Z144" i="2" s="1"/>
  <c r="W792" i="2"/>
  <c r="W552" i="2"/>
  <c r="W192" i="2"/>
  <c r="S864" i="2"/>
  <c r="Z864" i="2" s="1"/>
  <c r="W1032" i="2"/>
  <c r="W912" i="2"/>
  <c r="W672" i="2"/>
  <c r="W432" i="2"/>
  <c r="W312" i="2"/>
  <c r="T72" i="2"/>
  <c r="AA72" i="2" s="1"/>
  <c r="S1104" i="2"/>
  <c r="Z1104" i="2" s="1"/>
  <c r="S984" i="2"/>
  <c r="Z984" i="2" s="1"/>
  <c r="V624" i="2"/>
  <c r="R264" i="2"/>
  <c r="Y264" i="2" s="1"/>
  <c r="R144" i="2"/>
  <c r="Y144" i="2" s="1"/>
  <c r="V504" i="2"/>
  <c r="V384" i="2"/>
  <c r="R547" i="2"/>
  <c r="Y547" i="2" s="1"/>
  <c r="V1124" i="2"/>
  <c r="W1124" i="2"/>
  <c r="R1124" i="2"/>
  <c r="Y1124" i="2" s="1"/>
  <c r="S1124" i="2"/>
  <c r="Z1124" i="2" s="1"/>
  <c r="T1124" i="2"/>
  <c r="AA1124" i="2" s="1"/>
  <c r="U1124" i="2"/>
  <c r="T1100" i="2"/>
  <c r="AA1100" i="2" s="1"/>
  <c r="U1100" i="2"/>
  <c r="V1100" i="2"/>
  <c r="W1100" i="2"/>
  <c r="R1100" i="2"/>
  <c r="Y1100" i="2" s="1"/>
  <c r="S1100" i="2"/>
  <c r="Z1100" i="2" s="1"/>
  <c r="S1076" i="2"/>
  <c r="Z1076" i="2" s="1"/>
  <c r="T1076" i="2"/>
  <c r="AA1076" i="2" s="1"/>
  <c r="V1076" i="2"/>
  <c r="W1076" i="2"/>
  <c r="R1076" i="2"/>
  <c r="Y1076" i="2" s="1"/>
  <c r="S1052" i="2"/>
  <c r="Z1052" i="2" s="1"/>
  <c r="T1052" i="2"/>
  <c r="AA1052" i="2" s="1"/>
  <c r="U1052" i="2"/>
  <c r="V1052" i="2"/>
  <c r="W1052" i="2"/>
  <c r="R1052" i="2"/>
  <c r="Y1052" i="2" s="1"/>
  <c r="W1028" i="2"/>
  <c r="R1028" i="2"/>
  <c r="Y1028" i="2" s="1"/>
  <c r="S1028" i="2"/>
  <c r="Z1028" i="2" s="1"/>
  <c r="T1028" i="2"/>
  <c r="AA1028" i="2" s="1"/>
  <c r="U1028" i="2"/>
  <c r="V1028" i="2"/>
  <c r="W1004" i="2"/>
  <c r="S1004" i="2"/>
  <c r="Z1004" i="2" s="1"/>
  <c r="T1004" i="2"/>
  <c r="AA1004" i="2" s="1"/>
  <c r="U1004" i="2"/>
  <c r="V1004" i="2"/>
  <c r="V980" i="2"/>
  <c r="W980" i="2"/>
  <c r="R980" i="2"/>
  <c r="Y980" i="2" s="1"/>
  <c r="S980" i="2"/>
  <c r="Z980" i="2" s="1"/>
  <c r="T980" i="2"/>
  <c r="AA980" i="2" s="1"/>
  <c r="U980" i="2"/>
  <c r="T956" i="2"/>
  <c r="AA956" i="2" s="1"/>
  <c r="U956" i="2"/>
  <c r="W956" i="2"/>
  <c r="R956" i="2"/>
  <c r="Y956" i="2" s="1"/>
  <c r="S956" i="2"/>
  <c r="Z956" i="2" s="1"/>
  <c r="T932" i="2"/>
  <c r="AA932" i="2" s="1"/>
  <c r="V932" i="2"/>
  <c r="W932" i="2"/>
  <c r="R932" i="2"/>
  <c r="Y932" i="2" s="1"/>
  <c r="S932" i="2"/>
  <c r="Z932" i="2" s="1"/>
  <c r="S908" i="2"/>
  <c r="Z908" i="2" s="1"/>
  <c r="U908" i="2"/>
  <c r="V908" i="2"/>
  <c r="W908" i="2"/>
  <c r="R908" i="2"/>
  <c r="Y908" i="2" s="1"/>
  <c r="W884" i="2"/>
  <c r="R884" i="2"/>
  <c r="Y884" i="2" s="1"/>
  <c r="T884" i="2"/>
  <c r="AA884" i="2" s="1"/>
  <c r="U884" i="2"/>
  <c r="V884" i="2"/>
  <c r="W860" i="2"/>
  <c r="S860" i="2"/>
  <c r="Z860" i="2" s="1"/>
  <c r="T860" i="2"/>
  <c r="AA860" i="2" s="1"/>
  <c r="U860" i="2"/>
  <c r="V860" i="2"/>
  <c r="V836" i="2"/>
  <c r="W836" i="2"/>
  <c r="R836" i="2"/>
  <c r="Y836" i="2" s="1"/>
  <c r="S836" i="2"/>
  <c r="Z836" i="2" s="1"/>
  <c r="T836" i="2"/>
  <c r="AA836" i="2" s="1"/>
  <c r="U836" i="2"/>
  <c r="U812" i="2"/>
  <c r="W812" i="2"/>
  <c r="R812" i="2"/>
  <c r="Y812" i="2" s="1"/>
  <c r="S812" i="2"/>
  <c r="Z812" i="2" s="1"/>
  <c r="T812" i="2"/>
  <c r="AA812" i="2" s="1"/>
  <c r="T788" i="2"/>
  <c r="AA788" i="2" s="1"/>
  <c r="U788" i="2"/>
  <c r="V788" i="2"/>
  <c r="W788" i="2"/>
  <c r="R788" i="2"/>
  <c r="Y788" i="2" s="1"/>
  <c r="S788" i="2"/>
  <c r="Z788" i="2" s="1"/>
  <c r="S764" i="2"/>
  <c r="Z764" i="2" s="1"/>
  <c r="U764" i="2"/>
  <c r="V764" i="2"/>
  <c r="W764" i="2"/>
  <c r="R764" i="2"/>
  <c r="Y764" i="2" s="1"/>
  <c r="W740" i="2"/>
  <c r="R740" i="2"/>
  <c r="Y740" i="2" s="1"/>
  <c r="T740" i="2"/>
  <c r="AA740" i="2" s="1"/>
  <c r="U740" i="2"/>
  <c r="V740" i="2"/>
  <c r="W716" i="2"/>
  <c r="R716" i="2"/>
  <c r="Y716" i="2" s="1"/>
  <c r="S716" i="2"/>
  <c r="Z716" i="2" s="1"/>
  <c r="T716" i="2"/>
  <c r="AA716" i="2" s="1"/>
  <c r="U716" i="2"/>
  <c r="V716" i="2"/>
  <c r="V692" i="2"/>
  <c r="R692" i="2"/>
  <c r="Y692" i="2" s="1"/>
  <c r="S692" i="2"/>
  <c r="Z692" i="2" s="1"/>
  <c r="T692" i="2"/>
  <c r="AA692" i="2" s="1"/>
  <c r="U692" i="2"/>
  <c r="U668" i="2"/>
  <c r="V668" i="2"/>
  <c r="W668" i="2"/>
  <c r="R668" i="2"/>
  <c r="Y668" i="2" s="1"/>
  <c r="S668" i="2"/>
  <c r="Z668" i="2" s="1"/>
  <c r="T668" i="2"/>
  <c r="AA668" i="2" s="1"/>
  <c r="T644" i="2"/>
  <c r="AA644" i="2" s="1"/>
  <c r="U644" i="2"/>
  <c r="V644" i="2"/>
  <c r="W644" i="2"/>
  <c r="R644" i="2"/>
  <c r="Y644" i="2" s="1"/>
  <c r="S644" i="2"/>
  <c r="Z644" i="2" s="1"/>
  <c r="S620" i="2"/>
  <c r="Z620" i="2" s="1"/>
  <c r="T620" i="2"/>
  <c r="AA620" i="2" s="1"/>
  <c r="U620" i="2"/>
  <c r="V620" i="2"/>
  <c r="W620" i="2"/>
  <c r="R620" i="2"/>
  <c r="Y620" i="2" s="1"/>
  <c r="R596" i="2"/>
  <c r="Y596" i="2" s="1"/>
  <c r="S596" i="2"/>
  <c r="Z596" i="2" s="1"/>
  <c r="T596" i="2"/>
  <c r="AA596" i="2" s="1"/>
  <c r="U596" i="2"/>
  <c r="V596" i="2"/>
  <c r="W596" i="2"/>
  <c r="W572" i="2"/>
  <c r="R572" i="2"/>
  <c r="Y572" i="2" s="1"/>
  <c r="S572" i="2"/>
  <c r="Z572" i="2" s="1"/>
  <c r="T572" i="2"/>
  <c r="AA572" i="2" s="1"/>
  <c r="U572" i="2"/>
  <c r="V572" i="2"/>
  <c r="V548" i="2"/>
  <c r="R548" i="2"/>
  <c r="Y548" i="2" s="1"/>
  <c r="S548" i="2"/>
  <c r="Z548" i="2" s="1"/>
  <c r="T548" i="2"/>
  <c r="AA548" i="2" s="1"/>
  <c r="U548" i="2"/>
  <c r="U524" i="2"/>
  <c r="V524" i="2"/>
  <c r="W524" i="2"/>
  <c r="R524" i="2"/>
  <c r="Y524" i="2" s="1"/>
  <c r="S524" i="2"/>
  <c r="Z524" i="2" s="1"/>
  <c r="T524" i="2"/>
  <c r="AA524" i="2" s="1"/>
  <c r="T500" i="2"/>
  <c r="AA500" i="2" s="1"/>
  <c r="U500" i="2"/>
  <c r="W500" i="2"/>
  <c r="R500" i="2"/>
  <c r="Y500" i="2" s="1"/>
  <c r="S500" i="2"/>
  <c r="Z500" i="2" s="1"/>
  <c r="S476" i="2"/>
  <c r="Z476" i="2" s="1"/>
  <c r="T476" i="2"/>
  <c r="AA476" i="2" s="1"/>
  <c r="U476" i="2"/>
  <c r="V476" i="2"/>
  <c r="W476" i="2"/>
  <c r="R476" i="2"/>
  <c r="Y476" i="2" s="1"/>
  <c r="R452" i="2"/>
  <c r="Y452" i="2" s="1"/>
  <c r="S452" i="2"/>
  <c r="Z452" i="2" s="1"/>
  <c r="T452" i="2"/>
  <c r="AA452" i="2" s="1"/>
  <c r="U452" i="2"/>
  <c r="V452" i="2"/>
  <c r="W452" i="2"/>
  <c r="W428" i="2"/>
  <c r="R428" i="2"/>
  <c r="Y428" i="2" s="1"/>
  <c r="S428" i="2"/>
  <c r="Z428" i="2" s="1"/>
  <c r="T428" i="2"/>
  <c r="AA428" i="2" s="1"/>
  <c r="U428" i="2"/>
  <c r="V428" i="2"/>
  <c r="W404" i="2"/>
  <c r="R404" i="2"/>
  <c r="Y404" i="2" s="1"/>
  <c r="S404" i="2"/>
  <c r="Z404" i="2" s="1"/>
  <c r="T404" i="2"/>
  <c r="AA404" i="2" s="1"/>
  <c r="U404" i="2"/>
  <c r="V404" i="2"/>
  <c r="U380" i="2"/>
  <c r="V380" i="2"/>
  <c r="W380" i="2"/>
  <c r="R380" i="2"/>
  <c r="Y380" i="2" s="1"/>
  <c r="S380" i="2"/>
  <c r="Z380" i="2" s="1"/>
  <c r="T380" i="2"/>
  <c r="AA380" i="2" s="1"/>
  <c r="T356" i="2"/>
  <c r="AA356" i="2" s="1"/>
  <c r="U356" i="2"/>
  <c r="W356" i="2"/>
  <c r="R356" i="2"/>
  <c r="Y356" i="2" s="1"/>
  <c r="S356" i="2"/>
  <c r="Z356" i="2" s="1"/>
  <c r="S332" i="2"/>
  <c r="Z332" i="2" s="1"/>
  <c r="T332" i="2"/>
  <c r="AA332" i="2" s="1"/>
  <c r="U332" i="2"/>
  <c r="V332" i="2"/>
  <c r="W332" i="2"/>
  <c r="R332" i="2"/>
  <c r="Y332" i="2" s="1"/>
  <c r="R308" i="2"/>
  <c r="Y308" i="2" s="1"/>
  <c r="S308" i="2"/>
  <c r="Z308" i="2" s="1"/>
  <c r="T308" i="2"/>
  <c r="AA308" i="2" s="1"/>
  <c r="U308" i="2"/>
  <c r="V308" i="2"/>
  <c r="W308" i="2"/>
  <c r="W284" i="2"/>
  <c r="R284" i="2"/>
  <c r="Y284" i="2" s="1"/>
  <c r="S284" i="2"/>
  <c r="Z284" i="2" s="1"/>
  <c r="T284" i="2"/>
  <c r="AA284" i="2" s="1"/>
  <c r="U284" i="2"/>
  <c r="V284" i="2"/>
  <c r="W260" i="2"/>
  <c r="R260" i="2"/>
  <c r="Y260" i="2" s="1"/>
  <c r="S260" i="2"/>
  <c r="Z260" i="2" s="1"/>
  <c r="T260" i="2"/>
  <c r="AA260" i="2" s="1"/>
  <c r="U260" i="2"/>
  <c r="V260" i="2"/>
  <c r="V236" i="2"/>
  <c r="W236" i="2"/>
  <c r="R236" i="2"/>
  <c r="Y236" i="2" s="1"/>
  <c r="S236" i="2"/>
  <c r="Z236" i="2" s="1"/>
  <c r="T236" i="2"/>
  <c r="AA236" i="2" s="1"/>
  <c r="U236" i="2"/>
  <c r="T212" i="2"/>
  <c r="AA212" i="2" s="1"/>
  <c r="U212" i="2"/>
  <c r="V212" i="2"/>
  <c r="W212" i="2"/>
  <c r="R212" i="2"/>
  <c r="Y212" i="2" s="1"/>
  <c r="S212" i="2"/>
  <c r="Z212" i="2" s="1"/>
  <c r="S188" i="2"/>
  <c r="Z188" i="2" s="1"/>
  <c r="T188" i="2"/>
  <c r="AA188" i="2" s="1"/>
  <c r="V188" i="2"/>
  <c r="W188" i="2"/>
  <c r="R188" i="2"/>
  <c r="Y188" i="2" s="1"/>
  <c r="S164" i="2"/>
  <c r="Z164" i="2" s="1"/>
  <c r="T164" i="2"/>
  <c r="AA164" i="2" s="1"/>
  <c r="U164" i="2"/>
  <c r="V164" i="2"/>
  <c r="W164" i="2"/>
  <c r="R164" i="2"/>
  <c r="Y164" i="2" s="1"/>
  <c r="R140" i="2"/>
  <c r="Y140" i="2" s="1"/>
  <c r="S140" i="2"/>
  <c r="Z140" i="2" s="1"/>
  <c r="T140" i="2"/>
  <c r="AA140" i="2" s="1"/>
  <c r="U140" i="2"/>
  <c r="V140" i="2"/>
  <c r="W140" i="2"/>
  <c r="W116" i="2"/>
  <c r="S116" i="2"/>
  <c r="Z116" i="2" s="1"/>
  <c r="T116" i="2"/>
  <c r="AA116" i="2" s="1"/>
  <c r="U116" i="2"/>
  <c r="V116" i="2"/>
  <c r="V92" i="2"/>
  <c r="R92" i="2"/>
  <c r="Y92" i="2" s="1"/>
  <c r="S92" i="2"/>
  <c r="Z92" i="2" s="1"/>
  <c r="T92" i="2"/>
  <c r="AA92" i="2" s="1"/>
  <c r="U92" i="2"/>
  <c r="U68" i="2"/>
  <c r="V68" i="2"/>
  <c r="W68" i="2"/>
  <c r="R68" i="2"/>
  <c r="Y68" i="2" s="1"/>
  <c r="S68" i="2"/>
  <c r="Z68" i="2" s="1"/>
  <c r="T68" i="2"/>
  <c r="AA68" i="2" s="1"/>
  <c r="S740" i="2"/>
  <c r="Z740" i="2" s="1"/>
  <c r="T908" i="2"/>
  <c r="AA908" i="2" s="1"/>
  <c r="R116" i="2"/>
  <c r="Y116" i="2" s="1"/>
  <c r="U1076" i="2"/>
  <c r="S884" i="2"/>
  <c r="Z884" i="2" s="1"/>
  <c r="S44" i="2"/>
  <c r="Z44" i="2" s="1"/>
  <c r="R44" i="2"/>
  <c r="Y44" i="2" s="1"/>
  <c r="W44" i="2"/>
  <c r="V44" i="2"/>
  <c r="R739" i="2"/>
  <c r="Y739" i="2" s="1"/>
  <c r="W835" i="2"/>
  <c r="W43" i="2"/>
  <c r="V427" i="2"/>
  <c r="V235" i="2"/>
  <c r="U427" i="2"/>
  <c r="T619" i="2"/>
  <c r="AA619" i="2" s="1"/>
  <c r="T427" i="2"/>
  <c r="AA427" i="2" s="1"/>
  <c r="S1003" i="2"/>
  <c r="Z1003" i="2" s="1"/>
  <c r="S811" i="2"/>
  <c r="Z811" i="2" s="1"/>
  <c r="R403" i="2"/>
  <c r="Y403" i="2" s="1"/>
  <c r="W643" i="2"/>
  <c r="W451" i="2"/>
  <c r="V1027" i="2"/>
  <c r="V835" i="2"/>
  <c r="V43" i="2"/>
  <c r="U1027" i="2"/>
  <c r="U235" i="2"/>
  <c r="U43" i="2"/>
  <c r="T1027" i="2"/>
  <c r="AA1027" i="2" s="1"/>
  <c r="T235" i="2"/>
  <c r="AA235" i="2" s="1"/>
  <c r="S619" i="2"/>
  <c r="Z619" i="2" s="1"/>
  <c r="R1003" i="2"/>
  <c r="Y1003" i="2" s="1"/>
  <c r="R811" i="2"/>
  <c r="Y811" i="2" s="1"/>
  <c r="R211" i="2"/>
  <c r="Y211" i="2" s="1"/>
  <c r="W1051" i="2"/>
  <c r="W259" i="2"/>
  <c r="V643" i="2"/>
  <c r="U835" i="2"/>
  <c r="U643" i="2"/>
  <c r="T835" i="2"/>
  <c r="AA835" i="2" s="1"/>
  <c r="T43" i="2"/>
  <c r="AA43" i="2" s="1"/>
  <c r="S1027" i="2"/>
  <c r="Z1027" i="2" s="1"/>
  <c r="S427" i="2"/>
  <c r="Z427" i="2" s="1"/>
  <c r="S235" i="2"/>
  <c r="Z235" i="2" s="1"/>
  <c r="R619" i="2"/>
  <c r="Y619" i="2" s="1"/>
  <c r="W859" i="2"/>
  <c r="W67" i="2"/>
  <c r="V451" i="2"/>
  <c r="V259" i="2"/>
  <c r="U451" i="2"/>
  <c r="T643" i="2"/>
  <c r="AA643" i="2" s="1"/>
  <c r="T451" i="2"/>
  <c r="AA451" i="2" s="1"/>
  <c r="S835" i="2"/>
  <c r="Z835" i="2" s="1"/>
  <c r="S43" i="2"/>
  <c r="Z43" i="2" s="1"/>
  <c r="R427" i="2"/>
  <c r="Y427" i="2" s="1"/>
  <c r="R235" i="2"/>
  <c r="Y235" i="2" s="1"/>
  <c r="W667" i="2"/>
  <c r="W475" i="2"/>
  <c r="V1051" i="2"/>
  <c r="V859" i="2"/>
  <c r="V67" i="2"/>
  <c r="U1051" i="2"/>
  <c r="U259" i="2"/>
  <c r="U67" i="2"/>
  <c r="T1051" i="2"/>
  <c r="AA1051" i="2" s="1"/>
  <c r="T259" i="2"/>
  <c r="AA259" i="2" s="1"/>
  <c r="S643" i="2"/>
  <c r="Z643" i="2" s="1"/>
  <c r="S451" i="2"/>
  <c r="Z451" i="2" s="1"/>
  <c r="R1027" i="2"/>
  <c r="Y1027" i="2" s="1"/>
  <c r="W1075" i="2"/>
  <c r="W283" i="2"/>
  <c r="V667" i="2"/>
  <c r="U859" i="2"/>
  <c r="U667" i="2"/>
  <c r="T859" i="2"/>
  <c r="AA859" i="2" s="1"/>
  <c r="T667" i="2"/>
  <c r="AA667" i="2" s="1"/>
  <c r="T67" i="2"/>
  <c r="AA67" i="2" s="1"/>
  <c r="S1051" i="2"/>
  <c r="Z1051" i="2" s="1"/>
  <c r="S259" i="2"/>
  <c r="Z259" i="2" s="1"/>
  <c r="W883" i="2"/>
  <c r="W91" i="2"/>
  <c r="V475" i="2"/>
  <c r="V283" i="2"/>
  <c r="U475" i="2"/>
  <c r="T475" i="2"/>
  <c r="AA475" i="2" s="1"/>
  <c r="S859" i="2"/>
  <c r="Z859" i="2" s="1"/>
  <c r="S67" i="2"/>
  <c r="Z67" i="2" s="1"/>
  <c r="W691" i="2"/>
  <c r="W499" i="2"/>
  <c r="V1075" i="2"/>
  <c r="V883" i="2"/>
  <c r="V91" i="2"/>
  <c r="U1075" i="2"/>
  <c r="U883" i="2"/>
  <c r="U283" i="2"/>
  <c r="U91" i="2"/>
  <c r="T1075" i="2"/>
  <c r="AA1075" i="2" s="1"/>
  <c r="T283" i="2"/>
  <c r="AA283" i="2" s="1"/>
  <c r="T91" i="2"/>
  <c r="AA91" i="2" s="1"/>
  <c r="S667" i="2"/>
  <c r="Z667" i="2" s="1"/>
  <c r="S475" i="2"/>
  <c r="Z475" i="2" s="1"/>
  <c r="W1099" i="2"/>
  <c r="W307" i="2"/>
  <c r="V691" i="2"/>
  <c r="U691" i="2"/>
  <c r="T883" i="2"/>
  <c r="AA883" i="2" s="1"/>
  <c r="T691" i="2"/>
  <c r="AA691" i="2" s="1"/>
  <c r="S1075" i="2"/>
  <c r="Z1075" i="2" s="1"/>
  <c r="S283" i="2"/>
  <c r="Z283" i="2" s="1"/>
  <c r="W907" i="2"/>
  <c r="W115" i="2"/>
  <c r="V1099" i="2"/>
  <c r="V499" i="2"/>
  <c r="V307" i="2"/>
  <c r="U499" i="2"/>
  <c r="U307" i="2"/>
  <c r="T499" i="2"/>
  <c r="AA499" i="2" s="1"/>
  <c r="S883" i="2"/>
  <c r="Z883" i="2" s="1"/>
  <c r="S91" i="2"/>
  <c r="Z91" i="2" s="1"/>
  <c r="W715" i="2"/>
  <c r="W523" i="2"/>
  <c r="V907" i="2"/>
  <c r="V115" i="2"/>
  <c r="U1099" i="2"/>
  <c r="U907" i="2"/>
  <c r="U115" i="2"/>
  <c r="T1099" i="2"/>
  <c r="AA1099" i="2" s="1"/>
  <c r="T307" i="2"/>
  <c r="AA307" i="2" s="1"/>
  <c r="T115" i="2"/>
  <c r="AA115" i="2" s="1"/>
  <c r="S691" i="2"/>
  <c r="Z691" i="2" s="1"/>
  <c r="S499" i="2"/>
  <c r="Z499" i="2" s="1"/>
  <c r="W1123" i="2"/>
  <c r="W331" i="2"/>
  <c r="V715" i="2"/>
  <c r="V523" i="2"/>
  <c r="U715" i="2"/>
  <c r="T907" i="2"/>
  <c r="AA907" i="2" s="1"/>
  <c r="T715" i="2"/>
  <c r="AA715" i="2" s="1"/>
  <c r="S1099" i="2"/>
  <c r="Z1099" i="2" s="1"/>
  <c r="S307" i="2"/>
  <c r="Z307" i="2" s="1"/>
  <c r="W931" i="2"/>
  <c r="W739" i="2"/>
  <c r="W139" i="2"/>
  <c r="V1123" i="2"/>
  <c r="V331" i="2"/>
  <c r="U523" i="2"/>
  <c r="U331" i="2"/>
  <c r="T523" i="2"/>
  <c r="AA523" i="2" s="1"/>
  <c r="S907" i="2"/>
  <c r="Z907" i="2" s="1"/>
  <c r="S115" i="2"/>
  <c r="Z115" i="2" s="1"/>
  <c r="R798" i="2"/>
  <c r="Y798" i="2" s="1"/>
  <c r="W547" i="2"/>
  <c r="V931" i="2"/>
  <c r="V139" i="2"/>
  <c r="U1123" i="2"/>
  <c r="U931" i="2"/>
  <c r="U139" i="2"/>
  <c r="T1123" i="2"/>
  <c r="AA1123" i="2" s="1"/>
  <c r="T331" i="2"/>
  <c r="AA331" i="2" s="1"/>
  <c r="T139" i="2"/>
  <c r="AA139" i="2" s="1"/>
  <c r="S715" i="2"/>
  <c r="Z715" i="2" s="1"/>
  <c r="S523" i="2"/>
  <c r="Z523" i="2" s="1"/>
  <c r="W355" i="2"/>
  <c r="W163" i="2"/>
  <c r="V739" i="2"/>
  <c r="V547" i="2"/>
  <c r="U739" i="2"/>
  <c r="T931" i="2"/>
  <c r="AA931" i="2" s="1"/>
  <c r="T739" i="2"/>
  <c r="AA739" i="2" s="1"/>
  <c r="S1123" i="2"/>
  <c r="Z1123" i="2" s="1"/>
  <c r="S331" i="2"/>
  <c r="Z331" i="2" s="1"/>
  <c r="W955" i="2"/>
  <c r="W763" i="2"/>
  <c r="V355" i="2"/>
  <c r="U547" i="2"/>
  <c r="U355" i="2"/>
  <c r="T547" i="2"/>
  <c r="AA547" i="2" s="1"/>
  <c r="S931" i="2"/>
  <c r="Z931" i="2" s="1"/>
  <c r="S139" i="2"/>
  <c r="Z139" i="2" s="1"/>
  <c r="W571" i="2"/>
  <c r="V955" i="2"/>
  <c r="V163" i="2"/>
  <c r="U955" i="2"/>
  <c r="U163" i="2"/>
  <c r="T955" i="2"/>
  <c r="AA955" i="2" s="1"/>
  <c r="T355" i="2"/>
  <c r="AA355" i="2" s="1"/>
  <c r="T163" i="2"/>
  <c r="AA163" i="2" s="1"/>
  <c r="W979" i="2"/>
  <c r="W787" i="2"/>
  <c r="V379" i="2"/>
  <c r="U571" i="2"/>
  <c r="U379" i="2"/>
  <c r="T571" i="2"/>
  <c r="AA571" i="2" s="1"/>
  <c r="T379" i="2"/>
  <c r="AA379" i="2" s="1"/>
  <c r="S955" i="2"/>
  <c r="Z955" i="2" s="1"/>
  <c r="S763" i="2"/>
  <c r="Z763" i="2" s="1"/>
  <c r="W595" i="2"/>
  <c r="V979" i="2"/>
  <c r="V187" i="2"/>
  <c r="U979" i="2"/>
  <c r="U187" i="2"/>
  <c r="T979" i="2"/>
  <c r="AA979" i="2" s="1"/>
  <c r="T187" i="2"/>
  <c r="AA187" i="2" s="1"/>
  <c r="S571" i="2"/>
  <c r="Z571" i="2" s="1"/>
  <c r="W403" i="2"/>
  <c r="W211" i="2"/>
  <c r="V787" i="2"/>
  <c r="V595" i="2"/>
  <c r="U787" i="2"/>
  <c r="U595" i="2"/>
  <c r="T787" i="2"/>
  <c r="AA787" i="2" s="1"/>
  <c r="S379" i="2"/>
  <c r="Z379" i="2" s="1"/>
  <c r="S187" i="2"/>
  <c r="Z187" i="2" s="1"/>
  <c r="W1003" i="2"/>
  <c r="W811" i="2"/>
  <c r="V403" i="2"/>
  <c r="U403" i="2"/>
  <c r="T595" i="2"/>
  <c r="AA595" i="2" s="1"/>
  <c r="T403" i="2"/>
  <c r="AA403" i="2" s="1"/>
  <c r="S979" i="2"/>
  <c r="Z979" i="2" s="1"/>
  <c r="S787" i="2"/>
  <c r="Z787" i="2" s="1"/>
  <c r="W619" i="2"/>
  <c r="V1003" i="2"/>
  <c r="V811" i="2"/>
  <c r="V211" i="2"/>
  <c r="U1003" i="2"/>
  <c r="U211" i="2"/>
  <c r="T211" i="2"/>
  <c r="AA211" i="2" s="1"/>
  <c r="S595" i="2"/>
  <c r="Z595" i="2" s="1"/>
  <c r="V619" i="2"/>
  <c r="U811" i="2"/>
  <c r="Y867" i="2"/>
  <c r="AA865" i="2"/>
  <c r="W942" i="2"/>
  <c r="W654" i="2"/>
  <c r="W366" i="2"/>
  <c r="W78" i="2"/>
  <c r="V1014" i="2"/>
  <c r="V726" i="2"/>
  <c r="V438" i="2"/>
  <c r="V150" i="2"/>
  <c r="U1086" i="2"/>
  <c r="U798" i="2"/>
  <c r="U510" i="2"/>
  <c r="U222" i="2"/>
  <c r="T870" i="2"/>
  <c r="AA870" i="2" s="1"/>
  <c r="T582" i="2"/>
  <c r="AA582" i="2" s="1"/>
  <c r="T294" i="2"/>
  <c r="AA294" i="2" s="1"/>
  <c r="S942" i="2"/>
  <c r="Z942" i="2" s="1"/>
  <c r="S654" i="2"/>
  <c r="Z654" i="2" s="1"/>
  <c r="S366" i="2"/>
  <c r="Z366" i="2" s="1"/>
  <c r="S78" i="2"/>
  <c r="Z78" i="2" s="1"/>
  <c r="R1014" i="2"/>
  <c r="Y1014" i="2" s="1"/>
  <c r="R726" i="2"/>
  <c r="Y726" i="2" s="1"/>
  <c r="R438" i="2"/>
  <c r="Y438" i="2" s="1"/>
  <c r="R150" i="2"/>
  <c r="Y150" i="2" s="1"/>
  <c r="W966" i="2"/>
  <c r="W678" i="2"/>
  <c r="W390" i="2"/>
  <c r="W102" i="2"/>
  <c r="V1038" i="2"/>
  <c r="V750" i="2"/>
  <c r="V462" i="2"/>
  <c r="V174" i="2"/>
  <c r="U1110" i="2"/>
  <c r="U822" i="2"/>
  <c r="U534" i="2"/>
  <c r="U246" i="2"/>
  <c r="T894" i="2"/>
  <c r="AA894" i="2" s="1"/>
  <c r="T606" i="2"/>
  <c r="AA606" i="2" s="1"/>
  <c r="T318" i="2"/>
  <c r="AA318" i="2" s="1"/>
  <c r="S966" i="2"/>
  <c r="Z966" i="2" s="1"/>
  <c r="S678" i="2"/>
  <c r="Z678" i="2" s="1"/>
  <c r="S390" i="2"/>
  <c r="Z390" i="2" s="1"/>
  <c r="S102" i="2"/>
  <c r="Z102" i="2" s="1"/>
  <c r="R1038" i="2"/>
  <c r="Y1038" i="2" s="1"/>
  <c r="R750" i="2"/>
  <c r="Y750" i="2" s="1"/>
  <c r="R462" i="2"/>
  <c r="Y462" i="2" s="1"/>
  <c r="R174" i="2"/>
  <c r="Y174" i="2" s="1"/>
  <c r="W990" i="2"/>
  <c r="W702" i="2"/>
  <c r="W414" i="2"/>
  <c r="W126" i="2"/>
  <c r="V1062" i="2"/>
  <c r="V774" i="2"/>
  <c r="V486" i="2"/>
  <c r="V198" i="2"/>
  <c r="U846" i="2"/>
  <c r="U558" i="2"/>
  <c r="U270" i="2"/>
  <c r="T918" i="2"/>
  <c r="AA918" i="2" s="1"/>
  <c r="T630" i="2"/>
  <c r="AA630" i="2" s="1"/>
  <c r="T342" i="2"/>
  <c r="AA342" i="2" s="1"/>
  <c r="T54" i="2"/>
  <c r="AA54" i="2" s="1"/>
  <c r="S990" i="2"/>
  <c r="Z990" i="2" s="1"/>
  <c r="S702" i="2"/>
  <c r="Z702" i="2" s="1"/>
  <c r="S414" i="2"/>
  <c r="Z414" i="2" s="1"/>
  <c r="S126" i="2"/>
  <c r="Z126" i="2" s="1"/>
  <c r="R1062" i="2"/>
  <c r="Y1062" i="2" s="1"/>
  <c r="R774" i="2"/>
  <c r="Y774" i="2" s="1"/>
  <c r="R486" i="2"/>
  <c r="Y486" i="2" s="1"/>
  <c r="R198" i="2"/>
  <c r="Y198" i="2" s="1"/>
  <c r="W1038" i="2"/>
  <c r="W750" i="2"/>
  <c r="W462" i="2"/>
  <c r="W174" i="2"/>
  <c r="V1110" i="2"/>
  <c r="V822" i="2"/>
  <c r="V534" i="2"/>
  <c r="V246" i="2"/>
  <c r="U894" i="2"/>
  <c r="U606" i="2"/>
  <c r="U318" i="2"/>
  <c r="T966" i="2"/>
  <c r="AA966" i="2" s="1"/>
  <c r="T678" i="2"/>
  <c r="AA678" i="2" s="1"/>
  <c r="T390" i="2"/>
  <c r="AA390" i="2" s="1"/>
  <c r="T102" i="2"/>
  <c r="AA102" i="2" s="1"/>
  <c r="S1038" i="2"/>
  <c r="Z1038" i="2" s="1"/>
  <c r="S750" i="2"/>
  <c r="Z750" i="2" s="1"/>
  <c r="S462" i="2"/>
  <c r="Z462" i="2" s="1"/>
  <c r="S174" i="2"/>
  <c r="Z174" i="2" s="1"/>
  <c r="R1110" i="2"/>
  <c r="Y1110" i="2" s="1"/>
  <c r="R822" i="2"/>
  <c r="Y822" i="2" s="1"/>
  <c r="R534" i="2"/>
  <c r="Y534" i="2" s="1"/>
  <c r="R246" i="2"/>
  <c r="Y246" i="2" s="1"/>
  <c r="W1062" i="2"/>
  <c r="W774" i="2"/>
  <c r="W486" i="2"/>
  <c r="W198" i="2"/>
  <c r="V846" i="2"/>
  <c r="V558" i="2"/>
  <c r="V270" i="2"/>
  <c r="U918" i="2"/>
  <c r="U630" i="2"/>
  <c r="U342" i="2"/>
  <c r="U54" i="2"/>
  <c r="T990" i="2"/>
  <c r="AA990" i="2" s="1"/>
  <c r="T702" i="2"/>
  <c r="AA702" i="2" s="1"/>
  <c r="T414" i="2"/>
  <c r="AA414" i="2" s="1"/>
  <c r="T126" i="2"/>
  <c r="AA126" i="2" s="1"/>
  <c r="S1062" i="2"/>
  <c r="Z1062" i="2" s="1"/>
  <c r="S774" i="2"/>
  <c r="Z774" i="2" s="1"/>
  <c r="S486" i="2"/>
  <c r="Z486" i="2" s="1"/>
  <c r="S198" i="2"/>
  <c r="Z198" i="2" s="1"/>
  <c r="R846" i="2"/>
  <c r="Y846" i="2" s="1"/>
  <c r="R558" i="2"/>
  <c r="Y558" i="2" s="1"/>
  <c r="R270" i="2"/>
  <c r="Y270" i="2" s="1"/>
  <c r="W1086" i="2"/>
  <c r="W798" i="2"/>
  <c r="W510" i="2"/>
  <c r="W222" i="2"/>
  <c r="V870" i="2"/>
  <c r="V582" i="2"/>
  <c r="V294" i="2"/>
  <c r="U942" i="2"/>
  <c r="U654" i="2"/>
  <c r="U366" i="2"/>
  <c r="U78" i="2"/>
  <c r="T1014" i="2"/>
  <c r="AA1014" i="2" s="1"/>
  <c r="T726" i="2"/>
  <c r="AA726" i="2" s="1"/>
  <c r="T438" i="2"/>
  <c r="AA438" i="2" s="1"/>
  <c r="T150" i="2"/>
  <c r="AA150" i="2" s="1"/>
  <c r="S1086" i="2"/>
  <c r="Z1086" i="2" s="1"/>
  <c r="S798" i="2"/>
  <c r="Z798" i="2" s="1"/>
  <c r="S510" i="2"/>
  <c r="Z510" i="2" s="1"/>
  <c r="S222" i="2"/>
  <c r="Z222" i="2" s="1"/>
  <c r="R870" i="2"/>
  <c r="Y870" i="2" s="1"/>
  <c r="R582" i="2"/>
  <c r="Y582" i="2" s="1"/>
  <c r="R294" i="2"/>
  <c r="Y294" i="2" s="1"/>
  <c r="W1110" i="2"/>
  <c r="W822" i="2"/>
  <c r="W534" i="2"/>
  <c r="W246" i="2"/>
  <c r="V894" i="2"/>
  <c r="V606" i="2"/>
  <c r="V318" i="2"/>
  <c r="U966" i="2"/>
  <c r="U678" i="2"/>
  <c r="U390" i="2"/>
  <c r="U102" i="2"/>
  <c r="T1038" i="2"/>
  <c r="AA1038" i="2" s="1"/>
  <c r="T750" i="2"/>
  <c r="AA750" i="2" s="1"/>
  <c r="T462" i="2"/>
  <c r="AA462" i="2" s="1"/>
  <c r="T174" i="2"/>
  <c r="AA174" i="2" s="1"/>
  <c r="S1110" i="2"/>
  <c r="Z1110" i="2" s="1"/>
  <c r="S822" i="2"/>
  <c r="Z822" i="2" s="1"/>
  <c r="S534" i="2"/>
  <c r="Z534" i="2" s="1"/>
  <c r="S246" i="2"/>
  <c r="Z246" i="2" s="1"/>
  <c r="R894" i="2"/>
  <c r="Y894" i="2" s="1"/>
  <c r="R606" i="2"/>
  <c r="Y606" i="2" s="1"/>
  <c r="R318" i="2"/>
  <c r="Y318" i="2" s="1"/>
  <c r="W846" i="2"/>
  <c r="W558" i="2"/>
  <c r="W270" i="2"/>
  <c r="V918" i="2"/>
  <c r="V630" i="2"/>
  <c r="V342" i="2"/>
  <c r="V54" i="2"/>
  <c r="U990" i="2"/>
  <c r="U702" i="2"/>
  <c r="U414" i="2"/>
  <c r="U126" i="2"/>
  <c r="T1062" i="2"/>
  <c r="AA1062" i="2" s="1"/>
  <c r="T774" i="2"/>
  <c r="AA774" i="2" s="1"/>
  <c r="T486" i="2"/>
  <c r="AA486" i="2" s="1"/>
  <c r="T198" i="2"/>
  <c r="AA198" i="2" s="1"/>
  <c r="S846" i="2"/>
  <c r="Z846" i="2" s="1"/>
  <c r="S558" i="2"/>
  <c r="Z558" i="2" s="1"/>
  <c r="S270" i="2"/>
  <c r="Z270" i="2" s="1"/>
  <c r="R918" i="2"/>
  <c r="Y918" i="2" s="1"/>
  <c r="R630" i="2"/>
  <c r="Y630" i="2" s="1"/>
  <c r="R342" i="2"/>
  <c r="Y342" i="2" s="1"/>
  <c r="R54" i="2"/>
  <c r="Y54" i="2" s="1"/>
  <c r="W870" i="2"/>
  <c r="W582" i="2"/>
  <c r="W294" i="2"/>
  <c r="V942" i="2"/>
  <c r="V654" i="2"/>
  <c r="V366" i="2"/>
  <c r="V78" i="2"/>
  <c r="T1086" i="2"/>
  <c r="AA1086" i="2" s="1"/>
  <c r="S582" i="2"/>
  <c r="Z582" i="2" s="1"/>
  <c r="W894" i="2"/>
  <c r="W606" i="2"/>
  <c r="W318" i="2"/>
  <c r="V966" i="2"/>
  <c r="V678" i="2"/>
  <c r="V390" i="2"/>
  <c r="V102" i="2"/>
  <c r="S606" i="2"/>
  <c r="Z606" i="2" s="1"/>
  <c r="W918" i="2"/>
  <c r="W630" i="2"/>
  <c r="W342" i="2"/>
  <c r="W54" i="2"/>
  <c r="V990" i="2"/>
  <c r="V702" i="2"/>
  <c r="V414" i="2"/>
  <c r="V126" i="2"/>
  <c r="S630" i="2"/>
  <c r="Z630" i="2" s="1"/>
  <c r="AA1022" i="2"/>
  <c r="AA994" i="2"/>
  <c r="AA706" i="2"/>
  <c r="Z1040" i="2"/>
  <c r="Z1014" i="2"/>
  <c r="Z910" i="2"/>
  <c r="Z806" i="2"/>
  <c r="Y1112" i="2"/>
  <c r="Y1060" i="2"/>
  <c r="Y878" i="2"/>
  <c r="Y694" i="2"/>
  <c r="T227" i="2"/>
  <c r="AA227" i="2" s="1"/>
  <c r="V227" i="2"/>
  <c r="S227" i="2"/>
  <c r="Z227" i="2" s="1"/>
  <c r="U227" i="2"/>
  <c r="R227" i="2"/>
  <c r="Y227" i="2" s="1"/>
  <c r="W227" i="2"/>
  <c r="U1115" i="2"/>
  <c r="R1115" i="2"/>
  <c r="Y1115" i="2" s="1"/>
  <c r="W1115" i="2"/>
  <c r="T1115" i="2"/>
  <c r="AA1115" i="2" s="1"/>
  <c r="V1115" i="2"/>
  <c r="S1115" i="2"/>
  <c r="Z1115" i="2" s="1"/>
  <c r="U1091" i="2"/>
  <c r="R1091" i="2"/>
  <c r="Y1091" i="2" s="1"/>
  <c r="W1091" i="2"/>
  <c r="T1091" i="2"/>
  <c r="AA1091" i="2" s="1"/>
  <c r="V1091" i="2"/>
  <c r="S1091" i="2"/>
  <c r="Z1091" i="2" s="1"/>
  <c r="U1067" i="2"/>
  <c r="R1067" i="2"/>
  <c r="Y1067" i="2" s="1"/>
  <c r="W1067" i="2"/>
  <c r="T1067" i="2"/>
  <c r="AA1067" i="2" s="1"/>
  <c r="V1067" i="2"/>
  <c r="S1067" i="2"/>
  <c r="Z1067" i="2" s="1"/>
  <c r="U1043" i="2"/>
  <c r="R1043" i="2"/>
  <c r="Y1043" i="2" s="1"/>
  <c r="W1043" i="2"/>
  <c r="T1043" i="2"/>
  <c r="AA1043" i="2" s="1"/>
  <c r="V1043" i="2"/>
  <c r="S1043" i="2"/>
  <c r="Z1043" i="2" s="1"/>
  <c r="S1019" i="2"/>
  <c r="Z1019" i="2" s="1"/>
  <c r="U1019" i="2"/>
  <c r="R1019" i="2"/>
  <c r="Y1019" i="2" s="1"/>
  <c r="W1019" i="2"/>
  <c r="T1019" i="2"/>
  <c r="AA1019" i="2" s="1"/>
  <c r="V1019" i="2"/>
  <c r="S995" i="2"/>
  <c r="Z995" i="2" s="1"/>
  <c r="U995" i="2"/>
  <c r="R995" i="2"/>
  <c r="Y995" i="2" s="1"/>
  <c r="W995" i="2"/>
  <c r="T995" i="2"/>
  <c r="AA995" i="2" s="1"/>
  <c r="V995" i="2"/>
  <c r="S971" i="2"/>
  <c r="Z971" i="2" s="1"/>
  <c r="U971" i="2"/>
  <c r="R971" i="2"/>
  <c r="Y971" i="2" s="1"/>
  <c r="W971" i="2"/>
  <c r="T971" i="2"/>
  <c r="AA971" i="2" s="1"/>
  <c r="V971" i="2"/>
  <c r="V947" i="2"/>
  <c r="S947" i="2"/>
  <c r="Z947" i="2" s="1"/>
  <c r="U947" i="2"/>
  <c r="R947" i="2"/>
  <c r="Y947" i="2" s="1"/>
  <c r="W947" i="2"/>
  <c r="T947" i="2"/>
  <c r="AA947" i="2" s="1"/>
  <c r="V923" i="2"/>
  <c r="S923" i="2"/>
  <c r="Z923" i="2" s="1"/>
  <c r="U923" i="2"/>
  <c r="R923" i="2"/>
  <c r="Y923" i="2" s="1"/>
  <c r="W923" i="2"/>
  <c r="T923" i="2"/>
  <c r="AA923" i="2" s="1"/>
  <c r="V899" i="2"/>
  <c r="S899" i="2"/>
  <c r="Z899" i="2" s="1"/>
  <c r="U899" i="2"/>
  <c r="R899" i="2"/>
  <c r="Y899" i="2" s="1"/>
  <c r="W899" i="2"/>
  <c r="T899" i="2"/>
  <c r="AA899" i="2" s="1"/>
  <c r="V875" i="2"/>
  <c r="S875" i="2"/>
  <c r="Z875" i="2" s="1"/>
  <c r="U875" i="2"/>
  <c r="R875" i="2"/>
  <c r="Y875" i="2" s="1"/>
  <c r="W875" i="2"/>
  <c r="T875" i="2"/>
  <c r="AA875" i="2" s="1"/>
  <c r="V851" i="2"/>
  <c r="S851" i="2"/>
  <c r="Z851" i="2" s="1"/>
  <c r="U851" i="2"/>
  <c r="R851" i="2"/>
  <c r="Y851" i="2" s="1"/>
  <c r="W851" i="2"/>
  <c r="T851" i="2"/>
  <c r="AA851" i="2" s="1"/>
  <c r="V827" i="2"/>
  <c r="S827" i="2"/>
  <c r="Z827" i="2" s="1"/>
  <c r="U827" i="2"/>
  <c r="R827" i="2"/>
  <c r="Y827" i="2" s="1"/>
  <c r="W827" i="2"/>
  <c r="T827" i="2"/>
  <c r="AA827" i="2" s="1"/>
  <c r="T803" i="2"/>
  <c r="AA803" i="2" s="1"/>
  <c r="V803" i="2"/>
  <c r="S803" i="2"/>
  <c r="Z803" i="2" s="1"/>
  <c r="U803" i="2"/>
  <c r="R803" i="2"/>
  <c r="Y803" i="2" s="1"/>
  <c r="W803" i="2"/>
  <c r="T779" i="2"/>
  <c r="AA779" i="2" s="1"/>
  <c r="V779" i="2"/>
  <c r="S779" i="2"/>
  <c r="Z779" i="2" s="1"/>
  <c r="U779" i="2"/>
  <c r="R779" i="2"/>
  <c r="Y779" i="2" s="1"/>
  <c r="W779" i="2"/>
  <c r="T755" i="2"/>
  <c r="AA755" i="2" s="1"/>
  <c r="V755" i="2"/>
  <c r="S755" i="2"/>
  <c r="Z755" i="2" s="1"/>
  <c r="U755" i="2"/>
  <c r="R755" i="2"/>
  <c r="Y755" i="2" s="1"/>
  <c r="W755" i="2"/>
  <c r="W731" i="2"/>
  <c r="T731" i="2"/>
  <c r="AA731" i="2" s="1"/>
  <c r="V731" i="2"/>
  <c r="S731" i="2"/>
  <c r="Z731" i="2" s="1"/>
  <c r="U731" i="2"/>
  <c r="R731" i="2"/>
  <c r="Y731" i="2" s="1"/>
  <c r="W707" i="2"/>
  <c r="T707" i="2"/>
  <c r="AA707" i="2" s="1"/>
  <c r="V707" i="2"/>
  <c r="S707" i="2"/>
  <c r="Z707" i="2" s="1"/>
  <c r="U707" i="2"/>
  <c r="R707" i="2"/>
  <c r="Y707" i="2" s="1"/>
  <c r="W683" i="2"/>
  <c r="T683" i="2"/>
  <c r="AA683" i="2" s="1"/>
  <c r="V683" i="2"/>
  <c r="S683" i="2"/>
  <c r="Z683" i="2" s="1"/>
  <c r="U683" i="2"/>
  <c r="R683" i="2"/>
  <c r="Y683" i="2" s="1"/>
  <c r="R659" i="2"/>
  <c r="Y659" i="2" s="1"/>
  <c r="W659" i="2"/>
  <c r="T659" i="2"/>
  <c r="AA659" i="2" s="1"/>
  <c r="V659" i="2"/>
  <c r="S659" i="2"/>
  <c r="Z659" i="2" s="1"/>
  <c r="U659" i="2"/>
  <c r="R635" i="2"/>
  <c r="Y635" i="2" s="1"/>
  <c r="W635" i="2"/>
  <c r="T635" i="2"/>
  <c r="AA635" i="2" s="1"/>
  <c r="V635" i="2"/>
  <c r="S635" i="2"/>
  <c r="Z635" i="2" s="1"/>
  <c r="U635" i="2"/>
  <c r="R611" i="2"/>
  <c r="Y611" i="2" s="1"/>
  <c r="W611" i="2"/>
  <c r="T611" i="2"/>
  <c r="AA611" i="2" s="1"/>
  <c r="V611" i="2"/>
  <c r="S611" i="2"/>
  <c r="Z611" i="2" s="1"/>
  <c r="U611" i="2"/>
  <c r="U587" i="2"/>
  <c r="R587" i="2"/>
  <c r="Y587" i="2" s="1"/>
  <c r="W587" i="2"/>
  <c r="T587" i="2"/>
  <c r="AA587" i="2" s="1"/>
  <c r="V587" i="2"/>
  <c r="S587" i="2"/>
  <c r="Z587" i="2" s="1"/>
  <c r="R59" i="2"/>
  <c r="Y59" i="2" s="1"/>
  <c r="W59" i="2"/>
  <c r="T59" i="2"/>
  <c r="AA59" i="2" s="1"/>
  <c r="V59" i="2"/>
  <c r="S59" i="2"/>
  <c r="Z59" i="2" s="1"/>
  <c r="U59" i="2"/>
  <c r="R83" i="2"/>
  <c r="Y83" i="2" s="1"/>
  <c r="W83" i="2"/>
  <c r="T83" i="2"/>
  <c r="AA83" i="2" s="1"/>
  <c r="V83" i="2"/>
  <c r="S83" i="2"/>
  <c r="Z83" i="2" s="1"/>
  <c r="U83" i="2"/>
  <c r="W107" i="2"/>
  <c r="T107" i="2"/>
  <c r="AA107" i="2" s="1"/>
  <c r="V107" i="2"/>
  <c r="S107" i="2"/>
  <c r="Z107" i="2" s="1"/>
  <c r="U107" i="2"/>
  <c r="R107" i="2"/>
  <c r="Y107" i="2" s="1"/>
  <c r="AA727" i="2"/>
  <c r="AA701" i="2"/>
  <c r="W155" i="2"/>
  <c r="T155" i="2"/>
  <c r="AA155" i="2" s="1"/>
  <c r="V155" i="2"/>
  <c r="S155" i="2"/>
  <c r="Z155" i="2" s="1"/>
  <c r="U155" i="2"/>
  <c r="R155" i="2"/>
  <c r="Y155" i="2" s="1"/>
  <c r="W131" i="2"/>
  <c r="T131" i="2"/>
  <c r="AA131" i="2" s="1"/>
  <c r="V131" i="2"/>
  <c r="S131" i="2"/>
  <c r="Z131" i="2" s="1"/>
  <c r="U131" i="2"/>
  <c r="R131" i="2"/>
  <c r="Y131" i="2" s="1"/>
  <c r="T179" i="2"/>
  <c r="AA179" i="2" s="1"/>
  <c r="V179" i="2"/>
  <c r="S179" i="2"/>
  <c r="Z179" i="2" s="1"/>
  <c r="U179" i="2"/>
  <c r="R179" i="2"/>
  <c r="Y179" i="2" s="1"/>
  <c r="W179" i="2"/>
  <c r="T203" i="2"/>
  <c r="AA203" i="2" s="1"/>
  <c r="V203" i="2"/>
  <c r="S203" i="2"/>
  <c r="Z203" i="2" s="1"/>
  <c r="U203" i="2"/>
  <c r="R203" i="2"/>
  <c r="Y203" i="2" s="1"/>
  <c r="W203" i="2"/>
  <c r="V251" i="2"/>
  <c r="S251" i="2"/>
  <c r="Z251" i="2" s="1"/>
  <c r="U251" i="2"/>
  <c r="R251" i="2"/>
  <c r="Y251" i="2" s="1"/>
  <c r="W251" i="2"/>
  <c r="T251" i="2"/>
  <c r="AA251" i="2" s="1"/>
  <c r="V275" i="2"/>
  <c r="S275" i="2"/>
  <c r="Z275" i="2" s="1"/>
  <c r="U275" i="2"/>
  <c r="R275" i="2"/>
  <c r="Y275" i="2" s="1"/>
  <c r="W275" i="2"/>
  <c r="T275" i="2"/>
  <c r="AA275" i="2" s="1"/>
  <c r="U515" i="2"/>
  <c r="R515" i="2"/>
  <c r="Y515" i="2" s="1"/>
  <c r="W515" i="2"/>
  <c r="T515" i="2"/>
  <c r="AA515" i="2" s="1"/>
  <c r="V515" i="2"/>
  <c r="S515" i="2"/>
  <c r="Z515" i="2" s="1"/>
  <c r="U491" i="2"/>
  <c r="R491" i="2"/>
  <c r="Y491" i="2" s="1"/>
  <c r="W491" i="2"/>
  <c r="T491" i="2"/>
  <c r="AA491" i="2" s="1"/>
  <c r="V491" i="2"/>
  <c r="S491" i="2"/>
  <c r="Z491" i="2" s="1"/>
  <c r="U539" i="2"/>
  <c r="R539" i="2"/>
  <c r="Y539" i="2" s="1"/>
  <c r="W539" i="2"/>
  <c r="T539" i="2"/>
  <c r="AA539" i="2" s="1"/>
  <c r="V539" i="2"/>
  <c r="S539" i="2"/>
  <c r="Z539" i="2" s="1"/>
  <c r="V347" i="2"/>
  <c r="S347" i="2"/>
  <c r="Z347" i="2" s="1"/>
  <c r="U347" i="2"/>
  <c r="R347" i="2"/>
  <c r="Y347" i="2" s="1"/>
  <c r="W347" i="2"/>
  <c r="T347" i="2"/>
  <c r="AA347" i="2" s="1"/>
  <c r="V299" i="2"/>
  <c r="S299" i="2"/>
  <c r="Z299" i="2" s="1"/>
  <c r="U299" i="2"/>
  <c r="R299" i="2"/>
  <c r="Y299" i="2" s="1"/>
  <c r="W299" i="2"/>
  <c r="T299" i="2"/>
  <c r="AA299" i="2" s="1"/>
  <c r="V323" i="2"/>
  <c r="S323" i="2"/>
  <c r="Z323" i="2" s="1"/>
  <c r="U323" i="2"/>
  <c r="R323" i="2"/>
  <c r="Y323" i="2" s="1"/>
  <c r="W323" i="2"/>
  <c r="T323" i="2"/>
  <c r="AA323" i="2" s="1"/>
  <c r="S395" i="2"/>
  <c r="Z395" i="2" s="1"/>
  <c r="U395" i="2"/>
  <c r="R395" i="2"/>
  <c r="Y395" i="2" s="1"/>
  <c r="W395" i="2"/>
  <c r="T395" i="2"/>
  <c r="AA395" i="2" s="1"/>
  <c r="V395" i="2"/>
  <c r="V371" i="2"/>
  <c r="S371" i="2"/>
  <c r="Z371" i="2" s="1"/>
  <c r="U371" i="2"/>
  <c r="R371" i="2"/>
  <c r="Y371" i="2" s="1"/>
  <c r="W371" i="2"/>
  <c r="T371" i="2"/>
  <c r="AA371" i="2" s="1"/>
  <c r="S419" i="2"/>
  <c r="Z419" i="2" s="1"/>
  <c r="U419" i="2"/>
  <c r="R419" i="2"/>
  <c r="Y419" i="2" s="1"/>
  <c r="W419" i="2"/>
  <c r="T419" i="2"/>
  <c r="AA419" i="2" s="1"/>
  <c r="V419" i="2"/>
  <c r="U467" i="2"/>
  <c r="R467" i="2"/>
  <c r="Y467" i="2" s="1"/>
  <c r="W467" i="2"/>
  <c r="T467" i="2"/>
  <c r="AA467" i="2" s="1"/>
  <c r="V467" i="2"/>
  <c r="S467" i="2"/>
  <c r="Z467" i="2" s="1"/>
  <c r="S443" i="2"/>
  <c r="Z443" i="2" s="1"/>
  <c r="U443" i="2"/>
  <c r="R443" i="2"/>
  <c r="Y443" i="2" s="1"/>
  <c r="W443" i="2"/>
  <c r="T443" i="2"/>
  <c r="AA443" i="2" s="1"/>
  <c r="V443" i="2"/>
  <c r="U563" i="2"/>
  <c r="R563" i="2"/>
  <c r="Y563" i="2" s="1"/>
  <c r="W563" i="2"/>
  <c r="T563" i="2"/>
  <c r="AA563" i="2" s="1"/>
  <c r="V563" i="2"/>
  <c r="S563" i="2"/>
  <c r="Z563" i="2" s="1"/>
  <c r="Y983" i="2"/>
  <c r="R1116" i="2"/>
  <c r="Y1116" i="2" s="1"/>
  <c r="T1116" i="2"/>
  <c r="AA1116" i="2" s="1"/>
  <c r="V1116" i="2"/>
  <c r="S1116" i="2"/>
  <c r="Z1116" i="2" s="1"/>
  <c r="U1116" i="2"/>
  <c r="W1116" i="2"/>
  <c r="R1092" i="2"/>
  <c r="Y1092" i="2" s="1"/>
  <c r="T1092" i="2"/>
  <c r="AA1092" i="2" s="1"/>
  <c r="V1092" i="2"/>
  <c r="S1092" i="2"/>
  <c r="Z1092" i="2" s="1"/>
  <c r="U1092" i="2"/>
  <c r="W1092" i="2"/>
  <c r="R1068" i="2"/>
  <c r="Y1068" i="2" s="1"/>
  <c r="T1068" i="2"/>
  <c r="AA1068" i="2" s="1"/>
  <c r="V1068" i="2"/>
  <c r="S1068" i="2"/>
  <c r="Z1068" i="2" s="1"/>
  <c r="U1068" i="2"/>
  <c r="W1068" i="2"/>
  <c r="R1044" i="2"/>
  <c r="Y1044" i="2" s="1"/>
  <c r="T1044" i="2"/>
  <c r="AA1044" i="2" s="1"/>
  <c r="V1044" i="2"/>
  <c r="S1044" i="2"/>
  <c r="Z1044" i="2" s="1"/>
  <c r="U1044" i="2"/>
  <c r="W1044" i="2"/>
  <c r="R1020" i="2"/>
  <c r="Y1020" i="2" s="1"/>
  <c r="T1020" i="2"/>
  <c r="AA1020" i="2" s="1"/>
  <c r="V1020" i="2"/>
  <c r="S1020" i="2"/>
  <c r="Z1020" i="2" s="1"/>
  <c r="U1020" i="2"/>
  <c r="W1020" i="2"/>
  <c r="S996" i="2"/>
  <c r="Z996" i="2" s="1"/>
  <c r="R996" i="2"/>
  <c r="Y996" i="2" s="1"/>
  <c r="T996" i="2"/>
  <c r="AA996" i="2" s="1"/>
  <c r="V996" i="2"/>
  <c r="U996" i="2"/>
  <c r="W996" i="2"/>
  <c r="S972" i="2"/>
  <c r="Z972" i="2" s="1"/>
  <c r="R972" i="2"/>
  <c r="Y972" i="2" s="1"/>
  <c r="T972" i="2"/>
  <c r="AA972" i="2" s="1"/>
  <c r="V972" i="2"/>
  <c r="U972" i="2"/>
  <c r="W972" i="2"/>
  <c r="S948" i="2"/>
  <c r="Z948" i="2" s="1"/>
  <c r="R948" i="2"/>
  <c r="Y948" i="2" s="1"/>
  <c r="T948" i="2"/>
  <c r="AA948" i="2" s="1"/>
  <c r="V948" i="2"/>
  <c r="U948" i="2"/>
  <c r="W948" i="2"/>
  <c r="S924" i="2"/>
  <c r="Z924" i="2" s="1"/>
  <c r="R924" i="2"/>
  <c r="Y924" i="2" s="1"/>
  <c r="T924" i="2"/>
  <c r="AA924" i="2" s="1"/>
  <c r="V924" i="2"/>
  <c r="U924" i="2"/>
  <c r="W924" i="2"/>
  <c r="S900" i="2"/>
  <c r="Z900" i="2" s="1"/>
  <c r="R900" i="2"/>
  <c r="Y900" i="2" s="1"/>
  <c r="T900" i="2"/>
  <c r="AA900" i="2" s="1"/>
  <c r="V900" i="2"/>
  <c r="U900" i="2"/>
  <c r="W900" i="2"/>
  <c r="S876" i="2"/>
  <c r="Z876" i="2" s="1"/>
  <c r="R876" i="2"/>
  <c r="Y876" i="2" s="1"/>
  <c r="T876" i="2"/>
  <c r="AA876" i="2" s="1"/>
  <c r="V876" i="2"/>
  <c r="U876" i="2"/>
  <c r="W876" i="2"/>
  <c r="S852" i="2"/>
  <c r="Z852" i="2" s="1"/>
  <c r="R852" i="2"/>
  <c r="Y852" i="2" s="1"/>
  <c r="T852" i="2"/>
  <c r="AA852" i="2" s="1"/>
  <c r="V852" i="2"/>
  <c r="U852" i="2"/>
  <c r="W852" i="2"/>
  <c r="S828" i="2"/>
  <c r="Z828" i="2" s="1"/>
  <c r="R828" i="2"/>
  <c r="Y828" i="2" s="1"/>
  <c r="T828" i="2"/>
  <c r="AA828" i="2" s="1"/>
  <c r="V828" i="2"/>
  <c r="U828" i="2"/>
  <c r="W828" i="2"/>
  <c r="S804" i="2"/>
  <c r="Z804" i="2" s="1"/>
  <c r="R804" i="2"/>
  <c r="Y804" i="2" s="1"/>
  <c r="T804" i="2"/>
  <c r="AA804" i="2" s="1"/>
  <c r="V804" i="2"/>
  <c r="U804" i="2"/>
  <c r="W804" i="2"/>
  <c r="S780" i="2"/>
  <c r="Z780" i="2" s="1"/>
  <c r="R780" i="2"/>
  <c r="Y780" i="2" s="1"/>
  <c r="T780" i="2"/>
  <c r="AA780" i="2" s="1"/>
  <c r="V780" i="2"/>
  <c r="U780" i="2"/>
  <c r="W780" i="2"/>
  <c r="S756" i="2"/>
  <c r="Z756" i="2" s="1"/>
  <c r="R756" i="2"/>
  <c r="Y756" i="2" s="1"/>
  <c r="T756" i="2"/>
  <c r="AA756" i="2" s="1"/>
  <c r="V756" i="2"/>
  <c r="U756" i="2"/>
  <c r="W756" i="2"/>
  <c r="S732" i="2"/>
  <c r="Z732" i="2" s="1"/>
  <c r="R732" i="2"/>
  <c r="Y732" i="2" s="1"/>
  <c r="T732" i="2"/>
  <c r="AA732" i="2" s="1"/>
  <c r="V732" i="2"/>
  <c r="U732" i="2"/>
  <c r="W732" i="2"/>
  <c r="S708" i="2"/>
  <c r="Z708" i="2" s="1"/>
  <c r="R708" i="2"/>
  <c r="Y708" i="2" s="1"/>
  <c r="T708" i="2"/>
  <c r="AA708" i="2" s="1"/>
  <c r="V708" i="2"/>
  <c r="U708" i="2"/>
  <c r="W708" i="2"/>
  <c r="S684" i="2"/>
  <c r="Z684" i="2" s="1"/>
  <c r="R684" i="2"/>
  <c r="Y684" i="2" s="1"/>
  <c r="T684" i="2"/>
  <c r="AA684" i="2" s="1"/>
  <c r="V684" i="2"/>
  <c r="U684" i="2"/>
  <c r="W684" i="2"/>
  <c r="S660" i="2"/>
  <c r="Z660" i="2" s="1"/>
  <c r="R660" i="2"/>
  <c r="Y660" i="2" s="1"/>
  <c r="T660" i="2"/>
  <c r="AA660" i="2" s="1"/>
  <c r="V660" i="2"/>
  <c r="U660" i="2"/>
  <c r="W660" i="2"/>
  <c r="S636" i="2"/>
  <c r="Z636" i="2" s="1"/>
  <c r="R636" i="2"/>
  <c r="Y636" i="2" s="1"/>
  <c r="T636" i="2"/>
  <c r="AA636" i="2" s="1"/>
  <c r="V636" i="2"/>
  <c r="U636" i="2"/>
  <c r="W636" i="2"/>
  <c r="S612" i="2"/>
  <c r="Z612" i="2" s="1"/>
  <c r="R612" i="2"/>
  <c r="Y612" i="2" s="1"/>
  <c r="T612" i="2"/>
  <c r="AA612" i="2" s="1"/>
  <c r="V612" i="2"/>
  <c r="U612" i="2"/>
  <c r="W612" i="2"/>
  <c r="S588" i="2"/>
  <c r="Z588" i="2" s="1"/>
  <c r="R588" i="2"/>
  <c r="Y588" i="2" s="1"/>
  <c r="T588" i="2"/>
  <c r="AA588" i="2" s="1"/>
  <c r="V588" i="2"/>
  <c r="U588" i="2"/>
  <c r="W588" i="2"/>
  <c r="S564" i="2"/>
  <c r="Z564" i="2" s="1"/>
  <c r="R564" i="2"/>
  <c r="Y564" i="2" s="1"/>
  <c r="T564" i="2"/>
  <c r="AA564" i="2" s="1"/>
  <c r="V564" i="2"/>
  <c r="U564" i="2"/>
  <c r="W564" i="2"/>
  <c r="S540" i="2"/>
  <c r="Z540" i="2" s="1"/>
  <c r="R540" i="2"/>
  <c r="Y540" i="2" s="1"/>
  <c r="T540" i="2"/>
  <c r="AA540" i="2" s="1"/>
  <c r="V540" i="2"/>
  <c r="U540" i="2"/>
  <c r="W540" i="2"/>
  <c r="S516" i="2"/>
  <c r="Z516" i="2" s="1"/>
  <c r="R516" i="2"/>
  <c r="Y516" i="2" s="1"/>
  <c r="T516" i="2"/>
  <c r="AA516" i="2" s="1"/>
  <c r="V516" i="2"/>
  <c r="U516" i="2"/>
  <c r="W516" i="2"/>
  <c r="S492" i="2"/>
  <c r="Z492" i="2" s="1"/>
  <c r="R492" i="2"/>
  <c r="Y492" i="2" s="1"/>
  <c r="T492" i="2"/>
  <c r="AA492" i="2" s="1"/>
  <c r="V492" i="2"/>
  <c r="U492" i="2"/>
  <c r="W492" i="2"/>
  <c r="S468" i="2"/>
  <c r="Z468" i="2" s="1"/>
  <c r="R468" i="2"/>
  <c r="Y468" i="2" s="1"/>
  <c r="T468" i="2"/>
  <c r="AA468" i="2" s="1"/>
  <c r="V468" i="2"/>
  <c r="U468" i="2"/>
  <c r="W468" i="2"/>
  <c r="S444" i="2"/>
  <c r="Z444" i="2" s="1"/>
  <c r="R444" i="2"/>
  <c r="Y444" i="2" s="1"/>
  <c r="T444" i="2"/>
  <c r="AA444" i="2" s="1"/>
  <c r="V444" i="2"/>
  <c r="U444" i="2"/>
  <c r="W444" i="2"/>
  <c r="S420" i="2"/>
  <c r="Z420" i="2" s="1"/>
  <c r="R420" i="2"/>
  <c r="Y420" i="2" s="1"/>
  <c r="T420" i="2"/>
  <c r="AA420" i="2" s="1"/>
  <c r="V420" i="2"/>
  <c r="U420" i="2"/>
  <c r="W420" i="2"/>
  <c r="S396" i="2"/>
  <c r="Z396" i="2" s="1"/>
  <c r="R396" i="2"/>
  <c r="Y396" i="2" s="1"/>
  <c r="T396" i="2"/>
  <c r="AA396" i="2" s="1"/>
  <c r="V396" i="2"/>
  <c r="U396" i="2"/>
  <c r="W396" i="2"/>
  <c r="S372" i="2"/>
  <c r="Z372" i="2" s="1"/>
  <c r="R372" i="2"/>
  <c r="Y372" i="2" s="1"/>
  <c r="T372" i="2"/>
  <c r="AA372" i="2" s="1"/>
  <c r="V372" i="2"/>
  <c r="U372" i="2"/>
  <c r="W372" i="2"/>
  <c r="S348" i="2"/>
  <c r="Z348" i="2" s="1"/>
  <c r="R348" i="2"/>
  <c r="Y348" i="2" s="1"/>
  <c r="T348" i="2"/>
  <c r="AA348" i="2" s="1"/>
  <c r="V348" i="2"/>
  <c r="U348" i="2"/>
  <c r="W348" i="2"/>
  <c r="S324" i="2"/>
  <c r="Z324" i="2" s="1"/>
  <c r="R324" i="2"/>
  <c r="Y324" i="2" s="1"/>
  <c r="T324" i="2"/>
  <c r="AA324" i="2" s="1"/>
  <c r="V324" i="2"/>
  <c r="U324" i="2"/>
  <c r="W324" i="2"/>
  <c r="S300" i="2"/>
  <c r="Z300" i="2" s="1"/>
  <c r="R300" i="2"/>
  <c r="Y300" i="2" s="1"/>
  <c r="T300" i="2"/>
  <c r="AA300" i="2" s="1"/>
  <c r="V300" i="2"/>
  <c r="U300" i="2"/>
  <c r="W300" i="2"/>
  <c r="S276" i="2"/>
  <c r="Z276" i="2" s="1"/>
  <c r="R276" i="2"/>
  <c r="Y276" i="2" s="1"/>
  <c r="T276" i="2"/>
  <c r="AA276" i="2" s="1"/>
  <c r="V276" i="2"/>
  <c r="U276" i="2"/>
  <c r="W276" i="2"/>
  <c r="S252" i="2"/>
  <c r="Z252" i="2" s="1"/>
  <c r="R252" i="2"/>
  <c r="Y252" i="2" s="1"/>
  <c r="T252" i="2"/>
  <c r="AA252" i="2" s="1"/>
  <c r="V252" i="2"/>
  <c r="U252" i="2"/>
  <c r="W252" i="2"/>
  <c r="S228" i="2"/>
  <c r="Z228" i="2" s="1"/>
  <c r="R228" i="2"/>
  <c r="Y228" i="2" s="1"/>
  <c r="T228" i="2"/>
  <c r="AA228" i="2" s="1"/>
  <c r="V228" i="2"/>
  <c r="U228" i="2"/>
  <c r="W228" i="2"/>
  <c r="S204" i="2"/>
  <c r="Z204" i="2" s="1"/>
  <c r="R204" i="2"/>
  <c r="Y204" i="2" s="1"/>
  <c r="T204" i="2"/>
  <c r="AA204" i="2" s="1"/>
  <c r="V204" i="2"/>
  <c r="U204" i="2"/>
  <c r="W204" i="2"/>
  <c r="S180" i="2"/>
  <c r="Z180" i="2" s="1"/>
  <c r="R180" i="2"/>
  <c r="Y180" i="2" s="1"/>
  <c r="T180" i="2"/>
  <c r="AA180" i="2" s="1"/>
  <c r="V180" i="2"/>
  <c r="U180" i="2"/>
  <c r="W180" i="2"/>
  <c r="S156" i="2"/>
  <c r="Z156" i="2" s="1"/>
  <c r="R156" i="2"/>
  <c r="Y156" i="2" s="1"/>
  <c r="T156" i="2"/>
  <c r="AA156" i="2" s="1"/>
  <c r="V156" i="2"/>
  <c r="U156" i="2"/>
  <c r="W156" i="2"/>
  <c r="S132" i="2"/>
  <c r="Z132" i="2" s="1"/>
  <c r="R132" i="2"/>
  <c r="Y132" i="2" s="1"/>
  <c r="T132" i="2"/>
  <c r="AA132" i="2" s="1"/>
  <c r="V132" i="2"/>
  <c r="U132" i="2"/>
  <c r="W132" i="2"/>
  <c r="S108" i="2"/>
  <c r="Z108" i="2" s="1"/>
  <c r="R108" i="2"/>
  <c r="Y108" i="2" s="1"/>
  <c r="T108" i="2"/>
  <c r="AA108" i="2" s="1"/>
  <c r="V108" i="2"/>
  <c r="U108" i="2"/>
  <c r="W108" i="2"/>
  <c r="S84" i="2"/>
  <c r="Z84" i="2" s="1"/>
  <c r="R84" i="2"/>
  <c r="Y84" i="2" s="1"/>
  <c r="T84" i="2"/>
  <c r="AA84" i="2" s="1"/>
  <c r="V84" i="2"/>
  <c r="U84" i="2"/>
  <c r="W84" i="2"/>
  <c r="S60" i="2"/>
  <c r="Z60" i="2" s="1"/>
  <c r="R60" i="2"/>
  <c r="Y60" i="2" s="1"/>
  <c r="T60" i="2"/>
  <c r="AA60" i="2" s="1"/>
  <c r="V60" i="2"/>
  <c r="U60" i="2"/>
  <c r="W60" i="2"/>
  <c r="AB398" i="2" l="1"/>
  <c r="AC398" i="2" s="1"/>
  <c r="AE398" i="2" s="1" a="1"/>
  <c r="AE398" i="2" s="1"/>
  <c r="AT398" i="8" l="1"/>
  <c r="C46" i="9"/>
  <c r="C45" i="9"/>
  <c r="S1129" i="8" l="1"/>
  <c r="T1129" i="8"/>
  <c r="U1129" i="8"/>
  <c r="V1129" i="8"/>
  <c r="W1129" i="8"/>
  <c r="X1129" i="8"/>
  <c r="Y1129" i="8"/>
  <c r="Z1129" i="8"/>
  <c r="AA1129" i="8"/>
  <c r="AB1129" i="8"/>
  <c r="AC1129" i="8"/>
  <c r="AD1129" i="8"/>
  <c r="BE5" i="8" l="1"/>
  <c r="BE6" i="8"/>
  <c r="BE7" i="8"/>
  <c r="BE8" i="8"/>
  <c r="BE9" i="8"/>
  <c r="BE10" i="8"/>
  <c r="BE11" i="8"/>
  <c r="BE12" i="8"/>
  <c r="BE13" i="8"/>
  <c r="BE14" i="8"/>
  <c r="BD5" i="8"/>
  <c r="BD6" i="8"/>
  <c r="BD7" i="8"/>
  <c r="BD8" i="8"/>
  <c r="BD9" i="8"/>
  <c r="BD10" i="8"/>
  <c r="BD11" i="8"/>
  <c r="BD12" i="8"/>
  <c r="BD13" i="8"/>
  <c r="BD14" i="8"/>
  <c r="BC5" i="8"/>
  <c r="BC6" i="8"/>
  <c r="BC7" i="8"/>
  <c r="BC8" i="8"/>
  <c r="BC9" i="8"/>
  <c r="BC10" i="8"/>
  <c r="BC11" i="8"/>
  <c r="BC12" i="8"/>
  <c r="BC13" i="8"/>
  <c r="BC14" i="8"/>
  <c r="BB5" i="8"/>
  <c r="BB6" i="8"/>
  <c r="BB7" i="8"/>
  <c r="BB8" i="8"/>
  <c r="BB9" i="8"/>
  <c r="BB10" i="8"/>
  <c r="BB11" i="8"/>
  <c r="BB12" i="8"/>
  <c r="BB13" i="8"/>
  <c r="BB14" i="8"/>
  <c r="BA5" i="8"/>
  <c r="BE3" i="8"/>
  <c r="BD3" i="8"/>
  <c r="BC3" i="8"/>
  <c r="BB3" i="8"/>
  <c r="AZ3" i="8"/>
  <c r="AY3" i="8"/>
  <c r="BA6" i="8"/>
  <c r="BA7" i="8"/>
  <c r="BA8" i="8"/>
  <c r="BA9" i="8"/>
  <c r="BA10" i="8"/>
  <c r="BA11" i="8"/>
  <c r="BA12" i="8"/>
  <c r="BA13" i="8"/>
  <c r="BA14" i="8"/>
  <c r="AZ5" i="8"/>
  <c r="AZ6" i="8"/>
  <c r="AZ7" i="8"/>
  <c r="AZ8" i="8"/>
  <c r="AZ9" i="8"/>
  <c r="AZ10" i="8"/>
  <c r="AZ11" i="8"/>
  <c r="AZ12" i="8"/>
  <c r="AZ13" i="8"/>
  <c r="AZ14" i="8"/>
  <c r="AY5" i="8"/>
  <c r="AY6" i="8"/>
  <c r="AY7" i="8"/>
  <c r="AY8" i="8"/>
  <c r="AY9" i="8"/>
  <c r="AY10" i="8"/>
  <c r="AY11" i="8"/>
  <c r="AY12" i="8"/>
  <c r="AY13" i="8"/>
  <c r="AY14" i="8"/>
  <c r="AX5" i="8"/>
  <c r="AX6" i="8"/>
  <c r="AX7" i="8"/>
  <c r="AX8" i="8"/>
  <c r="AX9" i="8"/>
  <c r="AX10" i="8"/>
  <c r="AX11" i="8"/>
  <c r="AX12" i="8"/>
  <c r="AX13" i="8"/>
  <c r="AX14" i="8"/>
  <c r="AW5" i="8"/>
  <c r="AW6" i="8"/>
  <c r="AW7" i="8"/>
  <c r="AW8" i="8"/>
  <c r="AW9" i="8"/>
  <c r="AW10" i="8"/>
  <c r="AW11" i="8"/>
  <c r="AW12" i="8"/>
  <c r="AW13" i="8"/>
  <c r="AW14" i="8"/>
  <c r="AV5" i="8"/>
  <c r="AV6" i="8"/>
  <c r="AV7" i="8"/>
  <c r="AV8" i="8"/>
  <c r="AV9" i="8"/>
  <c r="AV10" i="8"/>
  <c r="AV11" i="8"/>
  <c r="AV12" i="8"/>
  <c r="AV13" i="8"/>
  <c r="AV14" i="8"/>
  <c r="AU5" i="8"/>
  <c r="AU6" i="8"/>
  <c r="AU7" i="8"/>
  <c r="AU8" i="8"/>
  <c r="AU9" i="8"/>
  <c r="AU10" i="8"/>
  <c r="AU11" i="8"/>
  <c r="AU12" i="8"/>
  <c r="AU13" i="8"/>
  <c r="AU14" i="8"/>
  <c r="BF14" i="8" l="1"/>
  <c r="BF10" i="8"/>
  <c r="BF6" i="8"/>
  <c r="BF9" i="8"/>
  <c r="BF5" i="8"/>
  <c r="AU1129" i="8"/>
  <c r="AW1129" i="8"/>
  <c r="AY1129" i="8"/>
  <c r="BB1129" i="8"/>
  <c r="BD1129" i="8"/>
  <c r="BF13" i="8"/>
  <c r="AV1129" i="8"/>
  <c r="AX1129" i="8"/>
  <c r="AZ1129" i="8"/>
  <c r="BA1129" i="8"/>
  <c r="BC1129" i="8"/>
  <c r="BE1129" i="8"/>
  <c r="BF12" i="8"/>
  <c r="BF8" i="8"/>
  <c r="BF11" i="8"/>
  <c r="BF7" i="8"/>
  <c r="AP3" i="8"/>
  <c r="AO3" i="8"/>
  <c r="AN3" i="8"/>
  <c r="AM3" i="8"/>
  <c r="AK3" i="8"/>
  <c r="AJ3" i="8"/>
  <c r="AM5" i="8"/>
  <c r="AN5" i="8"/>
  <c r="AO5" i="8"/>
  <c r="AP5" i="8"/>
  <c r="AM6" i="8"/>
  <c r="AN6" i="8"/>
  <c r="AO6" i="8"/>
  <c r="AP6" i="8"/>
  <c r="AM7" i="8"/>
  <c r="AN7" i="8"/>
  <c r="AO7" i="8"/>
  <c r="AP7" i="8"/>
  <c r="AM8" i="8"/>
  <c r="AN8" i="8"/>
  <c r="AO8" i="8"/>
  <c r="AP8" i="8"/>
  <c r="AM9" i="8"/>
  <c r="AN9" i="8"/>
  <c r="AO9" i="8"/>
  <c r="AP9" i="8"/>
  <c r="AM10" i="8"/>
  <c r="AN10" i="8"/>
  <c r="AO10" i="8"/>
  <c r="AP10" i="8"/>
  <c r="AM11" i="8"/>
  <c r="AN11" i="8"/>
  <c r="AO11" i="8"/>
  <c r="AP11" i="8"/>
  <c r="AM12" i="8"/>
  <c r="AN12" i="8"/>
  <c r="AO12" i="8"/>
  <c r="AP12" i="8"/>
  <c r="AM13" i="8"/>
  <c r="AN13" i="8"/>
  <c r="AO13" i="8"/>
  <c r="AP13" i="8"/>
  <c r="AM14" i="8"/>
  <c r="AN14" i="8"/>
  <c r="AO14" i="8"/>
  <c r="AP14" i="8"/>
  <c r="AD3" i="8"/>
  <c r="AC3" i="8"/>
  <c r="AB3" i="8"/>
  <c r="AA3" i="8"/>
  <c r="Y3" i="8"/>
  <c r="X3" i="8"/>
  <c r="K5" i="8"/>
  <c r="L5" i="8"/>
  <c r="M5" i="8"/>
  <c r="N5" i="8"/>
  <c r="K6" i="8"/>
  <c r="L6" i="8"/>
  <c r="M6" i="8"/>
  <c r="N6" i="8"/>
  <c r="K7" i="8"/>
  <c r="L7" i="8"/>
  <c r="M7" i="8"/>
  <c r="N7" i="8"/>
  <c r="K8" i="8"/>
  <c r="L8" i="8"/>
  <c r="M8" i="8"/>
  <c r="N8" i="8"/>
  <c r="K9" i="8"/>
  <c r="L9" i="8"/>
  <c r="M9" i="8"/>
  <c r="N9" i="8"/>
  <c r="K10" i="8"/>
  <c r="L10" i="8"/>
  <c r="M10" i="8"/>
  <c r="N10" i="8"/>
  <c r="K11" i="8"/>
  <c r="L11" i="8"/>
  <c r="M11" i="8"/>
  <c r="N11" i="8"/>
  <c r="K12" i="8"/>
  <c r="L12" i="8"/>
  <c r="M12" i="8"/>
  <c r="N12" i="8"/>
  <c r="K13" i="8"/>
  <c r="L13" i="8"/>
  <c r="M13" i="8"/>
  <c r="N13" i="8"/>
  <c r="K14" i="8"/>
  <c r="L14" i="8"/>
  <c r="M14" i="8"/>
  <c r="N14" i="8"/>
  <c r="AA3" i="2"/>
  <c r="Z3" i="2"/>
  <c r="Y3" i="2"/>
  <c r="X3" i="2"/>
  <c r="V3" i="2"/>
  <c r="U3" i="2"/>
  <c r="M3" i="2"/>
  <c r="L3" i="2"/>
  <c r="K3" i="2"/>
  <c r="J3" i="2"/>
  <c r="N3" i="8"/>
  <c r="M3" i="8"/>
  <c r="L3" i="8"/>
  <c r="K3" i="8"/>
  <c r="AP1129" i="8" l="1"/>
  <c r="AO1129" i="8"/>
  <c r="N1129" i="8"/>
  <c r="AN1129" i="8"/>
  <c r="M1129" i="8"/>
  <c r="AM1129" i="8"/>
  <c r="K1129" i="8"/>
  <c r="L1129" i="8"/>
  <c r="BF1129" i="8"/>
  <c r="P33" i="2"/>
  <c r="Q33" i="8" s="1"/>
  <c r="P34" i="2"/>
  <c r="Q34" i="8" s="1"/>
  <c r="P35" i="2"/>
  <c r="Q35" i="8" s="1"/>
  <c r="P36" i="2"/>
  <c r="Q36" i="8" s="1"/>
  <c r="P15" i="2"/>
  <c r="Q15" i="8" s="1"/>
  <c r="P16" i="2"/>
  <c r="Q16" i="8" s="1"/>
  <c r="P17" i="2"/>
  <c r="Q17" i="8" s="1"/>
  <c r="P18" i="2"/>
  <c r="Q18" i="8" s="1"/>
  <c r="P19" i="2"/>
  <c r="Q19" i="8" s="1"/>
  <c r="P20" i="2"/>
  <c r="Q20" i="8" s="1"/>
  <c r="P21" i="2"/>
  <c r="Q21" i="8" s="1"/>
  <c r="P22" i="2"/>
  <c r="Q22" i="8" s="1"/>
  <c r="P23" i="2"/>
  <c r="Q23" i="8" s="1"/>
  <c r="P24" i="2"/>
  <c r="Q24" i="8" s="1"/>
  <c r="P25" i="2"/>
  <c r="Q25" i="8" s="1"/>
  <c r="P26" i="2"/>
  <c r="Q26" i="8" s="1"/>
  <c r="P27" i="2"/>
  <c r="Q27" i="8" s="1"/>
  <c r="P28" i="2"/>
  <c r="Q28" i="8" s="1"/>
  <c r="P29" i="2"/>
  <c r="Q29" i="8" s="1"/>
  <c r="P30" i="2"/>
  <c r="Q30" i="8" s="1"/>
  <c r="P31" i="2"/>
  <c r="Q31" i="8" s="1"/>
  <c r="P32" i="2"/>
  <c r="Q32" i="8" s="1"/>
  <c r="V28" i="2" l="1"/>
  <c r="V20" i="2"/>
  <c r="V16" i="2"/>
  <c r="V31" i="2"/>
  <c r="V19" i="2"/>
  <c r="U33" i="2"/>
  <c r="V33" i="2"/>
  <c r="S30" i="2"/>
  <c r="Z30" i="2" s="1"/>
  <c r="V30" i="2"/>
  <c r="R26" i="2"/>
  <c r="Y26" i="2" s="1"/>
  <c r="V26" i="2"/>
  <c r="V22" i="2"/>
  <c r="R18" i="2"/>
  <c r="Y18" i="2" s="1"/>
  <c r="V18" i="2"/>
  <c r="V36" i="2"/>
  <c r="V32" i="2"/>
  <c r="V24" i="2"/>
  <c r="V34" i="2"/>
  <c r="V27" i="2"/>
  <c r="V23" i="2"/>
  <c r="V15" i="2"/>
  <c r="V29" i="2"/>
  <c r="S25" i="2"/>
  <c r="Z25" i="2" s="1"/>
  <c r="V25" i="2"/>
  <c r="V21" i="2"/>
  <c r="R17" i="2"/>
  <c r="Y17" i="2" s="1"/>
  <c r="V17" i="2"/>
  <c r="V35" i="2"/>
  <c r="S33" i="2"/>
  <c r="Z33" i="2" s="1"/>
  <c r="S34" i="2"/>
  <c r="Z34" i="2" s="1"/>
  <c r="W34" i="2"/>
  <c r="U34" i="2"/>
  <c r="R21" i="2"/>
  <c r="Y21" i="2" s="1"/>
  <c r="T34" i="2"/>
  <c r="AA34" i="2" s="1"/>
  <c r="U22" i="2"/>
  <c r="R22" i="2"/>
  <c r="Y22" i="2" s="1"/>
  <c r="T22" i="2"/>
  <c r="AA22" i="2" s="1"/>
  <c r="S26" i="2"/>
  <c r="Z26" i="2" s="1"/>
  <c r="W26" i="2"/>
  <c r="U30" i="2"/>
  <c r="S22" i="2"/>
  <c r="Z22" i="2" s="1"/>
  <c r="T31" i="2"/>
  <c r="AA31" i="2" s="1"/>
  <c r="T23" i="2"/>
  <c r="AA23" i="2" s="1"/>
  <c r="W19" i="2"/>
  <c r="W36" i="2"/>
  <c r="R36" i="2"/>
  <c r="Y36" i="2" s="1"/>
  <c r="U36" i="2"/>
  <c r="T15" i="2"/>
  <c r="AA15" i="2" s="1"/>
  <c r="T21" i="2"/>
  <c r="AA21" i="2" s="1"/>
  <c r="R29" i="2"/>
  <c r="Y29" i="2" s="1"/>
  <c r="W33" i="2"/>
  <c r="S36" i="2"/>
  <c r="Z36" i="2" s="1"/>
  <c r="R33" i="2"/>
  <c r="Y33" i="2" s="1"/>
  <c r="W25" i="2"/>
  <c r="U29" i="2"/>
  <c r="T33" i="2"/>
  <c r="AA33" i="2" s="1"/>
  <c r="T36" i="2"/>
  <c r="AA36" i="2" s="1"/>
  <c r="T27" i="2"/>
  <c r="AA27" i="2" s="1"/>
  <c r="W18" i="2"/>
  <c r="U23" i="2"/>
  <c r="T26" i="2"/>
  <c r="AA26" i="2" s="1"/>
  <c r="T19" i="2"/>
  <c r="AA19" i="2" s="1"/>
  <c r="R30" i="2"/>
  <c r="Y30" i="2" s="1"/>
  <c r="R20" i="2"/>
  <c r="Y20" i="2" s="1"/>
  <c r="R34" i="2"/>
  <c r="Y34" i="2" s="1"/>
  <c r="U17" i="2"/>
  <c r="T17" i="2"/>
  <c r="AA17" i="2" s="1"/>
  <c r="W30" i="2"/>
  <c r="W22" i="2"/>
  <c r="W17" i="2"/>
  <c r="U26" i="2"/>
  <c r="U21" i="2"/>
  <c r="T30" i="2"/>
  <c r="AA30" i="2" s="1"/>
  <c r="T25" i="2"/>
  <c r="AA25" i="2" s="1"/>
  <c r="S21" i="2"/>
  <c r="Z21" i="2" s="1"/>
  <c r="W35" i="2"/>
  <c r="U35" i="2"/>
  <c r="T35" i="2"/>
  <c r="AA35" i="2" s="1"/>
  <c r="S35" i="2"/>
  <c r="Z35" i="2" s="1"/>
  <c r="R35" i="2"/>
  <c r="Y35" i="2" s="1"/>
  <c r="W29" i="2"/>
  <c r="W21" i="2"/>
  <c r="U25" i="2"/>
  <c r="U18" i="2"/>
  <c r="T29" i="2"/>
  <c r="AA29" i="2" s="1"/>
  <c r="T18" i="2"/>
  <c r="AA18" i="2" s="1"/>
  <c r="S29" i="2"/>
  <c r="Z29" i="2" s="1"/>
  <c r="S18" i="2"/>
  <c r="Z18" i="2" s="1"/>
  <c r="R25" i="2"/>
  <c r="Y25" i="2" s="1"/>
  <c r="S17" i="2"/>
  <c r="Z17" i="2" s="1"/>
  <c r="R28" i="2"/>
  <c r="Y28" i="2" s="1"/>
  <c r="R32" i="2"/>
  <c r="Y32" i="2" s="1"/>
  <c r="R16" i="2"/>
  <c r="Y16" i="2" s="1"/>
  <c r="T32" i="2"/>
  <c r="AA32" i="2" s="1"/>
  <c r="T28" i="2"/>
  <c r="AA28" i="2" s="1"/>
  <c r="T24" i="2"/>
  <c r="AA24" i="2" s="1"/>
  <c r="T20" i="2"/>
  <c r="AA20" i="2" s="1"/>
  <c r="T16" i="2"/>
  <c r="AA16" i="2" s="1"/>
  <c r="R24" i="2"/>
  <c r="Y24" i="2" s="1"/>
  <c r="W31" i="2"/>
  <c r="W15" i="2"/>
  <c r="U19" i="2"/>
  <c r="W23" i="2"/>
  <c r="U27" i="2"/>
  <c r="W27" i="2"/>
  <c r="U31" i="2"/>
  <c r="U15" i="2"/>
  <c r="R31" i="2"/>
  <c r="Y31" i="2" s="1"/>
  <c r="R27" i="2"/>
  <c r="Y27" i="2" s="1"/>
  <c r="R23" i="2"/>
  <c r="Y23" i="2" s="1"/>
  <c r="R19" i="2"/>
  <c r="Y19" i="2" s="1"/>
  <c r="R15" i="2"/>
  <c r="Y15" i="2" s="1"/>
  <c r="W32" i="2"/>
  <c r="W28" i="2"/>
  <c r="W24" i="2"/>
  <c r="W20" i="2"/>
  <c r="W16" i="2"/>
  <c r="U32" i="2"/>
  <c r="U28" i="2"/>
  <c r="U24" i="2"/>
  <c r="U20" i="2"/>
  <c r="U16" i="2"/>
  <c r="S32" i="2"/>
  <c r="Z32" i="2" s="1"/>
  <c r="S28" i="2"/>
  <c r="Z28" i="2" s="1"/>
  <c r="S24" i="2"/>
  <c r="Z24" i="2" s="1"/>
  <c r="S20" i="2"/>
  <c r="Z20" i="2" s="1"/>
  <c r="S16" i="2"/>
  <c r="Z16" i="2" s="1"/>
  <c r="S31" i="2"/>
  <c r="Z31" i="2" s="1"/>
  <c r="S27" i="2"/>
  <c r="Z27" i="2" s="1"/>
  <c r="S23" i="2"/>
  <c r="Z23" i="2" s="1"/>
  <c r="S19" i="2"/>
  <c r="Z19" i="2" s="1"/>
  <c r="S15" i="2"/>
  <c r="Z15" i="2" s="1"/>
  <c r="AL5" i="8" l="1"/>
  <c r="AL6" i="8"/>
  <c r="AL7" i="8"/>
  <c r="AL8" i="8"/>
  <c r="AL9" i="8"/>
  <c r="AL10" i="8"/>
  <c r="AL11" i="8"/>
  <c r="AL12" i="8"/>
  <c r="AL13" i="8"/>
  <c r="AL14" i="8"/>
  <c r="AK5" i="8"/>
  <c r="AK6" i="8"/>
  <c r="AK7" i="8"/>
  <c r="AK8" i="8"/>
  <c r="AK9" i="8"/>
  <c r="AK10" i="8"/>
  <c r="AK11" i="8"/>
  <c r="AK12" i="8"/>
  <c r="AK13" i="8"/>
  <c r="AK14" i="8"/>
  <c r="AJ5" i="8"/>
  <c r="AJ6" i="8"/>
  <c r="AJ7" i="8"/>
  <c r="AJ8" i="8"/>
  <c r="AJ9" i="8"/>
  <c r="AJ10" i="8"/>
  <c r="AJ11" i="8"/>
  <c r="AJ12" i="8"/>
  <c r="AJ13" i="8"/>
  <c r="AJ14" i="8"/>
  <c r="AI5" i="8"/>
  <c r="AI6" i="8"/>
  <c r="AI7" i="8"/>
  <c r="AI8" i="8"/>
  <c r="AI9" i="8"/>
  <c r="AI10" i="8"/>
  <c r="AI11" i="8"/>
  <c r="AI12" i="8"/>
  <c r="AI13" i="8"/>
  <c r="AI14" i="8"/>
  <c r="AH5" i="8"/>
  <c r="AH6" i="8"/>
  <c r="AH7" i="8"/>
  <c r="AH8" i="8"/>
  <c r="AH9" i="8"/>
  <c r="AH10" i="8"/>
  <c r="AH11" i="8"/>
  <c r="AH12" i="8"/>
  <c r="AH13" i="8"/>
  <c r="AH14" i="8"/>
  <c r="AG5" i="8"/>
  <c r="AG6" i="8"/>
  <c r="AG7" i="8"/>
  <c r="AG8" i="8"/>
  <c r="AG9" i="8"/>
  <c r="AG10" i="8"/>
  <c r="AG11" i="8"/>
  <c r="AG12" i="8"/>
  <c r="AG13" i="8"/>
  <c r="AG14" i="8"/>
  <c r="AF5" i="8"/>
  <c r="AF6" i="8"/>
  <c r="AF7" i="8"/>
  <c r="AF8" i="8"/>
  <c r="AF9" i="8"/>
  <c r="AF10" i="8"/>
  <c r="AF11" i="8"/>
  <c r="AF12" i="8"/>
  <c r="AF13" i="8"/>
  <c r="AF14" i="8"/>
  <c r="B5" i="8"/>
  <c r="B6" i="8"/>
  <c r="B7" i="8"/>
  <c r="B8" i="8"/>
  <c r="B9" i="8"/>
  <c r="B10" i="8"/>
  <c r="B11" i="8"/>
  <c r="B12" i="8"/>
  <c r="B13" i="8"/>
  <c r="B14" i="8"/>
  <c r="C5" i="8"/>
  <c r="C6" i="8"/>
  <c r="C7" i="8"/>
  <c r="C8" i="8"/>
  <c r="C9" i="8"/>
  <c r="C10" i="8"/>
  <c r="C11" i="8"/>
  <c r="C12" i="8"/>
  <c r="C13" i="8"/>
  <c r="C14" i="8"/>
  <c r="D5" i="8"/>
  <c r="D6" i="8"/>
  <c r="D7" i="8"/>
  <c r="D8" i="8"/>
  <c r="D9" i="8"/>
  <c r="D10" i="8"/>
  <c r="D11" i="8"/>
  <c r="D12" i="8"/>
  <c r="D13" i="8"/>
  <c r="D14" i="8"/>
  <c r="E5" i="8"/>
  <c r="E6" i="8"/>
  <c r="E7" i="8"/>
  <c r="E8" i="8"/>
  <c r="E9" i="8"/>
  <c r="E10" i="8"/>
  <c r="E11" i="8"/>
  <c r="E12" i="8"/>
  <c r="E13" i="8"/>
  <c r="E14" i="8"/>
  <c r="F5" i="8"/>
  <c r="F6" i="8"/>
  <c r="F7" i="8"/>
  <c r="F8" i="8"/>
  <c r="F9" i="8"/>
  <c r="F10" i="8"/>
  <c r="F11" i="8"/>
  <c r="F12" i="8"/>
  <c r="F13" i="8"/>
  <c r="F14" i="8"/>
  <c r="G5" i="8"/>
  <c r="G6" i="8"/>
  <c r="G7" i="8"/>
  <c r="G8" i="8"/>
  <c r="G9" i="8"/>
  <c r="G10" i="8"/>
  <c r="G11" i="8"/>
  <c r="G12" i="8"/>
  <c r="G13" i="8"/>
  <c r="G14" i="8"/>
  <c r="H5" i="8"/>
  <c r="H6" i="8"/>
  <c r="H7" i="8"/>
  <c r="H8" i="8"/>
  <c r="H9" i="8"/>
  <c r="H10" i="8"/>
  <c r="H11" i="8"/>
  <c r="H12" i="8"/>
  <c r="H13" i="8"/>
  <c r="H14" i="8"/>
  <c r="I5" i="8"/>
  <c r="I6" i="8"/>
  <c r="I7" i="8"/>
  <c r="I8" i="8"/>
  <c r="I9" i="8"/>
  <c r="I10" i="8"/>
  <c r="I11" i="8"/>
  <c r="I12" i="8"/>
  <c r="I13" i="8"/>
  <c r="I14" i="8"/>
  <c r="J5" i="8"/>
  <c r="J6" i="8"/>
  <c r="J7" i="8"/>
  <c r="J8" i="8"/>
  <c r="J9" i="8"/>
  <c r="J10" i="8"/>
  <c r="J11" i="8"/>
  <c r="J12" i="8"/>
  <c r="J13" i="8"/>
  <c r="J14" i="8"/>
  <c r="O5" i="8"/>
  <c r="O6" i="8"/>
  <c r="O7" i="8"/>
  <c r="O8" i="8"/>
  <c r="O9" i="8"/>
  <c r="O10" i="8"/>
  <c r="O11" i="8"/>
  <c r="O12" i="8"/>
  <c r="O13" i="8"/>
  <c r="O14" i="8"/>
  <c r="P5" i="8"/>
  <c r="P6" i="8"/>
  <c r="P7" i="8"/>
  <c r="P8" i="8"/>
  <c r="P9" i="8"/>
  <c r="P10" i="8"/>
  <c r="P11" i="8"/>
  <c r="P12" i="8"/>
  <c r="P13" i="8"/>
  <c r="P14" i="8"/>
  <c r="AE6" i="8"/>
  <c r="AE8" i="8"/>
  <c r="AE10" i="8"/>
  <c r="AE12" i="8"/>
  <c r="AE14" i="8"/>
  <c r="AE5" i="8"/>
  <c r="AE7" i="8"/>
  <c r="AE9" i="8"/>
  <c r="AE11" i="8"/>
  <c r="AE13" i="8"/>
  <c r="P5" i="2"/>
  <c r="P6" i="2"/>
  <c r="V6" i="2" s="1"/>
  <c r="P7" i="2"/>
  <c r="V7" i="2" s="1"/>
  <c r="P8" i="2"/>
  <c r="V8" i="2" s="1"/>
  <c r="P9" i="2"/>
  <c r="V9" i="2" s="1"/>
  <c r="P10" i="2"/>
  <c r="V10" i="2" s="1"/>
  <c r="P11" i="2"/>
  <c r="V11" i="2" s="1"/>
  <c r="P12" i="2"/>
  <c r="V12" i="2" s="1"/>
  <c r="P13" i="2"/>
  <c r="V13" i="2" s="1"/>
  <c r="P14" i="2"/>
  <c r="V14" i="2" s="1"/>
  <c r="H1129" i="2"/>
  <c r="G1129" i="2"/>
  <c r="T3" i="8"/>
  <c r="I3" i="8"/>
  <c r="H3" i="8"/>
  <c r="I3" i="2"/>
  <c r="H3" i="2"/>
  <c r="G3" i="2"/>
  <c r="C48" i="9"/>
  <c r="C3" i="8"/>
  <c r="D3" i="8"/>
  <c r="B3" i="2"/>
  <c r="C3" i="2"/>
  <c r="C42" i="9"/>
  <c r="D1129" i="8" l="1"/>
  <c r="AE1129" i="8"/>
  <c r="I1129" i="8"/>
  <c r="AJ1129" i="8"/>
  <c r="O1129" i="8"/>
  <c r="F1129" i="8"/>
  <c r="AF1129" i="8"/>
  <c r="H1129" i="8"/>
  <c r="AK1129" i="8"/>
  <c r="C1129" i="8"/>
  <c r="AH1129" i="8"/>
  <c r="AI1129" i="8"/>
  <c r="E1129" i="8"/>
  <c r="J1129" i="8"/>
  <c r="P1129" i="8"/>
  <c r="AG1129" i="8"/>
  <c r="G1129" i="8"/>
  <c r="AL1129" i="8"/>
  <c r="AQ9" i="8"/>
  <c r="AR9" i="8"/>
  <c r="AR10" i="8"/>
  <c r="AR13" i="8"/>
  <c r="AR5" i="8"/>
  <c r="AR8" i="8"/>
  <c r="AQ12" i="8"/>
  <c r="AR12" i="8"/>
  <c r="AQ7" i="8"/>
  <c r="AR7" i="8"/>
  <c r="AR11" i="8"/>
  <c r="AR14" i="8"/>
  <c r="AR6" i="8"/>
  <c r="AQ13" i="8"/>
  <c r="AQ5" i="8"/>
  <c r="AQ8" i="8"/>
  <c r="AQ10" i="8"/>
  <c r="AQ11" i="8"/>
  <c r="AQ14" i="8"/>
  <c r="AQ6" i="8"/>
  <c r="U5" i="2"/>
  <c r="V5" i="2"/>
  <c r="Q12" i="8"/>
  <c r="Q8" i="8"/>
  <c r="Q9" i="8"/>
  <c r="Q11" i="8"/>
  <c r="Q7" i="8"/>
  <c r="Q13" i="8"/>
  <c r="Q5" i="8"/>
  <c r="Q14" i="8"/>
  <c r="Q10" i="8"/>
  <c r="Q6" i="8"/>
  <c r="BG9" i="8"/>
  <c r="BG13" i="8"/>
  <c r="BG11" i="8"/>
  <c r="BG7" i="8"/>
  <c r="C41" i="9"/>
  <c r="C50" i="9"/>
  <c r="C36" i="9"/>
  <c r="C67" i="9"/>
  <c r="C66" i="9"/>
  <c r="B16" i="9"/>
  <c r="B51" i="9"/>
  <c r="C37" i="9"/>
  <c r="C29" i="9"/>
  <c r="A4" i="9"/>
  <c r="C25" i="9"/>
  <c r="B20" i="9"/>
  <c r="C19" i="9"/>
  <c r="C39" i="9"/>
  <c r="B44" i="3"/>
  <c r="AG398" i="2" s="1"/>
  <c r="Q1129" i="8" l="1"/>
  <c r="AQ1129" i="8"/>
  <c r="AR1129" i="8"/>
  <c r="BG5" i="8"/>
  <c r="C44" i="9" l="1"/>
  <c r="B14" i="3"/>
  <c r="A1" i="9"/>
  <c r="B40" i="9"/>
  <c r="B35" i="9"/>
  <c r="B24" i="3"/>
  <c r="B7" i="9" l="1"/>
  <c r="BO1" i="8" l="1"/>
  <c r="A1" i="2"/>
  <c r="F1129" i="2"/>
  <c r="I1129" i="2"/>
  <c r="W3" i="2"/>
  <c r="T3" i="2"/>
  <c r="S3" i="2"/>
  <c r="R3" i="2"/>
  <c r="Q3" i="2"/>
  <c r="BA3" i="8"/>
  <c r="AX3" i="8"/>
  <c r="AW3" i="8"/>
  <c r="AV3" i="8"/>
  <c r="AU3" i="8"/>
  <c r="AL3" i="8"/>
  <c r="AI3" i="8"/>
  <c r="AH3" i="8"/>
  <c r="AG3" i="8"/>
  <c r="AE3" i="8"/>
  <c r="AF3" i="8"/>
  <c r="Z3" i="8"/>
  <c r="W3" i="8"/>
  <c r="V3" i="8"/>
  <c r="U3" i="8"/>
  <c r="S3" i="8"/>
  <c r="J3" i="8"/>
  <c r="G3" i="8"/>
  <c r="F3" i="8"/>
  <c r="E3" i="8"/>
  <c r="F3" i="2"/>
  <c r="E3" i="2"/>
  <c r="D3" i="2"/>
  <c r="D1129" i="2" l="1"/>
  <c r="E1129" i="2"/>
  <c r="A3" i="6" l="1"/>
  <c r="A4" i="6"/>
  <c r="A5" i="6"/>
  <c r="A6" i="6"/>
  <c r="A7" i="6"/>
  <c r="A8" i="6"/>
  <c r="A9" i="6"/>
  <c r="A10" i="6"/>
  <c r="A11" i="6"/>
  <c r="A12" i="6"/>
  <c r="A1" i="8"/>
  <c r="A1" i="6"/>
  <c r="B1129" i="2" l="1"/>
  <c r="C1129" i="2"/>
  <c r="N1129" i="2"/>
  <c r="O1129" i="2"/>
  <c r="A1129" i="2"/>
  <c r="Q578" i="2" l="1"/>
  <c r="Q616" i="2"/>
  <c r="Q649" i="2"/>
  <c r="Q715" i="2"/>
  <c r="Q757" i="2"/>
  <c r="Q786" i="2"/>
  <c r="Q819" i="2"/>
  <c r="Q857" i="2"/>
  <c r="X857" i="2" s="1"/>
  <c r="AB857" i="2" s="1"/>
  <c r="AT857" i="8" s="1"/>
  <c r="Q893" i="2"/>
  <c r="Q1001" i="2"/>
  <c r="Q1048" i="2"/>
  <c r="Q1080" i="2"/>
  <c r="Q1121" i="2"/>
  <c r="Q579" i="2"/>
  <c r="Q617" i="2"/>
  <c r="Q650" i="2"/>
  <c r="Q682" i="2"/>
  <c r="X682" i="2" s="1"/>
  <c r="AB682" i="2" s="1"/>
  <c r="AT682" i="8" s="1"/>
  <c r="Q718" i="2"/>
  <c r="Q758" i="2"/>
  <c r="Q790" i="2"/>
  <c r="Q820" i="2"/>
  <c r="Q858" i="2"/>
  <c r="Q901" i="2"/>
  <c r="Q935" i="2"/>
  <c r="Q1002" i="2"/>
  <c r="Q1049" i="2"/>
  <c r="Q1081" i="2"/>
  <c r="Q1122" i="2"/>
  <c r="Q580" i="2"/>
  <c r="Q618" i="2"/>
  <c r="Q651" i="2"/>
  <c r="Q685" i="2"/>
  <c r="Q719" i="2"/>
  <c r="Q759" i="2"/>
  <c r="Q791" i="2"/>
  <c r="Q821" i="2"/>
  <c r="Q862" i="2"/>
  <c r="Q902" i="2"/>
  <c r="Q936" i="2"/>
  <c r="Q1007" i="2"/>
  <c r="Q1050" i="2"/>
  <c r="Q1082" i="2"/>
  <c r="Q581" i="2"/>
  <c r="Q622" i="2"/>
  <c r="Q652" i="2"/>
  <c r="Q686" i="2"/>
  <c r="Q720" i="2"/>
  <c r="Q760" i="2"/>
  <c r="Q792" i="2"/>
  <c r="Q823" i="2"/>
  <c r="Q863" i="2"/>
  <c r="Q903" i="2"/>
  <c r="Q937" i="2"/>
  <c r="Q973" i="2"/>
  <c r="Q1008" i="2"/>
  <c r="Q1083" i="2"/>
  <c r="Q1127" i="2"/>
  <c r="Q615" i="2"/>
  <c r="Q892" i="2"/>
  <c r="Q586" i="2"/>
  <c r="Q623" i="2"/>
  <c r="Q653" i="2"/>
  <c r="Q687" i="2"/>
  <c r="Q721" i="2"/>
  <c r="Q761" i="2"/>
  <c r="Q793" i="2"/>
  <c r="Q864" i="2"/>
  <c r="Q904" i="2"/>
  <c r="Q938" i="2"/>
  <c r="Q974" i="2"/>
  <c r="X974" i="2" s="1"/>
  <c r="AB974" i="2" s="1"/>
  <c r="AT974" i="8" s="1"/>
  <c r="Q1009" i="2"/>
  <c r="Q1084" i="2"/>
  <c r="Q1128" i="2"/>
  <c r="Q818" i="2"/>
  <c r="Q1000" i="2"/>
  <c r="Q589" i="2"/>
  <c r="Q624" i="2"/>
  <c r="Q655" i="2"/>
  <c r="Q688" i="2"/>
  <c r="Q722" i="2"/>
  <c r="Q762" i="2"/>
  <c r="Q794" i="2"/>
  <c r="Q825" i="2"/>
  <c r="Q865" i="2"/>
  <c r="Q905" i="2"/>
  <c r="Q939" i="2"/>
  <c r="Q975" i="2"/>
  <c r="Q1010" i="2"/>
  <c r="Q1085" i="2"/>
  <c r="Q648" i="2"/>
  <c r="Q856" i="2"/>
  <c r="Q590" i="2"/>
  <c r="Q625" i="2"/>
  <c r="Q661" i="2"/>
  <c r="Q689" i="2"/>
  <c r="Q723" i="2"/>
  <c r="Q763" i="2"/>
  <c r="Q795" i="2"/>
  <c r="Q829" i="2"/>
  <c r="Q866" i="2"/>
  <c r="Q906" i="2"/>
  <c r="Q940" i="2"/>
  <c r="Q976" i="2"/>
  <c r="Q1011" i="2"/>
  <c r="Q1054" i="2"/>
  <c r="Q1093" i="2"/>
  <c r="Q591" i="2"/>
  <c r="Q626" i="2"/>
  <c r="Q662" i="2"/>
  <c r="Q690" i="2"/>
  <c r="Q724" i="2"/>
  <c r="Q764" i="2"/>
  <c r="Q796" i="2"/>
  <c r="Q830" i="2"/>
  <c r="Q867" i="2"/>
  <c r="Q910" i="2"/>
  <c r="Q941" i="2"/>
  <c r="Q977" i="2"/>
  <c r="Q1012" i="2"/>
  <c r="Q1055" i="2"/>
  <c r="Q1094" i="2"/>
  <c r="Q592" i="2"/>
  <c r="Q627" i="2"/>
  <c r="Q663" i="2"/>
  <c r="Q693" i="2"/>
  <c r="Q725" i="2"/>
  <c r="Q765" i="2"/>
  <c r="Q797" i="2"/>
  <c r="Q831" i="2"/>
  <c r="Q868" i="2"/>
  <c r="X868" i="2" s="1"/>
  <c r="AB868" i="2" s="1"/>
  <c r="AT868" i="8" s="1"/>
  <c r="Q911" i="2"/>
  <c r="Q949" i="2"/>
  <c r="Q978" i="2"/>
  <c r="Q1013" i="2"/>
  <c r="Q1056" i="2"/>
  <c r="Q1095" i="2"/>
  <c r="Q593" i="2"/>
  <c r="Q628" i="2"/>
  <c r="Q664" i="2"/>
  <c r="Q694" i="2"/>
  <c r="Q733" i="2"/>
  <c r="Q767" i="2"/>
  <c r="Q799" i="2"/>
  <c r="Q832" i="2"/>
  <c r="Q869" i="2"/>
  <c r="Q912" i="2"/>
  <c r="Q950" i="2"/>
  <c r="Q980" i="2"/>
  <c r="Q1021" i="2"/>
  <c r="Q1057" i="2"/>
  <c r="Q1096" i="2"/>
  <c r="Q714" i="2"/>
  <c r="Q1079" i="2"/>
  <c r="Q594" i="2"/>
  <c r="Q629" i="2"/>
  <c r="Q665" i="2"/>
  <c r="Q695" i="2"/>
  <c r="Q734" i="2"/>
  <c r="Q768" i="2"/>
  <c r="Q805" i="2"/>
  <c r="Q833" i="2"/>
  <c r="Q871" i="2"/>
  <c r="Q913" i="2"/>
  <c r="Q951" i="2"/>
  <c r="Q1022" i="2"/>
  <c r="Q1058" i="2"/>
  <c r="Q1097" i="2"/>
  <c r="Q680" i="2"/>
  <c r="Q1120" i="2"/>
  <c r="Q597" i="2"/>
  <c r="Q632" i="2"/>
  <c r="Q666" i="2"/>
  <c r="Q696" i="2"/>
  <c r="Q735" i="2"/>
  <c r="Q769" i="2"/>
  <c r="Q806" i="2"/>
  <c r="Q834" i="2"/>
  <c r="Q877" i="2"/>
  <c r="Q914" i="2"/>
  <c r="Q952" i="2"/>
  <c r="Q982" i="2"/>
  <c r="Q1023" i="2"/>
  <c r="Q1059" i="2"/>
  <c r="Q1098" i="2"/>
  <c r="Q637" i="2"/>
  <c r="Q667" i="2"/>
  <c r="Q697" i="2"/>
  <c r="Q736" i="2"/>
  <c r="Q770" i="2"/>
  <c r="Q807" i="2"/>
  <c r="Q878" i="2"/>
  <c r="Q915" i="2"/>
  <c r="Q953" i="2"/>
  <c r="Q983" i="2"/>
  <c r="Q1024" i="2"/>
  <c r="Q1060" i="2"/>
  <c r="Q567" i="2"/>
  <c r="Q599" i="2"/>
  <c r="Q638" i="2"/>
  <c r="Q668" i="2"/>
  <c r="Q698" i="2"/>
  <c r="Q737" i="2"/>
  <c r="Q771" i="2"/>
  <c r="Q808" i="2"/>
  <c r="Q839" i="2"/>
  <c r="Q879" i="2"/>
  <c r="Q916" i="2"/>
  <c r="Q954" i="2"/>
  <c r="Q984" i="2"/>
  <c r="Q1025" i="2"/>
  <c r="Q1061" i="2"/>
  <c r="Q1105" i="2"/>
  <c r="X1105" i="2" s="1"/>
  <c r="AB1105" i="2" s="1"/>
  <c r="AT1105" i="8" s="1"/>
  <c r="Q568" i="2"/>
  <c r="Q600" i="2"/>
  <c r="Q639" i="2"/>
  <c r="Q669" i="2"/>
  <c r="Q699" i="2"/>
  <c r="Q738" i="2"/>
  <c r="Q772" i="2"/>
  <c r="Q809" i="2"/>
  <c r="Q840" i="2"/>
  <c r="Q880" i="2"/>
  <c r="Q917" i="2"/>
  <c r="Q955" i="2"/>
  <c r="Q985" i="2"/>
  <c r="Q1026" i="2"/>
  <c r="Q1063" i="2"/>
  <c r="Q1106" i="2"/>
  <c r="Q569" i="2"/>
  <c r="Q601" i="2"/>
  <c r="Q640" i="2"/>
  <c r="Q670" i="2"/>
  <c r="Q700" i="2"/>
  <c r="Q739" i="2"/>
  <c r="Q773" i="2"/>
  <c r="Q810" i="2"/>
  <c r="Q841" i="2"/>
  <c r="X841" i="2" s="1"/>
  <c r="AB841" i="2" s="1"/>
  <c r="AT841" i="8" s="1"/>
  <c r="Q881" i="2"/>
  <c r="Q919" i="2"/>
  <c r="Q986" i="2"/>
  <c r="Q1032" i="2"/>
  <c r="Q1069" i="2"/>
  <c r="Q1107" i="2"/>
  <c r="Q577" i="2"/>
  <c r="Q965" i="2"/>
  <c r="Q570" i="2"/>
  <c r="Q602" i="2"/>
  <c r="Q641" i="2"/>
  <c r="Q671" i="2"/>
  <c r="Q701" i="2"/>
  <c r="Q742" i="2"/>
  <c r="Q775" i="2"/>
  <c r="Q811" i="2"/>
  <c r="Q842" i="2"/>
  <c r="Q882" i="2"/>
  <c r="Q987" i="2"/>
  <c r="Q1033" i="2"/>
  <c r="Q1070" i="2"/>
  <c r="Q1108" i="2"/>
  <c r="Q785" i="2"/>
  <c r="Q930" i="2"/>
  <c r="Q571" i="2"/>
  <c r="Q603" i="2"/>
  <c r="Q642" i="2"/>
  <c r="Q672" i="2"/>
  <c r="Q705" i="2"/>
  <c r="Q743" i="2"/>
  <c r="Q776" i="2"/>
  <c r="Q812" i="2"/>
  <c r="Q843" i="2"/>
  <c r="Q886" i="2"/>
  <c r="Q921" i="2"/>
  <c r="Q959" i="2"/>
  <c r="Q988" i="2"/>
  <c r="Q1034" i="2"/>
  <c r="Q1071" i="2"/>
  <c r="Q1109" i="2"/>
  <c r="Q572" i="2"/>
  <c r="Q604" i="2"/>
  <c r="Q643" i="2"/>
  <c r="Q673" i="2"/>
  <c r="Q709" i="2"/>
  <c r="Q744" i="2"/>
  <c r="Q777" i="2"/>
  <c r="Q813" i="2"/>
  <c r="Q844" i="2"/>
  <c r="Q887" i="2"/>
  <c r="Q925" i="2"/>
  <c r="Q960" i="2"/>
  <c r="Q989" i="2"/>
  <c r="Q1035" i="2"/>
  <c r="Q1072" i="2"/>
  <c r="Q1112" i="2"/>
  <c r="Q573" i="2"/>
  <c r="Q605" i="2"/>
  <c r="Q644" i="2"/>
  <c r="Q674" i="2"/>
  <c r="Q710" i="2"/>
  <c r="X710" i="2" s="1"/>
  <c r="AB710" i="2" s="1"/>
  <c r="AT710" i="8" s="1"/>
  <c r="Q745" i="2"/>
  <c r="Q781" i="2"/>
  <c r="Q814" i="2"/>
  <c r="X814" i="2" s="1"/>
  <c r="AB814" i="2" s="1"/>
  <c r="AT814" i="8" s="1"/>
  <c r="Q845" i="2"/>
  <c r="Q888" i="2"/>
  <c r="Q926" i="2"/>
  <c r="Q961" i="2"/>
  <c r="Q991" i="2"/>
  <c r="Q1036" i="2"/>
  <c r="Q1073" i="2"/>
  <c r="Q1113" i="2"/>
  <c r="Q574" i="2"/>
  <c r="Q610" i="2"/>
  <c r="Q645" i="2"/>
  <c r="Q675" i="2"/>
  <c r="Q711" i="2"/>
  <c r="Q746" i="2"/>
  <c r="Q782" i="2"/>
  <c r="Q815" i="2"/>
  <c r="Q853" i="2"/>
  <c r="Q889" i="2"/>
  <c r="Q927" i="2"/>
  <c r="Q962" i="2"/>
  <c r="Q997" i="2"/>
  <c r="Q1037" i="2"/>
  <c r="Q1074" i="2"/>
  <c r="Q1117" i="2"/>
  <c r="Q575" i="2"/>
  <c r="Q613" i="2"/>
  <c r="Q646" i="2"/>
  <c r="Q676" i="2"/>
  <c r="Q712" i="2"/>
  <c r="Q747" i="2"/>
  <c r="Q783" i="2"/>
  <c r="Q816" i="2"/>
  <c r="Q854" i="2"/>
  <c r="Q890" i="2"/>
  <c r="Q928" i="2"/>
  <c r="Q963" i="2"/>
  <c r="Q998" i="2"/>
  <c r="X998" i="2" s="1"/>
  <c r="AB998" i="2" s="1"/>
  <c r="AT998" i="8" s="1"/>
  <c r="Q1045" i="2"/>
  <c r="Q1077" i="2"/>
  <c r="Q1118" i="2"/>
  <c r="Q749" i="2"/>
  <c r="Q1047" i="2"/>
  <c r="Q576" i="2"/>
  <c r="Q614" i="2"/>
  <c r="Q647" i="2"/>
  <c r="Q677" i="2"/>
  <c r="Q713" i="2"/>
  <c r="Q748" i="2"/>
  <c r="Q784" i="2"/>
  <c r="Q817" i="2"/>
  <c r="Q855" i="2"/>
  <c r="Q891" i="2"/>
  <c r="Q929" i="2"/>
  <c r="Q964" i="2"/>
  <c r="Q999" i="2"/>
  <c r="Q1046" i="2"/>
  <c r="Q1078" i="2"/>
  <c r="Q1119" i="2"/>
  <c r="Q969" i="2"/>
  <c r="Q1018" i="2"/>
  <c r="Q897" i="2"/>
  <c r="X897" i="2" s="1"/>
  <c r="AB897" i="2" s="1"/>
  <c r="AT897" i="8" s="1"/>
  <c r="Q656" i="2"/>
  <c r="Q582" i="2"/>
  <c r="Q1125" i="2"/>
  <c r="Q836" i="2"/>
  <c r="Q619" i="2"/>
  <c r="Q1110" i="2"/>
  <c r="Q875" i="2"/>
  <c r="Q636" i="2"/>
  <c r="X636" i="2" s="1"/>
  <c r="AB636" i="2" s="1"/>
  <c r="AT636" i="8" s="1"/>
  <c r="Q606" i="2"/>
  <c r="Q899" i="2"/>
  <c r="Q804" i="2"/>
  <c r="X804" i="2" s="1"/>
  <c r="AB804" i="2" s="1"/>
  <c r="AT804" i="8" s="1"/>
  <c r="Q681" i="2"/>
  <c r="Q994" i="2"/>
  <c r="Q873" i="2"/>
  <c r="Q608" i="2"/>
  <c r="Q1101" i="2"/>
  <c r="Q788" i="2"/>
  <c r="Q595" i="2"/>
  <c r="Q654" i="2"/>
  <c r="Q971" i="2"/>
  <c r="X971" i="2" s="1"/>
  <c r="AB971" i="2" s="1"/>
  <c r="AT971" i="8" s="1"/>
  <c r="Q635" i="2"/>
  <c r="X635" i="2" s="1"/>
  <c r="AB635" i="2" s="1"/>
  <c r="AT635" i="8" s="1"/>
  <c r="Q1044" i="2"/>
  <c r="X1044" i="2" s="1"/>
  <c r="AB1044" i="2" s="1"/>
  <c r="AT1044" i="8" s="1"/>
  <c r="Q993" i="2"/>
  <c r="Q1042" i="2"/>
  <c r="X1042" i="2" s="1"/>
  <c r="AB1042" i="2" s="1"/>
  <c r="AT1042" i="8" s="1"/>
  <c r="Q870" i="2"/>
  <c r="Q968" i="2"/>
  <c r="Q970" i="2"/>
  <c r="X970" i="2" s="1"/>
  <c r="AB970" i="2" s="1"/>
  <c r="AT970" i="8" s="1"/>
  <c r="Q849" i="2"/>
  <c r="Q584" i="2"/>
  <c r="Q1029" i="2"/>
  <c r="Q740" i="2"/>
  <c r="Q894" i="2"/>
  <c r="Q942" i="2"/>
  <c r="Q876" i="2"/>
  <c r="X876" i="2" s="1"/>
  <c r="AB876" i="2" s="1"/>
  <c r="AT876" i="8" s="1"/>
  <c r="Q920" i="2"/>
  <c r="X920" i="2" s="1"/>
  <c r="AB920" i="2" s="1"/>
  <c r="AT920" i="8" s="1"/>
  <c r="Q946" i="2"/>
  <c r="X946" i="2" s="1"/>
  <c r="AB946" i="2" s="1"/>
  <c r="AT946" i="8" s="1"/>
  <c r="Q801" i="2"/>
  <c r="Q1005" i="2"/>
  <c r="Q716" i="2"/>
  <c r="Q726" i="2"/>
  <c r="Q1043" i="2"/>
  <c r="X1043" i="2" s="1"/>
  <c r="AB1043" i="2" s="1"/>
  <c r="AT1043" i="8" s="1"/>
  <c r="Q707" i="2"/>
  <c r="X707" i="2" s="1"/>
  <c r="AB707" i="2" s="1"/>
  <c r="AT707" i="8" s="1"/>
  <c r="Q708" i="2"/>
  <c r="Q630" i="2"/>
  <c r="Q691" i="2"/>
  <c r="Q824" i="2"/>
  <c r="Q922" i="2"/>
  <c r="X922" i="2" s="1"/>
  <c r="AB922" i="2" s="1"/>
  <c r="AT922" i="8" s="1"/>
  <c r="Q753" i="2"/>
  <c r="Q933" i="2"/>
  <c r="Q692" i="2"/>
  <c r="X692" i="2" s="1"/>
  <c r="AB692" i="2" s="1"/>
  <c r="AT692" i="8" s="1"/>
  <c r="Q990" i="2"/>
  <c r="Q1116" i="2"/>
  <c r="Q728" i="2"/>
  <c r="Q967" i="2"/>
  <c r="Q898" i="2"/>
  <c r="Q729" i="2"/>
  <c r="Q1111" i="2"/>
  <c r="Q909" i="2"/>
  <c r="X909" i="2" s="1"/>
  <c r="AB909" i="2" s="1"/>
  <c r="AT909" i="8" s="1"/>
  <c r="Q620" i="2"/>
  <c r="Q774" i="2"/>
  <c r="Q779" i="2"/>
  <c r="X779" i="2" s="1"/>
  <c r="AB779" i="2" s="1"/>
  <c r="AT779" i="8" s="1"/>
  <c r="Q948" i="2"/>
  <c r="X948" i="2" s="1"/>
  <c r="AB948" i="2" s="1"/>
  <c r="AT948" i="8" s="1"/>
  <c r="Q1126" i="2"/>
  <c r="Q874" i="2"/>
  <c r="X874" i="2" s="1"/>
  <c r="AB874" i="2" s="1"/>
  <c r="AT874" i="8" s="1"/>
  <c r="Q657" i="2"/>
  <c r="Q1087" i="2"/>
  <c r="X1087" i="2" s="1"/>
  <c r="AB1087" i="2" s="1"/>
  <c r="AT1087" i="8" s="1"/>
  <c r="Q885" i="2"/>
  <c r="Q596" i="2"/>
  <c r="Q678" i="2"/>
  <c r="Q1115" i="2"/>
  <c r="Q780" i="2"/>
  <c r="X780" i="2" s="1"/>
  <c r="AB780" i="2" s="1"/>
  <c r="AT780" i="8" s="1"/>
  <c r="Q958" i="2"/>
  <c r="Q934" i="2"/>
  <c r="Q850" i="2"/>
  <c r="Q633" i="2"/>
  <c r="Q1039" i="2"/>
  <c r="Q861" i="2"/>
  <c r="Q702" i="2"/>
  <c r="Q851" i="2"/>
  <c r="X851" i="2" s="1"/>
  <c r="AB851" i="2" s="1"/>
  <c r="AT851" i="8" s="1"/>
  <c r="Q612" i="2"/>
  <c r="X612" i="2" s="1"/>
  <c r="AB612" i="2" s="1"/>
  <c r="AT612" i="8" s="1"/>
  <c r="Q838" i="2"/>
  <c r="Q826" i="2"/>
  <c r="Q609" i="2"/>
  <c r="X609" i="2" s="1"/>
  <c r="AB609" i="2" s="1"/>
  <c r="AT609" i="8" s="1"/>
  <c r="Q1015" i="2"/>
  <c r="Q837" i="2"/>
  <c r="Q611" i="2"/>
  <c r="X611" i="2" s="1"/>
  <c r="AB611" i="2" s="1"/>
  <c r="AT611" i="8" s="1"/>
  <c r="Q1020" i="2"/>
  <c r="X1020" i="2" s="1"/>
  <c r="AB1020" i="2" s="1"/>
  <c r="AT1020" i="8" s="1"/>
  <c r="Q598" i="2"/>
  <c r="Q802" i="2"/>
  <c r="Q585" i="2"/>
  <c r="Q943" i="2"/>
  <c r="Q789" i="2"/>
  <c r="Q966" i="2"/>
  <c r="Q947" i="2"/>
  <c r="Q852" i="2"/>
  <c r="X852" i="2" s="1"/>
  <c r="AB852" i="2" s="1"/>
  <c r="AT852" i="8" s="1"/>
  <c r="Q972" i="2"/>
  <c r="X972" i="2" s="1"/>
  <c r="AB972" i="2" s="1"/>
  <c r="AT972" i="8" s="1"/>
  <c r="Q1053" i="2"/>
  <c r="Q778" i="2"/>
  <c r="Q895" i="2"/>
  <c r="Q741" i="2"/>
  <c r="Q750" i="2"/>
  <c r="Q1014" i="2"/>
  <c r="Q822" i="2"/>
  <c r="X822" i="2" s="1"/>
  <c r="AB822" i="2" s="1"/>
  <c r="AT822" i="8" s="1"/>
  <c r="Q683" i="2"/>
  <c r="X683" i="2" s="1"/>
  <c r="AB683" i="2" s="1"/>
  <c r="AT683" i="8" s="1"/>
  <c r="Q684" i="2"/>
  <c r="X684" i="2" s="1"/>
  <c r="AB684" i="2" s="1"/>
  <c r="AT684" i="8" s="1"/>
  <c r="Q803" i="2"/>
  <c r="X803" i="2" s="1"/>
  <c r="AB803" i="2" s="1"/>
  <c r="AT803" i="8" s="1"/>
  <c r="Q704" i="2"/>
  <c r="Q981" i="2"/>
  <c r="Q754" i="2"/>
  <c r="Q1088" i="2"/>
  <c r="Q847" i="2"/>
  <c r="Q717" i="2"/>
  <c r="Q918" i="2"/>
  <c r="X918" i="2" s="1"/>
  <c r="AB918" i="2" s="1"/>
  <c r="AT918" i="8" s="1"/>
  <c r="Q1019" i="2"/>
  <c r="X1019" i="2" s="1"/>
  <c r="AB1019" i="2" s="1"/>
  <c r="AT1019" i="8" s="1"/>
  <c r="Q1092" i="2"/>
  <c r="X1092" i="2" s="1"/>
  <c r="AB1092" i="2" s="1"/>
  <c r="AT1092" i="8" s="1"/>
  <c r="Q787" i="2"/>
  <c r="Q945" i="2"/>
  <c r="Q957" i="2"/>
  <c r="Q730" i="2"/>
  <c r="Q1064" i="2"/>
  <c r="X1064" i="2" s="1"/>
  <c r="AB1064" i="2" s="1"/>
  <c r="AT1064" i="8" s="1"/>
  <c r="Q751" i="2"/>
  <c r="Q621" i="2"/>
  <c r="Q1123" i="2"/>
  <c r="Q1062" i="2"/>
  <c r="X1062" i="2" s="1"/>
  <c r="AB1062" i="2" s="1"/>
  <c r="AT1062" i="8" s="1"/>
  <c r="Q755" i="2"/>
  <c r="X755" i="2" s="1"/>
  <c r="AB755" i="2" s="1"/>
  <c r="AT755" i="8" s="1"/>
  <c r="Q924" i="2"/>
  <c r="Q766" i="2"/>
  <c r="Q706" i="2"/>
  <c r="Q1040" i="2"/>
  <c r="Q727" i="2"/>
  <c r="Q1075" i="2"/>
  <c r="Q1091" i="2"/>
  <c r="Q756" i="2"/>
  <c r="X756" i="2" s="1"/>
  <c r="AB756" i="2" s="1"/>
  <c r="AT756" i="8" s="1"/>
  <c r="Q658" i="2"/>
  <c r="Q1016" i="2"/>
  <c r="X1016" i="2" s="1"/>
  <c r="AB1016" i="2" s="1"/>
  <c r="AT1016" i="8" s="1"/>
  <c r="Q703" i="2"/>
  <c r="Q1104" i="2"/>
  <c r="Q1027" i="2"/>
  <c r="Q827" i="2"/>
  <c r="X827" i="2" s="1"/>
  <c r="AB827" i="2" s="1"/>
  <c r="AT827" i="8" s="1"/>
  <c r="Q588" i="2"/>
  <c r="X588" i="2" s="1"/>
  <c r="AB588" i="2" s="1"/>
  <c r="AT588" i="8" s="1"/>
  <c r="Q884" i="2"/>
  <c r="Q860" i="2"/>
  <c r="X860" i="2" s="1"/>
  <c r="AB860" i="2" s="1"/>
  <c r="AT860" i="8" s="1"/>
  <c r="Q634" i="2"/>
  <c r="Q992" i="2"/>
  <c r="Q679" i="2"/>
  <c r="Q1124" i="2"/>
  <c r="Q1003" i="2"/>
  <c r="Q798" i="2"/>
  <c r="Q846" i="2"/>
  <c r="Q996" i="2"/>
  <c r="X996" i="2" s="1"/>
  <c r="AB996" i="2" s="1"/>
  <c r="AT996" i="8" s="1"/>
  <c r="Q1052" i="2"/>
  <c r="Q944" i="2"/>
  <c r="Q631" i="2"/>
  <c r="Q1103" i="2"/>
  <c r="Q1100" i="2"/>
  <c r="Q979" i="2"/>
  <c r="Q1038" i="2"/>
  <c r="Q923" i="2"/>
  <c r="X923" i="2" s="1"/>
  <c r="AB923" i="2" s="1"/>
  <c r="AT923" i="8" s="1"/>
  <c r="Q587" i="2"/>
  <c r="X587" i="2" s="1"/>
  <c r="AB587" i="2" s="1"/>
  <c r="AT587" i="8" s="1"/>
  <c r="Q828" i="2"/>
  <c r="X828" i="2" s="1"/>
  <c r="AB828" i="2" s="1"/>
  <c r="AT828" i="8" s="1"/>
  <c r="Q956" i="2"/>
  <c r="Q896" i="2"/>
  <c r="Q607" i="2"/>
  <c r="Q1031" i="2"/>
  <c r="Q1076" i="2"/>
  <c r="Q931" i="2"/>
  <c r="Q660" i="2"/>
  <c r="X660" i="2" s="1"/>
  <c r="AB660" i="2" s="1"/>
  <c r="AT660" i="8" s="1"/>
  <c r="Q1099" i="2"/>
  <c r="Q1089" i="2"/>
  <c r="Q872" i="2"/>
  <c r="X872" i="2" s="1"/>
  <c r="AB872" i="2" s="1"/>
  <c r="AT872" i="8" s="1"/>
  <c r="Q583" i="2"/>
  <c r="X583" i="2" s="1"/>
  <c r="AB583" i="2" s="1"/>
  <c r="AT583" i="8" s="1"/>
  <c r="Q1028" i="2"/>
  <c r="Q907" i="2"/>
  <c r="Q995" i="2"/>
  <c r="X995" i="2" s="1"/>
  <c r="AB995" i="2" s="1"/>
  <c r="AT995" i="8" s="1"/>
  <c r="Q659" i="2"/>
  <c r="X659" i="2" s="1"/>
  <c r="AB659" i="2" s="1"/>
  <c r="AT659" i="8" s="1"/>
  <c r="Q1068" i="2"/>
  <c r="X1068" i="2" s="1"/>
  <c r="AB1068" i="2" s="1"/>
  <c r="AT1068" i="8" s="1"/>
  <c r="Q1051" i="2"/>
  <c r="Q1065" i="2"/>
  <c r="Q848" i="2"/>
  <c r="X848" i="2" s="1"/>
  <c r="AB848" i="2" s="1"/>
  <c r="AT848" i="8" s="1"/>
  <c r="Q1102" i="2"/>
  <c r="Q1004" i="2"/>
  <c r="Q883" i="2"/>
  <c r="Q900" i="2"/>
  <c r="Q1114" i="2"/>
  <c r="Q1041" i="2"/>
  <c r="Q800" i="2"/>
  <c r="Q1030" i="2"/>
  <c r="Q932" i="2"/>
  <c r="Q859" i="2"/>
  <c r="X859" i="2" s="1"/>
  <c r="AB859" i="2" s="1"/>
  <c r="AT859" i="8" s="1"/>
  <c r="Q1067" i="2"/>
  <c r="X1067" i="2" s="1"/>
  <c r="AB1067" i="2" s="1"/>
  <c r="AT1067" i="8" s="1"/>
  <c r="Q731" i="2"/>
  <c r="X731" i="2" s="1"/>
  <c r="AB731" i="2" s="1"/>
  <c r="AT731" i="8" s="1"/>
  <c r="Q732" i="2"/>
  <c r="X732" i="2" s="1"/>
  <c r="AB732" i="2" s="1"/>
  <c r="AT732" i="8" s="1"/>
  <c r="Q1090" i="2"/>
  <c r="Q1017" i="2"/>
  <c r="Q752" i="2"/>
  <c r="Q1086" i="2"/>
  <c r="Q1006" i="2"/>
  <c r="Q908" i="2"/>
  <c r="Q835" i="2"/>
  <c r="Q1066" i="2"/>
  <c r="Q49" i="2"/>
  <c r="Q74" i="2"/>
  <c r="Q99" i="2"/>
  <c r="Q124" i="2"/>
  <c r="Q149" i="2"/>
  <c r="Q174" i="2"/>
  <c r="Q199" i="2"/>
  <c r="Q224" i="2"/>
  <c r="Q249" i="2"/>
  <c r="Q325" i="2"/>
  <c r="Q350" i="2"/>
  <c r="Q375" i="2"/>
  <c r="Q400" i="2"/>
  <c r="Q425" i="2"/>
  <c r="Q450" i="2"/>
  <c r="Q475" i="2"/>
  <c r="Q500" i="2"/>
  <c r="Q525" i="2"/>
  <c r="Q550" i="2"/>
  <c r="Q50" i="2"/>
  <c r="Q75" i="2"/>
  <c r="Q100" i="2"/>
  <c r="Q125" i="2"/>
  <c r="Q150" i="2"/>
  <c r="Q175" i="2"/>
  <c r="Q200" i="2"/>
  <c r="Q225" i="2"/>
  <c r="Q301" i="2"/>
  <c r="Q326" i="2"/>
  <c r="Q351" i="2"/>
  <c r="Q376" i="2"/>
  <c r="Q401" i="2"/>
  <c r="Q426" i="2"/>
  <c r="Q451" i="2"/>
  <c r="Q476" i="2"/>
  <c r="Q501" i="2"/>
  <c r="Q526" i="2"/>
  <c r="Q551" i="2"/>
  <c r="Q51" i="2"/>
  <c r="Q76" i="2"/>
  <c r="Q101" i="2"/>
  <c r="Q126" i="2"/>
  <c r="Q151" i="2"/>
  <c r="Q176" i="2"/>
  <c r="Q201" i="2"/>
  <c r="Q277" i="2"/>
  <c r="Q302" i="2"/>
  <c r="Q327" i="2"/>
  <c r="Q352" i="2"/>
  <c r="Q377" i="2"/>
  <c r="Q402" i="2"/>
  <c r="Q427" i="2"/>
  <c r="Q452" i="2"/>
  <c r="Q477" i="2"/>
  <c r="Q502" i="2"/>
  <c r="Q527" i="2"/>
  <c r="Q552" i="2"/>
  <c r="Q52" i="2"/>
  <c r="Q77" i="2"/>
  <c r="Q102" i="2"/>
  <c r="Q127" i="2"/>
  <c r="Q152" i="2"/>
  <c r="Q177" i="2"/>
  <c r="Q253" i="2"/>
  <c r="Q278" i="2"/>
  <c r="Q303" i="2"/>
  <c r="Q328" i="2"/>
  <c r="Q353" i="2"/>
  <c r="Q378" i="2"/>
  <c r="Q403" i="2"/>
  <c r="Q428" i="2"/>
  <c r="Q453" i="2"/>
  <c r="Q478" i="2"/>
  <c r="Q503" i="2"/>
  <c r="Q528" i="2"/>
  <c r="Q553" i="2"/>
  <c r="Q53" i="2"/>
  <c r="Q78" i="2"/>
  <c r="Q103" i="2"/>
  <c r="Q128" i="2"/>
  <c r="Q153" i="2"/>
  <c r="Q229" i="2"/>
  <c r="Q254" i="2"/>
  <c r="Q279" i="2"/>
  <c r="Q304" i="2"/>
  <c r="Q329" i="2"/>
  <c r="Q354" i="2"/>
  <c r="Q379" i="2"/>
  <c r="Q404" i="2"/>
  <c r="Q429" i="2"/>
  <c r="Q454" i="2"/>
  <c r="Q479" i="2"/>
  <c r="Q504" i="2"/>
  <c r="Q529" i="2"/>
  <c r="Q554" i="2"/>
  <c r="Q54" i="2"/>
  <c r="Q79" i="2"/>
  <c r="Q104" i="2"/>
  <c r="Q129" i="2"/>
  <c r="Q154" i="2"/>
  <c r="Q205" i="2"/>
  <c r="Q230" i="2"/>
  <c r="Q255" i="2"/>
  <c r="Q280" i="2"/>
  <c r="Q305" i="2"/>
  <c r="Q330" i="2"/>
  <c r="Q355" i="2"/>
  <c r="Q380" i="2"/>
  <c r="Q405" i="2"/>
  <c r="Q430" i="2"/>
  <c r="Q455" i="2"/>
  <c r="Q480" i="2"/>
  <c r="Q505" i="2"/>
  <c r="Q530" i="2"/>
  <c r="Q555" i="2"/>
  <c r="Q55" i="2"/>
  <c r="Q80" i="2"/>
  <c r="Q105" i="2"/>
  <c r="Q130" i="2"/>
  <c r="Q181" i="2"/>
  <c r="Q206" i="2"/>
  <c r="Q231" i="2"/>
  <c r="Q256" i="2"/>
  <c r="Q281" i="2"/>
  <c r="Q306" i="2"/>
  <c r="Q331" i="2"/>
  <c r="Q356" i="2"/>
  <c r="Q381" i="2"/>
  <c r="Q406" i="2"/>
  <c r="Q431" i="2"/>
  <c r="Q456" i="2"/>
  <c r="Q481" i="2"/>
  <c r="Q506" i="2"/>
  <c r="Q531" i="2"/>
  <c r="Q556" i="2"/>
  <c r="Q56" i="2"/>
  <c r="Q81" i="2"/>
  <c r="Q106" i="2"/>
  <c r="Q157" i="2"/>
  <c r="Q182" i="2"/>
  <c r="Q207" i="2"/>
  <c r="Q232" i="2"/>
  <c r="Q257" i="2"/>
  <c r="Q282" i="2"/>
  <c r="Q307" i="2"/>
  <c r="Q332" i="2"/>
  <c r="Q357" i="2"/>
  <c r="Q382" i="2"/>
  <c r="Q407" i="2"/>
  <c r="Q432" i="2"/>
  <c r="Q457" i="2"/>
  <c r="Q482" i="2"/>
  <c r="Q507" i="2"/>
  <c r="Q532" i="2"/>
  <c r="Q557" i="2"/>
  <c r="Q57" i="2"/>
  <c r="Q133" i="2"/>
  <c r="Q158" i="2"/>
  <c r="Q183" i="2"/>
  <c r="Q208" i="2"/>
  <c r="Q233" i="2"/>
  <c r="Q258" i="2"/>
  <c r="Q283" i="2"/>
  <c r="Q308" i="2"/>
  <c r="Q333" i="2"/>
  <c r="Q358" i="2"/>
  <c r="Q383" i="2"/>
  <c r="Q408" i="2"/>
  <c r="Q433" i="2"/>
  <c r="Q458" i="2"/>
  <c r="Q483" i="2"/>
  <c r="Q508" i="2"/>
  <c r="Q533" i="2"/>
  <c r="Q558" i="2"/>
  <c r="Q109" i="2"/>
  <c r="Q134" i="2"/>
  <c r="Q159" i="2"/>
  <c r="Q184" i="2"/>
  <c r="Q209" i="2"/>
  <c r="Q234" i="2"/>
  <c r="Q259" i="2"/>
  <c r="Q284" i="2"/>
  <c r="Q309" i="2"/>
  <c r="Q334" i="2"/>
  <c r="Q359" i="2"/>
  <c r="Q384" i="2"/>
  <c r="Q409" i="2"/>
  <c r="Q434" i="2"/>
  <c r="Q459" i="2"/>
  <c r="Q484" i="2"/>
  <c r="Q509" i="2"/>
  <c r="Q534" i="2"/>
  <c r="Q559" i="2"/>
  <c r="Q85" i="2"/>
  <c r="Q110" i="2"/>
  <c r="Q135" i="2"/>
  <c r="Q160" i="2"/>
  <c r="Q185" i="2"/>
  <c r="Q210" i="2"/>
  <c r="Q235" i="2"/>
  <c r="Q260" i="2"/>
  <c r="Q285" i="2"/>
  <c r="Q310" i="2"/>
  <c r="Q335" i="2"/>
  <c r="Q360" i="2"/>
  <c r="Q385" i="2"/>
  <c r="Q410" i="2"/>
  <c r="Q435" i="2"/>
  <c r="Q460" i="2"/>
  <c r="Q485" i="2"/>
  <c r="Q510" i="2"/>
  <c r="Q535" i="2"/>
  <c r="Q560" i="2"/>
  <c r="Q61" i="2"/>
  <c r="Q86" i="2"/>
  <c r="Q111" i="2"/>
  <c r="Q136" i="2"/>
  <c r="Q161" i="2"/>
  <c r="Q186" i="2"/>
  <c r="Q211" i="2"/>
  <c r="Q236" i="2"/>
  <c r="Q261" i="2"/>
  <c r="Q286" i="2"/>
  <c r="Q311" i="2"/>
  <c r="Q336" i="2"/>
  <c r="Q361" i="2"/>
  <c r="Q386" i="2"/>
  <c r="Q411" i="2"/>
  <c r="Q436" i="2"/>
  <c r="Q461" i="2"/>
  <c r="Q486" i="2"/>
  <c r="Q511" i="2"/>
  <c r="Q536" i="2"/>
  <c r="Q561" i="2"/>
  <c r="Q37" i="2"/>
  <c r="Q62" i="2"/>
  <c r="Q87" i="2"/>
  <c r="Q112" i="2"/>
  <c r="Q137" i="2"/>
  <c r="Q162" i="2"/>
  <c r="Q187" i="2"/>
  <c r="Q212" i="2"/>
  <c r="Q237" i="2"/>
  <c r="Q262" i="2"/>
  <c r="Q287" i="2"/>
  <c r="Q312" i="2"/>
  <c r="Q337" i="2"/>
  <c r="Q362" i="2"/>
  <c r="Q387" i="2"/>
  <c r="Q412" i="2"/>
  <c r="Q437" i="2"/>
  <c r="Q462" i="2"/>
  <c r="Q487" i="2"/>
  <c r="Q512" i="2"/>
  <c r="Q537" i="2"/>
  <c r="Q38" i="2"/>
  <c r="Q63" i="2"/>
  <c r="Q88" i="2"/>
  <c r="Q113" i="2"/>
  <c r="X113" i="2" s="1"/>
  <c r="AB113" i="2" s="1"/>
  <c r="AT113" i="8" s="1"/>
  <c r="Q138" i="2"/>
  <c r="Q163" i="2"/>
  <c r="Q188" i="2"/>
  <c r="Q213" i="2"/>
  <c r="Q238" i="2"/>
  <c r="Q263" i="2"/>
  <c r="Q288" i="2"/>
  <c r="Q313" i="2"/>
  <c r="Q338" i="2"/>
  <c r="Q363" i="2"/>
  <c r="Q388" i="2"/>
  <c r="Q413" i="2"/>
  <c r="Q438" i="2"/>
  <c r="Q463" i="2"/>
  <c r="Q488" i="2"/>
  <c r="Q513" i="2"/>
  <c r="Q39" i="2"/>
  <c r="Q64" i="2"/>
  <c r="Q89" i="2"/>
  <c r="X89" i="2" s="1"/>
  <c r="AB89" i="2" s="1"/>
  <c r="AT89" i="8" s="1"/>
  <c r="Q114" i="2"/>
  <c r="Q139" i="2"/>
  <c r="Q164" i="2"/>
  <c r="Q189" i="2"/>
  <c r="Q214" i="2"/>
  <c r="Q239" i="2"/>
  <c r="Q264" i="2"/>
  <c r="Q289" i="2"/>
  <c r="Q314" i="2"/>
  <c r="Q339" i="2"/>
  <c r="Q364" i="2"/>
  <c r="Q389" i="2"/>
  <c r="Q414" i="2"/>
  <c r="Q439" i="2"/>
  <c r="Q464" i="2"/>
  <c r="Q489" i="2"/>
  <c r="Q565" i="2"/>
  <c r="Q40" i="2"/>
  <c r="Q65" i="2"/>
  <c r="Q90" i="2"/>
  <c r="Q115" i="2"/>
  <c r="Q140" i="2"/>
  <c r="Q165" i="2"/>
  <c r="Q190" i="2"/>
  <c r="Q215" i="2"/>
  <c r="Q240" i="2"/>
  <c r="Q265" i="2"/>
  <c r="Q290" i="2"/>
  <c r="Q315" i="2"/>
  <c r="Q340" i="2"/>
  <c r="Q365" i="2"/>
  <c r="Q390" i="2"/>
  <c r="Q415" i="2"/>
  <c r="Q440" i="2"/>
  <c r="Q465" i="2"/>
  <c r="Q490" i="2"/>
  <c r="Q541" i="2"/>
  <c r="Q566" i="2"/>
  <c r="Q41" i="2"/>
  <c r="Q66" i="2"/>
  <c r="Q91" i="2"/>
  <c r="Q116" i="2"/>
  <c r="Q141" i="2"/>
  <c r="Q166" i="2"/>
  <c r="Q191" i="2"/>
  <c r="Q216" i="2"/>
  <c r="Q241" i="2"/>
  <c r="Q266" i="2"/>
  <c r="Q291" i="2"/>
  <c r="Q316" i="2"/>
  <c r="Q341" i="2"/>
  <c r="Q366" i="2"/>
  <c r="Q391" i="2"/>
  <c r="Q416" i="2"/>
  <c r="Q441" i="2"/>
  <c r="Q466" i="2"/>
  <c r="Q517" i="2"/>
  <c r="Q542" i="2"/>
  <c r="Q42" i="2"/>
  <c r="Q67" i="2"/>
  <c r="Q92" i="2"/>
  <c r="Q117" i="2"/>
  <c r="Q142" i="2"/>
  <c r="Q167" i="2"/>
  <c r="Q192" i="2"/>
  <c r="Q217" i="2"/>
  <c r="Q242" i="2"/>
  <c r="Q267" i="2"/>
  <c r="Q292" i="2"/>
  <c r="Q317" i="2"/>
  <c r="Q342" i="2"/>
  <c r="Q367" i="2"/>
  <c r="Q392" i="2"/>
  <c r="Q417" i="2"/>
  <c r="Q442" i="2"/>
  <c r="Q493" i="2"/>
  <c r="Q518" i="2"/>
  <c r="Q543" i="2"/>
  <c r="Q43" i="2"/>
  <c r="Q68" i="2"/>
  <c r="Q93" i="2"/>
  <c r="Q118" i="2"/>
  <c r="Q143" i="2"/>
  <c r="Q168" i="2"/>
  <c r="Q193" i="2"/>
  <c r="Q218" i="2"/>
  <c r="Q243" i="2"/>
  <c r="Q268" i="2"/>
  <c r="Q293" i="2"/>
  <c r="Q318" i="2"/>
  <c r="Q343" i="2"/>
  <c r="Q368" i="2"/>
  <c r="Q393" i="2"/>
  <c r="Q418" i="2"/>
  <c r="Q469" i="2"/>
  <c r="Q494" i="2"/>
  <c r="Q519" i="2"/>
  <c r="Q544" i="2"/>
  <c r="Q44" i="2"/>
  <c r="Q69" i="2"/>
  <c r="Q94" i="2"/>
  <c r="Q119" i="2"/>
  <c r="Q144" i="2"/>
  <c r="Q169" i="2"/>
  <c r="Q194" i="2"/>
  <c r="Q219" i="2"/>
  <c r="Q244" i="2"/>
  <c r="Q269" i="2"/>
  <c r="Q294" i="2"/>
  <c r="Q319" i="2"/>
  <c r="Q344" i="2"/>
  <c r="Q369" i="2"/>
  <c r="Q394" i="2"/>
  <c r="Q445" i="2"/>
  <c r="Q470" i="2"/>
  <c r="Q495" i="2"/>
  <c r="Q520" i="2"/>
  <c r="Q545" i="2"/>
  <c r="Q45" i="2"/>
  <c r="Q70" i="2"/>
  <c r="Q95" i="2"/>
  <c r="Q120" i="2"/>
  <c r="Q145" i="2"/>
  <c r="Q170" i="2"/>
  <c r="Q195" i="2"/>
  <c r="Q220" i="2"/>
  <c r="Q245" i="2"/>
  <c r="Q270" i="2"/>
  <c r="Q295" i="2"/>
  <c r="Q320" i="2"/>
  <c r="Q345" i="2"/>
  <c r="Q370" i="2"/>
  <c r="Q421" i="2"/>
  <c r="Q446" i="2"/>
  <c r="Q471" i="2"/>
  <c r="Q496" i="2"/>
  <c r="Q521" i="2"/>
  <c r="Q546" i="2"/>
  <c r="Q46" i="2"/>
  <c r="Q71" i="2"/>
  <c r="Q96" i="2"/>
  <c r="Q121" i="2"/>
  <c r="Q146" i="2"/>
  <c r="Q171" i="2"/>
  <c r="Q196" i="2"/>
  <c r="Q221" i="2"/>
  <c r="Q246" i="2"/>
  <c r="Q271" i="2"/>
  <c r="Q296" i="2"/>
  <c r="Q321" i="2"/>
  <c r="Q346" i="2"/>
  <c r="Q397" i="2"/>
  <c r="Q422" i="2"/>
  <c r="Q447" i="2"/>
  <c r="Q472" i="2"/>
  <c r="Q497" i="2"/>
  <c r="Q522" i="2"/>
  <c r="Q547" i="2"/>
  <c r="Q197" i="2"/>
  <c r="Q498" i="2"/>
  <c r="Q198" i="2"/>
  <c r="Q499" i="2"/>
  <c r="Q222" i="2"/>
  <c r="Q523" i="2"/>
  <c r="Q223" i="2"/>
  <c r="Q524" i="2"/>
  <c r="Q247" i="2"/>
  <c r="Q548" i="2"/>
  <c r="Q248" i="2"/>
  <c r="Q549" i="2"/>
  <c r="Q272" i="2"/>
  <c r="Q273" i="2"/>
  <c r="Q297" i="2"/>
  <c r="Q298" i="2"/>
  <c r="Q322" i="2"/>
  <c r="Q47" i="2"/>
  <c r="Q48" i="2"/>
  <c r="Q349" i="2"/>
  <c r="Q72" i="2"/>
  <c r="Q373" i="2"/>
  <c r="Q73" i="2"/>
  <c r="Q374" i="2"/>
  <c r="Q97" i="2"/>
  <c r="Q98" i="2"/>
  <c r="Q399" i="2"/>
  <c r="Q122" i="2"/>
  <c r="Q423" i="2"/>
  <c r="Q123" i="2"/>
  <c r="Q424" i="2"/>
  <c r="Q147" i="2"/>
  <c r="Q448" i="2"/>
  <c r="Q148" i="2"/>
  <c r="Q449" i="2"/>
  <c r="Q172" i="2"/>
  <c r="Q173" i="2"/>
  <c r="Q473" i="2"/>
  <c r="Q474" i="2"/>
  <c r="Q204" i="2"/>
  <c r="X204" i="2" s="1"/>
  <c r="AB204" i="2" s="1"/>
  <c r="AT204" i="8" s="1"/>
  <c r="Q227" i="2"/>
  <c r="Q395" i="2"/>
  <c r="Q444" i="2"/>
  <c r="Q59" i="2"/>
  <c r="Q155" i="2"/>
  <c r="Q276" i="2"/>
  <c r="Q562" i="2"/>
  <c r="Q108" i="2"/>
  <c r="Q515" i="2"/>
  <c r="Q251" i="2"/>
  <c r="Q538" i="2"/>
  <c r="X538" i="2" s="1"/>
  <c r="AB538" i="2" s="1"/>
  <c r="AT538" i="8" s="1"/>
  <c r="Q516" i="2"/>
  <c r="Q372" i="2"/>
  <c r="Q347" i="2"/>
  <c r="Q443" i="2"/>
  <c r="Q514" i="2"/>
  <c r="X514" i="2" s="1"/>
  <c r="AB514" i="2" s="1"/>
  <c r="AT514" i="8" s="1"/>
  <c r="Q348" i="2"/>
  <c r="X348" i="2" s="1"/>
  <c r="AB348" i="2" s="1"/>
  <c r="AT348" i="8" s="1"/>
  <c r="Q203" i="2"/>
  <c r="Q299" i="2"/>
  <c r="Q274" i="2"/>
  <c r="Q180" i="2"/>
  <c r="Q250" i="2"/>
  <c r="Q226" i="2"/>
  <c r="Q420" i="2"/>
  <c r="Q83" i="2"/>
  <c r="Q131" i="2"/>
  <c r="Q371" i="2"/>
  <c r="Q202" i="2"/>
  <c r="Q252" i="2"/>
  <c r="Q178" i="2"/>
  <c r="Q84" i="2"/>
  <c r="Q275" i="2"/>
  <c r="Q563" i="2"/>
  <c r="X563" i="2" s="1"/>
  <c r="AB563" i="2" s="1"/>
  <c r="AT563" i="8" s="1"/>
  <c r="Q82" i="2"/>
  <c r="Q492" i="2"/>
  <c r="X492" i="2" s="1"/>
  <c r="AB492" i="2" s="1"/>
  <c r="AT492" i="8" s="1"/>
  <c r="Q491" i="2"/>
  <c r="Q58" i="2"/>
  <c r="Q324" i="2"/>
  <c r="Q156" i="2"/>
  <c r="Q564" i="2"/>
  <c r="Q107" i="2"/>
  <c r="Q179" i="2"/>
  <c r="Q419" i="2"/>
  <c r="Q396" i="2"/>
  <c r="Q228" i="2"/>
  <c r="Q60" i="2"/>
  <c r="Q468" i="2"/>
  <c r="Q323" i="2"/>
  <c r="Q300" i="2"/>
  <c r="Q539" i="2"/>
  <c r="X539" i="2" s="1"/>
  <c r="AB539" i="2" s="1"/>
  <c r="AT539" i="8" s="1"/>
  <c r="Q132" i="2"/>
  <c r="Q467" i="2"/>
  <c r="Q540" i="2"/>
  <c r="Q17" i="2"/>
  <c r="Q18" i="2"/>
  <c r="X18" i="2" s="1"/>
  <c r="AB18" i="2" s="1"/>
  <c r="AT18" i="8" s="1"/>
  <c r="Q32" i="2"/>
  <c r="X32" i="2" s="1"/>
  <c r="AB32" i="2" s="1"/>
  <c r="AT32" i="8" s="1"/>
  <c r="Q33" i="2"/>
  <c r="X33" i="2" s="1"/>
  <c r="AB33" i="2" s="1"/>
  <c r="AT33" i="8" s="1"/>
  <c r="Q25" i="2"/>
  <c r="X25" i="2" s="1"/>
  <c r="AB25" i="2" s="1"/>
  <c r="AT25" i="8" s="1"/>
  <c r="Q28" i="2"/>
  <c r="X28" i="2" s="1"/>
  <c r="AB28" i="2" s="1"/>
  <c r="AT28" i="8" s="1"/>
  <c r="Q24" i="2"/>
  <c r="X24" i="2" s="1"/>
  <c r="AB24" i="2" s="1"/>
  <c r="AT24" i="8" s="1"/>
  <c r="Q20" i="2"/>
  <c r="X20" i="2" s="1"/>
  <c r="AB20" i="2" s="1"/>
  <c r="AT20" i="8" s="1"/>
  <c r="Q34" i="2"/>
  <c r="X34" i="2" s="1"/>
  <c r="AB34" i="2" s="1"/>
  <c r="AT34" i="8" s="1"/>
  <c r="Q35" i="2"/>
  <c r="X35" i="2" s="1"/>
  <c r="AB35" i="2" s="1"/>
  <c r="AT35" i="8" s="1"/>
  <c r="Q26" i="2"/>
  <c r="X26" i="2" s="1"/>
  <c r="AB26" i="2" s="1"/>
  <c r="AT26" i="8" s="1"/>
  <c r="Q36" i="2"/>
  <c r="X36" i="2" s="1"/>
  <c r="AB36" i="2" s="1"/>
  <c r="AT36" i="8" s="1"/>
  <c r="Q16" i="2"/>
  <c r="X16" i="2" s="1"/>
  <c r="AB16" i="2" s="1"/>
  <c r="AT16" i="8" s="1"/>
  <c r="Q27" i="2"/>
  <c r="X27" i="2" s="1"/>
  <c r="AB27" i="2" s="1"/>
  <c r="AT27" i="8" s="1"/>
  <c r="Q21" i="2"/>
  <c r="X21" i="2" s="1"/>
  <c r="AB21" i="2" s="1"/>
  <c r="AT21" i="8" s="1"/>
  <c r="Q31" i="2"/>
  <c r="X31" i="2" s="1"/>
  <c r="AB31" i="2" s="1"/>
  <c r="AT31" i="8" s="1"/>
  <c r="Q23" i="2"/>
  <c r="X23" i="2" s="1"/>
  <c r="AB23" i="2" s="1"/>
  <c r="AT23" i="8" s="1"/>
  <c r="Q19" i="2"/>
  <c r="X19" i="2" s="1"/>
  <c r="AB19" i="2" s="1"/>
  <c r="AT19" i="8" s="1"/>
  <c r="Q15" i="2"/>
  <c r="X15" i="2" s="1"/>
  <c r="AB15" i="2" s="1"/>
  <c r="AT15" i="8" s="1"/>
  <c r="Q30" i="2"/>
  <c r="X30" i="2" s="1"/>
  <c r="AB30" i="2" s="1"/>
  <c r="AT30" i="8" s="1"/>
  <c r="Q29" i="2"/>
  <c r="X29" i="2" s="1"/>
  <c r="AB29" i="2" s="1"/>
  <c r="AT29" i="8" s="1"/>
  <c r="Q22" i="2"/>
  <c r="X22" i="2" s="1"/>
  <c r="AB22" i="2" s="1"/>
  <c r="AT22" i="8" s="1"/>
  <c r="U10" i="2"/>
  <c r="U7" i="2"/>
  <c r="U14" i="2"/>
  <c r="U6" i="2"/>
  <c r="U13" i="2"/>
  <c r="U12" i="2"/>
  <c r="U11" i="2"/>
  <c r="U9" i="2"/>
  <c r="T10" i="2"/>
  <c r="AA10" i="2" s="1"/>
  <c r="T7" i="2"/>
  <c r="AA7" i="2" s="1"/>
  <c r="T6" i="2"/>
  <c r="AA6" i="2" s="1"/>
  <c r="T14" i="2"/>
  <c r="AA14" i="2" s="1"/>
  <c r="W5" i="2"/>
  <c r="W7" i="2"/>
  <c r="W12" i="2"/>
  <c r="W13" i="2"/>
  <c r="W6" i="2"/>
  <c r="W14" i="2"/>
  <c r="T12" i="2"/>
  <c r="AA12" i="2" s="1"/>
  <c r="T13" i="2"/>
  <c r="AA13" i="2" s="1"/>
  <c r="T5" i="2"/>
  <c r="AA5" i="2" s="1"/>
  <c r="W11" i="2"/>
  <c r="T11" i="2"/>
  <c r="AA11" i="2" s="1"/>
  <c r="W10" i="2"/>
  <c r="S5" i="2"/>
  <c r="Z5" i="2" s="1"/>
  <c r="R7" i="2"/>
  <c r="Y7" i="2" s="1"/>
  <c r="R12" i="2"/>
  <c r="Y12" i="2" s="1"/>
  <c r="R13" i="2"/>
  <c r="Y13" i="2" s="1"/>
  <c r="R6" i="2"/>
  <c r="Y6" i="2" s="1"/>
  <c r="R14" i="2"/>
  <c r="Y14" i="2" s="1"/>
  <c r="R5" i="2"/>
  <c r="Y5" i="2" s="1"/>
  <c r="S7" i="2"/>
  <c r="Z7" i="2" s="1"/>
  <c r="S12" i="2"/>
  <c r="Z12" i="2" s="1"/>
  <c r="S13" i="2"/>
  <c r="Z13" i="2" s="1"/>
  <c r="S6" i="2"/>
  <c r="Z6" i="2" s="1"/>
  <c r="S14" i="2"/>
  <c r="Z14" i="2" s="1"/>
  <c r="S11" i="2"/>
  <c r="Z11" i="2" s="1"/>
  <c r="R11" i="2"/>
  <c r="Y11" i="2" s="1"/>
  <c r="R10" i="2"/>
  <c r="Y10" i="2" s="1"/>
  <c r="S10" i="2"/>
  <c r="Z10" i="2" s="1"/>
  <c r="Q10" i="2"/>
  <c r="Q5" i="2"/>
  <c r="Q7" i="2"/>
  <c r="Q12" i="2"/>
  <c r="Q6" i="2"/>
  <c r="Q13" i="2"/>
  <c r="Q14" i="2"/>
  <c r="Q11" i="2"/>
  <c r="Q9" i="2"/>
  <c r="T9" i="2"/>
  <c r="AA9" i="2" s="1"/>
  <c r="W9" i="2"/>
  <c r="R9" i="2"/>
  <c r="Y9" i="2" s="1"/>
  <c r="S9" i="2"/>
  <c r="Z9" i="2" s="1"/>
  <c r="B1129" i="8"/>
  <c r="X1076" i="2" l="1"/>
  <c r="AB1076" i="2" s="1"/>
  <c r="AT1076" i="8" s="1"/>
  <c r="X884" i="2"/>
  <c r="AB884" i="2" s="1"/>
  <c r="AT884" i="8" s="1"/>
  <c r="X945" i="2"/>
  <c r="AB945" i="2" s="1"/>
  <c r="AT945" i="8" s="1"/>
  <c r="X966" i="2"/>
  <c r="AB966" i="2" s="1"/>
  <c r="AT966" i="8" s="1"/>
  <c r="X678" i="2"/>
  <c r="AB678" i="2" s="1"/>
  <c r="AT678" i="8" s="1"/>
  <c r="X691" i="2"/>
  <c r="AB691" i="2" s="1"/>
  <c r="AT691" i="8" s="1"/>
  <c r="X1119" i="2"/>
  <c r="AB1119" i="2" s="1"/>
  <c r="AT1119" i="8" s="1"/>
  <c r="X890" i="2"/>
  <c r="AB890" i="2" s="1"/>
  <c r="AT890" i="8" s="1"/>
  <c r="X610" i="2"/>
  <c r="AB610" i="2" s="1"/>
  <c r="AT610" i="8" s="1"/>
  <c r="X887" i="2"/>
  <c r="AB887" i="2" s="1"/>
  <c r="AT887" i="8" s="1"/>
  <c r="X603" i="2"/>
  <c r="AB603" i="2" s="1"/>
  <c r="AT603" i="8" s="1"/>
  <c r="X919" i="2"/>
  <c r="AB919" i="2" s="1"/>
  <c r="AT919" i="8" s="1"/>
  <c r="X639" i="2"/>
  <c r="AB639" i="2" s="1"/>
  <c r="AT639" i="8" s="1"/>
  <c r="X878" i="2"/>
  <c r="AB878" i="2" s="1"/>
  <c r="AT878" i="8" s="1"/>
  <c r="X1097" i="2"/>
  <c r="AB1097" i="2" s="1"/>
  <c r="AT1097" i="8" s="1"/>
  <c r="X799" i="2"/>
  <c r="AB799" i="2" s="1"/>
  <c r="AT799" i="8" s="1"/>
  <c r="X1012" i="2"/>
  <c r="AB1012" i="2" s="1"/>
  <c r="AT1012" i="8" s="1"/>
  <c r="X689" i="2"/>
  <c r="AB689" i="2" s="1"/>
  <c r="AT689" i="8" s="1"/>
  <c r="X1009" i="2"/>
  <c r="AB1009" i="2" s="1"/>
  <c r="AT1009" i="8" s="1"/>
  <c r="X720" i="2"/>
  <c r="AB720" i="2" s="1"/>
  <c r="AT720" i="8" s="1"/>
  <c r="X901" i="2"/>
  <c r="AB901" i="2" s="1"/>
  <c r="AT901" i="8" s="1"/>
  <c r="X680" i="2"/>
  <c r="AB680" i="2" s="1"/>
  <c r="AT680" i="8" s="1"/>
  <c r="X932" i="2"/>
  <c r="AB932" i="2" s="1"/>
  <c r="AT932" i="8" s="1"/>
  <c r="X1031" i="2"/>
  <c r="AB1031" i="2" s="1"/>
  <c r="AT1031" i="8" s="1"/>
  <c r="X787" i="2"/>
  <c r="AB787" i="2" s="1"/>
  <c r="AT787" i="8" s="1"/>
  <c r="X789" i="2"/>
  <c r="AB789" i="2" s="1"/>
  <c r="AT789" i="8" s="1"/>
  <c r="X596" i="2"/>
  <c r="AB596" i="2" s="1"/>
  <c r="AT596" i="8" s="1"/>
  <c r="X630" i="2"/>
  <c r="AB630" i="2" s="1"/>
  <c r="AT630" i="8" s="1"/>
  <c r="X1078" i="2"/>
  <c r="AB1078" i="2" s="1"/>
  <c r="AT1078" i="8" s="1"/>
  <c r="X854" i="2"/>
  <c r="AB854" i="2" s="1"/>
  <c r="AT854" i="8" s="1"/>
  <c r="X574" i="2"/>
  <c r="AB574" i="2" s="1"/>
  <c r="AT574" i="8" s="1"/>
  <c r="X844" i="2"/>
  <c r="AB844" i="2" s="1"/>
  <c r="AT844" i="8" s="1"/>
  <c r="X571" i="2"/>
  <c r="AB571" i="2" s="1"/>
  <c r="AT571" i="8" s="1"/>
  <c r="X881" i="2"/>
  <c r="AB881" i="2" s="1"/>
  <c r="AT881" i="8" s="1"/>
  <c r="X600" i="2"/>
  <c r="AB600" i="2" s="1"/>
  <c r="AT600" i="8" s="1"/>
  <c r="X807" i="2"/>
  <c r="AB807" i="2" s="1"/>
  <c r="AT807" i="8" s="1"/>
  <c r="X1058" i="2"/>
  <c r="AB1058" i="2" s="1"/>
  <c r="AT1058" i="8" s="1"/>
  <c r="X767" i="2"/>
  <c r="AB767" i="2" s="1"/>
  <c r="AT767" i="8" s="1"/>
  <c r="X977" i="2"/>
  <c r="AB977" i="2" s="1"/>
  <c r="AT977" i="8" s="1"/>
  <c r="X661" i="2"/>
  <c r="AB661" i="2" s="1"/>
  <c r="AT661" i="8" s="1"/>
  <c r="X686" i="2"/>
  <c r="AB686" i="2" s="1"/>
  <c r="AT686" i="8" s="1"/>
  <c r="X858" i="2"/>
  <c r="AB858" i="2" s="1"/>
  <c r="AT858" i="8" s="1"/>
  <c r="X947" i="2"/>
  <c r="AB947" i="2" s="1"/>
  <c r="AT947" i="8" s="1"/>
  <c r="X1030" i="2"/>
  <c r="AB1030" i="2" s="1"/>
  <c r="AT1030" i="8" s="1"/>
  <c r="X607" i="2"/>
  <c r="AB607" i="2" s="1"/>
  <c r="AT607" i="8" s="1"/>
  <c r="X943" i="2"/>
  <c r="AB943" i="2" s="1"/>
  <c r="AT943" i="8" s="1"/>
  <c r="X885" i="2"/>
  <c r="AB885" i="2" s="1"/>
  <c r="AT885" i="8" s="1"/>
  <c r="X708" i="2"/>
  <c r="AB708" i="2" s="1"/>
  <c r="AT708" i="8" s="1"/>
  <c r="X654" i="2"/>
  <c r="AB654" i="2" s="1"/>
  <c r="AT654" i="8" s="1"/>
  <c r="X1046" i="2"/>
  <c r="AB1046" i="2" s="1"/>
  <c r="AT1046" i="8" s="1"/>
  <c r="X816" i="2"/>
  <c r="AB816" i="2" s="1"/>
  <c r="AT816" i="8" s="1"/>
  <c r="X1113" i="2"/>
  <c r="AB1113" i="2" s="1"/>
  <c r="AT1113" i="8" s="1"/>
  <c r="X813" i="2"/>
  <c r="AB813" i="2" s="1"/>
  <c r="AT813" i="8" s="1"/>
  <c r="X930" i="2"/>
  <c r="AB930" i="2" s="1"/>
  <c r="AT930" i="8" s="1"/>
  <c r="X568" i="2"/>
  <c r="AB568" i="2" s="1"/>
  <c r="AT568" i="8" s="1"/>
  <c r="X770" i="2"/>
  <c r="AB770" i="2" s="1"/>
  <c r="AT770" i="8" s="1"/>
  <c r="X1022" i="2"/>
  <c r="AB1022" i="2" s="1"/>
  <c r="AT1022" i="8" s="1"/>
  <c r="X733" i="2"/>
  <c r="AB733" i="2" s="1"/>
  <c r="AT733" i="8" s="1"/>
  <c r="X941" i="2"/>
  <c r="AB941" i="2" s="1"/>
  <c r="AT941" i="8" s="1"/>
  <c r="X625" i="2"/>
  <c r="AB625" i="2" s="1"/>
  <c r="AT625" i="8" s="1"/>
  <c r="X938" i="2"/>
  <c r="AB938" i="2" s="1"/>
  <c r="AT938" i="8" s="1"/>
  <c r="X652" i="2"/>
  <c r="AB652" i="2" s="1"/>
  <c r="AT652" i="8" s="1"/>
  <c r="X820" i="2"/>
  <c r="AB820" i="2" s="1"/>
  <c r="AT820" i="8" s="1"/>
  <c r="X800" i="2"/>
  <c r="AB800" i="2" s="1"/>
  <c r="AT800" i="8" s="1"/>
  <c r="X896" i="2"/>
  <c r="AB896" i="2" s="1"/>
  <c r="AT896" i="8" s="1"/>
  <c r="X1027" i="2"/>
  <c r="AB1027" i="2" s="1"/>
  <c r="AT1027" i="8" s="1"/>
  <c r="X585" i="2"/>
  <c r="AB585" i="2" s="1"/>
  <c r="AT585" i="8" s="1"/>
  <c r="X595" i="2"/>
  <c r="AB595" i="2" s="1"/>
  <c r="AT595" i="8" s="1"/>
  <c r="X999" i="2"/>
  <c r="AB999" i="2" s="1"/>
  <c r="AT999" i="8" s="1"/>
  <c r="X783" i="2"/>
  <c r="AB783" i="2" s="1"/>
  <c r="AT783" i="8" s="1"/>
  <c r="X1073" i="2"/>
  <c r="AB1073" i="2" s="1"/>
  <c r="AT1073" i="8" s="1"/>
  <c r="X777" i="2"/>
  <c r="AB777" i="2" s="1"/>
  <c r="AT777" i="8" s="1"/>
  <c r="X785" i="2"/>
  <c r="AB785" i="2" s="1"/>
  <c r="AT785" i="8" s="1"/>
  <c r="X810" i="2"/>
  <c r="AB810" i="2" s="1"/>
  <c r="AT810" i="8" s="1"/>
  <c r="X736" i="2"/>
  <c r="AB736" i="2" s="1"/>
  <c r="AT736" i="8" s="1"/>
  <c r="X951" i="2"/>
  <c r="AB951" i="2" s="1"/>
  <c r="AT951" i="8" s="1"/>
  <c r="X694" i="2"/>
  <c r="AB694" i="2" s="1"/>
  <c r="AT694" i="8" s="1"/>
  <c r="X910" i="2"/>
  <c r="AB910" i="2" s="1"/>
  <c r="AT910" i="8" s="1"/>
  <c r="X590" i="2"/>
  <c r="AB590" i="2" s="1"/>
  <c r="AT590" i="8" s="1"/>
  <c r="X904" i="2"/>
  <c r="AB904" i="2" s="1"/>
  <c r="AT904" i="8" s="1"/>
  <c r="X622" i="2"/>
  <c r="AB622" i="2" s="1"/>
  <c r="AT622" i="8" s="1"/>
  <c r="X790" i="2"/>
  <c r="AB790" i="2" s="1"/>
  <c r="AT790" i="8" s="1"/>
  <c r="X969" i="2"/>
  <c r="AB969" i="2" s="1"/>
  <c r="AT969" i="8" s="1"/>
  <c r="X1041" i="2"/>
  <c r="AB1041" i="2" s="1"/>
  <c r="AT1041" i="8" s="1"/>
  <c r="X956" i="2"/>
  <c r="AB956" i="2" s="1"/>
  <c r="AT956" i="8" s="1"/>
  <c r="X1104" i="2"/>
  <c r="AB1104" i="2" s="1"/>
  <c r="AT1104" i="8" s="1"/>
  <c r="X802" i="2"/>
  <c r="AB802" i="2" s="1"/>
  <c r="AT802" i="8" s="1"/>
  <c r="X657" i="2"/>
  <c r="AB657" i="2" s="1"/>
  <c r="AT657" i="8" s="1"/>
  <c r="X788" i="2"/>
  <c r="AB788" i="2" s="1"/>
  <c r="AT788" i="8" s="1"/>
  <c r="X964" i="2"/>
  <c r="AB964" i="2" s="1"/>
  <c r="AT964" i="8" s="1"/>
  <c r="X747" i="2"/>
  <c r="AB747" i="2" s="1"/>
  <c r="AT747" i="8" s="1"/>
  <c r="X1036" i="2"/>
  <c r="AB1036" i="2" s="1"/>
  <c r="AT1036" i="8" s="1"/>
  <c r="X744" i="2"/>
  <c r="AB744" i="2" s="1"/>
  <c r="AT744" i="8" s="1"/>
  <c r="X1108" i="2"/>
  <c r="AB1108" i="2" s="1"/>
  <c r="AT1108" i="8" s="1"/>
  <c r="X773" i="2"/>
  <c r="AB773" i="2" s="1"/>
  <c r="AT773" i="8" s="1"/>
  <c r="X1061" i="2"/>
  <c r="AB1061" i="2" s="1"/>
  <c r="AT1061" i="8" s="1"/>
  <c r="X697" i="2"/>
  <c r="AB697" i="2" s="1"/>
  <c r="AT697" i="8" s="1"/>
  <c r="X913" i="2"/>
  <c r="AB913" i="2" s="1"/>
  <c r="AT913" i="8" s="1"/>
  <c r="X664" i="2"/>
  <c r="AB664" i="2" s="1"/>
  <c r="AT664" i="8" s="1"/>
  <c r="X867" i="2"/>
  <c r="AB867" i="2" s="1"/>
  <c r="AT867" i="8" s="1"/>
  <c r="X856" i="2"/>
  <c r="AB856" i="2" s="1"/>
  <c r="AT856" i="8" s="1"/>
  <c r="X864" i="2"/>
  <c r="AB864" i="2" s="1"/>
  <c r="AT864" i="8" s="1"/>
  <c r="X581" i="2"/>
  <c r="AB581" i="2" s="1"/>
  <c r="AT581" i="8" s="1"/>
  <c r="X758" i="2"/>
  <c r="AB758" i="2" s="1"/>
  <c r="AT758" i="8" s="1"/>
  <c r="X642" i="2"/>
  <c r="AB642" i="2" s="1"/>
  <c r="AT642" i="8" s="1"/>
  <c r="X1114" i="2"/>
  <c r="AB1114" i="2" s="1"/>
  <c r="AT1114" i="8" s="1"/>
  <c r="X703" i="2"/>
  <c r="AB703" i="2" s="1"/>
  <c r="AT703" i="8" s="1"/>
  <c r="X717" i="2"/>
  <c r="AB717" i="2" s="1"/>
  <c r="AT717" i="8" s="1"/>
  <c r="X598" i="2"/>
  <c r="AB598" i="2" s="1"/>
  <c r="AT598" i="8" s="1"/>
  <c r="X726" i="2"/>
  <c r="AB726" i="2" s="1"/>
  <c r="AT726" i="8" s="1"/>
  <c r="X1101" i="2"/>
  <c r="AB1101" i="2" s="1"/>
  <c r="AT1101" i="8" s="1"/>
  <c r="X929" i="2"/>
  <c r="AB929" i="2" s="1"/>
  <c r="AT929" i="8" s="1"/>
  <c r="X712" i="2"/>
  <c r="AB712" i="2" s="1"/>
  <c r="AT712" i="8" s="1"/>
  <c r="X991" i="2"/>
  <c r="AB991" i="2" s="1"/>
  <c r="AT991" i="8" s="1"/>
  <c r="X709" i="2"/>
  <c r="AB709" i="2" s="1"/>
  <c r="AT709" i="8" s="1"/>
  <c r="X1070" i="2"/>
  <c r="AB1070" i="2" s="1"/>
  <c r="AT1070" i="8" s="1"/>
  <c r="X739" i="2"/>
  <c r="AB739" i="2" s="1"/>
  <c r="AT739" i="8" s="1"/>
  <c r="X1025" i="2"/>
  <c r="AB1025" i="2" s="1"/>
  <c r="AT1025" i="8" s="1"/>
  <c r="X667" i="2"/>
  <c r="AB667" i="2" s="1"/>
  <c r="AT667" i="8" s="1"/>
  <c r="X871" i="2"/>
  <c r="AB871" i="2" s="1"/>
  <c r="AT871" i="8" s="1"/>
  <c r="X628" i="2"/>
  <c r="AB628" i="2" s="1"/>
  <c r="AT628" i="8" s="1"/>
  <c r="X830" i="2"/>
  <c r="AB830" i="2" s="1"/>
  <c r="AT830" i="8" s="1"/>
  <c r="X648" i="2"/>
  <c r="AB648" i="2" s="1"/>
  <c r="AT648" i="8" s="1"/>
  <c r="X793" i="2"/>
  <c r="AB793" i="2" s="1"/>
  <c r="AT793" i="8" s="1"/>
  <c r="X1082" i="2"/>
  <c r="AB1082" i="2" s="1"/>
  <c r="AT1082" i="8" s="1"/>
  <c r="X718" i="2"/>
  <c r="AB718" i="2" s="1"/>
  <c r="AT718" i="8" s="1"/>
  <c r="X925" i="2"/>
  <c r="AB925" i="2" s="1"/>
  <c r="AT925" i="8" s="1"/>
  <c r="X900" i="2"/>
  <c r="AB900" i="2" s="1"/>
  <c r="AT900" i="8" s="1"/>
  <c r="X847" i="2"/>
  <c r="AB847" i="2" s="1"/>
  <c r="AT847" i="8" s="1"/>
  <c r="X1126" i="2"/>
  <c r="AB1126" i="2" s="1"/>
  <c r="AT1126" i="8" s="1"/>
  <c r="X716" i="2"/>
  <c r="AB716" i="2" s="1"/>
  <c r="AT716" i="8" s="1"/>
  <c r="X608" i="2"/>
  <c r="AB608" i="2" s="1"/>
  <c r="AT608" i="8" s="1"/>
  <c r="X891" i="2"/>
  <c r="AB891" i="2" s="1"/>
  <c r="AT891" i="8" s="1"/>
  <c r="X676" i="2"/>
  <c r="AB676" i="2" s="1"/>
  <c r="AT676" i="8" s="1"/>
  <c r="X961" i="2"/>
  <c r="AB961" i="2" s="1"/>
  <c r="AT961" i="8" s="1"/>
  <c r="X673" i="2"/>
  <c r="AB673" i="2" s="1"/>
  <c r="AT673" i="8" s="1"/>
  <c r="X1033" i="2"/>
  <c r="AB1033" i="2" s="1"/>
  <c r="AT1033" i="8" s="1"/>
  <c r="X700" i="2"/>
  <c r="AB700" i="2" s="1"/>
  <c r="AT700" i="8" s="1"/>
  <c r="X984" i="2"/>
  <c r="AB984" i="2" s="1"/>
  <c r="AT984" i="8" s="1"/>
  <c r="X637" i="2"/>
  <c r="AB637" i="2" s="1"/>
  <c r="AT637" i="8" s="1"/>
  <c r="X833" i="2"/>
  <c r="AB833" i="2" s="1"/>
  <c r="AT833" i="8" s="1"/>
  <c r="X593" i="2"/>
  <c r="AB593" i="2" s="1"/>
  <c r="AT593" i="8" s="1"/>
  <c r="X796" i="2"/>
  <c r="AB796" i="2" s="1"/>
  <c r="AT796" i="8" s="1"/>
  <c r="X1085" i="2"/>
  <c r="AB1085" i="2" s="1"/>
  <c r="AT1085" i="8" s="1"/>
  <c r="X761" i="2"/>
  <c r="AB761" i="2" s="1"/>
  <c r="AT761" i="8" s="1"/>
  <c r="X1050" i="2"/>
  <c r="AB1050" i="2" s="1"/>
  <c r="AT1050" i="8" s="1"/>
  <c r="X824" i="2"/>
  <c r="AB824" i="2" s="1"/>
  <c r="AT824" i="8" s="1"/>
  <c r="X883" i="2"/>
  <c r="AB883" i="2" s="1"/>
  <c r="AT883" i="8" s="1"/>
  <c r="X658" i="2"/>
  <c r="AB658" i="2" s="1"/>
  <c r="AT658" i="8" s="1"/>
  <c r="X1088" i="2"/>
  <c r="AB1088" i="2" s="1"/>
  <c r="AT1088" i="8" s="1"/>
  <c r="X1005" i="2"/>
  <c r="AB1005" i="2" s="1"/>
  <c r="AT1005" i="8" s="1"/>
  <c r="X873" i="2"/>
  <c r="AB873" i="2" s="1"/>
  <c r="AT873" i="8" s="1"/>
  <c r="X855" i="2"/>
  <c r="AB855" i="2" s="1"/>
  <c r="AT855" i="8" s="1"/>
  <c r="X646" i="2"/>
  <c r="AB646" i="2" s="1"/>
  <c r="AT646" i="8" s="1"/>
  <c r="X926" i="2"/>
  <c r="AB926" i="2" s="1"/>
  <c r="AT926" i="8" s="1"/>
  <c r="X643" i="2"/>
  <c r="AB643" i="2" s="1"/>
  <c r="AT643" i="8" s="1"/>
  <c r="X987" i="2"/>
  <c r="AB987" i="2" s="1"/>
  <c r="AT987" i="8" s="1"/>
  <c r="X670" i="2"/>
  <c r="AB670" i="2" s="1"/>
  <c r="AT670" i="8" s="1"/>
  <c r="X954" i="2"/>
  <c r="AB954" i="2" s="1"/>
  <c r="AT954" i="8" s="1"/>
  <c r="X1098" i="2"/>
  <c r="AB1098" i="2" s="1"/>
  <c r="AT1098" i="8" s="1"/>
  <c r="X805" i="2"/>
  <c r="AB805" i="2" s="1"/>
  <c r="AT805" i="8" s="1"/>
  <c r="X1095" i="2"/>
  <c r="AB1095" i="2" s="1"/>
  <c r="AT1095" i="8" s="1"/>
  <c r="X764" i="2"/>
  <c r="AB764" i="2" s="1"/>
  <c r="AT764" i="8" s="1"/>
  <c r="X1010" i="2"/>
  <c r="AB1010" i="2" s="1"/>
  <c r="AT1010" i="8" s="1"/>
  <c r="X721" i="2"/>
  <c r="AB721" i="2" s="1"/>
  <c r="AT721" i="8" s="1"/>
  <c r="X1007" i="2"/>
  <c r="AB1007" i="2" s="1"/>
  <c r="AT1007" i="8" s="1"/>
  <c r="X650" i="2"/>
  <c r="AB650" i="2" s="1"/>
  <c r="AT650" i="8" s="1"/>
  <c r="X723" i="2"/>
  <c r="AB723" i="2" s="1"/>
  <c r="AT723" i="8" s="1"/>
  <c r="X1004" i="2"/>
  <c r="AB1004" i="2" s="1"/>
  <c r="AT1004" i="8" s="1"/>
  <c r="X1038" i="2"/>
  <c r="AB1038" i="2" s="1"/>
  <c r="AT1038" i="8" s="1"/>
  <c r="X754" i="2"/>
  <c r="AB754" i="2" s="1"/>
  <c r="AT754" i="8" s="1"/>
  <c r="X837" i="2"/>
  <c r="AB837" i="2" s="1"/>
  <c r="AT837" i="8" s="1"/>
  <c r="X801" i="2"/>
  <c r="AB801" i="2" s="1"/>
  <c r="AT801" i="8" s="1"/>
  <c r="X994" i="2"/>
  <c r="AB994" i="2" s="1"/>
  <c r="AT994" i="8" s="1"/>
  <c r="X817" i="2"/>
  <c r="AB817" i="2" s="1"/>
  <c r="AT817" i="8" s="1"/>
  <c r="X613" i="2"/>
  <c r="AB613" i="2" s="1"/>
  <c r="AT613" i="8" s="1"/>
  <c r="X888" i="2"/>
  <c r="AB888" i="2" s="1"/>
  <c r="AT888" i="8" s="1"/>
  <c r="X604" i="2"/>
  <c r="AB604" i="2" s="1"/>
  <c r="AT604" i="8" s="1"/>
  <c r="X882" i="2"/>
  <c r="AB882" i="2" s="1"/>
  <c r="AT882" i="8" s="1"/>
  <c r="X640" i="2"/>
  <c r="AB640" i="2" s="1"/>
  <c r="AT640" i="8" s="1"/>
  <c r="X916" i="2"/>
  <c r="AB916" i="2" s="1"/>
  <c r="AT916" i="8" s="1"/>
  <c r="X1059" i="2"/>
  <c r="AB1059" i="2" s="1"/>
  <c r="AT1059" i="8" s="1"/>
  <c r="X768" i="2"/>
  <c r="AB768" i="2" s="1"/>
  <c r="AT768" i="8" s="1"/>
  <c r="X1056" i="2"/>
  <c r="AB1056" i="2" s="1"/>
  <c r="AT1056" i="8" s="1"/>
  <c r="X724" i="2"/>
  <c r="AB724" i="2" s="1"/>
  <c r="AT724" i="8" s="1"/>
  <c r="X975" i="2"/>
  <c r="AB975" i="2" s="1"/>
  <c r="AT975" i="8" s="1"/>
  <c r="X687" i="2"/>
  <c r="AB687" i="2" s="1"/>
  <c r="AT687" i="8" s="1"/>
  <c r="X936" i="2"/>
  <c r="AB936" i="2" s="1"/>
  <c r="AT936" i="8" s="1"/>
  <c r="X617" i="2"/>
  <c r="AB617" i="2" s="1"/>
  <c r="AT617" i="8" s="1"/>
  <c r="X931" i="2"/>
  <c r="AB931" i="2" s="1"/>
  <c r="AT931" i="8" s="1"/>
  <c r="X1102" i="2"/>
  <c r="AB1102" i="2" s="1"/>
  <c r="AT1102" i="8" s="1"/>
  <c r="X979" i="2"/>
  <c r="AB979" i="2" s="1"/>
  <c r="AT979" i="8" s="1"/>
  <c r="X1091" i="2"/>
  <c r="AB1091" i="2" s="1"/>
  <c r="AT1091" i="8" s="1"/>
  <c r="X981" i="2"/>
  <c r="AB981" i="2" s="1"/>
  <c r="AT981" i="8" s="1"/>
  <c r="X1015" i="2"/>
  <c r="AB1015" i="2" s="1"/>
  <c r="AT1015" i="8" s="1"/>
  <c r="X774" i="2"/>
  <c r="AB774" i="2" s="1"/>
  <c r="AT774" i="8" s="1"/>
  <c r="X681" i="2"/>
  <c r="AB681" i="2" s="1"/>
  <c r="AT681" i="8" s="1"/>
  <c r="X784" i="2"/>
  <c r="AB784" i="2" s="1"/>
  <c r="AT784" i="8" s="1"/>
  <c r="X575" i="2"/>
  <c r="AB575" i="2" s="1"/>
  <c r="AT575" i="8" s="1"/>
  <c r="X845" i="2"/>
  <c r="AB845" i="2" s="1"/>
  <c r="AT845" i="8" s="1"/>
  <c r="X572" i="2"/>
  <c r="AB572" i="2" s="1"/>
  <c r="AT572" i="8" s="1"/>
  <c r="X842" i="2"/>
  <c r="AB842" i="2" s="1"/>
  <c r="AT842" i="8" s="1"/>
  <c r="X601" i="2"/>
  <c r="AB601" i="2" s="1"/>
  <c r="AT601" i="8" s="1"/>
  <c r="X879" i="2"/>
  <c r="AB879" i="2" s="1"/>
  <c r="AT879" i="8" s="1"/>
  <c r="X1023" i="2"/>
  <c r="AB1023" i="2" s="1"/>
  <c r="AT1023" i="8" s="1"/>
  <c r="X734" i="2"/>
  <c r="AB734" i="2" s="1"/>
  <c r="AT734" i="8" s="1"/>
  <c r="X1013" i="2"/>
  <c r="AB1013" i="2" s="1"/>
  <c r="AT1013" i="8" s="1"/>
  <c r="X690" i="2"/>
  <c r="AB690" i="2" s="1"/>
  <c r="AT690" i="8" s="1"/>
  <c r="X939" i="2"/>
  <c r="AB939" i="2" s="1"/>
  <c r="AT939" i="8" s="1"/>
  <c r="X653" i="2"/>
  <c r="AB653" i="2" s="1"/>
  <c r="AT653" i="8" s="1"/>
  <c r="X902" i="2"/>
  <c r="AB902" i="2" s="1"/>
  <c r="AT902" i="8" s="1"/>
  <c r="X579" i="2"/>
  <c r="AB579" i="2" s="1"/>
  <c r="AT579" i="8" s="1"/>
  <c r="X1055" i="2"/>
  <c r="AB1055" i="2" s="1"/>
  <c r="AT1055" i="8" s="1"/>
  <c r="X1100" i="2"/>
  <c r="AB1100" i="2" s="1"/>
  <c r="AT1100" i="8" s="1"/>
  <c r="X1075" i="2"/>
  <c r="AB1075" i="2" s="1"/>
  <c r="AT1075" i="8" s="1"/>
  <c r="X704" i="2"/>
  <c r="AB704" i="2" s="1"/>
  <c r="AT704" i="8" s="1"/>
  <c r="X620" i="2"/>
  <c r="AB620" i="2" s="1"/>
  <c r="AT620" i="8" s="1"/>
  <c r="X748" i="2"/>
  <c r="AB748" i="2" s="1"/>
  <c r="AT748" i="8" s="1"/>
  <c r="X1117" i="2"/>
  <c r="AB1117" i="2" s="1"/>
  <c r="AT1117" i="8" s="1"/>
  <c r="X1109" i="2"/>
  <c r="AB1109" i="2" s="1"/>
  <c r="AT1109" i="8" s="1"/>
  <c r="X811" i="2"/>
  <c r="AB811" i="2" s="1"/>
  <c r="AT811" i="8" s="1"/>
  <c r="X569" i="2"/>
  <c r="AB569" i="2" s="1"/>
  <c r="AT569" i="8" s="1"/>
  <c r="X839" i="2"/>
  <c r="AB839" i="2" s="1"/>
  <c r="AT839" i="8" s="1"/>
  <c r="X982" i="2"/>
  <c r="AB982" i="2" s="1"/>
  <c r="AT982" i="8" s="1"/>
  <c r="X695" i="2"/>
  <c r="AB695" i="2" s="1"/>
  <c r="AT695" i="8" s="1"/>
  <c r="X978" i="2"/>
  <c r="AB978" i="2" s="1"/>
  <c r="AT978" i="8" s="1"/>
  <c r="X662" i="2"/>
  <c r="AB662" i="2" s="1"/>
  <c r="AT662" i="8" s="1"/>
  <c r="X905" i="2"/>
  <c r="AB905" i="2" s="1"/>
  <c r="AT905" i="8" s="1"/>
  <c r="X623" i="2"/>
  <c r="AB623" i="2" s="1"/>
  <c r="AT623" i="8" s="1"/>
  <c r="X862" i="2"/>
  <c r="AB862" i="2" s="1"/>
  <c r="AT862" i="8" s="1"/>
  <c r="X1121" i="2"/>
  <c r="AB1121" i="2" s="1"/>
  <c r="AT1121" i="8" s="1"/>
  <c r="X935" i="2"/>
  <c r="AB935" i="2" s="1"/>
  <c r="AT935" i="8" s="1"/>
  <c r="X1065" i="2"/>
  <c r="AB1065" i="2" s="1"/>
  <c r="AT1065" i="8" s="1"/>
  <c r="X1103" i="2"/>
  <c r="AB1103" i="2" s="1"/>
  <c r="AT1103" i="8" s="1"/>
  <c r="X727" i="2"/>
  <c r="AB727" i="2" s="1"/>
  <c r="AT727" i="8" s="1"/>
  <c r="X826" i="2"/>
  <c r="AB826" i="2" s="1"/>
  <c r="AT826" i="8" s="1"/>
  <c r="X899" i="2"/>
  <c r="AB899" i="2" s="1"/>
  <c r="AT899" i="8" s="1"/>
  <c r="X713" i="2"/>
  <c r="AB713" i="2" s="1"/>
  <c r="AT713" i="8" s="1"/>
  <c r="X1074" i="2"/>
  <c r="AB1074" i="2" s="1"/>
  <c r="AT1074" i="8" s="1"/>
  <c r="X781" i="2"/>
  <c r="AB781" i="2" s="1"/>
  <c r="AT781" i="8" s="1"/>
  <c r="X1071" i="2"/>
  <c r="AB1071" i="2" s="1"/>
  <c r="AT1071" i="8" s="1"/>
  <c r="X775" i="2"/>
  <c r="AB775" i="2" s="1"/>
  <c r="AT775" i="8" s="1"/>
  <c r="X1106" i="2"/>
  <c r="AB1106" i="2" s="1"/>
  <c r="AT1106" i="8" s="1"/>
  <c r="X808" i="2"/>
  <c r="AB808" i="2" s="1"/>
  <c r="AT808" i="8" s="1"/>
  <c r="X952" i="2"/>
  <c r="AB952" i="2" s="1"/>
  <c r="AT952" i="8" s="1"/>
  <c r="X665" i="2"/>
  <c r="AB665" i="2" s="1"/>
  <c r="AT665" i="8" s="1"/>
  <c r="X949" i="2"/>
  <c r="AB949" i="2" s="1"/>
  <c r="AT949" i="8" s="1"/>
  <c r="X626" i="2"/>
  <c r="AB626" i="2" s="1"/>
  <c r="AT626" i="8" s="1"/>
  <c r="X865" i="2"/>
  <c r="AB865" i="2" s="1"/>
  <c r="AT865" i="8" s="1"/>
  <c r="X586" i="2"/>
  <c r="AB586" i="2" s="1"/>
  <c r="AT586" i="8" s="1"/>
  <c r="X821" i="2"/>
  <c r="AB821" i="2" s="1"/>
  <c r="AT821" i="8" s="1"/>
  <c r="X1080" i="2"/>
  <c r="AB1080" i="2" s="1"/>
  <c r="AT1080" i="8" s="1"/>
  <c r="X760" i="2"/>
  <c r="AB760" i="2" s="1"/>
  <c r="AT760" i="8" s="1"/>
  <c r="X1051" i="2"/>
  <c r="AB1051" i="2" s="1"/>
  <c r="AT1051" i="8" s="1"/>
  <c r="X631" i="2"/>
  <c r="AB631" i="2" s="1"/>
  <c r="AT631" i="8" s="1"/>
  <c r="X1040" i="2"/>
  <c r="AB1040" i="2" s="1"/>
  <c r="AT1040" i="8" s="1"/>
  <c r="X838" i="2"/>
  <c r="AB838" i="2" s="1"/>
  <c r="AT838" i="8" s="1"/>
  <c r="X1111" i="2"/>
  <c r="AB1111" i="2" s="1"/>
  <c r="AT1111" i="8" s="1"/>
  <c r="X942" i="2"/>
  <c r="AB942" i="2" s="1"/>
  <c r="AT942" i="8" s="1"/>
  <c r="X606" i="2"/>
  <c r="AB606" i="2" s="1"/>
  <c r="AT606" i="8" s="1"/>
  <c r="X677" i="2"/>
  <c r="AB677" i="2" s="1"/>
  <c r="AT677" i="8" s="1"/>
  <c r="X1037" i="2"/>
  <c r="AB1037" i="2" s="1"/>
  <c r="AT1037" i="8" s="1"/>
  <c r="X745" i="2"/>
  <c r="AB745" i="2" s="1"/>
  <c r="AT745" i="8" s="1"/>
  <c r="X1034" i="2"/>
  <c r="AB1034" i="2" s="1"/>
  <c r="AT1034" i="8" s="1"/>
  <c r="X742" i="2"/>
  <c r="AB742" i="2" s="1"/>
  <c r="AT742" i="8" s="1"/>
  <c r="X1063" i="2"/>
  <c r="AB1063" i="2" s="1"/>
  <c r="AT1063" i="8" s="1"/>
  <c r="X771" i="2"/>
  <c r="AB771" i="2" s="1"/>
  <c r="AT771" i="8" s="1"/>
  <c r="X914" i="2"/>
  <c r="AB914" i="2" s="1"/>
  <c r="AT914" i="8" s="1"/>
  <c r="X629" i="2"/>
  <c r="AB629" i="2" s="1"/>
  <c r="AT629" i="8" s="1"/>
  <c r="X911" i="2"/>
  <c r="AB911" i="2" s="1"/>
  <c r="AT911" i="8" s="1"/>
  <c r="X591" i="2"/>
  <c r="AB591" i="2" s="1"/>
  <c r="AT591" i="8" s="1"/>
  <c r="X825" i="2"/>
  <c r="AB825" i="2" s="1"/>
  <c r="AT825" i="8" s="1"/>
  <c r="X892" i="2"/>
  <c r="AB892" i="2" s="1"/>
  <c r="AT892" i="8" s="1"/>
  <c r="X791" i="2"/>
  <c r="AB791" i="2" s="1"/>
  <c r="AT791" i="8" s="1"/>
  <c r="X1048" i="2"/>
  <c r="AB1048" i="2" s="1"/>
  <c r="AT1048" i="8" s="1"/>
  <c r="X957" i="2"/>
  <c r="AB957" i="2" s="1"/>
  <c r="AT957" i="8" s="1"/>
  <c r="X1066" i="2"/>
  <c r="AB1066" i="2" s="1"/>
  <c r="AT1066" i="8" s="1"/>
  <c r="X944" i="2"/>
  <c r="AB944" i="2" s="1"/>
  <c r="AT944" i="8" s="1"/>
  <c r="X706" i="2"/>
  <c r="AB706" i="2" s="1"/>
  <c r="AT706" i="8" s="1"/>
  <c r="X729" i="2"/>
  <c r="AB729" i="2" s="1"/>
  <c r="AT729" i="8" s="1"/>
  <c r="X894" i="2"/>
  <c r="AB894" i="2" s="1"/>
  <c r="AT894" i="8" s="1"/>
  <c r="X647" i="2"/>
  <c r="AB647" i="2" s="1"/>
  <c r="AT647" i="8" s="1"/>
  <c r="X997" i="2"/>
  <c r="AB997" i="2" s="1"/>
  <c r="AT997" i="8" s="1"/>
  <c r="X988" i="2"/>
  <c r="AB988" i="2" s="1"/>
  <c r="AT988" i="8" s="1"/>
  <c r="X701" i="2"/>
  <c r="AB701" i="2" s="1"/>
  <c r="AT701" i="8" s="1"/>
  <c r="X1026" i="2"/>
  <c r="AB1026" i="2" s="1"/>
  <c r="AT1026" i="8" s="1"/>
  <c r="X737" i="2"/>
  <c r="AB737" i="2" s="1"/>
  <c r="AT737" i="8" s="1"/>
  <c r="X877" i="2"/>
  <c r="AB877" i="2" s="1"/>
  <c r="AT877" i="8" s="1"/>
  <c r="X594" i="2"/>
  <c r="AB594" i="2" s="1"/>
  <c r="AT594" i="8" s="1"/>
  <c r="X1093" i="2"/>
  <c r="AB1093" i="2" s="1"/>
  <c r="AT1093" i="8" s="1"/>
  <c r="X794" i="2"/>
  <c r="AB794" i="2" s="1"/>
  <c r="AT794" i="8" s="1"/>
  <c r="X615" i="2"/>
  <c r="AB615" i="2" s="1"/>
  <c r="AT615" i="8" s="1"/>
  <c r="X759" i="2"/>
  <c r="AB759" i="2" s="1"/>
  <c r="AT759" i="8" s="1"/>
  <c r="X1001" i="2"/>
  <c r="AB1001" i="2" s="1"/>
  <c r="AT1001" i="8" s="1"/>
  <c r="X915" i="2"/>
  <c r="AB915" i="2" s="1"/>
  <c r="AT915" i="8" s="1"/>
  <c r="X835" i="2"/>
  <c r="AB835" i="2" s="1"/>
  <c r="AT835" i="8" s="1"/>
  <c r="X1052" i="2"/>
  <c r="AB1052" i="2" s="1"/>
  <c r="AT1052" i="8" s="1"/>
  <c r="X766" i="2"/>
  <c r="AB766" i="2" s="1"/>
  <c r="AT766" i="8" s="1"/>
  <c r="X898" i="2"/>
  <c r="AB898" i="2" s="1"/>
  <c r="AT898" i="8" s="1"/>
  <c r="X740" i="2"/>
  <c r="AB740" i="2" s="1"/>
  <c r="AT740" i="8" s="1"/>
  <c r="X875" i="2"/>
  <c r="AB875" i="2" s="1"/>
  <c r="AT875" i="8" s="1"/>
  <c r="X614" i="2"/>
  <c r="AB614" i="2" s="1"/>
  <c r="AT614" i="8" s="1"/>
  <c r="X962" i="2"/>
  <c r="AB962" i="2" s="1"/>
  <c r="AT962" i="8" s="1"/>
  <c r="X674" i="2"/>
  <c r="AB674" i="2" s="1"/>
  <c r="AT674" i="8" s="1"/>
  <c r="X959" i="2"/>
  <c r="AB959" i="2" s="1"/>
  <c r="AT959" i="8" s="1"/>
  <c r="X671" i="2"/>
  <c r="AB671" i="2" s="1"/>
  <c r="AT671" i="8" s="1"/>
  <c r="X985" i="2"/>
  <c r="AB985" i="2" s="1"/>
  <c r="AT985" i="8" s="1"/>
  <c r="X698" i="2"/>
  <c r="AB698" i="2" s="1"/>
  <c r="AT698" i="8" s="1"/>
  <c r="X834" i="2"/>
  <c r="AB834" i="2" s="1"/>
  <c r="AT834" i="8" s="1"/>
  <c r="X1079" i="2"/>
  <c r="AB1079" i="2" s="1"/>
  <c r="AT1079" i="8" s="1"/>
  <c r="X831" i="2"/>
  <c r="AB831" i="2" s="1"/>
  <c r="AT831" i="8" s="1"/>
  <c r="X1054" i="2"/>
  <c r="AB1054" i="2" s="1"/>
  <c r="AT1054" i="8" s="1"/>
  <c r="X762" i="2"/>
  <c r="AB762" i="2" s="1"/>
  <c r="AT762" i="8" s="1"/>
  <c r="X1127" i="2"/>
  <c r="AB1127" i="2" s="1"/>
  <c r="AT1127" i="8" s="1"/>
  <c r="X719" i="2"/>
  <c r="AB719" i="2" s="1"/>
  <c r="AT719" i="8" s="1"/>
  <c r="X893" i="2"/>
  <c r="AB893" i="2" s="1"/>
  <c r="AT893" i="8" s="1"/>
  <c r="X928" i="2"/>
  <c r="AB928" i="2" s="1"/>
  <c r="AT928" i="8" s="1"/>
  <c r="X908" i="2"/>
  <c r="AB908" i="2" s="1"/>
  <c r="AT908" i="8" s="1"/>
  <c r="X924" i="2"/>
  <c r="AB924" i="2" s="1"/>
  <c r="AT924" i="8" s="1"/>
  <c r="X1014" i="2"/>
  <c r="AB1014" i="2" s="1"/>
  <c r="AT1014" i="8" s="1"/>
  <c r="X702" i="2"/>
  <c r="AB702" i="2" s="1"/>
  <c r="AT702" i="8" s="1"/>
  <c r="X967" i="2"/>
  <c r="AB967" i="2" s="1"/>
  <c r="AT967" i="8" s="1"/>
  <c r="X1029" i="2"/>
  <c r="AB1029" i="2" s="1"/>
  <c r="AT1029" i="8" s="1"/>
  <c r="X1110" i="2"/>
  <c r="AB1110" i="2" s="1"/>
  <c r="AT1110" i="8" s="1"/>
  <c r="X576" i="2"/>
  <c r="AB576" i="2" s="1"/>
  <c r="AT576" i="8" s="1"/>
  <c r="X927" i="2"/>
  <c r="AB927" i="2" s="1"/>
  <c r="AT927" i="8" s="1"/>
  <c r="X644" i="2"/>
  <c r="AB644" i="2" s="1"/>
  <c r="AT644" i="8" s="1"/>
  <c r="X921" i="2"/>
  <c r="AB921" i="2" s="1"/>
  <c r="AT921" i="8" s="1"/>
  <c r="X641" i="2"/>
  <c r="AB641" i="2" s="1"/>
  <c r="AT641" i="8" s="1"/>
  <c r="X955" i="2"/>
  <c r="AB955" i="2" s="1"/>
  <c r="AT955" i="8" s="1"/>
  <c r="X668" i="2"/>
  <c r="AB668" i="2" s="1"/>
  <c r="AT668" i="8" s="1"/>
  <c r="X806" i="2"/>
  <c r="AB806" i="2" s="1"/>
  <c r="AT806" i="8" s="1"/>
  <c r="X714" i="2"/>
  <c r="AB714" i="2" s="1"/>
  <c r="AT714" i="8" s="1"/>
  <c r="X797" i="2"/>
  <c r="AB797" i="2" s="1"/>
  <c r="AT797" i="8" s="1"/>
  <c r="X1011" i="2"/>
  <c r="AB1011" i="2" s="1"/>
  <c r="AT1011" i="8" s="1"/>
  <c r="X722" i="2"/>
  <c r="AB722" i="2" s="1"/>
  <c r="AT722" i="8" s="1"/>
  <c r="X1083" i="2"/>
  <c r="AB1083" i="2" s="1"/>
  <c r="AT1083" i="8" s="1"/>
  <c r="X685" i="2"/>
  <c r="AB685" i="2" s="1"/>
  <c r="AT685" i="8" s="1"/>
  <c r="X986" i="2"/>
  <c r="AB986" i="2" s="1"/>
  <c r="AT986" i="8" s="1"/>
  <c r="X1006" i="2"/>
  <c r="AB1006" i="2" s="1"/>
  <c r="AT1006" i="8" s="1"/>
  <c r="X907" i="2"/>
  <c r="AB907" i="2" s="1"/>
  <c r="AT907" i="8" s="1"/>
  <c r="X846" i="2"/>
  <c r="AB846" i="2" s="1"/>
  <c r="AT846" i="8" s="1"/>
  <c r="X750" i="2"/>
  <c r="AB750" i="2" s="1"/>
  <c r="AT750" i="8" s="1"/>
  <c r="X861" i="2"/>
  <c r="AB861" i="2" s="1"/>
  <c r="AT861" i="8" s="1"/>
  <c r="X728" i="2"/>
  <c r="AB728" i="2" s="1"/>
  <c r="AT728" i="8" s="1"/>
  <c r="X584" i="2"/>
  <c r="AB584" i="2" s="1"/>
  <c r="AT584" i="8" s="1"/>
  <c r="X619" i="2"/>
  <c r="AB619" i="2" s="1"/>
  <c r="AT619" i="8" s="1"/>
  <c r="X1047" i="2"/>
  <c r="AB1047" i="2" s="1"/>
  <c r="AT1047" i="8" s="1"/>
  <c r="X889" i="2"/>
  <c r="AB889" i="2" s="1"/>
  <c r="AT889" i="8" s="1"/>
  <c r="X605" i="2"/>
  <c r="AB605" i="2" s="1"/>
  <c r="AT605" i="8" s="1"/>
  <c r="X886" i="2"/>
  <c r="AB886" i="2" s="1"/>
  <c r="AT886" i="8" s="1"/>
  <c r="X602" i="2"/>
  <c r="AB602" i="2" s="1"/>
  <c r="AT602" i="8" s="1"/>
  <c r="X917" i="2"/>
  <c r="AB917" i="2" s="1"/>
  <c r="AT917" i="8" s="1"/>
  <c r="X638" i="2"/>
  <c r="AB638" i="2" s="1"/>
  <c r="AT638" i="8" s="1"/>
  <c r="X769" i="2"/>
  <c r="AB769" i="2" s="1"/>
  <c r="AT769" i="8" s="1"/>
  <c r="X1096" i="2"/>
  <c r="AB1096" i="2" s="1"/>
  <c r="AT1096" i="8" s="1"/>
  <c r="X765" i="2"/>
  <c r="AB765" i="2" s="1"/>
  <c r="AT765" i="8" s="1"/>
  <c r="X976" i="2"/>
  <c r="AB976" i="2" s="1"/>
  <c r="AT976" i="8" s="1"/>
  <c r="X688" i="2"/>
  <c r="AB688" i="2" s="1"/>
  <c r="AT688" i="8" s="1"/>
  <c r="X1008" i="2"/>
  <c r="AB1008" i="2" s="1"/>
  <c r="AT1008" i="8" s="1"/>
  <c r="X651" i="2"/>
  <c r="AB651" i="2" s="1"/>
  <c r="AT651" i="8" s="1"/>
  <c r="X819" i="2"/>
  <c r="AB819" i="2" s="1"/>
  <c r="AT819" i="8" s="1"/>
  <c r="X645" i="2"/>
  <c r="AB645" i="2" s="1"/>
  <c r="AT645" i="8" s="1"/>
  <c r="X1086" i="2"/>
  <c r="AB1086" i="2" s="1"/>
  <c r="AT1086" i="8" s="1"/>
  <c r="X1028" i="2"/>
  <c r="AB1028" i="2" s="1"/>
  <c r="AT1028" i="8" s="1"/>
  <c r="X798" i="2"/>
  <c r="AB798" i="2" s="1"/>
  <c r="AT798" i="8" s="1"/>
  <c r="X741" i="2"/>
  <c r="AB741" i="2" s="1"/>
  <c r="AT741" i="8" s="1"/>
  <c r="X1039" i="2"/>
  <c r="AB1039" i="2" s="1"/>
  <c r="AT1039" i="8" s="1"/>
  <c r="X1116" i="2"/>
  <c r="AB1116" i="2" s="1"/>
  <c r="AT1116" i="8" s="1"/>
  <c r="X849" i="2"/>
  <c r="AB849" i="2" s="1"/>
  <c r="AT849" i="8" s="1"/>
  <c r="X836" i="2"/>
  <c r="AB836" i="2" s="1"/>
  <c r="AT836" i="8" s="1"/>
  <c r="X749" i="2"/>
  <c r="AB749" i="2" s="1"/>
  <c r="AT749" i="8" s="1"/>
  <c r="X853" i="2"/>
  <c r="AB853" i="2" s="1"/>
  <c r="AT853" i="8" s="1"/>
  <c r="X573" i="2"/>
  <c r="AB573" i="2" s="1"/>
  <c r="AT573" i="8" s="1"/>
  <c r="X843" i="2"/>
  <c r="AB843" i="2" s="1"/>
  <c r="AT843" i="8" s="1"/>
  <c r="X570" i="2"/>
  <c r="AB570" i="2" s="1"/>
  <c r="AT570" i="8" s="1"/>
  <c r="X880" i="2"/>
  <c r="AB880" i="2" s="1"/>
  <c r="AT880" i="8" s="1"/>
  <c r="X599" i="2"/>
  <c r="AB599" i="2" s="1"/>
  <c r="AT599" i="8" s="1"/>
  <c r="X735" i="2"/>
  <c r="AB735" i="2" s="1"/>
  <c r="AT735" i="8" s="1"/>
  <c r="X1057" i="2"/>
  <c r="AB1057" i="2" s="1"/>
  <c r="AT1057" i="8" s="1"/>
  <c r="X725" i="2"/>
  <c r="AB725" i="2" s="1"/>
  <c r="AT725" i="8" s="1"/>
  <c r="X940" i="2"/>
  <c r="AB940" i="2" s="1"/>
  <c r="AT940" i="8" s="1"/>
  <c r="X655" i="2"/>
  <c r="AB655" i="2" s="1"/>
  <c r="AT655" i="8" s="1"/>
  <c r="X973" i="2"/>
  <c r="AB973" i="2" s="1"/>
  <c r="AT973" i="8" s="1"/>
  <c r="X618" i="2"/>
  <c r="AB618" i="2" s="1"/>
  <c r="AT618" i="8" s="1"/>
  <c r="X786" i="2"/>
  <c r="AB786" i="2" s="1"/>
  <c r="AT786" i="8" s="1"/>
  <c r="X752" i="2"/>
  <c r="AB752" i="2" s="1"/>
  <c r="AT752" i="8" s="1"/>
  <c r="X1003" i="2"/>
  <c r="AB1003" i="2" s="1"/>
  <c r="AT1003" i="8" s="1"/>
  <c r="X1123" i="2"/>
  <c r="AB1123" i="2" s="1"/>
  <c r="AT1123" i="8" s="1"/>
  <c r="X895" i="2"/>
  <c r="AB895" i="2" s="1"/>
  <c r="AT895" i="8" s="1"/>
  <c r="X633" i="2"/>
  <c r="AB633" i="2" s="1"/>
  <c r="AT633" i="8" s="1"/>
  <c r="X990" i="2"/>
  <c r="AB990" i="2" s="1"/>
  <c r="AT990" i="8" s="1"/>
  <c r="X1125" i="2"/>
  <c r="AB1125" i="2" s="1"/>
  <c r="AT1125" i="8" s="1"/>
  <c r="X1118" i="2"/>
  <c r="AB1118" i="2" s="1"/>
  <c r="AT1118" i="8" s="1"/>
  <c r="X815" i="2"/>
  <c r="AB815" i="2" s="1"/>
  <c r="AT815" i="8" s="1"/>
  <c r="X1112" i="2"/>
  <c r="AB1112" i="2" s="1"/>
  <c r="AT1112" i="8" s="1"/>
  <c r="X812" i="2"/>
  <c r="AB812" i="2" s="1"/>
  <c r="AT812" i="8" s="1"/>
  <c r="X965" i="2"/>
  <c r="AB965" i="2" s="1"/>
  <c r="AT965" i="8" s="1"/>
  <c r="X840" i="2"/>
  <c r="AB840" i="2" s="1"/>
  <c r="AT840" i="8" s="1"/>
  <c r="X567" i="2"/>
  <c r="AB567" i="2" s="1"/>
  <c r="AT567" i="8" s="1"/>
  <c r="X696" i="2"/>
  <c r="AB696" i="2" s="1"/>
  <c r="AT696" i="8" s="1"/>
  <c r="X1021" i="2"/>
  <c r="AB1021" i="2" s="1"/>
  <c r="AT1021" i="8" s="1"/>
  <c r="X693" i="2"/>
  <c r="AB693" i="2" s="1"/>
  <c r="AT693" i="8" s="1"/>
  <c r="X906" i="2"/>
  <c r="AB906" i="2" s="1"/>
  <c r="AT906" i="8" s="1"/>
  <c r="X624" i="2"/>
  <c r="AB624" i="2" s="1"/>
  <c r="AT624" i="8" s="1"/>
  <c r="X937" i="2"/>
  <c r="AB937" i="2" s="1"/>
  <c r="AT937" i="8" s="1"/>
  <c r="X580" i="2"/>
  <c r="AB580" i="2" s="1"/>
  <c r="AT580" i="8" s="1"/>
  <c r="X757" i="2"/>
  <c r="AB757" i="2" s="1"/>
  <c r="AT757" i="8" s="1"/>
  <c r="X1115" i="2"/>
  <c r="AB1115" i="2" s="1"/>
  <c r="AT1115" i="8" s="1"/>
  <c r="X1017" i="2"/>
  <c r="AB1017" i="2" s="1"/>
  <c r="AT1017" i="8" s="1"/>
  <c r="X1124" i="2"/>
  <c r="AB1124" i="2" s="1"/>
  <c r="AT1124" i="8" s="1"/>
  <c r="X621" i="2"/>
  <c r="AB621" i="2" s="1"/>
  <c r="AT621" i="8" s="1"/>
  <c r="X778" i="2"/>
  <c r="AB778" i="2" s="1"/>
  <c r="AT778" i="8" s="1"/>
  <c r="X850" i="2"/>
  <c r="AB850" i="2" s="1"/>
  <c r="AT850" i="8" s="1"/>
  <c r="X968" i="2"/>
  <c r="AB968" i="2" s="1"/>
  <c r="AT968" i="8" s="1"/>
  <c r="X582" i="2"/>
  <c r="AB582" i="2" s="1"/>
  <c r="AT582" i="8" s="1"/>
  <c r="X1077" i="2"/>
  <c r="AB1077" i="2" s="1"/>
  <c r="AT1077" i="8" s="1"/>
  <c r="X782" i="2"/>
  <c r="AB782" i="2" s="1"/>
  <c r="AT782" i="8" s="1"/>
  <c r="X1072" i="2"/>
  <c r="AB1072" i="2" s="1"/>
  <c r="AT1072" i="8" s="1"/>
  <c r="X776" i="2"/>
  <c r="AB776" i="2" s="1"/>
  <c r="AT776" i="8" s="1"/>
  <c r="X577" i="2"/>
  <c r="AB577" i="2" s="1"/>
  <c r="AT577" i="8" s="1"/>
  <c r="X809" i="2"/>
  <c r="AB809" i="2" s="1"/>
  <c r="AT809" i="8" s="1"/>
  <c r="X1060" i="2"/>
  <c r="AB1060" i="2" s="1"/>
  <c r="AT1060" i="8" s="1"/>
  <c r="X666" i="2"/>
  <c r="AB666" i="2" s="1"/>
  <c r="AT666" i="8" s="1"/>
  <c r="X980" i="2"/>
  <c r="AB980" i="2" s="1"/>
  <c r="AT980" i="8" s="1"/>
  <c r="X663" i="2"/>
  <c r="AB663" i="2" s="1"/>
  <c r="AT663" i="8" s="1"/>
  <c r="X866" i="2"/>
  <c r="AB866" i="2" s="1"/>
  <c r="AT866" i="8" s="1"/>
  <c r="X589" i="2"/>
  <c r="AB589" i="2" s="1"/>
  <c r="AT589" i="8" s="1"/>
  <c r="X903" i="2"/>
  <c r="AB903" i="2" s="1"/>
  <c r="AT903" i="8" s="1"/>
  <c r="X1122" i="2"/>
  <c r="AB1122" i="2" s="1"/>
  <c r="AT1122" i="8" s="1"/>
  <c r="X715" i="2"/>
  <c r="AB715" i="2" s="1"/>
  <c r="AT715" i="8" s="1"/>
  <c r="X1084" i="2"/>
  <c r="AB1084" i="2" s="1"/>
  <c r="AT1084" i="8" s="1"/>
  <c r="X1090" i="2"/>
  <c r="AB1090" i="2" s="1"/>
  <c r="AT1090" i="8" s="1"/>
  <c r="X1089" i="2"/>
  <c r="AB1089" i="2" s="1"/>
  <c r="AT1089" i="8" s="1"/>
  <c r="X679" i="2"/>
  <c r="AB679" i="2" s="1"/>
  <c r="AT679" i="8" s="1"/>
  <c r="X751" i="2"/>
  <c r="AB751" i="2" s="1"/>
  <c r="AT751" i="8" s="1"/>
  <c r="X1053" i="2"/>
  <c r="AB1053" i="2" s="1"/>
  <c r="AT1053" i="8" s="1"/>
  <c r="X934" i="2"/>
  <c r="AB934" i="2" s="1"/>
  <c r="AT934" i="8" s="1"/>
  <c r="X933" i="2"/>
  <c r="AB933" i="2" s="1"/>
  <c r="AT933" i="8" s="1"/>
  <c r="X870" i="2"/>
  <c r="AB870" i="2" s="1"/>
  <c r="AT870" i="8" s="1"/>
  <c r="X656" i="2"/>
  <c r="AB656" i="2" s="1"/>
  <c r="AT656" i="8" s="1"/>
  <c r="X1045" i="2"/>
  <c r="AB1045" i="2" s="1"/>
  <c r="AT1045" i="8" s="1"/>
  <c r="X746" i="2"/>
  <c r="AB746" i="2" s="1"/>
  <c r="AT746" i="8" s="1"/>
  <c r="X1035" i="2"/>
  <c r="AB1035" i="2" s="1"/>
  <c r="AT1035" i="8" s="1"/>
  <c r="X743" i="2"/>
  <c r="AB743" i="2" s="1"/>
  <c r="AT743" i="8" s="1"/>
  <c r="X1107" i="2"/>
  <c r="AB1107" i="2" s="1"/>
  <c r="AT1107" i="8" s="1"/>
  <c r="X772" i="2"/>
  <c r="AB772" i="2" s="1"/>
  <c r="AT772" i="8" s="1"/>
  <c r="X1024" i="2"/>
  <c r="AB1024" i="2" s="1"/>
  <c r="AT1024" i="8" s="1"/>
  <c r="X632" i="2"/>
  <c r="AB632" i="2" s="1"/>
  <c r="AT632" i="8" s="1"/>
  <c r="X950" i="2"/>
  <c r="AB950" i="2" s="1"/>
  <c r="AT950" i="8" s="1"/>
  <c r="X627" i="2"/>
  <c r="AB627" i="2" s="1"/>
  <c r="AT627" i="8" s="1"/>
  <c r="X829" i="2"/>
  <c r="AB829" i="2" s="1"/>
  <c r="AT829" i="8" s="1"/>
  <c r="X1000" i="2"/>
  <c r="AB1000" i="2" s="1"/>
  <c r="AT1000" i="8" s="1"/>
  <c r="X863" i="2"/>
  <c r="AB863" i="2" s="1"/>
  <c r="AT863" i="8" s="1"/>
  <c r="X1081" i="2"/>
  <c r="AB1081" i="2" s="1"/>
  <c r="AT1081" i="8" s="1"/>
  <c r="X649" i="2"/>
  <c r="AB649" i="2" s="1"/>
  <c r="AT649" i="8" s="1"/>
  <c r="X832" i="2"/>
  <c r="AB832" i="2" s="1"/>
  <c r="AT832" i="8" s="1"/>
  <c r="X1099" i="2"/>
  <c r="AB1099" i="2" s="1"/>
  <c r="AT1099" i="8" s="1"/>
  <c r="X992" i="2"/>
  <c r="AB992" i="2" s="1"/>
  <c r="AT992" i="8" s="1"/>
  <c r="X958" i="2"/>
  <c r="AB958" i="2" s="1"/>
  <c r="AT958" i="8" s="1"/>
  <c r="X753" i="2"/>
  <c r="AB753" i="2" s="1"/>
  <c r="AT753" i="8" s="1"/>
  <c r="X711" i="2"/>
  <c r="AB711" i="2" s="1"/>
  <c r="AT711" i="8" s="1"/>
  <c r="X989" i="2"/>
  <c r="AB989" i="2" s="1"/>
  <c r="AT989" i="8" s="1"/>
  <c r="X705" i="2"/>
  <c r="AB705" i="2" s="1"/>
  <c r="AT705" i="8" s="1"/>
  <c r="X1069" i="2"/>
  <c r="AB1069" i="2" s="1"/>
  <c r="AT1069" i="8" s="1"/>
  <c r="X738" i="2"/>
  <c r="AB738" i="2" s="1"/>
  <c r="AT738" i="8" s="1"/>
  <c r="X983" i="2"/>
  <c r="AB983" i="2" s="1"/>
  <c r="AT983" i="8" s="1"/>
  <c r="X597" i="2"/>
  <c r="AB597" i="2" s="1"/>
  <c r="AT597" i="8" s="1"/>
  <c r="X912" i="2"/>
  <c r="AB912" i="2" s="1"/>
  <c r="AT912" i="8" s="1"/>
  <c r="X592" i="2"/>
  <c r="AB592" i="2" s="1"/>
  <c r="AT592" i="8" s="1"/>
  <c r="X795" i="2"/>
  <c r="AB795" i="2" s="1"/>
  <c r="AT795" i="8" s="1"/>
  <c r="X818" i="2"/>
  <c r="AB818" i="2" s="1"/>
  <c r="AT818" i="8" s="1"/>
  <c r="X823" i="2"/>
  <c r="AB823" i="2" s="1"/>
  <c r="AT823" i="8" s="1"/>
  <c r="X1049" i="2"/>
  <c r="AB1049" i="2" s="1"/>
  <c r="AT1049" i="8" s="1"/>
  <c r="X616" i="2"/>
  <c r="AB616" i="2" s="1"/>
  <c r="AT616" i="8" s="1"/>
  <c r="X669" i="2"/>
  <c r="AB669" i="2" s="1"/>
  <c r="AT669" i="8" s="1"/>
  <c r="X634" i="2"/>
  <c r="AB634" i="2" s="1"/>
  <c r="AT634" i="8" s="1"/>
  <c r="X730" i="2"/>
  <c r="AB730" i="2" s="1"/>
  <c r="AT730" i="8" s="1"/>
  <c r="X993" i="2"/>
  <c r="AB993" i="2" s="1"/>
  <c r="AT993" i="8" s="1"/>
  <c r="X1018" i="2"/>
  <c r="AB1018" i="2" s="1"/>
  <c r="AT1018" i="8" s="1"/>
  <c r="X963" i="2"/>
  <c r="AB963" i="2" s="1"/>
  <c r="AT963" i="8" s="1"/>
  <c r="X675" i="2"/>
  <c r="AB675" i="2" s="1"/>
  <c r="AT675" i="8" s="1"/>
  <c r="X960" i="2"/>
  <c r="AB960" i="2" s="1"/>
  <c r="AT960" i="8" s="1"/>
  <c r="X672" i="2"/>
  <c r="AB672" i="2" s="1"/>
  <c r="AT672" i="8" s="1"/>
  <c r="X1032" i="2"/>
  <c r="AB1032" i="2" s="1"/>
  <c r="AT1032" i="8" s="1"/>
  <c r="X699" i="2"/>
  <c r="AB699" i="2" s="1"/>
  <c r="AT699" i="8" s="1"/>
  <c r="X953" i="2"/>
  <c r="AB953" i="2" s="1"/>
  <c r="AT953" i="8" s="1"/>
  <c r="X1120" i="2"/>
  <c r="AB1120" i="2" s="1"/>
  <c r="AT1120" i="8" s="1"/>
  <c r="X869" i="2"/>
  <c r="AB869" i="2" s="1"/>
  <c r="AT869" i="8" s="1"/>
  <c r="X1094" i="2"/>
  <c r="AB1094" i="2" s="1"/>
  <c r="AT1094" i="8" s="1"/>
  <c r="X763" i="2"/>
  <c r="AB763" i="2" s="1"/>
  <c r="AT763" i="8" s="1"/>
  <c r="X1128" i="2"/>
  <c r="AB1128" i="2" s="1"/>
  <c r="AT1128" i="8" s="1"/>
  <c r="X792" i="2"/>
  <c r="AB792" i="2" s="1"/>
  <c r="AT792" i="8" s="1"/>
  <c r="X1002" i="2"/>
  <c r="AB1002" i="2" s="1"/>
  <c r="AT1002" i="8" s="1"/>
  <c r="X578" i="2"/>
  <c r="AB578" i="2" s="1"/>
  <c r="AT578" i="8" s="1"/>
  <c r="X371" i="2"/>
  <c r="AB371" i="2" s="1"/>
  <c r="AT371" i="8" s="1"/>
  <c r="X444" i="2"/>
  <c r="AB444" i="2" s="1"/>
  <c r="AT444" i="8" s="1"/>
  <c r="X48" i="2"/>
  <c r="AB48" i="2" s="1"/>
  <c r="AT48" i="8" s="1"/>
  <c r="X422" i="2"/>
  <c r="AB422" i="2" s="1"/>
  <c r="AT422" i="8" s="1"/>
  <c r="X295" i="2"/>
  <c r="AB295" i="2" s="1"/>
  <c r="AT295" i="8" s="1"/>
  <c r="X194" i="2"/>
  <c r="AB194" i="2" s="1"/>
  <c r="AT194" i="8" s="1"/>
  <c r="X93" i="2"/>
  <c r="AB93" i="2" s="1"/>
  <c r="AT93" i="8" s="1"/>
  <c r="X517" i="2"/>
  <c r="AB517" i="2" s="1"/>
  <c r="AT517" i="8" s="1"/>
  <c r="X415" i="2"/>
  <c r="AB415" i="2" s="1"/>
  <c r="AT415" i="8" s="1"/>
  <c r="X314" i="2"/>
  <c r="AB314" i="2" s="1"/>
  <c r="AT314" i="8" s="1"/>
  <c r="X213" i="2"/>
  <c r="AB213" i="2" s="1"/>
  <c r="AT213" i="8" s="1"/>
  <c r="X137" i="2"/>
  <c r="AB137" i="2" s="1"/>
  <c r="AT137" i="8" s="1"/>
  <c r="X86" i="2"/>
  <c r="AB86" i="2" s="1"/>
  <c r="AT86" i="8" s="1"/>
  <c r="X509" i="2"/>
  <c r="AB509" i="2" s="1"/>
  <c r="AT509" i="8" s="1"/>
  <c r="X383" i="2"/>
  <c r="AB383" i="2" s="1"/>
  <c r="AT383" i="8" s="1"/>
  <c r="X257" i="2"/>
  <c r="AB257" i="2" s="1"/>
  <c r="AT257" i="8" s="1"/>
  <c r="X130" i="2"/>
  <c r="AB130" i="2" s="1"/>
  <c r="AT130" i="8" s="1"/>
  <c r="X554" i="2"/>
  <c r="AB554" i="2" s="1"/>
  <c r="AT554" i="8" s="1"/>
  <c r="X428" i="2"/>
  <c r="AB428" i="2" s="1"/>
  <c r="AT428" i="8" s="1"/>
  <c r="X302" i="2"/>
  <c r="AB302" i="2" s="1"/>
  <c r="AT302" i="8" s="1"/>
  <c r="X125" i="2"/>
  <c r="AB125" i="2" s="1"/>
  <c r="AT125" i="8" s="1"/>
  <c r="X111" i="2"/>
  <c r="AB111" i="2" s="1"/>
  <c r="AT111" i="8" s="1"/>
  <c r="X131" i="2"/>
  <c r="AB131" i="2" s="1"/>
  <c r="AT131" i="8" s="1"/>
  <c r="X395" i="2"/>
  <c r="AB395" i="2" s="1"/>
  <c r="AT395" i="8" s="1"/>
  <c r="X47" i="2"/>
  <c r="AB47" i="2" s="1"/>
  <c r="AT47" i="8" s="1"/>
  <c r="X397" i="2"/>
  <c r="AB397" i="2" s="1"/>
  <c r="AT397" i="8" s="1"/>
  <c r="X270" i="2"/>
  <c r="AB270" i="2" s="1"/>
  <c r="AT270" i="8" s="1"/>
  <c r="X169" i="2"/>
  <c r="AB169" i="2" s="1"/>
  <c r="AT169" i="8" s="1"/>
  <c r="X68" i="2"/>
  <c r="AB68" i="2" s="1"/>
  <c r="AT68" i="8" s="1"/>
  <c r="X466" i="2"/>
  <c r="AB466" i="2" s="1"/>
  <c r="AT466" i="8" s="1"/>
  <c r="X390" i="2"/>
  <c r="AB390" i="2" s="1"/>
  <c r="AT390" i="8" s="1"/>
  <c r="X289" i="2"/>
  <c r="AB289" i="2" s="1"/>
  <c r="AT289" i="8" s="1"/>
  <c r="X188" i="2"/>
  <c r="AB188" i="2" s="1"/>
  <c r="AT188" i="8" s="1"/>
  <c r="X112" i="2"/>
  <c r="AB112" i="2" s="1"/>
  <c r="AT112" i="8" s="1"/>
  <c r="X61" i="2"/>
  <c r="AB61" i="2" s="1"/>
  <c r="AT61" i="8" s="1"/>
  <c r="X484" i="2"/>
  <c r="AB484" i="2" s="1"/>
  <c r="AT484" i="8" s="1"/>
  <c r="X358" i="2"/>
  <c r="AB358" i="2" s="1"/>
  <c r="AT358" i="8" s="1"/>
  <c r="X232" i="2"/>
  <c r="AB232" i="2" s="1"/>
  <c r="AT232" i="8" s="1"/>
  <c r="X105" i="2"/>
  <c r="AB105" i="2" s="1"/>
  <c r="AT105" i="8" s="1"/>
  <c r="X529" i="2"/>
  <c r="AB529" i="2" s="1"/>
  <c r="AT529" i="8" s="1"/>
  <c r="X403" i="2"/>
  <c r="AB403" i="2" s="1"/>
  <c r="AT403" i="8" s="1"/>
  <c r="X277" i="2"/>
  <c r="AB277" i="2" s="1"/>
  <c r="AT277" i="8" s="1"/>
  <c r="X100" i="2"/>
  <c r="AB100" i="2" s="1"/>
  <c r="AT100" i="8" s="1"/>
  <c r="X118" i="2"/>
  <c r="AB118" i="2" s="1"/>
  <c r="AT118" i="8" s="1"/>
  <c r="X300" i="2"/>
  <c r="AB300" i="2" s="1"/>
  <c r="AT300" i="8" s="1"/>
  <c r="X83" i="2"/>
  <c r="AB83" i="2" s="1"/>
  <c r="AT83" i="8" s="1"/>
  <c r="X227" i="2"/>
  <c r="AB227" i="2" s="1"/>
  <c r="AT227" i="8" s="1"/>
  <c r="X322" i="2"/>
  <c r="AB322" i="2" s="1"/>
  <c r="AT322" i="8" s="1"/>
  <c r="X346" i="2"/>
  <c r="AB346" i="2" s="1"/>
  <c r="AT346" i="8" s="1"/>
  <c r="X245" i="2"/>
  <c r="AB245" i="2" s="1"/>
  <c r="AT245" i="8" s="1"/>
  <c r="X144" i="2"/>
  <c r="AB144" i="2" s="1"/>
  <c r="AT144" i="8" s="1"/>
  <c r="X43" i="2"/>
  <c r="AB43" i="2" s="1"/>
  <c r="AT43" i="8" s="1"/>
  <c r="X441" i="2"/>
  <c r="AB441" i="2" s="1"/>
  <c r="AT441" i="8" s="1"/>
  <c r="X365" i="2"/>
  <c r="AB365" i="2" s="1"/>
  <c r="AT365" i="8" s="1"/>
  <c r="X264" i="2"/>
  <c r="AB264" i="2" s="1"/>
  <c r="AT264" i="8" s="1"/>
  <c r="X163" i="2"/>
  <c r="AB163" i="2" s="1"/>
  <c r="AT163" i="8" s="1"/>
  <c r="X87" i="2"/>
  <c r="AB87" i="2" s="1"/>
  <c r="AT87" i="8" s="1"/>
  <c r="X560" i="2"/>
  <c r="AB560" i="2" s="1"/>
  <c r="AT560" i="8" s="1"/>
  <c r="X459" i="2"/>
  <c r="AB459" i="2" s="1"/>
  <c r="AT459" i="8" s="1"/>
  <c r="X333" i="2"/>
  <c r="AB333" i="2" s="1"/>
  <c r="AT333" i="8" s="1"/>
  <c r="X207" i="2"/>
  <c r="AB207" i="2" s="1"/>
  <c r="AT207" i="8" s="1"/>
  <c r="X80" i="2"/>
  <c r="AB80" i="2" s="1"/>
  <c r="AT80" i="8" s="1"/>
  <c r="X504" i="2"/>
  <c r="AB504" i="2" s="1"/>
  <c r="AT504" i="8" s="1"/>
  <c r="X378" i="2"/>
  <c r="AB378" i="2" s="1"/>
  <c r="AT378" i="8" s="1"/>
  <c r="X201" i="2"/>
  <c r="AB201" i="2" s="1"/>
  <c r="AT201" i="8" s="1"/>
  <c r="X75" i="2"/>
  <c r="AB75" i="2" s="1"/>
  <c r="AT75" i="8" s="1"/>
  <c r="X219" i="2"/>
  <c r="AB219" i="2" s="1"/>
  <c r="AT219" i="8" s="1"/>
  <c r="X323" i="2"/>
  <c r="AB323" i="2" s="1"/>
  <c r="AT323" i="8" s="1"/>
  <c r="X298" i="2"/>
  <c r="AB298" i="2" s="1"/>
  <c r="AT298" i="8" s="1"/>
  <c r="X321" i="2"/>
  <c r="AB321" i="2" s="1"/>
  <c r="AT321" i="8" s="1"/>
  <c r="X220" i="2"/>
  <c r="AB220" i="2" s="1"/>
  <c r="AT220" i="8" s="1"/>
  <c r="X119" i="2"/>
  <c r="AB119" i="2" s="1"/>
  <c r="AT119" i="8" s="1"/>
  <c r="X543" i="2"/>
  <c r="AB543" i="2" s="1"/>
  <c r="AT543" i="8" s="1"/>
  <c r="X416" i="2"/>
  <c r="AB416" i="2" s="1"/>
  <c r="AT416" i="8" s="1"/>
  <c r="X340" i="2"/>
  <c r="AB340" i="2" s="1"/>
  <c r="AT340" i="8" s="1"/>
  <c r="X239" i="2"/>
  <c r="AB239" i="2" s="1"/>
  <c r="AT239" i="8" s="1"/>
  <c r="X138" i="2"/>
  <c r="AB138" i="2" s="1"/>
  <c r="AT138" i="8" s="1"/>
  <c r="X62" i="2"/>
  <c r="AB62" i="2" s="1"/>
  <c r="AT62" i="8" s="1"/>
  <c r="X535" i="2"/>
  <c r="AB535" i="2" s="1"/>
  <c r="AT535" i="8" s="1"/>
  <c r="X434" i="2"/>
  <c r="AB434" i="2" s="1"/>
  <c r="AT434" i="8" s="1"/>
  <c r="X308" i="2"/>
  <c r="AB308" i="2" s="1"/>
  <c r="AT308" i="8" s="1"/>
  <c r="X182" i="2"/>
  <c r="AB182" i="2" s="1"/>
  <c r="AT182" i="8" s="1"/>
  <c r="X55" i="2"/>
  <c r="AB55" i="2" s="1"/>
  <c r="AT55" i="8" s="1"/>
  <c r="X479" i="2"/>
  <c r="AB479" i="2" s="1"/>
  <c r="AT479" i="8" s="1"/>
  <c r="X353" i="2"/>
  <c r="AB353" i="2" s="1"/>
  <c r="AT353" i="8" s="1"/>
  <c r="X176" i="2"/>
  <c r="AB176" i="2" s="1"/>
  <c r="AT176" i="8" s="1"/>
  <c r="X50" i="2"/>
  <c r="AB50" i="2" s="1"/>
  <c r="AT50" i="8" s="1"/>
  <c r="X282" i="2"/>
  <c r="AB282" i="2" s="1"/>
  <c r="AT282" i="8" s="1"/>
  <c r="X468" i="2"/>
  <c r="AB468" i="2" s="1"/>
  <c r="AT468" i="8" s="1"/>
  <c r="X297" i="2"/>
  <c r="AB297" i="2" s="1"/>
  <c r="AT297" i="8" s="1"/>
  <c r="X296" i="2"/>
  <c r="AB296" i="2" s="1"/>
  <c r="AT296" i="8" s="1"/>
  <c r="X195" i="2"/>
  <c r="AB195" i="2" s="1"/>
  <c r="AT195" i="8" s="1"/>
  <c r="X94" i="2"/>
  <c r="AB94" i="2" s="1"/>
  <c r="AT94" i="8" s="1"/>
  <c r="X518" i="2"/>
  <c r="AB518" i="2" s="1"/>
  <c r="AT518" i="8" s="1"/>
  <c r="X391" i="2"/>
  <c r="AB391" i="2" s="1"/>
  <c r="AT391" i="8" s="1"/>
  <c r="X315" i="2"/>
  <c r="AB315" i="2" s="1"/>
  <c r="AT315" i="8" s="1"/>
  <c r="X214" i="2"/>
  <c r="AB214" i="2" s="1"/>
  <c r="AT214" i="8" s="1"/>
  <c r="X37" i="2"/>
  <c r="AB37" i="2" s="1"/>
  <c r="AT37" i="8" s="1"/>
  <c r="X510" i="2"/>
  <c r="AB510" i="2" s="1"/>
  <c r="AT510" i="8" s="1"/>
  <c r="X409" i="2"/>
  <c r="AB409" i="2" s="1"/>
  <c r="AT409" i="8" s="1"/>
  <c r="X283" i="2"/>
  <c r="AB283" i="2" s="1"/>
  <c r="AT283" i="8" s="1"/>
  <c r="X157" i="2"/>
  <c r="AB157" i="2" s="1"/>
  <c r="AT157" i="8" s="1"/>
  <c r="X555" i="2"/>
  <c r="AB555" i="2" s="1"/>
  <c r="AT555" i="8" s="1"/>
  <c r="X454" i="2"/>
  <c r="AB454" i="2" s="1"/>
  <c r="AT454" i="8" s="1"/>
  <c r="X328" i="2"/>
  <c r="AB328" i="2" s="1"/>
  <c r="AT328" i="8" s="1"/>
  <c r="X151" i="2"/>
  <c r="AB151" i="2" s="1"/>
  <c r="AT151" i="8" s="1"/>
  <c r="X550" i="2"/>
  <c r="AB550" i="2" s="1"/>
  <c r="AT550" i="8" s="1"/>
  <c r="X453" i="2"/>
  <c r="AB453" i="2" s="1"/>
  <c r="AT453" i="8" s="1"/>
  <c r="X60" i="2"/>
  <c r="AB60" i="2" s="1"/>
  <c r="AT60" i="8" s="1"/>
  <c r="X250" i="2"/>
  <c r="AB250" i="2" s="1"/>
  <c r="AT250" i="8" s="1"/>
  <c r="X473" i="2"/>
  <c r="AB473" i="2" s="1"/>
  <c r="AT473" i="8" s="1"/>
  <c r="X273" i="2"/>
  <c r="AB273" i="2" s="1"/>
  <c r="AT273" i="8" s="1"/>
  <c r="X271" i="2"/>
  <c r="AB271" i="2" s="1"/>
  <c r="AT271" i="8" s="1"/>
  <c r="X170" i="2"/>
  <c r="AB170" i="2" s="1"/>
  <c r="AT170" i="8" s="1"/>
  <c r="X69" i="2"/>
  <c r="AB69" i="2" s="1"/>
  <c r="AT69" i="8" s="1"/>
  <c r="X493" i="2"/>
  <c r="AB493" i="2" s="1"/>
  <c r="AT493" i="8" s="1"/>
  <c r="X366" i="2"/>
  <c r="AB366" i="2" s="1"/>
  <c r="AT366" i="8" s="1"/>
  <c r="X290" i="2"/>
  <c r="AB290" i="2" s="1"/>
  <c r="AT290" i="8" s="1"/>
  <c r="X189" i="2"/>
  <c r="AB189" i="2" s="1"/>
  <c r="AT189" i="8" s="1"/>
  <c r="X88" i="2"/>
  <c r="AB88" i="2" s="1"/>
  <c r="AT88" i="8" s="1"/>
  <c r="X561" i="2"/>
  <c r="AB561" i="2" s="1"/>
  <c r="AT561" i="8" s="1"/>
  <c r="X485" i="2"/>
  <c r="AB485" i="2" s="1"/>
  <c r="AT485" i="8" s="1"/>
  <c r="X384" i="2"/>
  <c r="AB384" i="2" s="1"/>
  <c r="AT384" i="8" s="1"/>
  <c r="X258" i="2"/>
  <c r="AB258" i="2" s="1"/>
  <c r="AT258" i="8" s="1"/>
  <c r="X106" i="2"/>
  <c r="AB106" i="2" s="1"/>
  <c r="AT106" i="8" s="1"/>
  <c r="X530" i="2"/>
  <c r="AB530" i="2" s="1"/>
  <c r="AT530" i="8" s="1"/>
  <c r="X429" i="2"/>
  <c r="AB429" i="2" s="1"/>
  <c r="AT429" i="8" s="1"/>
  <c r="X303" i="2"/>
  <c r="AB303" i="2" s="1"/>
  <c r="AT303" i="8" s="1"/>
  <c r="X126" i="2"/>
  <c r="AB126" i="2" s="1"/>
  <c r="AT126" i="8" s="1"/>
  <c r="X525" i="2"/>
  <c r="AB525" i="2" s="1"/>
  <c r="AT525" i="8" s="1"/>
  <c r="X320" i="2"/>
  <c r="AB320" i="2" s="1"/>
  <c r="AT320" i="8" s="1"/>
  <c r="X132" i="2"/>
  <c r="AB132" i="2" s="1"/>
  <c r="AT132" i="8" s="1"/>
  <c r="X228" i="2"/>
  <c r="AB228" i="2" s="1"/>
  <c r="AT228" i="8" s="1"/>
  <c r="X180" i="2"/>
  <c r="AB180" i="2" s="1"/>
  <c r="AT180" i="8" s="1"/>
  <c r="X173" i="2"/>
  <c r="AB173" i="2" s="1"/>
  <c r="AT173" i="8" s="1"/>
  <c r="X272" i="2"/>
  <c r="AB272" i="2" s="1"/>
  <c r="AT272" i="8" s="1"/>
  <c r="X246" i="2"/>
  <c r="AB246" i="2" s="1"/>
  <c r="AT246" i="8" s="1"/>
  <c r="X145" i="2"/>
  <c r="AB145" i="2" s="1"/>
  <c r="AT145" i="8" s="1"/>
  <c r="X44" i="2"/>
  <c r="AB44" i="2" s="1"/>
  <c r="AT44" i="8" s="1"/>
  <c r="X442" i="2"/>
  <c r="AB442" i="2" s="1"/>
  <c r="AT442" i="8" s="1"/>
  <c r="X341" i="2"/>
  <c r="AB341" i="2" s="1"/>
  <c r="AT341" i="8" s="1"/>
  <c r="X265" i="2"/>
  <c r="AB265" i="2" s="1"/>
  <c r="AT265" i="8" s="1"/>
  <c r="X164" i="2"/>
  <c r="AB164" i="2" s="1"/>
  <c r="AT164" i="8" s="1"/>
  <c r="X63" i="2"/>
  <c r="AB63" i="2" s="1"/>
  <c r="AT63" i="8" s="1"/>
  <c r="X536" i="2"/>
  <c r="AB536" i="2" s="1"/>
  <c r="AT536" i="8" s="1"/>
  <c r="X460" i="2"/>
  <c r="AB460" i="2" s="1"/>
  <c r="AT460" i="8" s="1"/>
  <c r="X359" i="2"/>
  <c r="AB359" i="2" s="1"/>
  <c r="AT359" i="8" s="1"/>
  <c r="X233" i="2"/>
  <c r="AB233" i="2" s="1"/>
  <c r="AT233" i="8" s="1"/>
  <c r="X81" i="2"/>
  <c r="AB81" i="2" s="1"/>
  <c r="AT81" i="8" s="1"/>
  <c r="X505" i="2"/>
  <c r="AB505" i="2" s="1"/>
  <c r="AT505" i="8" s="1"/>
  <c r="X404" i="2"/>
  <c r="AB404" i="2" s="1"/>
  <c r="AT404" i="8" s="1"/>
  <c r="X278" i="2"/>
  <c r="AB278" i="2" s="1"/>
  <c r="AT278" i="8" s="1"/>
  <c r="X101" i="2"/>
  <c r="AB101" i="2" s="1"/>
  <c r="AT101" i="8" s="1"/>
  <c r="X500" i="2"/>
  <c r="AB500" i="2" s="1"/>
  <c r="AT500" i="8" s="1"/>
  <c r="X534" i="2"/>
  <c r="AB534" i="2" s="1"/>
  <c r="AT534" i="8" s="1"/>
  <c r="X226" i="2"/>
  <c r="AB226" i="2" s="1"/>
  <c r="AT226" i="8" s="1"/>
  <c r="X396" i="2"/>
  <c r="AB396" i="2" s="1"/>
  <c r="AT396" i="8" s="1"/>
  <c r="X274" i="2"/>
  <c r="AB274" i="2" s="1"/>
  <c r="AT274" i="8" s="1"/>
  <c r="X172" i="2"/>
  <c r="AB172" i="2" s="1"/>
  <c r="AT172" i="8" s="1"/>
  <c r="X549" i="2"/>
  <c r="AB549" i="2" s="1"/>
  <c r="AT549" i="8" s="1"/>
  <c r="X221" i="2"/>
  <c r="AB221" i="2" s="1"/>
  <c r="AT221" i="8" s="1"/>
  <c r="X120" i="2"/>
  <c r="AB120" i="2" s="1"/>
  <c r="AT120" i="8" s="1"/>
  <c r="X544" i="2"/>
  <c r="AB544" i="2" s="1"/>
  <c r="AT544" i="8" s="1"/>
  <c r="X417" i="2"/>
  <c r="AB417" i="2" s="1"/>
  <c r="AT417" i="8" s="1"/>
  <c r="X316" i="2"/>
  <c r="AB316" i="2" s="1"/>
  <c r="AT316" i="8" s="1"/>
  <c r="X240" i="2"/>
  <c r="AB240" i="2" s="1"/>
  <c r="AT240" i="8" s="1"/>
  <c r="X139" i="2"/>
  <c r="AB139" i="2" s="1"/>
  <c r="AT139" i="8" s="1"/>
  <c r="X38" i="2"/>
  <c r="AB38" i="2" s="1"/>
  <c r="AT38" i="8" s="1"/>
  <c r="X511" i="2"/>
  <c r="AB511" i="2" s="1"/>
  <c r="AT511" i="8" s="1"/>
  <c r="X435" i="2"/>
  <c r="AB435" i="2" s="1"/>
  <c r="AT435" i="8" s="1"/>
  <c r="X334" i="2"/>
  <c r="AB334" i="2" s="1"/>
  <c r="AT334" i="8" s="1"/>
  <c r="X208" i="2"/>
  <c r="AB208" i="2" s="1"/>
  <c r="AT208" i="8" s="1"/>
  <c r="X56" i="2"/>
  <c r="AB56" i="2" s="1"/>
  <c r="AT56" i="8" s="1"/>
  <c r="X480" i="2"/>
  <c r="AB480" i="2" s="1"/>
  <c r="AT480" i="8" s="1"/>
  <c r="X379" i="2"/>
  <c r="AB379" i="2" s="1"/>
  <c r="AT379" i="8" s="1"/>
  <c r="X253" i="2"/>
  <c r="AB253" i="2" s="1"/>
  <c r="AT253" i="8" s="1"/>
  <c r="X76" i="2"/>
  <c r="AB76" i="2" s="1"/>
  <c r="AT76" i="8" s="1"/>
  <c r="X475" i="2"/>
  <c r="AB475" i="2" s="1"/>
  <c r="AT475" i="8" s="1"/>
  <c r="X150" i="2"/>
  <c r="AB150" i="2" s="1"/>
  <c r="AT150" i="8" s="1"/>
  <c r="X474" i="2"/>
  <c r="AB474" i="2" s="1"/>
  <c r="AT474" i="8" s="1"/>
  <c r="X419" i="2"/>
  <c r="AB419" i="2" s="1"/>
  <c r="AT419" i="8" s="1"/>
  <c r="X299" i="2"/>
  <c r="AB299" i="2" s="1"/>
  <c r="AT299" i="8" s="1"/>
  <c r="X449" i="2"/>
  <c r="AB449" i="2" s="1"/>
  <c r="AT449" i="8" s="1"/>
  <c r="X248" i="2"/>
  <c r="AB248" i="2" s="1"/>
  <c r="AT248" i="8" s="1"/>
  <c r="X196" i="2"/>
  <c r="AB196" i="2" s="1"/>
  <c r="AT196" i="8" s="1"/>
  <c r="X95" i="2"/>
  <c r="AB95" i="2" s="1"/>
  <c r="AT95" i="8" s="1"/>
  <c r="X519" i="2"/>
  <c r="AB519" i="2" s="1"/>
  <c r="AT519" i="8" s="1"/>
  <c r="X392" i="2"/>
  <c r="AB392" i="2" s="1"/>
  <c r="AT392" i="8" s="1"/>
  <c r="X291" i="2"/>
  <c r="AB291" i="2" s="1"/>
  <c r="AT291" i="8" s="1"/>
  <c r="X215" i="2"/>
  <c r="AB215" i="2" s="1"/>
  <c r="AT215" i="8" s="1"/>
  <c r="X114" i="2"/>
  <c r="AB114" i="2" s="1"/>
  <c r="AT114" i="8" s="1"/>
  <c r="X537" i="2"/>
  <c r="AB537" i="2" s="1"/>
  <c r="AT537" i="8" s="1"/>
  <c r="X486" i="2"/>
  <c r="AB486" i="2" s="1"/>
  <c r="AT486" i="8" s="1"/>
  <c r="X410" i="2"/>
  <c r="AB410" i="2" s="1"/>
  <c r="AT410" i="8" s="1"/>
  <c r="X309" i="2"/>
  <c r="AB309" i="2" s="1"/>
  <c r="AT309" i="8" s="1"/>
  <c r="X183" i="2"/>
  <c r="AB183" i="2" s="1"/>
  <c r="AT183" i="8" s="1"/>
  <c r="X556" i="2"/>
  <c r="AB556" i="2" s="1"/>
  <c r="AT556" i="8" s="1"/>
  <c r="X455" i="2"/>
  <c r="AB455" i="2" s="1"/>
  <c r="AT455" i="8" s="1"/>
  <c r="X354" i="2"/>
  <c r="AB354" i="2" s="1"/>
  <c r="AT354" i="8" s="1"/>
  <c r="X177" i="2"/>
  <c r="AB177" i="2" s="1"/>
  <c r="AT177" i="8" s="1"/>
  <c r="X51" i="2"/>
  <c r="AB51" i="2" s="1"/>
  <c r="AT51" i="8" s="1"/>
  <c r="X450" i="2"/>
  <c r="AB450" i="2" s="1"/>
  <c r="AT450" i="8" s="1"/>
  <c r="X327" i="2"/>
  <c r="AB327" i="2" s="1"/>
  <c r="AT327" i="8" s="1"/>
  <c r="X179" i="2"/>
  <c r="AB179" i="2" s="1"/>
  <c r="AT179" i="8" s="1"/>
  <c r="X203" i="2"/>
  <c r="AB203" i="2" s="1"/>
  <c r="AT203" i="8" s="1"/>
  <c r="X148" i="2"/>
  <c r="AB148" i="2" s="1"/>
  <c r="AT148" i="8" s="1"/>
  <c r="X548" i="2"/>
  <c r="AB548" i="2" s="1"/>
  <c r="AT548" i="8" s="1"/>
  <c r="X171" i="2"/>
  <c r="AB171" i="2" s="1"/>
  <c r="AT171" i="8" s="1"/>
  <c r="X70" i="2"/>
  <c r="AB70" i="2" s="1"/>
  <c r="AT70" i="8" s="1"/>
  <c r="X494" i="2"/>
  <c r="AB494" i="2" s="1"/>
  <c r="AT494" i="8" s="1"/>
  <c r="X367" i="2"/>
  <c r="AB367" i="2" s="1"/>
  <c r="AT367" i="8" s="1"/>
  <c r="X266" i="2"/>
  <c r="AB266" i="2" s="1"/>
  <c r="AT266" i="8" s="1"/>
  <c r="X190" i="2"/>
  <c r="AB190" i="2" s="1"/>
  <c r="AT190" i="8" s="1"/>
  <c r="X512" i="2"/>
  <c r="AB512" i="2" s="1"/>
  <c r="AT512" i="8" s="1"/>
  <c r="X461" i="2"/>
  <c r="AB461" i="2" s="1"/>
  <c r="AT461" i="8" s="1"/>
  <c r="X385" i="2"/>
  <c r="AB385" i="2" s="1"/>
  <c r="AT385" i="8" s="1"/>
  <c r="X284" i="2"/>
  <c r="AB284" i="2" s="1"/>
  <c r="AT284" i="8" s="1"/>
  <c r="X158" i="2"/>
  <c r="AB158" i="2" s="1"/>
  <c r="AT158" i="8" s="1"/>
  <c r="X531" i="2"/>
  <c r="AB531" i="2" s="1"/>
  <c r="AT531" i="8" s="1"/>
  <c r="X430" i="2"/>
  <c r="AB430" i="2" s="1"/>
  <c r="AT430" i="8" s="1"/>
  <c r="X329" i="2"/>
  <c r="AB329" i="2" s="1"/>
  <c r="AT329" i="8" s="1"/>
  <c r="X152" i="2"/>
  <c r="AB152" i="2" s="1"/>
  <c r="AT152" i="8" s="1"/>
  <c r="X551" i="2"/>
  <c r="AB551" i="2" s="1"/>
  <c r="AT551" i="8" s="1"/>
  <c r="X425" i="2"/>
  <c r="AB425" i="2" s="1"/>
  <c r="AT425" i="8" s="1"/>
  <c r="X59" i="2"/>
  <c r="AB59" i="2" s="1"/>
  <c r="AT59" i="8" s="1"/>
  <c r="X247" i="2"/>
  <c r="AB247" i="2" s="1"/>
  <c r="AT247" i="8" s="1"/>
  <c r="X146" i="2"/>
  <c r="AB146" i="2" s="1"/>
  <c r="AT146" i="8" s="1"/>
  <c r="X45" i="2"/>
  <c r="AB45" i="2" s="1"/>
  <c r="AT45" i="8" s="1"/>
  <c r="X469" i="2"/>
  <c r="AB469" i="2" s="1"/>
  <c r="AT469" i="8" s="1"/>
  <c r="X342" i="2"/>
  <c r="AB342" i="2" s="1"/>
  <c r="AT342" i="8" s="1"/>
  <c r="X241" i="2"/>
  <c r="AB241" i="2" s="1"/>
  <c r="AT241" i="8" s="1"/>
  <c r="X165" i="2"/>
  <c r="AB165" i="2" s="1"/>
  <c r="AT165" i="8" s="1"/>
  <c r="X64" i="2"/>
  <c r="AB64" i="2" s="1"/>
  <c r="AT64" i="8" s="1"/>
  <c r="X487" i="2"/>
  <c r="AB487" i="2" s="1"/>
  <c r="AT487" i="8" s="1"/>
  <c r="X436" i="2"/>
  <c r="AB436" i="2" s="1"/>
  <c r="AT436" i="8" s="1"/>
  <c r="X360" i="2"/>
  <c r="AB360" i="2" s="1"/>
  <c r="AT360" i="8" s="1"/>
  <c r="X259" i="2"/>
  <c r="AB259" i="2" s="1"/>
  <c r="AT259" i="8" s="1"/>
  <c r="X133" i="2"/>
  <c r="AB133" i="2" s="1"/>
  <c r="AT133" i="8" s="1"/>
  <c r="X506" i="2"/>
  <c r="AB506" i="2" s="1"/>
  <c r="AT506" i="8" s="1"/>
  <c r="X405" i="2"/>
  <c r="AB405" i="2" s="1"/>
  <c r="AT405" i="8" s="1"/>
  <c r="X304" i="2"/>
  <c r="AB304" i="2" s="1"/>
  <c r="AT304" i="8" s="1"/>
  <c r="X127" i="2"/>
  <c r="AB127" i="2" s="1"/>
  <c r="AT127" i="8" s="1"/>
  <c r="X526" i="2"/>
  <c r="AB526" i="2" s="1"/>
  <c r="AT526" i="8" s="1"/>
  <c r="X400" i="2"/>
  <c r="AB400" i="2" s="1"/>
  <c r="AT400" i="8" s="1"/>
  <c r="X339" i="2"/>
  <c r="AB339" i="2" s="1"/>
  <c r="AT339" i="8" s="1"/>
  <c r="X564" i="2"/>
  <c r="AB564" i="2" s="1"/>
  <c r="AT564" i="8" s="1"/>
  <c r="X147" i="2"/>
  <c r="AB147" i="2" s="1"/>
  <c r="AT147" i="8" s="1"/>
  <c r="X524" i="2"/>
  <c r="AB524" i="2" s="1"/>
  <c r="AT524" i="8" s="1"/>
  <c r="X121" i="2"/>
  <c r="AB121" i="2" s="1"/>
  <c r="AT121" i="8" s="1"/>
  <c r="X545" i="2"/>
  <c r="AB545" i="2" s="1"/>
  <c r="AT545" i="8" s="1"/>
  <c r="X418" i="2"/>
  <c r="AB418" i="2" s="1"/>
  <c r="AT418" i="8" s="1"/>
  <c r="X317" i="2"/>
  <c r="AB317" i="2" s="1"/>
  <c r="AT317" i="8" s="1"/>
  <c r="X216" i="2"/>
  <c r="AB216" i="2" s="1"/>
  <c r="AT216" i="8" s="1"/>
  <c r="X140" i="2"/>
  <c r="AB140" i="2" s="1"/>
  <c r="AT140" i="8" s="1"/>
  <c r="X39" i="2"/>
  <c r="AB39" i="2" s="1"/>
  <c r="AT39" i="8" s="1"/>
  <c r="X462" i="2"/>
  <c r="AB462" i="2" s="1"/>
  <c r="AT462" i="8" s="1"/>
  <c r="X411" i="2"/>
  <c r="AB411" i="2" s="1"/>
  <c r="AT411" i="8" s="1"/>
  <c r="X335" i="2"/>
  <c r="AB335" i="2" s="1"/>
  <c r="AT335" i="8" s="1"/>
  <c r="X234" i="2"/>
  <c r="AB234" i="2" s="1"/>
  <c r="AT234" i="8" s="1"/>
  <c r="X57" i="2"/>
  <c r="AB57" i="2" s="1"/>
  <c r="AT57" i="8" s="1"/>
  <c r="X481" i="2"/>
  <c r="AB481" i="2" s="1"/>
  <c r="AT481" i="8" s="1"/>
  <c r="X380" i="2"/>
  <c r="AB380" i="2" s="1"/>
  <c r="AT380" i="8" s="1"/>
  <c r="X279" i="2"/>
  <c r="AB279" i="2" s="1"/>
  <c r="AT279" i="8" s="1"/>
  <c r="X102" i="2"/>
  <c r="AB102" i="2" s="1"/>
  <c r="AT102" i="8" s="1"/>
  <c r="X501" i="2"/>
  <c r="AB501" i="2" s="1"/>
  <c r="AT501" i="8" s="1"/>
  <c r="X375" i="2"/>
  <c r="AB375" i="2" s="1"/>
  <c r="AT375" i="8" s="1"/>
  <c r="X238" i="2"/>
  <c r="AB238" i="2" s="1"/>
  <c r="AT238" i="8" s="1"/>
  <c r="X156" i="2"/>
  <c r="AB156" i="2" s="1"/>
  <c r="AT156" i="8" s="1"/>
  <c r="X443" i="2"/>
  <c r="AB443" i="2" s="1"/>
  <c r="AT443" i="8" s="1"/>
  <c r="X424" i="2"/>
  <c r="AB424" i="2" s="1"/>
  <c r="AT424" i="8" s="1"/>
  <c r="X223" i="2"/>
  <c r="AB223" i="2" s="1"/>
  <c r="AT223" i="8" s="1"/>
  <c r="X96" i="2"/>
  <c r="AB96" i="2" s="1"/>
  <c r="AT96" i="8" s="1"/>
  <c r="X520" i="2"/>
  <c r="AB520" i="2" s="1"/>
  <c r="AT520" i="8" s="1"/>
  <c r="X393" i="2"/>
  <c r="AB393" i="2" s="1"/>
  <c r="AT393" i="8" s="1"/>
  <c r="X292" i="2"/>
  <c r="AB292" i="2" s="1"/>
  <c r="AT292" i="8" s="1"/>
  <c r="X191" i="2"/>
  <c r="AB191" i="2" s="1"/>
  <c r="AT191" i="8" s="1"/>
  <c r="X115" i="2"/>
  <c r="AB115" i="2" s="1"/>
  <c r="AT115" i="8" s="1"/>
  <c r="X513" i="2"/>
  <c r="AB513" i="2" s="1"/>
  <c r="AT513" i="8" s="1"/>
  <c r="X437" i="2"/>
  <c r="AB437" i="2" s="1"/>
  <c r="AT437" i="8" s="1"/>
  <c r="X386" i="2"/>
  <c r="AB386" i="2" s="1"/>
  <c r="AT386" i="8" s="1"/>
  <c r="X310" i="2"/>
  <c r="AB310" i="2" s="1"/>
  <c r="AT310" i="8" s="1"/>
  <c r="X209" i="2"/>
  <c r="AB209" i="2" s="1"/>
  <c r="AT209" i="8" s="1"/>
  <c r="X557" i="2"/>
  <c r="AB557" i="2" s="1"/>
  <c r="AT557" i="8" s="1"/>
  <c r="X456" i="2"/>
  <c r="AB456" i="2" s="1"/>
  <c r="AT456" i="8" s="1"/>
  <c r="X355" i="2"/>
  <c r="AB355" i="2" s="1"/>
  <c r="AT355" i="8" s="1"/>
  <c r="X254" i="2"/>
  <c r="AB254" i="2" s="1"/>
  <c r="AT254" i="8" s="1"/>
  <c r="X77" i="2"/>
  <c r="AB77" i="2" s="1"/>
  <c r="AT77" i="8" s="1"/>
  <c r="X476" i="2"/>
  <c r="AB476" i="2" s="1"/>
  <c r="AT476" i="8" s="1"/>
  <c r="X350" i="2"/>
  <c r="AB350" i="2" s="1"/>
  <c r="AT350" i="8" s="1"/>
  <c r="X162" i="2"/>
  <c r="AB162" i="2" s="1"/>
  <c r="AT162" i="8" s="1"/>
  <c r="X123" i="2"/>
  <c r="AB123" i="2" s="1"/>
  <c r="AT123" i="8" s="1"/>
  <c r="X523" i="2"/>
  <c r="AB523" i="2" s="1"/>
  <c r="AT523" i="8" s="1"/>
  <c r="X71" i="2"/>
  <c r="AB71" i="2" s="1"/>
  <c r="AT71" i="8" s="1"/>
  <c r="X495" i="2"/>
  <c r="AB495" i="2" s="1"/>
  <c r="AT495" i="8" s="1"/>
  <c r="X368" i="2"/>
  <c r="AB368" i="2" s="1"/>
  <c r="AT368" i="8" s="1"/>
  <c r="X267" i="2"/>
  <c r="AB267" i="2" s="1"/>
  <c r="AT267" i="8" s="1"/>
  <c r="X166" i="2"/>
  <c r="AB166" i="2" s="1"/>
  <c r="AT166" i="8" s="1"/>
  <c r="X90" i="2"/>
  <c r="AB90" i="2" s="1"/>
  <c r="AT90" i="8" s="1"/>
  <c r="X488" i="2"/>
  <c r="AB488" i="2" s="1"/>
  <c r="AT488" i="8" s="1"/>
  <c r="X412" i="2"/>
  <c r="AB412" i="2" s="1"/>
  <c r="AT412" i="8" s="1"/>
  <c r="X361" i="2"/>
  <c r="AB361" i="2" s="1"/>
  <c r="AT361" i="8" s="1"/>
  <c r="X285" i="2"/>
  <c r="AB285" i="2" s="1"/>
  <c r="AT285" i="8" s="1"/>
  <c r="X184" i="2"/>
  <c r="AB184" i="2" s="1"/>
  <c r="AT184" i="8" s="1"/>
  <c r="X532" i="2"/>
  <c r="AB532" i="2" s="1"/>
  <c r="AT532" i="8" s="1"/>
  <c r="X431" i="2"/>
  <c r="AB431" i="2" s="1"/>
  <c r="AT431" i="8" s="1"/>
  <c r="X330" i="2"/>
  <c r="AB330" i="2" s="1"/>
  <c r="AT330" i="8" s="1"/>
  <c r="X229" i="2"/>
  <c r="AB229" i="2" s="1"/>
  <c r="AT229" i="8" s="1"/>
  <c r="X52" i="2"/>
  <c r="AB52" i="2" s="1"/>
  <c r="AT52" i="8" s="1"/>
  <c r="X451" i="2"/>
  <c r="AB451" i="2" s="1"/>
  <c r="AT451" i="8" s="1"/>
  <c r="X325" i="2"/>
  <c r="AB325" i="2" s="1"/>
  <c r="AT325" i="8" s="1"/>
  <c r="X54" i="2"/>
  <c r="AB54" i="2" s="1"/>
  <c r="AT54" i="8" s="1"/>
  <c r="X222" i="2"/>
  <c r="AB222" i="2" s="1"/>
  <c r="AT222" i="8" s="1"/>
  <c r="X46" i="2"/>
  <c r="AB46" i="2" s="1"/>
  <c r="AT46" i="8" s="1"/>
  <c r="X470" i="2"/>
  <c r="AB470" i="2" s="1"/>
  <c r="AT470" i="8" s="1"/>
  <c r="X343" i="2"/>
  <c r="AB343" i="2" s="1"/>
  <c r="AT343" i="8" s="1"/>
  <c r="X242" i="2"/>
  <c r="AB242" i="2" s="1"/>
  <c r="AT242" i="8" s="1"/>
  <c r="X141" i="2"/>
  <c r="AB141" i="2" s="1"/>
  <c r="AT141" i="8" s="1"/>
  <c r="X65" i="2"/>
  <c r="AB65" i="2" s="1"/>
  <c r="AT65" i="8" s="1"/>
  <c r="X463" i="2"/>
  <c r="AB463" i="2" s="1"/>
  <c r="AT463" i="8" s="1"/>
  <c r="X387" i="2"/>
  <c r="AB387" i="2" s="1"/>
  <c r="AT387" i="8" s="1"/>
  <c r="X336" i="2"/>
  <c r="AB336" i="2" s="1"/>
  <c r="AT336" i="8" s="1"/>
  <c r="X260" i="2"/>
  <c r="AB260" i="2" s="1"/>
  <c r="AT260" i="8" s="1"/>
  <c r="X159" i="2"/>
  <c r="AB159" i="2" s="1"/>
  <c r="AT159" i="8" s="1"/>
  <c r="X507" i="2"/>
  <c r="AB507" i="2" s="1"/>
  <c r="AT507" i="8" s="1"/>
  <c r="X406" i="2"/>
  <c r="AB406" i="2" s="1"/>
  <c r="AT406" i="8" s="1"/>
  <c r="X305" i="2"/>
  <c r="AB305" i="2" s="1"/>
  <c r="AT305" i="8" s="1"/>
  <c r="X153" i="2"/>
  <c r="AB153" i="2" s="1"/>
  <c r="AT153" i="8" s="1"/>
  <c r="X552" i="2"/>
  <c r="AB552" i="2" s="1"/>
  <c r="AT552" i="8" s="1"/>
  <c r="X426" i="2"/>
  <c r="AB426" i="2" s="1"/>
  <c r="AT426" i="8" s="1"/>
  <c r="X249" i="2"/>
  <c r="AB249" i="2" s="1"/>
  <c r="AT249" i="8" s="1"/>
  <c r="X122" i="2"/>
  <c r="AB122" i="2" s="1"/>
  <c r="AT122" i="8" s="1"/>
  <c r="X445" i="2"/>
  <c r="AB445" i="2" s="1"/>
  <c r="AT445" i="8" s="1"/>
  <c r="X318" i="2"/>
  <c r="AB318" i="2" s="1"/>
  <c r="AT318" i="8" s="1"/>
  <c r="X217" i="2"/>
  <c r="AB217" i="2" s="1"/>
  <c r="AT217" i="8" s="1"/>
  <c r="X116" i="2"/>
  <c r="AB116" i="2" s="1"/>
  <c r="AT116" i="8" s="1"/>
  <c r="X40" i="2"/>
  <c r="AB40" i="2" s="1"/>
  <c r="AT40" i="8" s="1"/>
  <c r="X438" i="2"/>
  <c r="AB438" i="2" s="1"/>
  <c r="AT438" i="8" s="1"/>
  <c r="X362" i="2"/>
  <c r="AB362" i="2" s="1"/>
  <c r="AT362" i="8" s="1"/>
  <c r="X311" i="2"/>
  <c r="AB311" i="2" s="1"/>
  <c r="AT311" i="8" s="1"/>
  <c r="X235" i="2"/>
  <c r="AB235" i="2" s="1"/>
  <c r="AT235" i="8" s="1"/>
  <c r="X134" i="2"/>
  <c r="AB134" i="2" s="1"/>
  <c r="AT134" i="8" s="1"/>
  <c r="X482" i="2"/>
  <c r="AB482" i="2" s="1"/>
  <c r="AT482" i="8" s="1"/>
  <c r="X381" i="2"/>
  <c r="AB381" i="2" s="1"/>
  <c r="AT381" i="8" s="1"/>
  <c r="X280" i="2"/>
  <c r="AB280" i="2" s="1"/>
  <c r="AT280" i="8" s="1"/>
  <c r="X128" i="2"/>
  <c r="AB128" i="2" s="1"/>
  <c r="AT128" i="8" s="1"/>
  <c r="X527" i="2"/>
  <c r="AB527" i="2" s="1"/>
  <c r="AT527" i="8" s="1"/>
  <c r="X401" i="2"/>
  <c r="AB401" i="2" s="1"/>
  <c r="AT401" i="8" s="1"/>
  <c r="X224" i="2"/>
  <c r="AB224" i="2" s="1"/>
  <c r="AT224" i="8" s="1"/>
  <c r="X181" i="2"/>
  <c r="AB181" i="2" s="1"/>
  <c r="AT181" i="8" s="1"/>
  <c r="X107" i="2"/>
  <c r="AB107" i="2" s="1"/>
  <c r="AT107" i="8" s="1"/>
  <c r="X399" i="2"/>
  <c r="AB399" i="2" s="1"/>
  <c r="AT399" i="8" s="1"/>
  <c r="X198" i="2"/>
  <c r="AB198" i="2" s="1"/>
  <c r="AT198" i="8" s="1"/>
  <c r="X521" i="2"/>
  <c r="AB521" i="2" s="1"/>
  <c r="AT521" i="8" s="1"/>
  <c r="X394" i="2"/>
  <c r="AB394" i="2" s="1"/>
  <c r="AT394" i="8" s="1"/>
  <c r="X293" i="2"/>
  <c r="AB293" i="2" s="1"/>
  <c r="AT293" i="8" s="1"/>
  <c r="X192" i="2"/>
  <c r="AB192" i="2" s="1"/>
  <c r="AT192" i="8" s="1"/>
  <c r="X91" i="2"/>
  <c r="AB91" i="2" s="1"/>
  <c r="AT91" i="8" s="1"/>
  <c r="X565" i="2"/>
  <c r="AB565" i="2" s="1"/>
  <c r="AT565" i="8" s="1"/>
  <c r="X413" i="2"/>
  <c r="AB413" i="2" s="1"/>
  <c r="AT413" i="8" s="1"/>
  <c r="X337" i="2"/>
  <c r="AB337" i="2" s="1"/>
  <c r="AT337" i="8" s="1"/>
  <c r="X286" i="2"/>
  <c r="AB286" i="2" s="1"/>
  <c r="AT286" i="8" s="1"/>
  <c r="X210" i="2"/>
  <c r="AB210" i="2" s="1"/>
  <c r="AT210" i="8" s="1"/>
  <c r="X109" i="2"/>
  <c r="AB109" i="2" s="1"/>
  <c r="AT109" i="8" s="1"/>
  <c r="X457" i="2"/>
  <c r="AB457" i="2" s="1"/>
  <c r="AT457" i="8" s="1"/>
  <c r="X356" i="2"/>
  <c r="AB356" i="2" s="1"/>
  <c r="AT356" i="8" s="1"/>
  <c r="X255" i="2"/>
  <c r="AB255" i="2" s="1"/>
  <c r="AT255" i="8" s="1"/>
  <c r="X103" i="2"/>
  <c r="AB103" i="2" s="1"/>
  <c r="AT103" i="8" s="1"/>
  <c r="X502" i="2"/>
  <c r="AB502" i="2" s="1"/>
  <c r="AT502" i="8" s="1"/>
  <c r="X376" i="2"/>
  <c r="AB376" i="2" s="1"/>
  <c r="AT376" i="8" s="1"/>
  <c r="X199" i="2"/>
  <c r="AB199" i="2" s="1"/>
  <c r="AT199" i="8" s="1"/>
  <c r="X467" i="2"/>
  <c r="AB467" i="2" s="1"/>
  <c r="AT467" i="8" s="1"/>
  <c r="X447" i="2"/>
  <c r="AB447" i="2" s="1"/>
  <c r="AT447" i="8" s="1"/>
  <c r="X499" i="2"/>
  <c r="AB499" i="2" s="1"/>
  <c r="AT499" i="8" s="1"/>
  <c r="X82" i="2"/>
  <c r="AB82" i="2" s="1"/>
  <c r="AT82" i="8" s="1"/>
  <c r="X251" i="2"/>
  <c r="AB251" i="2" s="1"/>
  <c r="AT251" i="8" s="1"/>
  <c r="X98" i="2"/>
  <c r="AB98" i="2" s="1"/>
  <c r="AT98" i="8" s="1"/>
  <c r="X498" i="2"/>
  <c r="AB498" i="2" s="1"/>
  <c r="AT498" i="8" s="1"/>
  <c r="X496" i="2"/>
  <c r="AB496" i="2" s="1"/>
  <c r="AT496" i="8" s="1"/>
  <c r="X369" i="2"/>
  <c r="AB369" i="2" s="1"/>
  <c r="AT369" i="8" s="1"/>
  <c r="X268" i="2"/>
  <c r="AB268" i="2" s="1"/>
  <c r="AT268" i="8" s="1"/>
  <c r="X167" i="2"/>
  <c r="AB167" i="2" s="1"/>
  <c r="AT167" i="8" s="1"/>
  <c r="X66" i="2"/>
  <c r="AB66" i="2" s="1"/>
  <c r="AT66" i="8" s="1"/>
  <c r="X489" i="2"/>
  <c r="AB489" i="2" s="1"/>
  <c r="AT489" i="8" s="1"/>
  <c r="X388" i="2"/>
  <c r="AB388" i="2" s="1"/>
  <c r="AT388" i="8" s="1"/>
  <c r="X312" i="2"/>
  <c r="AB312" i="2" s="1"/>
  <c r="AT312" i="8" s="1"/>
  <c r="X261" i="2"/>
  <c r="AB261" i="2" s="1"/>
  <c r="AT261" i="8" s="1"/>
  <c r="X185" i="2"/>
  <c r="AB185" i="2" s="1"/>
  <c r="AT185" i="8" s="1"/>
  <c r="X558" i="2"/>
  <c r="AB558" i="2" s="1"/>
  <c r="AT558" i="8" s="1"/>
  <c r="X432" i="2"/>
  <c r="AB432" i="2" s="1"/>
  <c r="AT432" i="8" s="1"/>
  <c r="X331" i="2"/>
  <c r="AB331" i="2" s="1"/>
  <c r="AT331" i="8" s="1"/>
  <c r="X230" i="2"/>
  <c r="AB230" i="2" s="1"/>
  <c r="AT230" i="8" s="1"/>
  <c r="X78" i="2"/>
  <c r="AB78" i="2" s="1"/>
  <c r="AT78" i="8" s="1"/>
  <c r="X477" i="2"/>
  <c r="AB477" i="2" s="1"/>
  <c r="AT477" i="8" s="1"/>
  <c r="X351" i="2"/>
  <c r="AB351" i="2" s="1"/>
  <c r="AT351" i="8" s="1"/>
  <c r="X174" i="2"/>
  <c r="AB174" i="2" s="1"/>
  <c r="AT174" i="8" s="1"/>
  <c r="X408" i="2"/>
  <c r="AB408" i="2" s="1"/>
  <c r="AT408" i="8" s="1"/>
  <c r="X372" i="2"/>
  <c r="AB372" i="2" s="1"/>
  <c r="AT372" i="8" s="1"/>
  <c r="X516" i="2"/>
  <c r="AB516" i="2" s="1"/>
  <c r="AT516" i="8" s="1"/>
  <c r="X515" i="2"/>
  <c r="AB515" i="2" s="1"/>
  <c r="AT515" i="8" s="1"/>
  <c r="X97" i="2"/>
  <c r="AB97" i="2" s="1"/>
  <c r="AT97" i="8" s="1"/>
  <c r="X197" i="2"/>
  <c r="AB197" i="2" s="1"/>
  <c r="AT197" i="8" s="1"/>
  <c r="X471" i="2"/>
  <c r="AB471" i="2" s="1"/>
  <c r="AT471" i="8" s="1"/>
  <c r="X344" i="2"/>
  <c r="AB344" i="2" s="1"/>
  <c r="AT344" i="8" s="1"/>
  <c r="X243" i="2"/>
  <c r="AB243" i="2" s="1"/>
  <c r="AT243" i="8" s="1"/>
  <c r="X142" i="2"/>
  <c r="AB142" i="2" s="1"/>
  <c r="AT142" i="8" s="1"/>
  <c r="X41" i="2"/>
  <c r="AB41" i="2" s="1"/>
  <c r="AT41" i="8" s="1"/>
  <c r="X464" i="2"/>
  <c r="AB464" i="2" s="1"/>
  <c r="AT464" i="8" s="1"/>
  <c r="X363" i="2"/>
  <c r="AB363" i="2" s="1"/>
  <c r="AT363" i="8" s="1"/>
  <c r="X287" i="2"/>
  <c r="AB287" i="2" s="1"/>
  <c r="AT287" i="8" s="1"/>
  <c r="X236" i="2"/>
  <c r="AB236" i="2" s="1"/>
  <c r="AT236" i="8" s="1"/>
  <c r="X160" i="2"/>
  <c r="AB160" i="2" s="1"/>
  <c r="AT160" i="8" s="1"/>
  <c r="X533" i="2"/>
  <c r="AB533" i="2" s="1"/>
  <c r="AT533" i="8" s="1"/>
  <c r="X407" i="2"/>
  <c r="AB407" i="2" s="1"/>
  <c r="AT407" i="8" s="1"/>
  <c r="X306" i="2"/>
  <c r="AB306" i="2" s="1"/>
  <c r="AT306" i="8" s="1"/>
  <c r="X205" i="2"/>
  <c r="AB205" i="2" s="1"/>
  <c r="AT205" i="8" s="1"/>
  <c r="X53" i="2"/>
  <c r="AB53" i="2" s="1"/>
  <c r="AT53" i="8" s="1"/>
  <c r="X452" i="2"/>
  <c r="AB452" i="2" s="1"/>
  <c r="AT452" i="8" s="1"/>
  <c r="X326" i="2"/>
  <c r="AB326" i="2" s="1"/>
  <c r="AT326" i="8" s="1"/>
  <c r="X149" i="2"/>
  <c r="AB149" i="2" s="1"/>
  <c r="AT149" i="8" s="1"/>
  <c r="X349" i="2"/>
  <c r="AB349" i="2" s="1"/>
  <c r="AT349" i="8" s="1"/>
  <c r="X58" i="2"/>
  <c r="AB58" i="2" s="1"/>
  <c r="AT58" i="8" s="1"/>
  <c r="X275" i="2"/>
  <c r="AB275" i="2" s="1"/>
  <c r="AT275" i="8" s="1"/>
  <c r="X108" i="2"/>
  <c r="AB108" i="2" s="1"/>
  <c r="AT108" i="8" s="1"/>
  <c r="X374" i="2"/>
  <c r="AB374" i="2" s="1"/>
  <c r="AT374" i="8" s="1"/>
  <c r="X547" i="2"/>
  <c r="AB547" i="2" s="1"/>
  <c r="AT547" i="8" s="1"/>
  <c r="X446" i="2"/>
  <c r="AB446" i="2" s="1"/>
  <c r="AT446" i="8" s="1"/>
  <c r="X319" i="2"/>
  <c r="AB319" i="2" s="1"/>
  <c r="AT319" i="8" s="1"/>
  <c r="X218" i="2"/>
  <c r="AB218" i="2" s="1"/>
  <c r="AT218" i="8" s="1"/>
  <c r="X117" i="2"/>
  <c r="AB117" i="2" s="1"/>
  <c r="AT117" i="8" s="1"/>
  <c r="X566" i="2"/>
  <c r="AB566" i="2" s="1"/>
  <c r="AT566" i="8" s="1"/>
  <c r="X439" i="2"/>
  <c r="AB439" i="2" s="1"/>
  <c r="AT439" i="8" s="1"/>
  <c r="X338" i="2"/>
  <c r="AB338" i="2" s="1"/>
  <c r="AT338" i="8" s="1"/>
  <c r="X262" i="2"/>
  <c r="AB262" i="2" s="1"/>
  <c r="AT262" i="8" s="1"/>
  <c r="X211" i="2"/>
  <c r="AB211" i="2" s="1"/>
  <c r="AT211" i="8" s="1"/>
  <c r="X135" i="2"/>
  <c r="AB135" i="2" s="1"/>
  <c r="AT135" i="8" s="1"/>
  <c r="X508" i="2"/>
  <c r="AB508" i="2" s="1"/>
  <c r="AT508" i="8" s="1"/>
  <c r="X382" i="2"/>
  <c r="AB382" i="2" s="1"/>
  <c r="AT382" i="8" s="1"/>
  <c r="X281" i="2"/>
  <c r="AB281" i="2" s="1"/>
  <c r="AT281" i="8" s="1"/>
  <c r="X154" i="2"/>
  <c r="AB154" i="2" s="1"/>
  <c r="AT154" i="8" s="1"/>
  <c r="X553" i="2"/>
  <c r="AB553" i="2" s="1"/>
  <c r="AT553" i="8" s="1"/>
  <c r="X427" i="2"/>
  <c r="AB427" i="2" s="1"/>
  <c r="AT427" i="8" s="1"/>
  <c r="X301" i="2"/>
  <c r="AB301" i="2" s="1"/>
  <c r="AT301" i="8" s="1"/>
  <c r="X124" i="2"/>
  <c r="AB124" i="2" s="1"/>
  <c r="AT124" i="8" s="1"/>
  <c r="X542" i="2"/>
  <c r="AB542" i="2" s="1"/>
  <c r="AT542" i="8" s="1"/>
  <c r="X448" i="2"/>
  <c r="AB448" i="2" s="1"/>
  <c r="AT448" i="8" s="1"/>
  <c r="X347" i="2"/>
  <c r="AB347" i="2" s="1"/>
  <c r="AT347" i="8" s="1"/>
  <c r="X546" i="2"/>
  <c r="AB546" i="2" s="1"/>
  <c r="AT546" i="8" s="1"/>
  <c r="X84" i="2"/>
  <c r="AB84" i="2" s="1"/>
  <c r="AT84" i="8" s="1"/>
  <c r="X562" i="2"/>
  <c r="AB562" i="2" s="1"/>
  <c r="AT562" i="8" s="1"/>
  <c r="X73" i="2"/>
  <c r="AB73" i="2" s="1"/>
  <c r="AT73" i="8" s="1"/>
  <c r="X522" i="2"/>
  <c r="AB522" i="2" s="1"/>
  <c r="AT522" i="8" s="1"/>
  <c r="X421" i="2"/>
  <c r="AB421" i="2" s="1"/>
  <c r="AT421" i="8" s="1"/>
  <c r="X294" i="2"/>
  <c r="AB294" i="2" s="1"/>
  <c r="AT294" i="8" s="1"/>
  <c r="X193" i="2"/>
  <c r="AB193" i="2" s="1"/>
  <c r="AT193" i="8" s="1"/>
  <c r="X92" i="2"/>
  <c r="AB92" i="2" s="1"/>
  <c r="AT92" i="8" s="1"/>
  <c r="X541" i="2"/>
  <c r="AB541" i="2" s="1"/>
  <c r="AT541" i="8" s="1"/>
  <c r="X414" i="2"/>
  <c r="AB414" i="2" s="1"/>
  <c r="AT414" i="8" s="1"/>
  <c r="X313" i="2"/>
  <c r="AB313" i="2" s="1"/>
  <c r="AT313" i="8" s="1"/>
  <c r="X237" i="2"/>
  <c r="AB237" i="2" s="1"/>
  <c r="AT237" i="8" s="1"/>
  <c r="X186" i="2"/>
  <c r="AB186" i="2" s="1"/>
  <c r="AT186" i="8" s="1"/>
  <c r="X110" i="2"/>
  <c r="AB110" i="2" s="1"/>
  <c r="AT110" i="8" s="1"/>
  <c r="X483" i="2"/>
  <c r="AB483" i="2" s="1"/>
  <c r="AT483" i="8" s="1"/>
  <c r="X357" i="2"/>
  <c r="AB357" i="2" s="1"/>
  <c r="AT357" i="8" s="1"/>
  <c r="X256" i="2"/>
  <c r="AB256" i="2" s="1"/>
  <c r="AT256" i="8" s="1"/>
  <c r="X129" i="2"/>
  <c r="AB129" i="2" s="1"/>
  <c r="AT129" i="8" s="1"/>
  <c r="X528" i="2"/>
  <c r="AB528" i="2" s="1"/>
  <c r="AT528" i="8" s="1"/>
  <c r="X402" i="2"/>
  <c r="AB402" i="2" s="1"/>
  <c r="AT402" i="8" s="1"/>
  <c r="X225" i="2"/>
  <c r="AB225" i="2" s="1"/>
  <c r="AT225" i="8" s="1"/>
  <c r="X99" i="2"/>
  <c r="AB99" i="2" s="1"/>
  <c r="AT99" i="8" s="1"/>
  <c r="X202" i="2"/>
  <c r="AB202" i="2" s="1"/>
  <c r="AT202" i="8" s="1"/>
  <c r="X324" i="2"/>
  <c r="AB324" i="2" s="1"/>
  <c r="AT324" i="8" s="1"/>
  <c r="X491" i="2"/>
  <c r="AB491" i="2" s="1"/>
  <c r="AT491" i="8" s="1"/>
  <c r="X17" i="2"/>
  <c r="AB17" i="2" s="1"/>
  <c r="AT17" i="8" s="1"/>
  <c r="X178" i="2"/>
  <c r="AB178" i="2" s="1"/>
  <c r="AT178" i="8" s="1"/>
  <c r="X276" i="2"/>
  <c r="AB276" i="2" s="1"/>
  <c r="AT276" i="8" s="1"/>
  <c r="X373" i="2"/>
  <c r="AB373" i="2" s="1"/>
  <c r="AT373" i="8" s="1"/>
  <c r="X497" i="2"/>
  <c r="AB497" i="2" s="1"/>
  <c r="AT497" i="8" s="1"/>
  <c r="X370" i="2"/>
  <c r="AB370" i="2" s="1"/>
  <c r="AT370" i="8" s="1"/>
  <c r="X269" i="2"/>
  <c r="AB269" i="2" s="1"/>
  <c r="AT269" i="8" s="1"/>
  <c r="X168" i="2"/>
  <c r="AB168" i="2" s="1"/>
  <c r="AT168" i="8" s="1"/>
  <c r="X67" i="2"/>
  <c r="AB67" i="2" s="1"/>
  <c r="AT67" i="8" s="1"/>
  <c r="X490" i="2"/>
  <c r="AB490" i="2" s="1"/>
  <c r="AT490" i="8" s="1"/>
  <c r="X389" i="2"/>
  <c r="AB389" i="2" s="1"/>
  <c r="AT389" i="8" s="1"/>
  <c r="X288" i="2"/>
  <c r="AB288" i="2" s="1"/>
  <c r="AT288" i="8" s="1"/>
  <c r="X212" i="2"/>
  <c r="AB212" i="2" s="1"/>
  <c r="AT212" i="8" s="1"/>
  <c r="X161" i="2"/>
  <c r="AB161" i="2" s="1"/>
  <c r="AT161" i="8" s="1"/>
  <c r="X85" i="2"/>
  <c r="AB85" i="2" s="1"/>
  <c r="AT85" i="8" s="1"/>
  <c r="X458" i="2"/>
  <c r="AB458" i="2" s="1"/>
  <c r="AT458" i="8" s="1"/>
  <c r="X332" i="2"/>
  <c r="AB332" i="2" s="1"/>
  <c r="AT332" i="8" s="1"/>
  <c r="X231" i="2"/>
  <c r="AB231" i="2" s="1"/>
  <c r="AT231" i="8" s="1"/>
  <c r="X104" i="2"/>
  <c r="AB104" i="2" s="1"/>
  <c r="AT104" i="8" s="1"/>
  <c r="X503" i="2"/>
  <c r="AB503" i="2" s="1"/>
  <c r="AT503" i="8" s="1"/>
  <c r="X377" i="2"/>
  <c r="AB377" i="2" s="1"/>
  <c r="AT377" i="8" s="1"/>
  <c r="X200" i="2"/>
  <c r="AB200" i="2" s="1"/>
  <c r="AT200" i="8" s="1"/>
  <c r="X74" i="2"/>
  <c r="AB74" i="2" s="1"/>
  <c r="AT74" i="8" s="1"/>
  <c r="X440" i="2"/>
  <c r="AB440" i="2" s="1"/>
  <c r="AT440" i="8" s="1"/>
  <c r="X420" i="2"/>
  <c r="AB420" i="2" s="1"/>
  <c r="AT420" i="8" s="1"/>
  <c r="X423" i="2"/>
  <c r="AB423" i="2" s="1"/>
  <c r="AT423" i="8" s="1"/>
  <c r="X540" i="2"/>
  <c r="AB540" i="2" s="1"/>
  <c r="AT540" i="8" s="1"/>
  <c r="X252" i="2"/>
  <c r="AB252" i="2" s="1"/>
  <c r="AT252" i="8" s="1"/>
  <c r="X155" i="2"/>
  <c r="AB155" i="2" s="1"/>
  <c r="AT155" i="8" s="1"/>
  <c r="X72" i="2"/>
  <c r="AB72" i="2" s="1"/>
  <c r="AT72" i="8" s="1"/>
  <c r="X472" i="2"/>
  <c r="AB472" i="2" s="1"/>
  <c r="AT472" i="8" s="1"/>
  <c r="X345" i="2"/>
  <c r="AB345" i="2" s="1"/>
  <c r="AT345" i="8" s="1"/>
  <c r="X244" i="2"/>
  <c r="AB244" i="2" s="1"/>
  <c r="AT244" i="8" s="1"/>
  <c r="X143" i="2"/>
  <c r="AB143" i="2" s="1"/>
  <c r="AT143" i="8" s="1"/>
  <c r="X42" i="2"/>
  <c r="AB42" i="2" s="1"/>
  <c r="AT42" i="8" s="1"/>
  <c r="X465" i="2"/>
  <c r="AB465" i="2" s="1"/>
  <c r="AT465" i="8" s="1"/>
  <c r="X364" i="2"/>
  <c r="AB364" i="2" s="1"/>
  <c r="AT364" i="8" s="1"/>
  <c r="X263" i="2"/>
  <c r="AB263" i="2" s="1"/>
  <c r="AT263" i="8" s="1"/>
  <c r="X187" i="2"/>
  <c r="AB187" i="2" s="1"/>
  <c r="AT187" i="8" s="1"/>
  <c r="X136" i="2"/>
  <c r="AB136" i="2" s="1"/>
  <c r="AT136" i="8" s="1"/>
  <c r="X559" i="2"/>
  <c r="AB559" i="2" s="1"/>
  <c r="AT559" i="8" s="1"/>
  <c r="X433" i="2"/>
  <c r="AB433" i="2" s="1"/>
  <c r="AT433" i="8" s="1"/>
  <c r="X307" i="2"/>
  <c r="AB307" i="2" s="1"/>
  <c r="AT307" i="8" s="1"/>
  <c r="X206" i="2"/>
  <c r="AB206" i="2" s="1"/>
  <c r="AT206" i="8" s="1"/>
  <c r="X79" i="2"/>
  <c r="AB79" i="2" s="1"/>
  <c r="AT79" i="8" s="1"/>
  <c r="X478" i="2"/>
  <c r="AB478" i="2" s="1"/>
  <c r="AT478" i="8" s="1"/>
  <c r="X352" i="2"/>
  <c r="AB352" i="2" s="1"/>
  <c r="AT352" i="8" s="1"/>
  <c r="X175" i="2"/>
  <c r="AB175" i="2" s="1"/>
  <c r="AT175" i="8" s="1"/>
  <c r="X49" i="2"/>
  <c r="AB49" i="2" s="1"/>
  <c r="AT49" i="8" s="1"/>
  <c r="X12" i="2"/>
  <c r="AB12" i="2" s="1"/>
  <c r="X14" i="2"/>
  <c r="AB14" i="2" s="1"/>
  <c r="X7" i="2"/>
  <c r="AB7" i="2" s="1"/>
  <c r="AT7" i="8" s="1"/>
  <c r="X13" i="2"/>
  <c r="AB13" i="2" s="1"/>
  <c r="X11" i="2"/>
  <c r="AB11" i="2" s="1"/>
  <c r="AT11" i="8" s="1"/>
  <c r="X9" i="2"/>
  <c r="AB9" i="2" s="1"/>
  <c r="AT9" i="8" s="1"/>
  <c r="X6" i="2"/>
  <c r="AB6" i="2" s="1"/>
  <c r="AT6" i="8" s="1"/>
  <c r="X10" i="2"/>
  <c r="AB10" i="2" s="1"/>
  <c r="AT10" i="8" s="1"/>
  <c r="X5" i="2"/>
  <c r="AB5" i="2" s="1"/>
  <c r="AT5" i="8" s="1"/>
  <c r="V1129" i="2"/>
  <c r="U8" i="2"/>
  <c r="U1129" i="2" s="1"/>
  <c r="P1129" i="2"/>
  <c r="Q8" i="2"/>
  <c r="T8" i="2"/>
  <c r="AA8" i="2" s="1"/>
  <c r="W8" i="2"/>
  <c r="W1129" i="2" s="1"/>
  <c r="R8" i="2"/>
  <c r="Y8" i="2" s="1"/>
  <c r="S8" i="2"/>
  <c r="Z8" i="2" s="1"/>
  <c r="X8" i="2" l="1"/>
  <c r="AB8" i="2" s="1"/>
  <c r="AT8" i="8" s="1"/>
  <c r="Y1129" i="2"/>
  <c r="T1129" i="2"/>
  <c r="AA1129" i="2"/>
  <c r="S1129" i="2"/>
  <c r="Z1129" i="2"/>
  <c r="Q1129" i="2"/>
  <c r="B10" i="3"/>
  <c r="B23" i="3" s="1"/>
  <c r="X1129" i="2" l="1"/>
  <c r="BG12" i="8"/>
  <c r="BG14" i="8"/>
  <c r="BG8" i="8"/>
  <c r="BG10" i="8"/>
  <c r="BG6" i="8" l="1"/>
  <c r="BG1129" i="8" s="1"/>
  <c r="AT14" i="8"/>
  <c r="AT13" i="8"/>
  <c r="AT12" i="8" l="1"/>
  <c r="AT1129" i="8" s="1"/>
  <c r="R1129" i="2"/>
  <c r="BH34" i="8" l="1"/>
  <c r="BH58" i="8"/>
  <c r="BH82" i="8"/>
  <c r="BH106" i="8"/>
  <c r="BH130" i="8"/>
  <c r="BH154" i="8"/>
  <c r="BH178" i="8"/>
  <c r="BH202" i="8"/>
  <c r="BH226" i="8"/>
  <c r="BH250" i="8"/>
  <c r="BH274" i="8"/>
  <c r="BH298" i="8"/>
  <c r="BH322" i="8"/>
  <c r="BH346" i="8"/>
  <c r="BH370" i="8"/>
  <c r="BH394" i="8"/>
  <c r="BH418" i="8"/>
  <c r="BH442" i="8"/>
  <c r="BH466" i="8"/>
  <c r="BH490" i="8"/>
  <c r="BH514" i="8"/>
  <c r="BH538" i="8"/>
  <c r="BH562" i="8"/>
  <c r="BH586" i="8"/>
  <c r="BH610" i="8"/>
  <c r="BH35" i="8"/>
  <c r="BH59" i="8"/>
  <c r="BH83" i="8"/>
  <c r="BH107" i="8"/>
  <c r="BH131" i="8"/>
  <c r="BH155" i="8"/>
  <c r="BH179" i="8"/>
  <c r="BH203" i="8"/>
  <c r="BH21" i="8"/>
  <c r="BH45" i="8"/>
  <c r="BH69" i="8"/>
  <c r="BH93" i="8"/>
  <c r="BH117" i="8"/>
  <c r="BH141" i="8"/>
  <c r="BH165" i="8"/>
  <c r="BH189" i="8"/>
  <c r="BH213" i="8"/>
  <c r="BH22" i="8"/>
  <c r="BH46" i="8"/>
  <c r="BH70" i="8"/>
  <c r="BH94" i="8"/>
  <c r="BH118" i="8"/>
  <c r="BH142" i="8"/>
  <c r="BH166" i="8"/>
  <c r="BH190" i="8"/>
  <c r="BH214" i="8"/>
  <c r="BH238" i="8"/>
  <c r="BH262" i="8"/>
  <c r="BH286" i="8"/>
  <c r="BH310" i="8"/>
  <c r="BH334" i="8"/>
  <c r="BH358" i="8"/>
  <c r="BH382" i="8"/>
  <c r="BH406" i="8"/>
  <c r="BH430" i="8"/>
  <c r="BH454" i="8"/>
  <c r="BH478" i="8"/>
  <c r="BH502" i="8"/>
  <c r="BH526" i="8"/>
  <c r="BH550" i="8"/>
  <c r="BH574" i="8"/>
  <c r="BH598" i="8"/>
  <c r="BH622" i="8"/>
  <c r="BH23" i="8"/>
  <c r="BH47" i="8"/>
  <c r="BH71" i="8"/>
  <c r="BH95" i="8"/>
  <c r="BH119" i="8"/>
  <c r="BH143" i="8"/>
  <c r="BH167" i="8"/>
  <c r="BH191" i="8"/>
  <c r="BH215" i="8"/>
  <c r="BH33" i="8"/>
  <c r="BH64" i="8"/>
  <c r="BH96" i="8"/>
  <c r="BH125" i="8"/>
  <c r="BH156" i="8"/>
  <c r="BH185" i="8"/>
  <c r="BH217" i="8"/>
  <c r="BH243" i="8"/>
  <c r="BH269" i="8"/>
  <c r="BH295" i="8"/>
  <c r="BH321" i="8"/>
  <c r="BH348" i="8"/>
  <c r="BH374" i="8"/>
  <c r="BH400" i="8"/>
  <c r="BH426" i="8"/>
  <c r="BH452" i="8"/>
  <c r="BH479" i="8"/>
  <c r="BH505" i="8"/>
  <c r="BH531" i="8"/>
  <c r="BH557" i="8"/>
  <c r="BH583" i="8"/>
  <c r="BH609" i="8"/>
  <c r="BH635" i="8"/>
  <c r="BH659" i="8"/>
  <c r="BH683" i="8"/>
  <c r="BH707" i="8"/>
  <c r="BH731" i="8"/>
  <c r="BH755" i="8"/>
  <c r="BH779" i="8"/>
  <c r="BH803" i="8"/>
  <c r="BH827" i="8"/>
  <c r="BH851" i="8"/>
  <c r="BH875" i="8"/>
  <c r="BH899" i="8"/>
  <c r="BH923" i="8"/>
  <c r="BH947" i="8"/>
  <c r="BH971" i="8"/>
  <c r="BH995" i="8"/>
  <c r="BH1019" i="8"/>
  <c r="BH36" i="8"/>
  <c r="BH65" i="8"/>
  <c r="BH97" i="8"/>
  <c r="BH126" i="8"/>
  <c r="BH157" i="8"/>
  <c r="BH186" i="8"/>
  <c r="BH218" i="8"/>
  <c r="BH244" i="8"/>
  <c r="BH270" i="8"/>
  <c r="BH296" i="8"/>
  <c r="BH323" i="8"/>
  <c r="BH349" i="8"/>
  <c r="BH375" i="8"/>
  <c r="BH401" i="8"/>
  <c r="BH427" i="8"/>
  <c r="BH453" i="8"/>
  <c r="BH480" i="8"/>
  <c r="BH506" i="8"/>
  <c r="BH532" i="8"/>
  <c r="BH558" i="8"/>
  <c r="BH584" i="8"/>
  <c r="BH611" i="8"/>
  <c r="BH636" i="8"/>
  <c r="BH660" i="8"/>
  <c r="BH684" i="8"/>
  <c r="BH17" i="8"/>
  <c r="BH49" i="8"/>
  <c r="BH78" i="8"/>
  <c r="BH109" i="8"/>
  <c r="BH138" i="8"/>
  <c r="BH170" i="8"/>
  <c r="BH199" i="8"/>
  <c r="BH229" i="8"/>
  <c r="BH255" i="8"/>
  <c r="BH281" i="8"/>
  <c r="BH307" i="8"/>
  <c r="BH333" i="8"/>
  <c r="BH360" i="8"/>
  <c r="BH386" i="8"/>
  <c r="BH412" i="8"/>
  <c r="BH438" i="8"/>
  <c r="BH464" i="8"/>
  <c r="BH491" i="8"/>
  <c r="BH517" i="8"/>
  <c r="BH543" i="8"/>
  <c r="BH569" i="8"/>
  <c r="BH595" i="8"/>
  <c r="BH621" i="8"/>
  <c r="BH646" i="8"/>
  <c r="BH670" i="8"/>
  <c r="BH694" i="8"/>
  <c r="BH718" i="8"/>
  <c r="BH742" i="8"/>
  <c r="BH766" i="8"/>
  <c r="BH790" i="8"/>
  <c r="BH814" i="8"/>
  <c r="BH838" i="8"/>
  <c r="BH862" i="8"/>
  <c r="BH886" i="8"/>
  <c r="BH910" i="8"/>
  <c r="BH934" i="8"/>
  <c r="BH958" i="8"/>
  <c r="BH18" i="8"/>
  <c r="BH50" i="8"/>
  <c r="BH79" i="8"/>
  <c r="BH110" i="8"/>
  <c r="BH139" i="8"/>
  <c r="BH171" i="8"/>
  <c r="BH200" i="8"/>
  <c r="BH230" i="8"/>
  <c r="BH256" i="8"/>
  <c r="BH282" i="8"/>
  <c r="BH308" i="8"/>
  <c r="BH335" i="8"/>
  <c r="BH361" i="8"/>
  <c r="BH387" i="8"/>
  <c r="BH413" i="8"/>
  <c r="BH439" i="8"/>
  <c r="BH465" i="8"/>
  <c r="BH492" i="8"/>
  <c r="BH518" i="8"/>
  <c r="BH544" i="8"/>
  <c r="BH570" i="8"/>
  <c r="BH596" i="8"/>
  <c r="BH623" i="8"/>
  <c r="BH647" i="8"/>
  <c r="BH671" i="8"/>
  <c r="BH695" i="8"/>
  <c r="BH719" i="8"/>
  <c r="BH743" i="8"/>
  <c r="BH767" i="8"/>
  <c r="BH791" i="8"/>
  <c r="BH815" i="8"/>
  <c r="BH839" i="8"/>
  <c r="BH863" i="8"/>
  <c r="BH887" i="8"/>
  <c r="BH911" i="8"/>
  <c r="BH935" i="8"/>
  <c r="BH959" i="8"/>
  <c r="BH983" i="8"/>
  <c r="BH1007" i="8"/>
  <c r="BH1031" i="8"/>
  <c r="BH1055" i="8"/>
  <c r="BH1079" i="8"/>
  <c r="BH19" i="8"/>
  <c r="BH51" i="8"/>
  <c r="BH80" i="8"/>
  <c r="BH111" i="8"/>
  <c r="BH140" i="8"/>
  <c r="BH172" i="8"/>
  <c r="BH201" i="8"/>
  <c r="BH231" i="8"/>
  <c r="BH257" i="8"/>
  <c r="BH283" i="8"/>
  <c r="BH309" i="8"/>
  <c r="BH336" i="8"/>
  <c r="BH362" i="8"/>
  <c r="BH388" i="8"/>
  <c r="BH414" i="8"/>
  <c r="BH440" i="8"/>
  <c r="BH467" i="8"/>
  <c r="BH493" i="8"/>
  <c r="BH519" i="8"/>
  <c r="BH545" i="8"/>
  <c r="BH571" i="8"/>
  <c r="BH597" i="8"/>
  <c r="BH624" i="8"/>
  <c r="BH648" i="8"/>
  <c r="BH672" i="8"/>
  <c r="BH696" i="8"/>
  <c r="BH720" i="8"/>
  <c r="BH54" i="8"/>
  <c r="BH90" i="8"/>
  <c r="BH129" i="8"/>
  <c r="BH168" i="8"/>
  <c r="BH207" i="8"/>
  <c r="BH241" i="8"/>
  <c r="BH275" i="8"/>
  <c r="BH306" i="8"/>
  <c r="BH341" i="8"/>
  <c r="BH373" i="8"/>
  <c r="BH407" i="8"/>
  <c r="BH441" i="8"/>
  <c r="BH473" i="8"/>
  <c r="BH507" i="8"/>
  <c r="BH539" i="8"/>
  <c r="BH573" i="8"/>
  <c r="BH605" i="8"/>
  <c r="BH638" i="8"/>
  <c r="BH667" i="8"/>
  <c r="BH699" i="8"/>
  <c r="BH727" i="8"/>
  <c r="BH754" i="8"/>
  <c r="BH782" i="8"/>
  <c r="BH809" i="8"/>
  <c r="BH836" i="8"/>
  <c r="BH865" i="8"/>
  <c r="BH892" i="8"/>
  <c r="BH919" i="8"/>
  <c r="BH946" i="8"/>
  <c r="BH974" i="8"/>
  <c r="BH1000" i="8"/>
  <c r="BH1026" i="8"/>
  <c r="BH1051" i="8"/>
  <c r="BH1076" i="8"/>
  <c r="BH1101" i="8"/>
  <c r="BH1125" i="8"/>
  <c r="BH15" i="8"/>
  <c r="BH55" i="8"/>
  <c r="BH91" i="8"/>
  <c r="BH132" i="8"/>
  <c r="BH169" i="8"/>
  <c r="BH208" i="8"/>
  <c r="BH242" i="8"/>
  <c r="BH276" i="8"/>
  <c r="BH311" i="8"/>
  <c r="BH342" i="8"/>
  <c r="BH376" i="8"/>
  <c r="BH408" i="8"/>
  <c r="BH443" i="8"/>
  <c r="BH474" i="8"/>
  <c r="BH508" i="8"/>
  <c r="BH540" i="8"/>
  <c r="BH575" i="8"/>
  <c r="BH606" i="8"/>
  <c r="BH639" i="8"/>
  <c r="BH668" i="8"/>
  <c r="BH700" i="8"/>
  <c r="BH728" i="8"/>
  <c r="BH756" i="8"/>
  <c r="BH783" i="8"/>
  <c r="BH810" i="8"/>
  <c r="BH837" i="8"/>
  <c r="BH866" i="8"/>
  <c r="BH893" i="8"/>
  <c r="BH920" i="8"/>
  <c r="BH948" i="8"/>
  <c r="BH975" i="8"/>
  <c r="BH1001" i="8"/>
  <c r="BH1027" i="8"/>
  <c r="BH1052" i="8"/>
  <c r="BH1077" i="8"/>
  <c r="BH1102" i="8"/>
  <c r="BH1126" i="8"/>
  <c r="BH24" i="8"/>
  <c r="BH60" i="8"/>
  <c r="BH99" i="8"/>
  <c r="BH135" i="8"/>
  <c r="BH175" i="8"/>
  <c r="BH211" i="8"/>
  <c r="BH247" i="8"/>
  <c r="BH279" i="8"/>
  <c r="BH314" i="8"/>
  <c r="BH345" i="8"/>
  <c r="BH379" i="8"/>
  <c r="BH411" i="8"/>
  <c r="BH446" i="8"/>
  <c r="BH477" i="8"/>
  <c r="BH511" i="8"/>
  <c r="BH546" i="8"/>
  <c r="BH578" i="8"/>
  <c r="BH612" i="8"/>
  <c r="BH642" i="8"/>
  <c r="BH674" i="8"/>
  <c r="BH703" i="8"/>
  <c r="BH732" i="8"/>
  <c r="BH759" i="8"/>
  <c r="BH786" i="8"/>
  <c r="BH813" i="8"/>
  <c r="BH842" i="8"/>
  <c r="BH869" i="8"/>
  <c r="BH896" i="8"/>
  <c r="BH924" i="8"/>
  <c r="BH951" i="8"/>
  <c r="BH978" i="8"/>
  <c r="BH25" i="8"/>
  <c r="BH61" i="8"/>
  <c r="BH100" i="8"/>
  <c r="BH136" i="8"/>
  <c r="BH176" i="8"/>
  <c r="BH212" i="8"/>
  <c r="BH248" i="8"/>
  <c r="BH280" i="8"/>
  <c r="BH315" i="8"/>
  <c r="BH347" i="8"/>
  <c r="BH380" i="8"/>
  <c r="BH415" i="8"/>
  <c r="BH447" i="8"/>
  <c r="BH481" i="8"/>
  <c r="BH512" i="8"/>
  <c r="BH547" i="8"/>
  <c r="BH579" i="8"/>
  <c r="BH613" i="8"/>
  <c r="BH643" i="8"/>
  <c r="BH675" i="8"/>
  <c r="BH31" i="8"/>
  <c r="BH72" i="8"/>
  <c r="BH108" i="8"/>
  <c r="BH148" i="8"/>
  <c r="BH184" i="8"/>
  <c r="BH223" i="8"/>
  <c r="BH258" i="8"/>
  <c r="BH290" i="8"/>
  <c r="BH324" i="8"/>
  <c r="BH355" i="8"/>
  <c r="BH390" i="8"/>
  <c r="BH422" i="8"/>
  <c r="BH456" i="8"/>
  <c r="BH37" i="8"/>
  <c r="BH74" i="8"/>
  <c r="BH113" i="8"/>
  <c r="BH150" i="8"/>
  <c r="BH188" i="8"/>
  <c r="BH225" i="8"/>
  <c r="BH260" i="8"/>
  <c r="BH292" i="8"/>
  <c r="BH326" i="8"/>
  <c r="BH357" i="8"/>
  <c r="BH392" i="8"/>
  <c r="BH424" i="8"/>
  <c r="BH458" i="8"/>
  <c r="BH489" i="8"/>
  <c r="BH524" i="8"/>
  <c r="BH556" i="8"/>
  <c r="BH590" i="8"/>
  <c r="BH625" i="8"/>
  <c r="BH654" i="8"/>
  <c r="BH39" i="8"/>
  <c r="BH76" i="8"/>
  <c r="BH115" i="8"/>
  <c r="BH152" i="8"/>
  <c r="BH193" i="8"/>
  <c r="BH228" i="8"/>
  <c r="BH263" i="8"/>
  <c r="BH294" i="8"/>
  <c r="BH328" i="8"/>
  <c r="BH363" i="8"/>
  <c r="BH395" i="8"/>
  <c r="BH428" i="8"/>
  <c r="BH460" i="8"/>
  <c r="BH495" i="8"/>
  <c r="BH527" i="8"/>
  <c r="BH560" i="8"/>
  <c r="BH592" i="8"/>
  <c r="BH627" i="8"/>
  <c r="BH656" i="8"/>
  <c r="BH687" i="8"/>
  <c r="BH715" i="8"/>
  <c r="BH745" i="8"/>
  <c r="BH772" i="8"/>
  <c r="BH799" i="8"/>
  <c r="BH826" i="8"/>
  <c r="BH854" i="8"/>
  <c r="BH881" i="8"/>
  <c r="BH908" i="8"/>
  <c r="BH937" i="8"/>
  <c r="BH964" i="8"/>
  <c r="BH40" i="8"/>
  <c r="BH77" i="8"/>
  <c r="BH116" i="8"/>
  <c r="BH153" i="8"/>
  <c r="BH194" i="8"/>
  <c r="BH232" i="8"/>
  <c r="BH264" i="8"/>
  <c r="BH297" i="8"/>
  <c r="BH329" i="8"/>
  <c r="BH364" i="8"/>
  <c r="BH396" i="8"/>
  <c r="BH429" i="8"/>
  <c r="BH461" i="8"/>
  <c r="BH496" i="8"/>
  <c r="BH528" i="8"/>
  <c r="BH561" i="8"/>
  <c r="BH593" i="8"/>
  <c r="BH628" i="8"/>
  <c r="BH657" i="8"/>
  <c r="BH688" i="8"/>
  <c r="BH716" i="8"/>
  <c r="BH746" i="8"/>
  <c r="BH773" i="8"/>
  <c r="BH800" i="8"/>
  <c r="BH828" i="8"/>
  <c r="BH855" i="8"/>
  <c r="BH882" i="8"/>
  <c r="BH909" i="8"/>
  <c r="BH938" i="8"/>
  <c r="BH965" i="8"/>
  <c r="BH991" i="8"/>
  <c r="BH41" i="8"/>
  <c r="BH81" i="8"/>
  <c r="BH120" i="8"/>
  <c r="BH158" i="8"/>
  <c r="BH195" i="8"/>
  <c r="BH233" i="8"/>
  <c r="BH265" i="8"/>
  <c r="BH299" i="8"/>
  <c r="BH330" i="8"/>
  <c r="BH365" i="8"/>
  <c r="BH397" i="8"/>
  <c r="BH431" i="8"/>
  <c r="BH462" i="8"/>
  <c r="BH497" i="8"/>
  <c r="BH529" i="8"/>
  <c r="BH563" i="8"/>
  <c r="BH594" i="8"/>
  <c r="BH629" i="8"/>
  <c r="BH658" i="8"/>
  <c r="BH689" i="8"/>
  <c r="BH717" i="8"/>
  <c r="BH747" i="8"/>
  <c r="BH62" i="8"/>
  <c r="BH123" i="8"/>
  <c r="BH182" i="8"/>
  <c r="BH240" i="8"/>
  <c r="BH293" i="8"/>
  <c r="BH350" i="8"/>
  <c r="BH402" i="8"/>
  <c r="BH451" i="8"/>
  <c r="BH503" i="8"/>
  <c r="BH553" i="8"/>
  <c r="BH603" i="8"/>
  <c r="BH651" i="8"/>
  <c r="BH693" i="8"/>
  <c r="BH734" i="8"/>
  <c r="BH769" i="8"/>
  <c r="BH804" i="8"/>
  <c r="BH840" i="8"/>
  <c r="BH873" i="8"/>
  <c r="BH906" i="8"/>
  <c r="BH942" i="8"/>
  <c r="BH977" i="8"/>
  <c r="BH1008" i="8"/>
  <c r="BH1036" i="8"/>
  <c r="BH1063" i="8"/>
  <c r="BH1090" i="8"/>
  <c r="BH1116" i="8"/>
  <c r="BH63" i="8"/>
  <c r="BH124" i="8"/>
  <c r="BH183" i="8"/>
  <c r="BH245" i="8"/>
  <c r="BH300" i="8"/>
  <c r="BH351" i="8"/>
  <c r="BH403" i="8"/>
  <c r="BH455" i="8"/>
  <c r="BH504" i="8"/>
  <c r="BH554" i="8"/>
  <c r="BH604" i="8"/>
  <c r="BH652" i="8"/>
  <c r="BH697" i="8"/>
  <c r="BH735" i="8"/>
  <c r="BH770" i="8"/>
  <c r="BH805" i="8"/>
  <c r="BH841" i="8"/>
  <c r="BH874" i="8"/>
  <c r="BH907" i="8"/>
  <c r="BH943" i="8"/>
  <c r="BH979" i="8"/>
  <c r="BH1009" i="8"/>
  <c r="BH1037" i="8"/>
  <c r="BH1064" i="8"/>
  <c r="BH1091" i="8"/>
  <c r="BH1117" i="8"/>
  <c r="BH68" i="8"/>
  <c r="BH133" i="8"/>
  <c r="BH196" i="8"/>
  <c r="BH251" i="8"/>
  <c r="BH303" i="8"/>
  <c r="BH354" i="8"/>
  <c r="BH409" i="8"/>
  <c r="BH463" i="8"/>
  <c r="BH513" i="8"/>
  <c r="BH564" i="8"/>
  <c r="BH614" i="8"/>
  <c r="BH661" i="8"/>
  <c r="BH702" i="8"/>
  <c r="BH738" i="8"/>
  <c r="BH775" i="8"/>
  <c r="BH808" i="8"/>
  <c r="BH845" i="8"/>
  <c r="BH878" i="8"/>
  <c r="BH914" i="8"/>
  <c r="BH949" i="8"/>
  <c r="BH982" i="8"/>
  <c r="BH1012" i="8"/>
  <c r="BH1040" i="8"/>
  <c r="BH1067" i="8"/>
  <c r="BH1094" i="8"/>
  <c r="BH1120" i="8"/>
  <c r="BH73" i="8"/>
  <c r="BH134" i="8"/>
  <c r="BH197" i="8"/>
  <c r="BH252" i="8"/>
  <c r="BH304" i="8"/>
  <c r="BH356" i="8"/>
  <c r="BH410" i="8"/>
  <c r="BH468" i="8"/>
  <c r="BH515" i="8"/>
  <c r="BH565" i="8"/>
  <c r="BH615" i="8"/>
  <c r="BH662" i="8"/>
  <c r="BH704" i="8"/>
  <c r="BH739" i="8"/>
  <c r="BH776" i="8"/>
  <c r="BH811" i="8"/>
  <c r="BH846" i="8"/>
  <c r="BH879" i="8"/>
  <c r="BH915" i="8"/>
  <c r="BH950" i="8"/>
  <c r="BH984" i="8"/>
  <c r="BH1013" i="8"/>
  <c r="BH1041" i="8"/>
  <c r="BH1068" i="8"/>
  <c r="BH1095" i="8"/>
  <c r="BH1121" i="8"/>
  <c r="BH75" i="8"/>
  <c r="BH137" i="8"/>
  <c r="BH198" i="8"/>
  <c r="BH253" i="8"/>
  <c r="BH305" i="8"/>
  <c r="BH359" i="8"/>
  <c r="BH416" i="8"/>
  <c r="BH469" i="8"/>
  <c r="BH516" i="8"/>
  <c r="BH566" i="8"/>
  <c r="BH616" i="8"/>
  <c r="BH663" i="8"/>
  <c r="BH705" i="8"/>
  <c r="BH740" i="8"/>
  <c r="BH777" i="8"/>
  <c r="BH812" i="8"/>
  <c r="BH847" i="8"/>
  <c r="BH880" i="8"/>
  <c r="BH916" i="8"/>
  <c r="BH952" i="8"/>
  <c r="BH985" i="8"/>
  <c r="BH1014" i="8"/>
  <c r="BH1042" i="8"/>
  <c r="BH1069" i="8"/>
  <c r="BH1096" i="8"/>
  <c r="BH1122" i="8"/>
  <c r="BH16" i="8"/>
  <c r="BH84" i="8"/>
  <c r="BH144" i="8"/>
  <c r="BH204" i="8"/>
  <c r="BH254" i="8"/>
  <c r="BH312" i="8"/>
  <c r="BH366" i="8"/>
  <c r="BH417" i="8"/>
  <c r="BH470" i="8"/>
  <c r="BH520" i="8"/>
  <c r="BH567" i="8"/>
  <c r="BH617" i="8"/>
  <c r="BH664" i="8"/>
  <c r="BH706" i="8"/>
  <c r="BH741" i="8"/>
  <c r="BH778" i="8"/>
  <c r="BH816" i="8"/>
  <c r="BH848" i="8"/>
  <c r="BH883" i="8"/>
  <c r="BH917" i="8"/>
  <c r="BH953" i="8"/>
  <c r="BH986" i="8"/>
  <c r="BH1015" i="8"/>
  <c r="BH1043" i="8"/>
  <c r="BH1070" i="8"/>
  <c r="BH1097" i="8"/>
  <c r="BH1123" i="8"/>
  <c r="BH28" i="8"/>
  <c r="BH88" i="8"/>
  <c r="BH149" i="8"/>
  <c r="BH210" i="8"/>
  <c r="BH267" i="8"/>
  <c r="BH318" i="8"/>
  <c r="BH371" i="8"/>
  <c r="BH423" i="8"/>
  <c r="BH476" i="8"/>
  <c r="BH525" i="8"/>
  <c r="BH577" i="8"/>
  <c r="BH626" i="8"/>
  <c r="BH673" i="8"/>
  <c r="BH711" i="8"/>
  <c r="BH750" i="8"/>
  <c r="BH785" i="8"/>
  <c r="BH820" i="8"/>
  <c r="BH853" i="8"/>
  <c r="BH889" i="8"/>
  <c r="BH925" i="8"/>
  <c r="BH957" i="8"/>
  <c r="BH990" i="8"/>
  <c r="BH1020" i="8"/>
  <c r="BH1047" i="8"/>
  <c r="BH1074" i="8"/>
  <c r="BH1103" i="8"/>
  <c r="BH38" i="8"/>
  <c r="BH101" i="8"/>
  <c r="BH161" i="8"/>
  <c r="BH221" i="8"/>
  <c r="BH273" i="8"/>
  <c r="BH327" i="8"/>
  <c r="BH381" i="8"/>
  <c r="BH434" i="8"/>
  <c r="BH485" i="8"/>
  <c r="BH535" i="8"/>
  <c r="BH585" i="8"/>
  <c r="BH633" i="8"/>
  <c r="BH679" i="8"/>
  <c r="BH721" i="8"/>
  <c r="BH757" i="8"/>
  <c r="BH792" i="8"/>
  <c r="BH824" i="8"/>
  <c r="BH859" i="8"/>
  <c r="BH895" i="8"/>
  <c r="BH929" i="8"/>
  <c r="BH963" i="8"/>
  <c r="BH996" i="8"/>
  <c r="BH1024" i="8"/>
  <c r="BH1053" i="8"/>
  <c r="BH1081" i="8"/>
  <c r="BH1107" i="8"/>
  <c r="BH42" i="8"/>
  <c r="BH102" i="8"/>
  <c r="BH162" i="8"/>
  <c r="BH222" i="8"/>
  <c r="BH277" i="8"/>
  <c r="BH331" i="8"/>
  <c r="BH383" i="8"/>
  <c r="BH435" i="8"/>
  <c r="BH486" i="8"/>
  <c r="BH536" i="8"/>
  <c r="BH587" i="8"/>
  <c r="BH634" i="8"/>
  <c r="BH680" i="8"/>
  <c r="BH722" i="8"/>
  <c r="BH758" i="8"/>
  <c r="BH793" i="8"/>
  <c r="BH825" i="8"/>
  <c r="BH860" i="8"/>
  <c r="BH897" i="8"/>
  <c r="BH930" i="8"/>
  <c r="BH966" i="8"/>
  <c r="BH997" i="8"/>
  <c r="BH1025" i="8"/>
  <c r="BH1054" i="8"/>
  <c r="BH1082" i="8"/>
  <c r="BH1108" i="8"/>
  <c r="BH43" i="8"/>
  <c r="BH103" i="8"/>
  <c r="BH163" i="8"/>
  <c r="BH224" i="8"/>
  <c r="BH278" i="8"/>
  <c r="BH332" i="8"/>
  <c r="BH384" i="8"/>
  <c r="BH436" i="8"/>
  <c r="BH487" i="8"/>
  <c r="BH537" i="8"/>
  <c r="BH588" i="8"/>
  <c r="BH637" i="8"/>
  <c r="BH681" i="8"/>
  <c r="BH723" i="8"/>
  <c r="BH760" i="8"/>
  <c r="BH794" i="8"/>
  <c r="BH829" i="8"/>
  <c r="BH861" i="8"/>
  <c r="BH898" i="8"/>
  <c r="BH931" i="8"/>
  <c r="BH967" i="8"/>
  <c r="BH998" i="8"/>
  <c r="BH1028" i="8"/>
  <c r="BH1056" i="8"/>
  <c r="BH1083" i="8"/>
  <c r="BH1109" i="8"/>
  <c r="BH44" i="8"/>
  <c r="BH104" i="8"/>
  <c r="BH164" i="8"/>
  <c r="BH227" i="8"/>
  <c r="BH284" i="8"/>
  <c r="BH337" i="8"/>
  <c r="BH385" i="8"/>
  <c r="BH437" i="8"/>
  <c r="BH488" i="8"/>
  <c r="BH541" i="8"/>
  <c r="BH589" i="8"/>
  <c r="BH640" i="8"/>
  <c r="BH682" i="8"/>
  <c r="BH724" i="8"/>
  <c r="BH761" i="8"/>
  <c r="BH795" i="8"/>
  <c r="BH830" i="8"/>
  <c r="BH864" i="8"/>
  <c r="BH900" i="8"/>
  <c r="BH932" i="8"/>
  <c r="BH968" i="8"/>
  <c r="BH999" i="8"/>
  <c r="BH1029" i="8"/>
  <c r="BH1057" i="8"/>
  <c r="BH1084" i="8"/>
  <c r="BH1110" i="8"/>
  <c r="BH48" i="8"/>
  <c r="BH105" i="8"/>
  <c r="BH173" i="8"/>
  <c r="BH234" i="8"/>
  <c r="BH285" i="8"/>
  <c r="BH338" i="8"/>
  <c r="BH389" i="8"/>
  <c r="BH444" i="8"/>
  <c r="BH494" i="8"/>
  <c r="BH542" i="8"/>
  <c r="BH591" i="8"/>
  <c r="BH641" i="8"/>
  <c r="BH685" i="8"/>
  <c r="BH725" i="8"/>
  <c r="BH762" i="8"/>
  <c r="BH796" i="8"/>
  <c r="BH831" i="8"/>
  <c r="BH867" i="8"/>
  <c r="BH901" i="8"/>
  <c r="BH933" i="8"/>
  <c r="BH969" i="8"/>
  <c r="BH1002" i="8"/>
  <c r="BH1030" i="8"/>
  <c r="BH1058" i="8"/>
  <c r="BH1085" i="8"/>
  <c r="BH1111" i="8"/>
  <c r="BH85" i="8"/>
  <c r="BH205" i="8"/>
  <c r="BH313" i="8"/>
  <c r="BH419" i="8"/>
  <c r="BH521" i="8"/>
  <c r="BH618" i="8"/>
  <c r="BH708" i="8"/>
  <c r="BH780" i="8"/>
  <c r="BH849" i="8"/>
  <c r="BH918" i="8"/>
  <c r="BH987" i="8"/>
  <c r="BH1044" i="8"/>
  <c r="BH1098" i="8"/>
  <c r="BH86" i="8"/>
  <c r="BH206" i="8"/>
  <c r="BH316" i="8"/>
  <c r="BH420" i="8"/>
  <c r="BH522" i="8"/>
  <c r="BH619" i="8"/>
  <c r="BH709" i="8"/>
  <c r="BH781" i="8"/>
  <c r="BH850" i="8"/>
  <c r="BH921" i="8"/>
  <c r="BH988" i="8"/>
  <c r="BH1045" i="8"/>
  <c r="BH1099" i="8"/>
  <c r="BH92" i="8"/>
  <c r="BH219" i="8"/>
  <c r="BH320" i="8"/>
  <c r="BH432" i="8"/>
  <c r="BH533" i="8"/>
  <c r="BH631" i="8"/>
  <c r="BH713" i="8"/>
  <c r="BH788" i="8"/>
  <c r="BH857" i="8"/>
  <c r="BH927" i="8"/>
  <c r="BH993" i="8"/>
  <c r="BH1049" i="8"/>
  <c r="BH1105" i="8"/>
  <c r="BH98" i="8"/>
  <c r="BH220" i="8"/>
  <c r="BH325" i="8"/>
  <c r="BH433" i="8"/>
  <c r="BH534" i="8"/>
  <c r="BH632" i="8"/>
  <c r="BH714" i="8"/>
  <c r="BH789" i="8"/>
  <c r="BH858" i="8"/>
  <c r="BH928" i="8"/>
  <c r="BH994" i="8"/>
  <c r="BH1050" i="8"/>
  <c r="BH1106" i="8"/>
  <c r="BH112" i="8"/>
  <c r="BH235" i="8"/>
  <c r="BH339" i="8"/>
  <c r="BH445" i="8"/>
  <c r="BH548" i="8"/>
  <c r="BH644" i="8"/>
  <c r="BH726" i="8"/>
  <c r="BH797" i="8"/>
  <c r="BH868" i="8"/>
  <c r="BH936" i="8"/>
  <c r="BH1003" i="8"/>
  <c r="BH1059" i="8"/>
  <c r="BH1112" i="8"/>
  <c r="BH114" i="8"/>
  <c r="BH122" i="8"/>
  <c r="BH239" i="8"/>
  <c r="BH344" i="8"/>
  <c r="BH450" i="8"/>
  <c r="BH552" i="8"/>
  <c r="BH650" i="8"/>
  <c r="BH733" i="8"/>
  <c r="BH802" i="8"/>
  <c r="BH872" i="8"/>
  <c r="BH941" i="8"/>
  <c r="BH1006" i="8"/>
  <c r="BH1062" i="8"/>
  <c r="BH1115" i="8"/>
  <c r="BH128" i="8"/>
  <c r="BH249" i="8"/>
  <c r="BH353" i="8"/>
  <c r="BH459" i="8"/>
  <c r="BH559" i="8"/>
  <c r="BH655" i="8"/>
  <c r="BH737" i="8"/>
  <c r="BH807" i="8"/>
  <c r="BH877" i="8"/>
  <c r="BH945" i="8"/>
  <c r="BH1011" i="8"/>
  <c r="BH1066" i="8"/>
  <c r="BH1119" i="8"/>
  <c r="BH26" i="8"/>
  <c r="BH146" i="8"/>
  <c r="BH261" i="8"/>
  <c r="BH368" i="8"/>
  <c r="BH472" i="8"/>
  <c r="BH572" i="8"/>
  <c r="BH666" i="8"/>
  <c r="BH748" i="8"/>
  <c r="BH818" i="8"/>
  <c r="BH885" i="8"/>
  <c r="BH955" i="8"/>
  <c r="BH1017" i="8"/>
  <c r="BH1072" i="8"/>
  <c r="BH1127" i="8"/>
  <c r="BH29" i="8"/>
  <c r="BH151" i="8"/>
  <c r="BH268" i="8"/>
  <c r="BH372" i="8"/>
  <c r="BH482" i="8"/>
  <c r="BH580" i="8"/>
  <c r="BH676" i="8"/>
  <c r="BH751" i="8"/>
  <c r="BH821" i="8"/>
  <c r="BH890" i="8"/>
  <c r="BH960" i="8"/>
  <c r="BH1021" i="8"/>
  <c r="BH1075" i="8"/>
  <c r="BH30" i="8"/>
  <c r="BH159" i="8"/>
  <c r="BH271" i="8"/>
  <c r="BH377" i="8"/>
  <c r="BH483" i="8"/>
  <c r="BH581" i="8"/>
  <c r="BH677" i="8"/>
  <c r="BH752" i="8"/>
  <c r="BH822" i="8"/>
  <c r="BH891" i="8"/>
  <c r="BH961" i="8"/>
  <c r="BH1022" i="8"/>
  <c r="BH1078" i="8"/>
  <c r="BH32" i="8"/>
  <c r="BH160" i="8"/>
  <c r="BH272" i="8"/>
  <c r="BH378" i="8"/>
  <c r="BH484" i="8"/>
  <c r="BH582" i="8"/>
  <c r="BH678" i="8"/>
  <c r="BH753" i="8"/>
  <c r="BH823" i="8"/>
  <c r="BH894" i="8"/>
  <c r="BH962" i="8"/>
  <c r="BH1023" i="8"/>
  <c r="BH1080" i="8"/>
  <c r="BH52" i="8"/>
  <c r="BH174" i="8"/>
  <c r="BH287" i="8"/>
  <c r="BH391" i="8"/>
  <c r="BH498" i="8"/>
  <c r="BH599" i="8"/>
  <c r="BH686" i="8"/>
  <c r="BH763" i="8"/>
  <c r="BH832" i="8"/>
  <c r="BH902" i="8"/>
  <c r="BH970" i="8"/>
  <c r="BH1032" i="8"/>
  <c r="BH1086" i="8"/>
  <c r="BH53" i="8"/>
  <c r="BH177" i="8"/>
  <c r="BH288" i="8"/>
  <c r="BH393" i="8"/>
  <c r="BH499" i="8"/>
  <c r="BH600" i="8"/>
  <c r="BH690" i="8"/>
  <c r="BH764" i="8"/>
  <c r="BH833" i="8"/>
  <c r="BH903" i="8"/>
  <c r="BH972" i="8"/>
  <c r="BH1033" i="8"/>
  <c r="BH1087" i="8"/>
  <c r="BH56" i="8"/>
  <c r="BH236" i="8"/>
  <c r="BH457" i="8"/>
  <c r="BH669" i="8"/>
  <c r="BH835" i="8"/>
  <c r="BH981" i="8"/>
  <c r="BH1104" i="8"/>
  <c r="BH237" i="8"/>
  <c r="BH471" i="8"/>
  <c r="BH691" i="8"/>
  <c r="BH843" i="8"/>
  <c r="BH989" i="8"/>
  <c r="BH1113" i="8"/>
  <c r="BH246" i="8"/>
  <c r="BH475" i="8"/>
  <c r="BH692" i="8"/>
  <c r="BH844" i="8"/>
  <c r="BH992" i="8"/>
  <c r="BH1114" i="8"/>
  <c r="BH266" i="8"/>
  <c r="BH501" i="8"/>
  <c r="BH701" i="8"/>
  <c r="BH856" i="8"/>
  <c r="BH1005" i="8"/>
  <c r="BH1124" i="8"/>
  <c r="BH289" i="8"/>
  <c r="BH509" i="8"/>
  <c r="BH710" i="8"/>
  <c r="BH870" i="8"/>
  <c r="BH1010" i="8"/>
  <c r="BH1128" i="8"/>
  <c r="BH291" i="8"/>
  <c r="BH510" i="8"/>
  <c r="BH712" i="8"/>
  <c r="BH871" i="8"/>
  <c r="BH1016" i="8"/>
  <c r="BH20" i="8"/>
  <c r="BH301" i="8"/>
  <c r="BH523" i="8"/>
  <c r="BH729" i="8"/>
  <c r="BH876" i="8"/>
  <c r="BH1018" i="8"/>
  <c r="BH27" i="8"/>
  <c r="BH302" i="8"/>
  <c r="BH530" i="8"/>
  <c r="BH57" i="8"/>
  <c r="BH317" i="8"/>
  <c r="BH549" i="8"/>
  <c r="BH67" i="8"/>
  <c r="BH340" i="8"/>
  <c r="BH555" i="8"/>
  <c r="BH749" i="8"/>
  <c r="BH905" i="8"/>
  <c r="BH1039" i="8"/>
  <c r="BH87" i="8"/>
  <c r="BH343" i="8"/>
  <c r="BH568" i="8"/>
  <c r="BH765" i="8"/>
  <c r="BH912" i="8"/>
  <c r="BH1046" i="8"/>
  <c r="BH89" i="8"/>
  <c r="BH352" i="8"/>
  <c r="BH576" i="8"/>
  <c r="BH768" i="8"/>
  <c r="BH913" i="8"/>
  <c r="BH1048" i="8"/>
  <c r="BH121" i="8"/>
  <c r="BH367" i="8"/>
  <c r="BH601" i="8"/>
  <c r="BH771" i="8"/>
  <c r="BH922" i="8"/>
  <c r="BH1060" i="8"/>
  <c r="BH127" i="8"/>
  <c r="BH369" i="8"/>
  <c r="BH602" i="8"/>
  <c r="BH774" i="8"/>
  <c r="BH926" i="8"/>
  <c r="BH1061" i="8"/>
  <c r="BH145" i="8"/>
  <c r="BH398" i="8"/>
  <c r="BH607" i="8"/>
  <c r="BH784" i="8"/>
  <c r="BH939" i="8"/>
  <c r="BH1065" i="8"/>
  <c r="BH147" i="8"/>
  <c r="BH399" i="8"/>
  <c r="BH608" i="8"/>
  <c r="BH787" i="8"/>
  <c r="BH940" i="8"/>
  <c r="BH1071" i="8"/>
  <c r="BH180" i="8"/>
  <c r="BH404" i="8"/>
  <c r="BH620" i="8"/>
  <c r="BH798" i="8"/>
  <c r="BH944" i="8"/>
  <c r="BH1073" i="8"/>
  <c r="BH181" i="8"/>
  <c r="BH405" i="8"/>
  <c r="BH630" i="8"/>
  <c r="BH801" i="8"/>
  <c r="BH954" i="8"/>
  <c r="BH1088" i="8"/>
  <c r="BH187" i="8"/>
  <c r="BH421" i="8"/>
  <c r="BH698" i="8"/>
  <c r="BH1118" i="8"/>
  <c r="BH730" i="8"/>
  <c r="BH806" i="8"/>
  <c r="BH817" i="8"/>
  <c r="BH819" i="8"/>
  <c r="BH834" i="8"/>
  <c r="BH852" i="8"/>
  <c r="BH66" i="8"/>
  <c r="BH884" i="8"/>
  <c r="BH209" i="8"/>
  <c r="BH904" i="8"/>
  <c r="BH216" i="8"/>
  <c r="BH956" i="8"/>
  <c r="BH259" i="8"/>
  <c r="BH973" i="8"/>
  <c r="BH319" i="8"/>
  <c r="BH976" i="8"/>
  <c r="BH425" i="8"/>
  <c r="BH980" i="8"/>
  <c r="BH448" i="8"/>
  <c r="BH1004" i="8"/>
  <c r="BH449" i="8"/>
  <c r="BH1034" i="8"/>
  <c r="BH500" i="8"/>
  <c r="BH1035" i="8"/>
  <c r="BH551" i="8"/>
  <c r="BH1038" i="8"/>
  <c r="BH645" i="8"/>
  <c r="BH1089" i="8"/>
  <c r="BH653" i="8"/>
  <c r="BH1093" i="8"/>
  <c r="BH192" i="8"/>
  <c r="BH665" i="8"/>
  <c r="BH736" i="8"/>
  <c r="BH744" i="8"/>
  <c r="BH888" i="8"/>
  <c r="BH1092" i="8"/>
  <c r="BH1100" i="8"/>
  <c r="BH649" i="8"/>
  <c r="AB1129" i="2"/>
  <c r="AC1067" i="2" l="1"/>
  <c r="AC827" i="2"/>
  <c r="AC859" i="2"/>
  <c r="AC1092" i="2"/>
  <c r="AC1087" i="2"/>
  <c r="AC682" i="2"/>
  <c r="AC707" i="2"/>
  <c r="AC909" i="2"/>
  <c r="AC636" i="2"/>
  <c r="AC588" i="2"/>
  <c r="AC876" i="2"/>
  <c r="AC857" i="2"/>
  <c r="AC756" i="2"/>
  <c r="AC609" i="2"/>
  <c r="AC923" i="2"/>
  <c r="AC731" i="2"/>
  <c r="AC710" i="2"/>
  <c r="AC1044" i="2"/>
  <c r="AC660" i="2"/>
  <c r="AC920" i="2"/>
  <c r="AC804" i="2"/>
  <c r="AC587" i="2"/>
  <c r="AC779" i="2"/>
  <c r="AC995" i="2"/>
  <c r="AC583" i="2"/>
  <c r="AC872" i="2"/>
  <c r="AC732" i="2"/>
  <c r="AC803" i="2"/>
  <c r="AC1016" i="2"/>
  <c r="AC611" i="2"/>
  <c r="AC946" i="2"/>
  <c r="AC659" i="2"/>
  <c r="AC996" i="2"/>
  <c r="AC971" i="2"/>
  <c r="AC828" i="2"/>
  <c r="AC948" i="2"/>
  <c r="AC852" i="2"/>
  <c r="AC1043" i="2"/>
  <c r="AC974" i="2"/>
  <c r="AC755" i="2"/>
  <c r="AC780" i="2"/>
  <c r="AC635" i="2"/>
  <c r="AC1020" i="2"/>
  <c r="AC814" i="2"/>
  <c r="AC1062" i="2"/>
  <c r="AC922" i="2"/>
  <c r="AC860" i="2"/>
  <c r="AC1068" i="2"/>
  <c r="AC1064" i="2"/>
  <c r="AC822" i="2"/>
  <c r="AC972" i="2"/>
  <c r="AC1105" i="2"/>
  <c r="AC851" i="2"/>
  <c r="AC918" i="2"/>
  <c r="AC874" i="2"/>
  <c r="AC692" i="2"/>
  <c r="AC841" i="2"/>
  <c r="AC684" i="2"/>
  <c r="AC683" i="2"/>
  <c r="AC868" i="2"/>
  <c r="AC612" i="2"/>
  <c r="AC970" i="2"/>
  <c r="AC1042" i="2"/>
  <c r="AC1019" i="2"/>
  <c r="AC848" i="2"/>
  <c r="AC897" i="2"/>
  <c r="AC998" i="2"/>
  <c r="AC701" i="2"/>
  <c r="AC622" i="2"/>
  <c r="AC1100" i="2"/>
  <c r="AC832" i="2"/>
  <c r="AC733" i="2"/>
  <c r="AC1079" i="2"/>
  <c r="AC616" i="2"/>
  <c r="AC781" i="2"/>
  <c r="AC752" i="2"/>
  <c r="AC1090" i="2"/>
  <c r="AC864" i="2"/>
  <c r="AC821" i="2"/>
  <c r="AC568" i="2"/>
  <c r="AC1040" i="2"/>
  <c r="AC796" i="2"/>
  <c r="AC1009" i="2"/>
  <c r="AC773" i="2"/>
  <c r="AC658" i="2"/>
  <c r="AC1072" i="2"/>
  <c r="AC749" i="2"/>
  <c r="AC1008" i="2"/>
  <c r="AC801" i="2"/>
  <c r="AC595" i="2"/>
  <c r="AC1056" i="2"/>
  <c r="AC579" i="2"/>
  <c r="AC1113" i="2"/>
  <c r="AC1112" i="2"/>
  <c r="AC969" i="2"/>
  <c r="AC845" i="2"/>
  <c r="AC691" i="2"/>
  <c r="AC942" i="2"/>
  <c r="AC767" i="2"/>
  <c r="AC729" i="2"/>
  <c r="AC644" i="2"/>
  <c r="AC894" i="2"/>
  <c r="AC722" i="2"/>
  <c r="AC799" i="2"/>
  <c r="AC865" i="2"/>
  <c r="AC675" i="2"/>
  <c r="AC669" i="2"/>
  <c r="AC613" i="2"/>
  <c r="AC586" i="2"/>
  <c r="AC730" i="2"/>
  <c r="AC800" i="2"/>
  <c r="AC764" i="2"/>
  <c r="AC880" i="2"/>
  <c r="AC858" i="2"/>
  <c r="AC1001" i="2"/>
  <c r="AC699" i="2"/>
  <c r="AC734" i="2"/>
  <c r="AC825" i="2"/>
  <c r="AC1021" i="2"/>
  <c r="AC956" i="2"/>
  <c r="AC572" i="2"/>
  <c r="AC571" i="2"/>
  <c r="AC808" i="2"/>
  <c r="AC598" i="2"/>
  <c r="AC1119" i="2"/>
  <c r="AC1041" i="2"/>
  <c r="AC700" i="2"/>
  <c r="AC757" i="2"/>
  <c r="AC615" i="2"/>
  <c r="AC1047" i="2"/>
  <c r="AC592" i="2"/>
  <c r="AC618" i="2"/>
  <c r="AC680" i="2"/>
  <c r="AC574" i="2"/>
  <c r="AC816" i="2"/>
  <c r="AC783" i="2"/>
  <c r="AC1083" i="2"/>
  <c r="AC1088" i="2"/>
  <c r="AC720" i="2"/>
  <c r="AC1101" i="2"/>
  <c r="AC819" i="2"/>
  <c r="AC867" i="2"/>
  <c r="AC1127" i="2"/>
  <c r="AC624" i="2"/>
  <c r="AC763" i="2"/>
  <c r="AC979" i="2"/>
  <c r="AC649" i="2"/>
  <c r="AC1060" i="2"/>
  <c r="AC589" i="2"/>
  <c r="AC1037" i="2"/>
  <c r="AC717" i="2"/>
  <c r="AC627" i="2"/>
  <c r="AC743" i="2"/>
  <c r="AC792" i="2"/>
  <c r="AC1050" i="2"/>
  <c r="AC651" i="2"/>
  <c r="AC610" i="2"/>
  <c r="AC1066" i="2"/>
  <c r="AC713" i="2"/>
  <c r="AC591" i="2"/>
  <c r="AC576" i="2"/>
  <c r="AC870" i="2"/>
  <c r="AC648" i="2"/>
  <c r="AC1075" i="2"/>
  <c r="AC893" i="2"/>
  <c r="AC640" i="2"/>
  <c r="AC930" i="2"/>
  <c r="AC947" i="2"/>
  <c r="AC945" i="2"/>
  <c r="AC936" i="2"/>
  <c r="AC937" i="2"/>
  <c r="AC846" i="2"/>
  <c r="AC725" i="2"/>
  <c r="AC719" i="2"/>
  <c r="AC712" i="2"/>
  <c r="AC623" i="2"/>
  <c r="AC708" i="2"/>
  <c r="AC1106" i="2"/>
  <c r="AC577" i="2"/>
  <c r="AC984" i="2"/>
  <c r="AC569" i="2"/>
  <c r="AC917" i="2"/>
  <c r="AC887" i="2"/>
  <c r="AC625" i="2"/>
  <c r="AC605" i="2"/>
  <c r="AC913" i="2"/>
  <c r="AC614" i="2"/>
  <c r="AC1069" i="2"/>
  <c r="AC1002" i="2"/>
  <c r="AC826" i="2"/>
  <c r="AC987" i="2"/>
  <c r="AC885" i="2"/>
  <c r="AC967" i="2"/>
  <c r="AC1081" i="2"/>
  <c r="AC1108" i="2"/>
  <c r="AC1028" i="2"/>
  <c r="AC647" i="2"/>
  <c r="AC697" i="2"/>
  <c r="AC805" i="2"/>
  <c r="AC992" i="2"/>
  <c r="AC978" i="2"/>
  <c r="AC1048" i="2"/>
  <c r="AC703" i="2"/>
  <c r="AC754" i="2"/>
  <c r="AC1014" i="2"/>
  <c r="AC836" i="2"/>
  <c r="AC1027" i="2"/>
  <c r="AC829" i="2"/>
  <c r="AC628" i="2"/>
  <c r="AC890" i="2"/>
  <c r="AC695" i="2"/>
  <c r="AC1097" i="2"/>
  <c r="AC772" i="2"/>
  <c r="AC949" i="2"/>
  <c r="AC778" i="2"/>
  <c r="AC1004" i="2"/>
  <c r="AC899" i="2"/>
  <c r="AC1049" i="2"/>
  <c r="AC1000" i="2"/>
  <c r="AC889" i="2"/>
  <c r="AC626" i="2"/>
  <c r="AC590" i="2"/>
  <c r="AC866" i="2"/>
  <c r="AC990" i="2"/>
  <c r="AC670" i="2"/>
  <c r="AC1111" i="2"/>
  <c r="AC785" i="2"/>
  <c r="AC646" i="2"/>
  <c r="AC1051" i="2"/>
  <c r="AC963" i="2"/>
  <c r="AC654" i="2"/>
  <c r="AC597" i="2"/>
  <c r="AC881" i="2"/>
  <c r="AC619" i="2"/>
  <c r="AC959" i="2"/>
  <c r="AC1117" i="2"/>
  <c r="AC903" i="2"/>
  <c r="AC721" i="2"/>
  <c r="AC914" i="2"/>
  <c r="AC806" i="2"/>
  <c r="AC784" i="2"/>
  <c r="AC938" i="2"/>
  <c r="AC1094" i="2"/>
  <c r="AC750" i="2"/>
  <c r="AC1036" i="2"/>
  <c r="AC690" i="2"/>
  <c r="AC1058" i="2"/>
  <c r="AC830" i="2"/>
  <c r="AC673" i="2"/>
  <c r="AC1024" i="2"/>
  <c r="AC1110" i="2"/>
  <c r="AC823" i="2"/>
  <c r="AC736" i="2"/>
  <c r="AC1125" i="2"/>
  <c r="AC655" i="2"/>
  <c r="AC1084" i="2"/>
  <c r="AC601" i="2"/>
  <c r="AC787" i="2"/>
  <c r="AC1126" i="2"/>
  <c r="AC891" i="2"/>
  <c r="AC657" i="2"/>
  <c r="AC988" i="2"/>
  <c r="AC916" i="2"/>
  <c r="AC596" i="2"/>
  <c r="AC980" i="2"/>
  <c r="AC944" i="2"/>
  <c r="AC661" i="2"/>
  <c r="AC1102" i="2"/>
  <c r="AC1122" i="2"/>
  <c r="AC642" i="2"/>
  <c r="AC802" i="2"/>
  <c r="AC962" i="2"/>
  <c r="AC665" i="2"/>
  <c r="AC688" i="2"/>
  <c r="AC896" i="2"/>
  <c r="AC993" i="2"/>
  <c r="AC679" i="2"/>
  <c r="AC674" i="2"/>
  <c r="AC1035" i="2"/>
  <c r="AC567" i="2"/>
  <c r="AC711" i="2"/>
  <c r="AC593" i="2"/>
  <c r="AC1077" i="2"/>
  <c r="AC664" i="2"/>
  <c r="AC620" i="2"/>
  <c r="AC820" i="2"/>
  <c r="AC965" i="2"/>
  <c r="AC570" i="2"/>
  <c r="AC606" i="2"/>
  <c r="AC932" i="2"/>
  <c r="AC833" i="2"/>
  <c r="AC906" i="2"/>
  <c r="AC1073" i="2"/>
  <c r="AC842" i="2"/>
  <c r="AC905" i="2"/>
  <c r="AC746" i="2"/>
  <c r="AC854" i="2"/>
  <c r="AC608" i="2"/>
  <c r="AC943" i="2"/>
  <c r="AC1045" i="2"/>
  <c r="AC1054" i="2"/>
  <c r="AC662" i="2"/>
  <c r="AC739" i="2"/>
  <c r="AC1032" i="2"/>
  <c r="AC1003" i="2"/>
  <c r="AC813" i="2"/>
  <c r="AC689" i="2"/>
  <c r="AC908" i="2"/>
  <c r="AC895" i="2"/>
  <c r="AC939" i="2"/>
  <c r="AC768" i="2"/>
  <c r="AC855" i="2"/>
  <c r="AC1118" i="2"/>
  <c r="AC1070" i="2"/>
  <c r="AC1078" i="2"/>
  <c r="AC1017" i="2"/>
  <c r="AC835" i="2"/>
  <c r="AC653" i="2"/>
  <c r="AC818" i="2"/>
  <c r="AC912" i="2"/>
  <c r="AC769" i="2"/>
  <c r="AC966" i="2"/>
  <c r="AC714" i="2"/>
  <c r="AC1080" i="2"/>
  <c r="AC940" i="2"/>
  <c r="AC762" i="2"/>
  <c r="AC1128" i="2"/>
  <c r="AC735" i="2"/>
  <c r="AC798" i="2"/>
  <c r="AC607" i="2"/>
  <c r="AC776" i="2"/>
  <c r="AC1023" i="2"/>
  <c r="AC961" i="2"/>
  <c r="AC793" i="2"/>
  <c r="AC581" i="2"/>
  <c r="AC790" i="2"/>
  <c r="AC621" i="2"/>
  <c r="AC599" i="2"/>
  <c r="AC952" i="2"/>
  <c r="AC1091" i="2"/>
  <c r="AC863" i="2"/>
  <c r="AC1053" i="2"/>
  <c r="AC685" i="2"/>
  <c r="AC748" i="2"/>
  <c r="AC1123" i="2"/>
  <c r="AC724" i="2"/>
  <c r="AC849" i="2"/>
  <c r="AC795" i="2"/>
  <c r="AC1018" i="2"/>
  <c r="AC741" i="2"/>
  <c r="AC638" i="2"/>
  <c r="AC900" i="2"/>
  <c r="AC1115" i="2"/>
  <c r="AC883" i="2"/>
  <c r="AC1022" i="2"/>
  <c r="AC929" i="2"/>
  <c r="AC875" i="2"/>
  <c r="AC991" i="2"/>
  <c r="AC788" i="2"/>
  <c r="AC694" i="2"/>
  <c r="AC878" i="2"/>
  <c r="AC955" i="2"/>
  <c r="AC584" i="2"/>
  <c r="AC1085" i="2"/>
  <c r="AC954" i="2"/>
  <c r="AC809" i="2"/>
  <c r="AC982" i="2"/>
  <c r="AC671" i="2"/>
  <c r="AC738" i="2"/>
  <c r="AC696" i="2"/>
  <c r="AC1005" i="2"/>
  <c r="AC1093" i="2"/>
  <c r="AC950" i="2"/>
  <c r="AC958" i="2"/>
  <c r="AC1063" i="2"/>
  <c r="AC668" i="2"/>
  <c r="AC582" i="2"/>
  <c r="AC812" i="2"/>
  <c r="AC718" i="2"/>
  <c r="AC600" i="2"/>
  <c r="AC856" i="2"/>
  <c r="AC924" i="2"/>
  <c r="AC1031" i="2"/>
  <c r="AC919" i="2"/>
  <c r="AC681" i="2"/>
  <c r="AC794" i="2"/>
  <c r="AC634" i="2"/>
  <c r="AC742" i="2"/>
  <c r="AC745" i="2"/>
  <c r="AC941" i="2"/>
  <c r="AC726" i="2"/>
  <c r="AC853" i="2"/>
  <c r="AC1013" i="2"/>
  <c r="AC892" i="2"/>
  <c r="AC1089" i="2"/>
  <c r="AC602" i="2"/>
  <c r="AC676" i="2"/>
  <c r="AC629" i="2"/>
  <c r="AC934" i="2"/>
  <c r="AC850" i="2"/>
  <c r="AC935" i="2"/>
  <c r="AC645" i="2"/>
  <c r="AC910" i="2"/>
  <c r="AC928" i="2"/>
  <c r="AC737" i="2"/>
  <c r="AC1121" i="2"/>
  <c r="AC1098" i="2"/>
  <c r="AC753" i="2"/>
  <c r="AC824" i="2"/>
  <c r="AC862" i="2"/>
  <c r="AC1007" i="2"/>
  <c r="AC744" i="2"/>
  <c r="AC976" i="2"/>
  <c r="AC994" i="2"/>
  <c r="AC1074" i="2"/>
  <c r="AC782" i="2"/>
  <c r="AC877" i="2"/>
  <c r="AC585" i="2"/>
  <c r="AC838" i="2"/>
  <c r="AC663" i="2"/>
  <c r="AC633" i="2"/>
  <c r="AC1109" i="2"/>
  <c r="AC698" i="2"/>
  <c r="AC953" i="2"/>
  <c r="AC886" i="2"/>
  <c r="AC1026" i="2"/>
  <c r="AC811" i="2"/>
  <c r="AC1076" i="2"/>
  <c r="AC1086" i="2"/>
  <c r="AC652" i="2"/>
  <c r="AC1055" i="2"/>
  <c r="AC869" i="2"/>
  <c r="AC951" i="2"/>
  <c r="AC907" i="2"/>
  <c r="AC643" i="2"/>
  <c r="AC617" i="2"/>
  <c r="AC786" i="2"/>
  <c r="AC911" i="2"/>
  <c r="AC1046" i="2"/>
  <c r="AC727" i="2"/>
  <c r="AC693" i="2"/>
  <c r="AC1057" i="2"/>
  <c r="AC687" i="2"/>
  <c r="AC1052" i="2"/>
  <c r="AC843" i="2"/>
  <c r="AC921" i="2"/>
  <c r="AC747" i="2"/>
  <c r="AC904" i="2"/>
  <c r="AC740" i="2"/>
  <c r="AC630" i="2"/>
  <c r="AC774" i="2"/>
  <c r="AC666" i="2"/>
  <c r="AC686" i="2"/>
  <c r="AC834" i="2"/>
  <c r="AC637" i="2"/>
  <c r="AC837" i="2"/>
  <c r="AC1116" i="2"/>
  <c r="AC871" i="2"/>
  <c r="AC844" i="2"/>
  <c r="AC839" i="2"/>
  <c r="AC765" i="2"/>
  <c r="AC1039" i="2"/>
  <c r="AC817" i="2"/>
  <c r="AC1006" i="2"/>
  <c r="AC650" i="2"/>
  <c r="AC594" i="2"/>
  <c r="AC667" i="2"/>
  <c r="AC997" i="2"/>
  <c r="AC578" i="2"/>
  <c r="AC882" i="2"/>
  <c r="AC861" i="2"/>
  <c r="AC1099" i="2"/>
  <c r="AC759" i="2"/>
  <c r="AC964" i="2"/>
  <c r="AC1114" i="2"/>
  <c r="AC702" i="2"/>
  <c r="AC1104" i="2"/>
  <c r="AC1096" i="2"/>
  <c r="AC931" i="2"/>
  <c r="AC728" i="2"/>
  <c r="AC771" i="2"/>
  <c r="AC1010" i="2"/>
  <c r="AC760" i="2"/>
  <c r="AC915" i="2"/>
  <c r="AC884" i="2"/>
  <c r="AC639" i="2"/>
  <c r="AC704" i="2"/>
  <c r="AC1124" i="2"/>
  <c r="AC1095" i="2"/>
  <c r="AC677" i="2"/>
  <c r="AC1120" i="2"/>
  <c r="AC957" i="2"/>
  <c r="AC901" i="2"/>
  <c r="AC777" i="2"/>
  <c r="AC631" i="2"/>
  <c r="AC999" i="2"/>
  <c r="AC632" i="2"/>
  <c r="AC604" i="2"/>
  <c r="AC797" i="2"/>
  <c r="AC1065" i="2"/>
  <c r="AC873" i="2"/>
  <c r="AC1071" i="2"/>
  <c r="AC791" i="2"/>
  <c r="AC656" i="2"/>
  <c r="AC705" i="2"/>
  <c r="AC810" i="2"/>
  <c r="AC1107" i="2"/>
  <c r="AC715" i="2"/>
  <c r="AC575" i="2"/>
  <c r="AC815" i="2"/>
  <c r="AC1061" i="2"/>
  <c r="AC902" i="2"/>
  <c r="AC927" i="2"/>
  <c r="AC775" i="2"/>
  <c r="AC751" i="2"/>
  <c r="AC807" i="2"/>
  <c r="AC879" i="2"/>
  <c r="AC1012" i="2"/>
  <c r="AC1103" i="2"/>
  <c r="AC1059" i="2"/>
  <c r="AC641" i="2"/>
  <c r="AC1030" i="2"/>
  <c r="AC981" i="2"/>
  <c r="AC933" i="2"/>
  <c r="AC1082" i="2"/>
  <c r="AC986" i="2"/>
  <c r="AC678" i="2"/>
  <c r="AC1038" i="2"/>
  <c r="AC1011" i="2"/>
  <c r="AC989" i="2"/>
  <c r="AC926" i="2"/>
  <c r="AC831" i="2"/>
  <c r="AC716" i="2"/>
  <c r="AC766" i="2"/>
  <c r="AC789" i="2"/>
  <c r="AC888" i="2"/>
  <c r="AC580" i="2"/>
  <c r="AC770" i="2"/>
  <c r="AC1029" i="2"/>
  <c r="AC960" i="2"/>
  <c r="AC1033" i="2"/>
  <c r="AC975" i="2"/>
  <c r="AC968" i="2"/>
  <c r="AC761" i="2"/>
  <c r="AC898" i="2"/>
  <c r="AC1015" i="2"/>
  <c r="AC672" i="2"/>
  <c r="AC706" i="2"/>
  <c r="AC973" i="2"/>
  <c r="AC709" i="2"/>
  <c r="AC1034" i="2"/>
  <c r="AC603" i="2"/>
  <c r="AC925" i="2"/>
  <c r="AC573" i="2"/>
  <c r="AC977" i="2"/>
  <c r="AC985" i="2"/>
  <c r="AC983" i="2"/>
  <c r="AC758" i="2"/>
  <c r="AC723" i="2"/>
  <c r="AC840" i="2"/>
  <c r="AC847" i="2"/>
  <c r="AC1025" i="2"/>
  <c r="AC539" i="2"/>
  <c r="AC348" i="2"/>
  <c r="AC30" i="2"/>
  <c r="AC32" i="2"/>
  <c r="AC204" i="2"/>
  <c r="AC33" i="2"/>
  <c r="AC22" i="2"/>
  <c r="AC18" i="2"/>
  <c r="AC113" i="2"/>
  <c r="AC28" i="2"/>
  <c r="AC23" i="2"/>
  <c r="AC20" i="2"/>
  <c r="AC31" i="2"/>
  <c r="AC21" i="2"/>
  <c r="AC27" i="2"/>
  <c r="AC16" i="2"/>
  <c r="AC89" i="2"/>
  <c r="AC26" i="2"/>
  <c r="AC514" i="2"/>
  <c r="AC15" i="2"/>
  <c r="AC35" i="2"/>
  <c r="AC34" i="2"/>
  <c r="AC563" i="2"/>
  <c r="AC29" i="2"/>
  <c r="AC19" i="2"/>
  <c r="AC492" i="2"/>
  <c r="AC538" i="2"/>
  <c r="AC24" i="2"/>
  <c r="AC25" i="2"/>
  <c r="AC36" i="2"/>
  <c r="AC533" i="2"/>
  <c r="AC114" i="2"/>
  <c r="AC396" i="2"/>
  <c r="AC215" i="2"/>
  <c r="AC83" i="2"/>
  <c r="AC110" i="2"/>
  <c r="AC109" i="2"/>
  <c r="AC108" i="2"/>
  <c r="AC355" i="2"/>
  <c r="AC131" i="2"/>
  <c r="AC295" i="2"/>
  <c r="AC326" i="2"/>
  <c r="AC452" i="2"/>
  <c r="AC437" i="2"/>
  <c r="AC475" i="2"/>
  <c r="AC256" i="2"/>
  <c r="AC262" i="2"/>
  <c r="AC140" i="2"/>
  <c r="AC216" i="2"/>
  <c r="AC64" i="2"/>
  <c r="AC86" i="2"/>
  <c r="AC117" i="2"/>
  <c r="AC332" i="2"/>
  <c r="AC94" i="2"/>
  <c r="AC46" i="2"/>
  <c r="AC199" i="2"/>
  <c r="AC250" i="2"/>
  <c r="AC42" i="2"/>
  <c r="AC51" i="2"/>
  <c r="AC258" i="2"/>
  <c r="AC41" i="2"/>
  <c r="AC244" i="2"/>
  <c r="AC505" i="2"/>
  <c r="AC314" i="2"/>
  <c r="AC124" i="2"/>
  <c r="AC128" i="2"/>
  <c r="AC243" i="2"/>
  <c r="AC102" i="2"/>
  <c r="AC194" i="2"/>
  <c r="AC322" i="2"/>
  <c r="AC515" i="2"/>
  <c r="AC516" i="2"/>
  <c r="AC234" i="2"/>
  <c r="AC274" i="2"/>
  <c r="AC49" i="2"/>
  <c r="AC499" i="2"/>
  <c r="AC436" i="2"/>
  <c r="AC487" i="2"/>
  <c r="AC512" i="2"/>
  <c r="AC421" i="2"/>
  <c r="AC558" i="2"/>
  <c r="AC394" i="2"/>
  <c r="AC461" i="2"/>
  <c r="AC223" i="2"/>
  <c r="AC390" i="2"/>
  <c r="AC509" i="2"/>
  <c r="AC537" i="2"/>
  <c r="AC320" i="2"/>
  <c r="AC137" i="2"/>
  <c r="AC230" i="2"/>
  <c r="AC307" i="2"/>
  <c r="AC403" i="2"/>
  <c r="AC257" i="2"/>
  <c r="AC91" i="2"/>
  <c r="AC182" i="2"/>
  <c r="AC303" i="2"/>
  <c r="AC282" i="2"/>
  <c r="AC547" i="2"/>
  <c r="AC229" i="2"/>
  <c r="AC66" i="2"/>
  <c r="AC248" i="2"/>
  <c r="AC123" i="2"/>
  <c r="AC276" i="2"/>
  <c r="AC498" i="2"/>
  <c r="AC565" i="2"/>
  <c r="AC531" i="2"/>
  <c r="AC145" i="2"/>
  <c r="AC541" i="2"/>
  <c r="AC309" i="2"/>
  <c r="AC410" i="2"/>
  <c r="AC181" i="2"/>
  <c r="AC119" i="2"/>
  <c r="AC297" i="2"/>
  <c r="AC78" i="2"/>
  <c r="AC132" i="2"/>
  <c r="AC207" i="2"/>
  <c r="AC427" i="2"/>
  <c r="AC135" i="2"/>
  <c r="AC96" i="2"/>
  <c r="AC48" i="2"/>
  <c r="AC550" i="2"/>
  <c r="AC72" i="2"/>
  <c r="AC388" i="2"/>
  <c r="AC254" i="2"/>
  <c r="AC210" i="2"/>
  <c r="AC417" i="2"/>
  <c r="AC440" i="2"/>
  <c r="AC281" i="2"/>
  <c r="AC413" i="2"/>
  <c r="AC311" i="2"/>
  <c r="AC172" i="2"/>
  <c r="AC366" i="2"/>
  <c r="AC231" i="2"/>
  <c r="AC141" i="2"/>
  <c r="AC480" i="2"/>
  <c r="AC56" i="2"/>
  <c r="AC208" i="2"/>
  <c r="AC528" i="2"/>
  <c r="AC122" i="2"/>
  <c r="AC82" i="2"/>
  <c r="AC543" i="2"/>
  <c r="AC266" i="2"/>
  <c r="AC278" i="2"/>
  <c r="AC165" i="2"/>
  <c r="AC198" i="2"/>
  <c r="AC406" i="2"/>
  <c r="AC219" i="2"/>
  <c r="AC202" i="2"/>
  <c r="AC260" i="2"/>
  <c r="AC377" i="2"/>
  <c r="AC477" i="2"/>
  <c r="AC50" i="2"/>
  <c r="AC67" i="2"/>
  <c r="AC457" i="2"/>
  <c r="AC375" i="2"/>
  <c r="AC280" i="2"/>
  <c r="AC504" i="2"/>
  <c r="AC414" i="2"/>
  <c r="AC149" i="2"/>
  <c r="AC235" i="2"/>
  <c r="AC336" i="2"/>
  <c r="AC44" i="2"/>
  <c r="AC315" i="2"/>
  <c r="AC407" i="2"/>
  <c r="AC292" i="2"/>
  <c r="AC534" i="2"/>
  <c r="AC500" i="2"/>
  <c r="AC228" i="2"/>
  <c r="AC566" i="2"/>
  <c r="AC222" i="2"/>
  <c r="AC360" i="2"/>
  <c r="AC376" i="2"/>
  <c r="AC107" i="2"/>
  <c r="AC236" i="2"/>
  <c r="AC211" i="2"/>
  <c r="AC401" i="2"/>
  <c r="AC161" i="2"/>
  <c r="AC404" i="2"/>
  <c r="AC323" i="2"/>
  <c r="AC542" i="2"/>
  <c r="AC527" i="2"/>
  <c r="AC564" i="2"/>
  <c r="AC305" i="2"/>
  <c r="AC395" i="2"/>
  <c r="AC154" i="2"/>
  <c r="AC97" i="2"/>
  <c r="AC361" i="2"/>
  <c r="AC412" i="2"/>
  <c r="AC290" i="2"/>
  <c r="AC554" i="2"/>
  <c r="AC351" i="2"/>
  <c r="AC39" i="2"/>
  <c r="AC173" i="2"/>
  <c r="AC180" i="2"/>
  <c r="AC195" i="2"/>
  <c r="AC432" i="2"/>
  <c r="AC523" i="2"/>
  <c r="AC271" i="2"/>
  <c r="AC43" i="2"/>
  <c r="AC545" i="2"/>
  <c r="AC342" i="2"/>
  <c r="AC468" i="2"/>
  <c r="AC465" i="2"/>
  <c r="AC420" i="2"/>
  <c r="AC494" i="2"/>
  <c r="AC467" i="2"/>
  <c r="AC488" i="2"/>
  <c r="AC312" i="2"/>
  <c r="AC71" i="2"/>
  <c r="AC444" i="2"/>
  <c r="AC227" i="2"/>
  <c r="AC446" i="2"/>
  <c r="AC52" i="2"/>
  <c r="AC425" i="2"/>
  <c r="AC330" i="2"/>
  <c r="AC93" i="2"/>
  <c r="AC349" i="2"/>
  <c r="AC496" i="2"/>
  <c r="AC310" i="2"/>
  <c r="AC386" i="2"/>
  <c r="AC214" i="2"/>
  <c r="AC345" i="2"/>
  <c r="AC273" i="2"/>
  <c r="AC503" i="2"/>
  <c r="AC245" i="2"/>
  <c r="AC239" i="2"/>
  <c r="AC267" i="2"/>
  <c r="AC157" i="2"/>
  <c r="AC397" i="2"/>
  <c r="AC506" i="2"/>
  <c r="AC270" i="2"/>
  <c r="AC356" i="2"/>
  <c r="AC77" i="2"/>
  <c r="AC203" i="2"/>
  <c r="AC501" i="2"/>
  <c r="AC497" i="2"/>
  <c r="AC197" i="2"/>
  <c r="AC134" i="2"/>
  <c r="AC57" i="2"/>
  <c r="AC405" i="2"/>
  <c r="AC138" i="2"/>
  <c r="AC169" i="2"/>
  <c r="AC293" i="2"/>
  <c r="AC183" i="2"/>
  <c r="AC416" i="2"/>
  <c r="AC61" i="2"/>
  <c r="AC536" i="2"/>
  <c r="AC385" i="2"/>
  <c r="AC17" i="2"/>
  <c r="AC54" i="2"/>
  <c r="AC552" i="2"/>
  <c r="AC238" i="2"/>
  <c r="AC95" i="2"/>
  <c r="AC179" i="2"/>
  <c r="AC313" i="2"/>
  <c r="AC369" i="2"/>
  <c r="AC285" i="2"/>
  <c r="AC304" i="2"/>
  <c r="AC549" i="2"/>
  <c r="AC560" i="2"/>
  <c r="AC206" i="2"/>
  <c r="AC116" i="2"/>
  <c r="AC379" i="2"/>
  <c r="AC365" i="2"/>
  <c r="AC331" i="2"/>
  <c r="AC246" i="2"/>
  <c r="AC287" i="2"/>
  <c r="AC473" i="2"/>
  <c r="AC98" i="2"/>
  <c r="AC357" i="2"/>
  <c r="AC451" i="2"/>
  <c r="AC59" i="2"/>
  <c r="AC240" i="2"/>
  <c r="AC196" i="2"/>
  <c r="AC58" i="2"/>
  <c r="AC337" i="2"/>
  <c r="AC209" i="2"/>
  <c r="AC430" i="2"/>
  <c r="AC442" i="2"/>
  <c r="AC358" i="2"/>
  <c r="AC294" i="2"/>
  <c r="AC166" i="2"/>
  <c r="AC226" i="2"/>
  <c r="AC188" i="2"/>
  <c r="AC441" i="2"/>
  <c r="AC143" i="2"/>
  <c r="AC418" i="2"/>
  <c r="AC367" i="2"/>
  <c r="AC60" i="2"/>
  <c r="AC399" i="2"/>
  <c r="AC85" i="2"/>
  <c r="AC186" i="2"/>
  <c r="AC354" i="2"/>
  <c r="AC381" i="2"/>
  <c r="AC483" i="2"/>
  <c r="AC153" i="2"/>
  <c r="AC472" i="2"/>
  <c r="AC476" i="2"/>
  <c r="AC148" i="2"/>
  <c r="AC460" i="2"/>
  <c r="AC316" i="2"/>
  <c r="AC471" i="2"/>
  <c r="AC482" i="2"/>
  <c r="AC481" i="2"/>
  <c r="AC474" i="2"/>
  <c r="AC189" i="2"/>
  <c r="AC218" i="2"/>
  <c r="AC306" i="2"/>
  <c r="AC191" i="2"/>
  <c r="AC272" i="2"/>
  <c r="AC126" i="2"/>
  <c r="AC289" i="2"/>
  <c r="AC402" i="2"/>
  <c r="AC241" i="2"/>
  <c r="AC435" i="2"/>
  <c r="AC525" i="2"/>
  <c r="AC298" i="2"/>
  <c r="AC321" i="2"/>
  <c r="AC190" i="2"/>
  <c r="AC343" i="2"/>
  <c r="AC387" i="2"/>
  <c r="AC168" i="2"/>
  <c r="AC84" i="2"/>
  <c r="AC286" i="2"/>
  <c r="AC445" i="2"/>
  <c r="AC334" i="2"/>
  <c r="AC490" i="2"/>
  <c r="AC156" i="2"/>
  <c r="AC519" i="2"/>
  <c r="AC106" i="2"/>
  <c r="AC555" i="2"/>
  <c r="AC268" i="2"/>
  <c r="AC159" i="2"/>
  <c r="AC127" i="2"/>
  <c r="AC221" i="2"/>
  <c r="AC37" i="2"/>
  <c r="AC224" i="2"/>
  <c r="AC174" i="2"/>
  <c r="AC462" i="2"/>
  <c r="AC170" i="2"/>
  <c r="AC373" i="2"/>
  <c r="AC383" i="2"/>
  <c r="AC200" i="2"/>
  <c r="AC486" i="2"/>
  <c r="AC439" i="2"/>
  <c r="AC391" i="2"/>
  <c r="AC147" i="2"/>
  <c r="AC546" i="2"/>
  <c r="AC448" i="2"/>
  <c r="AC247" i="2"/>
  <c r="AC139" i="2"/>
  <c r="AC55" i="2"/>
  <c r="AC469" i="2"/>
  <c r="AC507" i="2"/>
  <c r="AC184" i="2"/>
  <c r="AC329" i="2"/>
  <c r="AC341" i="2"/>
  <c r="AC232" i="2"/>
  <c r="AC74" i="2"/>
  <c r="AC251" i="2"/>
  <c r="AC259" i="2"/>
  <c r="AC225" i="2"/>
  <c r="AC213" i="2"/>
  <c r="AC431" i="2"/>
  <c r="AC520" i="2"/>
  <c r="AC92" i="2"/>
  <c r="AC551" i="2"/>
  <c r="AC121" i="2"/>
  <c r="AC319" i="2"/>
  <c r="AC548" i="2"/>
  <c r="AC359" i="2"/>
  <c r="AC378" i="2"/>
  <c r="AC269" i="2"/>
  <c r="AC532" i="2"/>
  <c r="AC557" i="2"/>
  <c r="AC419" i="2"/>
  <c r="AC88" i="2"/>
  <c r="AC428" i="2"/>
  <c r="AC136" i="2"/>
  <c r="AC192" i="2"/>
  <c r="AC556" i="2"/>
  <c r="AC264" i="2"/>
  <c r="AC187" i="2"/>
  <c r="AC521" i="2"/>
  <c r="AC80" i="2"/>
  <c r="AC368" i="2"/>
  <c r="AC382" i="2"/>
  <c r="AC144" i="2"/>
  <c r="AC38" i="2"/>
  <c r="AC177" i="2"/>
  <c r="AC347" i="2"/>
  <c r="AC255" i="2"/>
  <c r="AC392" i="2"/>
  <c r="AC530" i="2"/>
  <c r="AC100" i="2"/>
  <c r="AC301" i="2"/>
  <c r="AC456" i="2"/>
  <c r="AC380" i="2"/>
  <c r="AC265" i="2"/>
  <c r="AC510" i="2"/>
  <c r="AC453" i="2"/>
  <c r="AC193" i="2"/>
  <c r="AC40" i="2"/>
  <c r="AC253" i="2"/>
  <c r="AC112" i="2"/>
  <c r="AC104" i="2"/>
  <c r="AC65" i="2"/>
  <c r="AC502" i="2"/>
  <c r="AC464" i="2"/>
  <c r="AC350" i="2"/>
  <c r="AC233" i="2"/>
  <c r="AC454" i="2"/>
  <c r="AC47" i="2"/>
  <c r="AC352" i="2"/>
  <c r="AC279" i="2"/>
  <c r="AC526" i="2"/>
  <c r="AC561" i="2"/>
  <c r="AC62" i="2"/>
  <c r="AC79" i="2"/>
  <c r="AC205" i="2"/>
  <c r="AC115" i="2"/>
  <c r="AC69" i="2"/>
  <c r="AC99" i="2"/>
  <c r="AC458" i="2"/>
  <c r="AC324" i="2"/>
  <c r="AC470" i="2"/>
  <c r="AC346" i="2"/>
  <c r="AC318" i="2"/>
  <c r="AC374" i="2"/>
  <c r="AC296" i="2"/>
  <c r="AC433" i="2"/>
  <c r="AC518" i="2"/>
  <c r="AC150" i="2"/>
  <c r="AC261" i="2"/>
  <c r="AC443" i="2"/>
  <c r="AC429" i="2"/>
  <c r="AC479" i="2"/>
  <c r="AC517" i="2"/>
  <c r="AC478" i="2"/>
  <c r="AC400" i="2"/>
  <c r="AC450" i="2"/>
  <c r="AC409" i="2"/>
  <c r="AC459" i="2"/>
  <c r="AC178" i="2"/>
  <c r="AC408" i="2"/>
  <c r="AC411" i="2"/>
  <c r="AC340" i="2"/>
  <c r="AC522" i="2"/>
  <c r="AC73" i="2"/>
  <c r="AC364" i="2"/>
  <c r="AC317" i="2"/>
  <c r="AC68" i="2"/>
  <c r="AC511" i="2"/>
  <c r="AC242" i="2"/>
  <c r="AC87" i="2"/>
  <c r="AC339" i="2"/>
  <c r="AC466" i="2"/>
  <c r="AC553" i="2"/>
  <c r="AC103" i="2"/>
  <c r="AC146" i="2"/>
  <c r="AC328" i="2"/>
  <c r="AC201" i="2"/>
  <c r="AC249" i="2"/>
  <c r="AC423" i="2"/>
  <c r="AC449" i="2"/>
  <c r="AC299" i="2"/>
  <c r="AC535" i="2"/>
  <c r="AC105" i="2"/>
  <c r="AC559" i="2"/>
  <c r="AC438" i="2"/>
  <c r="AC133" i="2"/>
  <c r="AC163" i="2"/>
  <c r="AC338" i="2"/>
  <c r="AC160" i="2"/>
  <c r="AC101" i="2"/>
  <c r="AC176" i="2"/>
  <c r="AC489" i="2"/>
  <c r="AC393" i="2"/>
  <c r="AC562" i="2"/>
  <c r="AC152" i="2"/>
  <c r="AC426" i="2"/>
  <c r="AC171" i="2"/>
  <c r="AC353" i="2"/>
  <c r="AC118" i="2"/>
  <c r="AC389" i="2"/>
  <c r="AC237" i="2"/>
  <c r="AC544" i="2"/>
  <c r="AC164" i="2"/>
  <c r="AC333" i="2"/>
  <c r="AC302" i="2"/>
  <c r="AC508" i="2"/>
  <c r="AC463" i="2"/>
  <c r="AC455" i="2"/>
  <c r="AC447" i="2"/>
  <c r="AC45" i="2"/>
  <c r="AC129" i="2"/>
  <c r="AC484" i="2"/>
  <c r="AC142" i="2"/>
  <c r="AC277" i="2"/>
  <c r="AC325" i="2"/>
  <c r="AC291" i="2"/>
  <c r="AC75" i="2"/>
  <c r="AC415" i="2"/>
  <c r="AC175" i="2"/>
  <c r="AC275" i="2"/>
  <c r="AC63" i="2"/>
  <c r="AC485" i="2"/>
  <c r="AC529" i="2"/>
  <c r="AC185" i="2"/>
  <c r="AC53" i="2"/>
  <c r="AC90" i="2"/>
  <c r="AC76" i="2"/>
  <c r="AC130" i="2"/>
  <c r="AC212" i="2"/>
  <c r="AC263" i="2"/>
  <c r="AC111" i="2"/>
  <c r="AC120" i="2"/>
  <c r="AC284" i="2"/>
  <c r="AC162" i="2"/>
  <c r="AC81" i="2"/>
  <c r="AC300" i="2"/>
  <c r="AC363" i="2"/>
  <c r="AC540" i="2"/>
  <c r="AC344" i="2"/>
  <c r="AC384" i="2"/>
  <c r="AC283" i="2"/>
  <c r="AC125" i="2"/>
  <c r="AC424" i="2"/>
  <c r="AC372" i="2"/>
  <c r="AC513" i="2"/>
  <c r="AC493" i="2"/>
  <c r="AC371" i="2"/>
  <c r="AC217" i="2"/>
  <c r="AC220" i="2"/>
  <c r="AC327" i="2"/>
  <c r="AC524" i="2"/>
  <c r="AC151" i="2"/>
  <c r="AC288" i="2"/>
  <c r="AC252" i="2"/>
  <c r="AC370" i="2"/>
  <c r="AC167" i="2"/>
  <c r="AC308" i="2"/>
  <c r="AC434" i="2"/>
  <c r="AC422" i="2"/>
  <c r="AC155" i="2"/>
  <c r="AC362" i="2"/>
  <c r="AC335" i="2"/>
  <c r="AC491" i="2"/>
  <c r="AC158" i="2"/>
  <c r="AC70" i="2"/>
  <c r="AC495" i="2"/>
  <c r="B13" i="3"/>
  <c r="B41" i="3" a="1"/>
  <c r="B41" i="3" s="1"/>
  <c r="AC10" i="2"/>
  <c r="AG10" i="2" s="1"/>
  <c r="AC9" i="2"/>
  <c r="AG9" i="2" s="1"/>
  <c r="AC14" i="2"/>
  <c r="AG14" i="2" s="1"/>
  <c r="AC6" i="2"/>
  <c r="AG6" i="2" s="1"/>
  <c r="AC5" i="2"/>
  <c r="AG5" i="2" s="1"/>
  <c r="AC13" i="2"/>
  <c r="AG13" i="2" s="1"/>
  <c r="AC7" i="2"/>
  <c r="AG7" i="2" s="1"/>
  <c r="AC11" i="2"/>
  <c r="AG11" i="2" s="1"/>
  <c r="AC8" i="2"/>
  <c r="AG8" i="2" s="1"/>
  <c r="AC12" i="2"/>
  <c r="AG12" i="2" s="1"/>
  <c r="AG308" i="2" l="1"/>
  <c r="AG334" i="2"/>
  <c r="AG564" i="2"/>
  <c r="AG244" i="2"/>
  <c r="AG1038" i="2"/>
  <c r="AG1004" i="2"/>
  <c r="AG408" i="2"/>
  <c r="AG445" i="2"/>
  <c r="AG316" i="2"/>
  <c r="AG209" i="2"/>
  <c r="AG95" i="2"/>
  <c r="AG397" i="2"/>
  <c r="AG494" i="2"/>
  <c r="AG527" i="2"/>
  <c r="AG504" i="2"/>
  <c r="AG231" i="2"/>
  <c r="AG309" i="2"/>
  <c r="AG390" i="2"/>
  <c r="AG41" i="2"/>
  <c r="AG109" i="2"/>
  <c r="AG31" i="2"/>
  <c r="AG1034" i="2"/>
  <c r="AG678" i="2"/>
  <c r="AG791" i="2"/>
  <c r="AG931" i="2"/>
  <c r="AG637" i="2"/>
  <c r="AG1055" i="2"/>
  <c r="AG1098" i="2"/>
  <c r="AG1031" i="2"/>
  <c r="AG788" i="2"/>
  <c r="AG581" i="2"/>
  <c r="AG768" i="2"/>
  <c r="AG965" i="2"/>
  <c r="AG916" i="2"/>
  <c r="AG914" i="2"/>
  <c r="AG778" i="2"/>
  <c r="AG987" i="2"/>
  <c r="AG930" i="2"/>
  <c r="AG1127" i="2"/>
  <c r="AG1021" i="2"/>
  <c r="AG969" i="2"/>
  <c r="AG832" i="2"/>
  <c r="AG860" i="2"/>
  <c r="AG779" i="2"/>
  <c r="AG179" i="2"/>
  <c r="AG919" i="2"/>
  <c r="AG105" i="2"/>
  <c r="AG301" i="2"/>
  <c r="AG378" i="2"/>
  <c r="AG546" i="2"/>
  <c r="AG286" i="2"/>
  <c r="AG460" i="2"/>
  <c r="AG337" i="2"/>
  <c r="AG238" i="2"/>
  <c r="AG157" i="2"/>
  <c r="AG420" i="2"/>
  <c r="AG542" i="2"/>
  <c r="AG280" i="2"/>
  <c r="AG366" i="2"/>
  <c r="AG541" i="2"/>
  <c r="AG223" i="2"/>
  <c r="AG258" i="2"/>
  <c r="AG110" i="2"/>
  <c r="AG20" i="2"/>
  <c r="AG709" i="2"/>
  <c r="AG986" i="2"/>
  <c r="AG1071" i="2"/>
  <c r="AG1096" i="2"/>
  <c r="AG834" i="2"/>
  <c r="AG652" i="2"/>
  <c r="AG1121" i="2"/>
  <c r="AG924" i="2"/>
  <c r="AG991" i="2"/>
  <c r="AG793" i="2"/>
  <c r="AG939" i="2"/>
  <c r="AG820" i="2"/>
  <c r="AG988" i="2"/>
  <c r="AG721" i="2"/>
  <c r="AG949" i="2"/>
  <c r="AG826" i="2"/>
  <c r="AG640" i="2"/>
  <c r="AG867" i="2"/>
  <c r="AG825" i="2"/>
  <c r="AG1112" i="2"/>
  <c r="AG1100" i="2"/>
  <c r="AG922" i="2"/>
  <c r="AG587" i="2"/>
  <c r="AG430" i="2"/>
  <c r="AG694" i="2"/>
  <c r="AG508" i="2"/>
  <c r="AG359" i="2"/>
  <c r="AG147" i="2"/>
  <c r="AG84" i="2"/>
  <c r="AG148" i="2"/>
  <c r="AG58" i="2"/>
  <c r="AG552" i="2"/>
  <c r="AG267" i="2"/>
  <c r="AG465" i="2"/>
  <c r="AG323" i="2"/>
  <c r="AG375" i="2"/>
  <c r="AG172" i="2"/>
  <c r="AG145" i="2"/>
  <c r="AG461" i="2"/>
  <c r="AG51" i="2"/>
  <c r="AG83" i="2"/>
  <c r="AG23" i="2"/>
  <c r="AG973" i="2"/>
  <c r="AG1082" i="2"/>
  <c r="AG873" i="2"/>
  <c r="AG1104" i="2"/>
  <c r="AG686" i="2"/>
  <c r="AG1086" i="2"/>
  <c r="AG737" i="2"/>
  <c r="AG856" i="2"/>
  <c r="AG875" i="2"/>
  <c r="AG961" i="2"/>
  <c r="AG895" i="2"/>
  <c r="AG620" i="2"/>
  <c r="AG657" i="2"/>
  <c r="AG903" i="2"/>
  <c r="AG772" i="2"/>
  <c r="AG1002" i="2"/>
  <c r="AG893" i="2"/>
  <c r="AG819" i="2"/>
  <c r="AG734" i="2"/>
  <c r="AG1113" i="2"/>
  <c r="AG622" i="2"/>
  <c r="AG1062" i="2"/>
  <c r="AG804" i="2"/>
  <c r="AG532" i="2"/>
  <c r="AG790" i="2"/>
  <c r="AG212" i="2"/>
  <c r="AG168" i="2"/>
  <c r="AG196" i="2"/>
  <c r="AG54" i="2"/>
  <c r="AG239" i="2"/>
  <c r="AG468" i="2"/>
  <c r="AG404" i="2"/>
  <c r="AG457" i="2"/>
  <c r="AG311" i="2"/>
  <c r="AG531" i="2"/>
  <c r="AG394" i="2"/>
  <c r="AG42" i="2"/>
  <c r="AG215" i="2"/>
  <c r="AG28" i="2"/>
  <c r="AG706" i="2"/>
  <c r="AG933" i="2"/>
  <c r="AG1065" i="2"/>
  <c r="AG702" i="2"/>
  <c r="AG666" i="2"/>
  <c r="AG1076" i="2"/>
  <c r="AG928" i="2"/>
  <c r="AG600" i="2"/>
  <c r="AG929" i="2"/>
  <c r="AG1023" i="2"/>
  <c r="AG908" i="2"/>
  <c r="AG664" i="2"/>
  <c r="AG891" i="2"/>
  <c r="AG1117" i="2"/>
  <c r="AG1097" i="2"/>
  <c r="AG1069" i="2"/>
  <c r="AG1075" i="2"/>
  <c r="AG1101" i="2"/>
  <c r="AG699" i="2"/>
  <c r="AG579" i="2"/>
  <c r="AG701" i="2"/>
  <c r="AG814" i="2"/>
  <c r="AG920" i="2"/>
  <c r="AG1068" i="2"/>
  <c r="AG463" i="2"/>
  <c r="AG263" i="2"/>
  <c r="AG288" i="2"/>
  <c r="AG409" i="2"/>
  <c r="AG333" i="2"/>
  <c r="AG449" i="2"/>
  <c r="AG450" i="2"/>
  <c r="AG561" i="2"/>
  <c r="AG392" i="2"/>
  <c r="AG319" i="2"/>
  <c r="AG439" i="2"/>
  <c r="AG387" i="2"/>
  <c r="AG472" i="2"/>
  <c r="AG240" i="2"/>
  <c r="AG17" i="2"/>
  <c r="AG245" i="2"/>
  <c r="AG342" i="2"/>
  <c r="AG161" i="2"/>
  <c r="AG67" i="2"/>
  <c r="AG413" i="2"/>
  <c r="AG565" i="2"/>
  <c r="AG558" i="2"/>
  <c r="AG250" i="2"/>
  <c r="AG396" i="2"/>
  <c r="AG113" i="2"/>
  <c r="AG672" i="2"/>
  <c r="AG981" i="2"/>
  <c r="AG797" i="2"/>
  <c r="AG1114" i="2"/>
  <c r="AG774" i="2"/>
  <c r="AG811" i="2"/>
  <c r="AG910" i="2"/>
  <c r="AG718" i="2"/>
  <c r="AG1022" i="2"/>
  <c r="AG776" i="2"/>
  <c r="AG689" i="2"/>
  <c r="AG1077" i="2"/>
  <c r="AG1126" i="2"/>
  <c r="AG959" i="2"/>
  <c r="AG695" i="2"/>
  <c r="AG614" i="2"/>
  <c r="AG648" i="2"/>
  <c r="AG720" i="2"/>
  <c r="AG1001" i="2"/>
  <c r="AG1056" i="2"/>
  <c r="AG998" i="2"/>
  <c r="AG1020" i="2"/>
  <c r="AG660" i="2"/>
  <c r="AG570" i="2"/>
  <c r="AG115" i="2"/>
  <c r="AG111" i="2"/>
  <c r="AG100" i="2"/>
  <c r="AG299" i="2"/>
  <c r="AG423" i="2"/>
  <c r="AG400" i="2"/>
  <c r="AG526" i="2"/>
  <c r="AG255" i="2"/>
  <c r="AG121" i="2"/>
  <c r="AG486" i="2"/>
  <c r="AG343" i="2"/>
  <c r="AG153" i="2"/>
  <c r="AG59" i="2"/>
  <c r="AG385" i="2"/>
  <c r="AG503" i="2"/>
  <c r="AG545" i="2"/>
  <c r="AG401" i="2"/>
  <c r="AG50" i="2"/>
  <c r="AG281" i="2"/>
  <c r="AG498" i="2"/>
  <c r="AG421" i="2"/>
  <c r="AG199" i="2"/>
  <c r="AG114" i="2"/>
  <c r="AG18" i="2"/>
  <c r="AG1015" i="2"/>
  <c r="AG1030" i="2"/>
  <c r="AG604" i="2"/>
  <c r="AG964" i="2"/>
  <c r="AG630" i="2"/>
  <c r="AG1026" i="2"/>
  <c r="AG645" i="2"/>
  <c r="AG812" i="2"/>
  <c r="AG883" i="2"/>
  <c r="AG607" i="2"/>
  <c r="AG813" i="2"/>
  <c r="AG593" i="2"/>
  <c r="AG787" i="2"/>
  <c r="AG619" i="2"/>
  <c r="AG890" i="2"/>
  <c r="AG913" i="2"/>
  <c r="AG870" i="2"/>
  <c r="AG1088" i="2"/>
  <c r="AG858" i="2"/>
  <c r="AG595" i="2"/>
  <c r="AG897" i="2"/>
  <c r="AG635" i="2"/>
  <c r="AG1044" i="2"/>
  <c r="AG284" i="2"/>
  <c r="AG753" i="2"/>
  <c r="AG456" i="2"/>
  <c r="AG370" i="2"/>
  <c r="AG252" i="2"/>
  <c r="AG391" i="2"/>
  <c r="AG327" i="2"/>
  <c r="AG279" i="2"/>
  <c r="AG347" i="2"/>
  <c r="AG551" i="2"/>
  <c r="AG200" i="2"/>
  <c r="AG190" i="2"/>
  <c r="AG483" i="2"/>
  <c r="AG451" i="2"/>
  <c r="AG536" i="2"/>
  <c r="AG273" i="2"/>
  <c r="AG43" i="2"/>
  <c r="AG211" i="2"/>
  <c r="AG477" i="2"/>
  <c r="AG440" i="2"/>
  <c r="AG276" i="2"/>
  <c r="AG512" i="2"/>
  <c r="AG46" i="2"/>
  <c r="AG533" i="2"/>
  <c r="AG22" i="2"/>
  <c r="AG898" i="2"/>
  <c r="AG641" i="2"/>
  <c r="AG632" i="2"/>
  <c r="AG759" i="2"/>
  <c r="AG740" i="2"/>
  <c r="AG886" i="2"/>
  <c r="AG935" i="2"/>
  <c r="AG582" i="2"/>
  <c r="AG1115" i="2"/>
  <c r="AG798" i="2"/>
  <c r="AG1003" i="2"/>
  <c r="AG711" i="2"/>
  <c r="AG601" i="2"/>
  <c r="AG881" i="2"/>
  <c r="AG628" i="2"/>
  <c r="AG605" i="2"/>
  <c r="AG576" i="2"/>
  <c r="AG1083" i="2"/>
  <c r="AG880" i="2"/>
  <c r="AG801" i="2"/>
  <c r="AG848" i="2"/>
  <c r="AG780" i="2"/>
  <c r="AG710" i="2"/>
  <c r="AG806" i="2"/>
  <c r="AG167" i="2"/>
  <c r="AG178" i="2"/>
  <c r="AG535" i="2"/>
  <c r="AG548" i="2"/>
  <c r="AG164" i="2"/>
  <c r="AG201" i="2"/>
  <c r="AG517" i="2"/>
  <c r="AG352" i="2"/>
  <c r="AG177" i="2"/>
  <c r="AG92" i="2"/>
  <c r="AG383" i="2"/>
  <c r="AG321" i="2"/>
  <c r="AG381" i="2"/>
  <c r="AG357" i="2"/>
  <c r="AG61" i="2"/>
  <c r="AG345" i="2"/>
  <c r="AG271" i="2"/>
  <c r="AG236" i="2"/>
  <c r="AG377" i="2"/>
  <c r="AG417" i="2"/>
  <c r="AG123" i="2"/>
  <c r="AG487" i="2"/>
  <c r="AG94" i="2"/>
  <c r="AG36" i="2"/>
  <c r="AG33" i="2"/>
  <c r="AG761" i="2"/>
  <c r="AG1059" i="2"/>
  <c r="AG999" i="2"/>
  <c r="AG1099" i="2"/>
  <c r="AG904" i="2"/>
  <c r="AG953" i="2"/>
  <c r="AG850" i="2"/>
  <c r="AG668" i="2"/>
  <c r="AG900" i="2"/>
  <c r="AG735" i="2"/>
  <c r="AG1032" i="2"/>
  <c r="AG567" i="2"/>
  <c r="AG1084" i="2"/>
  <c r="AG597" i="2"/>
  <c r="AG829" i="2"/>
  <c r="AG625" i="2"/>
  <c r="AG591" i="2"/>
  <c r="AG783" i="2"/>
  <c r="AG764" i="2"/>
  <c r="AG1008" i="2"/>
  <c r="AG1019" i="2"/>
  <c r="AG755" i="2"/>
  <c r="AG731" i="2"/>
  <c r="AG995" i="2"/>
  <c r="AG205" i="2"/>
  <c r="AG459" i="2"/>
  <c r="AG530" i="2"/>
  <c r="AG130" i="2"/>
  <c r="AG478" i="2"/>
  <c r="AG220" i="2"/>
  <c r="AG389" i="2"/>
  <c r="AG479" i="2"/>
  <c r="AG47" i="2"/>
  <c r="AG38" i="2"/>
  <c r="AG520" i="2"/>
  <c r="AG373" i="2"/>
  <c r="AG298" i="2"/>
  <c r="AG354" i="2"/>
  <c r="AG98" i="2"/>
  <c r="AG416" i="2"/>
  <c r="AG214" i="2"/>
  <c r="AG523" i="2"/>
  <c r="AG107" i="2"/>
  <c r="AG260" i="2"/>
  <c r="AG210" i="2"/>
  <c r="AG248" i="2"/>
  <c r="AG436" i="2"/>
  <c r="AG332" i="2"/>
  <c r="AG25" i="2"/>
  <c r="AG204" i="2"/>
  <c r="AG968" i="2"/>
  <c r="AG1103" i="2"/>
  <c r="AG631" i="2"/>
  <c r="AG861" i="2"/>
  <c r="AG747" i="2"/>
  <c r="AG698" i="2"/>
  <c r="AG934" i="2"/>
  <c r="AG1063" i="2"/>
  <c r="AG638" i="2"/>
  <c r="AG1128" i="2"/>
  <c r="AG739" i="2"/>
  <c r="AG1035" i="2"/>
  <c r="AG655" i="2"/>
  <c r="AG654" i="2"/>
  <c r="AG1027" i="2"/>
  <c r="AG887" i="2"/>
  <c r="AG713" i="2"/>
  <c r="AG816" i="2"/>
  <c r="AG800" i="2"/>
  <c r="AG749" i="2"/>
  <c r="AG1042" i="2"/>
  <c r="AG974" i="2"/>
  <c r="AG923" i="2"/>
  <c r="AG447" i="2"/>
  <c r="AG869" i="2"/>
  <c r="AG269" i="2"/>
  <c r="AG79" i="2"/>
  <c r="AG62" i="2"/>
  <c r="AG151" i="2"/>
  <c r="AG524" i="2"/>
  <c r="AG90" i="2"/>
  <c r="AG118" i="2"/>
  <c r="AG170" i="2"/>
  <c r="AG183" i="2"/>
  <c r="AG432" i="2"/>
  <c r="AG202" i="2"/>
  <c r="AG254" i="2"/>
  <c r="AG66" i="2"/>
  <c r="AG499" i="2"/>
  <c r="AG117" i="2"/>
  <c r="AG24" i="2"/>
  <c r="AG32" i="2"/>
  <c r="AG975" i="2"/>
  <c r="AG1012" i="2"/>
  <c r="AG777" i="2"/>
  <c r="AG882" i="2"/>
  <c r="AG921" i="2"/>
  <c r="AG1109" i="2"/>
  <c r="AG629" i="2"/>
  <c r="AG958" i="2"/>
  <c r="AG741" i="2"/>
  <c r="AG762" i="2"/>
  <c r="AG662" i="2"/>
  <c r="AG674" i="2"/>
  <c r="AG1125" i="2"/>
  <c r="AG963" i="2"/>
  <c r="AG836" i="2"/>
  <c r="AG917" i="2"/>
  <c r="AG1066" i="2"/>
  <c r="AG574" i="2"/>
  <c r="AG730" i="2"/>
  <c r="AG1072" i="2"/>
  <c r="AG970" i="2"/>
  <c r="AG1043" i="2"/>
  <c r="AG609" i="2"/>
  <c r="AG69" i="2"/>
  <c r="AG509" i="2"/>
  <c r="AG855" i="2"/>
  <c r="AG448" i="2"/>
  <c r="AG302" i="2"/>
  <c r="AG249" i="2"/>
  <c r="AG53" i="2"/>
  <c r="AG217" i="2"/>
  <c r="AG328" i="2"/>
  <c r="AG529" i="2"/>
  <c r="AG429" i="2"/>
  <c r="AG144" i="2"/>
  <c r="AG525" i="2"/>
  <c r="AG473" i="2"/>
  <c r="AG386" i="2"/>
  <c r="AG376" i="2"/>
  <c r="AG493" i="2"/>
  <c r="AG485" i="2"/>
  <c r="AG353" i="2"/>
  <c r="AG103" i="2"/>
  <c r="AG443" i="2"/>
  <c r="AG233" i="2"/>
  <c r="AG382" i="2"/>
  <c r="AG213" i="2"/>
  <c r="AG462" i="2"/>
  <c r="AG435" i="2"/>
  <c r="AG85" i="2"/>
  <c r="AG287" i="2"/>
  <c r="AG293" i="2"/>
  <c r="AG310" i="2"/>
  <c r="AG195" i="2"/>
  <c r="AG360" i="2"/>
  <c r="AG219" i="2"/>
  <c r="AG388" i="2"/>
  <c r="AG229" i="2"/>
  <c r="AG49" i="2"/>
  <c r="AG86" i="2"/>
  <c r="AG538" i="2"/>
  <c r="AG30" i="2"/>
  <c r="AG1033" i="2"/>
  <c r="AG879" i="2"/>
  <c r="AG901" i="2"/>
  <c r="AG578" i="2"/>
  <c r="AG843" i="2"/>
  <c r="AG633" i="2"/>
  <c r="AG676" i="2"/>
  <c r="AG950" i="2"/>
  <c r="AG1018" i="2"/>
  <c r="AG940" i="2"/>
  <c r="AG1054" i="2"/>
  <c r="AG679" i="2"/>
  <c r="AG736" i="2"/>
  <c r="AG1051" i="2"/>
  <c r="AG1014" i="2"/>
  <c r="AG569" i="2"/>
  <c r="AG610" i="2"/>
  <c r="AG680" i="2"/>
  <c r="AG586" i="2"/>
  <c r="AG658" i="2"/>
  <c r="AG612" i="2"/>
  <c r="AG852" i="2"/>
  <c r="AG756" i="2"/>
  <c r="AG247" i="2"/>
  <c r="AG141" i="2"/>
  <c r="AG108" i="2"/>
  <c r="AG603" i="2"/>
  <c r="AG885" i="2"/>
  <c r="AG559" i="2"/>
  <c r="AG476" i="2"/>
  <c r="AG76" i="2"/>
  <c r="AG544" i="2"/>
  <c r="AG237" i="2"/>
  <c r="AG185" i="2"/>
  <c r="AG371" i="2"/>
  <c r="AG146" i="2"/>
  <c r="AG454" i="2"/>
  <c r="AG431" i="2"/>
  <c r="AG186" i="2"/>
  <c r="AG513" i="2"/>
  <c r="AG63" i="2"/>
  <c r="AG171" i="2"/>
  <c r="AG553" i="2"/>
  <c r="AG261" i="2"/>
  <c r="AG350" i="2"/>
  <c r="AG368" i="2"/>
  <c r="AG225" i="2"/>
  <c r="AG174" i="2"/>
  <c r="AG241" i="2"/>
  <c r="AG399" i="2"/>
  <c r="AG246" i="2"/>
  <c r="AG169" i="2"/>
  <c r="AG496" i="2"/>
  <c r="AG180" i="2"/>
  <c r="AG222" i="2"/>
  <c r="AG406" i="2"/>
  <c r="AG72" i="2"/>
  <c r="AG547" i="2"/>
  <c r="AG274" i="2"/>
  <c r="AG64" i="2"/>
  <c r="AG492" i="2"/>
  <c r="AG348" i="2"/>
  <c r="AG960" i="2"/>
  <c r="AG807" i="2"/>
  <c r="AG957" i="2"/>
  <c r="AG997" i="2"/>
  <c r="AG1052" i="2"/>
  <c r="AG663" i="2"/>
  <c r="AG602" i="2"/>
  <c r="AG1093" i="2"/>
  <c r="AG795" i="2"/>
  <c r="AG1080" i="2"/>
  <c r="AG1045" i="2"/>
  <c r="AG993" i="2"/>
  <c r="AG823" i="2"/>
  <c r="AG646" i="2"/>
  <c r="AG754" i="2"/>
  <c r="AG984" i="2"/>
  <c r="AG651" i="2"/>
  <c r="AG618" i="2"/>
  <c r="AG613" i="2"/>
  <c r="AG773" i="2"/>
  <c r="AG868" i="2"/>
  <c r="AG948" i="2"/>
  <c r="AG857" i="2"/>
  <c r="AG372" i="2"/>
  <c r="AG275" i="2"/>
  <c r="AG426" i="2"/>
  <c r="AG466" i="2"/>
  <c r="AG150" i="2"/>
  <c r="AG464" i="2"/>
  <c r="AG80" i="2"/>
  <c r="AG259" i="2"/>
  <c r="AG224" i="2"/>
  <c r="AG402" i="2"/>
  <c r="AG60" i="2"/>
  <c r="AG331" i="2"/>
  <c r="AG138" i="2"/>
  <c r="AG349" i="2"/>
  <c r="AG173" i="2"/>
  <c r="AG566" i="2"/>
  <c r="AG198" i="2"/>
  <c r="AG550" i="2"/>
  <c r="AG282" i="2"/>
  <c r="AG234" i="2"/>
  <c r="AG216" i="2"/>
  <c r="AG19" i="2"/>
  <c r="AG539" i="2"/>
  <c r="AG1029" i="2"/>
  <c r="AG751" i="2"/>
  <c r="AG1120" i="2"/>
  <c r="AG667" i="2"/>
  <c r="AG687" i="2"/>
  <c r="AG838" i="2"/>
  <c r="AG1089" i="2"/>
  <c r="AG1005" i="2"/>
  <c r="AG849" i="2"/>
  <c r="AG714" i="2"/>
  <c r="AG943" i="2"/>
  <c r="AG896" i="2"/>
  <c r="AG1110" i="2"/>
  <c r="AG785" i="2"/>
  <c r="AG703" i="2"/>
  <c r="AG577" i="2"/>
  <c r="AG1050" i="2"/>
  <c r="AG592" i="2"/>
  <c r="AG669" i="2"/>
  <c r="AG1009" i="2"/>
  <c r="AG683" i="2"/>
  <c r="AG828" i="2"/>
  <c r="AG876" i="2"/>
  <c r="AG411" i="2"/>
  <c r="AG410" i="2"/>
  <c r="AG656" i="2"/>
  <c r="AG339" i="2"/>
  <c r="AG521" i="2"/>
  <c r="AG251" i="2"/>
  <c r="AG37" i="2"/>
  <c r="AG289" i="2"/>
  <c r="AG367" i="2"/>
  <c r="AG365" i="2"/>
  <c r="AG405" i="2"/>
  <c r="AG93" i="2"/>
  <c r="AG39" i="2"/>
  <c r="AG228" i="2"/>
  <c r="AG165" i="2"/>
  <c r="AG48" i="2"/>
  <c r="AG303" i="2"/>
  <c r="AG516" i="2"/>
  <c r="AG140" i="2"/>
  <c r="AG29" i="2"/>
  <c r="AG1025" i="2"/>
  <c r="AG770" i="2"/>
  <c r="AG775" i="2"/>
  <c r="AG677" i="2"/>
  <c r="AG594" i="2"/>
  <c r="AG1057" i="2"/>
  <c r="AG585" i="2"/>
  <c r="AG892" i="2"/>
  <c r="AG696" i="2"/>
  <c r="AG724" i="2"/>
  <c r="AG966" i="2"/>
  <c r="AG608" i="2"/>
  <c r="AG688" i="2"/>
  <c r="AG1024" i="2"/>
  <c r="AG1111" i="2"/>
  <c r="AG1048" i="2"/>
  <c r="AG1106" i="2"/>
  <c r="AG792" i="2"/>
  <c r="AG1047" i="2"/>
  <c r="AG675" i="2"/>
  <c r="AG796" i="2"/>
  <c r="AG684" i="2"/>
  <c r="AG971" i="2"/>
  <c r="AG588" i="2"/>
  <c r="AG506" i="2"/>
  <c r="AG837" i="2"/>
  <c r="AG433" i="2"/>
  <c r="AG74" i="2"/>
  <c r="AG221" i="2"/>
  <c r="AG126" i="2"/>
  <c r="AG418" i="2"/>
  <c r="AG379" i="2"/>
  <c r="AG57" i="2"/>
  <c r="AG330" i="2"/>
  <c r="AG351" i="2"/>
  <c r="AG500" i="2"/>
  <c r="AG278" i="2"/>
  <c r="AG96" i="2"/>
  <c r="AG182" i="2"/>
  <c r="AG515" i="2"/>
  <c r="AG262" i="2"/>
  <c r="AG563" i="2"/>
  <c r="AG847" i="2"/>
  <c r="AG580" i="2"/>
  <c r="AG927" i="2"/>
  <c r="AG1095" i="2"/>
  <c r="AG650" i="2"/>
  <c r="AG693" i="2"/>
  <c r="AG877" i="2"/>
  <c r="AG1013" i="2"/>
  <c r="AG738" i="2"/>
  <c r="AG1123" i="2"/>
  <c r="AG769" i="2"/>
  <c r="AG854" i="2"/>
  <c r="AG665" i="2"/>
  <c r="AG673" i="2"/>
  <c r="AG670" i="2"/>
  <c r="AG978" i="2"/>
  <c r="AG708" i="2"/>
  <c r="AG743" i="2"/>
  <c r="AG615" i="2"/>
  <c r="AG865" i="2"/>
  <c r="AG1040" i="2"/>
  <c r="AG841" i="2"/>
  <c r="AG996" i="2"/>
  <c r="AG636" i="2"/>
  <c r="AG438" i="2"/>
  <c r="AG467" i="2"/>
  <c r="AG728" i="2"/>
  <c r="AG296" i="2"/>
  <c r="AG143" i="2"/>
  <c r="AG116" i="2"/>
  <c r="AG134" i="2"/>
  <c r="AG425" i="2"/>
  <c r="AG554" i="2"/>
  <c r="AG534" i="2"/>
  <c r="AG266" i="2"/>
  <c r="AG135" i="2"/>
  <c r="AG91" i="2"/>
  <c r="AG322" i="2"/>
  <c r="AG256" i="2"/>
  <c r="AG34" i="2"/>
  <c r="AG840" i="2"/>
  <c r="AG888" i="2"/>
  <c r="AG902" i="2"/>
  <c r="AG1124" i="2"/>
  <c r="AG1006" i="2"/>
  <c r="AG727" i="2"/>
  <c r="AG782" i="2"/>
  <c r="AG853" i="2"/>
  <c r="AG671" i="2"/>
  <c r="AG748" i="2"/>
  <c r="AG912" i="2"/>
  <c r="AG746" i="2"/>
  <c r="AG962" i="2"/>
  <c r="AG830" i="2"/>
  <c r="AG990" i="2"/>
  <c r="AG992" i="2"/>
  <c r="AG623" i="2"/>
  <c r="AG627" i="2"/>
  <c r="AG757" i="2"/>
  <c r="AG799" i="2"/>
  <c r="AG568" i="2"/>
  <c r="AG692" i="2"/>
  <c r="AG659" i="2"/>
  <c r="AG909" i="2"/>
  <c r="AG956" i="2"/>
  <c r="AG424" i="2"/>
  <c r="AG125" i="2"/>
  <c r="AG187" i="2"/>
  <c r="AG75" i="2"/>
  <c r="AG393" i="2"/>
  <c r="AG489" i="2"/>
  <c r="AG511" i="2"/>
  <c r="AG374" i="2"/>
  <c r="AG112" i="2"/>
  <c r="AG556" i="2"/>
  <c r="AG341" i="2"/>
  <c r="AG159" i="2"/>
  <c r="AG191" i="2"/>
  <c r="AG441" i="2"/>
  <c r="AG206" i="2"/>
  <c r="AG197" i="2"/>
  <c r="AG52" i="2"/>
  <c r="AG290" i="2"/>
  <c r="AG292" i="2"/>
  <c r="AG543" i="2"/>
  <c r="AG427" i="2"/>
  <c r="AG257" i="2"/>
  <c r="AG194" i="2"/>
  <c r="AG475" i="2"/>
  <c r="AG35" i="2"/>
  <c r="AG723" i="2"/>
  <c r="AG789" i="2"/>
  <c r="AG1061" i="2"/>
  <c r="AG704" i="2"/>
  <c r="AG817" i="2"/>
  <c r="AG1046" i="2"/>
  <c r="AG1074" i="2"/>
  <c r="AG726" i="2"/>
  <c r="AG982" i="2"/>
  <c r="AG685" i="2"/>
  <c r="AG818" i="2"/>
  <c r="AG905" i="2"/>
  <c r="AG802" i="2"/>
  <c r="AG1058" i="2"/>
  <c r="AG866" i="2"/>
  <c r="AG805" i="2"/>
  <c r="AG712" i="2"/>
  <c r="AG717" i="2"/>
  <c r="AG700" i="2"/>
  <c r="AG722" i="2"/>
  <c r="AG821" i="2"/>
  <c r="AG874" i="2"/>
  <c r="AG946" i="2"/>
  <c r="AG707" i="2"/>
  <c r="AG380" i="2"/>
  <c r="AG21" i="2"/>
  <c r="AG152" i="2"/>
  <c r="AG562" i="2"/>
  <c r="AG232" i="2"/>
  <c r="AG344" i="2"/>
  <c r="AG318" i="2"/>
  <c r="AG253" i="2"/>
  <c r="AG192" i="2"/>
  <c r="AG329" i="2"/>
  <c r="AG268" i="2"/>
  <c r="AG306" i="2"/>
  <c r="AG188" i="2"/>
  <c r="AG560" i="2"/>
  <c r="AG497" i="2"/>
  <c r="AG446" i="2"/>
  <c r="AG412" i="2"/>
  <c r="AG407" i="2"/>
  <c r="AG82" i="2"/>
  <c r="AG207" i="2"/>
  <c r="AG403" i="2"/>
  <c r="AG102" i="2"/>
  <c r="AG437" i="2"/>
  <c r="AG15" i="2"/>
  <c r="AG758" i="2"/>
  <c r="AG766" i="2"/>
  <c r="AG815" i="2"/>
  <c r="AG639" i="2"/>
  <c r="AG1039" i="2"/>
  <c r="AG911" i="2"/>
  <c r="AG994" i="2"/>
  <c r="AG941" i="2"/>
  <c r="AG809" i="2"/>
  <c r="AG1053" i="2"/>
  <c r="AG653" i="2"/>
  <c r="AG842" i="2"/>
  <c r="AG642" i="2"/>
  <c r="AG690" i="2"/>
  <c r="AG590" i="2"/>
  <c r="AG697" i="2"/>
  <c r="AG719" i="2"/>
  <c r="AG1037" i="2"/>
  <c r="AG1041" i="2"/>
  <c r="AG894" i="2"/>
  <c r="AG864" i="2"/>
  <c r="AG918" i="2"/>
  <c r="AG611" i="2"/>
  <c r="AG682" i="2"/>
  <c r="AG733" i="2"/>
  <c r="AG175" i="2"/>
  <c r="AG495" i="2"/>
  <c r="AG65" i="2"/>
  <c r="AG283" i="2"/>
  <c r="AG242" i="2"/>
  <c r="AG291" i="2"/>
  <c r="AG346" i="2"/>
  <c r="AG184" i="2"/>
  <c r="AG218" i="2"/>
  <c r="AG226" i="2"/>
  <c r="AG549" i="2"/>
  <c r="AG501" i="2"/>
  <c r="AG227" i="2"/>
  <c r="AG361" i="2"/>
  <c r="AG315" i="2"/>
  <c r="AG122" i="2"/>
  <c r="AG132" i="2"/>
  <c r="AG307" i="2"/>
  <c r="AG243" i="2"/>
  <c r="AG452" i="2"/>
  <c r="AG514" i="2"/>
  <c r="AG983" i="2"/>
  <c r="AG716" i="2"/>
  <c r="AG575" i="2"/>
  <c r="AG884" i="2"/>
  <c r="AG765" i="2"/>
  <c r="AG786" i="2"/>
  <c r="AG976" i="2"/>
  <c r="AG745" i="2"/>
  <c r="AG954" i="2"/>
  <c r="AG863" i="2"/>
  <c r="AG835" i="2"/>
  <c r="AG1073" i="2"/>
  <c r="AG1122" i="2"/>
  <c r="AG1036" i="2"/>
  <c r="AG626" i="2"/>
  <c r="AG647" i="2"/>
  <c r="AG725" i="2"/>
  <c r="AG589" i="2"/>
  <c r="AG1119" i="2"/>
  <c r="AG644" i="2"/>
  <c r="AG1090" i="2"/>
  <c r="AG851" i="2"/>
  <c r="AG1016" i="2"/>
  <c r="AG1087" i="2"/>
  <c r="AG845" i="2"/>
  <c r="AG518" i="2"/>
  <c r="AG87" i="2"/>
  <c r="AG264" i="2"/>
  <c r="AG158" i="2"/>
  <c r="AG68" i="2"/>
  <c r="AG335" i="2"/>
  <c r="AG101" i="2"/>
  <c r="AG142" i="2"/>
  <c r="AG193" i="2"/>
  <c r="AG106" i="2"/>
  <c r="AG189" i="2"/>
  <c r="AG166" i="2"/>
  <c r="AG304" i="2"/>
  <c r="AG203" i="2"/>
  <c r="AG444" i="2"/>
  <c r="AG97" i="2"/>
  <c r="AG44" i="2"/>
  <c r="AG528" i="2"/>
  <c r="AG78" i="2"/>
  <c r="AG230" i="2"/>
  <c r="AG128" i="2"/>
  <c r="AG326" i="2"/>
  <c r="AG26" i="2"/>
  <c r="AG985" i="2"/>
  <c r="AG831" i="2"/>
  <c r="AG715" i="2"/>
  <c r="AG915" i="2"/>
  <c r="AG839" i="2"/>
  <c r="AG617" i="2"/>
  <c r="AG744" i="2"/>
  <c r="AG742" i="2"/>
  <c r="AG1085" i="2"/>
  <c r="AG1091" i="2"/>
  <c r="AG1017" i="2"/>
  <c r="AG906" i="2"/>
  <c r="AG1102" i="2"/>
  <c r="AG750" i="2"/>
  <c r="AG889" i="2"/>
  <c r="AG1028" i="2"/>
  <c r="AG846" i="2"/>
  <c r="AG1060" i="2"/>
  <c r="AG598" i="2"/>
  <c r="AG729" i="2"/>
  <c r="AG752" i="2"/>
  <c r="AG1105" i="2"/>
  <c r="AG803" i="2"/>
  <c r="AG1092" i="2"/>
  <c r="AG596" i="2"/>
  <c r="AG502" i="2"/>
  <c r="AG415" i="2"/>
  <c r="AG70" i="2"/>
  <c r="AG104" i="2"/>
  <c r="AG384" i="2"/>
  <c r="AG491" i="2"/>
  <c r="AG317" i="2"/>
  <c r="AG555" i="2"/>
  <c r="AG155" i="2"/>
  <c r="AG469" i="2"/>
  <c r="AG77" i="2"/>
  <c r="AG336" i="2"/>
  <c r="AG208" i="2"/>
  <c r="AG297" i="2"/>
  <c r="AG137" i="2"/>
  <c r="AG124" i="2"/>
  <c r="AG295" i="2"/>
  <c r="AG89" i="2"/>
  <c r="AG977" i="2"/>
  <c r="AG926" i="2"/>
  <c r="AG1107" i="2"/>
  <c r="AG760" i="2"/>
  <c r="AG844" i="2"/>
  <c r="AG643" i="2"/>
  <c r="AG1007" i="2"/>
  <c r="AG634" i="2"/>
  <c r="AG584" i="2"/>
  <c r="AG952" i="2"/>
  <c r="AG1078" i="2"/>
  <c r="AG833" i="2"/>
  <c r="AG661" i="2"/>
  <c r="AG1094" i="2"/>
  <c r="AG1000" i="2"/>
  <c r="AG1108" i="2"/>
  <c r="AG937" i="2"/>
  <c r="AG649" i="2"/>
  <c r="AG808" i="2"/>
  <c r="AG767" i="2"/>
  <c r="AG781" i="2"/>
  <c r="AG972" i="2"/>
  <c r="AG732" i="2"/>
  <c r="AG859" i="2"/>
  <c r="AG414" i="2"/>
  <c r="AG947" i="2"/>
  <c r="AG455" i="2"/>
  <c r="AG272" i="2"/>
  <c r="AG325" i="2"/>
  <c r="AG540" i="2"/>
  <c r="AG136" i="2"/>
  <c r="AG363" i="2"/>
  <c r="AG160" i="2"/>
  <c r="AG470" i="2"/>
  <c r="AG428" i="2"/>
  <c r="AG300" i="2"/>
  <c r="AG338" i="2"/>
  <c r="AG324" i="2"/>
  <c r="AG88" i="2"/>
  <c r="AG474" i="2"/>
  <c r="AG285" i="2"/>
  <c r="AG71" i="2"/>
  <c r="AG422" i="2"/>
  <c r="AG81" i="2"/>
  <c r="AG129" i="2"/>
  <c r="AG163" i="2"/>
  <c r="AG522" i="2"/>
  <c r="AG458" i="2"/>
  <c r="AG510" i="2"/>
  <c r="AG419" i="2"/>
  <c r="AG55" i="2"/>
  <c r="AG156" i="2"/>
  <c r="AG481" i="2"/>
  <c r="AG358" i="2"/>
  <c r="AG369" i="2"/>
  <c r="AG356" i="2"/>
  <c r="AG312" i="2"/>
  <c r="AG395" i="2"/>
  <c r="AG235" i="2"/>
  <c r="AG56" i="2"/>
  <c r="AG119" i="2"/>
  <c r="AG320" i="2"/>
  <c r="AG314" i="2"/>
  <c r="AG131" i="2"/>
  <c r="AG16" i="2"/>
  <c r="AG573" i="2"/>
  <c r="AG989" i="2"/>
  <c r="AG810" i="2"/>
  <c r="AG1010" i="2"/>
  <c r="AG871" i="2"/>
  <c r="AG907" i="2"/>
  <c r="AG862" i="2"/>
  <c r="AG794" i="2"/>
  <c r="AG955" i="2"/>
  <c r="AG599" i="2"/>
  <c r="AG1070" i="2"/>
  <c r="AG932" i="2"/>
  <c r="AG944" i="2"/>
  <c r="AG938" i="2"/>
  <c r="AG1049" i="2"/>
  <c r="AG1081" i="2"/>
  <c r="AG936" i="2"/>
  <c r="AG979" i="2"/>
  <c r="AG571" i="2"/>
  <c r="AG942" i="2"/>
  <c r="AG616" i="2"/>
  <c r="AG822" i="2"/>
  <c r="AG872" i="2"/>
  <c r="AG827" i="2"/>
  <c r="AG471" i="2"/>
  <c r="AG624" i="2"/>
  <c r="AG120" i="2"/>
  <c r="AG127" i="2"/>
  <c r="AG176" i="2"/>
  <c r="AG277" i="2"/>
  <c r="AG40" i="2"/>
  <c r="AG362" i="2"/>
  <c r="AG364" i="2"/>
  <c r="AG507" i="2"/>
  <c r="AG484" i="2"/>
  <c r="AG73" i="2"/>
  <c r="AG453" i="2"/>
  <c r="AG519" i="2"/>
  <c r="AG294" i="2"/>
  <c r="AG154" i="2"/>
  <c r="AG434" i="2"/>
  <c r="AG162" i="2"/>
  <c r="AG45" i="2"/>
  <c r="AG133" i="2"/>
  <c r="AG340" i="2"/>
  <c r="AG99" i="2"/>
  <c r="AG265" i="2"/>
  <c r="AG557" i="2"/>
  <c r="AG139" i="2"/>
  <c r="AG490" i="2"/>
  <c r="AG482" i="2"/>
  <c r="AG442" i="2"/>
  <c r="AG313" i="2"/>
  <c r="AG270" i="2"/>
  <c r="AG488" i="2"/>
  <c r="AG305" i="2"/>
  <c r="AG149" i="2"/>
  <c r="AG480" i="2"/>
  <c r="AG181" i="2"/>
  <c r="AG537" i="2"/>
  <c r="AG505" i="2"/>
  <c r="AG355" i="2"/>
  <c r="AG27" i="2"/>
  <c r="AG925" i="2"/>
  <c r="AG1011" i="2"/>
  <c r="AG705" i="2"/>
  <c r="AG771" i="2"/>
  <c r="AG1116" i="2"/>
  <c r="AG951" i="2"/>
  <c r="AG824" i="2"/>
  <c r="AG681" i="2"/>
  <c r="AG878" i="2"/>
  <c r="AG621" i="2"/>
  <c r="AG1118" i="2"/>
  <c r="AG606" i="2"/>
  <c r="AG980" i="2"/>
  <c r="AG784" i="2"/>
  <c r="AG899" i="2"/>
  <c r="AG967" i="2"/>
  <c r="AG945" i="2"/>
  <c r="AG763" i="2"/>
  <c r="AG572" i="2"/>
  <c r="AG691" i="2"/>
  <c r="AG1079" i="2"/>
  <c r="AG1064" i="2"/>
  <c r="AG583" i="2"/>
  <c r="AG1067" i="2"/>
  <c r="AD53" i="2"/>
  <c r="AH53" i="2" s="1"/>
  <c r="AF53" i="2" s="1"/>
  <c r="AE53" i="2" s="1" a="1"/>
  <c r="AE53" i="2" s="1"/>
  <c r="AD77" i="2"/>
  <c r="AH77" i="2" s="1"/>
  <c r="AD101" i="2"/>
  <c r="AH101" i="2" s="1"/>
  <c r="AD125" i="2"/>
  <c r="AH125" i="2" s="1"/>
  <c r="AD149" i="2"/>
  <c r="AH149" i="2" s="1"/>
  <c r="AD173" i="2"/>
  <c r="AH173" i="2" s="1"/>
  <c r="AD197" i="2"/>
  <c r="AH197" i="2" s="1"/>
  <c r="AD221" i="2"/>
  <c r="AH221" i="2" s="1"/>
  <c r="AD245" i="2"/>
  <c r="AH245" i="2" s="1"/>
  <c r="AF245" i="2" s="1"/>
  <c r="AE245" i="2" s="1" a="1"/>
  <c r="AE245" i="2" s="1"/>
  <c r="AD269" i="2"/>
  <c r="AH269" i="2" s="1"/>
  <c r="AD293" i="2"/>
  <c r="AH293" i="2" s="1"/>
  <c r="AF293" i="2" s="1"/>
  <c r="AE293" i="2" s="1" a="1"/>
  <c r="AE293" i="2" s="1"/>
  <c r="AD317" i="2"/>
  <c r="AH317" i="2" s="1"/>
  <c r="AD341" i="2"/>
  <c r="AH341" i="2" s="1"/>
  <c r="AF341" i="2" s="1"/>
  <c r="AE341" i="2" s="1" a="1"/>
  <c r="AE341" i="2" s="1"/>
  <c r="AD365" i="2"/>
  <c r="AH365" i="2" s="1"/>
  <c r="AF365" i="2" s="1"/>
  <c r="AE365" i="2" s="1" a="1"/>
  <c r="AE365" i="2" s="1"/>
  <c r="AD389" i="2"/>
  <c r="AH389" i="2" s="1"/>
  <c r="AF389" i="2" s="1"/>
  <c r="AE389" i="2" s="1" a="1"/>
  <c r="AE389" i="2" s="1"/>
  <c r="AD413" i="2"/>
  <c r="AH413" i="2" s="1"/>
  <c r="AF413" i="2" s="1"/>
  <c r="AE413" i="2" s="1" a="1"/>
  <c r="AE413" i="2" s="1"/>
  <c r="AD437" i="2"/>
  <c r="AH437" i="2" s="1"/>
  <c r="AD461" i="2"/>
  <c r="AH461" i="2" s="1"/>
  <c r="AF461" i="2" s="1"/>
  <c r="AE461" i="2" s="1" a="1"/>
  <c r="AE461" i="2" s="1"/>
  <c r="AD485" i="2"/>
  <c r="AH485" i="2" s="1"/>
  <c r="AF485" i="2" s="1"/>
  <c r="AE485" i="2" s="1" a="1"/>
  <c r="AE485" i="2" s="1"/>
  <c r="AD509" i="2"/>
  <c r="AH509" i="2" s="1"/>
  <c r="AD533" i="2"/>
  <c r="AH533" i="2" s="1"/>
  <c r="AF533" i="2" s="1"/>
  <c r="AE533" i="2" s="1" a="1"/>
  <c r="AE533" i="2" s="1"/>
  <c r="AD557" i="2"/>
  <c r="AH557" i="2" s="1"/>
  <c r="AF557" i="2" s="1"/>
  <c r="AE557" i="2" s="1" a="1"/>
  <c r="AE557" i="2" s="1"/>
  <c r="AD581" i="2"/>
  <c r="AH581" i="2" s="1"/>
  <c r="AF581" i="2" s="1"/>
  <c r="AE581" i="2" s="1" a="1"/>
  <c r="AE581" i="2" s="1"/>
  <c r="AD605" i="2"/>
  <c r="AH605" i="2" s="1"/>
  <c r="AF605" i="2" s="1"/>
  <c r="AE605" i="2" s="1" a="1"/>
  <c r="AE605" i="2" s="1"/>
  <c r="AD629" i="2"/>
  <c r="AH629" i="2" s="1"/>
  <c r="AF629" i="2" s="1"/>
  <c r="AE629" i="2" s="1" a="1"/>
  <c r="AE629" i="2" s="1"/>
  <c r="AD653" i="2"/>
  <c r="AH653" i="2" s="1"/>
  <c r="AD677" i="2"/>
  <c r="AH677" i="2" s="1"/>
  <c r="AD701" i="2"/>
  <c r="AH701" i="2" s="1"/>
  <c r="AF701" i="2" s="1"/>
  <c r="AE701" i="2" s="1" a="1"/>
  <c r="AE701" i="2" s="1"/>
  <c r="AD725" i="2"/>
  <c r="AH725" i="2" s="1"/>
  <c r="AD749" i="2"/>
  <c r="AH749" i="2" s="1"/>
  <c r="AF749" i="2" s="1"/>
  <c r="AE749" i="2" s="1" a="1"/>
  <c r="AE749" i="2" s="1"/>
  <c r="AD773" i="2"/>
  <c r="AH773" i="2" s="1"/>
  <c r="AD797" i="2"/>
  <c r="AH797" i="2" s="1"/>
  <c r="AF797" i="2" s="1"/>
  <c r="AE797" i="2" s="1" a="1"/>
  <c r="AE797" i="2" s="1"/>
  <c r="AD40" i="2"/>
  <c r="AH40" i="2" s="1"/>
  <c r="AF40" i="2" s="1"/>
  <c r="AE40" i="2" s="1" a="1"/>
  <c r="AE40" i="2" s="1"/>
  <c r="AD64" i="2"/>
  <c r="AH64" i="2" s="1"/>
  <c r="AF64" i="2" s="1"/>
  <c r="AE64" i="2" s="1" a="1"/>
  <c r="AE64" i="2" s="1"/>
  <c r="AD88" i="2"/>
  <c r="AH88" i="2" s="1"/>
  <c r="AD112" i="2"/>
  <c r="AH112" i="2" s="1"/>
  <c r="AF112" i="2" s="1"/>
  <c r="AE112" i="2" s="1" a="1"/>
  <c r="AE112" i="2" s="1"/>
  <c r="AD136" i="2"/>
  <c r="AH136" i="2" s="1"/>
  <c r="AD160" i="2"/>
  <c r="AH160" i="2" s="1"/>
  <c r="AF160" i="2" s="1"/>
  <c r="AE160" i="2" s="1" a="1"/>
  <c r="AE160" i="2" s="1"/>
  <c r="AD184" i="2"/>
  <c r="AH184" i="2" s="1"/>
  <c r="AF184" i="2" s="1"/>
  <c r="AE184" i="2" s="1" a="1"/>
  <c r="AE184" i="2" s="1"/>
  <c r="AD208" i="2"/>
  <c r="AH208" i="2" s="1"/>
  <c r="AF208" i="2" s="1"/>
  <c r="AE208" i="2" s="1" a="1"/>
  <c r="AE208" i="2" s="1"/>
  <c r="AD232" i="2"/>
  <c r="AH232" i="2" s="1"/>
  <c r="AF232" i="2" s="1"/>
  <c r="AE232" i="2" s="1" a="1"/>
  <c r="AE232" i="2" s="1"/>
  <c r="AD256" i="2"/>
  <c r="AH256" i="2" s="1"/>
  <c r="AF256" i="2" s="1"/>
  <c r="AE256" i="2" s="1" a="1"/>
  <c r="AE256" i="2" s="1"/>
  <c r="AD280" i="2"/>
  <c r="AH280" i="2" s="1"/>
  <c r="AF280" i="2" s="1"/>
  <c r="AE280" i="2" s="1" a="1"/>
  <c r="AE280" i="2" s="1"/>
  <c r="AD304" i="2"/>
  <c r="AH304" i="2" s="1"/>
  <c r="AF304" i="2" s="1"/>
  <c r="AE304" i="2" s="1" a="1"/>
  <c r="AE304" i="2" s="1"/>
  <c r="AD328" i="2"/>
  <c r="AH328" i="2" s="1"/>
  <c r="AD352" i="2"/>
  <c r="AH352" i="2" s="1"/>
  <c r="AF352" i="2" s="1"/>
  <c r="AE352" i="2" s="1" a="1"/>
  <c r="AE352" i="2" s="1"/>
  <c r="AD376" i="2"/>
  <c r="AH376" i="2" s="1"/>
  <c r="AF376" i="2" s="1"/>
  <c r="AE376" i="2" s="1" a="1"/>
  <c r="AE376" i="2" s="1"/>
  <c r="AD400" i="2"/>
  <c r="AH400" i="2" s="1"/>
  <c r="AD424" i="2"/>
  <c r="AH424" i="2" s="1"/>
  <c r="AD448" i="2"/>
  <c r="AH448" i="2" s="1"/>
  <c r="AD472" i="2"/>
  <c r="AH472" i="2" s="1"/>
  <c r="AF472" i="2" s="1"/>
  <c r="AE472" i="2" s="1" a="1"/>
  <c r="AE472" i="2" s="1"/>
  <c r="AD496" i="2"/>
  <c r="AH496" i="2" s="1"/>
  <c r="AF496" i="2" s="1"/>
  <c r="AE496" i="2" s="1" a="1"/>
  <c r="AE496" i="2" s="1"/>
  <c r="AD520" i="2"/>
  <c r="AH520" i="2" s="1"/>
  <c r="AF520" i="2" s="1"/>
  <c r="AE520" i="2" s="1" a="1"/>
  <c r="AE520" i="2" s="1"/>
  <c r="AD544" i="2"/>
  <c r="AH544" i="2" s="1"/>
  <c r="AF544" i="2" s="1"/>
  <c r="AE544" i="2" s="1" a="1"/>
  <c r="AE544" i="2" s="1"/>
  <c r="AD568" i="2"/>
  <c r="AH568" i="2" s="1"/>
  <c r="AF568" i="2" s="1"/>
  <c r="AE568" i="2" s="1" a="1"/>
  <c r="AE568" i="2" s="1"/>
  <c r="AD592" i="2"/>
  <c r="AH592" i="2" s="1"/>
  <c r="AF592" i="2" s="1"/>
  <c r="AE592" i="2" s="1" a="1"/>
  <c r="AE592" i="2" s="1"/>
  <c r="AD616" i="2"/>
  <c r="AH616" i="2" s="1"/>
  <c r="AF616" i="2" s="1"/>
  <c r="AE616" i="2" s="1" a="1"/>
  <c r="AE616" i="2" s="1"/>
  <c r="AD640" i="2"/>
  <c r="AH640" i="2" s="1"/>
  <c r="AF640" i="2" s="1"/>
  <c r="AE640" i="2" s="1" a="1"/>
  <c r="AE640" i="2" s="1"/>
  <c r="AD664" i="2"/>
  <c r="AH664" i="2" s="1"/>
  <c r="AF664" i="2" s="1"/>
  <c r="AE664" i="2" s="1" a="1"/>
  <c r="AE664" i="2" s="1"/>
  <c r="AD688" i="2"/>
  <c r="AH688" i="2" s="1"/>
  <c r="AD712" i="2"/>
  <c r="AH712" i="2" s="1"/>
  <c r="AF712" i="2" s="1"/>
  <c r="AE712" i="2" s="1" a="1"/>
  <c r="AE712" i="2" s="1"/>
  <c r="AD736" i="2"/>
  <c r="AH736" i="2" s="1"/>
  <c r="AF736" i="2" s="1"/>
  <c r="AE736" i="2" s="1" a="1"/>
  <c r="AE736" i="2" s="1"/>
  <c r="AD760" i="2"/>
  <c r="AH760" i="2" s="1"/>
  <c r="AF760" i="2" s="1"/>
  <c r="AE760" i="2" s="1" a="1"/>
  <c r="AE760" i="2" s="1"/>
  <c r="AD784" i="2"/>
  <c r="AH784" i="2" s="1"/>
  <c r="AD808" i="2"/>
  <c r="AH808" i="2" s="1"/>
  <c r="AF808" i="2" s="1"/>
  <c r="AE808" i="2" s="1" a="1"/>
  <c r="AE808" i="2" s="1"/>
  <c r="AD52" i="2"/>
  <c r="AH52" i="2" s="1"/>
  <c r="AD79" i="2"/>
  <c r="AH79" i="2" s="1"/>
  <c r="AD105" i="2"/>
  <c r="AH105" i="2" s="1"/>
  <c r="AD131" i="2"/>
  <c r="AH131" i="2" s="1"/>
  <c r="AF131" i="2" s="1"/>
  <c r="AE131" i="2" s="1" a="1"/>
  <c r="AE131" i="2" s="1"/>
  <c r="AD157" i="2"/>
  <c r="AH157" i="2" s="1"/>
  <c r="AF157" i="2" s="1"/>
  <c r="AE157" i="2" s="1" a="1"/>
  <c r="AE157" i="2" s="1"/>
  <c r="AD183" i="2"/>
  <c r="AH183" i="2" s="1"/>
  <c r="AF183" i="2" s="1"/>
  <c r="AE183" i="2" s="1" a="1"/>
  <c r="AE183" i="2" s="1"/>
  <c r="AD210" i="2"/>
  <c r="AH210" i="2" s="1"/>
  <c r="AD236" i="2"/>
  <c r="AH236" i="2" s="1"/>
  <c r="AF236" i="2" s="1"/>
  <c r="AE236" i="2" s="1" a="1"/>
  <c r="AE236" i="2" s="1"/>
  <c r="AD262" i="2"/>
  <c r="AH262" i="2" s="1"/>
  <c r="AF262" i="2" s="1"/>
  <c r="AE262" i="2" s="1" a="1"/>
  <c r="AE262" i="2" s="1"/>
  <c r="AD288" i="2"/>
  <c r="AH288" i="2" s="1"/>
  <c r="AF288" i="2" s="1"/>
  <c r="AE288" i="2" s="1" a="1"/>
  <c r="AE288" i="2" s="1"/>
  <c r="AD314" i="2"/>
  <c r="AH314" i="2" s="1"/>
  <c r="AD340" i="2"/>
  <c r="AH340" i="2" s="1"/>
  <c r="AD367" i="2"/>
  <c r="AH367" i="2" s="1"/>
  <c r="AF367" i="2" s="1"/>
  <c r="AE367" i="2" s="1" a="1"/>
  <c r="AE367" i="2" s="1"/>
  <c r="AD393" i="2"/>
  <c r="AH393" i="2" s="1"/>
  <c r="AD419" i="2"/>
  <c r="AH419" i="2" s="1"/>
  <c r="AF419" i="2" s="1"/>
  <c r="AE419" i="2" s="1" a="1"/>
  <c r="AE419" i="2" s="1"/>
  <c r="AD445" i="2"/>
  <c r="AH445" i="2" s="1"/>
  <c r="AF445" i="2" s="1"/>
  <c r="AE445" i="2" s="1" a="1"/>
  <c r="AE445" i="2" s="1"/>
  <c r="AD471" i="2"/>
  <c r="AH471" i="2" s="1"/>
  <c r="AF471" i="2" s="1"/>
  <c r="AE471" i="2" s="1" a="1"/>
  <c r="AE471" i="2" s="1"/>
  <c r="AD498" i="2"/>
  <c r="AH498" i="2" s="1"/>
  <c r="AF498" i="2" s="1"/>
  <c r="AE498" i="2" s="1" a="1"/>
  <c r="AE498" i="2" s="1"/>
  <c r="AD524" i="2"/>
  <c r="AH524" i="2" s="1"/>
  <c r="AF524" i="2" s="1"/>
  <c r="AE524" i="2" s="1" a="1"/>
  <c r="AE524" i="2" s="1"/>
  <c r="AD550" i="2"/>
  <c r="AH550" i="2" s="1"/>
  <c r="AF550" i="2" s="1"/>
  <c r="AE550" i="2" s="1" a="1"/>
  <c r="AE550" i="2" s="1"/>
  <c r="AD576" i="2"/>
  <c r="AH576" i="2" s="1"/>
  <c r="AF576" i="2" s="1"/>
  <c r="AE576" i="2" s="1" a="1"/>
  <c r="AE576" i="2" s="1"/>
  <c r="AD602" i="2"/>
  <c r="AH602" i="2" s="1"/>
  <c r="AF602" i="2" s="1"/>
  <c r="AE602" i="2" s="1" a="1"/>
  <c r="AE602" i="2" s="1"/>
  <c r="AD628" i="2"/>
  <c r="AH628" i="2" s="1"/>
  <c r="AF628" i="2" s="1"/>
  <c r="AE628" i="2" s="1" a="1"/>
  <c r="AE628" i="2" s="1"/>
  <c r="AD655" i="2"/>
  <c r="AH655" i="2" s="1"/>
  <c r="AF655" i="2" s="1"/>
  <c r="AE655" i="2" s="1" a="1"/>
  <c r="AE655" i="2" s="1"/>
  <c r="AD681" i="2"/>
  <c r="AH681" i="2" s="1"/>
  <c r="AD707" i="2"/>
  <c r="AH707" i="2" s="1"/>
  <c r="AD733" i="2"/>
  <c r="AH733" i="2" s="1"/>
  <c r="AF733" i="2" s="1"/>
  <c r="AE733" i="2" s="1" a="1"/>
  <c r="AE733" i="2" s="1"/>
  <c r="AD759" i="2"/>
  <c r="AH759" i="2" s="1"/>
  <c r="AF759" i="2" s="1"/>
  <c r="AE759" i="2" s="1" a="1"/>
  <c r="AE759" i="2" s="1"/>
  <c r="AD786" i="2"/>
  <c r="AH786" i="2" s="1"/>
  <c r="AF786" i="2" s="1"/>
  <c r="AE786" i="2" s="1" a="1"/>
  <c r="AE786" i="2" s="1"/>
  <c r="AD812" i="2"/>
  <c r="AH812" i="2" s="1"/>
  <c r="AF812" i="2" s="1"/>
  <c r="AE812" i="2" s="1" a="1"/>
  <c r="AE812" i="2" s="1"/>
  <c r="AD836" i="2"/>
  <c r="AH836" i="2" s="1"/>
  <c r="AF836" i="2" s="1"/>
  <c r="AE836" i="2" s="1" a="1"/>
  <c r="AE836" i="2" s="1"/>
  <c r="AD860" i="2"/>
  <c r="AH860" i="2" s="1"/>
  <c r="AF860" i="2" s="1"/>
  <c r="AE860" i="2" s="1" a="1"/>
  <c r="AE860" i="2" s="1"/>
  <c r="AD884" i="2"/>
  <c r="AH884" i="2" s="1"/>
  <c r="AF884" i="2" s="1"/>
  <c r="AE884" i="2" s="1" a="1"/>
  <c r="AE884" i="2" s="1"/>
  <c r="AD908" i="2"/>
  <c r="AH908" i="2" s="1"/>
  <c r="AF908" i="2" s="1"/>
  <c r="AE908" i="2" s="1" a="1"/>
  <c r="AE908" i="2" s="1"/>
  <c r="AD932" i="2"/>
  <c r="AH932" i="2" s="1"/>
  <c r="AF932" i="2" s="1"/>
  <c r="AE932" i="2" s="1" a="1"/>
  <c r="AE932" i="2" s="1"/>
  <c r="AD956" i="2"/>
  <c r="AH956" i="2" s="1"/>
  <c r="AD980" i="2"/>
  <c r="AH980" i="2" s="1"/>
  <c r="AF980" i="2" s="1"/>
  <c r="AE980" i="2" s="1" a="1"/>
  <c r="AE980" i="2" s="1"/>
  <c r="AD1004" i="2"/>
  <c r="AH1004" i="2" s="1"/>
  <c r="AF1004" i="2" s="1"/>
  <c r="AE1004" i="2" s="1" a="1"/>
  <c r="AE1004" i="2" s="1"/>
  <c r="AD1028" i="2"/>
  <c r="AH1028" i="2" s="1"/>
  <c r="AF1028" i="2" s="1"/>
  <c r="AE1028" i="2" s="1" a="1"/>
  <c r="AE1028" i="2" s="1"/>
  <c r="AD1052" i="2"/>
  <c r="AH1052" i="2" s="1"/>
  <c r="AD1076" i="2"/>
  <c r="AH1076" i="2" s="1"/>
  <c r="AF1076" i="2" s="1"/>
  <c r="AE1076" i="2" s="1" a="1"/>
  <c r="AE1076" i="2" s="1"/>
  <c r="AD1100" i="2"/>
  <c r="AH1100" i="2" s="1"/>
  <c r="AF1100" i="2" s="1"/>
  <c r="AE1100" i="2" s="1" a="1"/>
  <c r="AE1100" i="2" s="1"/>
  <c r="AD1124" i="2"/>
  <c r="AH1124" i="2" s="1"/>
  <c r="AF1124" i="2" s="1"/>
  <c r="AE1124" i="2" s="1" a="1"/>
  <c r="AE1124" i="2" s="1"/>
  <c r="AD54" i="2"/>
  <c r="AH54" i="2" s="1"/>
  <c r="AF54" i="2" s="1"/>
  <c r="AE54" i="2" s="1" a="1"/>
  <c r="AE54" i="2" s="1"/>
  <c r="AD80" i="2"/>
  <c r="AH80" i="2" s="1"/>
  <c r="AF80" i="2" s="1"/>
  <c r="AE80" i="2" s="1" a="1"/>
  <c r="AE80" i="2" s="1"/>
  <c r="AD106" i="2"/>
  <c r="AH106" i="2" s="1"/>
  <c r="AF106" i="2" s="1"/>
  <c r="AE106" i="2" s="1" a="1"/>
  <c r="AE106" i="2" s="1"/>
  <c r="AD132" i="2"/>
  <c r="AH132" i="2" s="1"/>
  <c r="AF132" i="2" s="1"/>
  <c r="AE132" i="2" s="1" a="1"/>
  <c r="AE132" i="2" s="1"/>
  <c r="AD158" i="2"/>
  <c r="AH158" i="2" s="1"/>
  <c r="AF158" i="2" s="1"/>
  <c r="AE158" i="2" s="1" a="1"/>
  <c r="AE158" i="2" s="1"/>
  <c r="AD185" i="2"/>
  <c r="AH185" i="2" s="1"/>
  <c r="AD211" i="2"/>
  <c r="AH211" i="2" s="1"/>
  <c r="AF211" i="2" s="1"/>
  <c r="AE211" i="2" s="1" a="1"/>
  <c r="AE211" i="2" s="1"/>
  <c r="AD237" i="2"/>
  <c r="AH237" i="2" s="1"/>
  <c r="AF237" i="2" s="1"/>
  <c r="AE237" i="2" s="1" a="1"/>
  <c r="AE237" i="2" s="1"/>
  <c r="AD263" i="2"/>
  <c r="AH263" i="2" s="1"/>
  <c r="AF263" i="2" s="1"/>
  <c r="AE263" i="2" s="1" a="1"/>
  <c r="AE263" i="2" s="1"/>
  <c r="AD58" i="2"/>
  <c r="AH58" i="2" s="1"/>
  <c r="AF58" i="2" s="1"/>
  <c r="AE58" i="2" s="1" a="1"/>
  <c r="AE58" i="2" s="1"/>
  <c r="AD62" i="2"/>
  <c r="AH62" i="2" s="1"/>
  <c r="AF62" i="2" s="1"/>
  <c r="AE62" i="2" s="1" a="1"/>
  <c r="AE62" i="2" s="1"/>
  <c r="AD89" i="2"/>
  <c r="AH89" i="2" s="1"/>
  <c r="AF89" i="2" s="1"/>
  <c r="AE89" i="2" s="1" a="1"/>
  <c r="AE89" i="2" s="1"/>
  <c r="AD115" i="2"/>
  <c r="AH115" i="2" s="1"/>
  <c r="AF115" i="2" s="1"/>
  <c r="AE115" i="2" s="1" a="1"/>
  <c r="AE115" i="2" s="1"/>
  <c r="AD141" i="2"/>
  <c r="AH141" i="2" s="1"/>
  <c r="AF141" i="2" s="1"/>
  <c r="AE141" i="2" s="1" a="1"/>
  <c r="AE141" i="2" s="1"/>
  <c r="AD167" i="2"/>
  <c r="AH167" i="2" s="1"/>
  <c r="AF167" i="2" s="1"/>
  <c r="AE167" i="2" s="1" a="1"/>
  <c r="AE167" i="2" s="1"/>
  <c r="AD193" i="2"/>
  <c r="AH193" i="2" s="1"/>
  <c r="AF193" i="2" s="1"/>
  <c r="AE193" i="2" s="1" a="1"/>
  <c r="AE193" i="2" s="1"/>
  <c r="AD219" i="2"/>
  <c r="AH219" i="2" s="1"/>
  <c r="AF219" i="2" s="1"/>
  <c r="AE219" i="2" s="1" a="1"/>
  <c r="AE219" i="2" s="1"/>
  <c r="AD246" i="2"/>
  <c r="AH246" i="2" s="1"/>
  <c r="AD272" i="2"/>
  <c r="AH272" i="2" s="1"/>
  <c r="AF272" i="2" s="1"/>
  <c r="AE272" i="2" s="1" a="1"/>
  <c r="AE272" i="2" s="1"/>
  <c r="AD298" i="2"/>
  <c r="AH298" i="2" s="1"/>
  <c r="AF298" i="2" s="1"/>
  <c r="AE298" i="2" s="1" a="1"/>
  <c r="AE298" i="2" s="1"/>
  <c r="AD324" i="2"/>
  <c r="AH324" i="2" s="1"/>
  <c r="AF324" i="2" s="1"/>
  <c r="AE324" i="2" s="1" a="1"/>
  <c r="AE324" i="2" s="1"/>
  <c r="AD350" i="2"/>
  <c r="AH350" i="2" s="1"/>
  <c r="AF350" i="2" s="1"/>
  <c r="AE350" i="2" s="1" a="1"/>
  <c r="AE350" i="2" s="1"/>
  <c r="AD377" i="2"/>
  <c r="AH377" i="2" s="1"/>
  <c r="AF377" i="2" s="1"/>
  <c r="AE377" i="2" s="1" a="1"/>
  <c r="AE377" i="2" s="1"/>
  <c r="AD403" i="2"/>
  <c r="AH403" i="2" s="1"/>
  <c r="AF403" i="2" s="1"/>
  <c r="AE403" i="2" s="1" a="1"/>
  <c r="AE403" i="2" s="1"/>
  <c r="AD429" i="2"/>
  <c r="AH429" i="2" s="1"/>
  <c r="AF429" i="2" s="1"/>
  <c r="AE429" i="2" s="1" a="1"/>
  <c r="AE429" i="2" s="1"/>
  <c r="AD455" i="2"/>
  <c r="AH455" i="2" s="1"/>
  <c r="AF455" i="2" s="1"/>
  <c r="AE455" i="2" s="1" a="1"/>
  <c r="AE455" i="2" s="1"/>
  <c r="AD481" i="2"/>
  <c r="AH481" i="2" s="1"/>
  <c r="AF481" i="2" s="1"/>
  <c r="AE481" i="2" s="1" a="1"/>
  <c r="AE481" i="2" s="1"/>
  <c r="AD507" i="2"/>
  <c r="AH507" i="2" s="1"/>
  <c r="AF507" i="2" s="1"/>
  <c r="AE507" i="2" s="1" a="1"/>
  <c r="AE507" i="2" s="1"/>
  <c r="AD534" i="2"/>
  <c r="AH534" i="2" s="1"/>
  <c r="AD560" i="2"/>
  <c r="AH560" i="2" s="1"/>
  <c r="AF560" i="2" s="1"/>
  <c r="AE560" i="2" s="1" a="1"/>
  <c r="AE560" i="2" s="1"/>
  <c r="AD586" i="2"/>
  <c r="AH586" i="2" s="1"/>
  <c r="AD612" i="2"/>
  <c r="AH612" i="2" s="1"/>
  <c r="AF612" i="2" s="1"/>
  <c r="AE612" i="2" s="1" a="1"/>
  <c r="AE612" i="2" s="1"/>
  <c r="AD638" i="2"/>
  <c r="AH638" i="2" s="1"/>
  <c r="AF638" i="2" s="1"/>
  <c r="AE638" i="2" s="1" a="1"/>
  <c r="AE638" i="2" s="1"/>
  <c r="AD665" i="2"/>
  <c r="AH665" i="2" s="1"/>
  <c r="AF665" i="2" s="1"/>
  <c r="AE665" i="2" s="1" a="1"/>
  <c r="AE665" i="2" s="1"/>
  <c r="AD691" i="2"/>
  <c r="AH691" i="2" s="1"/>
  <c r="AF691" i="2" s="1"/>
  <c r="AE691" i="2" s="1" a="1"/>
  <c r="AE691" i="2" s="1"/>
  <c r="AD717" i="2"/>
  <c r="AH717" i="2" s="1"/>
  <c r="AF717" i="2" s="1"/>
  <c r="AE717" i="2" s="1" a="1"/>
  <c r="AE717" i="2" s="1"/>
  <c r="AD743" i="2"/>
  <c r="AH743" i="2" s="1"/>
  <c r="AD769" i="2"/>
  <c r="AH769" i="2" s="1"/>
  <c r="AF769" i="2" s="1"/>
  <c r="AE769" i="2" s="1" a="1"/>
  <c r="AE769" i="2" s="1"/>
  <c r="AD795" i="2"/>
  <c r="AH795" i="2" s="1"/>
  <c r="AF795" i="2" s="1"/>
  <c r="AE795" i="2" s="1" a="1"/>
  <c r="AE795" i="2" s="1"/>
  <c r="AD821" i="2"/>
  <c r="AH821" i="2" s="1"/>
  <c r="AF821" i="2" s="1"/>
  <c r="AE821" i="2" s="1" a="1"/>
  <c r="AE821" i="2" s="1"/>
  <c r="AD845" i="2"/>
  <c r="AH845" i="2" s="1"/>
  <c r="AD869" i="2"/>
  <c r="AH869" i="2" s="1"/>
  <c r="AF869" i="2" s="1"/>
  <c r="AE869" i="2" s="1" a="1"/>
  <c r="AE869" i="2" s="1"/>
  <c r="AD893" i="2"/>
  <c r="AH893" i="2" s="1"/>
  <c r="AF893" i="2" s="1"/>
  <c r="AE893" i="2" s="1" a="1"/>
  <c r="AE893" i="2" s="1"/>
  <c r="AD917" i="2"/>
  <c r="AH917" i="2" s="1"/>
  <c r="AD941" i="2"/>
  <c r="AH941" i="2" s="1"/>
  <c r="AD965" i="2"/>
  <c r="AH965" i="2" s="1"/>
  <c r="AF965" i="2" s="1"/>
  <c r="AE965" i="2" s="1" a="1"/>
  <c r="AE965" i="2" s="1"/>
  <c r="AD989" i="2"/>
  <c r="AH989" i="2" s="1"/>
  <c r="AF989" i="2" s="1"/>
  <c r="AE989" i="2" s="1" a="1"/>
  <c r="AE989" i="2" s="1"/>
  <c r="AD1013" i="2"/>
  <c r="AH1013" i="2" s="1"/>
  <c r="AF1013" i="2" s="1"/>
  <c r="AE1013" i="2" s="1" a="1"/>
  <c r="AE1013" i="2" s="1"/>
  <c r="AD1037" i="2"/>
  <c r="AH1037" i="2" s="1"/>
  <c r="AF1037" i="2" s="1"/>
  <c r="AE1037" i="2" s="1" a="1"/>
  <c r="AE1037" i="2" s="1"/>
  <c r="AD1061" i="2"/>
  <c r="AH1061" i="2" s="1"/>
  <c r="AF1061" i="2" s="1"/>
  <c r="AE1061" i="2" s="1" a="1"/>
  <c r="AE1061" i="2" s="1"/>
  <c r="AD1085" i="2"/>
  <c r="AH1085" i="2" s="1"/>
  <c r="AD1109" i="2"/>
  <c r="AH1109" i="2" s="1"/>
  <c r="AF1109" i="2" s="1"/>
  <c r="AE1109" i="2" s="1" a="1"/>
  <c r="AE1109" i="2" s="1"/>
  <c r="AD37" i="2"/>
  <c r="AH37" i="2" s="1"/>
  <c r="AF37" i="2" s="1"/>
  <c r="AE37" i="2" s="1" a="1"/>
  <c r="AE37" i="2" s="1"/>
  <c r="AD63" i="2"/>
  <c r="AH63" i="2" s="1"/>
  <c r="AF63" i="2" s="1"/>
  <c r="AE63" i="2" s="1" a="1"/>
  <c r="AE63" i="2" s="1"/>
  <c r="AD90" i="2"/>
  <c r="AH90" i="2" s="1"/>
  <c r="AF90" i="2" s="1"/>
  <c r="AE90" i="2" s="1" a="1"/>
  <c r="AE90" i="2" s="1"/>
  <c r="AD116" i="2"/>
  <c r="AH116" i="2" s="1"/>
  <c r="AF116" i="2" s="1"/>
  <c r="AE116" i="2" s="1" a="1"/>
  <c r="AE116" i="2" s="1"/>
  <c r="AD142" i="2"/>
  <c r="AH142" i="2" s="1"/>
  <c r="AF142" i="2" s="1"/>
  <c r="AE142" i="2" s="1" a="1"/>
  <c r="AE142" i="2" s="1"/>
  <c r="AD168" i="2"/>
  <c r="AH168" i="2" s="1"/>
  <c r="AF168" i="2" s="1"/>
  <c r="AE168" i="2" s="1" a="1"/>
  <c r="AE168" i="2" s="1"/>
  <c r="AD194" i="2"/>
  <c r="AH194" i="2" s="1"/>
  <c r="AF194" i="2" s="1"/>
  <c r="AE194" i="2" s="1" a="1"/>
  <c r="AE194" i="2" s="1"/>
  <c r="AD220" i="2"/>
  <c r="AH220" i="2" s="1"/>
  <c r="AF220" i="2" s="1"/>
  <c r="AE220" i="2" s="1" a="1"/>
  <c r="AE220" i="2" s="1"/>
  <c r="AD247" i="2"/>
  <c r="AH247" i="2" s="1"/>
  <c r="AF247" i="2" s="1"/>
  <c r="AE247" i="2" s="1" a="1"/>
  <c r="AE247" i="2" s="1"/>
  <c r="AD273" i="2"/>
  <c r="AH273" i="2" s="1"/>
  <c r="AF273" i="2" s="1"/>
  <c r="AE273" i="2" s="1" a="1"/>
  <c r="AE273" i="2" s="1"/>
  <c r="AD299" i="2"/>
  <c r="AH299" i="2" s="1"/>
  <c r="AF299" i="2" s="1"/>
  <c r="AE299" i="2" s="1" a="1"/>
  <c r="AE299" i="2" s="1"/>
  <c r="AD325" i="2"/>
  <c r="AH325" i="2" s="1"/>
  <c r="AF325" i="2" s="1"/>
  <c r="AE325" i="2" s="1" a="1"/>
  <c r="AE325" i="2" s="1"/>
  <c r="AD351" i="2"/>
  <c r="AH351" i="2" s="1"/>
  <c r="AF351" i="2" s="1"/>
  <c r="AE351" i="2" s="1" a="1"/>
  <c r="AE351" i="2" s="1"/>
  <c r="AD378" i="2"/>
  <c r="AH378" i="2" s="1"/>
  <c r="AF378" i="2" s="1"/>
  <c r="AE378" i="2" s="1" a="1"/>
  <c r="AE378" i="2" s="1"/>
  <c r="AD404" i="2"/>
  <c r="AH404" i="2" s="1"/>
  <c r="AF404" i="2" s="1"/>
  <c r="AE404" i="2" s="1" a="1"/>
  <c r="AE404" i="2" s="1"/>
  <c r="AD430" i="2"/>
  <c r="AH430" i="2" s="1"/>
  <c r="AF430" i="2" s="1"/>
  <c r="AE430" i="2" s="1" a="1"/>
  <c r="AE430" i="2" s="1"/>
  <c r="AD456" i="2"/>
  <c r="AH456" i="2" s="1"/>
  <c r="AF456" i="2" s="1"/>
  <c r="AE456" i="2" s="1" a="1"/>
  <c r="AE456" i="2" s="1"/>
  <c r="AD482" i="2"/>
  <c r="AH482" i="2" s="1"/>
  <c r="AF482" i="2" s="1"/>
  <c r="AE482" i="2" s="1" a="1"/>
  <c r="AE482" i="2" s="1"/>
  <c r="AD508" i="2"/>
  <c r="AH508" i="2" s="1"/>
  <c r="AF508" i="2" s="1"/>
  <c r="AE508" i="2" s="1" a="1"/>
  <c r="AE508" i="2" s="1"/>
  <c r="AD535" i="2"/>
  <c r="AH535" i="2" s="1"/>
  <c r="AF535" i="2" s="1"/>
  <c r="AE535" i="2" s="1" a="1"/>
  <c r="AE535" i="2" s="1"/>
  <c r="AD561" i="2"/>
  <c r="AH561" i="2" s="1"/>
  <c r="AF561" i="2" s="1"/>
  <c r="AE561" i="2" s="1" a="1"/>
  <c r="AE561" i="2" s="1"/>
  <c r="AD587" i="2"/>
  <c r="AH587" i="2" s="1"/>
  <c r="AF587" i="2" s="1"/>
  <c r="AE587" i="2" s="1" a="1"/>
  <c r="AE587" i="2" s="1"/>
  <c r="AD613" i="2"/>
  <c r="AH613" i="2" s="1"/>
  <c r="AF613" i="2" s="1"/>
  <c r="AE613" i="2" s="1" a="1"/>
  <c r="AE613" i="2" s="1"/>
  <c r="AD639" i="2"/>
  <c r="AH639" i="2" s="1"/>
  <c r="AF639" i="2" s="1"/>
  <c r="AE639" i="2" s="1" a="1"/>
  <c r="AE639" i="2" s="1"/>
  <c r="AD666" i="2"/>
  <c r="AH666" i="2" s="1"/>
  <c r="AF666" i="2" s="1"/>
  <c r="AE666" i="2" s="1" a="1"/>
  <c r="AE666" i="2" s="1"/>
  <c r="AD692" i="2"/>
  <c r="AH692" i="2" s="1"/>
  <c r="AF692" i="2" s="1"/>
  <c r="AE692" i="2" s="1" a="1"/>
  <c r="AE692" i="2" s="1"/>
  <c r="AD718" i="2"/>
  <c r="AH718" i="2" s="1"/>
  <c r="AF718" i="2" s="1"/>
  <c r="AE718" i="2" s="1" a="1"/>
  <c r="AE718" i="2" s="1"/>
  <c r="AD744" i="2"/>
  <c r="AH744" i="2" s="1"/>
  <c r="AF744" i="2" s="1"/>
  <c r="AE744" i="2" s="1" a="1"/>
  <c r="AE744" i="2" s="1"/>
  <c r="AD770" i="2"/>
  <c r="AH770" i="2" s="1"/>
  <c r="AF770" i="2" s="1"/>
  <c r="AE770" i="2" s="1" a="1"/>
  <c r="AE770" i="2" s="1"/>
  <c r="AD796" i="2"/>
  <c r="AH796" i="2" s="1"/>
  <c r="AF796" i="2" s="1"/>
  <c r="AE796" i="2" s="1" a="1"/>
  <c r="AE796" i="2" s="1"/>
  <c r="AD822" i="2"/>
  <c r="AH822" i="2" s="1"/>
  <c r="AF822" i="2" s="1"/>
  <c r="AE822" i="2" s="1" a="1"/>
  <c r="AE822" i="2" s="1"/>
  <c r="AD846" i="2"/>
  <c r="AH846" i="2" s="1"/>
  <c r="AF846" i="2" s="1"/>
  <c r="AE846" i="2" s="1" a="1"/>
  <c r="AE846" i="2" s="1"/>
  <c r="AD870" i="2"/>
  <c r="AH870" i="2" s="1"/>
  <c r="AF870" i="2" s="1"/>
  <c r="AE870" i="2" s="1" a="1"/>
  <c r="AE870" i="2" s="1"/>
  <c r="AD894" i="2"/>
  <c r="AH894" i="2" s="1"/>
  <c r="AF894" i="2" s="1"/>
  <c r="AE894" i="2" s="1" a="1"/>
  <c r="AE894" i="2" s="1"/>
  <c r="AD918" i="2"/>
  <c r="AH918" i="2" s="1"/>
  <c r="AF918" i="2" s="1"/>
  <c r="AE918" i="2" s="1" a="1"/>
  <c r="AE918" i="2" s="1"/>
  <c r="AD942" i="2"/>
  <c r="AH942" i="2" s="1"/>
  <c r="AF942" i="2" s="1"/>
  <c r="AE942" i="2" s="1" a="1"/>
  <c r="AE942" i="2" s="1"/>
  <c r="AD966" i="2"/>
  <c r="AH966" i="2" s="1"/>
  <c r="AD990" i="2"/>
  <c r="AH990" i="2" s="1"/>
  <c r="AF990" i="2" s="1"/>
  <c r="AE990" i="2" s="1" a="1"/>
  <c r="AE990" i="2" s="1"/>
  <c r="AD1014" i="2"/>
  <c r="AH1014" i="2" s="1"/>
  <c r="AF1014" i="2" s="1"/>
  <c r="AE1014" i="2" s="1" a="1"/>
  <c r="AE1014" i="2" s="1"/>
  <c r="AD1038" i="2"/>
  <c r="AH1038" i="2" s="1"/>
  <c r="AF1038" i="2" s="1"/>
  <c r="AE1038" i="2" s="1" a="1"/>
  <c r="AE1038" i="2" s="1"/>
  <c r="AD1062" i="2"/>
  <c r="AH1062" i="2" s="1"/>
  <c r="AD1086" i="2"/>
  <c r="AH1086" i="2" s="1"/>
  <c r="AD1110" i="2"/>
  <c r="AH1110" i="2" s="1"/>
  <c r="AF1110" i="2" s="1"/>
  <c r="AE1110" i="2" s="1" a="1"/>
  <c r="AE1110" i="2" s="1"/>
  <c r="AD38" i="2"/>
  <c r="AH38" i="2" s="1"/>
  <c r="AF38" i="2" s="1"/>
  <c r="AE38" i="2" s="1" a="1"/>
  <c r="AE38" i="2" s="1"/>
  <c r="AD65" i="2"/>
  <c r="AH65" i="2" s="1"/>
  <c r="AF65" i="2" s="1"/>
  <c r="AE65" i="2" s="1" a="1"/>
  <c r="AE65" i="2" s="1"/>
  <c r="AD91" i="2"/>
  <c r="AH91" i="2" s="1"/>
  <c r="AF91" i="2" s="1"/>
  <c r="AE91" i="2" s="1" a="1"/>
  <c r="AE91" i="2" s="1"/>
  <c r="AD117" i="2"/>
  <c r="AH117" i="2" s="1"/>
  <c r="AF117" i="2" s="1"/>
  <c r="AE117" i="2" s="1" a="1"/>
  <c r="AE117" i="2" s="1"/>
  <c r="AD143" i="2"/>
  <c r="AH143" i="2" s="1"/>
  <c r="AF143" i="2" s="1"/>
  <c r="AE143" i="2" s="1" a="1"/>
  <c r="AE143" i="2" s="1"/>
  <c r="AD169" i="2"/>
  <c r="AH169" i="2" s="1"/>
  <c r="AF169" i="2" s="1"/>
  <c r="AE169" i="2" s="1" a="1"/>
  <c r="AE169" i="2" s="1"/>
  <c r="AD195" i="2"/>
  <c r="AH195" i="2" s="1"/>
  <c r="AF195" i="2" s="1"/>
  <c r="AE195" i="2" s="1" a="1"/>
  <c r="AE195" i="2" s="1"/>
  <c r="AD222" i="2"/>
  <c r="AH222" i="2" s="1"/>
  <c r="AF222" i="2" s="1"/>
  <c r="AE222" i="2" s="1" a="1"/>
  <c r="AE222" i="2" s="1"/>
  <c r="AD248" i="2"/>
  <c r="AH248" i="2" s="1"/>
  <c r="AF248" i="2" s="1"/>
  <c r="AE248" i="2" s="1" a="1"/>
  <c r="AE248" i="2" s="1"/>
  <c r="AD274" i="2"/>
  <c r="AH274" i="2" s="1"/>
  <c r="AD300" i="2"/>
  <c r="AH300" i="2" s="1"/>
  <c r="AF300" i="2" s="1"/>
  <c r="AE300" i="2" s="1" a="1"/>
  <c r="AE300" i="2" s="1"/>
  <c r="AD326" i="2"/>
  <c r="AH326" i="2" s="1"/>
  <c r="AF326" i="2" s="1"/>
  <c r="AE326" i="2" s="1" a="1"/>
  <c r="AE326" i="2" s="1"/>
  <c r="AD353" i="2"/>
  <c r="AH353" i="2" s="1"/>
  <c r="AF353" i="2" s="1"/>
  <c r="AE353" i="2" s="1" a="1"/>
  <c r="AE353" i="2" s="1"/>
  <c r="AD379" i="2"/>
  <c r="AH379" i="2" s="1"/>
  <c r="AF379" i="2" s="1"/>
  <c r="AE379" i="2" s="1" a="1"/>
  <c r="AE379" i="2" s="1"/>
  <c r="AD405" i="2"/>
  <c r="AH405" i="2" s="1"/>
  <c r="AF405" i="2" s="1"/>
  <c r="AE405" i="2" s="1" a="1"/>
  <c r="AE405" i="2" s="1"/>
  <c r="AD431" i="2"/>
  <c r="AH431" i="2" s="1"/>
  <c r="AF431" i="2" s="1"/>
  <c r="AE431" i="2" s="1" a="1"/>
  <c r="AE431" i="2" s="1"/>
  <c r="AD457" i="2"/>
  <c r="AH457" i="2" s="1"/>
  <c r="AF457" i="2" s="1"/>
  <c r="AE457" i="2" s="1" a="1"/>
  <c r="AE457" i="2" s="1"/>
  <c r="AD483" i="2"/>
  <c r="AH483" i="2" s="1"/>
  <c r="AF483" i="2" s="1"/>
  <c r="AE483" i="2" s="1" a="1"/>
  <c r="AE483" i="2" s="1"/>
  <c r="AD510" i="2"/>
  <c r="AH510" i="2" s="1"/>
  <c r="AF510" i="2" s="1"/>
  <c r="AE510" i="2" s="1" a="1"/>
  <c r="AE510" i="2" s="1"/>
  <c r="AD536" i="2"/>
  <c r="AH536" i="2" s="1"/>
  <c r="AF536" i="2" s="1"/>
  <c r="AE536" i="2" s="1" a="1"/>
  <c r="AE536" i="2" s="1"/>
  <c r="AD562" i="2"/>
  <c r="AH562" i="2" s="1"/>
  <c r="AF562" i="2" s="1"/>
  <c r="AE562" i="2" s="1" a="1"/>
  <c r="AE562" i="2" s="1"/>
  <c r="AD588" i="2"/>
  <c r="AH588" i="2" s="1"/>
  <c r="AF588" i="2" s="1"/>
  <c r="AE588" i="2" s="1" a="1"/>
  <c r="AE588" i="2" s="1"/>
  <c r="AD614" i="2"/>
  <c r="AH614" i="2" s="1"/>
  <c r="AF614" i="2" s="1"/>
  <c r="AE614" i="2" s="1" a="1"/>
  <c r="AE614" i="2" s="1"/>
  <c r="AD641" i="2"/>
  <c r="AH641" i="2" s="1"/>
  <c r="AF641" i="2" s="1"/>
  <c r="AE641" i="2" s="1" a="1"/>
  <c r="AE641" i="2" s="1"/>
  <c r="AD667" i="2"/>
  <c r="AH667" i="2" s="1"/>
  <c r="AF667" i="2" s="1"/>
  <c r="AE667" i="2" s="1" a="1"/>
  <c r="AE667" i="2" s="1"/>
  <c r="AD693" i="2"/>
  <c r="AH693" i="2" s="1"/>
  <c r="AF693" i="2" s="1"/>
  <c r="AE693" i="2" s="1" a="1"/>
  <c r="AE693" i="2" s="1"/>
  <c r="AD719" i="2"/>
  <c r="AH719" i="2" s="1"/>
  <c r="AF719" i="2" s="1"/>
  <c r="AE719" i="2" s="1" a="1"/>
  <c r="AE719" i="2" s="1"/>
  <c r="AD745" i="2"/>
  <c r="AH745" i="2" s="1"/>
  <c r="AF745" i="2" s="1"/>
  <c r="AE745" i="2" s="1" a="1"/>
  <c r="AE745" i="2" s="1"/>
  <c r="AD771" i="2"/>
  <c r="AH771" i="2" s="1"/>
  <c r="AF771" i="2" s="1"/>
  <c r="AE771" i="2" s="1" a="1"/>
  <c r="AE771" i="2" s="1"/>
  <c r="AD798" i="2"/>
  <c r="AH798" i="2" s="1"/>
  <c r="AF798" i="2" s="1"/>
  <c r="AE798" i="2" s="1" a="1"/>
  <c r="AE798" i="2" s="1"/>
  <c r="AD823" i="2"/>
  <c r="AH823" i="2" s="1"/>
  <c r="AF823" i="2" s="1"/>
  <c r="AE823" i="2" s="1" a="1"/>
  <c r="AE823" i="2" s="1"/>
  <c r="AD847" i="2"/>
  <c r="AH847" i="2" s="1"/>
  <c r="AD871" i="2"/>
  <c r="AH871" i="2" s="1"/>
  <c r="AF871" i="2" s="1"/>
  <c r="AE871" i="2" s="1" a="1"/>
  <c r="AE871" i="2" s="1"/>
  <c r="AD895" i="2"/>
  <c r="AH895" i="2" s="1"/>
  <c r="AF895" i="2" s="1"/>
  <c r="AE895" i="2" s="1" a="1"/>
  <c r="AE895" i="2" s="1"/>
  <c r="AD919" i="2"/>
  <c r="AH919" i="2" s="1"/>
  <c r="AF919" i="2" s="1"/>
  <c r="AE919" i="2" s="1" a="1"/>
  <c r="AE919" i="2" s="1"/>
  <c r="AD943" i="2"/>
  <c r="AH943" i="2" s="1"/>
  <c r="AF943" i="2" s="1"/>
  <c r="AE943" i="2" s="1" a="1"/>
  <c r="AE943" i="2" s="1"/>
  <c r="AD967" i="2"/>
  <c r="AH967" i="2" s="1"/>
  <c r="AF967" i="2" s="1"/>
  <c r="AE967" i="2" s="1" a="1"/>
  <c r="AE967" i="2" s="1"/>
  <c r="AD991" i="2"/>
  <c r="AH991" i="2" s="1"/>
  <c r="AF991" i="2" s="1"/>
  <c r="AE991" i="2" s="1" a="1"/>
  <c r="AE991" i="2" s="1"/>
  <c r="AD1015" i="2"/>
  <c r="AH1015" i="2" s="1"/>
  <c r="AF1015" i="2" s="1"/>
  <c r="AE1015" i="2" s="1" a="1"/>
  <c r="AE1015" i="2" s="1"/>
  <c r="AD1039" i="2"/>
  <c r="AH1039" i="2" s="1"/>
  <c r="AF1039" i="2" s="1"/>
  <c r="AE1039" i="2" s="1" a="1"/>
  <c r="AE1039" i="2" s="1"/>
  <c r="AD1063" i="2"/>
  <c r="AH1063" i="2" s="1"/>
  <c r="AF1063" i="2" s="1"/>
  <c r="AE1063" i="2" s="1" a="1"/>
  <c r="AE1063" i="2" s="1"/>
  <c r="AD1087" i="2"/>
  <c r="AH1087" i="2" s="1"/>
  <c r="AF1087" i="2" s="1"/>
  <c r="AE1087" i="2" s="1" a="1"/>
  <c r="AE1087" i="2" s="1"/>
  <c r="AD1111" i="2"/>
  <c r="AH1111" i="2" s="1"/>
  <c r="AF1111" i="2" s="1"/>
  <c r="AE1111" i="2" s="1" a="1"/>
  <c r="AE1111" i="2" s="1"/>
  <c r="AD39" i="2"/>
  <c r="AH39" i="2" s="1"/>
  <c r="AF39" i="2" s="1"/>
  <c r="AE39" i="2" s="1" a="1"/>
  <c r="AE39" i="2" s="1"/>
  <c r="AD66" i="2"/>
  <c r="AH66" i="2" s="1"/>
  <c r="AF66" i="2" s="1"/>
  <c r="AE66" i="2" s="1" a="1"/>
  <c r="AE66" i="2" s="1"/>
  <c r="AD92" i="2"/>
  <c r="AH92" i="2" s="1"/>
  <c r="AF92" i="2" s="1"/>
  <c r="AE92" i="2" s="1" a="1"/>
  <c r="AE92" i="2" s="1"/>
  <c r="AD118" i="2"/>
  <c r="AH118" i="2" s="1"/>
  <c r="AF118" i="2" s="1"/>
  <c r="AE118" i="2" s="1" a="1"/>
  <c r="AE118" i="2" s="1"/>
  <c r="AD144" i="2"/>
  <c r="AH144" i="2" s="1"/>
  <c r="AF144" i="2" s="1"/>
  <c r="AE144" i="2" s="1" a="1"/>
  <c r="AE144" i="2" s="1"/>
  <c r="AD170" i="2"/>
  <c r="AH170" i="2" s="1"/>
  <c r="AF170" i="2" s="1"/>
  <c r="AE170" i="2" s="1" a="1"/>
  <c r="AE170" i="2" s="1"/>
  <c r="AD196" i="2"/>
  <c r="AH196" i="2" s="1"/>
  <c r="AF196" i="2" s="1"/>
  <c r="AE196" i="2" s="1" a="1"/>
  <c r="AE196" i="2" s="1"/>
  <c r="AD223" i="2"/>
  <c r="AH223" i="2" s="1"/>
  <c r="AF223" i="2" s="1"/>
  <c r="AE223" i="2" s="1" a="1"/>
  <c r="AE223" i="2" s="1"/>
  <c r="AD249" i="2"/>
  <c r="AH249" i="2" s="1"/>
  <c r="AF249" i="2" s="1"/>
  <c r="AE249" i="2" s="1" a="1"/>
  <c r="AE249" i="2" s="1"/>
  <c r="AD42" i="2"/>
  <c r="AH42" i="2" s="1"/>
  <c r="AD68" i="2"/>
  <c r="AH68" i="2" s="1"/>
  <c r="AF68" i="2" s="1"/>
  <c r="AE68" i="2" s="1" a="1"/>
  <c r="AE68" i="2" s="1"/>
  <c r="AD94" i="2"/>
  <c r="AH94" i="2" s="1"/>
  <c r="AF94" i="2" s="1"/>
  <c r="AE94" i="2" s="1" a="1"/>
  <c r="AE94" i="2" s="1"/>
  <c r="AD120" i="2"/>
  <c r="AH120" i="2" s="1"/>
  <c r="AF120" i="2" s="1"/>
  <c r="AE120" i="2" s="1" a="1"/>
  <c r="AE120" i="2" s="1"/>
  <c r="AD146" i="2"/>
  <c r="AH146" i="2" s="1"/>
  <c r="AF146" i="2" s="1"/>
  <c r="AE146" i="2" s="1" a="1"/>
  <c r="AE146" i="2" s="1"/>
  <c r="AD172" i="2"/>
  <c r="AH172" i="2" s="1"/>
  <c r="AF172" i="2" s="1"/>
  <c r="AE172" i="2" s="1" a="1"/>
  <c r="AE172" i="2" s="1"/>
  <c r="AD199" i="2"/>
  <c r="AH199" i="2" s="1"/>
  <c r="AD225" i="2"/>
  <c r="AH225" i="2" s="1"/>
  <c r="AF225" i="2" s="1"/>
  <c r="AE225" i="2" s="1" a="1"/>
  <c r="AE225" i="2" s="1"/>
  <c r="AD251" i="2"/>
  <c r="AH251" i="2" s="1"/>
  <c r="AF251" i="2" s="1"/>
  <c r="AE251" i="2" s="1" a="1"/>
  <c r="AE251" i="2" s="1"/>
  <c r="AD277" i="2"/>
  <c r="AH277" i="2" s="1"/>
  <c r="AD43" i="2"/>
  <c r="AH43" i="2" s="1"/>
  <c r="AF43" i="2" s="1"/>
  <c r="AE43" i="2" s="1" a="1"/>
  <c r="AE43" i="2" s="1"/>
  <c r="AD44" i="2"/>
  <c r="AH44" i="2" s="1"/>
  <c r="AD45" i="2"/>
  <c r="AH45" i="2" s="1"/>
  <c r="AF45" i="2" s="1"/>
  <c r="AE45" i="2" s="1" a="1"/>
  <c r="AE45" i="2" s="1"/>
  <c r="AD49" i="2"/>
  <c r="AH49" i="2" s="1"/>
  <c r="AF49" i="2" s="1"/>
  <c r="AE49" i="2" s="1" a="1"/>
  <c r="AE49" i="2" s="1"/>
  <c r="AD86" i="2"/>
  <c r="AH86" i="2" s="1"/>
  <c r="AF86" i="2" s="1"/>
  <c r="AE86" i="2" s="1" a="1"/>
  <c r="AE86" i="2" s="1"/>
  <c r="AD126" i="2"/>
  <c r="AH126" i="2" s="1"/>
  <c r="AF126" i="2" s="1"/>
  <c r="AE126" i="2" s="1" a="1"/>
  <c r="AE126" i="2" s="1"/>
  <c r="AD162" i="2"/>
  <c r="AH162" i="2" s="1"/>
  <c r="AD201" i="2"/>
  <c r="AH201" i="2" s="1"/>
  <c r="AD235" i="2"/>
  <c r="AH235" i="2" s="1"/>
  <c r="AD271" i="2"/>
  <c r="AH271" i="2" s="1"/>
  <c r="AF271" i="2" s="1"/>
  <c r="AE271" i="2" s="1" a="1"/>
  <c r="AE271" i="2" s="1"/>
  <c r="AD306" i="2"/>
  <c r="AH306" i="2" s="1"/>
  <c r="AF306" i="2" s="1"/>
  <c r="AE306" i="2" s="1" a="1"/>
  <c r="AE306" i="2" s="1"/>
  <c r="AD336" i="2"/>
  <c r="AH336" i="2" s="1"/>
  <c r="AF336" i="2" s="1"/>
  <c r="AE336" i="2" s="1" a="1"/>
  <c r="AE336" i="2" s="1"/>
  <c r="AD368" i="2"/>
  <c r="AH368" i="2" s="1"/>
  <c r="AF368" i="2" s="1"/>
  <c r="AE368" i="2" s="1" a="1"/>
  <c r="AE368" i="2" s="1"/>
  <c r="AD398" i="2"/>
  <c r="AH398" i="2" s="1"/>
  <c r="AF398" i="2" s="1"/>
  <c r="AD432" i="2"/>
  <c r="AH432" i="2" s="1"/>
  <c r="AF432" i="2" s="1"/>
  <c r="AE432" i="2" s="1" a="1"/>
  <c r="AE432" i="2" s="1"/>
  <c r="AD463" i="2"/>
  <c r="AH463" i="2" s="1"/>
  <c r="AF463" i="2" s="1"/>
  <c r="AE463" i="2" s="1" a="1"/>
  <c r="AE463" i="2" s="1"/>
  <c r="AD493" i="2"/>
  <c r="AH493" i="2" s="1"/>
  <c r="AF493" i="2" s="1"/>
  <c r="AE493" i="2" s="1" a="1"/>
  <c r="AE493" i="2" s="1"/>
  <c r="AD525" i="2"/>
  <c r="AH525" i="2" s="1"/>
  <c r="AF525" i="2" s="1"/>
  <c r="AE525" i="2" s="1" a="1"/>
  <c r="AE525" i="2" s="1"/>
  <c r="AD555" i="2"/>
  <c r="AH555" i="2" s="1"/>
  <c r="AF555" i="2" s="1"/>
  <c r="AE555" i="2" s="1" a="1"/>
  <c r="AE555" i="2" s="1"/>
  <c r="AD589" i="2"/>
  <c r="AH589" i="2" s="1"/>
  <c r="AD620" i="2"/>
  <c r="AH620" i="2" s="1"/>
  <c r="AF620" i="2" s="1"/>
  <c r="AE620" i="2" s="1" a="1"/>
  <c r="AE620" i="2" s="1"/>
  <c r="AD650" i="2"/>
  <c r="AH650" i="2" s="1"/>
  <c r="AF650" i="2" s="1"/>
  <c r="AE650" i="2" s="1" a="1"/>
  <c r="AE650" i="2" s="1"/>
  <c r="AD682" i="2"/>
  <c r="AH682" i="2" s="1"/>
  <c r="AD713" i="2"/>
  <c r="AH713" i="2" s="1"/>
  <c r="AF713" i="2" s="1"/>
  <c r="AE713" i="2" s="1" a="1"/>
  <c r="AE713" i="2" s="1"/>
  <c r="AD746" i="2"/>
  <c r="AH746" i="2" s="1"/>
  <c r="AF746" i="2" s="1"/>
  <c r="AE746" i="2" s="1" a="1"/>
  <c r="AE746" i="2" s="1"/>
  <c r="AD777" i="2"/>
  <c r="AH777" i="2" s="1"/>
  <c r="AF777" i="2" s="1"/>
  <c r="AE777" i="2" s="1" a="1"/>
  <c r="AE777" i="2" s="1"/>
  <c r="AD807" i="2"/>
  <c r="AH807" i="2" s="1"/>
  <c r="AF807" i="2" s="1"/>
  <c r="AE807" i="2" s="1" a="1"/>
  <c r="AE807" i="2" s="1"/>
  <c r="AD837" i="2"/>
  <c r="AH837" i="2" s="1"/>
  <c r="AF837" i="2" s="1"/>
  <c r="AE837" i="2" s="1" a="1"/>
  <c r="AE837" i="2" s="1"/>
  <c r="AD865" i="2"/>
  <c r="AH865" i="2" s="1"/>
  <c r="AF865" i="2" s="1"/>
  <c r="AE865" i="2" s="1" a="1"/>
  <c r="AE865" i="2" s="1"/>
  <c r="AD896" i="2"/>
  <c r="AH896" i="2" s="1"/>
  <c r="AF896" i="2" s="1"/>
  <c r="AE896" i="2" s="1" a="1"/>
  <c r="AE896" i="2" s="1"/>
  <c r="AD924" i="2"/>
  <c r="AH924" i="2" s="1"/>
  <c r="AD952" i="2"/>
  <c r="AH952" i="2" s="1"/>
  <c r="AF952" i="2" s="1"/>
  <c r="AE952" i="2" s="1" a="1"/>
  <c r="AE952" i="2" s="1"/>
  <c r="AD981" i="2"/>
  <c r="AH981" i="2" s="1"/>
  <c r="AF981" i="2" s="1"/>
  <c r="AE981" i="2" s="1" a="1"/>
  <c r="AE981" i="2" s="1"/>
  <c r="AD1009" i="2"/>
  <c r="AH1009" i="2" s="1"/>
  <c r="AF1009" i="2" s="1"/>
  <c r="AE1009" i="2" s="1" a="1"/>
  <c r="AE1009" i="2" s="1"/>
  <c r="AD1040" i="2"/>
  <c r="AH1040" i="2" s="1"/>
  <c r="AD1068" i="2"/>
  <c r="AH1068" i="2" s="1"/>
  <c r="AF1068" i="2" s="1"/>
  <c r="AE1068" i="2" s="1" a="1"/>
  <c r="AE1068" i="2" s="1"/>
  <c r="AD1096" i="2"/>
  <c r="AH1096" i="2" s="1"/>
  <c r="AF1096" i="2" s="1"/>
  <c r="AE1096" i="2" s="1" a="1"/>
  <c r="AE1096" i="2" s="1"/>
  <c r="AD1125" i="2"/>
  <c r="AH1125" i="2" s="1"/>
  <c r="AF1125" i="2" s="1"/>
  <c r="AE1125" i="2" s="1" a="1"/>
  <c r="AE1125" i="2" s="1"/>
  <c r="AD50" i="2"/>
  <c r="AH50" i="2" s="1"/>
  <c r="AF50" i="2" s="1"/>
  <c r="AE50" i="2" s="1" a="1"/>
  <c r="AE50" i="2" s="1"/>
  <c r="AD87" i="2"/>
  <c r="AH87" i="2" s="1"/>
  <c r="AF87" i="2" s="1"/>
  <c r="AE87" i="2" s="1" a="1"/>
  <c r="AE87" i="2" s="1"/>
  <c r="AD127" i="2"/>
  <c r="AH127" i="2" s="1"/>
  <c r="AF127" i="2" s="1"/>
  <c r="AE127" i="2" s="1" a="1"/>
  <c r="AE127" i="2" s="1"/>
  <c r="AD163" i="2"/>
  <c r="AH163" i="2" s="1"/>
  <c r="AD202" i="2"/>
  <c r="AH202" i="2" s="1"/>
  <c r="AF202" i="2" s="1"/>
  <c r="AE202" i="2" s="1" a="1"/>
  <c r="AE202" i="2" s="1"/>
  <c r="AD238" i="2"/>
  <c r="AH238" i="2" s="1"/>
  <c r="AF238" i="2" s="1"/>
  <c r="AE238" i="2" s="1" a="1"/>
  <c r="AE238" i="2" s="1"/>
  <c r="AD275" i="2"/>
  <c r="AH275" i="2" s="1"/>
  <c r="AF275" i="2" s="1"/>
  <c r="AE275" i="2" s="1" a="1"/>
  <c r="AE275" i="2" s="1"/>
  <c r="AD307" i="2"/>
  <c r="AH307" i="2" s="1"/>
  <c r="AF307" i="2" s="1"/>
  <c r="AE307" i="2" s="1" a="1"/>
  <c r="AE307" i="2" s="1"/>
  <c r="AD337" i="2"/>
  <c r="AH337" i="2" s="1"/>
  <c r="AF337" i="2" s="1"/>
  <c r="AE337" i="2" s="1" a="1"/>
  <c r="AE337" i="2" s="1"/>
  <c r="AD369" i="2"/>
  <c r="AH369" i="2" s="1"/>
  <c r="AF369" i="2" s="1"/>
  <c r="AE369" i="2" s="1" a="1"/>
  <c r="AE369" i="2" s="1"/>
  <c r="AD399" i="2"/>
  <c r="AH399" i="2" s="1"/>
  <c r="AD433" i="2"/>
  <c r="AH433" i="2" s="1"/>
  <c r="AD464" i="2"/>
  <c r="AH464" i="2" s="1"/>
  <c r="AF464" i="2" s="1"/>
  <c r="AE464" i="2" s="1" a="1"/>
  <c r="AE464" i="2" s="1"/>
  <c r="AD494" i="2"/>
  <c r="AH494" i="2" s="1"/>
  <c r="AF494" i="2" s="1"/>
  <c r="AE494" i="2" s="1" a="1"/>
  <c r="AE494" i="2" s="1"/>
  <c r="AD526" i="2"/>
  <c r="AH526" i="2" s="1"/>
  <c r="AF526" i="2" s="1"/>
  <c r="AE526" i="2" s="1" a="1"/>
  <c r="AE526" i="2" s="1"/>
  <c r="AD556" i="2"/>
  <c r="AH556" i="2" s="1"/>
  <c r="AF556" i="2" s="1"/>
  <c r="AE556" i="2" s="1" a="1"/>
  <c r="AE556" i="2" s="1"/>
  <c r="AD590" i="2"/>
  <c r="AH590" i="2" s="1"/>
  <c r="AF590" i="2" s="1"/>
  <c r="AE590" i="2" s="1" a="1"/>
  <c r="AE590" i="2" s="1"/>
  <c r="AD621" i="2"/>
  <c r="AH621" i="2" s="1"/>
  <c r="AF621" i="2" s="1"/>
  <c r="AE621" i="2" s="1" a="1"/>
  <c r="AE621" i="2" s="1"/>
  <c r="AD651" i="2"/>
  <c r="AH651" i="2" s="1"/>
  <c r="AF651" i="2" s="1"/>
  <c r="AE651" i="2" s="1" a="1"/>
  <c r="AE651" i="2" s="1"/>
  <c r="AD683" i="2"/>
  <c r="AH683" i="2" s="1"/>
  <c r="AF683" i="2" s="1"/>
  <c r="AE683" i="2" s="1" a="1"/>
  <c r="AE683" i="2" s="1"/>
  <c r="AD714" i="2"/>
  <c r="AH714" i="2" s="1"/>
  <c r="AF714" i="2" s="1"/>
  <c r="AE714" i="2" s="1" a="1"/>
  <c r="AE714" i="2" s="1"/>
  <c r="AD747" i="2"/>
  <c r="AH747" i="2" s="1"/>
  <c r="AF747" i="2" s="1"/>
  <c r="AE747" i="2" s="1" a="1"/>
  <c r="AE747" i="2" s="1"/>
  <c r="AD778" i="2"/>
  <c r="AH778" i="2" s="1"/>
  <c r="AF778" i="2" s="1"/>
  <c r="AE778" i="2" s="1" a="1"/>
  <c r="AE778" i="2" s="1"/>
  <c r="AD809" i="2"/>
  <c r="AH809" i="2" s="1"/>
  <c r="AF809" i="2" s="1"/>
  <c r="AE809" i="2" s="1" a="1"/>
  <c r="AE809" i="2" s="1"/>
  <c r="AD838" i="2"/>
  <c r="AH838" i="2" s="1"/>
  <c r="AD866" i="2"/>
  <c r="AH866" i="2" s="1"/>
  <c r="AF866" i="2" s="1"/>
  <c r="AE866" i="2" s="1" a="1"/>
  <c r="AE866" i="2" s="1"/>
  <c r="AD897" i="2"/>
  <c r="AH897" i="2" s="1"/>
  <c r="AF897" i="2" s="1"/>
  <c r="AE897" i="2" s="1" a="1"/>
  <c r="AE897" i="2" s="1"/>
  <c r="AD925" i="2"/>
  <c r="AH925" i="2" s="1"/>
  <c r="AF925" i="2" s="1"/>
  <c r="AE925" i="2" s="1" a="1"/>
  <c r="AE925" i="2" s="1"/>
  <c r="AD953" i="2"/>
  <c r="AH953" i="2" s="1"/>
  <c r="AF953" i="2" s="1"/>
  <c r="AE953" i="2" s="1" a="1"/>
  <c r="AE953" i="2" s="1"/>
  <c r="AD982" i="2"/>
  <c r="AH982" i="2" s="1"/>
  <c r="AF982" i="2" s="1"/>
  <c r="AE982" i="2" s="1" a="1"/>
  <c r="AE982" i="2" s="1"/>
  <c r="AD1010" i="2"/>
  <c r="AH1010" i="2" s="1"/>
  <c r="AF1010" i="2" s="1"/>
  <c r="AE1010" i="2" s="1" a="1"/>
  <c r="AE1010" i="2" s="1"/>
  <c r="AD1041" i="2"/>
  <c r="AH1041" i="2" s="1"/>
  <c r="AF1041" i="2" s="1"/>
  <c r="AE1041" i="2" s="1" a="1"/>
  <c r="AE1041" i="2" s="1"/>
  <c r="AD1069" i="2"/>
  <c r="AH1069" i="2" s="1"/>
  <c r="AF1069" i="2" s="1"/>
  <c r="AE1069" i="2" s="1" a="1"/>
  <c r="AE1069" i="2" s="1"/>
  <c r="AD1097" i="2"/>
  <c r="AH1097" i="2" s="1"/>
  <c r="AD1126" i="2"/>
  <c r="AH1126" i="2" s="1"/>
  <c r="AD51" i="2"/>
  <c r="AH51" i="2" s="1"/>
  <c r="AF51" i="2" s="1"/>
  <c r="AE51" i="2" s="1" a="1"/>
  <c r="AE51" i="2" s="1"/>
  <c r="AD93" i="2"/>
  <c r="AH93" i="2" s="1"/>
  <c r="AF93" i="2" s="1"/>
  <c r="AE93" i="2" s="1" a="1"/>
  <c r="AE93" i="2" s="1"/>
  <c r="AD128" i="2"/>
  <c r="AH128" i="2" s="1"/>
  <c r="AF128" i="2" s="1"/>
  <c r="AE128" i="2" s="1" a="1"/>
  <c r="AE128" i="2" s="1"/>
  <c r="AD164" i="2"/>
  <c r="AH164" i="2" s="1"/>
  <c r="AF164" i="2" s="1"/>
  <c r="AE164" i="2" s="1" a="1"/>
  <c r="AE164" i="2" s="1"/>
  <c r="AD203" i="2"/>
  <c r="AH203" i="2" s="1"/>
  <c r="AF203" i="2" s="1"/>
  <c r="AE203" i="2" s="1" a="1"/>
  <c r="AE203" i="2" s="1"/>
  <c r="AD239" i="2"/>
  <c r="AH239" i="2" s="1"/>
  <c r="AF239" i="2" s="1"/>
  <c r="AE239" i="2" s="1" a="1"/>
  <c r="AE239" i="2" s="1"/>
  <c r="AD276" i="2"/>
  <c r="AH276" i="2" s="1"/>
  <c r="AF276" i="2" s="1"/>
  <c r="AE276" i="2" s="1" a="1"/>
  <c r="AE276" i="2" s="1"/>
  <c r="AD308" i="2"/>
  <c r="AH308" i="2" s="1"/>
  <c r="AF308" i="2" s="1"/>
  <c r="AE308" i="2" s="1" a="1"/>
  <c r="AE308" i="2" s="1"/>
  <c r="AD338" i="2"/>
  <c r="AH338" i="2" s="1"/>
  <c r="AF338" i="2" s="1"/>
  <c r="AE338" i="2" s="1" a="1"/>
  <c r="AE338" i="2" s="1"/>
  <c r="AD370" i="2"/>
  <c r="AH370" i="2" s="1"/>
  <c r="AF370" i="2" s="1"/>
  <c r="AE370" i="2" s="1" a="1"/>
  <c r="AE370" i="2" s="1"/>
  <c r="AD401" i="2"/>
  <c r="AH401" i="2" s="1"/>
  <c r="AF401" i="2" s="1"/>
  <c r="AE401" i="2" s="1" a="1"/>
  <c r="AE401" i="2" s="1"/>
  <c r="AD434" i="2"/>
  <c r="AH434" i="2" s="1"/>
  <c r="AF434" i="2" s="1"/>
  <c r="AE434" i="2" s="1" a="1"/>
  <c r="AE434" i="2" s="1"/>
  <c r="AD465" i="2"/>
  <c r="AH465" i="2" s="1"/>
  <c r="AF465" i="2" s="1"/>
  <c r="AE465" i="2" s="1" a="1"/>
  <c r="AE465" i="2" s="1"/>
  <c r="AD495" i="2"/>
  <c r="AH495" i="2" s="1"/>
  <c r="AF495" i="2" s="1"/>
  <c r="AE495" i="2" s="1" a="1"/>
  <c r="AE495" i="2" s="1"/>
  <c r="AD527" i="2"/>
  <c r="AH527" i="2" s="1"/>
  <c r="AF527" i="2" s="1"/>
  <c r="AE527" i="2" s="1" a="1"/>
  <c r="AE527" i="2" s="1"/>
  <c r="AD558" i="2"/>
  <c r="AH558" i="2" s="1"/>
  <c r="AD591" i="2"/>
  <c r="AH591" i="2" s="1"/>
  <c r="AF591" i="2" s="1"/>
  <c r="AE591" i="2" s="1" a="1"/>
  <c r="AE591" i="2" s="1"/>
  <c r="AD622" i="2"/>
  <c r="AH622" i="2" s="1"/>
  <c r="AD652" i="2"/>
  <c r="AH652" i="2" s="1"/>
  <c r="AF652" i="2" s="1"/>
  <c r="AE652" i="2" s="1" a="1"/>
  <c r="AE652" i="2" s="1"/>
  <c r="AD684" i="2"/>
  <c r="AH684" i="2" s="1"/>
  <c r="AF684" i="2" s="1"/>
  <c r="AE684" i="2" s="1" a="1"/>
  <c r="AE684" i="2" s="1"/>
  <c r="AD715" i="2"/>
  <c r="AH715" i="2" s="1"/>
  <c r="AF715" i="2" s="1"/>
  <c r="AE715" i="2" s="1" a="1"/>
  <c r="AE715" i="2" s="1"/>
  <c r="AD748" i="2"/>
  <c r="AH748" i="2" s="1"/>
  <c r="AD779" i="2"/>
  <c r="AH779" i="2" s="1"/>
  <c r="AF779" i="2" s="1"/>
  <c r="AE779" i="2" s="1" a="1"/>
  <c r="AE779" i="2" s="1"/>
  <c r="AD810" i="2"/>
  <c r="AH810" i="2" s="1"/>
  <c r="AF810" i="2" s="1"/>
  <c r="AE810" i="2" s="1" a="1"/>
  <c r="AE810" i="2" s="1"/>
  <c r="AD839" i="2"/>
  <c r="AH839" i="2" s="1"/>
  <c r="AF839" i="2" s="1"/>
  <c r="AE839" i="2" s="1" a="1"/>
  <c r="AE839" i="2" s="1"/>
  <c r="AD867" i="2"/>
  <c r="AH867" i="2" s="1"/>
  <c r="AF867" i="2" s="1"/>
  <c r="AE867" i="2" s="1" a="1"/>
  <c r="AE867" i="2" s="1"/>
  <c r="AD898" i="2"/>
  <c r="AH898" i="2" s="1"/>
  <c r="AF898" i="2" s="1"/>
  <c r="AE898" i="2" s="1" a="1"/>
  <c r="AE898" i="2" s="1"/>
  <c r="AD926" i="2"/>
  <c r="AH926" i="2" s="1"/>
  <c r="AF926" i="2" s="1"/>
  <c r="AE926" i="2" s="1" a="1"/>
  <c r="AE926" i="2" s="1"/>
  <c r="AD954" i="2"/>
  <c r="AH954" i="2" s="1"/>
  <c r="AD983" i="2"/>
  <c r="AH983" i="2" s="1"/>
  <c r="AF983" i="2" s="1"/>
  <c r="AE983" i="2" s="1" a="1"/>
  <c r="AE983" i="2" s="1"/>
  <c r="AD1011" i="2"/>
  <c r="AH1011" i="2" s="1"/>
  <c r="AF1011" i="2" s="1"/>
  <c r="AE1011" i="2" s="1" a="1"/>
  <c r="AE1011" i="2" s="1"/>
  <c r="AD1042" i="2"/>
  <c r="AH1042" i="2" s="1"/>
  <c r="AF1042" i="2" s="1"/>
  <c r="AE1042" i="2" s="1" a="1"/>
  <c r="AE1042" i="2" s="1"/>
  <c r="AD1070" i="2"/>
  <c r="AH1070" i="2" s="1"/>
  <c r="AF1070" i="2" s="1"/>
  <c r="AE1070" i="2" s="1" a="1"/>
  <c r="AE1070" i="2" s="1"/>
  <c r="AD1098" i="2"/>
  <c r="AH1098" i="2" s="1"/>
  <c r="AF1098" i="2" s="1"/>
  <c r="AE1098" i="2" s="1" a="1"/>
  <c r="AE1098" i="2" s="1"/>
  <c r="AD1127" i="2"/>
  <c r="AH1127" i="2" s="1"/>
  <c r="AF1127" i="2" s="1"/>
  <c r="AE1127" i="2" s="1" a="1"/>
  <c r="AE1127" i="2" s="1"/>
  <c r="AD55" i="2"/>
  <c r="AH55" i="2" s="1"/>
  <c r="AF55" i="2" s="1"/>
  <c r="AE55" i="2" s="1" a="1"/>
  <c r="AE55" i="2" s="1"/>
  <c r="AD95" i="2"/>
  <c r="AH95" i="2" s="1"/>
  <c r="AF95" i="2" s="1"/>
  <c r="AE95" i="2" s="1" a="1"/>
  <c r="AE95" i="2" s="1"/>
  <c r="AD129" i="2"/>
  <c r="AH129" i="2" s="1"/>
  <c r="AF129" i="2" s="1"/>
  <c r="AE129" i="2" s="1" a="1"/>
  <c r="AE129" i="2" s="1"/>
  <c r="AD165" i="2"/>
  <c r="AH165" i="2" s="1"/>
  <c r="AD204" i="2"/>
  <c r="AH204" i="2" s="1"/>
  <c r="AF204" i="2" s="1"/>
  <c r="AE204" i="2" s="1" a="1"/>
  <c r="AE204" i="2" s="1"/>
  <c r="AD240" i="2"/>
  <c r="AH240" i="2" s="1"/>
  <c r="AF240" i="2" s="1"/>
  <c r="AE240" i="2" s="1" a="1"/>
  <c r="AE240" i="2" s="1"/>
  <c r="AD278" i="2"/>
  <c r="AH278" i="2" s="1"/>
  <c r="AF278" i="2" s="1"/>
  <c r="AE278" i="2" s="1" a="1"/>
  <c r="AE278" i="2" s="1"/>
  <c r="AD309" i="2"/>
  <c r="AH309" i="2" s="1"/>
  <c r="AF309" i="2" s="1"/>
  <c r="AE309" i="2" s="1" a="1"/>
  <c r="AE309" i="2" s="1"/>
  <c r="AD339" i="2"/>
  <c r="AH339" i="2" s="1"/>
  <c r="AF339" i="2" s="1"/>
  <c r="AE339" i="2" s="1" a="1"/>
  <c r="AE339" i="2" s="1"/>
  <c r="AD371" i="2"/>
  <c r="AH371" i="2" s="1"/>
  <c r="AD402" i="2"/>
  <c r="AH402" i="2" s="1"/>
  <c r="AF402" i="2" s="1"/>
  <c r="AE402" i="2" s="1" a="1"/>
  <c r="AE402" i="2" s="1"/>
  <c r="AD435" i="2"/>
  <c r="AH435" i="2" s="1"/>
  <c r="AD466" i="2"/>
  <c r="AH466" i="2" s="1"/>
  <c r="AF466" i="2" s="1"/>
  <c r="AE466" i="2" s="1" a="1"/>
  <c r="AE466" i="2" s="1"/>
  <c r="AD497" i="2"/>
  <c r="AH497" i="2" s="1"/>
  <c r="AD528" i="2"/>
  <c r="AH528" i="2" s="1"/>
  <c r="AF528" i="2" s="1"/>
  <c r="AE528" i="2" s="1" a="1"/>
  <c r="AE528" i="2" s="1"/>
  <c r="AD559" i="2"/>
  <c r="AH559" i="2" s="1"/>
  <c r="AF559" i="2" s="1"/>
  <c r="AE559" i="2" s="1" a="1"/>
  <c r="AE559" i="2" s="1"/>
  <c r="AD593" i="2"/>
  <c r="AH593" i="2" s="1"/>
  <c r="AF593" i="2" s="1"/>
  <c r="AE593" i="2" s="1" a="1"/>
  <c r="AE593" i="2" s="1"/>
  <c r="AD623" i="2"/>
  <c r="AH623" i="2" s="1"/>
  <c r="AF623" i="2" s="1"/>
  <c r="AE623" i="2" s="1" a="1"/>
  <c r="AE623" i="2" s="1"/>
  <c r="AD654" i="2"/>
  <c r="AH654" i="2" s="1"/>
  <c r="AF654" i="2" s="1"/>
  <c r="AE654" i="2" s="1" a="1"/>
  <c r="AE654" i="2" s="1"/>
  <c r="AD685" i="2"/>
  <c r="AH685" i="2" s="1"/>
  <c r="AF685" i="2" s="1"/>
  <c r="AE685" i="2" s="1" a="1"/>
  <c r="AE685" i="2" s="1"/>
  <c r="AD716" i="2"/>
  <c r="AH716" i="2" s="1"/>
  <c r="AF716" i="2" s="1"/>
  <c r="AE716" i="2" s="1" a="1"/>
  <c r="AE716" i="2" s="1"/>
  <c r="AD750" i="2"/>
  <c r="AH750" i="2" s="1"/>
  <c r="AF750" i="2" s="1"/>
  <c r="AE750" i="2" s="1" a="1"/>
  <c r="AE750" i="2" s="1"/>
  <c r="AD780" i="2"/>
  <c r="AH780" i="2" s="1"/>
  <c r="AD811" i="2"/>
  <c r="AH811" i="2" s="1"/>
  <c r="AF811" i="2" s="1"/>
  <c r="AE811" i="2" s="1" a="1"/>
  <c r="AE811" i="2" s="1"/>
  <c r="AD840" i="2"/>
  <c r="AH840" i="2" s="1"/>
  <c r="AF840" i="2" s="1"/>
  <c r="AE840" i="2" s="1" a="1"/>
  <c r="AE840" i="2" s="1"/>
  <c r="AD868" i="2"/>
  <c r="AH868" i="2" s="1"/>
  <c r="AD899" i="2"/>
  <c r="AH899" i="2" s="1"/>
  <c r="AD927" i="2"/>
  <c r="AH927" i="2" s="1"/>
  <c r="AF927" i="2" s="1"/>
  <c r="AE927" i="2" s="1" a="1"/>
  <c r="AE927" i="2" s="1"/>
  <c r="AD955" i="2"/>
  <c r="AH955" i="2" s="1"/>
  <c r="AF955" i="2" s="1"/>
  <c r="AE955" i="2" s="1" a="1"/>
  <c r="AE955" i="2" s="1"/>
  <c r="AD984" i="2"/>
  <c r="AH984" i="2" s="1"/>
  <c r="AF984" i="2" s="1"/>
  <c r="AE984" i="2" s="1" a="1"/>
  <c r="AE984" i="2" s="1"/>
  <c r="AD1012" i="2"/>
  <c r="AH1012" i="2" s="1"/>
  <c r="AF1012" i="2" s="1"/>
  <c r="AE1012" i="2" s="1" a="1"/>
  <c r="AE1012" i="2" s="1"/>
  <c r="AD1043" i="2"/>
  <c r="AH1043" i="2" s="1"/>
  <c r="AD1071" i="2"/>
  <c r="AH1071" i="2" s="1"/>
  <c r="AF1071" i="2" s="1"/>
  <c r="AE1071" i="2" s="1" a="1"/>
  <c r="AE1071" i="2" s="1"/>
  <c r="AD1099" i="2"/>
  <c r="AH1099" i="2" s="1"/>
  <c r="AF1099" i="2" s="1"/>
  <c r="AE1099" i="2" s="1" a="1"/>
  <c r="AE1099" i="2" s="1"/>
  <c r="AD1128" i="2"/>
  <c r="AH1128" i="2" s="1"/>
  <c r="AD56" i="2"/>
  <c r="AH56" i="2" s="1"/>
  <c r="AF56" i="2" s="1"/>
  <c r="AE56" i="2" s="1" a="1"/>
  <c r="AE56" i="2" s="1"/>
  <c r="AD96" i="2"/>
  <c r="AH96" i="2" s="1"/>
  <c r="AD130" i="2"/>
  <c r="AH130" i="2" s="1"/>
  <c r="AD166" i="2"/>
  <c r="AH166" i="2" s="1"/>
  <c r="AF166" i="2" s="1"/>
  <c r="AE166" i="2" s="1" a="1"/>
  <c r="AE166" i="2" s="1"/>
  <c r="AD205" i="2"/>
  <c r="AH205" i="2" s="1"/>
  <c r="AF205" i="2" s="1"/>
  <c r="AE205" i="2" s="1" a="1"/>
  <c r="AE205" i="2" s="1"/>
  <c r="AD241" i="2"/>
  <c r="AH241" i="2" s="1"/>
  <c r="AF241" i="2" s="1"/>
  <c r="AE241" i="2" s="1" a="1"/>
  <c r="AE241" i="2" s="1"/>
  <c r="AD279" i="2"/>
  <c r="AH279" i="2" s="1"/>
  <c r="AF279" i="2" s="1"/>
  <c r="AE279" i="2" s="1" a="1"/>
  <c r="AE279" i="2" s="1"/>
  <c r="AD310" i="2"/>
  <c r="AH310" i="2" s="1"/>
  <c r="AF310" i="2" s="1"/>
  <c r="AE310" i="2" s="1" a="1"/>
  <c r="AE310" i="2" s="1"/>
  <c r="AD342" i="2"/>
  <c r="AH342" i="2" s="1"/>
  <c r="AF342" i="2" s="1"/>
  <c r="AE342" i="2" s="1" a="1"/>
  <c r="AE342" i="2" s="1"/>
  <c r="AD372" i="2"/>
  <c r="AH372" i="2" s="1"/>
  <c r="AF372" i="2" s="1"/>
  <c r="AE372" i="2" s="1" a="1"/>
  <c r="AE372" i="2" s="1"/>
  <c r="AD406" i="2"/>
  <c r="AH406" i="2" s="1"/>
  <c r="AF406" i="2" s="1"/>
  <c r="AE406" i="2" s="1" a="1"/>
  <c r="AE406" i="2" s="1"/>
  <c r="AD436" i="2"/>
  <c r="AH436" i="2" s="1"/>
  <c r="AF436" i="2" s="1"/>
  <c r="AE436" i="2" s="1" a="1"/>
  <c r="AE436" i="2" s="1"/>
  <c r="AD467" i="2"/>
  <c r="AH467" i="2" s="1"/>
  <c r="AF467" i="2" s="1"/>
  <c r="AE467" i="2" s="1" a="1"/>
  <c r="AE467" i="2" s="1"/>
  <c r="AD499" i="2"/>
  <c r="AH499" i="2" s="1"/>
  <c r="AF499" i="2" s="1"/>
  <c r="AE499" i="2" s="1" a="1"/>
  <c r="AE499" i="2" s="1"/>
  <c r="AD529" i="2"/>
  <c r="AH529" i="2" s="1"/>
  <c r="AF529" i="2" s="1"/>
  <c r="AE529" i="2" s="1" a="1"/>
  <c r="AE529" i="2" s="1"/>
  <c r="AD563" i="2"/>
  <c r="AH563" i="2" s="1"/>
  <c r="AF563" i="2" s="1"/>
  <c r="AE563" i="2" s="1" a="1"/>
  <c r="AE563" i="2" s="1"/>
  <c r="AD594" i="2"/>
  <c r="AH594" i="2" s="1"/>
  <c r="AF594" i="2" s="1"/>
  <c r="AE594" i="2" s="1" a="1"/>
  <c r="AE594" i="2" s="1"/>
  <c r="AD624" i="2"/>
  <c r="AH624" i="2" s="1"/>
  <c r="AF624" i="2" s="1"/>
  <c r="AE624" i="2" s="1" a="1"/>
  <c r="AE624" i="2" s="1"/>
  <c r="AD656" i="2"/>
  <c r="AH656" i="2" s="1"/>
  <c r="AF656" i="2" s="1"/>
  <c r="AE656" i="2" s="1" a="1"/>
  <c r="AE656" i="2" s="1"/>
  <c r="AD686" i="2"/>
  <c r="AH686" i="2" s="1"/>
  <c r="AD720" i="2"/>
  <c r="AH720" i="2" s="1"/>
  <c r="AF720" i="2" s="1"/>
  <c r="AE720" i="2" s="1" a="1"/>
  <c r="AE720" i="2" s="1"/>
  <c r="AD751" i="2"/>
  <c r="AH751" i="2" s="1"/>
  <c r="AF751" i="2" s="1"/>
  <c r="AE751" i="2" s="1" a="1"/>
  <c r="AE751" i="2" s="1"/>
  <c r="AD781" i="2"/>
  <c r="AH781" i="2" s="1"/>
  <c r="AF781" i="2" s="1"/>
  <c r="AE781" i="2" s="1" a="1"/>
  <c r="AE781" i="2" s="1"/>
  <c r="AD813" i="2"/>
  <c r="AH813" i="2" s="1"/>
  <c r="AF813" i="2" s="1"/>
  <c r="AE813" i="2" s="1" a="1"/>
  <c r="AE813" i="2" s="1"/>
  <c r="AD841" i="2"/>
  <c r="AH841" i="2" s="1"/>
  <c r="AF841" i="2" s="1"/>
  <c r="AE841" i="2" s="1" a="1"/>
  <c r="AE841" i="2" s="1"/>
  <c r="AD872" i="2"/>
  <c r="AH872" i="2" s="1"/>
  <c r="AF872" i="2" s="1"/>
  <c r="AE872" i="2" s="1" a="1"/>
  <c r="AE872" i="2" s="1"/>
  <c r="AD900" i="2"/>
  <c r="AH900" i="2" s="1"/>
  <c r="AF900" i="2" s="1"/>
  <c r="AE900" i="2" s="1" a="1"/>
  <c r="AE900" i="2" s="1"/>
  <c r="AD928" i="2"/>
  <c r="AH928" i="2" s="1"/>
  <c r="AF928" i="2" s="1"/>
  <c r="AE928" i="2" s="1" a="1"/>
  <c r="AE928" i="2" s="1"/>
  <c r="AD957" i="2"/>
  <c r="AH957" i="2" s="1"/>
  <c r="AF957" i="2" s="1"/>
  <c r="AE957" i="2" s="1" a="1"/>
  <c r="AE957" i="2" s="1"/>
  <c r="AD985" i="2"/>
  <c r="AH985" i="2" s="1"/>
  <c r="AF985" i="2" s="1"/>
  <c r="AE985" i="2" s="1" a="1"/>
  <c r="AE985" i="2" s="1"/>
  <c r="AD1016" i="2"/>
  <c r="AH1016" i="2" s="1"/>
  <c r="AF1016" i="2" s="1"/>
  <c r="AE1016" i="2" s="1" a="1"/>
  <c r="AE1016" i="2" s="1"/>
  <c r="AD1044" i="2"/>
  <c r="AH1044" i="2" s="1"/>
  <c r="AF1044" i="2" s="1"/>
  <c r="AE1044" i="2" s="1" a="1"/>
  <c r="AE1044" i="2" s="1"/>
  <c r="AD1072" i="2"/>
  <c r="AH1072" i="2" s="1"/>
  <c r="AF1072" i="2" s="1"/>
  <c r="AE1072" i="2" s="1" a="1"/>
  <c r="AE1072" i="2" s="1"/>
  <c r="AD1101" i="2"/>
  <c r="AH1101" i="2" s="1"/>
  <c r="AF1101" i="2" s="1"/>
  <c r="AE1101" i="2" s="1" a="1"/>
  <c r="AE1101" i="2" s="1"/>
  <c r="AD57" i="2"/>
  <c r="AH57" i="2" s="1"/>
  <c r="AF57" i="2" s="1"/>
  <c r="AE57" i="2" s="1" a="1"/>
  <c r="AE57" i="2" s="1"/>
  <c r="AD97" i="2"/>
  <c r="AH97" i="2" s="1"/>
  <c r="AD133" i="2"/>
  <c r="AH133" i="2" s="1"/>
  <c r="AF133" i="2" s="1"/>
  <c r="AE133" i="2" s="1" a="1"/>
  <c r="AE133" i="2" s="1"/>
  <c r="AD171" i="2"/>
  <c r="AH171" i="2" s="1"/>
  <c r="AF171" i="2" s="1"/>
  <c r="AE171" i="2" s="1" a="1"/>
  <c r="AE171" i="2" s="1"/>
  <c r="AD206" i="2"/>
  <c r="AH206" i="2" s="1"/>
  <c r="AF206" i="2" s="1"/>
  <c r="AE206" i="2" s="1" a="1"/>
  <c r="AE206" i="2" s="1"/>
  <c r="AD242" i="2"/>
  <c r="AH242" i="2" s="1"/>
  <c r="AF242" i="2" s="1"/>
  <c r="AE242" i="2" s="1" a="1"/>
  <c r="AE242" i="2" s="1"/>
  <c r="AD281" i="2"/>
  <c r="AH281" i="2" s="1"/>
  <c r="AF281" i="2" s="1"/>
  <c r="AE281" i="2" s="1" a="1"/>
  <c r="AE281" i="2" s="1"/>
  <c r="AD311" i="2"/>
  <c r="AH311" i="2" s="1"/>
  <c r="AF311" i="2" s="1"/>
  <c r="AE311" i="2" s="1" a="1"/>
  <c r="AE311" i="2" s="1"/>
  <c r="AD343" i="2"/>
  <c r="AH343" i="2" s="1"/>
  <c r="AF343" i="2" s="1"/>
  <c r="AE343" i="2" s="1" a="1"/>
  <c r="AE343" i="2" s="1"/>
  <c r="AD373" i="2"/>
  <c r="AH373" i="2" s="1"/>
  <c r="AF373" i="2" s="1"/>
  <c r="AE373" i="2" s="1" a="1"/>
  <c r="AE373" i="2" s="1"/>
  <c r="AD407" i="2"/>
  <c r="AH407" i="2" s="1"/>
  <c r="AF407" i="2" s="1"/>
  <c r="AE407" i="2" s="1" a="1"/>
  <c r="AE407" i="2" s="1"/>
  <c r="AD438" i="2"/>
  <c r="AH438" i="2" s="1"/>
  <c r="AF438" i="2" s="1"/>
  <c r="AE438" i="2" s="1" a="1"/>
  <c r="AE438" i="2" s="1"/>
  <c r="AD468" i="2"/>
  <c r="AH468" i="2" s="1"/>
  <c r="AF468" i="2" s="1"/>
  <c r="AE468" i="2" s="1" a="1"/>
  <c r="AE468" i="2" s="1"/>
  <c r="AD500" i="2"/>
  <c r="AH500" i="2" s="1"/>
  <c r="AF500" i="2" s="1"/>
  <c r="AE500" i="2" s="1" a="1"/>
  <c r="AE500" i="2" s="1"/>
  <c r="AD530" i="2"/>
  <c r="AH530" i="2" s="1"/>
  <c r="AF530" i="2" s="1"/>
  <c r="AE530" i="2" s="1" a="1"/>
  <c r="AE530" i="2" s="1"/>
  <c r="AD564" i="2"/>
  <c r="AH564" i="2" s="1"/>
  <c r="AF564" i="2" s="1"/>
  <c r="AE564" i="2" s="1" a="1"/>
  <c r="AE564" i="2" s="1"/>
  <c r="AD595" i="2"/>
  <c r="AH595" i="2" s="1"/>
  <c r="AF595" i="2" s="1"/>
  <c r="AE595" i="2" s="1" a="1"/>
  <c r="AE595" i="2" s="1"/>
  <c r="AD625" i="2"/>
  <c r="AH625" i="2" s="1"/>
  <c r="AF625" i="2" s="1"/>
  <c r="AE625" i="2" s="1" a="1"/>
  <c r="AE625" i="2" s="1"/>
  <c r="AD657" i="2"/>
  <c r="AH657" i="2" s="1"/>
  <c r="AF657" i="2" s="1"/>
  <c r="AE657" i="2" s="1" a="1"/>
  <c r="AE657" i="2" s="1"/>
  <c r="AD687" i="2"/>
  <c r="AH687" i="2" s="1"/>
  <c r="AF687" i="2" s="1"/>
  <c r="AE687" i="2" s="1" a="1"/>
  <c r="AE687" i="2" s="1"/>
  <c r="AD721" i="2"/>
  <c r="AH721" i="2" s="1"/>
  <c r="AF721" i="2" s="1"/>
  <c r="AE721" i="2" s="1" a="1"/>
  <c r="AE721" i="2" s="1"/>
  <c r="AD752" i="2"/>
  <c r="AH752" i="2" s="1"/>
  <c r="AF752" i="2" s="1"/>
  <c r="AE752" i="2" s="1" a="1"/>
  <c r="AE752" i="2" s="1"/>
  <c r="AD782" i="2"/>
  <c r="AH782" i="2" s="1"/>
  <c r="AF782" i="2" s="1"/>
  <c r="AE782" i="2" s="1" a="1"/>
  <c r="AE782" i="2" s="1"/>
  <c r="AD814" i="2"/>
  <c r="AH814" i="2" s="1"/>
  <c r="AF814" i="2" s="1"/>
  <c r="AE814" i="2" s="1" a="1"/>
  <c r="AE814" i="2" s="1"/>
  <c r="AD842" i="2"/>
  <c r="AH842" i="2" s="1"/>
  <c r="AF842" i="2" s="1"/>
  <c r="AE842" i="2" s="1" a="1"/>
  <c r="AE842" i="2" s="1"/>
  <c r="AD873" i="2"/>
  <c r="AH873" i="2" s="1"/>
  <c r="AF873" i="2" s="1"/>
  <c r="AE873" i="2" s="1" a="1"/>
  <c r="AE873" i="2" s="1"/>
  <c r="AD901" i="2"/>
  <c r="AH901" i="2" s="1"/>
  <c r="AD929" i="2"/>
  <c r="AH929" i="2" s="1"/>
  <c r="AF929" i="2" s="1"/>
  <c r="AE929" i="2" s="1" a="1"/>
  <c r="AE929" i="2" s="1"/>
  <c r="AD958" i="2"/>
  <c r="AH958" i="2" s="1"/>
  <c r="AF958" i="2" s="1"/>
  <c r="AE958" i="2" s="1" a="1"/>
  <c r="AE958" i="2" s="1"/>
  <c r="AD986" i="2"/>
  <c r="AH986" i="2" s="1"/>
  <c r="AF986" i="2" s="1"/>
  <c r="AE986" i="2" s="1" a="1"/>
  <c r="AE986" i="2" s="1"/>
  <c r="AD1017" i="2"/>
  <c r="AH1017" i="2" s="1"/>
  <c r="AF1017" i="2" s="1"/>
  <c r="AE1017" i="2" s="1" a="1"/>
  <c r="AE1017" i="2" s="1"/>
  <c r="AD1045" i="2"/>
  <c r="AH1045" i="2" s="1"/>
  <c r="AF1045" i="2" s="1"/>
  <c r="AE1045" i="2" s="1" a="1"/>
  <c r="AE1045" i="2" s="1"/>
  <c r="AD1073" i="2"/>
  <c r="AH1073" i="2" s="1"/>
  <c r="AF1073" i="2" s="1"/>
  <c r="AE1073" i="2" s="1" a="1"/>
  <c r="AE1073" i="2" s="1"/>
  <c r="AD1102" i="2"/>
  <c r="AH1102" i="2" s="1"/>
  <c r="AF1102" i="2" s="1"/>
  <c r="AE1102" i="2" s="1" a="1"/>
  <c r="AE1102" i="2" s="1"/>
  <c r="AD59" i="2"/>
  <c r="AH59" i="2" s="1"/>
  <c r="AF59" i="2" s="1"/>
  <c r="AE59" i="2" s="1" a="1"/>
  <c r="AE59" i="2" s="1"/>
  <c r="AD98" i="2"/>
  <c r="AH98" i="2" s="1"/>
  <c r="AF98" i="2" s="1"/>
  <c r="AE98" i="2" s="1" a="1"/>
  <c r="AE98" i="2" s="1"/>
  <c r="AD134" i="2"/>
  <c r="AH134" i="2" s="1"/>
  <c r="AF134" i="2" s="1"/>
  <c r="AE134" i="2" s="1" a="1"/>
  <c r="AE134" i="2" s="1"/>
  <c r="AD174" i="2"/>
  <c r="AH174" i="2" s="1"/>
  <c r="AF174" i="2" s="1"/>
  <c r="AE174" i="2" s="1" a="1"/>
  <c r="AE174" i="2" s="1"/>
  <c r="AD207" i="2"/>
  <c r="AH207" i="2" s="1"/>
  <c r="AD243" i="2"/>
  <c r="AH243" i="2" s="1"/>
  <c r="AF243" i="2" s="1"/>
  <c r="AE243" i="2" s="1" a="1"/>
  <c r="AE243" i="2" s="1"/>
  <c r="AD282" i="2"/>
  <c r="AH282" i="2" s="1"/>
  <c r="AF282" i="2" s="1"/>
  <c r="AE282" i="2" s="1" a="1"/>
  <c r="AE282" i="2" s="1"/>
  <c r="AD312" i="2"/>
  <c r="AH312" i="2" s="1"/>
  <c r="AF312" i="2" s="1"/>
  <c r="AE312" i="2" s="1" a="1"/>
  <c r="AE312" i="2" s="1"/>
  <c r="AD344" i="2"/>
  <c r="AH344" i="2" s="1"/>
  <c r="AF344" i="2" s="1"/>
  <c r="AE344" i="2" s="1" a="1"/>
  <c r="AE344" i="2" s="1"/>
  <c r="AD374" i="2"/>
  <c r="AH374" i="2" s="1"/>
  <c r="AF374" i="2" s="1"/>
  <c r="AE374" i="2" s="1" a="1"/>
  <c r="AE374" i="2" s="1"/>
  <c r="AD408" i="2"/>
  <c r="AH408" i="2" s="1"/>
  <c r="AF408" i="2" s="1"/>
  <c r="AE408" i="2" s="1" a="1"/>
  <c r="AE408" i="2" s="1"/>
  <c r="AD439" i="2"/>
  <c r="AH439" i="2" s="1"/>
  <c r="AF439" i="2" s="1"/>
  <c r="AE439" i="2" s="1" a="1"/>
  <c r="AE439" i="2" s="1"/>
  <c r="AD469" i="2"/>
  <c r="AH469" i="2" s="1"/>
  <c r="AF469" i="2" s="1"/>
  <c r="AE469" i="2" s="1" a="1"/>
  <c r="AE469" i="2" s="1"/>
  <c r="AD501" i="2"/>
  <c r="AH501" i="2" s="1"/>
  <c r="AF501" i="2" s="1"/>
  <c r="AE501" i="2" s="1" a="1"/>
  <c r="AE501" i="2" s="1"/>
  <c r="AD531" i="2"/>
  <c r="AH531" i="2" s="1"/>
  <c r="AF531" i="2" s="1"/>
  <c r="AE531" i="2" s="1" a="1"/>
  <c r="AE531" i="2" s="1"/>
  <c r="AD565" i="2"/>
  <c r="AH565" i="2" s="1"/>
  <c r="AF565" i="2" s="1"/>
  <c r="AE565" i="2" s="1" a="1"/>
  <c r="AE565" i="2" s="1"/>
  <c r="AD596" i="2"/>
  <c r="AH596" i="2" s="1"/>
  <c r="AD626" i="2"/>
  <c r="AH626" i="2" s="1"/>
  <c r="AF626" i="2" s="1"/>
  <c r="AE626" i="2" s="1" a="1"/>
  <c r="AE626" i="2" s="1"/>
  <c r="AD658" i="2"/>
  <c r="AH658" i="2" s="1"/>
  <c r="AF658" i="2" s="1"/>
  <c r="AE658" i="2" s="1" a="1"/>
  <c r="AE658" i="2" s="1"/>
  <c r="AD689" i="2"/>
  <c r="AH689" i="2" s="1"/>
  <c r="AF689" i="2" s="1"/>
  <c r="AE689" i="2" s="1" a="1"/>
  <c r="AE689" i="2" s="1"/>
  <c r="AD722" i="2"/>
  <c r="AH722" i="2" s="1"/>
  <c r="AF722" i="2" s="1"/>
  <c r="AE722" i="2" s="1" a="1"/>
  <c r="AE722" i="2" s="1"/>
  <c r="AD753" i="2"/>
  <c r="AH753" i="2" s="1"/>
  <c r="AF753" i="2" s="1"/>
  <c r="AE753" i="2" s="1" a="1"/>
  <c r="AE753" i="2" s="1"/>
  <c r="AD783" i="2"/>
  <c r="AH783" i="2" s="1"/>
  <c r="AF783" i="2" s="1"/>
  <c r="AE783" i="2" s="1" a="1"/>
  <c r="AE783" i="2" s="1"/>
  <c r="AD815" i="2"/>
  <c r="AH815" i="2" s="1"/>
  <c r="AF815" i="2" s="1"/>
  <c r="AE815" i="2" s="1" a="1"/>
  <c r="AE815" i="2" s="1"/>
  <c r="AD843" i="2"/>
  <c r="AH843" i="2" s="1"/>
  <c r="AF843" i="2" s="1"/>
  <c r="AE843" i="2" s="1" a="1"/>
  <c r="AE843" i="2" s="1"/>
  <c r="AD874" i="2"/>
  <c r="AH874" i="2" s="1"/>
  <c r="AF874" i="2" s="1"/>
  <c r="AE874" i="2" s="1" a="1"/>
  <c r="AE874" i="2" s="1"/>
  <c r="AD902" i="2"/>
  <c r="AH902" i="2" s="1"/>
  <c r="AF902" i="2" s="1"/>
  <c r="AE902" i="2" s="1" a="1"/>
  <c r="AE902" i="2" s="1"/>
  <c r="AD930" i="2"/>
  <c r="AH930" i="2" s="1"/>
  <c r="AF930" i="2" s="1"/>
  <c r="AE930" i="2" s="1" a="1"/>
  <c r="AE930" i="2" s="1"/>
  <c r="AD959" i="2"/>
  <c r="AH959" i="2" s="1"/>
  <c r="AD987" i="2"/>
  <c r="AH987" i="2" s="1"/>
  <c r="AF987" i="2" s="1"/>
  <c r="AE987" i="2" s="1" a="1"/>
  <c r="AE987" i="2" s="1"/>
  <c r="AD1018" i="2"/>
  <c r="AH1018" i="2" s="1"/>
  <c r="AF1018" i="2" s="1"/>
  <c r="AE1018" i="2" s="1" a="1"/>
  <c r="AE1018" i="2" s="1"/>
  <c r="AD1046" i="2"/>
  <c r="AH1046" i="2" s="1"/>
  <c r="AF1046" i="2" s="1"/>
  <c r="AE1046" i="2" s="1" a="1"/>
  <c r="AE1046" i="2" s="1"/>
  <c r="AD1074" i="2"/>
  <c r="AH1074" i="2" s="1"/>
  <c r="AD1103" i="2"/>
  <c r="AH1103" i="2" s="1"/>
  <c r="AF1103" i="2" s="1"/>
  <c r="AE1103" i="2" s="1" a="1"/>
  <c r="AE1103" i="2" s="1"/>
  <c r="AD60" i="2"/>
  <c r="AH60" i="2" s="1"/>
  <c r="AF60" i="2" s="1"/>
  <c r="AE60" i="2" s="1" a="1"/>
  <c r="AE60" i="2" s="1"/>
  <c r="AD99" i="2"/>
  <c r="AH99" i="2" s="1"/>
  <c r="AD135" i="2"/>
  <c r="AH135" i="2" s="1"/>
  <c r="AF135" i="2" s="1"/>
  <c r="AE135" i="2" s="1" a="1"/>
  <c r="AE135" i="2" s="1"/>
  <c r="AD175" i="2"/>
  <c r="AH175" i="2" s="1"/>
  <c r="AF175" i="2" s="1"/>
  <c r="AE175" i="2" s="1" a="1"/>
  <c r="AE175" i="2" s="1"/>
  <c r="AD209" i="2"/>
  <c r="AH209" i="2" s="1"/>
  <c r="AF209" i="2" s="1"/>
  <c r="AE209" i="2" s="1" a="1"/>
  <c r="AE209" i="2" s="1"/>
  <c r="AD244" i="2"/>
  <c r="AH244" i="2" s="1"/>
  <c r="AF244" i="2" s="1"/>
  <c r="AE244" i="2" s="1" a="1"/>
  <c r="AE244" i="2" s="1"/>
  <c r="AD283" i="2"/>
  <c r="AH283" i="2" s="1"/>
  <c r="AF283" i="2" s="1"/>
  <c r="AE283" i="2" s="1" a="1"/>
  <c r="AE283" i="2" s="1"/>
  <c r="AD313" i="2"/>
  <c r="AH313" i="2" s="1"/>
  <c r="AF313" i="2" s="1"/>
  <c r="AE313" i="2" s="1" a="1"/>
  <c r="AE313" i="2" s="1"/>
  <c r="AD345" i="2"/>
  <c r="AH345" i="2" s="1"/>
  <c r="AF345" i="2" s="1"/>
  <c r="AE345" i="2" s="1" a="1"/>
  <c r="AE345" i="2" s="1"/>
  <c r="AD375" i="2"/>
  <c r="AH375" i="2" s="1"/>
  <c r="AF375" i="2" s="1"/>
  <c r="AE375" i="2" s="1" a="1"/>
  <c r="AE375" i="2" s="1"/>
  <c r="AD409" i="2"/>
  <c r="AH409" i="2" s="1"/>
  <c r="AF409" i="2" s="1"/>
  <c r="AE409" i="2" s="1" a="1"/>
  <c r="AE409" i="2" s="1"/>
  <c r="AD440" i="2"/>
  <c r="AH440" i="2" s="1"/>
  <c r="AF440" i="2" s="1"/>
  <c r="AE440" i="2" s="1" a="1"/>
  <c r="AE440" i="2" s="1"/>
  <c r="AD470" i="2"/>
  <c r="AH470" i="2" s="1"/>
  <c r="AD502" i="2"/>
  <c r="AH502" i="2" s="1"/>
  <c r="AD532" i="2"/>
  <c r="AH532" i="2" s="1"/>
  <c r="AF532" i="2" s="1"/>
  <c r="AE532" i="2" s="1" a="1"/>
  <c r="AE532" i="2" s="1"/>
  <c r="AD566" i="2"/>
  <c r="AH566" i="2" s="1"/>
  <c r="AF566" i="2" s="1"/>
  <c r="AE566" i="2" s="1" a="1"/>
  <c r="AE566" i="2" s="1"/>
  <c r="AD597" i="2"/>
  <c r="AH597" i="2" s="1"/>
  <c r="AF597" i="2" s="1"/>
  <c r="AE597" i="2" s="1" a="1"/>
  <c r="AE597" i="2" s="1"/>
  <c r="AD627" i="2"/>
  <c r="AH627" i="2" s="1"/>
  <c r="AD659" i="2"/>
  <c r="AH659" i="2" s="1"/>
  <c r="AF659" i="2" s="1"/>
  <c r="AE659" i="2" s="1" a="1"/>
  <c r="AE659" i="2" s="1"/>
  <c r="AD690" i="2"/>
  <c r="AH690" i="2" s="1"/>
  <c r="AF690" i="2" s="1"/>
  <c r="AE690" i="2" s="1" a="1"/>
  <c r="AE690" i="2" s="1"/>
  <c r="AD723" i="2"/>
  <c r="AH723" i="2" s="1"/>
  <c r="AF723" i="2" s="1"/>
  <c r="AE723" i="2" s="1" a="1"/>
  <c r="AE723" i="2" s="1"/>
  <c r="AD754" i="2"/>
  <c r="AH754" i="2" s="1"/>
  <c r="AF754" i="2" s="1"/>
  <c r="AE754" i="2" s="1" a="1"/>
  <c r="AE754" i="2" s="1"/>
  <c r="AD785" i="2"/>
  <c r="AH785" i="2" s="1"/>
  <c r="AF785" i="2" s="1"/>
  <c r="AE785" i="2" s="1" a="1"/>
  <c r="AE785" i="2" s="1"/>
  <c r="AD816" i="2"/>
  <c r="AH816" i="2" s="1"/>
  <c r="AF816" i="2" s="1"/>
  <c r="AE816" i="2" s="1" a="1"/>
  <c r="AE816" i="2" s="1"/>
  <c r="AD844" i="2"/>
  <c r="AH844" i="2" s="1"/>
  <c r="AF844" i="2" s="1"/>
  <c r="AE844" i="2" s="1" a="1"/>
  <c r="AE844" i="2" s="1"/>
  <c r="AD875" i="2"/>
  <c r="AH875" i="2" s="1"/>
  <c r="AF875" i="2" s="1"/>
  <c r="AE875" i="2" s="1" a="1"/>
  <c r="AE875" i="2" s="1"/>
  <c r="AD903" i="2"/>
  <c r="AH903" i="2" s="1"/>
  <c r="AD931" i="2"/>
  <c r="AH931" i="2" s="1"/>
  <c r="AF931" i="2" s="1"/>
  <c r="AE931" i="2" s="1" a="1"/>
  <c r="AE931" i="2" s="1"/>
  <c r="AD960" i="2"/>
  <c r="AH960" i="2" s="1"/>
  <c r="AF960" i="2" s="1"/>
  <c r="AE960" i="2" s="1" a="1"/>
  <c r="AE960" i="2" s="1"/>
  <c r="AD988" i="2"/>
  <c r="AH988" i="2" s="1"/>
  <c r="AF988" i="2" s="1"/>
  <c r="AE988" i="2" s="1" a="1"/>
  <c r="AE988" i="2" s="1"/>
  <c r="AD1019" i="2"/>
  <c r="AH1019" i="2" s="1"/>
  <c r="AD1047" i="2"/>
  <c r="AH1047" i="2" s="1"/>
  <c r="AF1047" i="2" s="1"/>
  <c r="AE1047" i="2" s="1" a="1"/>
  <c r="AE1047" i="2" s="1"/>
  <c r="AD1075" i="2"/>
  <c r="AH1075" i="2" s="1"/>
  <c r="AF1075" i="2" s="1"/>
  <c r="AE1075" i="2" s="1" a="1"/>
  <c r="AE1075" i="2" s="1"/>
  <c r="AD1104" i="2"/>
  <c r="AH1104" i="2" s="1"/>
  <c r="AF1104" i="2" s="1"/>
  <c r="AE1104" i="2" s="1" a="1"/>
  <c r="AE1104" i="2" s="1"/>
  <c r="AD61" i="2"/>
  <c r="AH61" i="2" s="1"/>
  <c r="AF61" i="2" s="1"/>
  <c r="AE61" i="2" s="1" a="1"/>
  <c r="AE61" i="2" s="1"/>
  <c r="AD100" i="2"/>
  <c r="AH100" i="2" s="1"/>
  <c r="AF100" i="2" s="1"/>
  <c r="AE100" i="2" s="1" a="1"/>
  <c r="AE100" i="2" s="1"/>
  <c r="AD137" i="2"/>
  <c r="AH137" i="2" s="1"/>
  <c r="AF137" i="2" s="1"/>
  <c r="AE137" i="2" s="1" a="1"/>
  <c r="AE137" i="2" s="1"/>
  <c r="AD176" i="2"/>
  <c r="AH176" i="2" s="1"/>
  <c r="AD212" i="2"/>
  <c r="AH212" i="2" s="1"/>
  <c r="AF212" i="2" s="1"/>
  <c r="AE212" i="2" s="1" a="1"/>
  <c r="AE212" i="2" s="1"/>
  <c r="AD250" i="2"/>
  <c r="AH250" i="2" s="1"/>
  <c r="AD284" i="2"/>
  <c r="AH284" i="2" s="1"/>
  <c r="AF284" i="2" s="1"/>
  <c r="AE284" i="2" s="1" a="1"/>
  <c r="AE284" i="2" s="1"/>
  <c r="AD315" i="2"/>
  <c r="AH315" i="2" s="1"/>
  <c r="AD346" i="2"/>
  <c r="AH346" i="2" s="1"/>
  <c r="AF346" i="2" s="1"/>
  <c r="AE346" i="2" s="1" a="1"/>
  <c r="AE346" i="2" s="1"/>
  <c r="AD380" i="2"/>
  <c r="AH380" i="2" s="1"/>
  <c r="AF380" i="2" s="1"/>
  <c r="AE380" i="2" s="1" a="1"/>
  <c r="AE380" i="2" s="1"/>
  <c r="AD410" i="2"/>
  <c r="AH410" i="2" s="1"/>
  <c r="AF410" i="2" s="1"/>
  <c r="AE410" i="2" s="1" a="1"/>
  <c r="AE410" i="2" s="1"/>
  <c r="AD441" i="2"/>
  <c r="AH441" i="2" s="1"/>
  <c r="AF441" i="2" s="1"/>
  <c r="AE441" i="2" s="1" a="1"/>
  <c r="AE441" i="2" s="1"/>
  <c r="AD473" i="2"/>
  <c r="AH473" i="2" s="1"/>
  <c r="AF473" i="2" s="1"/>
  <c r="AE473" i="2" s="1" a="1"/>
  <c r="AE473" i="2" s="1"/>
  <c r="AD503" i="2"/>
  <c r="AH503" i="2" s="1"/>
  <c r="AF503" i="2" s="1"/>
  <c r="AE503" i="2" s="1" a="1"/>
  <c r="AE503" i="2" s="1"/>
  <c r="AD537" i="2"/>
  <c r="AH537" i="2" s="1"/>
  <c r="AF537" i="2" s="1"/>
  <c r="AE537" i="2" s="1" a="1"/>
  <c r="AE537" i="2" s="1"/>
  <c r="AD567" i="2"/>
  <c r="AH567" i="2" s="1"/>
  <c r="AD598" i="2"/>
  <c r="AH598" i="2" s="1"/>
  <c r="AF598" i="2" s="1"/>
  <c r="AE598" i="2" s="1" a="1"/>
  <c r="AE598" i="2" s="1"/>
  <c r="AD630" i="2"/>
  <c r="AH630" i="2" s="1"/>
  <c r="AF630" i="2" s="1"/>
  <c r="AE630" i="2" s="1" a="1"/>
  <c r="AE630" i="2" s="1"/>
  <c r="AD660" i="2"/>
  <c r="AH660" i="2" s="1"/>
  <c r="AF660" i="2" s="1"/>
  <c r="AE660" i="2" s="1" a="1"/>
  <c r="AE660" i="2" s="1"/>
  <c r="AD694" i="2"/>
  <c r="AH694" i="2" s="1"/>
  <c r="AF694" i="2" s="1"/>
  <c r="AE694" i="2" s="1" a="1"/>
  <c r="AE694" i="2" s="1"/>
  <c r="AD724" i="2"/>
  <c r="AH724" i="2" s="1"/>
  <c r="AF724" i="2" s="1"/>
  <c r="AE724" i="2" s="1" a="1"/>
  <c r="AE724" i="2" s="1"/>
  <c r="AD755" i="2"/>
  <c r="AH755" i="2" s="1"/>
  <c r="AF755" i="2" s="1"/>
  <c r="AE755" i="2" s="1" a="1"/>
  <c r="AE755" i="2" s="1"/>
  <c r="AD787" i="2"/>
  <c r="AH787" i="2" s="1"/>
  <c r="AF787" i="2" s="1"/>
  <c r="AE787" i="2" s="1" a="1"/>
  <c r="AE787" i="2" s="1"/>
  <c r="AD817" i="2"/>
  <c r="AH817" i="2" s="1"/>
  <c r="AF817" i="2" s="1"/>
  <c r="AE817" i="2" s="1" a="1"/>
  <c r="AE817" i="2" s="1"/>
  <c r="AD848" i="2"/>
  <c r="AH848" i="2" s="1"/>
  <c r="AF848" i="2" s="1"/>
  <c r="AE848" i="2" s="1" a="1"/>
  <c r="AE848" i="2" s="1"/>
  <c r="AD876" i="2"/>
  <c r="AH876" i="2" s="1"/>
  <c r="AD904" i="2"/>
  <c r="AH904" i="2" s="1"/>
  <c r="AF904" i="2" s="1"/>
  <c r="AE904" i="2" s="1" a="1"/>
  <c r="AE904" i="2" s="1"/>
  <c r="AD933" i="2"/>
  <c r="AH933" i="2" s="1"/>
  <c r="AF933" i="2" s="1"/>
  <c r="AE933" i="2" s="1" a="1"/>
  <c r="AE933" i="2" s="1"/>
  <c r="AD961" i="2"/>
  <c r="AH961" i="2" s="1"/>
  <c r="AF961" i="2" s="1"/>
  <c r="AE961" i="2" s="1" a="1"/>
  <c r="AE961" i="2" s="1"/>
  <c r="AD992" i="2"/>
  <c r="AH992" i="2" s="1"/>
  <c r="AF992" i="2" s="1"/>
  <c r="AE992" i="2" s="1" a="1"/>
  <c r="AE992" i="2" s="1"/>
  <c r="AD1020" i="2"/>
  <c r="AH1020" i="2" s="1"/>
  <c r="AD1048" i="2"/>
  <c r="AH1048" i="2" s="1"/>
  <c r="AF1048" i="2" s="1"/>
  <c r="AE1048" i="2" s="1" a="1"/>
  <c r="AE1048" i="2" s="1"/>
  <c r="AD1077" i="2"/>
  <c r="AH1077" i="2" s="1"/>
  <c r="AF1077" i="2" s="1"/>
  <c r="AE1077" i="2" s="1" a="1"/>
  <c r="AE1077" i="2" s="1"/>
  <c r="AD1105" i="2"/>
  <c r="AH1105" i="2" s="1"/>
  <c r="AF1105" i="2" s="1"/>
  <c r="AE1105" i="2" s="1" a="1"/>
  <c r="AE1105" i="2" s="1"/>
  <c r="AD67" i="2"/>
  <c r="AH67" i="2" s="1"/>
  <c r="AF67" i="2" s="1"/>
  <c r="AE67" i="2" s="1" a="1"/>
  <c r="AE67" i="2" s="1"/>
  <c r="AD102" i="2"/>
  <c r="AH102" i="2" s="1"/>
  <c r="AF102" i="2" s="1"/>
  <c r="AE102" i="2" s="1" a="1"/>
  <c r="AE102" i="2" s="1"/>
  <c r="AD138" i="2"/>
  <c r="AH138" i="2" s="1"/>
  <c r="AD177" i="2"/>
  <c r="AH177" i="2" s="1"/>
  <c r="AF177" i="2" s="1"/>
  <c r="AE177" i="2" s="1" a="1"/>
  <c r="AE177" i="2" s="1"/>
  <c r="AD213" i="2"/>
  <c r="AH213" i="2" s="1"/>
  <c r="AF213" i="2" s="1"/>
  <c r="AE213" i="2" s="1" a="1"/>
  <c r="AE213" i="2" s="1"/>
  <c r="AD252" i="2"/>
  <c r="AH252" i="2" s="1"/>
  <c r="AF252" i="2" s="1"/>
  <c r="AE252" i="2" s="1" a="1"/>
  <c r="AE252" i="2" s="1"/>
  <c r="AD285" i="2"/>
  <c r="AH285" i="2" s="1"/>
  <c r="AF285" i="2" s="1"/>
  <c r="AE285" i="2" s="1" a="1"/>
  <c r="AE285" i="2" s="1"/>
  <c r="AD316" i="2"/>
  <c r="AH316" i="2" s="1"/>
  <c r="AF316" i="2" s="1"/>
  <c r="AE316" i="2" s="1" a="1"/>
  <c r="AE316" i="2" s="1"/>
  <c r="AD347" i="2"/>
  <c r="AH347" i="2" s="1"/>
  <c r="AF347" i="2" s="1"/>
  <c r="AE347" i="2" s="1" a="1"/>
  <c r="AE347" i="2" s="1"/>
  <c r="AD381" i="2"/>
  <c r="AH381" i="2" s="1"/>
  <c r="AF381" i="2" s="1"/>
  <c r="AE381" i="2" s="1" a="1"/>
  <c r="AE381" i="2" s="1"/>
  <c r="AD411" i="2"/>
  <c r="AH411" i="2" s="1"/>
  <c r="AF411" i="2" s="1"/>
  <c r="AE411" i="2" s="1" a="1"/>
  <c r="AE411" i="2" s="1"/>
  <c r="AD442" i="2"/>
  <c r="AH442" i="2" s="1"/>
  <c r="AF442" i="2" s="1"/>
  <c r="AE442" i="2" s="1" a="1"/>
  <c r="AE442" i="2" s="1"/>
  <c r="AD474" i="2"/>
  <c r="AH474" i="2" s="1"/>
  <c r="AF474" i="2" s="1"/>
  <c r="AE474" i="2" s="1" a="1"/>
  <c r="AE474" i="2" s="1"/>
  <c r="AD504" i="2"/>
  <c r="AH504" i="2" s="1"/>
  <c r="AD538" i="2"/>
  <c r="AH538" i="2" s="1"/>
  <c r="AF538" i="2" s="1"/>
  <c r="AE538" i="2" s="1" a="1"/>
  <c r="AE538" i="2" s="1"/>
  <c r="AD569" i="2"/>
  <c r="AH569" i="2" s="1"/>
  <c r="AF569" i="2" s="1"/>
  <c r="AE569" i="2" s="1" a="1"/>
  <c r="AE569" i="2" s="1"/>
  <c r="AD599" i="2"/>
  <c r="AH599" i="2" s="1"/>
  <c r="AF599" i="2" s="1"/>
  <c r="AE599" i="2" s="1" a="1"/>
  <c r="AE599" i="2" s="1"/>
  <c r="AD631" i="2"/>
  <c r="AH631" i="2" s="1"/>
  <c r="AF631" i="2" s="1"/>
  <c r="AE631" i="2" s="1" a="1"/>
  <c r="AE631" i="2" s="1"/>
  <c r="AD661" i="2"/>
  <c r="AH661" i="2" s="1"/>
  <c r="AF661" i="2" s="1"/>
  <c r="AE661" i="2" s="1" a="1"/>
  <c r="AE661" i="2" s="1"/>
  <c r="AD695" i="2"/>
  <c r="AH695" i="2" s="1"/>
  <c r="AF695" i="2" s="1"/>
  <c r="AE695" i="2" s="1" a="1"/>
  <c r="AE695" i="2" s="1"/>
  <c r="AD726" i="2"/>
  <c r="AH726" i="2" s="1"/>
  <c r="AF726" i="2" s="1"/>
  <c r="AE726" i="2" s="1" a="1"/>
  <c r="AE726" i="2" s="1"/>
  <c r="AD756" i="2"/>
  <c r="AH756" i="2" s="1"/>
  <c r="AF756" i="2" s="1"/>
  <c r="AE756" i="2" s="1" a="1"/>
  <c r="AE756" i="2" s="1"/>
  <c r="AD788" i="2"/>
  <c r="AH788" i="2" s="1"/>
  <c r="AF788" i="2" s="1"/>
  <c r="AE788" i="2" s="1" a="1"/>
  <c r="AE788" i="2" s="1"/>
  <c r="AD818" i="2"/>
  <c r="AH818" i="2" s="1"/>
  <c r="AF818" i="2" s="1"/>
  <c r="AE818" i="2" s="1" a="1"/>
  <c r="AE818" i="2" s="1"/>
  <c r="AD849" i="2"/>
  <c r="AH849" i="2" s="1"/>
  <c r="AF849" i="2" s="1"/>
  <c r="AE849" i="2" s="1" a="1"/>
  <c r="AE849" i="2" s="1"/>
  <c r="AD877" i="2"/>
  <c r="AH877" i="2" s="1"/>
  <c r="AF877" i="2" s="1"/>
  <c r="AE877" i="2" s="1" a="1"/>
  <c r="AE877" i="2" s="1"/>
  <c r="AD905" i="2"/>
  <c r="AH905" i="2" s="1"/>
  <c r="AF905" i="2" s="1"/>
  <c r="AE905" i="2" s="1" a="1"/>
  <c r="AE905" i="2" s="1"/>
  <c r="AD934" i="2"/>
  <c r="AH934" i="2" s="1"/>
  <c r="AF934" i="2" s="1"/>
  <c r="AE934" i="2" s="1" a="1"/>
  <c r="AE934" i="2" s="1"/>
  <c r="AD962" i="2"/>
  <c r="AH962" i="2" s="1"/>
  <c r="AF962" i="2" s="1"/>
  <c r="AE962" i="2" s="1" a="1"/>
  <c r="AE962" i="2" s="1"/>
  <c r="AD993" i="2"/>
  <c r="AH993" i="2" s="1"/>
  <c r="AF993" i="2" s="1"/>
  <c r="AE993" i="2" s="1" a="1"/>
  <c r="AE993" i="2" s="1"/>
  <c r="AD1021" i="2"/>
  <c r="AH1021" i="2" s="1"/>
  <c r="AF1021" i="2" s="1"/>
  <c r="AE1021" i="2" s="1" a="1"/>
  <c r="AE1021" i="2" s="1"/>
  <c r="AD1049" i="2"/>
  <c r="AH1049" i="2" s="1"/>
  <c r="AF1049" i="2" s="1"/>
  <c r="AE1049" i="2" s="1" a="1"/>
  <c r="AE1049" i="2" s="1"/>
  <c r="AD1078" i="2"/>
  <c r="AH1078" i="2" s="1"/>
  <c r="AF1078" i="2" s="1"/>
  <c r="AE1078" i="2" s="1" a="1"/>
  <c r="AE1078" i="2" s="1"/>
  <c r="AD1106" i="2"/>
  <c r="AH1106" i="2" s="1"/>
  <c r="AF1106" i="2" s="1"/>
  <c r="AE1106" i="2" s="1" a="1"/>
  <c r="AE1106" i="2" s="1"/>
  <c r="AD69" i="2"/>
  <c r="AH69" i="2" s="1"/>
  <c r="AF69" i="2" s="1"/>
  <c r="AE69" i="2" s="1" a="1"/>
  <c r="AE69" i="2" s="1"/>
  <c r="AD103" i="2"/>
  <c r="AH103" i="2" s="1"/>
  <c r="AF103" i="2" s="1"/>
  <c r="AE103" i="2" s="1" a="1"/>
  <c r="AE103" i="2" s="1"/>
  <c r="AD139" i="2"/>
  <c r="AH139" i="2" s="1"/>
  <c r="AF139" i="2" s="1"/>
  <c r="AE139" i="2" s="1" a="1"/>
  <c r="AE139" i="2" s="1"/>
  <c r="AD178" i="2"/>
  <c r="AH178" i="2" s="1"/>
  <c r="AF178" i="2" s="1"/>
  <c r="AE178" i="2" s="1" a="1"/>
  <c r="AE178" i="2" s="1"/>
  <c r="AD214" i="2"/>
  <c r="AH214" i="2" s="1"/>
  <c r="AF214" i="2" s="1"/>
  <c r="AE214" i="2" s="1" a="1"/>
  <c r="AE214" i="2" s="1"/>
  <c r="AD253" i="2"/>
  <c r="AH253" i="2" s="1"/>
  <c r="AF253" i="2" s="1"/>
  <c r="AE253" i="2" s="1" a="1"/>
  <c r="AE253" i="2" s="1"/>
  <c r="AD286" i="2"/>
  <c r="AH286" i="2" s="1"/>
  <c r="AF286" i="2" s="1"/>
  <c r="AE286" i="2" s="1" a="1"/>
  <c r="AE286" i="2" s="1"/>
  <c r="AD318" i="2"/>
  <c r="AH318" i="2" s="1"/>
  <c r="AF318" i="2" s="1"/>
  <c r="AE318" i="2" s="1" a="1"/>
  <c r="AE318" i="2" s="1"/>
  <c r="AD348" i="2"/>
  <c r="AH348" i="2" s="1"/>
  <c r="AF348" i="2" s="1"/>
  <c r="AE348" i="2" s="1" a="1"/>
  <c r="AE348" i="2" s="1"/>
  <c r="AD382" i="2"/>
  <c r="AH382" i="2" s="1"/>
  <c r="AF382" i="2" s="1"/>
  <c r="AE382" i="2" s="1" a="1"/>
  <c r="AE382" i="2" s="1"/>
  <c r="AD412" i="2"/>
  <c r="AH412" i="2" s="1"/>
  <c r="AF412" i="2" s="1"/>
  <c r="AE412" i="2" s="1" a="1"/>
  <c r="AE412" i="2" s="1"/>
  <c r="AD443" i="2"/>
  <c r="AH443" i="2" s="1"/>
  <c r="AF443" i="2" s="1"/>
  <c r="AE443" i="2" s="1" a="1"/>
  <c r="AE443" i="2" s="1"/>
  <c r="AD475" i="2"/>
  <c r="AH475" i="2" s="1"/>
  <c r="AF475" i="2" s="1"/>
  <c r="AE475" i="2" s="1" a="1"/>
  <c r="AE475" i="2" s="1"/>
  <c r="AD505" i="2"/>
  <c r="AH505" i="2" s="1"/>
  <c r="AD539" i="2"/>
  <c r="AH539" i="2" s="1"/>
  <c r="AF539" i="2" s="1"/>
  <c r="AE539" i="2" s="1" a="1"/>
  <c r="AE539" i="2" s="1"/>
  <c r="AD570" i="2"/>
  <c r="AH570" i="2" s="1"/>
  <c r="AF570" i="2" s="1"/>
  <c r="AE570" i="2" s="1" a="1"/>
  <c r="AE570" i="2" s="1"/>
  <c r="AD600" i="2"/>
  <c r="AH600" i="2" s="1"/>
  <c r="AF600" i="2" s="1"/>
  <c r="AE600" i="2" s="1" a="1"/>
  <c r="AE600" i="2" s="1"/>
  <c r="AD632" i="2"/>
  <c r="AH632" i="2" s="1"/>
  <c r="AF632" i="2" s="1"/>
  <c r="AE632" i="2" s="1" a="1"/>
  <c r="AE632" i="2" s="1"/>
  <c r="AD662" i="2"/>
  <c r="AH662" i="2" s="1"/>
  <c r="AF662" i="2" s="1"/>
  <c r="AE662" i="2" s="1" a="1"/>
  <c r="AE662" i="2" s="1"/>
  <c r="AD696" i="2"/>
  <c r="AH696" i="2" s="1"/>
  <c r="AF696" i="2" s="1"/>
  <c r="AE696" i="2" s="1" a="1"/>
  <c r="AE696" i="2" s="1"/>
  <c r="AD727" i="2"/>
  <c r="AH727" i="2" s="1"/>
  <c r="AD757" i="2"/>
  <c r="AH757" i="2" s="1"/>
  <c r="AD789" i="2"/>
  <c r="AH789" i="2" s="1"/>
  <c r="AF789" i="2" s="1"/>
  <c r="AE789" i="2" s="1" a="1"/>
  <c r="AE789" i="2" s="1"/>
  <c r="AD819" i="2"/>
  <c r="AH819" i="2" s="1"/>
  <c r="AF819" i="2" s="1"/>
  <c r="AE819" i="2" s="1" a="1"/>
  <c r="AE819" i="2" s="1"/>
  <c r="AD850" i="2"/>
  <c r="AH850" i="2" s="1"/>
  <c r="AF850" i="2" s="1"/>
  <c r="AE850" i="2" s="1" a="1"/>
  <c r="AE850" i="2" s="1"/>
  <c r="AD878" i="2"/>
  <c r="AH878" i="2" s="1"/>
  <c r="AF878" i="2" s="1"/>
  <c r="AE878" i="2" s="1" a="1"/>
  <c r="AE878" i="2" s="1"/>
  <c r="AD906" i="2"/>
  <c r="AH906" i="2" s="1"/>
  <c r="AF906" i="2" s="1"/>
  <c r="AE906" i="2" s="1" a="1"/>
  <c r="AE906" i="2" s="1"/>
  <c r="AD935" i="2"/>
  <c r="AH935" i="2" s="1"/>
  <c r="AF935" i="2" s="1"/>
  <c r="AE935" i="2" s="1" a="1"/>
  <c r="AE935" i="2" s="1"/>
  <c r="AD963" i="2"/>
  <c r="AH963" i="2" s="1"/>
  <c r="AF963" i="2" s="1"/>
  <c r="AE963" i="2" s="1" a="1"/>
  <c r="AE963" i="2" s="1"/>
  <c r="AD994" i="2"/>
  <c r="AH994" i="2" s="1"/>
  <c r="AD1022" i="2"/>
  <c r="AH1022" i="2" s="1"/>
  <c r="AF1022" i="2" s="1"/>
  <c r="AE1022" i="2" s="1" a="1"/>
  <c r="AE1022" i="2" s="1"/>
  <c r="AD1050" i="2"/>
  <c r="AH1050" i="2" s="1"/>
  <c r="AF1050" i="2" s="1"/>
  <c r="AE1050" i="2" s="1" a="1"/>
  <c r="AE1050" i="2" s="1"/>
  <c r="AD1079" i="2"/>
  <c r="AH1079" i="2" s="1"/>
  <c r="AF1079" i="2" s="1"/>
  <c r="AE1079" i="2" s="1" a="1"/>
  <c r="AE1079" i="2" s="1"/>
  <c r="AD1107" i="2"/>
  <c r="AH1107" i="2" s="1"/>
  <c r="AF1107" i="2" s="1"/>
  <c r="AE1107" i="2" s="1" a="1"/>
  <c r="AE1107" i="2" s="1"/>
  <c r="AD70" i="2"/>
  <c r="AH70" i="2" s="1"/>
  <c r="AF70" i="2" s="1"/>
  <c r="AE70" i="2" s="1" a="1"/>
  <c r="AE70" i="2" s="1"/>
  <c r="AD104" i="2"/>
  <c r="AH104" i="2" s="1"/>
  <c r="AF104" i="2" s="1"/>
  <c r="AE104" i="2" s="1" a="1"/>
  <c r="AE104" i="2" s="1"/>
  <c r="AD140" i="2"/>
  <c r="AH140" i="2" s="1"/>
  <c r="AF140" i="2" s="1"/>
  <c r="AE140" i="2" s="1" a="1"/>
  <c r="AE140" i="2" s="1"/>
  <c r="AD179" i="2"/>
  <c r="AH179" i="2" s="1"/>
  <c r="AF179" i="2" s="1"/>
  <c r="AE179" i="2" s="1" a="1"/>
  <c r="AE179" i="2" s="1"/>
  <c r="AD215" i="2"/>
  <c r="AH215" i="2" s="1"/>
  <c r="AD254" i="2"/>
  <c r="AH254" i="2" s="1"/>
  <c r="AF254" i="2" s="1"/>
  <c r="AE254" i="2" s="1" a="1"/>
  <c r="AE254" i="2" s="1"/>
  <c r="AD287" i="2"/>
  <c r="AH287" i="2" s="1"/>
  <c r="AF287" i="2" s="1"/>
  <c r="AE287" i="2" s="1" a="1"/>
  <c r="AE287" i="2" s="1"/>
  <c r="AD319" i="2"/>
  <c r="AH319" i="2" s="1"/>
  <c r="AF319" i="2" s="1"/>
  <c r="AE319" i="2" s="1" a="1"/>
  <c r="AE319" i="2" s="1"/>
  <c r="AD349" i="2"/>
  <c r="AH349" i="2" s="1"/>
  <c r="AD383" i="2"/>
  <c r="AH383" i="2" s="1"/>
  <c r="AF383" i="2" s="1"/>
  <c r="AE383" i="2" s="1" a="1"/>
  <c r="AE383" i="2" s="1"/>
  <c r="AD414" i="2"/>
  <c r="AH414" i="2" s="1"/>
  <c r="AF414" i="2" s="1"/>
  <c r="AE414" i="2" s="1" a="1"/>
  <c r="AE414" i="2" s="1"/>
  <c r="AD444" i="2"/>
  <c r="AH444" i="2" s="1"/>
  <c r="AF444" i="2" s="1"/>
  <c r="AE444" i="2" s="1" a="1"/>
  <c r="AE444" i="2" s="1"/>
  <c r="AD476" i="2"/>
  <c r="AH476" i="2" s="1"/>
  <c r="AF476" i="2" s="1"/>
  <c r="AE476" i="2" s="1" a="1"/>
  <c r="AE476" i="2" s="1"/>
  <c r="AD506" i="2"/>
  <c r="AH506" i="2" s="1"/>
  <c r="AF506" i="2" s="1"/>
  <c r="AE506" i="2" s="1" a="1"/>
  <c r="AE506" i="2" s="1"/>
  <c r="AD540" i="2"/>
  <c r="AH540" i="2" s="1"/>
  <c r="AD571" i="2"/>
  <c r="AH571" i="2" s="1"/>
  <c r="AF571" i="2" s="1"/>
  <c r="AE571" i="2" s="1" a="1"/>
  <c r="AE571" i="2" s="1"/>
  <c r="AD601" i="2"/>
  <c r="AH601" i="2" s="1"/>
  <c r="AF601" i="2" s="1"/>
  <c r="AE601" i="2" s="1" a="1"/>
  <c r="AE601" i="2" s="1"/>
  <c r="AD633" i="2"/>
  <c r="AH633" i="2" s="1"/>
  <c r="AF633" i="2" s="1"/>
  <c r="AE633" i="2" s="1" a="1"/>
  <c r="AE633" i="2" s="1"/>
  <c r="AD663" i="2"/>
  <c r="AH663" i="2" s="1"/>
  <c r="AF663" i="2" s="1"/>
  <c r="AE663" i="2" s="1" a="1"/>
  <c r="AE663" i="2" s="1"/>
  <c r="AD697" i="2"/>
  <c r="AH697" i="2" s="1"/>
  <c r="AD728" i="2"/>
  <c r="AH728" i="2" s="1"/>
  <c r="AF728" i="2" s="1"/>
  <c r="AE728" i="2" s="1" a="1"/>
  <c r="AE728" i="2" s="1"/>
  <c r="AD758" i="2"/>
  <c r="AH758" i="2" s="1"/>
  <c r="AF758" i="2" s="1"/>
  <c r="AE758" i="2" s="1" a="1"/>
  <c r="AE758" i="2" s="1"/>
  <c r="AD790" i="2"/>
  <c r="AH790" i="2" s="1"/>
  <c r="AF790" i="2" s="1"/>
  <c r="AE790" i="2" s="1" a="1"/>
  <c r="AE790" i="2" s="1"/>
  <c r="AD820" i="2"/>
  <c r="AH820" i="2" s="1"/>
  <c r="AF820" i="2" s="1"/>
  <c r="AE820" i="2" s="1" a="1"/>
  <c r="AE820" i="2" s="1"/>
  <c r="AD851" i="2"/>
  <c r="AH851" i="2" s="1"/>
  <c r="AF851" i="2" s="1"/>
  <c r="AE851" i="2" s="1" a="1"/>
  <c r="AE851" i="2" s="1"/>
  <c r="AD879" i="2"/>
  <c r="AH879" i="2" s="1"/>
  <c r="AD907" i="2"/>
  <c r="AH907" i="2" s="1"/>
  <c r="AD936" i="2"/>
  <c r="AH936" i="2" s="1"/>
  <c r="AF936" i="2" s="1"/>
  <c r="AE936" i="2" s="1" a="1"/>
  <c r="AE936" i="2" s="1"/>
  <c r="AD964" i="2"/>
  <c r="AH964" i="2" s="1"/>
  <c r="AF964" i="2" s="1"/>
  <c r="AE964" i="2" s="1" a="1"/>
  <c r="AE964" i="2" s="1"/>
  <c r="AD995" i="2"/>
  <c r="AH995" i="2" s="1"/>
  <c r="AF995" i="2" s="1"/>
  <c r="AE995" i="2" s="1" a="1"/>
  <c r="AE995" i="2" s="1"/>
  <c r="AD1023" i="2"/>
  <c r="AH1023" i="2" s="1"/>
  <c r="AF1023" i="2" s="1"/>
  <c r="AE1023" i="2" s="1" a="1"/>
  <c r="AE1023" i="2" s="1"/>
  <c r="AD1051" i="2"/>
  <c r="AH1051" i="2" s="1"/>
  <c r="AF1051" i="2" s="1"/>
  <c r="AE1051" i="2" s="1" a="1"/>
  <c r="AE1051" i="2" s="1"/>
  <c r="AD1080" i="2"/>
  <c r="AH1080" i="2" s="1"/>
  <c r="AF1080" i="2" s="1"/>
  <c r="AE1080" i="2" s="1" a="1"/>
  <c r="AE1080" i="2" s="1"/>
  <c r="AD1108" i="2"/>
  <c r="AH1108" i="2" s="1"/>
  <c r="AF1108" i="2" s="1"/>
  <c r="AE1108" i="2" s="1" a="1"/>
  <c r="AE1108" i="2" s="1"/>
  <c r="AD71" i="2"/>
  <c r="AH71" i="2" s="1"/>
  <c r="AF71" i="2" s="1"/>
  <c r="AE71" i="2" s="1" a="1"/>
  <c r="AE71" i="2" s="1"/>
  <c r="AD107" i="2"/>
  <c r="AH107" i="2" s="1"/>
  <c r="AF107" i="2" s="1"/>
  <c r="AE107" i="2" s="1" a="1"/>
  <c r="AE107" i="2" s="1"/>
  <c r="AD145" i="2"/>
  <c r="AH145" i="2" s="1"/>
  <c r="AF145" i="2" s="1"/>
  <c r="AE145" i="2" s="1" a="1"/>
  <c r="AE145" i="2" s="1"/>
  <c r="AD180" i="2"/>
  <c r="AH180" i="2" s="1"/>
  <c r="AF180" i="2" s="1"/>
  <c r="AE180" i="2" s="1" a="1"/>
  <c r="AE180" i="2" s="1"/>
  <c r="AD216" i="2"/>
  <c r="AH216" i="2" s="1"/>
  <c r="AF216" i="2" s="1"/>
  <c r="AE216" i="2" s="1" a="1"/>
  <c r="AE216" i="2" s="1"/>
  <c r="AD255" i="2"/>
  <c r="AH255" i="2" s="1"/>
  <c r="AF255" i="2" s="1"/>
  <c r="AE255" i="2" s="1" a="1"/>
  <c r="AE255" i="2" s="1"/>
  <c r="AD289" i="2"/>
  <c r="AH289" i="2" s="1"/>
  <c r="AD320" i="2"/>
  <c r="AH320" i="2" s="1"/>
  <c r="AD354" i="2"/>
  <c r="AH354" i="2" s="1"/>
  <c r="AF354" i="2" s="1"/>
  <c r="AE354" i="2" s="1" a="1"/>
  <c r="AE354" i="2" s="1"/>
  <c r="AD384" i="2"/>
  <c r="AH384" i="2" s="1"/>
  <c r="AF384" i="2" s="1"/>
  <c r="AE384" i="2" s="1" a="1"/>
  <c r="AE384" i="2" s="1"/>
  <c r="AD415" i="2"/>
  <c r="AH415" i="2" s="1"/>
  <c r="AD446" i="2"/>
  <c r="AH446" i="2" s="1"/>
  <c r="AD477" i="2"/>
  <c r="AH477" i="2" s="1"/>
  <c r="AF477" i="2" s="1"/>
  <c r="AE477" i="2" s="1" a="1"/>
  <c r="AE477" i="2" s="1"/>
  <c r="AD511" i="2"/>
  <c r="AH511" i="2" s="1"/>
  <c r="AF511" i="2" s="1"/>
  <c r="AE511" i="2" s="1" a="1"/>
  <c r="AE511" i="2" s="1"/>
  <c r="AD541" i="2"/>
  <c r="AH541" i="2" s="1"/>
  <c r="AF541" i="2" s="1"/>
  <c r="AE541" i="2" s="1" a="1"/>
  <c r="AE541" i="2" s="1"/>
  <c r="AD572" i="2"/>
  <c r="AH572" i="2" s="1"/>
  <c r="AF572" i="2" s="1"/>
  <c r="AE572" i="2" s="1" a="1"/>
  <c r="AE572" i="2" s="1"/>
  <c r="AD603" i="2"/>
  <c r="AH603" i="2" s="1"/>
  <c r="AF603" i="2" s="1"/>
  <c r="AE603" i="2" s="1" a="1"/>
  <c r="AE603" i="2" s="1"/>
  <c r="AD634" i="2"/>
  <c r="AH634" i="2" s="1"/>
  <c r="AF634" i="2" s="1"/>
  <c r="AE634" i="2" s="1" a="1"/>
  <c r="AE634" i="2" s="1"/>
  <c r="AD668" i="2"/>
  <c r="AH668" i="2" s="1"/>
  <c r="AF668" i="2" s="1"/>
  <c r="AE668" i="2" s="1" a="1"/>
  <c r="AE668" i="2" s="1"/>
  <c r="AD698" i="2"/>
  <c r="AH698" i="2" s="1"/>
  <c r="AF698" i="2" s="1"/>
  <c r="AE698" i="2" s="1" a="1"/>
  <c r="AE698" i="2" s="1"/>
  <c r="AD729" i="2"/>
  <c r="AH729" i="2" s="1"/>
  <c r="AF729" i="2" s="1"/>
  <c r="AE729" i="2" s="1" a="1"/>
  <c r="AE729" i="2" s="1"/>
  <c r="AD761" i="2"/>
  <c r="AH761" i="2" s="1"/>
  <c r="AF761" i="2" s="1"/>
  <c r="AE761" i="2" s="1" a="1"/>
  <c r="AE761" i="2" s="1"/>
  <c r="AD791" i="2"/>
  <c r="AH791" i="2" s="1"/>
  <c r="AD824" i="2"/>
  <c r="AH824" i="2" s="1"/>
  <c r="AF824" i="2" s="1"/>
  <c r="AE824" i="2" s="1" a="1"/>
  <c r="AE824" i="2" s="1"/>
  <c r="AD852" i="2"/>
  <c r="AH852" i="2" s="1"/>
  <c r="AF852" i="2" s="1"/>
  <c r="AE852" i="2" s="1" a="1"/>
  <c r="AE852" i="2" s="1"/>
  <c r="AD880" i="2"/>
  <c r="AH880" i="2" s="1"/>
  <c r="AF880" i="2" s="1"/>
  <c r="AE880" i="2" s="1" a="1"/>
  <c r="AE880" i="2" s="1"/>
  <c r="AD909" i="2"/>
  <c r="AH909" i="2" s="1"/>
  <c r="AF909" i="2" s="1"/>
  <c r="AE909" i="2" s="1" a="1"/>
  <c r="AE909" i="2" s="1"/>
  <c r="AD937" i="2"/>
  <c r="AH937" i="2" s="1"/>
  <c r="AF937" i="2" s="1"/>
  <c r="AE937" i="2" s="1" a="1"/>
  <c r="AE937" i="2" s="1"/>
  <c r="AD968" i="2"/>
  <c r="AH968" i="2" s="1"/>
  <c r="AF968" i="2" s="1"/>
  <c r="AE968" i="2" s="1" a="1"/>
  <c r="AE968" i="2" s="1"/>
  <c r="AD996" i="2"/>
  <c r="AH996" i="2" s="1"/>
  <c r="AF996" i="2" s="1"/>
  <c r="AE996" i="2" s="1" a="1"/>
  <c r="AE996" i="2" s="1"/>
  <c r="AD1024" i="2"/>
  <c r="AH1024" i="2" s="1"/>
  <c r="AF1024" i="2" s="1"/>
  <c r="AE1024" i="2" s="1" a="1"/>
  <c r="AE1024" i="2" s="1"/>
  <c r="AD1053" i="2"/>
  <c r="AH1053" i="2" s="1"/>
  <c r="AF1053" i="2" s="1"/>
  <c r="AE1053" i="2" s="1" a="1"/>
  <c r="AE1053" i="2" s="1"/>
  <c r="AD1081" i="2"/>
  <c r="AH1081" i="2" s="1"/>
  <c r="AF1081" i="2" s="1"/>
  <c r="AE1081" i="2" s="1" a="1"/>
  <c r="AE1081" i="2" s="1"/>
  <c r="AD1112" i="2"/>
  <c r="AH1112" i="2" s="1"/>
  <c r="AF1112" i="2" s="1"/>
  <c r="AE1112" i="2" s="1" a="1"/>
  <c r="AE1112" i="2" s="1"/>
  <c r="AD72" i="2"/>
  <c r="AH72" i="2" s="1"/>
  <c r="AF72" i="2" s="1"/>
  <c r="AE72" i="2" s="1" a="1"/>
  <c r="AE72" i="2" s="1"/>
  <c r="AD108" i="2"/>
  <c r="AH108" i="2" s="1"/>
  <c r="AF108" i="2" s="1"/>
  <c r="AE108" i="2" s="1" a="1"/>
  <c r="AE108" i="2" s="1"/>
  <c r="AD147" i="2"/>
  <c r="AH147" i="2" s="1"/>
  <c r="AF147" i="2" s="1"/>
  <c r="AE147" i="2" s="1" a="1"/>
  <c r="AE147" i="2" s="1"/>
  <c r="AD181" i="2"/>
  <c r="AH181" i="2" s="1"/>
  <c r="AF181" i="2" s="1"/>
  <c r="AE181" i="2" s="1" a="1"/>
  <c r="AE181" i="2" s="1"/>
  <c r="AD217" i="2"/>
  <c r="AH217" i="2" s="1"/>
  <c r="AF217" i="2" s="1"/>
  <c r="AE217" i="2" s="1" a="1"/>
  <c r="AE217" i="2" s="1"/>
  <c r="AD257" i="2"/>
  <c r="AH257" i="2" s="1"/>
  <c r="AF257" i="2" s="1"/>
  <c r="AE257" i="2" s="1" a="1"/>
  <c r="AE257" i="2" s="1"/>
  <c r="AD290" i="2"/>
  <c r="AH290" i="2" s="1"/>
  <c r="AF290" i="2" s="1"/>
  <c r="AE290" i="2" s="1" a="1"/>
  <c r="AE290" i="2" s="1"/>
  <c r="AD321" i="2"/>
  <c r="AH321" i="2" s="1"/>
  <c r="AF321" i="2" s="1"/>
  <c r="AE321" i="2" s="1" a="1"/>
  <c r="AE321" i="2" s="1"/>
  <c r="AD355" i="2"/>
  <c r="AH355" i="2" s="1"/>
  <c r="AD385" i="2"/>
  <c r="AH385" i="2" s="1"/>
  <c r="AF385" i="2" s="1"/>
  <c r="AE385" i="2" s="1" a="1"/>
  <c r="AE385" i="2" s="1"/>
  <c r="AD416" i="2"/>
  <c r="AH416" i="2" s="1"/>
  <c r="AF416" i="2" s="1"/>
  <c r="AE416" i="2" s="1" a="1"/>
  <c r="AE416" i="2" s="1"/>
  <c r="AD447" i="2"/>
  <c r="AH447" i="2" s="1"/>
  <c r="AF447" i="2" s="1"/>
  <c r="AE447" i="2" s="1" a="1"/>
  <c r="AE447" i="2" s="1"/>
  <c r="AD478" i="2"/>
  <c r="AH478" i="2" s="1"/>
  <c r="AF478" i="2" s="1"/>
  <c r="AE478" i="2" s="1" a="1"/>
  <c r="AE478" i="2" s="1"/>
  <c r="AD512" i="2"/>
  <c r="AH512" i="2" s="1"/>
  <c r="AD542" i="2"/>
  <c r="AH542" i="2" s="1"/>
  <c r="AF542" i="2" s="1"/>
  <c r="AE542" i="2" s="1" a="1"/>
  <c r="AE542" i="2" s="1"/>
  <c r="AD573" i="2"/>
  <c r="AH573" i="2" s="1"/>
  <c r="AF573" i="2" s="1"/>
  <c r="AE573" i="2" s="1" a="1"/>
  <c r="AE573" i="2" s="1"/>
  <c r="AD604" i="2"/>
  <c r="AH604" i="2" s="1"/>
  <c r="AF604" i="2" s="1"/>
  <c r="AE604" i="2" s="1" a="1"/>
  <c r="AE604" i="2" s="1"/>
  <c r="AD635" i="2"/>
  <c r="AH635" i="2" s="1"/>
  <c r="AD669" i="2"/>
  <c r="AH669" i="2" s="1"/>
  <c r="AF669" i="2" s="1"/>
  <c r="AE669" i="2" s="1" a="1"/>
  <c r="AE669" i="2" s="1"/>
  <c r="AD699" i="2"/>
  <c r="AH699" i="2" s="1"/>
  <c r="AF699" i="2" s="1"/>
  <c r="AE699" i="2" s="1" a="1"/>
  <c r="AE699" i="2" s="1"/>
  <c r="AD730" i="2"/>
  <c r="AH730" i="2" s="1"/>
  <c r="AF730" i="2" s="1"/>
  <c r="AE730" i="2" s="1" a="1"/>
  <c r="AE730" i="2" s="1"/>
  <c r="AD762" i="2"/>
  <c r="AH762" i="2" s="1"/>
  <c r="AF762" i="2" s="1"/>
  <c r="AE762" i="2" s="1" a="1"/>
  <c r="AE762" i="2" s="1"/>
  <c r="AD792" i="2"/>
  <c r="AH792" i="2" s="1"/>
  <c r="AF792" i="2" s="1"/>
  <c r="AE792" i="2" s="1" a="1"/>
  <c r="AE792" i="2" s="1"/>
  <c r="AD825" i="2"/>
  <c r="AH825" i="2" s="1"/>
  <c r="AF825" i="2" s="1"/>
  <c r="AE825" i="2" s="1" a="1"/>
  <c r="AE825" i="2" s="1"/>
  <c r="AD853" i="2"/>
  <c r="AH853" i="2" s="1"/>
  <c r="AF853" i="2" s="1"/>
  <c r="AE853" i="2" s="1" a="1"/>
  <c r="AE853" i="2" s="1"/>
  <c r="AD881" i="2"/>
  <c r="AH881" i="2" s="1"/>
  <c r="AD910" i="2"/>
  <c r="AH910" i="2" s="1"/>
  <c r="AF910" i="2" s="1"/>
  <c r="AE910" i="2" s="1" a="1"/>
  <c r="AE910" i="2" s="1"/>
  <c r="AD938" i="2"/>
  <c r="AH938" i="2" s="1"/>
  <c r="AD969" i="2"/>
  <c r="AH969" i="2" s="1"/>
  <c r="AF969" i="2" s="1"/>
  <c r="AE969" i="2" s="1" a="1"/>
  <c r="AE969" i="2" s="1"/>
  <c r="AD997" i="2"/>
  <c r="AH997" i="2" s="1"/>
  <c r="AD1025" i="2"/>
  <c r="AH1025" i="2" s="1"/>
  <c r="AF1025" i="2" s="1"/>
  <c r="AE1025" i="2" s="1" a="1"/>
  <c r="AE1025" i="2" s="1"/>
  <c r="AD1054" i="2"/>
  <c r="AH1054" i="2" s="1"/>
  <c r="AD1082" i="2"/>
  <c r="AH1082" i="2" s="1"/>
  <c r="AF1082" i="2" s="1"/>
  <c r="AE1082" i="2" s="1" a="1"/>
  <c r="AE1082" i="2" s="1"/>
  <c r="AD1113" i="2"/>
  <c r="AH1113" i="2" s="1"/>
  <c r="AF1113" i="2" s="1"/>
  <c r="AE1113" i="2" s="1" a="1"/>
  <c r="AE1113" i="2" s="1"/>
  <c r="AD73" i="2"/>
  <c r="AH73" i="2" s="1"/>
  <c r="AF73" i="2" s="1"/>
  <c r="AE73" i="2" s="1" a="1"/>
  <c r="AE73" i="2" s="1"/>
  <c r="AD109" i="2"/>
  <c r="AH109" i="2" s="1"/>
  <c r="AF109" i="2" s="1"/>
  <c r="AE109" i="2" s="1" a="1"/>
  <c r="AE109" i="2" s="1"/>
  <c r="AD148" i="2"/>
  <c r="AH148" i="2" s="1"/>
  <c r="AF148" i="2" s="1"/>
  <c r="AE148" i="2" s="1" a="1"/>
  <c r="AE148" i="2" s="1"/>
  <c r="AD182" i="2"/>
  <c r="AH182" i="2" s="1"/>
  <c r="AF182" i="2" s="1"/>
  <c r="AE182" i="2" s="1" a="1"/>
  <c r="AE182" i="2" s="1"/>
  <c r="AD218" i="2"/>
  <c r="AH218" i="2" s="1"/>
  <c r="AF218" i="2" s="1"/>
  <c r="AE218" i="2" s="1" a="1"/>
  <c r="AE218" i="2" s="1"/>
  <c r="AD258" i="2"/>
  <c r="AH258" i="2" s="1"/>
  <c r="AF258" i="2" s="1"/>
  <c r="AE258" i="2" s="1" a="1"/>
  <c r="AE258" i="2" s="1"/>
  <c r="AD291" i="2"/>
  <c r="AH291" i="2" s="1"/>
  <c r="AF291" i="2" s="1"/>
  <c r="AE291" i="2" s="1" a="1"/>
  <c r="AE291" i="2" s="1"/>
  <c r="AD322" i="2"/>
  <c r="AH322" i="2" s="1"/>
  <c r="AF322" i="2" s="1"/>
  <c r="AE322" i="2" s="1" a="1"/>
  <c r="AE322" i="2" s="1"/>
  <c r="AD356" i="2"/>
  <c r="AH356" i="2" s="1"/>
  <c r="AF356" i="2" s="1"/>
  <c r="AE356" i="2" s="1" a="1"/>
  <c r="AE356" i="2" s="1"/>
  <c r="AD386" i="2"/>
  <c r="AH386" i="2" s="1"/>
  <c r="AF386" i="2" s="1"/>
  <c r="AE386" i="2" s="1" a="1"/>
  <c r="AE386" i="2" s="1"/>
  <c r="AD417" i="2"/>
  <c r="AH417" i="2" s="1"/>
  <c r="AF417" i="2" s="1"/>
  <c r="AE417" i="2" s="1" a="1"/>
  <c r="AE417" i="2" s="1"/>
  <c r="AD449" i="2"/>
  <c r="AH449" i="2" s="1"/>
  <c r="AD479" i="2"/>
  <c r="AH479" i="2" s="1"/>
  <c r="AF479" i="2" s="1"/>
  <c r="AE479" i="2" s="1" a="1"/>
  <c r="AE479" i="2" s="1"/>
  <c r="AD513" i="2"/>
  <c r="AH513" i="2" s="1"/>
  <c r="AF513" i="2" s="1"/>
  <c r="AE513" i="2" s="1" a="1"/>
  <c r="AE513" i="2" s="1"/>
  <c r="AD543" i="2"/>
  <c r="AH543" i="2" s="1"/>
  <c r="AF543" i="2" s="1"/>
  <c r="AE543" i="2" s="1" a="1"/>
  <c r="AE543" i="2" s="1"/>
  <c r="AD574" i="2"/>
  <c r="AH574" i="2" s="1"/>
  <c r="AF574" i="2" s="1"/>
  <c r="AE574" i="2" s="1" a="1"/>
  <c r="AE574" i="2" s="1"/>
  <c r="AD606" i="2"/>
  <c r="AH606" i="2" s="1"/>
  <c r="AF606" i="2" s="1"/>
  <c r="AE606" i="2" s="1" a="1"/>
  <c r="AE606" i="2" s="1"/>
  <c r="AD636" i="2"/>
  <c r="AH636" i="2" s="1"/>
  <c r="AF636" i="2" s="1"/>
  <c r="AE636" i="2" s="1" a="1"/>
  <c r="AE636" i="2" s="1"/>
  <c r="AD670" i="2"/>
  <c r="AH670" i="2" s="1"/>
  <c r="AF670" i="2" s="1"/>
  <c r="AE670" i="2" s="1" a="1"/>
  <c r="AE670" i="2" s="1"/>
  <c r="AD700" i="2"/>
  <c r="AH700" i="2" s="1"/>
  <c r="AD731" i="2"/>
  <c r="AH731" i="2" s="1"/>
  <c r="AF731" i="2" s="1"/>
  <c r="AE731" i="2" s="1" a="1"/>
  <c r="AE731" i="2" s="1"/>
  <c r="AD763" i="2"/>
  <c r="AH763" i="2" s="1"/>
  <c r="AF763" i="2" s="1"/>
  <c r="AE763" i="2" s="1" a="1"/>
  <c r="AE763" i="2" s="1"/>
  <c r="AD793" i="2"/>
  <c r="AH793" i="2" s="1"/>
  <c r="AF793" i="2" s="1"/>
  <c r="AE793" i="2" s="1" a="1"/>
  <c r="AE793" i="2" s="1"/>
  <c r="AD826" i="2"/>
  <c r="AH826" i="2" s="1"/>
  <c r="AD854" i="2"/>
  <c r="AH854" i="2" s="1"/>
  <c r="AF854" i="2" s="1"/>
  <c r="AE854" i="2" s="1" a="1"/>
  <c r="AE854" i="2" s="1"/>
  <c r="AD882" i="2"/>
  <c r="AH882" i="2" s="1"/>
  <c r="AF882" i="2" s="1"/>
  <c r="AE882" i="2" s="1" a="1"/>
  <c r="AE882" i="2" s="1"/>
  <c r="AD911" i="2"/>
  <c r="AH911" i="2" s="1"/>
  <c r="AF911" i="2" s="1"/>
  <c r="AE911" i="2" s="1" a="1"/>
  <c r="AE911" i="2" s="1"/>
  <c r="AD939" i="2"/>
  <c r="AH939" i="2" s="1"/>
  <c r="AF939" i="2" s="1"/>
  <c r="AE939" i="2" s="1" a="1"/>
  <c r="AE939" i="2" s="1"/>
  <c r="AD970" i="2"/>
  <c r="AH970" i="2" s="1"/>
  <c r="AF970" i="2" s="1"/>
  <c r="AE970" i="2" s="1" a="1"/>
  <c r="AE970" i="2" s="1"/>
  <c r="AD998" i="2"/>
  <c r="AH998" i="2" s="1"/>
  <c r="AF998" i="2" s="1"/>
  <c r="AE998" i="2" s="1" a="1"/>
  <c r="AE998" i="2" s="1"/>
  <c r="AD1026" i="2"/>
  <c r="AH1026" i="2" s="1"/>
  <c r="AF1026" i="2" s="1"/>
  <c r="AE1026" i="2" s="1" a="1"/>
  <c r="AE1026" i="2" s="1"/>
  <c r="AD1055" i="2"/>
  <c r="AH1055" i="2" s="1"/>
  <c r="AF1055" i="2" s="1"/>
  <c r="AE1055" i="2" s="1" a="1"/>
  <c r="AE1055" i="2" s="1"/>
  <c r="AD1083" i="2"/>
  <c r="AH1083" i="2" s="1"/>
  <c r="AF1083" i="2" s="1"/>
  <c r="AE1083" i="2" s="1" a="1"/>
  <c r="AE1083" i="2" s="1"/>
  <c r="AD1114" i="2"/>
  <c r="AH1114" i="2" s="1"/>
  <c r="AF1114" i="2" s="1"/>
  <c r="AE1114" i="2" s="1" a="1"/>
  <c r="AE1114" i="2" s="1"/>
  <c r="AD74" i="2"/>
  <c r="AH74" i="2" s="1"/>
  <c r="AD110" i="2"/>
  <c r="AH110" i="2" s="1"/>
  <c r="AD150" i="2"/>
  <c r="AH150" i="2" s="1"/>
  <c r="AF150" i="2" s="1"/>
  <c r="AE150" i="2" s="1" a="1"/>
  <c r="AE150" i="2" s="1"/>
  <c r="AD186" i="2"/>
  <c r="AH186" i="2" s="1"/>
  <c r="AD224" i="2"/>
  <c r="AH224" i="2" s="1"/>
  <c r="AF224" i="2" s="1"/>
  <c r="AE224" i="2" s="1" a="1"/>
  <c r="AE224" i="2" s="1"/>
  <c r="AD259" i="2"/>
  <c r="AH259" i="2" s="1"/>
  <c r="AF259" i="2" s="1"/>
  <c r="AE259" i="2" s="1" a="1"/>
  <c r="AE259" i="2" s="1"/>
  <c r="AD292" i="2"/>
  <c r="AH292" i="2" s="1"/>
  <c r="AD323" i="2"/>
  <c r="AH323" i="2" s="1"/>
  <c r="AF323" i="2" s="1"/>
  <c r="AE323" i="2" s="1" a="1"/>
  <c r="AE323" i="2" s="1"/>
  <c r="AD357" i="2"/>
  <c r="AH357" i="2" s="1"/>
  <c r="AF357" i="2" s="1"/>
  <c r="AE357" i="2" s="1" a="1"/>
  <c r="AE357" i="2" s="1"/>
  <c r="AD387" i="2"/>
  <c r="AH387" i="2" s="1"/>
  <c r="AF387" i="2" s="1"/>
  <c r="AE387" i="2" s="1" a="1"/>
  <c r="AE387" i="2" s="1"/>
  <c r="AD418" i="2"/>
  <c r="AH418" i="2" s="1"/>
  <c r="AF418" i="2" s="1"/>
  <c r="AE418" i="2" s="1" a="1"/>
  <c r="AE418" i="2" s="1"/>
  <c r="AD450" i="2"/>
  <c r="AH450" i="2" s="1"/>
  <c r="AD480" i="2"/>
  <c r="AH480" i="2" s="1"/>
  <c r="AF480" i="2" s="1"/>
  <c r="AE480" i="2" s="1" a="1"/>
  <c r="AE480" i="2" s="1"/>
  <c r="AD514" i="2"/>
  <c r="AH514" i="2" s="1"/>
  <c r="AF514" i="2" s="1"/>
  <c r="AE514" i="2" s="1" a="1"/>
  <c r="AE514" i="2" s="1"/>
  <c r="AD545" i="2"/>
  <c r="AH545" i="2" s="1"/>
  <c r="AF545" i="2" s="1"/>
  <c r="AE545" i="2" s="1" a="1"/>
  <c r="AE545" i="2" s="1"/>
  <c r="AD575" i="2"/>
  <c r="AH575" i="2" s="1"/>
  <c r="AF575" i="2" s="1"/>
  <c r="AE575" i="2" s="1" a="1"/>
  <c r="AE575" i="2" s="1"/>
  <c r="AD607" i="2"/>
  <c r="AH607" i="2" s="1"/>
  <c r="AF607" i="2" s="1"/>
  <c r="AE607" i="2" s="1" a="1"/>
  <c r="AE607" i="2" s="1"/>
  <c r="AD637" i="2"/>
  <c r="AH637" i="2" s="1"/>
  <c r="AF637" i="2" s="1"/>
  <c r="AE637" i="2" s="1" a="1"/>
  <c r="AE637" i="2" s="1"/>
  <c r="AD671" i="2"/>
  <c r="AH671" i="2" s="1"/>
  <c r="AD702" i="2"/>
  <c r="AH702" i="2" s="1"/>
  <c r="AF702" i="2" s="1"/>
  <c r="AE702" i="2" s="1" a="1"/>
  <c r="AE702" i="2" s="1"/>
  <c r="AD732" i="2"/>
  <c r="AH732" i="2" s="1"/>
  <c r="AD764" i="2"/>
  <c r="AH764" i="2" s="1"/>
  <c r="AF764" i="2" s="1"/>
  <c r="AE764" i="2" s="1" a="1"/>
  <c r="AE764" i="2" s="1"/>
  <c r="AD794" i="2"/>
  <c r="AH794" i="2" s="1"/>
  <c r="AF794" i="2" s="1"/>
  <c r="AE794" i="2" s="1" a="1"/>
  <c r="AE794" i="2" s="1"/>
  <c r="AD827" i="2"/>
  <c r="AH827" i="2" s="1"/>
  <c r="AF827" i="2" s="1"/>
  <c r="AE827" i="2" s="1" a="1"/>
  <c r="AE827" i="2" s="1"/>
  <c r="AD855" i="2"/>
  <c r="AH855" i="2" s="1"/>
  <c r="AF855" i="2" s="1"/>
  <c r="AE855" i="2" s="1" a="1"/>
  <c r="AE855" i="2" s="1"/>
  <c r="AD883" i="2"/>
  <c r="AH883" i="2" s="1"/>
  <c r="AF883" i="2" s="1"/>
  <c r="AE883" i="2" s="1" a="1"/>
  <c r="AE883" i="2" s="1"/>
  <c r="AD912" i="2"/>
  <c r="AH912" i="2" s="1"/>
  <c r="AF912" i="2" s="1"/>
  <c r="AE912" i="2" s="1" a="1"/>
  <c r="AE912" i="2" s="1"/>
  <c r="AD940" i="2"/>
  <c r="AH940" i="2" s="1"/>
  <c r="AF940" i="2" s="1"/>
  <c r="AE940" i="2" s="1" a="1"/>
  <c r="AE940" i="2" s="1"/>
  <c r="AD971" i="2"/>
  <c r="AH971" i="2" s="1"/>
  <c r="AF971" i="2" s="1"/>
  <c r="AE971" i="2" s="1" a="1"/>
  <c r="AE971" i="2" s="1"/>
  <c r="AD999" i="2"/>
  <c r="AH999" i="2" s="1"/>
  <c r="AF999" i="2" s="1"/>
  <c r="AE999" i="2" s="1" a="1"/>
  <c r="AE999" i="2" s="1"/>
  <c r="AD1027" i="2"/>
  <c r="AH1027" i="2" s="1"/>
  <c r="AF1027" i="2" s="1"/>
  <c r="AE1027" i="2" s="1" a="1"/>
  <c r="AE1027" i="2" s="1"/>
  <c r="AD1056" i="2"/>
  <c r="AH1056" i="2" s="1"/>
  <c r="AF1056" i="2" s="1"/>
  <c r="AE1056" i="2" s="1" a="1"/>
  <c r="AE1056" i="2" s="1"/>
  <c r="AD1084" i="2"/>
  <c r="AH1084" i="2" s="1"/>
  <c r="AD1115" i="2"/>
  <c r="AH1115" i="2" s="1"/>
  <c r="AF1115" i="2" s="1"/>
  <c r="AE1115" i="2" s="1" a="1"/>
  <c r="AE1115" i="2" s="1"/>
  <c r="AD75" i="2"/>
  <c r="AH75" i="2" s="1"/>
  <c r="AF75" i="2" s="1"/>
  <c r="AE75" i="2" s="1" a="1"/>
  <c r="AE75" i="2" s="1"/>
  <c r="AD111" i="2"/>
  <c r="AH111" i="2" s="1"/>
  <c r="AF111" i="2" s="1"/>
  <c r="AE111" i="2" s="1" a="1"/>
  <c r="AE111" i="2" s="1"/>
  <c r="AD151" i="2"/>
  <c r="AH151" i="2" s="1"/>
  <c r="AF151" i="2" s="1"/>
  <c r="AE151" i="2" s="1" a="1"/>
  <c r="AE151" i="2" s="1"/>
  <c r="AD187" i="2"/>
  <c r="AH187" i="2" s="1"/>
  <c r="AF187" i="2" s="1"/>
  <c r="AE187" i="2" s="1" a="1"/>
  <c r="AE187" i="2" s="1"/>
  <c r="AD226" i="2"/>
  <c r="AH226" i="2" s="1"/>
  <c r="AF226" i="2" s="1"/>
  <c r="AE226" i="2" s="1" a="1"/>
  <c r="AE226" i="2" s="1"/>
  <c r="AD260" i="2"/>
  <c r="AH260" i="2" s="1"/>
  <c r="AF260" i="2" s="1"/>
  <c r="AE260" i="2" s="1" a="1"/>
  <c r="AE260" i="2" s="1"/>
  <c r="AD294" i="2"/>
  <c r="AH294" i="2" s="1"/>
  <c r="AF294" i="2" s="1"/>
  <c r="AE294" i="2" s="1" a="1"/>
  <c r="AE294" i="2" s="1"/>
  <c r="AD327" i="2"/>
  <c r="AH327" i="2" s="1"/>
  <c r="AD358" i="2"/>
  <c r="AH358" i="2" s="1"/>
  <c r="AF358" i="2" s="1"/>
  <c r="AE358" i="2" s="1" a="1"/>
  <c r="AE358" i="2" s="1"/>
  <c r="AD388" i="2"/>
  <c r="AH388" i="2" s="1"/>
  <c r="AF388" i="2" s="1"/>
  <c r="AE388" i="2" s="1" a="1"/>
  <c r="AE388" i="2" s="1"/>
  <c r="AD420" i="2"/>
  <c r="AH420" i="2" s="1"/>
  <c r="AF420" i="2" s="1"/>
  <c r="AE420" i="2" s="1" a="1"/>
  <c r="AE420" i="2" s="1"/>
  <c r="AD451" i="2"/>
  <c r="AH451" i="2" s="1"/>
  <c r="AF451" i="2" s="1"/>
  <c r="AE451" i="2" s="1" a="1"/>
  <c r="AE451" i="2" s="1"/>
  <c r="AD484" i="2"/>
  <c r="AH484" i="2" s="1"/>
  <c r="AF484" i="2" s="1"/>
  <c r="AE484" i="2" s="1" a="1"/>
  <c r="AE484" i="2" s="1"/>
  <c r="AD515" i="2"/>
  <c r="AH515" i="2" s="1"/>
  <c r="AF515" i="2" s="1"/>
  <c r="AE515" i="2" s="1" a="1"/>
  <c r="AE515" i="2" s="1"/>
  <c r="AD546" i="2"/>
  <c r="AH546" i="2" s="1"/>
  <c r="AF546" i="2" s="1"/>
  <c r="AE546" i="2" s="1" a="1"/>
  <c r="AE546" i="2" s="1"/>
  <c r="AD577" i="2"/>
  <c r="AH577" i="2" s="1"/>
  <c r="AF577" i="2" s="1"/>
  <c r="AE577" i="2" s="1" a="1"/>
  <c r="AE577" i="2" s="1"/>
  <c r="AD608" i="2"/>
  <c r="AH608" i="2" s="1"/>
  <c r="AD642" i="2"/>
  <c r="AH642" i="2" s="1"/>
  <c r="AF642" i="2" s="1"/>
  <c r="AE642" i="2" s="1" a="1"/>
  <c r="AE642" i="2" s="1"/>
  <c r="AD672" i="2"/>
  <c r="AH672" i="2" s="1"/>
  <c r="AF672" i="2" s="1"/>
  <c r="AE672" i="2" s="1" a="1"/>
  <c r="AE672" i="2" s="1"/>
  <c r="AD703" i="2"/>
  <c r="AH703" i="2" s="1"/>
  <c r="AF703" i="2" s="1"/>
  <c r="AE703" i="2" s="1" a="1"/>
  <c r="AE703" i="2" s="1"/>
  <c r="AD734" i="2"/>
  <c r="AH734" i="2" s="1"/>
  <c r="AF734" i="2" s="1"/>
  <c r="AE734" i="2" s="1" a="1"/>
  <c r="AE734" i="2" s="1"/>
  <c r="AD765" i="2"/>
  <c r="AH765" i="2" s="1"/>
  <c r="AF765" i="2" s="1"/>
  <c r="AE765" i="2" s="1" a="1"/>
  <c r="AE765" i="2" s="1"/>
  <c r="AD799" i="2"/>
  <c r="AH799" i="2" s="1"/>
  <c r="AF799" i="2" s="1"/>
  <c r="AE799" i="2" s="1" a="1"/>
  <c r="AE799" i="2" s="1"/>
  <c r="AD828" i="2"/>
  <c r="AH828" i="2" s="1"/>
  <c r="AD856" i="2"/>
  <c r="AH856" i="2" s="1"/>
  <c r="AF856" i="2" s="1"/>
  <c r="AE856" i="2" s="1" a="1"/>
  <c r="AE856" i="2" s="1"/>
  <c r="AD885" i="2"/>
  <c r="AH885" i="2" s="1"/>
  <c r="AF885" i="2" s="1"/>
  <c r="AE885" i="2" s="1" a="1"/>
  <c r="AE885" i="2" s="1"/>
  <c r="AD913" i="2"/>
  <c r="AH913" i="2" s="1"/>
  <c r="AF913" i="2" s="1"/>
  <c r="AE913" i="2" s="1" a="1"/>
  <c r="AE913" i="2" s="1"/>
  <c r="AD944" i="2"/>
  <c r="AH944" i="2" s="1"/>
  <c r="AD972" i="2"/>
  <c r="AH972" i="2" s="1"/>
  <c r="AF972" i="2" s="1"/>
  <c r="AE972" i="2" s="1" a="1"/>
  <c r="AE972" i="2" s="1"/>
  <c r="AD1000" i="2"/>
  <c r="AH1000" i="2" s="1"/>
  <c r="AD1029" i="2"/>
  <c r="AH1029" i="2" s="1"/>
  <c r="AF1029" i="2" s="1"/>
  <c r="AE1029" i="2" s="1" a="1"/>
  <c r="AE1029" i="2" s="1"/>
  <c r="AD1057" i="2"/>
  <c r="AH1057" i="2" s="1"/>
  <c r="AF1057" i="2" s="1"/>
  <c r="AE1057" i="2" s="1" a="1"/>
  <c r="AE1057" i="2" s="1"/>
  <c r="AD1088" i="2"/>
  <c r="AH1088" i="2" s="1"/>
  <c r="AF1088" i="2" s="1"/>
  <c r="AE1088" i="2" s="1" a="1"/>
  <c r="AE1088" i="2" s="1"/>
  <c r="AD1116" i="2"/>
  <c r="AH1116" i="2" s="1"/>
  <c r="AF1116" i="2" s="1"/>
  <c r="AE1116" i="2" s="1" a="1"/>
  <c r="AE1116" i="2" s="1"/>
  <c r="AD76" i="2"/>
  <c r="AH76" i="2" s="1"/>
  <c r="AF76" i="2" s="1"/>
  <c r="AE76" i="2" s="1" a="1"/>
  <c r="AE76" i="2" s="1"/>
  <c r="AD113" i="2"/>
  <c r="AH113" i="2" s="1"/>
  <c r="AF113" i="2" s="1"/>
  <c r="AE113" i="2" s="1" a="1"/>
  <c r="AE113" i="2" s="1"/>
  <c r="AD152" i="2"/>
  <c r="AH152" i="2" s="1"/>
  <c r="AF152" i="2" s="1"/>
  <c r="AE152" i="2" s="1" a="1"/>
  <c r="AE152" i="2" s="1"/>
  <c r="AD188" i="2"/>
  <c r="AH188" i="2" s="1"/>
  <c r="AF188" i="2" s="1"/>
  <c r="AE188" i="2" s="1" a="1"/>
  <c r="AE188" i="2" s="1"/>
  <c r="AD227" i="2"/>
  <c r="AH227" i="2" s="1"/>
  <c r="AF227" i="2" s="1"/>
  <c r="AE227" i="2" s="1" a="1"/>
  <c r="AE227" i="2" s="1"/>
  <c r="AD261" i="2"/>
  <c r="AH261" i="2" s="1"/>
  <c r="AF261" i="2" s="1"/>
  <c r="AE261" i="2" s="1" a="1"/>
  <c r="AE261" i="2" s="1"/>
  <c r="AD295" i="2"/>
  <c r="AH295" i="2" s="1"/>
  <c r="AD329" i="2"/>
  <c r="AH329" i="2" s="1"/>
  <c r="AF329" i="2" s="1"/>
  <c r="AE329" i="2" s="1" a="1"/>
  <c r="AE329" i="2" s="1"/>
  <c r="AD359" i="2"/>
  <c r="AH359" i="2" s="1"/>
  <c r="AF359" i="2" s="1"/>
  <c r="AE359" i="2" s="1" a="1"/>
  <c r="AE359" i="2" s="1"/>
  <c r="AD390" i="2"/>
  <c r="AH390" i="2" s="1"/>
  <c r="AF390" i="2" s="1"/>
  <c r="AE390" i="2" s="1" a="1"/>
  <c r="AE390" i="2" s="1"/>
  <c r="AD421" i="2"/>
  <c r="AH421" i="2" s="1"/>
  <c r="AD452" i="2"/>
  <c r="AH452" i="2" s="1"/>
  <c r="AF452" i="2" s="1"/>
  <c r="AE452" i="2" s="1" a="1"/>
  <c r="AE452" i="2" s="1"/>
  <c r="AD486" i="2"/>
  <c r="AH486" i="2" s="1"/>
  <c r="AF486" i="2" s="1"/>
  <c r="AE486" i="2" s="1" a="1"/>
  <c r="AE486" i="2" s="1"/>
  <c r="AD516" i="2"/>
  <c r="AH516" i="2" s="1"/>
  <c r="AF516" i="2" s="1"/>
  <c r="AE516" i="2" s="1" a="1"/>
  <c r="AE516" i="2" s="1"/>
  <c r="AD547" i="2"/>
  <c r="AH547" i="2" s="1"/>
  <c r="AF547" i="2" s="1"/>
  <c r="AE547" i="2" s="1" a="1"/>
  <c r="AE547" i="2" s="1"/>
  <c r="AD578" i="2"/>
  <c r="AH578" i="2" s="1"/>
  <c r="AF578" i="2" s="1"/>
  <c r="AE578" i="2" s="1" a="1"/>
  <c r="AE578" i="2" s="1"/>
  <c r="AD609" i="2"/>
  <c r="AH609" i="2" s="1"/>
  <c r="AF609" i="2" s="1"/>
  <c r="AE609" i="2" s="1" a="1"/>
  <c r="AE609" i="2" s="1"/>
  <c r="AD643" i="2"/>
  <c r="AH643" i="2" s="1"/>
  <c r="AF643" i="2" s="1"/>
  <c r="AE643" i="2" s="1" a="1"/>
  <c r="AE643" i="2" s="1"/>
  <c r="AD673" i="2"/>
  <c r="AH673" i="2" s="1"/>
  <c r="AF673" i="2" s="1"/>
  <c r="AE673" i="2" s="1" a="1"/>
  <c r="AE673" i="2" s="1"/>
  <c r="AD704" i="2"/>
  <c r="AH704" i="2" s="1"/>
  <c r="AF704" i="2" s="1"/>
  <c r="AE704" i="2" s="1" a="1"/>
  <c r="AE704" i="2" s="1"/>
  <c r="AD735" i="2"/>
  <c r="AH735" i="2" s="1"/>
  <c r="AF735" i="2" s="1"/>
  <c r="AE735" i="2" s="1" a="1"/>
  <c r="AE735" i="2" s="1"/>
  <c r="AD766" i="2"/>
  <c r="AH766" i="2" s="1"/>
  <c r="AF766" i="2" s="1"/>
  <c r="AE766" i="2" s="1" a="1"/>
  <c r="AE766" i="2" s="1"/>
  <c r="AD800" i="2"/>
  <c r="AH800" i="2" s="1"/>
  <c r="AD829" i="2"/>
  <c r="AH829" i="2" s="1"/>
  <c r="AF829" i="2" s="1"/>
  <c r="AE829" i="2" s="1" a="1"/>
  <c r="AE829" i="2" s="1"/>
  <c r="AD857" i="2"/>
  <c r="AH857" i="2" s="1"/>
  <c r="AF857" i="2" s="1"/>
  <c r="AE857" i="2" s="1" a="1"/>
  <c r="AE857" i="2" s="1"/>
  <c r="AD886" i="2"/>
  <c r="AH886" i="2" s="1"/>
  <c r="AF886" i="2" s="1"/>
  <c r="AE886" i="2" s="1" a="1"/>
  <c r="AE886" i="2" s="1"/>
  <c r="AD914" i="2"/>
  <c r="AH914" i="2" s="1"/>
  <c r="AF914" i="2" s="1"/>
  <c r="AE914" i="2" s="1" a="1"/>
  <c r="AE914" i="2" s="1"/>
  <c r="AD945" i="2"/>
  <c r="AH945" i="2" s="1"/>
  <c r="AF945" i="2" s="1"/>
  <c r="AE945" i="2" s="1" a="1"/>
  <c r="AE945" i="2" s="1"/>
  <c r="AD973" i="2"/>
  <c r="AH973" i="2" s="1"/>
  <c r="AF973" i="2" s="1"/>
  <c r="AE973" i="2" s="1" a="1"/>
  <c r="AE973" i="2" s="1"/>
  <c r="AD1001" i="2"/>
  <c r="AH1001" i="2" s="1"/>
  <c r="AF1001" i="2" s="1"/>
  <c r="AE1001" i="2" s="1" a="1"/>
  <c r="AE1001" i="2" s="1"/>
  <c r="AD1030" i="2"/>
  <c r="AH1030" i="2" s="1"/>
  <c r="AF1030" i="2" s="1"/>
  <c r="AE1030" i="2" s="1" a="1"/>
  <c r="AE1030" i="2" s="1"/>
  <c r="AD1058" i="2"/>
  <c r="AH1058" i="2" s="1"/>
  <c r="AF1058" i="2" s="1"/>
  <c r="AE1058" i="2" s="1" a="1"/>
  <c r="AE1058" i="2" s="1"/>
  <c r="AD1089" i="2"/>
  <c r="AH1089" i="2" s="1"/>
  <c r="AD1117" i="2"/>
  <c r="AH1117" i="2" s="1"/>
  <c r="AD78" i="2"/>
  <c r="AH78" i="2" s="1"/>
  <c r="AF78" i="2" s="1"/>
  <c r="AE78" i="2" s="1" a="1"/>
  <c r="AE78" i="2" s="1"/>
  <c r="AD114" i="2"/>
  <c r="AH114" i="2" s="1"/>
  <c r="AF114" i="2" s="1"/>
  <c r="AE114" i="2" s="1" a="1"/>
  <c r="AE114" i="2" s="1"/>
  <c r="AD153" i="2"/>
  <c r="AH153" i="2" s="1"/>
  <c r="AF153" i="2" s="1"/>
  <c r="AE153" i="2" s="1" a="1"/>
  <c r="AE153" i="2" s="1"/>
  <c r="AD189" i="2"/>
  <c r="AH189" i="2" s="1"/>
  <c r="AF189" i="2" s="1"/>
  <c r="AE189" i="2" s="1" a="1"/>
  <c r="AE189" i="2" s="1"/>
  <c r="AD228" i="2"/>
  <c r="AH228" i="2" s="1"/>
  <c r="AF228" i="2" s="1"/>
  <c r="AE228" i="2" s="1" a="1"/>
  <c r="AE228" i="2" s="1"/>
  <c r="AD264" i="2"/>
  <c r="AH264" i="2" s="1"/>
  <c r="AF264" i="2" s="1"/>
  <c r="AE264" i="2" s="1" a="1"/>
  <c r="AE264" i="2" s="1"/>
  <c r="AD296" i="2"/>
  <c r="AH296" i="2" s="1"/>
  <c r="AF296" i="2" s="1"/>
  <c r="AE296" i="2" s="1" a="1"/>
  <c r="AE296" i="2" s="1"/>
  <c r="AD330" i="2"/>
  <c r="AH330" i="2" s="1"/>
  <c r="AF330" i="2" s="1"/>
  <c r="AE330" i="2" s="1" a="1"/>
  <c r="AE330" i="2" s="1"/>
  <c r="AD360" i="2"/>
  <c r="AH360" i="2" s="1"/>
  <c r="AF360" i="2" s="1"/>
  <c r="AE360" i="2" s="1" a="1"/>
  <c r="AE360" i="2" s="1"/>
  <c r="AD391" i="2"/>
  <c r="AH391" i="2" s="1"/>
  <c r="AD422" i="2"/>
  <c r="AH422" i="2" s="1"/>
  <c r="AF422" i="2" s="1"/>
  <c r="AE422" i="2" s="1" a="1"/>
  <c r="AE422" i="2" s="1"/>
  <c r="AD453" i="2"/>
  <c r="AH453" i="2" s="1"/>
  <c r="AF453" i="2" s="1"/>
  <c r="AE453" i="2" s="1" a="1"/>
  <c r="AE453" i="2" s="1"/>
  <c r="AD487" i="2"/>
  <c r="AH487" i="2" s="1"/>
  <c r="AD517" i="2"/>
  <c r="AH517" i="2" s="1"/>
  <c r="AF517" i="2" s="1"/>
  <c r="AE517" i="2" s="1" a="1"/>
  <c r="AE517" i="2" s="1"/>
  <c r="AD548" i="2"/>
  <c r="AH548" i="2" s="1"/>
  <c r="AF548" i="2" s="1"/>
  <c r="AE548" i="2" s="1" a="1"/>
  <c r="AE548" i="2" s="1"/>
  <c r="AD579" i="2"/>
  <c r="AH579" i="2" s="1"/>
  <c r="AF579" i="2" s="1"/>
  <c r="AE579" i="2" s="1" a="1"/>
  <c r="AE579" i="2" s="1"/>
  <c r="AD610" i="2"/>
  <c r="AH610" i="2" s="1"/>
  <c r="AF610" i="2" s="1"/>
  <c r="AE610" i="2" s="1" a="1"/>
  <c r="AE610" i="2" s="1"/>
  <c r="AD644" i="2"/>
  <c r="AH644" i="2" s="1"/>
  <c r="AF644" i="2" s="1"/>
  <c r="AE644" i="2" s="1" a="1"/>
  <c r="AE644" i="2" s="1"/>
  <c r="AD674" i="2"/>
  <c r="AH674" i="2" s="1"/>
  <c r="AF674" i="2" s="1"/>
  <c r="AE674" i="2" s="1" a="1"/>
  <c r="AE674" i="2" s="1"/>
  <c r="AD705" i="2"/>
  <c r="AH705" i="2" s="1"/>
  <c r="AD737" i="2"/>
  <c r="AH737" i="2" s="1"/>
  <c r="AF737" i="2" s="1"/>
  <c r="AE737" i="2" s="1" a="1"/>
  <c r="AE737" i="2" s="1"/>
  <c r="AD767" i="2"/>
  <c r="AH767" i="2" s="1"/>
  <c r="AF767" i="2" s="1"/>
  <c r="AE767" i="2" s="1" a="1"/>
  <c r="AE767" i="2" s="1"/>
  <c r="AD801" i="2"/>
  <c r="AH801" i="2" s="1"/>
  <c r="AF801" i="2" s="1"/>
  <c r="AE801" i="2" s="1" a="1"/>
  <c r="AE801" i="2" s="1"/>
  <c r="AD830" i="2"/>
  <c r="AH830" i="2" s="1"/>
  <c r="AF830" i="2" s="1"/>
  <c r="AE830" i="2" s="1" a="1"/>
  <c r="AE830" i="2" s="1"/>
  <c r="AD858" i="2"/>
  <c r="AH858" i="2" s="1"/>
  <c r="AF858" i="2" s="1"/>
  <c r="AE858" i="2" s="1" a="1"/>
  <c r="AE858" i="2" s="1"/>
  <c r="AD887" i="2"/>
  <c r="AH887" i="2" s="1"/>
  <c r="AF887" i="2" s="1"/>
  <c r="AE887" i="2" s="1" a="1"/>
  <c r="AE887" i="2" s="1"/>
  <c r="AD915" i="2"/>
  <c r="AH915" i="2" s="1"/>
  <c r="AF915" i="2" s="1"/>
  <c r="AE915" i="2" s="1" a="1"/>
  <c r="AE915" i="2" s="1"/>
  <c r="AD946" i="2"/>
  <c r="AH946" i="2" s="1"/>
  <c r="AD974" i="2"/>
  <c r="AH974" i="2" s="1"/>
  <c r="AF974" i="2" s="1"/>
  <c r="AE974" i="2" s="1" a="1"/>
  <c r="AE974" i="2" s="1"/>
  <c r="AD1002" i="2"/>
  <c r="AH1002" i="2" s="1"/>
  <c r="AF1002" i="2" s="1"/>
  <c r="AE1002" i="2" s="1" a="1"/>
  <c r="AE1002" i="2" s="1"/>
  <c r="AD1031" i="2"/>
  <c r="AH1031" i="2" s="1"/>
  <c r="AF1031" i="2" s="1"/>
  <c r="AE1031" i="2" s="1" a="1"/>
  <c r="AE1031" i="2" s="1"/>
  <c r="AD1059" i="2"/>
  <c r="AH1059" i="2" s="1"/>
  <c r="AF1059" i="2" s="1"/>
  <c r="AE1059" i="2" s="1" a="1"/>
  <c r="AE1059" i="2" s="1"/>
  <c r="AD1090" i="2"/>
  <c r="AH1090" i="2" s="1"/>
  <c r="AF1090" i="2" s="1"/>
  <c r="AE1090" i="2" s="1" a="1"/>
  <c r="AE1090" i="2" s="1"/>
  <c r="AD1118" i="2"/>
  <c r="AH1118" i="2" s="1"/>
  <c r="AF1118" i="2" s="1"/>
  <c r="AE1118" i="2" s="1" a="1"/>
  <c r="AE1118" i="2" s="1"/>
  <c r="AD81" i="2"/>
  <c r="AH81" i="2" s="1"/>
  <c r="AF81" i="2" s="1"/>
  <c r="AE81" i="2" s="1" a="1"/>
  <c r="AE81" i="2" s="1"/>
  <c r="AD119" i="2"/>
  <c r="AH119" i="2" s="1"/>
  <c r="AF119" i="2" s="1"/>
  <c r="AE119" i="2" s="1" a="1"/>
  <c r="AE119" i="2" s="1"/>
  <c r="AD154" i="2"/>
  <c r="AH154" i="2" s="1"/>
  <c r="AF154" i="2" s="1"/>
  <c r="AE154" i="2" s="1" a="1"/>
  <c r="AE154" i="2" s="1"/>
  <c r="AD190" i="2"/>
  <c r="AH190" i="2" s="1"/>
  <c r="AF190" i="2" s="1"/>
  <c r="AE190" i="2" s="1" a="1"/>
  <c r="AE190" i="2" s="1"/>
  <c r="AD229" i="2"/>
  <c r="AH229" i="2" s="1"/>
  <c r="AF229" i="2" s="1"/>
  <c r="AE229" i="2" s="1" a="1"/>
  <c r="AE229" i="2" s="1"/>
  <c r="AD265" i="2"/>
  <c r="AH265" i="2" s="1"/>
  <c r="AF265" i="2" s="1"/>
  <c r="AE265" i="2" s="1" a="1"/>
  <c r="AE265" i="2" s="1"/>
  <c r="AD297" i="2"/>
  <c r="AH297" i="2" s="1"/>
  <c r="AF297" i="2" s="1"/>
  <c r="AE297" i="2" s="1" a="1"/>
  <c r="AE297" i="2" s="1"/>
  <c r="AD331" i="2"/>
  <c r="AH331" i="2" s="1"/>
  <c r="AF331" i="2" s="1"/>
  <c r="AE331" i="2" s="1" a="1"/>
  <c r="AE331" i="2" s="1"/>
  <c r="AD361" i="2"/>
  <c r="AH361" i="2" s="1"/>
  <c r="AD392" i="2"/>
  <c r="AH392" i="2" s="1"/>
  <c r="AF392" i="2" s="1"/>
  <c r="AE392" i="2" s="1" a="1"/>
  <c r="AE392" i="2" s="1"/>
  <c r="AD423" i="2"/>
  <c r="AH423" i="2" s="1"/>
  <c r="AD454" i="2"/>
  <c r="AH454" i="2" s="1"/>
  <c r="AF454" i="2" s="1"/>
  <c r="AE454" i="2" s="1" a="1"/>
  <c r="AE454" i="2" s="1"/>
  <c r="AD488" i="2"/>
  <c r="AH488" i="2" s="1"/>
  <c r="AF488" i="2" s="1"/>
  <c r="AE488" i="2" s="1" a="1"/>
  <c r="AE488" i="2" s="1"/>
  <c r="AD518" i="2"/>
  <c r="AH518" i="2" s="1"/>
  <c r="AD549" i="2"/>
  <c r="AH549" i="2" s="1"/>
  <c r="AF549" i="2" s="1"/>
  <c r="AE549" i="2" s="1" a="1"/>
  <c r="AE549" i="2" s="1"/>
  <c r="AD580" i="2"/>
  <c r="AH580" i="2" s="1"/>
  <c r="AD611" i="2"/>
  <c r="AH611" i="2" s="1"/>
  <c r="AF611" i="2" s="1"/>
  <c r="AE611" i="2" s="1" a="1"/>
  <c r="AE611" i="2" s="1"/>
  <c r="AD645" i="2"/>
  <c r="AH645" i="2" s="1"/>
  <c r="AF645" i="2" s="1"/>
  <c r="AE645" i="2" s="1" a="1"/>
  <c r="AE645" i="2" s="1"/>
  <c r="AD675" i="2"/>
  <c r="AH675" i="2" s="1"/>
  <c r="AF675" i="2" s="1"/>
  <c r="AE675" i="2" s="1" a="1"/>
  <c r="AE675" i="2" s="1"/>
  <c r="AD706" i="2"/>
  <c r="AH706" i="2" s="1"/>
  <c r="AF706" i="2" s="1"/>
  <c r="AE706" i="2" s="1" a="1"/>
  <c r="AE706" i="2" s="1"/>
  <c r="AD738" i="2"/>
  <c r="AH738" i="2" s="1"/>
  <c r="AF738" i="2" s="1"/>
  <c r="AE738" i="2" s="1" a="1"/>
  <c r="AE738" i="2" s="1"/>
  <c r="AD768" i="2"/>
  <c r="AH768" i="2" s="1"/>
  <c r="AD802" i="2"/>
  <c r="AH802" i="2" s="1"/>
  <c r="AF802" i="2" s="1"/>
  <c r="AE802" i="2" s="1" a="1"/>
  <c r="AE802" i="2" s="1"/>
  <c r="AD831" i="2"/>
  <c r="AH831" i="2" s="1"/>
  <c r="AF831" i="2" s="1"/>
  <c r="AE831" i="2" s="1" a="1"/>
  <c r="AE831" i="2" s="1"/>
  <c r="AD859" i="2"/>
  <c r="AH859" i="2" s="1"/>
  <c r="AF859" i="2" s="1"/>
  <c r="AE859" i="2" s="1" a="1"/>
  <c r="AE859" i="2" s="1"/>
  <c r="AD888" i="2"/>
  <c r="AH888" i="2" s="1"/>
  <c r="AF888" i="2" s="1"/>
  <c r="AE888" i="2" s="1" a="1"/>
  <c r="AE888" i="2" s="1"/>
  <c r="AD916" i="2"/>
  <c r="AH916" i="2" s="1"/>
  <c r="AF916" i="2" s="1"/>
  <c r="AE916" i="2" s="1" a="1"/>
  <c r="AE916" i="2" s="1"/>
  <c r="AD947" i="2"/>
  <c r="AH947" i="2" s="1"/>
  <c r="AF947" i="2" s="1"/>
  <c r="AE947" i="2" s="1" a="1"/>
  <c r="AE947" i="2" s="1"/>
  <c r="AD975" i="2"/>
  <c r="AH975" i="2" s="1"/>
  <c r="AD1003" i="2"/>
  <c r="AH1003" i="2" s="1"/>
  <c r="AF1003" i="2" s="1"/>
  <c r="AE1003" i="2" s="1" a="1"/>
  <c r="AE1003" i="2" s="1"/>
  <c r="AD1032" i="2"/>
  <c r="AH1032" i="2" s="1"/>
  <c r="AF1032" i="2" s="1"/>
  <c r="AE1032" i="2" s="1" a="1"/>
  <c r="AE1032" i="2" s="1"/>
  <c r="AD1060" i="2"/>
  <c r="AH1060" i="2" s="1"/>
  <c r="AD1091" i="2"/>
  <c r="AH1091" i="2" s="1"/>
  <c r="AF1091" i="2" s="1"/>
  <c r="AE1091" i="2" s="1" a="1"/>
  <c r="AE1091" i="2" s="1"/>
  <c r="AD1119" i="2"/>
  <c r="AH1119" i="2" s="1"/>
  <c r="AF1119" i="2" s="1"/>
  <c r="AE1119" i="2" s="1" a="1"/>
  <c r="AE1119" i="2" s="1"/>
  <c r="AD41" i="2"/>
  <c r="AH41" i="2" s="1"/>
  <c r="AF41" i="2" s="1"/>
  <c r="AE41" i="2" s="1" a="1"/>
  <c r="AE41" i="2" s="1"/>
  <c r="AD82" i="2"/>
  <c r="AH82" i="2" s="1"/>
  <c r="AF82" i="2" s="1"/>
  <c r="AE82" i="2" s="1" a="1"/>
  <c r="AE82" i="2" s="1"/>
  <c r="AD121" i="2"/>
  <c r="AH121" i="2" s="1"/>
  <c r="AF121" i="2" s="1"/>
  <c r="AE121" i="2" s="1" a="1"/>
  <c r="AE121" i="2" s="1"/>
  <c r="AD155" i="2"/>
  <c r="AH155" i="2" s="1"/>
  <c r="AF155" i="2" s="1"/>
  <c r="AE155" i="2" s="1" a="1"/>
  <c r="AE155" i="2" s="1"/>
  <c r="AD191" i="2"/>
  <c r="AH191" i="2" s="1"/>
  <c r="AF191" i="2" s="1"/>
  <c r="AE191" i="2" s="1" a="1"/>
  <c r="AE191" i="2" s="1"/>
  <c r="AD230" i="2"/>
  <c r="AH230" i="2" s="1"/>
  <c r="AF230" i="2" s="1"/>
  <c r="AE230" i="2" s="1" a="1"/>
  <c r="AE230" i="2" s="1"/>
  <c r="AD266" i="2"/>
  <c r="AH266" i="2" s="1"/>
  <c r="AF266" i="2" s="1"/>
  <c r="AE266" i="2" s="1" a="1"/>
  <c r="AE266" i="2" s="1"/>
  <c r="AD301" i="2"/>
  <c r="AH301" i="2" s="1"/>
  <c r="AD332" i="2"/>
  <c r="AH332" i="2" s="1"/>
  <c r="AF332" i="2" s="1"/>
  <c r="AE332" i="2" s="1" a="1"/>
  <c r="AE332" i="2" s="1"/>
  <c r="AD362" i="2"/>
  <c r="AH362" i="2" s="1"/>
  <c r="AF362" i="2" s="1"/>
  <c r="AE362" i="2" s="1" a="1"/>
  <c r="AE362" i="2" s="1"/>
  <c r="AD394" i="2"/>
  <c r="AH394" i="2" s="1"/>
  <c r="AF394" i="2" s="1"/>
  <c r="AE394" i="2" s="1" a="1"/>
  <c r="AE394" i="2" s="1"/>
  <c r="AD425" i="2"/>
  <c r="AH425" i="2" s="1"/>
  <c r="AF425" i="2" s="1"/>
  <c r="AE425" i="2" s="1" a="1"/>
  <c r="AE425" i="2" s="1"/>
  <c r="AD458" i="2"/>
  <c r="AH458" i="2" s="1"/>
  <c r="AF458" i="2" s="1"/>
  <c r="AE458" i="2" s="1" a="1"/>
  <c r="AE458" i="2" s="1"/>
  <c r="AD489" i="2"/>
  <c r="AH489" i="2" s="1"/>
  <c r="AF489" i="2" s="1"/>
  <c r="AE489" i="2" s="1" a="1"/>
  <c r="AE489" i="2" s="1"/>
  <c r="AD519" i="2"/>
  <c r="AH519" i="2" s="1"/>
  <c r="AF519" i="2" s="1"/>
  <c r="AE519" i="2" s="1" a="1"/>
  <c r="AE519" i="2" s="1"/>
  <c r="AD551" i="2"/>
  <c r="AH551" i="2" s="1"/>
  <c r="AF551" i="2" s="1"/>
  <c r="AE551" i="2" s="1" a="1"/>
  <c r="AE551" i="2" s="1"/>
  <c r="AD582" i="2"/>
  <c r="AH582" i="2" s="1"/>
  <c r="AF582" i="2" s="1"/>
  <c r="AE582" i="2" s="1" a="1"/>
  <c r="AE582" i="2" s="1"/>
  <c r="AD615" i="2"/>
  <c r="AH615" i="2" s="1"/>
  <c r="AF615" i="2" s="1"/>
  <c r="AE615" i="2" s="1" a="1"/>
  <c r="AE615" i="2" s="1"/>
  <c r="AD646" i="2"/>
  <c r="AH646" i="2" s="1"/>
  <c r="AF646" i="2" s="1"/>
  <c r="AE646" i="2" s="1" a="1"/>
  <c r="AE646" i="2" s="1"/>
  <c r="AD676" i="2"/>
  <c r="AH676" i="2" s="1"/>
  <c r="AF676" i="2" s="1"/>
  <c r="AE676" i="2" s="1" a="1"/>
  <c r="AE676" i="2" s="1"/>
  <c r="AD708" i="2"/>
  <c r="AH708" i="2" s="1"/>
  <c r="AD739" i="2"/>
  <c r="AH739" i="2" s="1"/>
  <c r="AD772" i="2"/>
  <c r="AH772" i="2" s="1"/>
  <c r="AF772" i="2" s="1"/>
  <c r="AE772" i="2" s="1" a="1"/>
  <c r="AE772" i="2" s="1"/>
  <c r="AD803" i="2"/>
  <c r="AH803" i="2" s="1"/>
  <c r="AF803" i="2" s="1"/>
  <c r="AE803" i="2" s="1" a="1"/>
  <c r="AE803" i="2" s="1"/>
  <c r="AD832" i="2"/>
  <c r="AH832" i="2" s="1"/>
  <c r="AF832" i="2" s="1"/>
  <c r="AE832" i="2" s="1" a="1"/>
  <c r="AE832" i="2" s="1"/>
  <c r="AD861" i="2"/>
  <c r="AH861" i="2" s="1"/>
  <c r="AF861" i="2" s="1"/>
  <c r="AE861" i="2" s="1" a="1"/>
  <c r="AE861" i="2" s="1"/>
  <c r="AD889" i="2"/>
  <c r="AH889" i="2" s="1"/>
  <c r="AF889" i="2" s="1"/>
  <c r="AE889" i="2" s="1" a="1"/>
  <c r="AE889" i="2" s="1"/>
  <c r="AD920" i="2"/>
  <c r="AH920" i="2" s="1"/>
  <c r="AD948" i="2"/>
  <c r="AH948" i="2" s="1"/>
  <c r="AF948" i="2" s="1"/>
  <c r="AE948" i="2" s="1" a="1"/>
  <c r="AE948" i="2" s="1"/>
  <c r="AD976" i="2"/>
  <c r="AH976" i="2" s="1"/>
  <c r="AF976" i="2" s="1"/>
  <c r="AE976" i="2" s="1" a="1"/>
  <c r="AE976" i="2" s="1"/>
  <c r="AD1005" i="2"/>
  <c r="AH1005" i="2" s="1"/>
  <c r="AF1005" i="2" s="1"/>
  <c r="AE1005" i="2" s="1" a="1"/>
  <c r="AE1005" i="2" s="1"/>
  <c r="AD1033" i="2"/>
  <c r="AH1033" i="2" s="1"/>
  <c r="AD1064" i="2"/>
  <c r="AH1064" i="2" s="1"/>
  <c r="AF1064" i="2" s="1"/>
  <c r="AE1064" i="2" s="1" a="1"/>
  <c r="AE1064" i="2" s="1"/>
  <c r="AD1092" i="2"/>
  <c r="AH1092" i="2" s="1"/>
  <c r="AF1092" i="2" s="1"/>
  <c r="AE1092" i="2" s="1" a="1"/>
  <c r="AE1092" i="2" s="1"/>
  <c r="AD1120" i="2"/>
  <c r="AH1120" i="2" s="1"/>
  <c r="AF1120" i="2" s="1"/>
  <c r="AE1120" i="2" s="1" a="1"/>
  <c r="AE1120" i="2" s="1"/>
  <c r="AD46" i="2"/>
  <c r="AH46" i="2" s="1"/>
  <c r="AD83" i="2"/>
  <c r="AH83" i="2" s="1"/>
  <c r="AF83" i="2" s="1"/>
  <c r="AE83" i="2" s="1" a="1"/>
  <c r="AE83" i="2" s="1"/>
  <c r="AD122" i="2"/>
  <c r="AH122" i="2" s="1"/>
  <c r="AF122" i="2" s="1"/>
  <c r="AE122" i="2" s="1" a="1"/>
  <c r="AE122" i="2" s="1"/>
  <c r="AD156" i="2"/>
  <c r="AH156" i="2" s="1"/>
  <c r="AF156" i="2" s="1"/>
  <c r="AE156" i="2" s="1" a="1"/>
  <c r="AE156" i="2" s="1"/>
  <c r="AD192" i="2"/>
  <c r="AH192" i="2" s="1"/>
  <c r="AF192" i="2" s="1"/>
  <c r="AE192" i="2" s="1" a="1"/>
  <c r="AE192" i="2" s="1"/>
  <c r="AD231" i="2"/>
  <c r="AH231" i="2" s="1"/>
  <c r="AD267" i="2"/>
  <c r="AH267" i="2" s="1"/>
  <c r="AF267" i="2" s="1"/>
  <c r="AE267" i="2" s="1" a="1"/>
  <c r="AE267" i="2" s="1"/>
  <c r="AD302" i="2"/>
  <c r="AH302" i="2" s="1"/>
  <c r="AF302" i="2" s="1"/>
  <c r="AE302" i="2" s="1" a="1"/>
  <c r="AE302" i="2" s="1"/>
  <c r="AD333" i="2"/>
  <c r="AH333" i="2" s="1"/>
  <c r="AF333" i="2" s="1"/>
  <c r="AE333" i="2" s="1" a="1"/>
  <c r="AE333" i="2" s="1"/>
  <c r="AD363" i="2"/>
  <c r="AH363" i="2" s="1"/>
  <c r="AF363" i="2" s="1"/>
  <c r="AE363" i="2" s="1" a="1"/>
  <c r="AE363" i="2" s="1"/>
  <c r="AD395" i="2"/>
  <c r="AH395" i="2" s="1"/>
  <c r="AF395" i="2" s="1"/>
  <c r="AE395" i="2" s="1" a="1"/>
  <c r="AE395" i="2" s="1"/>
  <c r="AD426" i="2"/>
  <c r="AH426" i="2" s="1"/>
  <c r="AF426" i="2" s="1"/>
  <c r="AE426" i="2" s="1" a="1"/>
  <c r="AE426" i="2" s="1"/>
  <c r="AD459" i="2"/>
  <c r="AH459" i="2" s="1"/>
  <c r="AF459" i="2" s="1"/>
  <c r="AE459" i="2" s="1" a="1"/>
  <c r="AE459" i="2" s="1"/>
  <c r="AD490" i="2"/>
  <c r="AH490" i="2" s="1"/>
  <c r="AF490" i="2" s="1"/>
  <c r="AE490" i="2" s="1" a="1"/>
  <c r="AE490" i="2" s="1"/>
  <c r="AD521" i="2"/>
  <c r="AH521" i="2" s="1"/>
  <c r="AF521" i="2" s="1"/>
  <c r="AE521" i="2" s="1" a="1"/>
  <c r="AE521" i="2" s="1"/>
  <c r="AD552" i="2"/>
  <c r="AH552" i="2" s="1"/>
  <c r="AD583" i="2"/>
  <c r="AH583" i="2" s="1"/>
  <c r="AF583" i="2" s="1"/>
  <c r="AE583" i="2" s="1" a="1"/>
  <c r="AE583" i="2" s="1"/>
  <c r="AD617" i="2"/>
  <c r="AH617" i="2" s="1"/>
  <c r="AF617" i="2" s="1"/>
  <c r="AE617" i="2" s="1" a="1"/>
  <c r="AE617" i="2" s="1"/>
  <c r="AD647" i="2"/>
  <c r="AH647" i="2" s="1"/>
  <c r="AF647" i="2" s="1"/>
  <c r="AE647" i="2" s="1" a="1"/>
  <c r="AE647" i="2" s="1"/>
  <c r="AD678" i="2"/>
  <c r="AH678" i="2" s="1"/>
  <c r="AF678" i="2" s="1"/>
  <c r="AE678" i="2" s="1" a="1"/>
  <c r="AE678" i="2" s="1"/>
  <c r="AD709" i="2"/>
  <c r="AH709" i="2" s="1"/>
  <c r="AF709" i="2" s="1"/>
  <c r="AE709" i="2" s="1" a="1"/>
  <c r="AE709" i="2" s="1"/>
  <c r="AD740" i="2"/>
  <c r="AH740" i="2" s="1"/>
  <c r="AF740" i="2" s="1"/>
  <c r="AE740" i="2" s="1" a="1"/>
  <c r="AE740" i="2" s="1"/>
  <c r="AD774" i="2"/>
  <c r="AH774" i="2" s="1"/>
  <c r="AF774" i="2" s="1"/>
  <c r="AE774" i="2" s="1" a="1"/>
  <c r="AE774" i="2" s="1"/>
  <c r="AD804" i="2"/>
  <c r="AH804" i="2" s="1"/>
  <c r="AF804" i="2" s="1"/>
  <c r="AE804" i="2" s="1" a="1"/>
  <c r="AE804" i="2" s="1"/>
  <c r="AD833" i="2"/>
  <c r="AH833" i="2" s="1"/>
  <c r="AF833" i="2" s="1"/>
  <c r="AE833" i="2" s="1" a="1"/>
  <c r="AE833" i="2" s="1"/>
  <c r="AD862" i="2"/>
  <c r="AH862" i="2" s="1"/>
  <c r="AF862" i="2" s="1"/>
  <c r="AE862" i="2" s="1" a="1"/>
  <c r="AE862" i="2" s="1"/>
  <c r="AD890" i="2"/>
  <c r="AH890" i="2" s="1"/>
  <c r="AF890" i="2" s="1"/>
  <c r="AE890" i="2" s="1" a="1"/>
  <c r="AE890" i="2" s="1"/>
  <c r="AD921" i="2"/>
  <c r="AH921" i="2" s="1"/>
  <c r="AF921" i="2" s="1"/>
  <c r="AE921" i="2" s="1" a="1"/>
  <c r="AE921" i="2" s="1"/>
  <c r="AD949" i="2"/>
  <c r="AH949" i="2" s="1"/>
  <c r="AD977" i="2"/>
  <c r="AH977" i="2" s="1"/>
  <c r="AF977" i="2" s="1"/>
  <c r="AE977" i="2" s="1" a="1"/>
  <c r="AE977" i="2" s="1"/>
  <c r="AD1006" i="2"/>
  <c r="AH1006" i="2" s="1"/>
  <c r="AF1006" i="2" s="1"/>
  <c r="AE1006" i="2" s="1" a="1"/>
  <c r="AE1006" i="2" s="1"/>
  <c r="AD1034" i="2"/>
  <c r="AH1034" i="2" s="1"/>
  <c r="AF1034" i="2" s="1"/>
  <c r="AE1034" i="2" s="1" a="1"/>
  <c r="AE1034" i="2" s="1"/>
  <c r="AD1065" i="2"/>
  <c r="AH1065" i="2" s="1"/>
  <c r="AF1065" i="2" s="1"/>
  <c r="AE1065" i="2" s="1" a="1"/>
  <c r="AE1065" i="2" s="1"/>
  <c r="AD1093" i="2"/>
  <c r="AH1093" i="2" s="1"/>
  <c r="AF1093" i="2" s="1"/>
  <c r="AE1093" i="2" s="1" a="1"/>
  <c r="AE1093" i="2" s="1"/>
  <c r="AD1121" i="2"/>
  <c r="AH1121" i="2" s="1"/>
  <c r="AF1121" i="2" s="1"/>
  <c r="AE1121" i="2" s="1" a="1"/>
  <c r="AE1121" i="2" s="1"/>
  <c r="AD364" i="2"/>
  <c r="AH364" i="2" s="1"/>
  <c r="AF364" i="2" s="1"/>
  <c r="AE364" i="2" s="1" a="1"/>
  <c r="AE364" i="2" s="1"/>
  <c r="AD741" i="2"/>
  <c r="AH741" i="2" s="1"/>
  <c r="AF741" i="2" s="1"/>
  <c r="AE741" i="2" s="1" a="1"/>
  <c r="AE741" i="2" s="1"/>
  <c r="AD1094" i="2"/>
  <c r="AH1094" i="2" s="1"/>
  <c r="AD366" i="2"/>
  <c r="AH366" i="2" s="1"/>
  <c r="AF366" i="2" s="1"/>
  <c r="AE366" i="2" s="1" a="1"/>
  <c r="AE366" i="2" s="1"/>
  <c r="AD742" i="2"/>
  <c r="AH742" i="2" s="1"/>
  <c r="AF742" i="2" s="1"/>
  <c r="AE742" i="2" s="1" a="1"/>
  <c r="AE742" i="2" s="1"/>
  <c r="AD1095" i="2"/>
  <c r="AH1095" i="2" s="1"/>
  <c r="AF1095" i="2" s="1"/>
  <c r="AE1095" i="2" s="1" a="1"/>
  <c r="AE1095" i="2" s="1"/>
  <c r="AD396" i="2"/>
  <c r="AH396" i="2" s="1"/>
  <c r="AF396" i="2" s="1"/>
  <c r="AE396" i="2" s="1" a="1"/>
  <c r="AE396" i="2" s="1"/>
  <c r="AD775" i="2"/>
  <c r="AH775" i="2" s="1"/>
  <c r="AF775" i="2" s="1"/>
  <c r="AE775" i="2" s="1" a="1"/>
  <c r="AE775" i="2" s="1"/>
  <c r="AD1122" i="2"/>
  <c r="AH1122" i="2" s="1"/>
  <c r="AF1122" i="2" s="1"/>
  <c r="AE1122" i="2" s="1" a="1"/>
  <c r="AE1122" i="2" s="1"/>
  <c r="AD397" i="2"/>
  <c r="AH397" i="2" s="1"/>
  <c r="AF397" i="2" s="1"/>
  <c r="AE397" i="2" s="1" a="1"/>
  <c r="AE397" i="2" s="1"/>
  <c r="AD776" i="2"/>
  <c r="AH776" i="2" s="1"/>
  <c r="AF776" i="2" s="1"/>
  <c r="AE776" i="2" s="1" a="1"/>
  <c r="AE776" i="2" s="1"/>
  <c r="AD1123" i="2"/>
  <c r="AH1123" i="2" s="1"/>
  <c r="AD427" i="2"/>
  <c r="AH427" i="2" s="1"/>
  <c r="AF427" i="2" s="1"/>
  <c r="AE427" i="2" s="1" a="1"/>
  <c r="AE427" i="2" s="1"/>
  <c r="AD805" i="2"/>
  <c r="AH805" i="2" s="1"/>
  <c r="AD428" i="2"/>
  <c r="AH428" i="2" s="1"/>
  <c r="AF428" i="2" s="1"/>
  <c r="AE428" i="2" s="1" a="1"/>
  <c r="AE428" i="2" s="1"/>
  <c r="AD806" i="2"/>
  <c r="AH806" i="2" s="1"/>
  <c r="AF806" i="2" s="1"/>
  <c r="AE806" i="2" s="1" a="1"/>
  <c r="AE806" i="2" s="1"/>
  <c r="AD47" i="2"/>
  <c r="AH47" i="2" s="1"/>
  <c r="AF47" i="2" s="1"/>
  <c r="AE47" i="2" s="1" a="1"/>
  <c r="AE47" i="2" s="1"/>
  <c r="AD460" i="2"/>
  <c r="AH460" i="2" s="1"/>
  <c r="AF460" i="2" s="1"/>
  <c r="AE460" i="2" s="1" a="1"/>
  <c r="AE460" i="2" s="1"/>
  <c r="AD834" i="2"/>
  <c r="AH834" i="2" s="1"/>
  <c r="AF834" i="2" s="1"/>
  <c r="AE834" i="2" s="1" a="1"/>
  <c r="AE834" i="2" s="1"/>
  <c r="AD48" i="2"/>
  <c r="AH48" i="2" s="1"/>
  <c r="AD462" i="2"/>
  <c r="AH462" i="2" s="1"/>
  <c r="AD835" i="2"/>
  <c r="AH835" i="2" s="1"/>
  <c r="AF835" i="2" s="1"/>
  <c r="AE835" i="2" s="1" a="1"/>
  <c r="AE835" i="2" s="1"/>
  <c r="AD84" i="2"/>
  <c r="AH84" i="2" s="1"/>
  <c r="AF84" i="2" s="1"/>
  <c r="AE84" i="2" s="1" a="1"/>
  <c r="AE84" i="2" s="1"/>
  <c r="AD491" i="2"/>
  <c r="AH491" i="2" s="1"/>
  <c r="AF491" i="2" s="1"/>
  <c r="AE491" i="2" s="1" a="1"/>
  <c r="AE491" i="2" s="1"/>
  <c r="AD863" i="2"/>
  <c r="AH863" i="2" s="1"/>
  <c r="AF863" i="2" s="1"/>
  <c r="AE863" i="2" s="1" a="1"/>
  <c r="AE863" i="2" s="1"/>
  <c r="AD85" i="2"/>
  <c r="AH85" i="2" s="1"/>
  <c r="AD492" i="2"/>
  <c r="AH492" i="2" s="1"/>
  <c r="AF492" i="2" s="1"/>
  <c r="AE492" i="2" s="1" a="1"/>
  <c r="AE492" i="2" s="1"/>
  <c r="AD864" i="2"/>
  <c r="AH864" i="2" s="1"/>
  <c r="AF864" i="2" s="1"/>
  <c r="AE864" i="2" s="1" a="1"/>
  <c r="AE864" i="2" s="1"/>
  <c r="AD123" i="2"/>
  <c r="AH123" i="2" s="1"/>
  <c r="AD522" i="2"/>
  <c r="AH522" i="2" s="1"/>
  <c r="AD891" i="2"/>
  <c r="AH891" i="2" s="1"/>
  <c r="AF891" i="2" s="1"/>
  <c r="AE891" i="2" s="1" a="1"/>
  <c r="AE891" i="2" s="1"/>
  <c r="AD124" i="2"/>
  <c r="AH124" i="2" s="1"/>
  <c r="AD523" i="2"/>
  <c r="AH523" i="2" s="1"/>
  <c r="AF523" i="2" s="1"/>
  <c r="AE523" i="2" s="1" a="1"/>
  <c r="AE523" i="2" s="1"/>
  <c r="AD892" i="2"/>
  <c r="AH892" i="2" s="1"/>
  <c r="AF892" i="2" s="1"/>
  <c r="AE892" i="2" s="1" a="1"/>
  <c r="AE892" i="2" s="1"/>
  <c r="AD159" i="2"/>
  <c r="AH159" i="2" s="1"/>
  <c r="AF159" i="2" s="1"/>
  <c r="AE159" i="2" s="1" a="1"/>
  <c r="AE159" i="2" s="1"/>
  <c r="AD553" i="2"/>
  <c r="AH553" i="2" s="1"/>
  <c r="AF553" i="2" s="1"/>
  <c r="AE553" i="2" s="1" a="1"/>
  <c r="AE553" i="2" s="1"/>
  <c r="AD922" i="2"/>
  <c r="AH922" i="2" s="1"/>
  <c r="AF922" i="2" s="1"/>
  <c r="AE922" i="2" s="1" a="1"/>
  <c r="AE922" i="2" s="1"/>
  <c r="AD161" i="2"/>
  <c r="AH161" i="2" s="1"/>
  <c r="AF161" i="2" s="1"/>
  <c r="AE161" i="2" s="1" a="1"/>
  <c r="AE161" i="2" s="1"/>
  <c r="AD554" i="2"/>
  <c r="AH554" i="2" s="1"/>
  <c r="AD923" i="2"/>
  <c r="AH923" i="2" s="1"/>
  <c r="AF923" i="2" s="1"/>
  <c r="AE923" i="2" s="1" a="1"/>
  <c r="AE923" i="2" s="1"/>
  <c r="AD198" i="2"/>
  <c r="AH198" i="2" s="1"/>
  <c r="AF198" i="2" s="1"/>
  <c r="AE198" i="2" s="1" a="1"/>
  <c r="AE198" i="2" s="1"/>
  <c r="AD584" i="2"/>
  <c r="AH584" i="2" s="1"/>
  <c r="AD950" i="2"/>
  <c r="AH950" i="2" s="1"/>
  <c r="AF950" i="2" s="1"/>
  <c r="AE950" i="2" s="1" a="1"/>
  <c r="AE950" i="2" s="1"/>
  <c r="AD200" i="2"/>
  <c r="AH200" i="2" s="1"/>
  <c r="AF200" i="2" s="1"/>
  <c r="AE200" i="2" s="1" a="1"/>
  <c r="AE200" i="2" s="1"/>
  <c r="AD585" i="2"/>
  <c r="AH585" i="2" s="1"/>
  <c r="AF585" i="2" s="1"/>
  <c r="AE585" i="2" s="1" a="1"/>
  <c r="AE585" i="2" s="1"/>
  <c r="AD951" i="2"/>
  <c r="AH951" i="2" s="1"/>
  <c r="AF951" i="2" s="1"/>
  <c r="AE951" i="2" s="1" a="1"/>
  <c r="AE951" i="2" s="1"/>
  <c r="AD233" i="2"/>
  <c r="AH233" i="2" s="1"/>
  <c r="AF233" i="2" s="1"/>
  <c r="AE233" i="2" s="1" a="1"/>
  <c r="AE233" i="2" s="1"/>
  <c r="AD618" i="2"/>
  <c r="AH618" i="2" s="1"/>
  <c r="AF618" i="2" s="1"/>
  <c r="AE618" i="2" s="1" a="1"/>
  <c r="AE618" i="2" s="1"/>
  <c r="AD978" i="2"/>
  <c r="AH978" i="2" s="1"/>
  <c r="AF978" i="2" s="1"/>
  <c r="AE978" i="2" s="1" a="1"/>
  <c r="AE978" i="2" s="1"/>
  <c r="AD234" i="2"/>
  <c r="AH234" i="2" s="1"/>
  <c r="AF234" i="2" s="1"/>
  <c r="AE234" i="2" s="1" a="1"/>
  <c r="AE234" i="2" s="1"/>
  <c r="AD619" i="2"/>
  <c r="AH619" i="2" s="1"/>
  <c r="AD979" i="2"/>
  <c r="AH979" i="2" s="1"/>
  <c r="AD268" i="2"/>
  <c r="AH268" i="2" s="1"/>
  <c r="AF268" i="2" s="1"/>
  <c r="AE268" i="2" s="1" a="1"/>
  <c r="AE268" i="2" s="1"/>
  <c r="AD648" i="2"/>
  <c r="AH648" i="2" s="1"/>
  <c r="AF648" i="2" s="1"/>
  <c r="AE648" i="2" s="1" a="1"/>
  <c r="AE648" i="2" s="1"/>
  <c r="AD1007" i="2"/>
  <c r="AH1007" i="2" s="1"/>
  <c r="AF1007" i="2" s="1"/>
  <c r="AE1007" i="2" s="1" a="1"/>
  <c r="AE1007" i="2" s="1"/>
  <c r="AD270" i="2"/>
  <c r="AH270" i="2" s="1"/>
  <c r="AD649" i="2"/>
  <c r="AH649" i="2" s="1"/>
  <c r="AF649" i="2" s="1"/>
  <c r="AE649" i="2" s="1" a="1"/>
  <c r="AE649" i="2" s="1"/>
  <c r="AD1008" i="2"/>
  <c r="AH1008" i="2" s="1"/>
  <c r="AF1008" i="2" s="1"/>
  <c r="AE1008" i="2" s="1" a="1"/>
  <c r="AE1008" i="2" s="1"/>
  <c r="AD303" i="2"/>
  <c r="AH303" i="2" s="1"/>
  <c r="AF303" i="2" s="1"/>
  <c r="AE303" i="2" s="1" a="1"/>
  <c r="AE303" i="2" s="1"/>
  <c r="AD679" i="2"/>
  <c r="AH679" i="2" s="1"/>
  <c r="AF679" i="2" s="1"/>
  <c r="AE679" i="2" s="1" a="1"/>
  <c r="AE679" i="2" s="1"/>
  <c r="AD1035" i="2"/>
  <c r="AH1035" i="2" s="1"/>
  <c r="AF1035" i="2" s="1"/>
  <c r="AE1035" i="2" s="1" a="1"/>
  <c r="AE1035" i="2" s="1"/>
  <c r="AD305" i="2"/>
  <c r="AH305" i="2" s="1"/>
  <c r="AF305" i="2" s="1"/>
  <c r="AE305" i="2" s="1" a="1"/>
  <c r="AE305" i="2" s="1"/>
  <c r="AD680" i="2"/>
  <c r="AH680" i="2" s="1"/>
  <c r="AD1036" i="2"/>
  <c r="AH1036" i="2" s="1"/>
  <c r="AF1036" i="2" s="1"/>
  <c r="AE1036" i="2" s="1" a="1"/>
  <c r="AE1036" i="2" s="1"/>
  <c r="AD334" i="2"/>
  <c r="AH334" i="2" s="1"/>
  <c r="AF334" i="2" s="1"/>
  <c r="AE334" i="2" s="1" a="1"/>
  <c r="AE334" i="2" s="1"/>
  <c r="AD335" i="2"/>
  <c r="AH335" i="2" s="1"/>
  <c r="AF335" i="2" s="1"/>
  <c r="AE335" i="2" s="1" a="1"/>
  <c r="AE335" i="2" s="1"/>
  <c r="AD710" i="2"/>
  <c r="AH710" i="2" s="1"/>
  <c r="AF710" i="2" s="1"/>
  <c r="AE710" i="2" s="1" a="1"/>
  <c r="AE710" i="2" s="1"/>
  <c r="AD711" i="2"/>
  <c r="AH711" i="2" s="1"/>
  <c r="AF711" i="2" s="1"/>
  <c r="AE711" i="2" s="1" a="1"/>
  <c r="AE711" i="2" s="1"/>
  <c r="AD1066" i="2"/>
  <c r="AH1066" i="2" s="1"/>
  <c r="AD1067" i="2"/>
  <c r="AH1067" i="2" s="1"/>
  <c r="AF1067" i="2" s="1"/>
  <c r="AE1067" i="2" s="1" a="1"/>
  <c r="AE1067" i="2" s="1"/>
  <c r="AD36" i="2"/>
  <c r="AH36" i="2" s="1"/>
  <c r="AF36" i="2" s="1"/>
  <c r="AE36" i="2" s="1" a="1"/>
  <c r="AE36" i="2" s="1"/>
  <c r="AD13" i="2"/>
  <c r="AD21" i="2"/>
  <c r="AH21" i="2" s="1"/>
  <c r="AF21" i="2" s="1"/>
  <c r="AE21" i="2" s="1" a="1"/>
  <c r="AE21" i="2" s="1"/>
  <c r="AD29" i="2"/>
  <c r="AH29" i="2" s="1"/>
  <c r="AF29" i="2" s="1"/>
  <c r="AE29" i="2" s="1" a="1"/>
  <c r="AE29" i="2" s="1"/>
  <c r="AD14" i="2"/>
  <c r="AD18" i="2"/>
  <c r="AH18" i="2" s="1"/>
  <c r="AF18" i="2" s="1"/>
  <c r="AE18" i="2" s="1" a="1"/>
  <c r="AE18" i="2" s="1"/>
  <c r="AD22" i="2"/>
  <c r="AH22" i="2" s="1"/>
  <c r="AF22" i="2" s="1"/>
  <c r="AE22" i="2" s="1" a="1"/>
  <c r="AE22" i="2" s="1"/>
  <c r="AD26" i="2"/>
  <c r="AH26" i="2" s="1"/>
  <c r="AF26" i="2" s="1"/>
  <c r="AE26" i="2" s="1" a="1"/>
  <c r="AE26" i="2" s="1"/>
  <c r="AD30" i="2"/>
  <c r="AH30" i="2" s="1"/>
  <c r="AF30" i="2" s="1"/>
  <c r="AE30" i="2" s="1" a="1"/>
  <c r="AE30" i="2" s="1"/>
  <c r="AD34" i="2"/>
  <c r="AH34" i="2" s="1"/>
  <c r="AF34" i="2" s="1"/>
  <c r="AE34" i="2" s="1" a="1"/>
  <c r="AE34" i="2" s="1"/>
  <c r="AD24" i="2"/>
  <c r="AH24" i="2" s="1"/>
  <c r="AF24" i="2" s="1"/>
  <c r="AE24" i="2" s="1" a="1"/>
  <c r="AE24" i="2" s="1"/>
  <c r="AD15" i="2"/>
  <c r="AH15" i="2" s="1"/>
  <c r="AF15" i="2" s="1"/>
  <c r="AE15" i="2" s="1" a="1"/>
  <c r="AE15" i="2" s="1"/>
  <c r="AD19" i="2"/>
  <c r="AH19" i="2" s="1"/>
  <c r="AD23" i="2"/>
  <c r="AH23" i="2" s="1"/>
  <c r="AF23" i="2" s="1"/>
  <c r="AE23" i="2" s="1" a="1"/>
  <c r="AE23" i="2" s="1"/>
  <c r="AD27" i="2"/>
  <c r="AH27" i="2" s="1"/>
  <c r="AF27" i="2" s="1"/>
  <c r="AE27" i="2" s="1" a="1"/>
  <c r="AE27" i="2" s="1"/>
  <c r="AD31" i="2"/>
  <c r="AH31" i="2" s="1"/>
  <c r="AF31" i="2" s="1"/>
  <c r="AE31" i="2" s="1" a="1"/>
  <c r="AE31" i="2" s="1"/>
  <c r="AD35" i="2"/>
  <c r="AH35" i="2" s="1"/>
  <c r="AF35" i="2" s="1"/>
  <c r="AE35" i="2" s="1" a="1"/>
  <c r="AE35" i="2" s="1"/>
  <c r="AD16" i="2"/>
  <c r="AH16" i="2" s="1"/>
  <c r="AF16" i="2" s="1"/>
  <c r="AE16" i="2" s="1" a="1"/>
  <c r="AE16" i="2" s="1"/>
  <c r="AD20" i="2"/>
  <c r="AH20" i="2" s="1"/>
  <c r="AF20" i="2" s="1"/>
  <c r="AE20" i="2" s="1" a="1"/>
  <c r="AE20" i="2" s="1"/>
  <c r="AD28" i="2"/>
  <c r="AH28" i="2" s="1"/>
  <c r="AF28" i="2" s="1"/>
  <c r="AE28" i="2" s="1" a="1"/>
  <c r="AE28" i="2" s="1"/>
  <c r="AD32" i="2"/>
  <c r="AH32" i="2" s="1"/>
  <c r="AD17" i="2"/>
  <c r="AH17" i="2" s="1"/>
  <c r="AF17" i="2" s="1"/>
  <c r="AE17" i="2" s="1" a="1"/>
  <c r="AE17" i="2" s="1"/>
  <c r="AD25" i="2"/>
  <c r="AH25" i="2" s="1"/>
  <c r="AF25" i="2" s="1"/>
  <c r="AE25" i="2" s="1" a="1"/>
  <c r="AE25" i="2" s="1"/>
  <c r="AD33" i="2"/>
  <c r="AH33" i="2" s="1"/>
  <c r="AF33" i="2" s="1"/>
  <c r="AE33" i="2" s="1" a="1"/>
  <c r="AE33" i="2" s="1"/>
  <c r="BH5" i="8"/>
  <c r="BH9" i="8"/>
  <c r="BH13" i="8"/>
  <c r="BH7" i="8"/>
  <c r="BH11" i="8"/>
  <c r="BH8" i="8"/>
  <c r="BH14" i="8"/>
  <c r="BH6" i="8"/>
  <c r="BH10" i="8"/>
  <c r="BH12" i="8"/>
  <c r="AD7" i="2"/>
  <c r="AD9" i="2"/>
  <c r="AH9" i="2" s="1"/>
  <c r="AD6" i="2"/>
  <c r="AD12" i="2"/>
  <c r="AD5" i="2"/>
  <c r="AH5" i="2" s="1"/>
  <c r="AD11" i="2"/>
  <c r="AD10" i="2"/>
  <c r="AC1129" i="2"/>
  <c r="AD8" i="2"/>
  <c r="AF554" i="2" l="1"/>
  <c r="AE554" i="2" s="1" a="1"/>
  <c r="AE554" i="2" s="1"/>
  <c r="AF540" i="2"/>
  <c r="AE540" i="2" s="1" a="1"/>
  <c r="AE540" i="2" s="1"/>
  <c r="AF138" i="2"/>
  <c r="AE138" i="2" s="1" a="1"/>
  <c r="AE138" i="2" s="1"/>
  <c r="AF1117" i="2"/>
  <c r="AE1117" i="2" s="1" a="1"/>
  <c r="AE1117" i="2" s="1"/>
  <c r="AF176" i="2"/>
  <c r="AE176" i="2" s="1" a="1"/>
  <c r="AE176" i="2" s="1"/>
  <c r="AF622" i="2"/>
  <c r="AE622" i="2" s="1" a="1"/>
  <c r="AE622" i="2" s="1"/>
  <c r="AF462" i="2"/>
  <c r="AE462" i="2" s="1" a="1"/>
  <c r="AE462" i="2" s="1"/>
  <c r="AF497" i="2"/>
  <c r="AE497" i="2" s="1" a="1"/>
  <c r="AE497" i="2" s="1"/>
  <c r="AF163" i="2"/>
  <c r="AE163" i="2" s="1" a="1"/>
  <c r="AE163" i="2" s="1"/>
  <c r="AF994" i="2"/>
  <c r="AE994" i="2" s="1" a="1"/>
  <c r="AE994" i="2" s="1"/>
  <c r="AF505" i="2"/>
  <c r="AE505" i="2" s="1" a="1"/>
  <c r="AE505" i="2" s="1"/>
  <c r="AF558" i="2"/>
  <c r="AE558" i="2" s="1" a="1"/>
  <c r="AE558" i="2" s="1"/>
  <c r="AF1126" i="2"/>
  <c r="AE1126" i="2" s="1" a="1"/>
  <c r="AE1126" i="2" s="1"/>
  <c r="AF423" i="2"/>
  <c r="AE423" i="2" s="1" a="1"/>
  <c r="AE423" i="2" s="1"/>
  <c r="AF671" i="2"/>
  <c r="AE671" i="2" s="1" a="1"/>
  <c r="AE671" i="2" s="1"/>
  <c r="AF1094" i="2"/>
  <c r="AE1094" i="2" s="1" a="1"/>
  <c r="AE1094" i="2" s="1"/>
  <c r="AF946" i="2"/>
  <c r="AE946" i="2" s="1" a="1"/>
  <c r="AE946" i="2" s="1"/>
  <c r="AF110" i="2"/>
  <c r="AE110" i="2" s="1" a="1"/>
  <c r="AE110" i="2" s="1"/>
  <c r="AF320" i="2"/>
  <c r="AE320" i="2" s="1" a="1"/>
  <c r="AE320" i="2" s="1"/>
  <c r="AF879" i="2"/>
  <c r="AE879" i="2" s="1" a="1"/>
  <c r="AE879" i="2" s="1"/>
  <c r="AF504" i="2"/>
  <c r="AE504" i="2" s="1" a="1"/>
  <c r="AE504" i="2" s="1"/>
  <c r="AF567" i="2"/>
  <c r="AE567" i="2" s="1" a="1"/>
  <c r="AE567" i="2" s="1"/>
  <c r="AF42" i="2"/>
  <c r="AE42" i="2" s="1" a="1"/>
  <c r="AE42" i="2" s="1"/>
  <c r="AF361" i="2"/>
  <c r="AE361" i="2" s="1" a="1"/>
  <c r="AE361" i="2" s="1"/>
  <c r="AF954" i="2"/>
  <c r="AE954" i="2" s="1" a="1"/>
  <c r="AE954" i="2" s="1"/>
  <c r="AF124" i="2"/>
  <c r="AE124" i="2" s="1" a="1"/>
  <c r="AE124" i="2" s="1"/>
  <c r="AF391" i="2"/>
  <c r="AE391" i="2" s="1" a="1"/>
  <c r="AE391" i="2" s="1"/>
  <c r="AF680" i="2"/>
  <c r="AE680" i="2" s="1" a="1"/>
  <c r="AE680" i="2" s="1"/>
  <c r="AF708" i="2"/>
  <c r="AE708" i="2" s="1" a="1"/>
  <c r="AE708" i="2" s="1"/>
  <c r="AF421" i="2"/>
  <c r="AE421" i="2" s="1" a="1"/>
  <c r="AE421" i="2" s="1"/>
  <c r="AF1074" i="2"/>
  <c r="AE1074" i="2" s="1" a="1"/>
  <c r="AE1074" i="2" s="1"/>
  <c r="AF596" i="2"/>
  <c r="AE596" i="2" s="1" a="1"/>
  <c r="AE596" i="2" s="1"/>
  <c r="AF944" i="2"/>
  <c r="AE944" i="2" s="1" a="1"/>
  <c r="AE944" i="2" s="1"/>
  <c r="AF97" i="2"/>
  <c r="AE97" i="2" s="1" a="1"/>
  <c r="AE97" i="2" s="1"/>
  <c r="AF686" i="2"/>
  <c r="AE686" i="2" s="1" a="1"/>
  <c r="AE686" i="2" s="1"/>
  <c r="AF123" i="2"/>
  <c r="AE123" i="2" s="1" a="1"/>
  <c r="AE123" i="2" s="1"/>
  <c r="AF130" i="2"/>
  <c r="AE130" i="2" s="1" a="1"/>
  <c r="AE130" i="2" s="1"/>
  <c r="AF433" i="2"/>
  <c r="AE433" i="2" s="1" a="1"/>
  <c r="AE433" i="2" s="1"/>
  <c r="AF847" i="2"/>
  <c r="AE847" i="2" s="1" a="1"/>
  <c r="AE847" i="2" s="1"/>
  <c r="AF399" i="2"/>
  <c r="AE399" i="2" s="1" a="1"/>
  <c r="AE399" i="2" s="1"/>
  <c r="AF165" i="2"/>
  <c r="AE165" i="2" s="1" a="1"/>
  <c r="AE165" i="2" s="1"/>
  <c r="AF32" i="2"/>
  <c r="AE32" i="2" s="1" a="1"/>
  <c r="AE32" i="2" s="1"/>
  <c r="AF949" i="2"/>
  <c r="AE949" i="2" s="1" a="1"/>
  <c r="AE949" i="2" s="1"/>
  <c r="AF828" i="2"/>
  <c r="AE828" i="2" s="1" a="1"/>
  <c r="AE828" i="2" s="1"/>
  <c r="AF449" i="2"/>
  <c r="AE449" i="2" s="1" a="1"/>
  <c r="AE449" i="2" s="1"/>
  <c r="AF997" i="2"/>
  <c r="AE997" i="2" s="1" a="1"/>
  <c r="AE997" i="2" s="1"/>
  <c r="AF512" i="2"/>
  <c r="AE512" i="2" s="1" a="1"/>
  <c r="AE512" i="2" s="1"/>
  <c r="AF1128" i="2"/>
  <c r="AE1128" i="2" s="1" a="1"/>
  <c r="AE1128" i="2" s="1"/>
  <c r="AF966" i="2"/>
  <c r="AE966" i="2" s="1" a="1"/>
  <c r="AE966" i="2" s="1"/>
  <c r="AF956" i="2"/>
  <c r="AE956" i="2" s="1" a="1"/>
  <c r="AE956" i="2" s="1"/>
  <c r="AF826" i="2"/>
  <c r="AE826" i="2" s="1" a="1"/>
  <c r="AE826" i="2" s="1"/>
  <c r="AF1085" i="2"/>
  <c r="AE1085" i="2" s="1" a="1"/>
  <c r="AE1085" i="2" s="1"/>
  <c r="AF340" i="2"/>
  <c r="AE340" i="2" s="1" a="1"/>
  <c r="AE340" i="2" s="1"/>
  <c r="AF328" i="2"/>
  <c r="AE328" i="2" s="1" a="1"/>
  <c r="AE328" i="2" s="1"/>
  <c r="AF269" i="2"/>
  <c r="AE269" i="2" s="1" a="1"/>
  <c r="AE269" i="2" s="1"/>
  <c r="AF917" i="2"/>
  <c r="AE917" i="2" s="1" a="1"/>
  <c r="AE917" i="2" s="1"/>
  <c r="AF580" i="2"/>
  <c r="AE580" i="2" s="1" a="1"/>
  <c r="AE580" i="2" s="1"/>
  <c r="AF938" i="2"/>
  <c r="AE938" i="2" s="1" a="1"/>
  <c r="AE938" i="2" s="1"/>
  <c r="AF901" i="2"/>
  <c r="AE901" i="2" s="1" a="1"/>
  <c r="AE901" i="2" s="1"/>
  <c r="AF136" i="2"/>
  <c r="AE136" i="2" s="1" a="1"/>
  <c r="AE136" i="2" s="1"/>
  <c r="AF881" i="2"/>
  <c r="AE881" i="2" s="1" a="1"/>
  <c r="AE881" i="2" s="1"/>
  <c r="AF1066" i="2"/>
  <c r="AE1066" i="2" s="1" a="1"/>
  <c r="AE1066" i="2" s="1"/>
  <c r="AF1089" i="2"/>
  <c r="AE1089" i="2" s="1" a="1"/>
  <c r="AE1089" i="2" s="1"/>
  <c r="AF355" i="2"/>
  <c r="AE355" i="2" s="1" a="1"/>
  <c r="AE355" i="2" s="1"/>
  <c r="AF79" i="2"/>
  <c r="AE79" i="2" s="1" a="1"/>
  <c r="AE79" i="2" s="1"/>
  <c r="AF48" i="2"/>
  <c r="AE48" i="2" s="1" a="1"/>
  <c r="AE48" i="2" s="1"/>
  <c r="AF619" i="2"/>
  <c r="AE619" i="2" s="1" a="1"/>
  <c r="AE619" i="2" s="1"/>
  <c r="AF231" i="2"/>
  <c r="AE231" i="2" s="1" a="1"/>
  <c r="AE231" i="2" s="1"/>
  <c r="AF608" i="2"/>
  <c r="AE608" i="2" s="1" a="1"/>
  <c r="AE608" i="2" s="1"/>
  <c r="AF1097" i="2"/>
  <c r="AE1097" i="2" s="1" a="1"/>
  <c r="AE1097" i="2" s="1"/>
  <c r="AF201" i="2"/>
  <c r="AE201" i="2" s="1" a="1"/>
  <c r="AE201" i="2" s="1"/>
  <c r="AF743" i="2"/>
  <c r="AE743" i="2" s="1" a="1"/>
  <c r="AE743" i="2" s="1"/>
  <c r="AF424" i="2"/>
  <c r="AE424" i="2" s="1" a="1"/>
  <c r="AE424" i="2" s="1"/>
  <c r="AF99" i="2"/>
  <c r="AE99" i="2" s="1" a="1"/>
  <c r="AE99" i="2" s="1"/>
  <c r="AF682" i="2"/>
  <c r="AE682" i="2" s="1" a="1"/>
  <c r="AE682" i="2" s="1"/>
  <c r="AF400" i="2"/>
  <c r="AE400" i="2" s="1" a="1"/>
  <c r="AE400" i="2" s="1"/>
  <c r="AF1084" i="2"/>
  <c r="AE1084" i="2" s="1" a="1"/>
  <c r="AE1084" i="2" s="1"/>
  <c r="AF74" i="2"/>
  <c r="AE74" i="2" s="1" a="1"/>
  <c r="AE74" i="2" s="1"/>
  <c r="AF349" i="2"/>
  <c r="AE349" i="2" s="1" a="1"/>
  <c r="AE349" i="2" s="1"/>
  <c r="AF868" i="2"/>
  <c r="AE868" i="2" s="1" a="1"/>
  <c r="AE868" i="2" s="1"/>
  <c r="AF739" i="2"/>
  <c r="AE739" i="2" s="1" a="1"/>
  <c r="AE739" i="2" s="1"/>
  <c r="AF1000" i="2"/>
  <c r="AE1000" i="2" s="1" a="1"/>
  <c r="AE1000" i="2" s="1"/>
  <c r="AF246" i="2"/>
  <c r="AE246" i="2" s="1" a="1"/>
  <c r="AE246" i="2" s="1"/>
  <c r="AF768" i="2"/>
  <c r="AE768" i="2" s="1" a="1"/>
  <c r="AE768" i="2" s="1"/>
  <c r="AF502" i="2"/>
  <c r="AE502" i="2" s="1" a="1"/>
  <c r="AE502" i="2" s="1"/>
  <c r="AF314" i="2"/>
  <c r="AE314" i="2" s="1" a="1"/>
  <c r="AE314" i="2" s="1"/>
  <c r="AF586" i="2"/>
  <c r="AE586" i="2" s="1" a="1"/>
  <c r="AE586" i="2" s="1"/>
  <c r="AF707" i="2"/>
  <c r="AE707" i="2" s="1" a="1"/>
  <c r="AE707" i="2" s="1"/>
  <c r="AF450" i="2"/>
  <c r="AE450" i="2" s="1" a="1"/>
  <c r="AE450" i="2" s="1"/>
  <c r="AF1086" i="2"/>
  <c r="AE1086" i="2" s="1" a="1"/>
  <c r="AE1086" i="2" s="1"/>
  <c r="AF959" i="2"/>
  <c r="AE959" i="2" s="1" a="1"/>
  <c r="AE959" i="2" s="1"/>
  <c r="AF1062" i="2"/>
  <c r="AE1062" i="2" s="1" a="1"/>
  <c r="AE1062" i="2" s="1"/>
  <c r="AF941" i="2"/>
  <c r="AE941" i="2" s="1" a="1"/>
  <c r="AE941" i="2" s="1"/>
  <c r="AF1052" i="2"/>
  <c r="AE1052" i="2" s="1" a="1"/>
  <c r="AE1052" i="2" s="1"/>
  <c r="AF518" i="2"/>
  <c r="AE518" i="2" s="1" a="1"/>
  <c r="AE518" i="2" s="1"/>
  <c r="AF327" i="2"/>
  <c r="AE327" i="2" s="1" a="1"/>
  <c r="AE327" i="2" s="1"/>
  <c r="AF748" i="2"/>
  <c r="AE748" i="2" s="1" a="1"/>
  <c r="AE748" i="2" s="1"/>
  <c r="AF149" i="2"/>
  <c r="AE149" i="2" s="1" a="1"/>
  <c r="AE149" i="2" s="1"/>
  <c r="AF773" i="2"/>
  <c r="AE773" i="2" s="1" a="1"/>
  <c r="AE773" i="2" s="1"/>
  <c r="AF725" i="2"/>
  <c r="AE725" i="2" s="1" a="1"/>
  <c r="AE725" i="2" s="1"/>
  <c r="AF101" i="2"/>
  <c r="AE101" i="2" s="1" a="1"/>
  <c r="AE101" i="2" s="1"/>
  <c r="AF448" i="2"/>
  <c r="AE448" i="2" s="1" a="1"/>
  <c r="AE448" i="2" s="1"/>
  <c r="AF653" i="2"/>
  <c r="AE653" i="2" s="1" a="1"/>
  <c r="AE653" i="2" s="1"/>
  <c r="AF105" i="2"/>
  <c r="AE105" i="2" s="1" a="1"/>
  <c r="AE105" i="2" s="1"/>
  <c r="AF185" i="2"/>
  <c r="AE185" i="2" s="1" a="1"/>
  <c r="AE185" i="2" s="1"/>
  <c r="AF784" i="2"/>
  <c r="AE784" i="2" s="1" a="1"/>
  <c r="AE784" i="2" s="1"/>
  <c r="AF1060" i="2"/>
  <c r="AE1060" i="2" s="1" a="1"/>
  <c r="AE1060" i="2" s="1"/>
  <c r="AF1019" i="2"/>
  <c r="AE1019" i="2" s="1" a="1"/>
  <c r="AE1019" i="2" s="1"/>
  <c r="AF635" i="2"/>
  <c r="AE635" i="2" s="1" a="1"/>
  <c r="AE635" i="2" s="1"/>
  <c r="AF780" i="2"/>
  <c r="AE780" i="2" s="1" a="1"/>
  <c r="AE780" i="2" s="1"/>
  <c r="AF975" i="2"/>
  <c r="AE975" i="2" s="1" a="1"/>
  <c r="AE975" i="2" s="1"/>
  <c r="AF732" i="2"/>
  <c r="AE732" i="2" s="1" a="1"/>
  <c r="AE732" i="2" s="1"/>
  <c r="AF487" i="2"/>
  <c r="AE487" i="2" s="1" a="1"/>
  <c r="AE487" i="2" s="1"/>
  <c r="AF800" i="2"/>
  <c r="AE800" i="2" s="1" a="1"/>
  <c r="AE800" i="2" s="1"/>
  <c r="AF903" i="2"/>
  <c r="AE903" i="2" s="1" a="1"/>
  <c r="AE903" i="2" s="1"/>
  <c r="AF924" i="2"/>
  <c r="AE924" i="2" s="1" a="1"/>
  <c r="AE924" i="2" s="1"/>
  <c r="AF791" i="2"/>
  <c r="AE791" i="2" s="1" a="1"/>
  <c r="AE791" i="2" s="1"/>
  <c r="AF805" i="2"/>
  <c r="AE805" i="2" s="1" a="1"/>
  <c r="AE805" i="2" s="1"/>
  <c r="AF215" i="2"/>
  <c r="AE215" i="2" s="1" a="1"/>
  <c r="AE215" i="2" s="1"/>
  <c r="AF44" i="2"/>
  <c r="AE44" i="2" s="1" a="1"/>
  <c r="AE44" i="2" s="1"/>
  <c r="AF677" i="2"/>
  <c r="AE677" i="2" s="1" a="1"/>
  <c r="AE677" i="2" s="1"/>
  <c r="AF1123" i="2"/>
  <c r="AE1123" i="2" s="1" a="1"/>
  <c r="AE1123" i="2" s="1"/>
  <c r="AF1054" i="2"/>
  <c r="AE1054" i="2" s="1" a="1"/>
  <c r="AE1054" i="2" s="1"/>
  <c r="AF77" i="2"/>
  <c r="AE77" i="2" s="1" a="1"/>
  <c r="AE77" i="2" s="1"/>
  <c r="AF435" i="2"/>
  <c r="AE435" i="2" s="1" a="1"/>
  <c r="AE435" i="2" s="1"/>
  <c r="AF301" i="2"/>
  <c r="AE301" i="2" s="1" a="1"/>
  <c r="AE301" i="2" s="1"/>
  <c r="AF315" i="2"/>
  <c r="AE315" i="2" s="1" a="1"/>
  <c r="AE315" i="2" s="1"/>
  <c r="AF627" i="2"/>
  <c r="AE627" i="2" s="1" a="1"/>
  <c r="AE627" i="2" s="1"/>
  <c r="AF210" i="2"/>
  <c r="AE210" i="2" s="1" a="1"/>
  <c r="AE210" i="2" s="1"/>
  <c r="AF19" i="2"/>
  <c r="AE19" i="2" s="1" a="1"/>
  <c r="AE19" i="2" s="1"/>
  <c r="AF1020" i="2"/>
  <c r="AE1020" i="2" s="1" a="1"/>
  <c r="AE1020" i="2" s="1"/>
  <c r="AF371" i="2"/>
  <c r="AE371" i="2" s="1" a="1"/>
  <c r="AE371" i="2" s="1"/>
  <c r="AF250" i="2"/>
  <c r="AE250" i="2" s="1" a="1"/>
  <c r="AE250" i="2" s="1"/>
  <c r="AF199" i="2"/>
  <c r="AE199" i="2" s="1" a="1"/>
  <c r="AE199" i="2" s="1"/>
  <c r="AF589" i="2"/>
  <c r="AE589" i="2" s="1" a="1"/>
  <c r="AE589" i="2" s="1"/>
  <c r="AF274" i="2"/>
  <c r="AE274" i="2" s="1" a="1"/>
  <c r="AE274" i="2" s="1"/>
  <c r="AF920" i="2"/>
  <c r="AE920" i="2" s="1" a="1"/>
  <c r="AE920" i="2" s="1"/>
  <c r="AF446" i="2"/>
  <c r="AE446" i="2" s="1" a="1"/>
  <c r="AE446" i="2" s="1"/>
  <c r="AF509" i="2"/>
  <c r="AE509" i="2" s="1" a="1"/>
  <c r="AE509" i="2" s="1"/>
  <c r="AF552" i="2"/>
  <c r="AE552" i="2" s="1" a="1"/>
  <c r="AE552" i="2" s="1"/>
  <c r="AF522" i="2"/>
  <c r="AE522" i="2" s="1" a="1"/>
  <c r="AE522" i="2" s="1"/>
  <c r="AF697" i="2"/>
  <c r="AE697" i="2" s="1" a="1"/>
  <c r="AE697" i="2" s="1"/>
  <c r="AF876" i="2"/>
  <c r="AE876" i="2" s="1" a="1"/>
  <c r="AE876" i="2" s="1"/>
  <c r="AF52" i="2"/>
  <c r="AE52" i="2" s="1" a="1"/>
  <c r="AE52" i="2" s="1"/>
  <c r="AF295" i="2"/>
  <c r="AE295" i="2" s="1" a="1"/>
  <c r="AE295" i="2" s="1"/>
  <c r="AF534" i="2"/>
  <c r="AE534" i="2" s="1" a="1"/>
  <c r="AE534" i="2" s="1"/>
  <c r="AF221" i="2"/>
  <c r="AE221" i="2" s="1" a="1"/>
  <c r="AE221" i="2" s="1"/>
  <c r="AF173" i="2"/>
  <c r="AE173" i="2" s="1" a="1"/>
  <c r="AE173" i="2" s="1"/>
  <c r="AF125" i="2"/>
  <c r="AE125" i="2" s="1" a="1"/>
  <c r="AE125" i="2" s="1"/>
  <c r="AF845" i="2"/>
  <c r="AE845" i="2" s="1" a="1"/>
  <c r="AE845" i="2" s="1"/>
  <c r="AF46" i="2"/>
  <c r="AE46" i="2" s="1" a="1"/>
  <c r="AE46" i="2" s="1"/>
  <c r="AF96" i="2"/>
  <c r="AE96" i="2" s="1" a="1"/>
  <c r="AE96" i="2" s="1"/>
  <c r="AF907" i="2"/>
  <c r="AE907" i="2" s="1" a="1"/>
  <c r="AE907" i="2" s="1"/>
  <c r="AF207" i="2"/>
  <c r="AE207" i="2" s="1" a="1"/>
  <c r="AE207" i="2" s="1"/>
  <c r="AF277" i="2"/>
  <c r="AE277" i="2" s="1" a="1"/>
  <c r="AE277" i="2" s="1"/>
  <c r="AF1033" i="2"/>
  <c r="AE1033" i="2" s="1" a="1"/>
  <c r="AE1033" i="2" s="1"/>
  <c r="AF700" i="2"/>
  <c r="AE700" i="2" s="1" a="1"/>
  <c r="AE700" i="2" s="1"/>
  <c r="AF292" i="2"/>
  <c r="AE292" i="2" s="1" a="1"/>
  <c r="AE292" i="2" s="1"/>
  <c r="AF1043" i="2"/>
  <c r="AE1043" i="2" s="1" a="1"/>
  <c r="AE1043" i="2" s="1"/>
  <c r="AF415" i="2"/>
  <c r="AE415" i="2" s="1" a="1"/>
  <c r="AE415" i="2" s="1"/>
  <c r="AF470" i="2"/>
  <c r="AE470" i="2" s="1" a="1"/>
  <c r="AE470" i="2" s="1"/>
  <c r="AF270" i="2"/>
  <c r="AE270" i="2" s="1" a="1"/>
  <c r="AE270" i="2" s="1"/>
  <c r="AF979" i="2"/>
  <c r="AE979" i="2" s="1" a="1"/>
  <c r="AE979" i="2" s="1"/>
  <c r="AF186" i="2"/>
  <c r="AE186" i="2" s="1" a="1"/>
  <c r="AE186" i="2" s="1"/>
  <c r="AF681" i="2"/>
  <c r="AE681" i="2" s="1" a="1"/>
  <c r="AE681" i="2" s="1"/>
  <c r="AF437" i="2"/>
  <c r="AE437" i="2" s="1" a="1"/>
  <c r="AE437" i="2" s="1"/>
  <c r="AF705" i="2"/>
  <c r="AE705" i="2" s="1" a="1"/>
  <c r="AE705" i="2" s="1"/>
  <c r="AF899" i="2"/>
  <c r="AE899" i="2" s="1" a="1"/>
  <c r="AE899" i="2" s="1"/>
  <c r="AF838" i="2"/>
  <c r="AE838" i="2" s="1" a="1"/>
  <c r="AE838" i="2" s="1"/>
  <c r="AF289" i="2"/>
  <c r="AE289" i="2" s="1" a="1"/>
  <c r="AE289" i="2" s="1"/>
  <c r="AF1040" i="2"/>
  <c r="AE1040" i="2" s="1" a="1"/>
  <c r="AE1040" i="2" s="1"/>
  <c r="AF688" i="2"/>
  <c r="AE688" i="2" s="1" a="1"/>
  <c r="AE688" i="2" s="1"/>
  <c r="AF317" i="2"/>
  <c r="AE317" i="2" s="1" a="1"/>
  <c r="AE317" i="2" s="1"/>
  <c r="AF88" i="2"/>
  <c r="AE88" i="2" s="1" a="1"/>
  <c r="AE88" i="2" s="1"/>
  <c r="AF757" i="2"/>
  <c r="AE757" i="2" s="1" a="1"/>
  <c r="AE757" i="2" s="1"/>
  <c r="AF235" i="2"/>
  <c r="AE235" i="2" s="1" a="1"/>
  <c r="AE235" i="2" s="1"/>
  <c r="AF727" i="2"/>
  <c r="AE727" i="2" s="1" a="1"/>
  <c r="AE727" i="2" s="1"/>
  <c r="AF85" i="2"/>
  <c r="AE85" i="2" s="1" a="1"/>
  <c r="AE85" i="2" s="1"/>
  <c r="AF584" i="2"/>
  <c r="AE584" i="2" s="1" a="1"/>
  <c r="AE584" i="2" s="1"/>
  <c r="AF162" i="2"/>
  <c r="AE162" i="2" s="1" a="1"/>
  <c r="AE162" i="2" s="1"/>
  <c r="AF393" i="2"/>
  <c r="AE393" i="2" s="1" a="1"/>
  <c r="AE393" i="2" s="1"/>
  <c r="AF197" i="2"/>
  <c r="AE197" i="2" s="1" a="1"/>
  <c r="AE197" i="2" s="1"/>
  <c r="BH1129" i="8"/>
  <c r="AH8" i="2"/>
  <c r="AF8" i="2" s="1"/>
  <c r="AE8" i="2" s="1" a="1"/>
  <c r="AE8" i="2" s="1"/>
  <c r="AH14" i="2"/>
  <c r="AF14" i="2" s="1"/>
  <c r="AE14" i="2" s="1" a="1"/>
  <c r="AE14" i="2" s="1"/>
  <c r="AH11" i="2"/>
  <c r="AF11" i="2" s="1"/>
  <c r="AE11" i="2" s="1" a="1"/>
  <c r="AE11" i="2" s="1"/>
  <c r="AH12" i="2"/>
  <c r="AF12" i="2" s="1"/>
  <c r="AE12" i="2" s="1" a="1"/>
  <c r="AE12" i="2" s="1"/>
  <c r="AH10" i="2"/>
  <c r="AF10" i="2" s="1"/>
  <c r="AE10" i="2" s="1" a="1"/>
  <c r="AE10" i="2" s="1"/>
  <c r="AH13" i="2"/>
  <c r="AF13" i="2" s="1"/>
  <c r="AE13" i="2" s="1" a="1"/>
  <c r="AE13" i="2" s="1"/>
  <c r="AH6" i="2"/>
  <c r="AF6" i="2" s="1"/>
  <c r="AE6" i="2" s="1" a="1"/>
  <c r="AE6" i="2" s="1"/>
  <c r="AH7" i="2"/>
  <c r="AF7" i="2" s="1"/>
  <c r="AE7" i="2" s="1" a="1"/>
  <c r="AE7" i="2" s="1"/>
  <c r="AF9" i="2"/>
  <c r="AE9" i="2" s="1" a="1"/>
  <c r="AE9" i="2" s="1"/>
  <c r="AG1129" i="2"/>
  <c r="AD1129" i="2"/>
  <c r="AF5" i="2" l="1"/>
  <c r="AH1129" i="2"/>
  <c r="C43" i="6" l="1" a="1"/>
  <c r="C43" i="6" s="1"/>
  <c r="C44" i="6" a="1"/>
  <c r="C44" i="6" s="1"/>
  <c r="C41" i="6" a="1"/>
  <c r="C41" i="6" s="1"/>
  <c r="C42" i="6" a="1"/>
  <c r="C42" i="6" s="1"/>
  <c r="C39" i="6" a="1"/>
  <c r="C39" i="6" s="1"/>
  <c r="C40" i="6" a="1"/>
  <c r="C40" i="6" s="1"/>
  <c r="C37" i="6" a="1"/>
  <c r="C37" i="6" s="1"/>
  <c r="C38" i="6" a="1"/>
  <c r="C38" i="6" s="1"/>
  <c r="C35" i="6" a="1"/>
  <c r="C35" i="6" s="1"/>
  <c r="C36" i="6" a="1"/>
  <c r="C36" i="6" s="1"/>
  <c r="C33" i="6" a="1"/>
  <c r="C33" i="6" s="1"/>
  <c r="C34" i="6" a="1"/>
  <c r="C34" i="6" s="1"/>
  <c r="C31" i="6" a="1"/>
  <c r="C31" i="6" s="1"/>
  <c r="C32" i="6" a="1"/>
  <c r="C32" i="6" s="1"/>
  <c r="C29" i="6" a="1"/>
  <c r="C29" i="6" s="1"/>
  <c r="C30" i="6" a="1"/>
  <c r="C30" i="6" s="1"/>
  <c r="C27" i="6" a="1"/>
  <c r="C27" i="6" s="1"/>
  <c r="C28" i="6" a="1"/>
  <c r="C28" i="6" s="1"/>
  <c r="C25" i="6" a="1"/>
  <c r="C25" i="6" s="1"/>
  <c r="C26" i="6" a="1"/>
  <c r="C26" i="6" s="1"/>
  <c r="C23" i="6" a="1"/>
  <c r="C23" i="6" s="1"/>
  <c r="C24" i="6" a="1"/>
  <c r="C24" i="6" s="1"/>
  <c r="C21" i="6" a="1"/>
  <c r="C21" i="6" s="1"/>
  <c r="C22" i="6" a="1"/>
  <c r="C22" i="6" s="1"/>
  <c r="C19" i="6" a="1"/>
  <c r="C19" i="6" s="1"/>
  <c r="C20" i="6" a="1"/>
  <c r="C20" i="6" s="1"/>
  <c r="C17" i="6" a="1"/>
  <c r="C17" i="6" s="1"/>
  <c r="C18" i="6" a="1"/>
  <c r="C18" i="6" s="1"/>
  <c r="C15" i="6" a="1"/>
  <c r="C15" i="6" s="1"/>
  <c r="C16" i="6" a="1"/>
  <c r="C16" i="6" s="1"/>
  <c r="C13" i="6" a="1"/>
  <c r="C13" i="6" s="1"/>
  <c r="C14" i="6" a="1"/>
  <c r="C14" i="6" s="1"/>
  <c r="AE1129" i="2"/>
  <c r="C6" i="6" a="1"/>
  <c r="C6" i="6" s="1"/>
  <c r="C10" i="6" a="1"/>
  <c r="C10" i="6" s="1"/>
  <c r="AF1129" i="2"/>
  <c r="C12" i="6" a="1"/>
  <c r="C12" i="6" s="1"/>
  <c r="C3" i="6" a="1"/>
  <c r="C3" i="6" s="1"/>
  <c r="C7" i="6" a="1"/>
  <c r="C7" i="6" s="1"/>
  <c r="C4" i="6" a="1"/>
  <c r="C4" i="6" s="1"/>
  <c r="C8" i="6" a="1"/>
  <c r="C8" i="6" s="1"/>
  <c r="AE5" i="2" a="1"/>
  <c r="AE5" i="2" s="1"/>
  <c r="C11" i="6" a="1"/>
  <c r="C11" i="6" s="1"/>
  <c r="C5" i="6" a="1"/>
  <c r="C5" i="6" s="1"/>
  <c r="C9" i="6" a="1"/>
  <c r="C9" i="6" s="1"/>
  <c r="AI50" i="2" l="1"/>
  <c r="A50" i="8" s="1"/>
  <c r="AI74" i="2"/>
  <c r="A74" i="8" s="1"/>
  <c r="AI98" i="2"/>
  <c r="A98" i="8" s="1"/>
  <c r="AI122" i="2"/>
  <c r="A122" i="8" s="1"/>
  <c r="AI146" i="2"/>
  <c r="A146" i="8" s="1"/>
  <c r="AI170" i="2"/>
  <c r="A170" i="8" s="1"/>
  <c r="AI194" i="2"/>
  <c r="A194" i="8" s="1"/>
  <c r="AI218" i="2"/>
  <c r="A218" i="8" s="1"/>
  <c r="AI242" i="2"/>
  <c r="A242" i="8" s="1"/>
  <c r="AI266" i="2"/>
  <c r="A266" i="8" s="1"/>
  <c r="AI290" i="2"/>
  <c r="A290" i="8" s="1"/>
  <c r="AI314" i="2"/>
  <c r="A314" i="8" s="1"/>
  <c r="AI338" i="2"/>
  <c r="A338" i="8" s="1"/>
  <c r="AI362" i="2"/>
  <c r="A362" i="8" s="1"/>
  <c r="AI386" i="2"/>
  <c r="A386" i="8" s="1"/>
  <c r="AI410" i="2"/>
  <c r="A410" i="8" s="1"/>
  <c r="AI434" i="2"/>
  <c r="A434" i="8" s="1"/>
  <c r="AI458" i="2"/>
  <c r="A458" i="8" s="1"/>
  <c r="AI482" i="2"/>
  <c r="A482" i="8" s="1"/>
  <c r="AI506" i="2"/>
  <c r="A506" i="8" s="1"/>
  <c r="AI530" i="2"/>
  <c r="A530" i="8" s="1"/>
  <c r="AI554" i="2"/>
  <c r="A554" i="8" s="1"/>
  <c r="AI578" i="2"/>
  <c r="A578" i="8" s="1"/>
  <c r="AI602" i="2"/>
  <c r="A602" i="8" s="1"/>
  <c r="AI626" i="2"/>
  <c r="A626" i="8" s="1"/>
  <c r="AI650" i="2"/>
  <c r="A650" i="8" s="1"/>
  <c r="AI674" i="2"/>
  <c r="A674" i="8" s="1"/>
  <c r="AI698" i="2"/>
  <c r="A698" i="8" s="1"/>
  <c r="AI722" i="2"/>
  <c r="A722" i="8" s="1"/>
  <c r="AI746" i="2"/>
  <c r="A746" i="8" s="1"/>
  <c r="AI770" i="2"/>
  <c r="A770" i="8" s="1"/>
  <c r="AI794" i="2"/>
  <c r="A794" i="8" s="1"/>
  <c r="AI818" i="2"/>
  <c r="A818" i="8" s="1"/>
  <c r="AI842" i="2"/>
  <c r="A842" i="8" s="1"/>
  <c r="AI866" i="2"/>
  <c r="A866" i="8" s="1"/>
  <c r="AI890" i="2"/>
  <c r="A890" i="8" s="1"/>
  <c r="AI914" i="2"/>
  <c r="A914" i="8" s="1"/>
  <c r="AI938" i="2"/>
  <c r="A938" i="8" s="1"/>
  <c r="AI962" i="2"/>
  <c r="A962" i="8" s="1"/>
  <c r="AI986" i="2"/>
  <c r="A986" i="8" s="1"/>
  <c r="AI1010" i="2"/>
  <c r="A1010" i="8" s="1"/>
  <c r="AI1034" i="2"/>
  <c r="A1034" i="8" s="1"/>
  <c r="AI1058" i="2"/>
  <c r="A1058" i="8" s="1"/>
  <c r="AI1082" i="2"/>
  <c r="A1082" i="8" s="1"/>
  <c r="AI1106" i="2"/>
  <c r="A1106" i="8" s="1"/>
  <c r="AJ38" i="2"/>
  <c r="R38" i="8" s="1"/>
  <c r="AI51" i="2"/>
  <c r="A51" i="8" s="1"/>
  <c r="AI75" i="2"/>
  <c r="A75" i="8" s="1"/>
  <c r="AI99" i="2"/>
  <c r="A99" i="8" s="1"/>
  <c r="AI123" i="2"/>
  <c r="A123" i="8" s="1"/>
  <c r="AI147" i="2"/>
  <c r="A147" i="8" s="1"/>
  <c r="AI171" i="2"/>
  <c r="A171" i="8" s="1"/>
  <c r="AI195" i="2"/>
  <c r="A195" i="8" s="1"/>
  <c r="AI219" i="2"/>
  <c r="A219" i="8" s="1"/>
  <c r="AI243" i="2"/>
  <c r="A243" i="8" s="1"/>
  <c r="AI267" i="2"/>
  <c r="A267" i="8" s="1"/>
  <c r="AI291" i="2"/>
  <c r="A291" i="8" s="1"/>
  <c r="AI315" i="2"/>
  <c r="A315" i="8" s="1"/>
  <c r="AI339" i="2"/>
  <c r="A339" i="8" s="1"/>
  <c r="AI363" i="2"/>
  <c r="A363" i="8" s="1"/>
  <c r="AI387" i="2"/>
  <c r="A387" i="8" s="1"/>
  <c r="AI411" i="2"/>
  <c r="A411" i="8" s="1"/>
  <c r="AI435" i="2"/>
  <c r="A435" i="8" s="1"/>
  <c r="AI459" i="2"/>
  <c r="A459" i="8" s="1"/>
  <c r="AI483" i="2"/>
  <c r="A483" i="8" s="1"/>
  <c r="AI507" i="2"/>
  <c r="A507" i="8" s="1"/>
  <c r="AI531" i="2"/>
  <c r="A531" i="8" s="1"/>
  <c r="AI555" i="2"/>
  <c r="A555" i="8" s="1"/>
  <c r="AI579" i="2"/>
  <c r="A579" i="8" s="1"/>
  <c r="AI603" i="2"/>
  <c r="A603" i="8" s="1"/>
  <c r="AI627" i="2"/>
  <c r="A627" i="8" s="1"/>
  <c r="AI651" i="2"/>
  <c r="A651" i="8" s="1"/>
  <c r="AI675" i="2"/>
  <c r="A675" i="8" s="1"/>
  <c r="AI699" i="2"/>
  <c r="A699" i="8" s="1"/>
  <c r="AI723" i="2"/>
  <c r="A723" i="8" s="1"/>
  <c r="AI747" i="2"/>
  <c r="A747" i="8" s="1"/>
  <c r="AI771" i="2"/>
  <c r="A771" i="8" s="1"/>
  <c r="AI795" i="2"/>
  <c r="A795" i="8" s="1"/>
  <c r="AI819" i="2"/>
  <c r="A819" i="8" s="1"/>
  <c r="AI843" i="2"/>
  <c r="A843" i="8" s="1"/>
  <c r="AI867" i="2"/>
  <c r="A867" i="8" s="1"/>
  <c r="AI891" i="2"/>
  <c r="A891" i="8" s="1"/>
  <c r="AI915" i="2"/>
  <c r="A915" i="8" s="1"/>
  <c r="AI939" i="2"/>
  <c r="A939" i="8" s="1"/>
  <c r="AI963" i="2"/>
  <c r="A963" i="8" s="1"/>
  <c r="AI987" i="2"/>
  <c r="A987" i="8" s="1"/>
  <c r="AI1011" i="2"/>
  <c r="A1011" i="8" s="1"/>
  <c r="AI1035" i="2"/>
  <c r="A1035" i="8" s="1"/>
  <c r="AI1059" i="2"/>
  <c r="A1059" i="8" s="1"/>
  <c r="AI1083" i="2"/>
  <c r="A1083" i="8" s="1"/>
  <c r="AI1107" i="2"/>
  <c r="A1107" i="8" s="1"/>
  <c r="AJ39" i="2"/>
  <c r="R39" i="8" s="1"/>
  <c r="AI52" i="2"/>
  <c r="A52" i="8" s="1"/>
  <c r="AI76" i="2"/>
  <c r="A76" i="8" s="1"/>
  <c r="AI100" i="2"/>
  <c r="A100" i="8" s="1"/>
  <c r="AI124" i="2"/>
  <c r="A124" i="8" s="1"/>
  <c r="AI148" i="2"/>
  <c r="A148" i="8" s="1"/>
  <c r="AI172" i="2"/>
  <c r="A172" i="8" s="1"/>
  <c r="AI196" i="2"/>
  <c r="A196" i="8" s="1"/>
  <c r="AI220" i="2"/>
  <c r="A220" i="8" s="1"/>
  <c r="AI244" i="2"/>
  <c r="A244" i="8" s="1"/>
  <c r="AI268" i="2"/>
  <c r="A268" i="8" s="1"/>
  <c r="AI292" i="2"/>
  <c r="A292" i="8" s="1"/>
  <c r="AI316" i="2"/>
  <c r="A316" i="8" s="1"/>
  <c r="AI340" i="2"/>
  <c r="A340" i="8" s="1"/>
  <c r="AI53" i="2"/>
  <c r="A53" i="8" s="1"/>
  <c r="AI77" i="2"/>
  <c r="A77" i="8" s="1"/>
  <c r="AI101" i="2"/>
  <c r="A101" i="8" s="1"/>
  <c r="AI125" i="2"/>
  <c r="A125" i="8" s="1"/>
  <c r="AI149" i="2"/>
  <c r="A149" i="8" s="1"/>
  <c r="AI173" i="2"/>
  <c r="A173" i="8" s="1"/>
  <c r="AI197" i="2"/>
  <c r="A197" i="8" s="1"/>
  <c r="AI221" i="2"/>
  <c r="A221" i="8" s="1"/>
  <c r="AI245" i="2"/>
  <c r="A245" i="8" s="1"/>
  <c r="AI269" i="2"/>
  <c r="A269" i="8" s="1"/>
  <c r="AI293" i="2"/>
  <c r="A293" i="8" s="1"/>
  <c r="AI317" i="2"/>
  <c r="A317" i="8" s="1"/>
  <c r="AI341" i="2"/>
  <c r="A341" i="8" s="1"/>
  <c r="AI365" i="2"/>
  <c r="A365" i="8" s="1"/>
  <c r="AI389" i="2"/>
  <c r="A389" i="8" s="1"/>
  <c r="AI54" i="2"/>
  <c r="A54" i="8" s="1"/>
  <c r="AI78" i="2"/>
  <c r="A78" i="8" s="1"/>
  <c r="AI102" i="2"/>
  <c r="A102" i="8" s="1"/>
  <c r="AI126" i="2"/>
  <c r="A126" i="8" s="1"/>
  <c r="AI150" i="2"/>
  <c r="A150" i="8" s="1"/>
  <c r="AI174" i="2"/>
  <c r="A174" i="8" s="1"/>
  <c r="AI198" i="2"/>
  <c r="A198" i="8" s="1"/>
  <c r="AI222" i="2"/>
  <c r="A222" i="8" s="1"/>
  <c r="AI246" i="2"/>
  <c r="A246" i="8" s="1"/>
  <c r="AI270" i="2"/>
  <c r="A270" i="8" s="1"/>
  <c r="AI294" i="2"/>
  <c r="A294" i="8" s="1"/>
  <c r="AI318" i="2"/>
  <c r="A318" i="8" s="1"/>
  <c r="AI342" i="2"/>
  <c r="A342" i="8" s="1"/>
  <c r="AI37" i="2"/>
  <c r="A37" i="8" s="1"/>
  <c r="AI61" i="2"/>
  <c r="A61" i="8" s="1"/>
  <c r="AI85" i="2"/>
  <c r="A85" i="8" s="1"/>
  <c r="AI109" i="2"/>
  <c r="A109" i="8" s="1"/>
  <c r="AI133" i="2"/>
  <c r="A133" i="8" s="1"/>
  <c r="AI157" i="2"/>
  <c r="A157" i="8" s="1"/>
  <c r="AI181" i="2"/>
  <c r="A181" i="8" s="1"/>
  <c r="AI205" i="2"/>
  <c r="A205" i="8" s="1"/>
  <c r="AI229" i="2"/>
  <c r="A229" i="8" s="1"/>
  <c r="AI253" i="2"/>
  <c r="A253" i="8" s="1"/>
  <c r="AI277" i="2"/>
  <c r="A277" i="8" s="1"/>
  <c r="AI301" i="2"/>
  <c r="A301" i="8" s="1"/>
  <c r="AI325" i="2"/>
  <c r="A325" i="8" s="1"/>
  <c r="AI349" i="2"/>
  <c r="A349" i="8" s="1"/>
  <c r="AI373" i="2"/>
  <c r="A373" i="8" s="1"/>
  <c r="AI397" i="2"/>
  <c r="A397" i="8" s="1"/>
  <c r="AI421" i="2"/>
  <c r="A421" i="8" s="1"/>
  <c r="AI445" i="2"/>
  <c r="A445" i="8" s="1"/>
  <c r="AI469" i="2"/>
  <c r="A469" i="8" s="1"/>
  <c r="AI493" i="2"/>
  <c r="A493" i="8" s="1"/>
  <c r="AI517" i="2"/>
  <c r="A517" i="8" s="1"/>
  <c r="AI541" i="2"/>
  <c r="A541" i="8" s="1"/>
  <c r="AI565" i="2"/>
  <c r="A565" i="8" s="1"/>
  <c r="AI589" i="2"/>
  <c r="A589" i="8" s="1"/>
  <c r="AI613" i="2"/>
  <c r="A613" i="8" s="1"/>
  <c r="AI637" i="2"/>
  <c r="A637" i="8" s="1"/>
  <c r="AI661" i="2"/>
  <c r="A661" i="8" s="1"/>
  <c r="AI685" i="2"/>
  <c r="A685" i="8" s="1"/>
  <c r="AI709" i="2"/>
  <c r="A709" i="8" s="1"/>
  <c r="AI733" i="2"/>
  <c r="A733" i="8" s="1"/>
  <c r="AI757" i="2"/>
  <c r="A757" i="8" s="1"/>
  <c r="AI781" i="2"/>
  <c r="A781" i="8" s="1"/>
  <c r="AI805" i="2"/>
  <c r="A805" i="8" s="1"/>
  <c r="AI829" i="2"/>
  <c r="A829" i="8" s="1"/>
  <c r="AI853" i="2"/>
  <c r="A853" i="8" s="1"/>
  <c r="AI877" i="2"/>
  <c r="A877" i="8" s="1"/>
  <c r="AI901" i="2"/>
  <c r="A901" i="8" s="1"/>
  <c r="AI925" i="2"/>
  <c r="A925" i="8" s="1"/>
  <c r="AI949" i="2"/>
  <c r="A949" i="8" s="1"/>
  <c r="AI973" i="2"/>
  <c r="A973" i="8" s="1"/>
  <c r="AI997" i="2"/>
  <c r="A997" i="8" s="1"/>
  <c r="AI1021" i="2"/>
  <c r="A1021" i="8" s="1"/>
  <c r="AI1045" i="2"/>
  <c r="A1045" i="8" s="1"/>
  <c r="AI1069" i="2"/>
  <c r="A1069" i="8" s="1"/>
  <c r="AI1093" i="2"/>
  <c r="A1093" i="8" s="1"/>
  <c r="AI1117" i="2"/>
  <c r="A1117" i="8" s="1"/>
  <c r="AJ49" i="2"/>
  <c r="R49" i="8" s="1"/>
  <c r="AI38" i="2"/>
  <c r="A38" i="8" s="1"/>
  <c r="AI62" i="2"/>
  <c r="A62" i="8" s="1"/>
  <c r="AI86" i="2"/>
  <c r="A86" i="8" s="1"/>
  <c r="AI110" i="2"/>
  <c r="A110" i="8" s="1"/>
  <c r="AI134" i="2"/>
  <c r="A134" i="8" s="1"/>
  <c r="AI158" i="2"/>
  <c r="A158" i="8" s="1"/>
  <c r="AI182" i="2"/>
  <c r="A182" i="8" s="1"/>
  <c r="AI206" i="2"/>
  <c r="A206" i="8" s="1"/>
  <c r="AI230" i="2"/>
  <c r="A230" i="8" s="1"/>
  <c r="AI254" i="2"/>
  <c r="A254" i="8" s="1"/>
  <c r="AI278" i="2"/>
  <c r="A278" i="8" s="1"/>
  <c r="AI302" i="2"/>
  <c r="A302" i="8" s="1"/>
  <c r="AI326" i="2"/>
  <c r="A326" i="8" s="1"/>
  <c r="AI350" i="2"/>
  <c r="A350" i="8" s="1"/>
  <c r="AI374" i="2"/>
  <c r="A374" i="8" s="1"/>
  <c r="AI398" i="2"/>
  <c r="A398" i="8" s="1"/>
  <c r="AI422" i="2"/>
  <c r="A422" i="8" s="1"/>
  <c r="AI446" i="2"/>
  <c r="A446" i="8" s="1"/>
  <c r="AI470" i="2"/>
  <c r="A470" i="8" s="1"/>
  <c r="AI494" i="2"/>
  <c r="A494" i="8" s="1"/>
  <c r="AI518" i="2"/>
  <c r="A518" i="8" s="1"/>
  <c r="AI542" i="2"/>
  <c r="A542" i="8" s="1"/>
  <c r="AI566" i="2"/>
  <c r="A566" i="8" s="1"/>
  <c r="AI590" i="2"/>
  <c r="A590" i="8" s="1"/>
  <c r="AI614" i="2"/>
  <c r="A614" i="8" s="1"/>
  <c r="AI638" i="2"/>
  <c r="A638" i="8" s="1"/>
  <c r="AI662" i="2"/>
  <c r="A662" i="8" s="1"/>
  <c r="AI686" i="2"/>
  <c r="A686" i="8" s="1"/>
  <c r="AI710" i="2"/>
  <c r="A710" i="8" s="1"/>
  <c r="AI734" i="2"/>
  <c r="A734" i="8" s="1"/>
  <c r="AI758" i="2"/>
  <c r="A758" i="8" s="1"/>
  <c r="AI782" i="2"/>
  <c r="A782" i="8" s="1"/>
  <c r="AI806" i="2"/>
  <c r="A806" i="8" s="1"/>
  <c r="AI830" i="2"/>
  <c r="A830" i="8" s="1"/>
  <c r="AI854" i="2"/>
  <c r="A854" i="8" s="1"/>
  <c r="AI878" i="2"/>
  <c r="A878" i="8" s="1"/>
  <c r="AI902" i="2"/>
  <c r="A902" i="8" s="1"/>
  <c r="AI926" i="2"/>
  <c r="A926" i="8" s="1"/>
  <c r="AI950" i="2"/>
  <c r="A950" i="8" s="1"/>
  <c r="AI974" i="2"/>
  <c r="A974" i="8" s="1"/>
  <c r="AI998" i="2"/>
  <c r="A998" i="8" s="1"/>
  <c r="AI1022" i="2"/>
  <c r="A1022" i="8" s="1"/>
  <c r="AI1046" i="2"/>
  <c r="A1046" i="8" s="1"/>
  <c r="AI1070" i="2"/>
  <c r="A1070" i="8" s="1"/>
  <c r="AI1094" i="2"/>
  <c r="A1094" i="8" s="1"/>
  <c r="AI1118" i="2"/>
  <c r="A1118" i="8" s="1"/>
  <c r="AJ50" i="2"/>
  <c r="R50" i="8" s="1"/>
  <c r="AI39" i="2"/>
  <c r="A39" i="8" s="1"/>
  <c r="AI63" i="2"/>
  <c r="A63" i="8" s="1"/>
  <c r="AI87" i="2"/>
  <c r="A87" i="8" s="1"/>
  <c r="AI111" i="2"/>
  <c r="A111" i="8" s="1"/>
  <c r="AI135" i="2"/>
  <c r="A135" i="8" s="1"/>
  <c r="AI159" i="2"/>
  <c r="A159" i="8" s="1"/>
  <c r="AI183" i="2"/>
  <c r="A183" i="8" s="1"/>
  <c r="AI207" i="2"/>
  <c r="A207" i="8" s="1"/>
  <c r="AI231" i="2"/>
  <c r="A231" i="8" s="1"/>
  <c r="AI255" i="2"/>
  <c r="A255" i="8" s="1"/>
  <c r="AI279" i="2"/>
  <c r="A279" i="8" s="1"/>
  <c r="AI303" i="2"/>
  <c r="A303" i="8" s="1"/>
  <c r="AI327" i="2"/>
  <c r="A327" i="8" s="1"/>
  <c r="AI351" i="2"/>
  <c r="A351" i="8" s="1"/>
  <c r="AI375" i="2"/>
  <c r="A375" i="8" s="1"/>
  <c r="AI399" i="2"/>
  <c r="A399" i="8" s="1"/>
  <c r="AI423" i="2"/>
  <c r="A423" i="8" s="1"/>
  <c r="AI447" i="2"/>
  <c r="A447" i="8" s="1"/>
  <c r="AI471" i="2"/>
  <c r="A471" i="8" s="1"/>
  <c r="AI495" i="2"/>
  <c r="A495" i="8" s="1"/>
  <c r="AI519" i="2"/>
  <c r="A519" i="8" s="1"/>
  <c r="AI543" i="2"/>
  <c r="A543" i="8" s="1"/>
  <c r="AI567" i="2"/>
  <c r="A567" i="8" s="1"/>
  <c r="AI591" i="2"/>
  <c r="A591" i="8" s="1"/>
  <c r="AI615" i="2"/>
  <c r="A615" i="8" s="1"/>
  <c r="AI639" i="2"/>
  <c r="A639" i="8" s="1"/>
  <c r="AI663" i="2"/>
  <c r="A663" i="8" s="1"/>
  <c r="AI687" i="2"/>
  <c r="A687" i="8" s="1"/>
  <c r="AI711" i="2"/>
  <c r="A711" i="8" s="1"/>
  <c r="AI735" i="2"/>
  <c r="A735" i="8" s="1"/>
  <c r="AI759" i="2"/>
  <c r="A759" i="8" s="1"/>
  <c r="AI783" i="2"/>
  <c r="A783" i="8" s="1"/>
  <c r="AI807" i="2"/>
  <c r="A807" i="8" s="1"/>
  <c r="AI831" i="2"/>
  <c r="A831" i="8" s="1"/>
  <c r="AI855" i="2"/>
  <c r="A855" i="8" s="1"/>
  <c r="AI879" i="2"/>
  <c r="A879" i="8" s="1"/>
  <c r="AI903" i="2"/>
  <c r="A903" i="8" s="1"/>
  <c r="AI927" i="2"/>
  <c r="A927" i="8" s="1"/>
  <c r="AI951" i="2"/>
  <c r="A951" i="8" s="1"/>
  <c r="AI975" i="2"/>
  <c r="A975" i="8" s="1"/>
  <c r="AI999" i="2"/>
  <c r="A999" i="8" s="1"/>
  <c r="AI1023" i="2"/>
  <c r="A1023" i="8" s="1"/>
  <c r="AI1047" i="2"/>
  <c r="A1047" i="8" s="1"/>
  <c r="AI1071" i="2"/>
  <c r="A1071" i="8" s="1"/>
  <c r="AI1095" i="2"/>
  <c r="A1095" i="8" s="1"/>
  <c r="AI1119" i="2"/>
  <c r="A1119" i="8" s="1"/>
  <c r="AJ51" i="2"/>
  <c r="R51" i="8" s="1"/>
  <c r="AI40" i="2"/>
  <c r="A40" i="8" s="1"/>
  <c r="AI64" i="2"/>
  <c r="A64" i="8" s="1"/>
  <c r="AI88" i="2"/>
  <c r="A88" i="8" s="1"/>
  <c r="AI112" i="2"/>
  <c r="A112" i="8" s="1"/>
  <c r="AI136" i="2"/>
  <c r="A136" i="8" s="1"/>
  <c r="AI160" i="2"/>
  <c r="A160" i="8" s="1"/>
  <c r="AI184" i="2"/>
  <c r="A184" i="8" s="1"/>
  <c r="AI208" i="2"/>
  <c r="A208" i="8" s="1"/>
  <c r="AI232" i="2"/>
  <c r="A232" i="8" s="1"/>
  <c r="AI256" i="2"/>
  <c r="A256" i="8" s="1"/>
  <c r="AI280" i="2"/>
  <c r="A280" i="8" s="1"/>
  <c r="AI304" i="2"/>
  <c r="A304" i="8" s="1"/>
  <c r="AI328" i="2"/>
  <c r="A328" i="8" s="1"/>
  <c r="AI352" i="2"/>
  <c r="A352" i="8" s="1"/>
  <c r="AI41" i="2"/>
  <c r="A41" i="8" s="1"/>
  <c r="AI65" i="2"/>
  <c r="A65" i="8" s="1"/>
  <c r="AI89" i="2"/>
  <c r="A89" i="8" s="1"/>
  <c r="AI113" i="2"/>
  <c r="A113" i="8" s="1"/>
  <c r="AI137" i="2"/>
  <c r="A137" i="8" s="1"/>
  <c r="AI161" i="2"/>
  <c r="A161" i="8" s="1"/>
  <c r="AI185" i="2"/>
  <c r="A185" i="8" s="1"/>
  <c r="AI209" i="2"/>
  <c r="A209" i="8" s="1"/>
  <c r="AI233" i="2"/>
  <c r="A233" i="8" s="1"/>
  <c r="AI257" i="2"/>
  <c r="A257" i="8" s="1"/>
  <c r="AI281" i="2"/>
  <c r="A281" i="8" s="1"/>
  <c r="AI305" i="2"/>
  <c r="A305" i="8" s="1"/>
  <c r="AI329" i="2"/>
  <c r="A329" i="8" s="1"/>
  <c r="AI353" i="2"/>
  <c r="A353" i="8" s="1"/>
  <c r="AI377" i="2"/>
  <c r="A377" i="8" s="1"/>
  <c r="AI401" i="2"/>
  <c r="A401" i="8" s="1"/>
  <c r="AI425" i="2"/>
  <c r="A425" i="8" s="1"/>
  <c r="AI42" i="2"/>
  <c r="A42" i="8" s="1"/>
  <c r="AI66" i="2"/>
  <c r="A66" i="8" s="1"/>
  <c r="AI90" i="2"/>
  <c r="A90" i="8" s="1"/>
  <c r="AI114" i="2"/>
  <c r="A114" i="8" s="1"/>
  <c r="AI138" i="2"/>
  <c r="A138" i="8" s="1"/>
  <c r="AI162" i="2"/>
  <c r="A162" i="8" s="1"/>
  <c r="AI186" i="2"/>
  <c r="A186" i="8" s="1"/>
  <c r="AI210" i="2"/>
  <c r="A210" i="8" s="1"/>
  <c r="AI234" i="2"/>
  <c r="A234" i="8" s="1"/>
  <c r="AI258" i="2"/>
  <c r="A258" i="8" s="1"/>
  <c r="AI282" i="2"/>
  <c r="A282" i="8" s="1"/>
  <c r="AI306" i="2"/>
  <c r="A306" i="8" s="1"/>
  <c r="AI330" i="2"/>
  <c r="A330" i="8" s="1"/>
  <c r="AI43" i="2"/>
  <c r="A43" i="8" s="1"/>
  <c r="AI44" i="2"/>
  <c r="A44" i="8" s="1"/>
  <c r="AI45" i="2"/>
  <c r="A45" i="8" s="1"/>
  <c r="AI47" i="2"/>
  <c r="A47" i="8" s="1"/>
  <c r="AI71" i="2"/>
  <c r="A71" i="8" s="1"/>
  <c r="AI95" i="2"/>
  <c r="A95" i="8" s="1"/>
  <c r="AI119" i="2"/>
  <c r="A119" i="8" s="1"/>
  <c r="AI143" i="2"/>
  <c r="A143" i="8" s="1"/>
  <c r="AI167" i="2"/>
  <c r="A167" i="8" s="1"/>
  <c r="AI191" i="2"/>
  <c r="A191" i="8" s="1"/>
  <c r="AI215" i="2"/>
  <c r="A215" i="8" s="1"/>
  <c r="AI239" i="2"/>
  <c r="A239" i="8" s="1"/>
  <c r="AI263" i="2"/>
  <c r="A263" i="8" s="1"/>
  <c r="AI287" i="2"/>
  <c r="A287" i="8" s="1"/>
  <c r="AI311" i="2"/>
  <c r="A311" i="8" s="1"/>
  <c r="AI335" i="2"/>
  <c r="A335" i="8" s="1"/>
  <c r="AI359" i="2"/>
  <c r="A359" i="8" s="1"/>
  <c r="AI383" i="2"/>
  <c r="A383" i="8" s="1"/>
  <c r="AI407" i="2"/>
  <c r="A407" i="8" s="1"/>
  <c r="AI431" i="2"/>
  <c r="A431" i="8" s="1"/>
  <c r="AI455" i="2"/>
  <c r="A455" i="8" s="1"/>
  <c r="AI479" i="2"/>
  <c r="A479" i="8" s="1"/>
  <c r="AI503" i="2"/>
  <c r="A503" i="8" s="1"/>
  <c r="AI527" i="2"/>
  <c r="A527" i="8" s="1"/>
  <c r="AI551" i="2"/>
  <c r="A551" i="8" s="1"/>
  <c r="AI575" i="2"/>
  <c r="A575" i="8" s="1"/>
  <c r="AI80" i="2"/>
  <c r="A80" i="8" s="1"/>
  <c r="AI128" i="2"/>
  <c r="A128" i="8" s="1"/>
  <c r="AI176" i="2"/>
  <c r="A176" i="8" s="1"/>
  <c r="AI224" i="2"/>
  <c r="A224" i="8" s="1"/>
  <c r="AI272" i="2"/>
  <c r="A272" i="8" s="1"/>
  <c r="AI320" i="2"/>
  <c r="A320" i="8" s="1"/>
  <c r="AI364" i="2"/>
  <c r="A364" i="8" s="1"/>
  <c r="AI400" i="2"/>
  <c r="A400" i="8" s="1"/>
  <c r="AI433" i="2"/>
  <c r="A433" i="8" s="1"/>
  <c r="AI465" i="2"/>
  <c r="A465" i="8" s="1"/>
  <c r="AI498" i="2"/>
  <c r="A498" i="8" s="1"/>
  <c r="AI529" i="2"/>
  <c r="A529" i="8" s="1"/>
  <c r="AI561" i="2"/>
  <c r="A561" i="8" s="1"/>
  <c r="AI594" i="2"/>
  <c r="A594" i="8" s="1"/>
  <c r="AI623" i="2"/>
  <c r="A623" i="8" s="1"/>
  <c r="AI654" i="2"/>
  <c r="A654" i="8" s="1"/>
  <c r="AI683" i="2"/>
  <c r="A683" i="8" s="1"/>
  <c r="AI715" i="2"/>
  <c r="A715" i="8" s="1"/>
  <c r="AI744" i="2"/>
  <c r="A744" i="8" s="1"/>
  <c r="AI775" i="2"/>
  <c r="A775" i="8" s="1"/>
  <c r="AI804" i="2"/>
  <c r="A804" i="8" s="1"/>
  <c r="AI836" i="2"/>
  <c r="A836" i="8" s="1"/>
  <c r="AI865" i="2"/>
  <c r="A865" i="8" s="1"/>
  <c r="AI896" i="2"/>
  <c r="A896" i="8" s="1"/>
  <c r="AI928" i="2"/>
  <c r="A928" i="8" s="1"/>
  <c r="AI957" i="2"/>
  <c r="A957" i="8" s="1"/>
  <c r="AI988" i="2"/>
  <c r="A988" i="8" s="1"/>
  <c r="AI1017" i="2"/>
  <c r="A1017" i="8" s="1"/>
  <c r="AI1049" i="2"/>
  <c r="A1049" i="8" s="1"/>
  <c r="AI1078" i="2"/>
  <c r="A1078" i="8" s="1"/>
  <c r="AI1109" i="2"/>
  <c r="A1109" i="8" s="1"/>
  <c r="AJ46" i="2"/>
  <c r="R46" i="8" s="1"/>
  <c r="AJ73" i="2"/>
  <c r="R73" i="8" s="1"/>
  <c r="AJ97" i="2"/>
  <c r="R97" i="8" s="1"/>
  <c r="AJ121" i="2"/>
  <c r="R121" i="8" s="1"/>
  <c r="AJ145" i="2"/>
  <c r="R145" i="8" s="1"/>
  <c r="AJ169" i="2"/>
  <c r="R169" i="8" s="1"/>
  <c r="AJ193" i="2"/>
  <c r="R193" i="8" s="1"/>
  <c r="AJ217" i="2"/>
  <c r="R217" i="8" s="1"/>
  <c r="AJ241" i="2"/>
  <c r="R241" i="8" s="1"/>
  <c r="AJ265" i="2"/>
  <c r="R265" i="8" s="1"/>
  <c r="AJ289" i="2"/>
  <c r="R289" i="8" s="1"/>
  <c r="AJ313" i="2"/>
  <c r="R313" i="8" s="1"/>
  <c r="AJ337" i="2"/>
  <c r="R337" i="8" s="1"/>
  <c r="AJ361" i="2"/>
  <c r="R361" i="8" s="1"/>
  <c r="AJ385" i="2"/>
  <c r="R385" i="8" s="1"/>
  <c r="AJ409" i="2"/>
  <c r="R409" i="8" s="1"/>
  <c r="AJ433" i="2"/>
  <c r="R433" i="8" s="1"/>
  <c r="AJ457" i="2"/>
  <c r="R457" i="8" s="1"/>
  <c r="AJ481" i="2"/>
  <c r="R481" i="8" s="1"/>
  <c r="AJ505" i="2"/>
  <c r="R505" i="8" s="1"/>
  <c r="AJ529" i="2"/>
  <c r="R529" i="8" s="1"/>
  <c r="AJ553" i="2"/>
  <c r="R553" i="8" s="1"/>
  <c r="AJ577" i="2"/>
  <c r="R577" i="8" s="1"/>
  <c r="AJ601" i="2"/>
  <c r="R601" i="8" s="1"/>
  <c r="AJ625" i="2"/>
  <c r="R625" i="8" s="1"/>
  <c r="AJ649" i="2"/>
  <c r="R649" i="8" s="1"/>
  <c r="AJ673" i="2"/>
  <c r="R673" i="8" s="1"/>
  <c r="AJ697" i="2"/>
  <c r="R697" i="8" s="1"/>
  <c r="AJ721" i="2"/>
  <c r="R721" i="8" s="1"/>
  <c r="AJ745" i="2"/>
  <c r="R745" i="8" s="1"/>
  <c r="AJ769" i="2"/>
  <c r="R769" i="8" s="1"/>
  <c r="AJ793" i="2"/>
  <c r="R793" i="8" s="1"/>
  <c r="AJ817" i="2"/>
  <c r="R817" i="8" s="1"/>
  <c r="AJ841" i="2"/>
  <c r="R841" i="8" s="1"/>
  <c r="AJ865" i="2"/>
  <c r="R865" i="8" s="1"/>
  <c r="AJ889" i="2"/>
  <c r="R889" i="8" s="1"/>
  <c r="AJ913" i="2"/>
  <c r="R913" i="8" s="1"/>
  <c r="AJ937" i="2"/>
  <c r="R937" i="8" s="1"/>
  <c r="AJ961" i="2"/>
  <c r="R961" i="8" s="1"/>
  <c r="AJ985" i="2"/>
  <c r="R985" i="8" s="1"/>
  <c r="AJ1009" i="2"/>
  <c r="R1009" i="8" s="1"/>
  <c r="AJ1033" i="2"/>
  <c r="R1033" i="8" s="1"/>
  <c r="AJ1057" i="2"/>
  <c r="R1057" i="8" s="1"/>
  <c r="AJ1081" i="2"/>
  <c r="R1081" i="8" s="1"/>
  <c r="AJ1105" i="2"/>
  <c r="R1105" i="8" s="1"/>
  <c r="AI81" i="2"/>
  <c r="A81" i="8" s="1"/>
  <c r="AI129" i="2"/>
  <c r="A129" i="8" s="1"/>
  <c r="AI177" i="2"/>
  <c r="A177" i="8" s="1"/>
  <c r="AI225" i="2"/>
  <c r="A225" i="8" s="1"/>
  <c r="AI273" i="2"/>
  <c r="A273" i="8" s="1"/>
  <c r="AI321" i="2"/>
  <c r="A321" i="8" s="1"/>
  <c r="AI366" i="2"/>
  <c r="A366" i="8" s="1"/>
  <c r="AI402" i="2"/>
  <c r="A402" i="8" s="1"/>
  <c r="AI436" i="2"/>
  <c r="A436" i="8" s="1"/>
  <c r="AI466" i="2"/>
  <c r="A466" i="8" s="1"/>
  <c r="AI499" i="2"/>
  <c r="A499" i="8" s="1"/>
  <c r="AI532" i="2"/>
  <c r="A532" i="8" s="1"/>
  <c r="AI562" i="2"/>
  <c r="A562" i="8" s="1"/>
  <c r="AI595" i="2"/>
  <c r="A595" i="8" s="1"/>
  <c r="AI624" i="2"/>
  <c r="A624" i="8" s="1"/>
  <c r="AI655" i="2"/>
  <c r="A655" i="8" s="1"/>
  <c r="AI684" i="2"/>
  <c r="A684" i="8" s="1"/>
  <c r="AI716" i="2"/>
  <c r="A716" i="8" s="1"/>
  <c r="AI745" i="2"/>
  <c r="A745" i="8" s="1"/>
  <c r="AI776" i="2"/>
  <c r="A776" i="8" s="1"/>
  <c r="AI808" i="2"/>
  <c r="A808" i="8" s="1"/>
  <c r="AI837" i="2"/>
  <c r="A837" i="8" s="1"/>
  <c r="AI868" i="2"/>
  <c r="A868" i="8" s="1"/>
  <c r="AI897" i="2"/>
  <c r="A897" i="8" s="1"/>
  <c r="AI929" i="2"/>
  <c r="A929" i="8" s="1"/>
  <c r="AI958" i="2"/>
  <c r="A958" i="8" s="1"/>
  <c r="AI989" i="2"/>
  <c r="A989" i="8" s="1"/>
  <c r="AI1018" i="2"/>
  <c r="A1018" i="8" s="1"/>
  <c r="AI1050" i="2"/>
  <c r="A1050" i="8" s="1"/>
  <c r="AI1079" i="2"/>
  <c r="A1079" i="8" s="1"/>
  <c r="AI1110" i="2"/>
  <c r="A1110" i="8" s="1"/>
  <c r="AJ47" i="2"/>
  <c r="R47" i="8" s="1"/>
  <c r="AJ74" i="2"/>
  <c r="R74" i="8" s="1"/>
  <c r="AJ98" i="2"/>
  <c r="R98" i="8" s="1"/>
  <c r="AJ122" i="2"/>
  <c r="R122" i="8" s="1"/>
  <c r="AJ146" i="2"/>
  <c r="R146" i="8" s="1"/>
  <c r="AJ170" i="2"/>
  <c r="R170" i="8" s="1"/>
  <c r="AJ194" i="2"/>
  <c r="R194" i="8" s="1"/>
  <c r="AJ218" i="2"/>
  <c r="R218" i="8" s="1"/>
  <c r="AJ242" i="2"/>
  <c r="R242" i="8" s="1"/>
  <c r="AJ266" i="2"/>
  <c r="R266" i="8" s="1"/>
  <c r="AJ290" i="2"/>
  <c r="R290" i="8" s="1"/>
  <c r="AJ314" i="2"/>
  <c r="R314" i="8" s="1"/>
  <c r="AJ338" i="2"/>
  <c r="R338" i="8" s="1"/>
  <c r="AJ362" i="2"/>
  <c r="R362" i="8" s="1"/>
  <c r="AJ386" i="2"/>
  <c r="R386" i="8" s="1"/>
  <c r="AJ410" i="2"/>
  <c r="R410" i="8" s="1"/>
  <c r="AJ434" i="2"/>
  <c r="R434" i="8" s="1"/>
  <c r="AJ458" i="2"/>
  <c r="R458" i="8" s="1"/>
  <c r="AJ482" i="2"/>
  <c r="R482" i="8" s="1"/>
  <c r="AJ506" i="2"/>
  <c r="R506" i="8" s="1"/>
  <c r="AJ530" i="2"/>
  <c r="R530" i="8" s="1"/>
  <c r="AJ554" i="2"/>
  <c r="R554" i="8" s="1"/>
  <c r="AJ578" i="2"/>
  <c r="R578" i="8" s="1"/>
  <c r="AJ602" i="2"/>
  <c r="R602" i="8" s="1"/>
  <c r="AJ626" i="2"/>
  <c r="R626" i="8" s="1"/>
  <c r="AJ650" i="2"/>
  <c r="R650" i="8" s="1"/>
  <c r="AJ674" i="2"/>
  <c r="R674" i="8" s="1"/>
  <c r="AJ698" i="2"/>
  <c r="R698" i="8" s="1"/>
  <c r="AJ722" i="2"/>
  <c r="R722" i="8" s="1"/>
  <c r="AJ746" i="2"/>
  <c r="R746" i="8" s="1"/>
  <c r="AJ770" i="2"/>
  <c r="R770" i="8" s="1"/>
  <c r="AJ794" i="2"/>
  <c r="R794" i="8" s="1"/>
  <c r="AJ818" i="2"/>
  <c r="R818" i="8" s="1"/>
  <c r="AJ842" i="2"/>
  <c r="R842" i="8" s="1"/>
  <c r="AJ866" i="2"/>
  <c r="R866" i="8" s="1"/>
  <c r="AJ890" i="2"/>
  <c r="R890" i="8" s="1"/>
  <c r="AJ914" i="2"/>
  <c r="R914" i="8" s="1"/>
  <c r="AJ938" i="2"/>
  <c r="R938" i="8" s="1"/>
  <c r="AJ962" i="2"/>
  <c r="R962" i="8" s="1"/>
  <c r="AJ986" i="2"/>
  <c r="R986" i="8" s="1"/>
  <c r="AJ1010" i="2"/>
  <c r="R1010" i="8" s="1"/>
  <c r="AJ1034" i="2"/>
  <c r="R1034" i="8" s="1"/>
  <c r="AJ1058" i="2"/>
  <c r="R1058" i="8" s="1"/>
  <c r="AJ1082" i="2"/>
  <c r="R1082" i="8" s="1"/>
  <c r="AJ1106" i="2"/>
  <c r="R1106" i="8" s="1"/>
  <c r="AI82" i="2"/>
  <c r="A82" i="8" s="1"/>
  <c r="AI130" i="2"/>
  <c r="A130" i="8" s="1"/>
  <c r="AI178" i="2"/>
  <c r="A178" i="8" s="1"/>
  <c r="AI226" i="2"/>
  <c r="A226" i="8" s="1"/>
  <c r="AI274" i="2"/>
  <c r="A274" i="8" s="1"/>
  <c r="AI322" i="2"/>
  <c r="A322" i="8" s="1"/>
  <c r="AI367" i="2"/>
  <c r="A367" i="8" s="1"/>
  <c r="AI403" i="2"/>
  <c r="A403" i="8" s="1"/>
  <c r="AI437" i="2"/>
  <c r="A437" i="8" s="1"/>
  <c r="AI467" i="2"/>
  <c r="A467" i="8" s="1"/>
  <c r="AI500" i="2"/>
  <c r="A500" i="8" s="1"/>
  <c r="AI533" i="2"/>
  <c r="A533" i="8" s="1"/>
  <c r="AI563" i="2"/>
  <c r="A563" i="8" s="1"/>
  <c r="AI596" i="2"/>
  <c r="A596" i="8" s="1"/>
  <c r="AI625" i="2"/>
  <c r="A625" i="8" s="1"/>
  <c r="AI656" i="2"/>
  <c r="A656" i="8" s="1"/>
  <c r="AI688" i="2"/>
  <c r="A688" i="8" s="1"/>
  <c r="AI717" i="2"/>
  <c r="A717" i="8" s="1"/>
  <c r="AI748" i="2"/>
  <c r="A748" i="8" s="1"/>
  <c r="AI777" i="2"/>
  <c r="A777" i="8" s="1"/>
  <c r="AI809" i="2"/>
  <c r="A809" i="8" s="1"/>
  <c r="AI838" i="2"/>
  <c r="A838" i="8" s="1"/>
  <c r="AI869" i="2"/>
  <c r="A869" i="8" s="1"/>
  <c r="AI898" i="2"/>
  <c r="A898" i="8" s="1"/>
  <c r="AI930" i="2"/>
  <c r="A930" i="8" s="1"/>
  <c r="AI959" i="2"/>
  <c r="A959" i="8" s="1"/>
  <c r="AI990" i="2"/>
  <c r="A990" i="8" s="1"/>
  <c r="AI1019" i="2"/>
  <c r="A1019" i="8" s="1"/>
  <c r="AI1051" i="2"/>
  <c r="A1051" i="8" s="1"/>
  <c r="AI1080" i="2"/>
  <c r="A1080" i="8" s="1"/>
  <c r="AI1111" i="2"/>
  <c r="A1111" i="8" s="1"/>
  <c r="AJ48" i="2"/>
  <c r="R48" i="8" s="1"/>
  <c r="AJ75" i="2"/>
  <c r="R75" i="8" s="1"/>
  <c r="AJ99" i="2"/>
  <c r="R99" i="8" s="1"/>
  <c r="AJ123" i="2"/>
  <c r="R123" i="8" s="1"/>
  <c r="AJ147" i="2"/>
  <c r="R147" i="8" s="1"/>
  <c r="AJ171" i="2"/>
  <c r="R171" i="8" s="1"/>
  <c r="AJ195" i="2"/>
  <c r="R195" i="8" s="1"/>
  <c r="AJ219" i="2"/>
  <c r="R219" i="8" s="1"/>
  <c r="AJ243" i="2"/>
  <c r="R243" i="8" s="1"/>
  <c r="AJ267" i="2"/>
  <c r="R267" i="8" s="1"/>
  <c r="AJ291" i="2"/>
  <c r="R291" i="8" s="1"/>
  <c r="AJ315" i="2"/>
  <c r="R315" i="8" s="1"/>
  <c r="AJ339" i="2"/>
  <c r="R339" i="8" s="1"/>
  <c r="AJ363" i="2"/>
  <c r="R363" i="8" s="1"/>
  <c r="AJ387" i="2"/>
  <c r="R387" i="8" s="1"/>
  <c r="AJ411" i="2"/>
  <c r="R411" i="8" s="1"/>
  <c r="AJ435" i="2"/>
  <c r="R435" i="8" s="1"/>
  <c r="AJ459" i="2"/>
  <c r="R459" i="8" s="1"/>
  <c r="AJ483" i="2"/>
  <c r="R483" i="8" s="1"/>
  <c r="AJ507" i="2"/>
  <c r="R507" i="8" s="1"/>
  <c r="AJ531" i="2"/>
  <c r="R531" i="8" s="1"/>
  <c r="AJ555" i="2"/>
  <c r="R555" i="8" s="1"/>
  <c r="AJ579" i="2"/>
  <c r="R579" i="8" s="1"/>
  <c r="AJ603" i="2"/>
  <c r="R603" i="8" s="1"/>
  <c r="AJ627" i="2"/>
  <c r="R627" i="8" s="1"/>
  <c r="AJ651" i="2"/>
  <c r="R651" i="8" s="1"/>
  <c r="AJ675" i="2"/>
  <c r="R675" i="8" s="1"/>
  <c r="AJ699" i="2"/>
  <c r="R699" i="8" s="1"/>
  <c r="AJ723" i="2"/>
  <c r="R723" i="8" s="1"/>
  <c r="AJ747" i="2"/>
  <c r="R747" i="8" s="1"/>
  <c r="AJ771" i="2"/>
  <c r="R771" i="8" s="1"/>
  <c r="AJ795" i="2"/>
  <c r="R795" i="8" s="1"/>
  <c r="AJ819" i="2"/>
  <c r="R819" i="8" s="1"/>
  <c r="AJ843" i="2"/>
  <c r="R843" i="8" s="1"/>
  <c r="AJ867" i="2"/>
  <c r="R867" i="8" s="1"/>
  <c r="AJ891" i="2"/>
  <c r="R891" i="8" s="1"/>
  <c r="AJ915" i="2"/>
  <c r="R915" i="8" s="1"/>
  <c r="AJ939" i="2"/>
  <c r="R939" i="8" s="1"/>
  <c r="AJ963" i="2"/>
  <c r="R963" i="8" s="1"/>
  <c r="AJ987" i="2"/>
  <c r="R987" i="8" s="1"/>
  <c r="AJ1011" i="2"/>
  <c r="R1011" i="8" s="1"/>
  <c r="AJ1035" i="2"/>
  <c r="R1035" i="8" s="1"/>
  <c r="AJ1059" i="2"/>
  <c r="R1059" i="8" s="1"/>
  <c r="AJ1083" i="2"/>
  <c r="R1083" i="8" s="1"/>
  <c r="AJ1107" i="2"/>
  <c r="R1107" i="8" s="1"/>
  <c r="AI83" i="2"/>
  <c r="A83" i="8" s="1"/>
  <c r="AI131" i="2"/>
  <c r="A131" i="8" s="1"/>
  <c r="AI179" i="2"/>
  <c r="A179" i="8" s="1"/>
  <c r="AI227" i="2"/>
  <c r="A227" i="8" s="1"/>
  <c r="AI275" i="2"/>
  <c r="A275" i="8" s="1"/>
  <c r="AI323" i="2"/>
  <c r="A323" i="8" s="1"/>
  <c r="AI368" i="2"/>
  <c r="A368" i="8" s="1"/>
  <c r="AI404" i="2"/>
  <c r="A404" i="8" s="1"/>
  <c r="AI438" i="2"/>
  <c r="A438" i="8" s="1"/>
  <c r="AI468" i="2"/>
  <c r="A468" i="8" s="1"/>
  <c r="AI501" i="2"/>
  <c r="A501" i="8" s="1"/>
  <c r="AI534" i="2"/>
  <c r="A534" i="8" s="1"/>
  <c r="AI564" i="2"/>
  <c r="A564" i="8" s="1"/>
  <c r="AI597" i="2"/>
  <c r="A597" i="8" s="1"/>
  <c r="AI628" i="2"/>
  <c r="A628" i="8" s="1"/>
  <c r="AI657" i="2"/>
  <c r="A657" i="8" s="1"/>
  <c r="AI689" i="2"/>
  <c r="A689" i="8" s="1"/>
  <c r="AI718" i="2"/>
  <c r="A718" i="8" s="1"/>
  <c r="AI749" i="2"/>
  <c r="A749" i="8" s="1"/>
  <c r="AI778" i="2"/>
  <c r="A778" i="8" s="1"/>
  <c r="AI810" i="2"/>
  <c r="A810" i="8" s="1"/>
  <c r="AI839" i="2"/>
  <c r="A839" i="8" s="1"/>
  <c r="AI870" i="2"/>
  <c r="A870" i="8" s="1"/>
  <c r="AI899" i="2"/>
  <c r="A899" i="8" s="1"/>
  <c r="AI931" i="2"/>
  <c r="A931" i="8" s="1"/>
  <c r="AI960" i="2"/>
  <c r="A960" i="8" s="1"/>
  <c r="AI991" i="2"/>
  <c r="A991" i="8" s="1"/>
  <c r="AI1020" i="2"/>
  <c r="A1020" i="8" s="1"/>
  <c r="AI1052" i="2"/>
  <c r="A1052" i="8" s="1"/>
  <c r="AI1081" i="2"/>
  <c r="A1081" i="8" s="1"/>
  <c r="AI1112" i="2"/>
  <c r="A1112" i="8" s="1"/>
  <c r="AJ52" i="2"/>
  <c r="R52" i="8" s="1"/>
  <c r="AJ76" i="2"/>
  <c r="R76" i="8" s="1"/>
  <c r="AJ100" i="2"/>
  <c r="R100" i="8" s="1"/>
  <c r="AJ124" i="2"/>
  <c r="R124" i="8" s="1"/>
  <c r="AJ148" i="2"/>
  <c r="R148" i="8" s="1"/>
  <c r="AJ172" i="2"/>
  <c r="R172" i="8" s="1"/>
  <c r="AJ196" i="2"/>
  <c r="R196" i="8" s="1"/>
  <c r="AJ220" i="2"/>
  <c r="R220" i="8" s="1"/>
  <c r="AJ244" i="2"/>
  <c r="R244" i="8" s="1"/>
  <c r="AJ268" i="2"/>
  <c r="R268" i="8" s="1"/>
  <c r="AJ292" i="2"/>
  <c r="R292" i="8" s="1"/>
  <c r="AJ316" i="2"/>
  <c r="R316" i="8" s="1"/>
  <c r="AJ340" i="2"/>
  <c r="R340" i="8" s="1"/>
  <c r="AJ364" i="2"/>
  <c r="R364" i="8" s="1"/>
  <c r="AJ388" i="2"/>
  <c r="R388" i="8" s="1"/>
  <c r="AJ412" i="2"/>
  <c r="R412" i="8" s="1"/>
  <c r="AJ436" i="2"/>
  <c r="R436" i="8" s="1"/>
  <c r="AJ460" i="2"/>
  <c r="R460" i="8" s="1"/>
  <c r="AJ484" i="2"/>
  <c r="R484" i="8" s="1"/>
  <c r="AJ508" i="2"/>
  <c r="R508" i="8" s="1"/>
  <c r="AJ532" i="2"/>
  <c r="R532" i="8" s="1"/>
  <c r="AJ556" i="2"/>
  <c r="R556" i="8" s="1"/>
  <c r="AJ580" i="2"/>
  <c r="R580" i="8" s="1"/>
  <c r="AJ604" i="2"/>
  <c r="R604" i="8" s="1"/>
  <c r="AJ628" i="2"/>
  <c r="R628" i="8" s="1"/>
  <c r="AJ652" i="2"/>
  <c r="R652" i="8" s="1"/>
  <c r="AJ676" i="2"/>
  <c r="R676" i="8" s="1"/>
  <c r="AJ700" i="2"/>
  <c r="R700" i="8" s="1"/>
  <c r="AJ724" i="2"/>
  <c r="R724" i="8" s="1"/>
  <c r="AJ748" i="2"/>
  <c r="R748" i="8" s="1"/>
  <c r="AJ772" i="2"/>
  <c r="R772" i="8" s="1"/>
  <c r="AJ796" i="2"/>
  <c r="R796" i="8" s="1"/>
  <c r="AJ820" i="2"/>
  <c r="R820" i="8" s="1"/>
  <c r="AJ844" i="2"/>
  <c r="R844" i="8" s="1"/>
  <c r="AJ868" i="2"/>
  <c r="R868" i="8" s="1"/>
  <c r="AJ892" i="2"/>
  <c r="R892" i="8" s="1"/>
  <c r="AJ916" i="2"/>
  <c r="R916" i="8" s="1"/>
  <c r="AJ940" i="2"/>
  <c r="R940" i="8" s="1"/>
  <c r="AJ964" i="2"/>
  <c r="R964" i="8" s="1"/>
  <c r="AI84" i="2"/>
  <c r="A84" i="8" s="1"/>
  <c r="AI132" i="2"/>
  <c r="A132" i="8" s="1"/>
  <c r="AI180" i="2"/>
  <c r="A180" i="8" s="1"/>
  <c r="AI228" i="2"/>
  <c r="A228" i="8" s="1"/>
  <c r="AI276" i="2"/>
  <c r="A276" i="8" s="1"/>
  <c r="AI324" i="2"/>
  <c r="A324" i="8" s="1"/>
  <c r="AI369" i="2"/>
  <c r="A369" i="8" s="1"/>
  <c r="AI405" i="2"/>
  <c r="A405" i="8" s="1"/>
  <c r="AI439" i="2"/>
  <c r="A439" i="8" s="1"/>
  <c r="AI472" i="2"/>
  <c r="A472" i="8" s="1"/>
  <c r="AI502" i="2"/>
  <c r="A502" i="8" s="1"/>
  <c r="AI535" i="2"/>
  <c r="A535" i="8" s="1"/>
  <c r="AI568" i="2"/>
  <c r="A568" i="8" s="1"/>
  <c r="AI598" i="2"/>
  <c r="A598" i="8" s="1"/>
  <c r="AI629" i="2"/>
  <c r="A629" i="8" s="1"/>
  <c r="AI658" i="2"/>
  <c r="A658" i="8" s="1"/>
  <c r="AI690" i="2"/>
  <c r="A690" i="8" s="1"/>
  <c r="AI719" i="2"/>
  <c r="A719" i="8" s="1"/>
  <c r="AI750" i="2"/>
  <c r="A750" i="8" s="1"/>
  <c r="AI779" i="2"/>
  <c r="A779" i="8" s="1"/>
  <c r="AI811" i="2"/>
  <c r="A811" i="8" s="1"/>
  <c r="AI840" i="2"/>
  <c r="A840" i="8" s="1"/>
  <c r="AI871" i="2"/>
  <c r="A871" i="8" s="1"/>
  <c r="AI900" i="2"/>
  <c r="A900" i="8" s="1"/>
  <c r="AI932" i="2"/>
  <c r="A932" i="8" s="1"/>
  <c r="AI961" i="2"/>
  <c r="A961" i="8" s="1"/>
  <c r="AI992" i="2"/>
  <c r="A992" i="8" s="1"/>
  <c r="AI1024" i="2"/>
  <c r="A1024" i="8" s="1"/>
  <c r="AI1053" i="2"/>
  <c r="A1053" i="8" s="1"/>
  <c r="AI1084" i="2"/>
  <c r="A1084" i="8" s="1"/>
  <c r="AI1113" i="2"/>
  <c r="A1113" i="8" s="1"/>
  <c r="AJ53" i="2"/>
  <c r="R53" i="8" s="1"/>
  <c r="AJ77" i="2"/>
  <c r="R77" i="8" s="1"/>
  <c r="AJ101" i="2"/>
  <c r="R101" i="8" s="1"/>
  <c r="AJ125" i="2"/>
  <c r="R125" i="8" s="1"/>
  <c r="AJ149" i="2"/>
  <c r="R149" i="8" s="1"/>
  <c r="AJ173" i="2"/>
  <c r="R173" i="8" s="1"/>
  <c r="AJ197" i="2"/>
  <c r="R197" i="8" s="1"/>
  <c r="AJ221" i="2"/>
  <c r="R221" i="8" s="1"/>
  <c r="AJ245" i="2"/>
  <c r="R245" i="8" s="1"/>
  <c r="AJ269" i="2"/>
  <c r="R269" i="8" s="1"/>
  <c r="AJ293" i="2"/>
  <c r="R293" i="8" s="1"/>
  <c r="AJ317" i="2"/>
  <c r="R317" i="8" s="1"/>
  <c r="AJ341" i="2"/>
  <c r="R341" i="8" s="1"/>
  <c r="AJ365" i="2"/>
  <c r="R365" i="8" s="1"/>
  <c r="AJ389" i="2"/>
  <c r="R389" i="8" s="1"/>
  <c r="AJ413" i="2"/>
  <c r="R413" i="8" s="1"/>
  <c r="AJ437" i="2"/>
  <c r="R437" i="8" s="1"/>
  <c r="AJ461" i="2"/>
  <c r="R461" i="8" s="1"/>
  <c r="AJ485" i="2"/>
  <c r="R485" i="8" s="1"/>
  <c r="AJ509" i="2"/>
  <c r="R509" i="8" s="1"/>
  <c r="AJ533" i="2"/>
  <c r="R533" i="8" s="1"/>
  <c r="AJ557" i="2"/>
  <c r="R557" i="8" s="1"/>
  <c r="AJ581" i="2"/>
  <c r="R581" i="8" s="1"/>
  <c r="AJ605" i="2"/>
  <c r="R605" i="8" s="1"/>
  <c r="AJ629" i="2"/>
  <c r="R629" i="8" s="1"/>
  <c r="AJ653" i="2"/>
  <c r="R653" i="8" s="1"/>
  <c r="AJ677" i="2"/>
  <c r="R677" i="8" s="1"/>
  <c r="AJ701" i="2"/>
  <c r="R701" i="8" s="1"/>
  <c r="AJ725" i="2"/>
  <c r="R725" i="8" s="1"/>
  <c r="AJ749" i="2"/>
  <c r="R749" i="8" s="1"/>
  <c r="AJ773" i="2"/>
  <c r="R773" i="8" s="1"/>
  <c r="AJ797" i="2"/>
  <c r="R797" i="8" s="1"/>
  <c r="AJ821" i="2"/>
  <c r="R821" i="8" s="1"/>
  <c r="AJ845" i="2"/>
  <c r="R845" i="8" s="1"/>
  <c r="AJ869" i="2"/>
  <c r="R869" i="8" s="1"/>
  <c r="AJ893" i="2"/>
  <c r="R893" i="8" s="1"/>
  <c r="AI91" i="2"/>
  <c r="A91" i="8" s="1"/>
  <c r="AI139" i="2"/>
  <c r="A139" i="8" s="1"/>
  <c r="AI187" i="2"/>
  <c r="A187" i="8" s="1"/>
  <c r="AI235" i="2"/>
  <c r="A235" i="8" s="1"/>
  <c r="AI283" i="2"/>
  <c r="A283" i="8" s="1"/>
  <c r="AI331" i="2"/>
  <c r="A331" i="8" s="1"/>
  <c r="AI370" i="2"/>
  <c r="A370" i="8" s="1"/>
  <c r="AI406" i="2"/>
  <c r="A406" i="8" s="1"/>
  <c r="AI440" i="2"/>
  <c r="A440" i="8" s="1"/>
  <c r="AI473" i="2"/>
  <c r="A473" i="8" s="1"/>
  <c r="AI504" i="2"/>
  <c r="A504" i="8" s="1"/>
  <c r="AI536" i="2"/>
  <c r="A536" i="8" s="1"/>
  <c r="AI569" i="2"/>
  <c r="A569" i="8" s="1"/>
  <c r="AI599" i="2"/>
  <c r="A599" i="8" s="1"/>
  <c r="AI630" i="2"/>
  <c r="A630" i="8" s="1"/>
  <c r="AI659" i="2"/>
  <c r="A659" i="8" s="1"/>
  <c r="AI691" i="2"/>
  <c r="A691" i="8" s="1"/>
  <c r="AI720" i="2"/>
  <c r="A720" i="8" s="1"/>
  <c r="AI751" i="2"/>
  <c r="A751" i="8" s="1"/>
  <c r="AI780" i="2"/>
  <c r="A780" i="8" s="1"/>
  <c r="AI812" i="2"/>
  <c r="A812" i="8" s="1"/>
  <c r="AI841" i="2"/>
  <c r="A841" i="8" s="1"/>
  <c r="AI872" i="2"/>
  <c r="A872" i="8" s="1"/>
  <c r="AI904" i="2"/>
  <c r="A904" i="8" s="1"/>
  <c r="AI933" i="2"/>
  <c r="A933" i="8" s="1"/>
  <c r="AI964" i="2"/>
  <c r="A964" i="8" s="1"/>
  <c r="AI993" i="2"/>
  <c r="A993" i="8" s="1"/>
  <c r="AI1025" i="2"/>
  <c r="A1025" i="8" s="1"/>
  <c r="AI1054" i="2"/>
  <c r="A1054" i="8" s="1"/>
  <c r="AI1085" i="2"/>
  <c r="A1085" i="8" s="1"/>
  <c r="AI1114" i="2"/>
  <c r="A1114" i="8" s="1"/>
  <c r="AJ54" i="2"/>
  <c r="R54" i="8" s="1"/>
  <c r="AJ78" i="2"/>
  <c r="R78" i="8" s="1"/>
  <c r="AJ102" i="2"/>
  <c r="R102" i="8" s="1"/>
  <c r="AJ126" i="2"/>
  <c r="R126" i="8" s="1"/>
  <c r="AJ150" i="2"/>
  <c r="R150" i="8" s="1"/>
  <c r="AJ174" i="2"/>
  <c r="R174" i="8" s="1"/>
  <c r="AJ198" i="2"/>
  <c r="R198" i="8" s="1"/>
  <c r="AJ222" i="2"/>
  <c r="R222" i="8" s="1"/>
  <c r="AJ246" i="2"/>
  <c r="R246" i="8" s="1"/>
  <c r="AJ270" i="2"/>
  <c r="R270" i="8" s="1"/>
  <c r="AJ294" i="2"/>
  <c r="R294" i="8" s="1"/>
  <c r="AJ318" i="2"/>
  <c r="R318" i="8" s="1"/>
  <c r="AJ342" i="2"/>
  <c r="R342" i="8" s="1"/>
  <c r="AJ366" i="2"/>
  <c r="R366" i="8" s="1"/>
  <c r="AJ390" i="2"/>
  <c r="R390" i="8" s="1"/>
  <c r="AJ414" i="2"/>
  <c r="R414" i="8" s="1"/>
  <c r="AJ438" i="2"/>
  <c r="R438" i="8" s="1"/>
  <c r="AJ462" i="2"/>
  <c r="R462" i="8" s="1"/>
  <c r="AJ486" i="2"/>
  <c r="R486" i="8" s="1"/>
  <c r="AJ510" i="2"/>
  <c r="R510" i="8" s="1"/>
  <c r="AJ534" i="2"/>
  <c r="R534" i="8" s="1"/>
  <c r="AJ558" i="2"/>
  <c r="R558" i="8" s="1"/>
  <c r="AJ582" i="2"/>
  <c r="R582" i="8" s="1"/>
  <c r="AJ606" i="2"/>
  <c r="R606" i="8" s="1"/>
  <c r="AJ630" i="2"/>
  <c r="R630" i="8" s="1"/>
  <c r="AJ654" i="2"/>
  <c r="R654" i="8" s="1"/>
  <c r="AJ678" i="2"/>
  <c r="R678" i="8" s="1"/>
  <c r="AJ702" i="2"/>
  <c r="R702" i="8" s="1"/>
  <c r="AJ726" i="2"/>
  <c r="R726" i="8" s="1"/>
  <c r="AJ750" i="2"/>
  <c r="R750" i="8" s="1"/>
  <c r="AJ774" i="2"/>
  <c r="R774" i="8" s="1"/>
  <c r="AJ798" i="2"/>
  <c r="R798" i="8" s="1"/>
  <c r="AJ822" i="2"/>
  <c r="R822" i="8" s="1"/>
  <c r="AJ846" i="2"/>
  <c r="R846" i="8" s="1"/>
  <c r="AJ870" i="2"/>
  <c r="R870" i="8" s="1"/>
  <c r="AJ894" i="2"/>
  <c r="R894" i="8" s="1"/>
  <c r="AJ918" i="2"/>
  <c r="R918" i="8" s="1"/>
  <c r="AJ942" i="2"/>
  <c r="R942" i="8" s="1"/>
  <c r="AJ966" i="2"/>
  <c r="R966" i="8" s="1"/>
  <c r="AJ990" i="2"/>
  <c r="R990" i="8" s="1"/>
  <c r="AJ1014" i="2"/>
  <c r="R1014" i="8" s="1"/>
  <c r="AJ1038" i="2"/>
  <c r="R1038" i="8" s="1"/>
  <c r="AJ1062" i="2"/>
  <c r="R1062" i="8" s="1"/>
  <c r="AJ1086" i="2"/>
  <c r="R1086" i="8" s="1"/>
  <c r="AJ1110" i="2"/>
  <c r="R1110" i="8" s="1"/>
  <c r="AI92" i="2"/>
  <c r="A92" i="8" s="1"/>
  <c r="AI140" i="2"/>
  <c r="A140" i="8" s="1"/>
  <c r="AI188" i="2"/>
  <c r="A188" i="8" s="1"/>
  <c r="AI236" i="2"/>
  <c r="A236" i="8" s="1"/>
  <c r="AI284" i="2"/>
  <c r="A284" i="8" s="1"/>
  <c r="AI332" i="2"/>
  <c r="A332" i="8" s="1"/>
  <c r="AI371" i="2"/>
  <c r="A371" i="8" s="1"/>
  <c r="AI408" i="2"/>
  <c r="A408" i="8" s="1"/>
  <c r="AI441" i="2"/>
  <c r="A441" i="8" s="1"/>
  <c r="AI474" i="2"/>
  <c r="A474" i="8" s="1"/>
  <c r="AI505" i="2"/>
  <c r="A505" i="8" s="1"/>
  <c r="AI537" i="2"/>
  <c r="A537" i="8" s="1"/>
  <c r="AI570" i="2"/>
  <c r="A570" i="8" s="1"/>
  <c r="AI600" i="2"/>
  <c r="A600" i="8" s="1"/>
  <c r="AI631" i="2"/>
  <c r="A631" i="8" s="1"/>
  <c r="AI660" i="2"/>
  <c r="A660" i="8" s="1"/>
  <c r="AI692" i="2"/>
  <c r="A692" i="8" s="1"/>
  <c r="AI721" i="2"/>
  <c r="A721" i="8" s="1"/>
  <c r="AI752" i="2"/>
  <c r="A752" i="8" s="1"/>
  <c r="AI784" i="2"/>
  <c r="A784" i="8" s="1"/>
  <c r="AI813" i="2"/>
  <c r="A813" i="8" s="1"/>
  <c r="AI844" i="2"/>
  <c r="A844" i="8" s="1"/>
  <c r="AI873" i="2"/>
  <c r="A873" i="8" s="1"/>
  <c r="AI905" i="2"/>
  <c r="A905" i="8" s="1"/>
  <c r="AI934" i="2"/>
  <c r="A934" i="8" s="1"/>
  <c r="AI965" i="2"/>
  <c r="A965" i="8" s="1"/>
  <c r="AI994" i="2"/>
  <c r="A994" i="8" s="1"/>
  <c r="AI1026" i="2"/>
  <c r="A1026" i="8" s="1"/>
  <c r="AI1055" i="2"/>
  <c r="A1055" i="8" s="1"/>
  <c r="AI1086" i="2"/>
  <c r="A1086" i="8" s="1"/>
  <c r="AI1115" i="2"/>
  <c r="A1115" i="8" s="1"/>
  <c r="AJ55" i="2"/>
  <c r="R55" i="8" s="1"/>
  <c r="AJ79" i="2"/>
  <c r="R79" i="8" s="1"/>
  <c r="AJ103" i="2"/>
  <c r="R103" i="8" s="1"/>
  <c r="AJ127" i="2"/>
  <c r="R127" i="8" s="1"/>
  <c r="AJ151" i="2"/>
  <c r="R151" i="8" s="1"/>
  <c r="AJ175" i="2"/>
  <c r="R175" i="8" s="1"/>
  <c r="AJ199" i="2"/>
  <c r="R199" i="8" s="1"/>
  <c r="AJ223" i="2"/>
  <c r="R223" i="8" s="1"/>
  <c r="AJ247" i="2"/>
  <c r="R247" i="8" s="1"/>
  <c r="AJ271" i="2"/>
  <c r="R271" i="8" s="1"/>
  <c r="AJ295" i="2"/>
  <c r="R295" i="8" s="1"/>
  <c r="AJ319" i="2"/>
  <c r="R319" i="8" s="1"/>
  <c r="AJ343" i="2"/>
  <c r="R343" i="8" s="1"/>
  <c r="AJ367" i="2"/>
  <c r="R367" i="8" s="1"/>
  <c r="AJ391" i="2"/>
  <c r="R391" i="8" s="1"/>
  <c r="AJ415" i="2"/>
  <c r="R415" i="8" s="1"/>
  <c r="AJ439" i="2"/>
  <c r="R439" i="8" s="1"/>
  <c r="AJ463" i="2"/>
  <c r="R463" i="8" s="1"/>
  <c r="AJ487" i="2"/>
  <c r="R487" i="8" s="1"/>
  <c r="AJ511" i="2"/>
  <c r="R511" i="8" s="1"/>
  <c r="AJ535" i="2"/>
  <c r="R535" i="8" s="1"/>
  <c r="AJ559" i="2"/>
  <c r="R559" i="8" s="1"/>
  <c r="AJ583" i="2"/>
  <c r="R583" i="8" s="1"/>
  <c r="AJ607" i="2"/>
  <c r="R607" i="8" s="1"/>
  <c r="AJ631" i="2"/>
  <c r="R631" i="8" s="1"/>
  <c r="AJ655" i="2"/>
  <c r="R655" i="8" s="1"/>
  <c r="AJ679" i="2"/>
  <c r="R679" i="8" s="1"/>
  <c r="AJ703" i="2"/>
  <c r="R703" i="8" s="1"/>
  <c r="AJ727" i="2"/>
  <c r="R727" i="8" s="1"/>
  <c r="AJ751" i="2"/>
  <c r="R751" i="8" s="1"/>
  <c r="AJ775" i="2"/>
  <c r="R775" i="8" s="1"/>
  <c r="AJ799" i="2"/>
  <c r="R799" i="8" s="1"/>
  <c r="AI93" i="2"/>
  <c r="A93" i="8" s="1"/>
  <c r="AI141" i="2"/>
  <c r="A141" i="8" s="1"/>
  <c r="AI189" i="2"/>
  <c r="A189" i="8" s="1"/>
  <c r="AI237" i="2"/>
  <c r="A237" i="8" s="1"/>
  <c r="AI285" i="2"/>
  <c r="A285" i="8" s="1"/>
  <c r="AI333" i="2"/>
  <c r="A333" i="8" s="1"/>
  <c r="AI372" i="2"/>
  <c r="A372" i="8" s="1"/>
  <c r="AI409" i="2"/>
  <c r="A409" i="8" s="1"/>
  <c r="AI442" i="2"/>
  <c r="A442" i="8" s="1"/>
  <c r="AI475" i="2"/>
  <c r="A475" i="8" s="1"/>
  <c r="AI508" i="2"/>
  <c r="A508" i="8" s="1"/>
  <c r="AI538" i="2"/>
  <c r="A538" i="8" s="1"/>
  <c r="AI571" i="2"/>
  <c r="A571" i="8" s="1"/>
  <c r="AI601" i="2"/>
  <c r="A601" i="8" s="1"/>
  <c r="AI632" i="2"/>
  <c r="A632" i="8" s="1"/>
  <c r="AI664" i="2"/>
  <c r="A664" i="8" s="1"/>
  <c r="AI693" i="2"/>
  <c r="A693" i="8" s="1"/>
  <c r="AI724" i="2"/>
  <c r="A724" i="8" s="1"/>
  <c r="AI753" i="2"/>
  <c r="A753" i="8" s="1"/>
  <c r="AI785" i="2"/>
  <c r="A785" i="8" s="1"/>
  <c r="AI814" i="2"/>
  <c r="A814" i="8" s="1"/>
  <c r="AI845" i="2"/>
  <c r="A845" i="8" s="1"/>
  <c r="AI874" i="2"/>
  <c r="A874" i="8" s="1"/>
  <c r="AI906" i="2"/>
  <c r="A906" i="8" s="1"/>
  <c r="AI935" i="2"/>
  <c r="A935" i="8" s="1"/>
  <c r="AI966" i="2"/>
  <c r="A966" i="8" s="1"/>
  <c r="AI995" i="2"/>
  <c r="A995" i="8" s="1"/>
  <c r="AI1027" i="2"/>
  <c r="A1027" i="8" s="1"/>
  <c r="AI1056" i="2"/>
  <c r="A1056" i="8" s="1"/>
  <c r="AI1087" i="2"/>
  <c r="A1087" i="8" s="1"/>
  <c r="AI1116" i="2"/>
  <c r="A1116" i="8" s="1"/>
  <c r="AJ56" i="2"/>
  <c r="R56" i="8" s="1"/>
  <c r="AJ80" i="2"/>
  <c r="R80" i="8" s="1"/>
  <c r="AJ104" i="2"/>
  <c r="R104" i="8" s="1"/>
  <c r="AJ128" i="2"/>
  <c r="R128" i="8" s="1"/>
  <c r="AJ152" i="2"/>
  <c r="R152" i="8" s="1"/>
  <c r="AJ176" i="2"/>
  <c r="R176" i="8" s="1"/>
  <c r="AJ200" i="2"/>
  <c r="R200" i="8" s="1"/>
  <c r="AJ224" i="2"/>
  <c r="R224" i="8" s="1"/>
  <c r="AJ248" i="2"/>
  <c r="R248" i="8" s="1"/>
  <c r="AJ272" i="2"/>
  <c r="R272" i="8" s="1"/>
  <c r="AJ296" i="2"/>
  <c r="R296" i="8" s="1"/>
  <c r="AJ320" i="2"/>
  <c r="R320" i="8" s="1"/>
  <c r="AJ344" i="2"/>
  <c r="R344" i="8" s="1"/>
  <c r="AJ368" i="2"/>
  <c r="R368" i="8" s="1"/>
  <c r="AJ392" i="2"/>
  <c r="R392" i="8" s="1"/>
  <c r="AJ416" i="2"/>
  <c r="R416" i="8" s="1"/>
  <c r="AJ440" i="2"/>
  <c r="R440" i="8" s="1"/>
  <c r="AJ464" i="2"/>
  <c r="R464" i="8" s="1"/>
  <c r="AJ488" i="2"/>
  <c r="R488" i="8" s="1"/>
  <c r="AJ512" i="2"/>
  <c r="R512" i="8" s="1"/>
  <c r="AJ536" i="2"/>
  <c r="R536" i="8" s="1"/>
  <c r="AJ560" i="2"/>
  <c r="R560" i="8" s="1"/>
  <c r="AJ584" i="2"/>
  <c r="R584" i="8" s="1"/>
  <c r="AJ608" i="2"/>
  <c r="R608" i="8" s="1"/>
  <c r="AJ632" i="2"/>
  <c r="R632" i="8" s="1"/>
  <c r="AJ656" i="2"/>
  <c r="R656" i="8" s="1"/>
  <c r="AJ680" i="2"/>
  <c r="R680" i="8" s="1"/>
  <c r="AJ704" i="2"/>
  <c r="R704" i="8" s="1"/>
  <c r="AJ728" i="2"/>
  <c r="R728" i="8" s="1"/>
  <c r="AJ752" i="2"/>
  <c r="R752" i="8" s="1"/>
  <c r="AJ776" i="2"/>
  <c r="R776" i="8" s="1"/>
  <c r="AJ800" i="2"/>
  <c r="R800" i="8" s="1"/>
  <c r="AJ824" i="2"/>
  <c r="R824" i="8" s="1"/>
  <c r="AJ848" i="2"/>
  <c r="R848" i="8" s="1"/>
  <c r="AI46" i="2"/>
  <c r="A46" i="8" s="1"/>
  <c r="AI94" i="2"/>
  <c r="A94" i="8" s="1"/>
  <c r="AI142" i="2"/>
  <c r="A142" i="8" s="1"/>
  <c r="AI190" i="2"/>
  <c r="A190" i="8" s="1"/>
  <c r="AI238" i="2"/>
  <c r="A238" i="8" s="1"/>
  <c r="AI286" i="2"/>
  <c r="A286" i="8" s="1"/>
  <c r="AI334" i="2"/>
  <c r="A334" i="8" s="1"/>
  <c r="AI376" i="2"/>
  <c r="A376" i="8" s="1"/>
  <c r="AI412" i="2"/>
  <c r="A412" i="8" s="1"/>
  <c r="AI443" i="2"/>
  <c r="A443" i="8" s="1"/>
  <c r="AI476" i="2"/>
  <c r="A476" i="8" s="1"/>
  <c r="AI509" i="2"/>
  <c r="A509" i="8" s="1"/>
  <c r="AI539" i="2"/>
  <c r="A539" i="8" s="1"/>
  <c r="AI572" i="2"/>
  <c r="A572" i="8" s="1"/>
  <c r="AI604" i="2"/>
  <c r="A604" i="8" s="1"/>
  <c r="AI633" i="2"/>
  <c r="A633" i="8" s="1"/>
  <c r="AI665" i="2"/>
  <c r="A665" i="8" s="1"/>
  <c r="AI694" i="2"/>
  <c r="A694" i="8" s="1"/>
  <c r="AI725" i="2"/>
  <c r="A725" i="8" s="1"/>
  <c r="AI754" i="2"/>
  <c r="A754" i="8" s="1"/>
  <c r="AI786" i="2"/>
  <c r="A786" i="8" s="1"/>
  <c r="AI815" i="2"/>
  <c r="A815" i="8" s="1"/>
  <c r="AI846" i="2"/>
  <c r="A846" i="8" s="1"/>
  <c r="AI875" i="2"/>
  <c r="A875" i="8" s="1"/>
  <c r="AI907" i="2"/>
  <c r="A907" i="8" s="1"/>
  <c r="AI936" i="2"/>
  <c r="A936" i="8" s="1"/>
  <c r="AI967" i="2"/>
  <c r="A967" i="8" s="1"/>
  <c r="AI996" i="2"/>
  <c r="A996" i="8" s="1"/>
  <c r="AI1028" i="2"/>
  <c r="A1028" i="8" s="1"/>
  <c r="AI1057" i="2"/>
  <c r="A1057" i="8" s="1"/>
  <c r="AI1088" i="2"/>
  <c r="A1088" i="8" s="1"/>
  <c r="AI1120" i="2"/>
  <c r="A1120" i="8" s="1"/>
  <c r="AJ57" i="2"/>
  <c r="R57" i="8" s="1"/>
  <c r="AJ81" i="2"/>
  <c r="R81" i="8" s="1"/>
  <c r="AJ105" i="2"/>
  <c r="R105" i="8" s="1"/>
  <c r="AJ129" i="2"/>
  <c r="R129" i="8" s="1"/>
  <c r="AJ153" i="2"/>
  <c r="R153" i="8" s="1"/>
  <c r="AJ177" i="2"/>
  <c r="R177" i="8" s="1"/>
  <c r="AJ201" i="2"/>
  <c r="R201" i="8" s="1"/>
  <c r="AJ225" i="2"/>
  <c r="R225" i="8" s="1"/>
  <c r="AJ249" i="2"/>
  <c r="R249" i="8" s="1"/>
  <c r="AJ273" i="2"/>
  <c r="R273" i="8" s="1"/>
  <c r="AJ297" i="2"/>
  <c r="R297" i="8" s="1"/>
  <c r="AJ321" i="2"/>
  <c r="R321" i="8" s="1"/>
  <c r="AJ345" i="2"/>
  <c r="R345" i="8" s="1"/>
  <c r="AJ369" i="2"/>
  <c r="R369" i="8" s="1"/>
  <c r="AJ393" i="2"/>
  <c r="R393" i="8" s="1"/>
  <c r="AJ417" i="2"/>
  <c r="R417" i="8" s="1"/>
  <c r="AJ441" i="2"/>
  <c r="R441" i="8" s="1"/>
  <c r="AJ465" i="2"/>
  <c r="R465" i="8" s="1"/>
  <c r="AJ489" i="2"/>
  <c r="R489" i="8" s="1"/>
  <c r="AJ513" i="2"/>
  <c r="R513" i="8" s="1"/>
  <c r="AJ537" i="2"/>
  <c r="R537" i="8" s="1"/>
  <c r="AJ561" i="2"/>
  <c r="R561" i="8" s="1"/>
  <c r="AJ585" i="2"/>
  <c r="R585" i="8" s="1"/>
  <c r="AJ609" i="2"/>
  <c r="R609" i="8" s="1"/>
  <c r="AJ633" i="2"/>
  <c r="R633" i="8" s="1"/>
  <c r="AJ657" i="2"/>
  <c r="R657" i="8" s="1"/>
  <c r="AJ681" i="2"/>
  <c r="R681" i="8" s="1"/>
  <c r="AJ705" i="2"/>
  <c r="R705" i="8" s="1"/>
  <c r="AJ729" i="2"/>
  <c r="R729" i="8" s="1"/>
  <c r="AJ753" i="2"/>
  <c r="R753" i="8" s="1"/>
  <c r="AJ777" i="2"/>
  <c r="R777" i="8" s="1"/>
  <c r="AJ801" i="2"/>
  <c r="R801" i="8" s="1"/>
  <c r="AJ825" i="2"/>
  <c r="R825" i="8" s="1"/>
  <c r="AJ849" i="2"/>
  <c r="R849" i="8" s="1"/>
  <c r="AI48" i="2"/>
  <c r="A48" i="8" s="1"/>
  <c r="AI96" i="2"/>
  <c r="A96" i="8" s="1"/>
  <c r="AI144" i="2"/>
  <c r="A144" i="8" s="1"/>
  <c r="AI192" i="2"/>
  <c r="A192" i="8" s="1"/>
  <c r="AI240" i="2"/>
  <c r="A240" i="8" s="1"/>
  <c r="AI288" i="2"/>
  <c r="A288" i="8" s="1"/>
  <c r="AI336" i="2"/>
  <c r="A336" i="8" s="1"/>
  <c r="AI378" i="2"/>
  <c r="A378" i="8" s="1"/>
  <c r="AI413" i="2"/>
  <c r="A413" i="8" s="1"/>
  <c r="AI444" i="2"/>
  <c r="A444" i="8" s="1"/>
  <c r="AI477" i="2"/>
  <c r="A477" i="8" s="1"/>
  <c r="AI510" i="2"/>
  <c r="A510" i="8" s="1"/>
  <c r="AI540" i="2"/>
  <c r="A540" i="8" s="1"/>
  <c r="AI573" i="2"/>
  <c r="A573" i="8" s="1"/>
  <c r="AI605" i="2"/>
  <c r="A605" i="8" s="1"/>
  <c r="AI634" i="2"/>
  <c r="A634" i="8" s="1"/>
  <c r="AI666" i="2"/>
  <c r="A666" i="8" s="1"/>
  <c r="AI695" i="2"/>
  <c r="A695" i="8" s="1"/>
  <c r="AI726" i="2"/>
  <c r="A726" i="8" s="1"/>
  <c r="AI755" i="2"/>
  <c r="A755" i="8" s="1"/>
  <c r="AI787" i="2"/>
  <c r="A787" i="8" s="1"/>
  <c r="AI816" i="2"/>
  <c r="A816" i="8" s="1"/>
  <c r="AI847" i="2"/>
  <c r="A847" i="8" s="1"/>
  <c r="AI876" i="2"/>
  <c r="A876" i="8" s="1"/>
  <c r="AI908" i="2"/>
  <c r="A908" i="8" s="1"/>
  <c r="AI937" i="2"/>
  <c r="A937" i="8" s="1"/>
  <c r="AI968" i="2"/>
  <c r="A968" i="8" s="1"/>
  <c r="AI1000" i="2"/>
  <c r="A1000" i="8" s="1"/>
  <c r="AI1029" i="2"/>
  <c r="A1029" i="8" s="1"/>
  <c r="AI1060" i="2"/>
  <c r="A1060" i="8" s="1"/>
  <c r="AI1089" i="2"/>
  <c r="A1089" i="8" s="1"/>
  <c r="AI1121" i="2"/>
  <c r="A1121" i="8" s="1"/>
  <c r="AJ58" i="2"/>
  <c r="R58" i="8" s="1"/>
  <c r="AJ82" i="2"/>
  <c r="R82" i="8" s="1"/>
  <c r="AJ106" i="2"/>
  <c r="R106" i="8" s="1"/>
  <c r="AJ130" i="2"/>
  <c r="R130" i="8" s="1"/>
  <c r="AJ154" i="2"/>
  <c r="R154" i="8" s="1"/>
  <c r="AJ178" i="2"/>
  <c r="R178" i="8" s="1"/>
  <c r="AJ202" i="2"/>
  <c r="R202" i="8" s="1"/>
  <c r="AJ226" i="2"/>
  <c r="R226" i="8" s="1"/>
  <c r="AJ250" i="2"/>
  <c r="R250" i="8" s="1"/>
  <c r="AJ274" i="2"/>
  <c r="R274" i="8" s="1"/>
  <c r="AJ298" i="2"/>
  <c r="R298" i="8" s="1"/>
  <c r="AJ322" i="2"/>
  <c r="R322" i="8" s="1"/>
  <c r="AJ346" i="2"/>
  <c r="R346" i="8" s="1"/>
  <c r="AJ370" i="2"/>
  <c r="R370" i="8" s="1"/>
  <c r="AJ394" i="2"/>
  <c r="R394" i="8" s="1"/>
  <c r="AJ418" i="2"/>
  <c r="R418" i="8" s="1"/>
  <c r="AJ442" i="2"/>
  <c r="R442" i="8" s="1"/>
  <c r="AJ466" i="2"/>
  <c r="R466" i="8" s="1"/>
  <c r="AJ490" i="2"/>
  <c r="R490" i="8" s="1"/>
  <c r="AJ514" i="2"/>
  <c r="R514" i="8" s="1"/>
  <c r="AJ538" i="2"/>
  <c r="R538" i="8" s="1"/>
  <c r="AJ562" i="2"/>
  <c r="R562" i="8" s="1"/>
  <c r="AJ586" i="2"/>
  <c r="R586" i="8" s="1"/>
  <c r="AJ610" i="2"/>
  <c r="R610" i="8" s="1"/>
  <c r="AJ634" i="2"/>
  <c r="R634" i="8" s="1"/>
  <c r="AJ658" i="2"/>
  <c r="R658" i="8" s="1"/>
  <c r="AJ682" i="2"/>
  <c r="R682" i="8" s="1"/>
  <c r="AJ706" i="2"/>
  <c r="R706" i="8" s="1"/>
  <c r="AJ730" i="2"/>
  <c r="R730" i="8" s="1"/>
  <c r="AJ754" i="2"/>
  <c r="R754" i="8" s="1"/>
  <c r="AJ778" i="2"/>
  <c r="R778" i="8" s="1"/>
  <c r="AJ802" i="2"/>
  <c r="R802" i="8" s="1"/>
  <c r="AJ826" i="2"/>
  <c r="R826" i="8" s="1"/>
  <c r="AJ850" i="2"/>
  <c r="R850" i="8" s="1"/>
  <c r="AJ874" i="2"/>
  <c r="R874" i="8" s="1"/>
  <c r="AJ898" i="2"/>
  <c r="R898" i="8" s="1"/>
  <c r="AI49" i="2"/>
  <c r="A49" i="8" s="1"/>
  <c r="AI97" i="2"/>
  <c r="A97" i="8" s="1"/>
  <c r="AI145" i="2"/>
  <c r="A145" i="8" s="1"/>
  <c r="AI193" i="2"/>
  <c r="A193" i="8" s="1"/>
  <c r="AI241" i="2"/>
  <c r="A241" i="8" s="1"/>
  <c r="AI289" i="2"/>
  <c r="A289" i="8" s="1"/>
  <c r="AI337" i="2"/>
  <c r="A337" i="8" s="1"/>
  <c r="AI379" i="2"/>
  <c r="A379" i="8" s="1"/>
  <c r="AI414" i="2"/>
  <c r="A414" i="8" s="1"/>
  <c r="AI448" i="2"/>
  <c r="A448" i="8" s="1"/>
  <c r="AI478" i="2"/>
  <c r="A478" i="8" s="1"/>
  <c r="AI511" i="2"/>
  <c r="A511" i="8" s="1"/>
  <c r="AI544" i="2"/>
  <c r="A544" i="8" s="1"/>
  <c r="AI574" i="2"/>
  <c r="A574" i="8" s="1"/>
  <c r="AI606" i="2"/>
  <c r="A606" i="8" s="1"/>
  <c r="AI635" i="2"/>
  <c r="A635" i="8" s="1"/>
  <c r="AI667" i="2"/>
  <c r="A667" i="8" s="1"/>
  <c r="AI696" i="2"/>
  <c r="A696" i="8" s="1"/>
  <c r="AI727" i="2"/>
  <c r="A727" i="8" s="1"/>
  <c r="AI756" i="2"/>
  <c r="A756" i="8" s="1"/>
  <c r="AI788" i="2"/>
  <c r="A788" i="8" s="1"/>
  <c r="AI817" i="2"/>
  <c r="A817" i="8" s="1"/>
  <c r="AI848" i="2"/>
  <c r="A848" i="8" s="1"/>
  <c r="AI880" i="2"/>
  <c r="A880" i="8" s="1"/>
  <c r="AI909" i="2"/>
  <c r="A909" i="8" s="1"/>
  <c r="AI940" i="2"/>
  <c r="A940" i="8" s="1"/>
  <c r="AI969" i="2"/>
  <c r="A969" i="8" s="1"/>
  <c r="AI1001" i="2"/>
  <c r="A1001" i="8" s="1"/>
  <c r="AI1030" i="2"/>
  <c r="A1030" i="8" s="1"/>
  <c r="AI1061" i="2"/>
  <c r="A1061" i="8" s="1"/>
  <c r="AI1090" i="2"/>
  <c r="A1090" i="8" s="1"/>
  <c r="AI1122" i="2"/>
  <c r="A1122" i="8" s="1"/>
  <c r="AJ59" i="2"/>
  <c r="R59" i="8" s="1"/>
  <c r="AJ83" i="2"/>
  <c r="R83" i="8" s="1"/>
  <c r="AJ107" i="2"/>
  <c r="R107" i="8" s="1"/>
  <c r="AJ131" i="2"/>
  <c r="R131" i="8" s="1"/>
  <c r="AJ155" i="2"/>
  <c r="R155" i="8" s="1"/>
  <c r="AJ179" i="2"/>
  <c r="R179" i="8" s="1"/>
  <c r="AJ203" i="2"/>
  <c r="R203" i="8" s="1"/>
  <c r="AJ227" i="2"/>
  <c r="R227" i="8" s="1"/>
  <c r="AJ251" i="2"/>
  <c r="R251" i="8" s="1"/>
  <c r="AJ275" i="2"/>
  <c r="R275" i="8" s="1"/>
  <c r="AJ299" i="2"/>
  <c r="R299" i="8" s="1"/>
  <c r="AJ323" i="2"/>
  <c r="R323" i="8" s="1"/>
  <c r="AJ347" i="2"/>
  <c r="R347" i="8" s="1"/>
  <c r="AJ371" i="2"/>
  <c r="R371" i="8" s="1"/>
  <c r="AJ395" i="2"/>
  <c r="R395" i="8" s="1"/>
  <c r="AJ419" i="2"/>
  <c r="R419" i="8" s="1"/>
  <c r="AJ443" i="2"/>
  <c r="R443" i="8" s="1"/>
  <c r="AJ467" i="2"/>
  <c r="R467" i="8" s="1"/>
  <c r="AJ491" i="2"/>
  <c r="R491" i="8" s="1"/>
  <c r="AJ515" i="2"/>
  <c r="R515" i="8" s="1"/>
  <c r="AJ539" i="2"/>
  <c r="R539" i="8" s="1"/>
  <c r="AJ563" i="2"/>
  <c r="R563" i="8" s="1"/>
  <c r="AJ587" i="2"/>
  <c r="R587" i="8" s="1"/>
  <c r="AJ611" i="2"/>
  <c r="R611" i="8" s="1"/>
  <c r="AJ635" i="2"/>
  <c r="R635" i="8" s="1"/>
  <c r="AJ659" i="2"/>
  <c r="R659" i="8" s="1"/>
  <c r="AJ683" i="2"/>
  <c r="R683" i="8" s="1"/>
  <c r="AJ707" i="2"/>
  <c r="R707" i="8" s="1"/>
  <c r="AJ731" i="2"/>
  <c r="R731" i="8" s="1"/>
  <c r="AJ755" i="2"/>
  <c r="R755" i="8" s="1"/>
  <c r="AJ779" i="2"/>
  <c r="R779" i="8" s="1"/>
  <c r="AJ803" i="2"/>
  <c r="R803" i="8" s="1"/>
  <c r="AJ827" i="2"/>
  <c r="R827" i="8" s="1"/>
  <c r="AJ851" i="2"/>
  <c r="R851" i="8" s="1"/>
  <c r="AJ875" i="2"/>
  <c r="R875" i="8" s="1"/>
  <c r="AJ899" i="2"/>
  <c r="R899" i="8" s="1"/>
  <c r="AJ923" i="2"/>
  <c r="R923" i="8" s="1"/>
  <c r="AJ947" i="2"/>
  <c r="R947" i="8" s="1"/>
  <c r="AJ971" i="2"/>
  <c r="R971" i="8" s="1"/>
  <c r="AJ995" i="2"/>
  <c r="R995" i="8" s="1"/>
  <c r="AJ1019" i="2"/>
  <c r="R1019" i="8" s="1"/>
  <c r="AJ1043" i="2"/>
  <c r="R1043" i="8" s="1"/>
  <c r="AI55" i="2"/>
  <c r="A55" i="8" s="1"/>
  <c r="AI103" i="2"/>
  <c r="A103" i="8" s="1"/>
  <c r="AI151" i="2"/>
  <c r="A151" i="8" s="1"/>
  <c r="AI199" i="2"/>
  <c r="A199" i="8" s="1"/>
  <c r="AI247" i="2"/>
  <c r="A247" i="8" s="1"/>
  <c r="AI295" i="2"/>
  <c r="A295" i="8" s="1"/>
  <c r="AI343" i="2"/>
  <c r="A343" i="8" s="1"/>
  <c r="AI380" i="2"/>
  <c r="A380" i="8" s="1"/>
  <c r="AI415" i="2"/>
  <c r="A415" i="8" s="1"/>
  <c r="AI449" i="2"/>
  <c r="A449" i="8" s="1"/>
  <c r="AI480" i="2"/>
  <c r="A480" i="8" s="1"/>
  <c r="AI512" i="2"/>
  <c r="A512" i="8" s="1"/>
  <c r="AI545" i="2"/>
  <c r="A545" i="8" s="1"/>
  <c r="AI576" i="2"/>
  <c r="A576" i="8" s="1"/>
  <c r="AI607" i="2"/>
  <c r="A607" i="8" s="1"/>
  <c r="AI636" i="2"/>
  <c r="A636" i="8" s="1"/>
  <c r="AI668" i="2"/>
  <c r="A668" i="8" s="1"/>
  <c r="AI697" i="2"/>
  <c r="A697" i="8" s="1"/>
  <c r="AI728" i="2"/>
  <c r="A728" i="8" s="1"/>
  <c r="AI760" i="2"/>
  <c r="A760" i="8" s="1"/>
  <c r="AI789" i="2"/>
  <c r="A789" i="8" s="1"/>
  <c r="AI820" i="2"/>
  <c r="A820" i="8" s="1"/>
  <c r="AI849" i="2"/>
  <c r="A849" i="8" s="1"/>
  <c r="AI881" i="2"/>
  <c r="A881" i="8" s="1"/>
  <c r="AI910" i="2"/>
  <c r="A910" i="8" s="1"/>
  <c r="AI941" i="2"/>
  <c r="A941" i="8" s="1"/>
  <c r="AI970" i="2"/>
  <c r="A970" i="8" s="1"/>
  <c r="AI1002" i="2"/>
  <c r="A1002" i="8" s="1"/>
  <c r="AI1031" i="2"/>
  <c r="A1031" i="8" s="1"/>
  <c r="AI1062" i="2"/>
  <c r="A1062" i="8" s="1"/>
  <c r="AI1091" i="2"/>
  <c r="A1091" i="8" s="1"/>
  <c r="AI1123" i="2"/>
  <c r="A1123" i="8" s="1"/>
  <c r="AJ60" i="2"/>
  <c r="R60" i="8" s="1"/>
  <c r="AJ84" i="2"/>
  <c r="R84" i="8" s="1"/>
  <c r="AJ108" i="2"/>
  <c r="R108" i="8" s="1"/>
  <c r="AJ132" i="2"/>
  <c r="R132" i="8" s="1"/>
  <c r="AJ156" i="2"/>
  <c r="R156" i="8" s="1"/>
  <c r="AJ180" i="2"/>
  <c r="R180" i="8" s="1"/>
  <c r="AJ204" i="2"/>
  <c r="R204" i="8" s="1"/>
  <c r="AJ228" i="2"/>
  <c r="R228" i="8" s="1"/>
  <c r="AJ252" i="2"/>
  <c r="R252" i="8" s="1"/>
  <c r="AJ276" i="2"/>
  <c r="R276" i="8" s="1"/>
  <c r="AJ300" i="2"/>
  <c r="R300" i="8" s="1"/>
  <c r="AJ324" i="2"/>
  <c r="R324" i="8" s="1"/>
  <c r="AJ348" i="2"/>
  <c r="R348" i="8" s="1"/>
  <c r="AJ372" i="2"/>
  <c r="R372" i="8" s="1"/>
  <c r="AJ396" i="2"/>
  <c r="R396" i="8" s="1"/>
  <c r="AJ420" i="2"/>
  <c r="R420" i="8" s="1"/>
  <c r="AJ444" i="2"/>
  <c r="R444" i="8" s="1"/>
  <c r="AJ468" i="2"/>
  <c r="R468" i="8" s="1"/>
  <c r="AJ492" i="2"/>
  <c r="R492" i="8" s="1"/>
  <c r="AJ516" i="2"/>
  <c r="R516" i="8" s="1"/>
  <c r="AJ540" i="2"/>
  <c r="R540" i="8" s="1"/>
  <c r="AJ564" i="2"/>
  <c r="R564" i="8" s="1"/>
  <c r="AJ588" i="2"/>
  <c r="R588" i="8" s="1"/>
  <c r="AJ612" i="2"/>
  <c r="R612" i="8" s="1"/>
  <c r="AJ636" i="2"/>
  <c r="R636" i="8" s="1"/>
  <c r="AJ660" i="2"/>
  <c r="R660" i="8" s="1"/>
  <c r="AJ684" i="2"/>
  <c r="R684" i="8" s="1"/>
  <c r="AJ708" i="2"/>
  <c r="R708" i="8" s="1"/>
  <c r="AJ732" i="2"/>
  <c r="R732" i="8" s="1"/>
  <c r="AJ756" i="2"/>
  <c r="R756" i="8" s="1"/>
  <c r="AJ780" i="2"/>
  <c r="R780" i="8" s="1"/>
  <c r="AJ804" i="2"/>
  <c r="R804" i="8" s="1"/>
  <c r="AJ828" i="2"/>
  <c r="R828" i="8" s="1"/>
  <c r="AJ852" i="2"/>
  <c r="R852" i="8" s="1"/>
  <c r="AJ876" i="2"/>
  <c r="R876" i="8" s="1"/>
  <c r="AJ900" i="2"/>
  <c r="R900" i="8" s="1"/>
  <c r="AJ924" i="2"/>
  <c r="R924" i="8" s="1"/>
  <c r="AJ948" i="2"/>
  <c r="R948" i="8" s="1"/>
  <c r="AJ972" i="2"/>
  <c r="R972" i="8" s="1"/>
  <c r="AJ996" i="2"/>
  <c r="R996" i="8" s="1"/>
  <c r="AJ1020" i="2"/>
  <c r="R1020" i="8" s="1"/>
  <c r="AJ1044" i="2"/>
  <c r="R1044" i="8" s="1"/>
  <c r="AJ1068" i="2"/>
  <c r="R1068" i="8" s="1"/>
  <c r="AJ1092" i="2"/>
  <c r="R1092" i="8" s="1"/>
  <c r="AJ1116" i="2"/>
  <c r="R1116" i="8" s="1"/>
  <c r="AI56" i="2"/>
  <c r="A56" i="8" s="1"/>
  <c r="AI104" i="2"/>
  <c r="A104" i="8" s="1"/>
  <c r="AI152" i="2"/>
  <c r="A152" i="8" s="1"/>
  <c r="AI200" i="2"/>
  <c r="A200" i="8" s="1"/>
  <c r="AI248" i="2"/>
  <c r="A248" i="8" s="1"/>
  <c r="AI296" i="2"/>
  <c r="A296" i="8" s="1"/>
  <c r="AI344" i="2"/>
  <c r="A344" i="8" s="1"/>
  <c r="AI381" i="2"/>
  <c r="A381" i="8" s="1"/>
  <c r="AI416" i="2"/>
  <c r="A416" i="8" s="1"/>
  <c r="AI450" i="2"/>
  <c r="A450" i="8" s="1"/>
  <c r="AI481" i="2"/>
  <c r="A481" i="8" s="1"/>
  <c r="AI513" i="2"/>
  <c r="A513" i="8" s="1"/>
  <c r="AI546" i="2"/>
  <c r="A546" i="8" s="1"/>
  <c r="AI577" i="2"/>
  <c r="A577" i="8" s="1"/>
  <c r="AI608" i="2"/>
  <c r="A608" i="8" s="1"/>
  <c r="AI640" i="2"/>
  <c r="A640" i="8" s="1"/>
  <c r="AI669" i="2"/>
  <c r="A669" i="8" s="1"/>
  <c r="AI700" i="2"/>
  <c r="A700" i="8" s="1"/>
  <c r="AI729" i="2"/>
  <c r="A729" i="8" s="1"/>
  <c r="AI761" i="2"/>
  <c r="A761" i="8" s="1"/>
  <c r="AI790" i="2"/>
  <c r="A790" i="8" s="1"/>
  <c r="AI821" i="2"/>
  <c r="A821" i="8" s="1"/>
  <c r="AI850" i="2"/>
  <c r="A850" i="8" s="1"/>
  <c r="AI882" i="2"/>
  <c r="A882" i="8" s="1"/>
  <c r="AI911" i="2"/>
  <c r="A911" i="8" s="1"/>
  <c r="AI942" i="2"/>
  <c r="A942" i="8" s="1"/>
  <c r="AI971" i="2"/>
  <c r="A971" i="8" s="1"/>
  <c r="AI1003" i="2"/>
  <c r="A1003" i="8" s="1"/>
  <c r="AI1032" i="2"/>
  <c r="A1032" i="8" s="1"/>
  <c r="AI1063" i="2"/>
  <c r="A1063" i="8" s="1"/>
  <c r="AI1092" i="2"/>
  <c r="A1092" i="8" s="1"/>
  <c r="AI1124" i="2"/>
  <c r="A1124" i="8" s="1"/>
  <c r="AJ61" i="2"/>
  <c r="R61" i="8" s="1"/>
  <c r="AJ85" i="2"/>
  <c r="R85" i="8" s="1"/>
  <c r="AJ109" i="2"/>
  <c r="R109" i="8" s="1"/>
  <c r="AJ133" i="2"/>
  <c r="R133" i="8" s="1"/>
  <c r="AJ157" i="2"/>
  <c r="R157" i="8" s="1"/>
  <c r="AJ181" i="2"/>
  <c r="R181" i="8" s="1"/>
  <c r="AJ205" i="2"/>
  <c r="R205" i="8" s="1"/>
  <c r="AJ229" i="2"/>
  <c r="R229" i="8" s="1"/>
  <c r="AJ253" i="2"/>
  <c r="R253" i="8" s="1"/>
  <c r="AJ277" i="2"/>
  <c r="R277" i="8" s="1"/>
  <c r="AJ301" i="2"/>
  <c r="R301" i="8" s="1"/>
  <c r="AJ325" i="2"/>
  <c r="R325" i="8" s="1"/>
  <c r="AJ349" i="2"/>
  <c r="R349" i="8" s="1"/>
  <c r="AJ373" i="2"/>
  <c r="R373" i="8" s="1"/>
  <c r="AJ397" i="2"/>
  <c r="R397" i="8" s="1"/>
  <c r="AJ421" i="2"/>
  <c r="R421" i="8" s="1"/>
  <c r="AJ445" i="2"/>
  <c r="R445" i="8" s="1"/>
  <c r="AJ469" i="2"/>
  <c r="R469" i="8" s="1"/>
  <c r="AJ493" i="2"/>
  <c r="R493" i="8" s="1"/>
  <c r="AJ517" i="2"/>
  <c r="R517" i="8" s="1"/>
  <c r="AJ541" i="2"/>
  <c r="R541" i="8" s="1"/>
  <c r="AJ565" i="2"/>
  <c r="R565" i="8" s="1"/>
  <c r="AJ589" i="2"/>
  <c r="R589" i="8" s="1"/>
  <c r="AJ613" i="2"/>
  <c r="R613" i="8" s="1"/>
  <c r="AJ637" i="2"/>
  <c r="R637" i="8" s="1"/>
  <c r="AJ661" i="2"/>
  <c r="R661" i="8" s="1"/>
  <c r="AJ685" i="2"/>
  <c r="R685" i="8" s="1"/>
  <c r="AJ709" i="2"/>
  <c r="R709" i="8" s="1"/>
  <c r="AJ733" i="2"/>
  <c r="R733" i="8" s="1"/>
  <c r="AJ757" i="2"/>
  <c r="R757" i="8" s="1"/>
  <c r="AJ781" i="2"/>
  <c r="R781" i="8" s="1"/>
  <c r="AJ805" i="2"/>
  <c r="R805" i="8" s="1"/>
  <c r="AJ829" i="2"/>
  <c r="R829" i="8" s="1"/>
  <c r="AJ853" i="2"/>
  <c r="R853" i="8" s="1"/>
  <c r="AJ877" i="2"/>
  <c r="R877" i="8" s="1"/>
  <c r="AJ901" i="2"/>
  <c r="R901" i="8" s="1"/>
  <c r="AJ925" i="2"/>
  <c r="R925" i="8" s="1"/>
  <c r="AJ949" i="2"/>
  <c r="R949" i="8" s="1"/>
  <c r="AJ973" i="2"/>
  <c r="R973" i="8" s="1"/>
  <c r="AJ997" i="2"/>
  <c r="R997" i="8" s="1"/>
  <c r="AJ1021" i="2"/>
  <c r="R1021" i="8" s="1"/>
  <c r="AJ1045" i="2"/>
  <c r="R1045" i="8" s="1"/>
  <c r="AJ1069" i="2"/>
  <c r="R1069" i="8" s="1"/>
  <c r="AJ1093" i="2"/>
  <c r="R1093" i="8" s="1"/>
  <c r="AJ1117" i="2"/>
  <c r="R1117" i="8" s="1"/>
  <c r="AI57" i="2"/>
  <c r="A57" i="8" s="1"/>
  <c r="AI105" i="2"/>
  <c r="A105" i="8" s="1"/>
  <c r="AI153" i="2"/>
  <c r="A153" i="8" s="1"/>
  <c r="AI201" i="2"/>
  <c r="A201" i="8" s="1"/>
  <c r="AI249" i="2"/>
  <c r="A249" i="8" s="1"/>
  <c r="AI297" i="2"/>
  <c r="A297" i="8" s="1"/>
  <c r="AI345" i="2"/>
  <c r="A345" i="8" s="1"/>
  <c r="AI382" i="2"/>
  <c r="A382" i="8" s="1"/>
  <c r="AI417" i="2"/>
  <c r="A417" i="8" s="1"/>
  <c r="AI451" i="2"/>
  <c r="A451" i="8" s="1"/>
  <c r="AI484" i="2"/>
  <c r="A484" i="8" s="1"/>
  <c r="AI514" i="2"/>
  <c r="A514" i="8" s="1"/>
  <c r="AI547" i="2"/>
  <c r="A547" i="8" s="1"/>
  <c r="AI580" i="2"/>
  <c r="A580" i="8" s="1"/>
  <c r="AI609" i="2"/>
  <c r="A609" i="8" s="1"/>
  <c r="AI641" i="2"/>
  <c r="A641" i="8" s="1"/>
  <c r="AI670" i="2"/>
  <c r="A670" i="8" s="1"/>
  <c r="AI701" i="2"/>
  <c r="A701" i="8" s="1"/>
  <c r="AI730" i="2"/>
  <c r="A730" i="8" s="1"/>
  <c r="AI762" i="2"/>
  <c r="A762" i="8" s="1"/>
  <c r="AI791" i="2"/>
  <c r="A791" i="8" s="1"/>
  <c r="AI822" i="2"/>
  <c r="A822" i="8" s="1"/>
  <c r="AI851" i="2"/>
  <c r="A851" i="8" s="1"/>
  <c r="AI883" i="2"/>
  <c r="A883" i="8" s="1"/>
  <c r="AI912" i="2"/>
  <c r="A912" i="8" s="1"/>
  <c r="AI943" i="2"/>
  <c r="A943" i="8" s="1"/>
  <c r="AI972" i="2"/>
  <c r="A972" i="8" s="1"/>
  <c r="AI1004" i="2"/>
  <c r="A1004" i="8" s="1"/>
  <c r="AI1033" i="2"/>
  <c r="A1033" i="8" s="1"/>
  <c r="AI1064" i="2"/>
  <c r="A1064" i="8" s="1"/>
  <c r="AI1096" i="2"/>
  <c r="A1096" i="8" s="1"/>
  <c r="AI1125" i="2"/>
  <c r="A1125" i="8" s="1"/>
  <c r="AJ62" i="2"/>
  <c r="R62" i="8" s="1"/>
  <c r="AJ86" i="2"/>
  <c r="R86" i="8" s="1"/>
  <c r="AJ110" i="2"/>
  <c r="R110" i="8" s="1"/>
  <c r="AJ134" i="2"/>
  <c r="R134" i="8" s="1"/>
  <c r="AJ158" i="2"/>
  <c r="R158" i="8" s="1"/>
  <c r="AJ182" i="2"/>
  <c r="R182" i="8" s="1"/>
  <c r="AJ206" i="2"/>
  <c r="R206" i="8" s="1"/>
  <c r="AJ230" i="2"/>
  <c r="R230" i="8" s="1"/>
  <c r="AJ254" i="2"/>
  <c r="R254" i="8" s="1"/>
  <c r="AJ278" i="2"/>
  <c r="R278" i="8" s="1"/>
  <c r="AJ302" i="2"/>
  <c r="R302" i="8" s="1"/>
  <c r="AJ326" i="2"/>
  <c r="R326" i="8" s="1"/>
  <c r="AJ350" i="2"/>
  <c r="R350" i="8" s="1"/>
  <c r="AJ374" i="2"/>
  <c r="R374" i="8" s="1"/>
  <c r="AJ398" i="2"/>
  <c r="R398" i="8" s="1"/>
  <c r="AJ422" i="2"/>
  <c r="R422" i="8" s="1"/>
  <c r="AJ446" i="2"/>
  <c r="R446" i="8" s="1"/>
  <c r="AJ470" i="2"/>
  <c r="R470" i="8" s="1"/>
  <c r="AJ494" i="2"/>
  <c r="R494" i="8" s="1"/>
  <c r="AJ518" i="2"/>
  <c r="R518" i="8" s="1"/>
  <c r="AJ542" i="2"/>
  <c r="R542" i="8" s="1"/>
  <c r="AJ566" i="2"/>
  <c r="R566" i="8" s="1"/>
  <c r="AJ590" i="2"/>
  <c r="R590" i="8" s="1"/>
  <c r="AJ614" i="2"/>
  <c r="R614" i="8" s="1"/>
  <c r="AJ638" i="2"/>
  <c r="R638" i="8" s="1"/>
  <c r="AJ662" i="2"/>
  <c r="R662" i="8" s="1"/>
  <c r="AJ686" i="2"/>
  <c r="R686" i="8" s="1"/>
  <c r="AJ710" i="2"/>
  <c r="R710" i="8" s="1"/>
  <c r="AJ734" i="2"/>
  <c r="R734" i="8" s="1"/>
  <c r="AJ758" i="2"/>
  <c r="R758" i="8" s="1"/>
  <c r="AJ782" i="2"/>
  <c r="R782" i="8" s="1"/>
  <c r="AJ806" i="2"/>
  <c r="R806" i="8" s="1"/>
  <c r="AJ830" i="2"/>
  <c r="R830" i="8" s="1"/>
  <c r="AJ854" i="2"/>
  <c r="R854" i="8" s="1"/>
  <c r="AJ878" i="2"/>
  <c r="R878" i="8" s="1"/>
  <c r="AJ902" i="2"/>
  <c r="R902" i="8" s="1"/>
  <c r="AJ926" i="2"/>
  <c r="R926" i="8" s="1"/>
  <c r="AJ950" i="2"/>
  <c r="R950" i="8" s="1"/>
  <c r="AJ974" i="2"/>
  <c r="R974" i="8" s="1"/>
  <c r="AJ998" i="2"/>
  <c r="R998" i="8" s="1"/>
  <c r="AJ1022" i="2"/>
  <c r="R1022" i="8" s="1"/>
  <c r="AJ1046" i="2"/>
  <c r="R1046" i="8" s="1"/>
  <c r="AJ1070" i="2"/>
  <c r="R1070" i="8" s="1"/>
  <c r="AJ1094" i="2"/>
  <c r="R1094" i="8" s="1"/>
  <c r="AJ1118" i="2"/>
  <c r="R1118" i="8" s="1"/>
  <c r="AI58" i="2"/>
  <c r="A58" i="8" s="1"/>
  <c r="AI106" i="2"/>
  <c r="A106" i="8" s="1"/>
  <c r="AI154" i="2"/>
  <c r="A154" i="8" s="1"/>
  <c r="AI202" i="2"/>
  <c r="A202" i="8" s="1"/>
  <c r="AI250" i="2"/>
  <c r="A250" i="8" s="1"/>
  <c r="AI298" i="2"/>
  <c r="A298" i="8" s="1"/>
  <c r="AI346" i="2"/>
  <c r="A346" i="8" s="1"/>
  <c r="AI384" i="2"/>
  <c r="A384" i="8" s="1"/>
  <c r="AI418" i="2"/>
  <c r="A418" i="8" s="1"/>
  <c r="AI452" i="2"/>
  <c r="A452" i="8" s="1"/>
  <c r="AI485" i="2"/>
  <c r="A485" i="8" s="1"/>
  <c r="AI515" i="2"/>
  <c r="A515" i="8" s="1"/>
  <c r="AI548" i="2"/>
  <c r="A548" i="8" s="1"/>
  <c r="AI581" i="2"/>
  <c r="A581" i="8" s="1"/>
  <c r="AI610" i="2"/>
  <c r="A610" i="8" s="1"/>
  <c r="AI642" i="2"/>
  <c r="A642" i="8" s="1"/>
  <c r="AI671" i="2"/>
  <c r="A671" i="8" s="1"/>
  <c r="AI702" i="2"/>
  <c r="A702" i="8" s="1"/>
  <c r="AI731" i="2"/>
  <c r="A731" i="8" s="1"/>
  <c r="AI763" i="2"/>
  <c r="A763" i="8" s="1"/>
  <c r="AI792" i="2"/>
  <c r="A792" i="8" s="1"/>
  <c r="AI823" i="2"/>
  <c r="A823" i="8" s="1"/>
  <c r="AI852" i="2"/>
  <c r="A852" i="8" s="1"/>
  <c r="AI884" i="2"/>
  <c r="A884" i="8" s="1"/>
  <c r="AI913" i="2"/>
  <c r="A913" i="8" s="1"/>
  <c r="AI944" i="2"/>
  <c r="A944" i="8" s="1"/>
  <c r="AI976" i="2"/>
  <c r="A976" i="8" s="1"/>
  <c r="AI1005" i="2"/>
  <c r="A1005" i="8" s="1"/>
  <c r="AI1036" i="2"/>
  <c r="A1036" i="8" s="1"/>
  <c r="AI1065" i="2"/>
  <c r="A1065" i="8" s="1"/>
  <c r="AI1097" i="2"/>
  <c r="A1097" i="8" s="1"/>
  <c r="AI1126" i="2"/>
  <c r="A1126" i="8" s="1"/>
  <c r="AJ63" i="2"/>
  <c r="R63" i="8" s="1"/>
  <c r="AJ87" i="2"/>
  <c r="R87" i="8" s="1"/>
  <c r="AJ111" i="2"/>
  <c r="R111" i="8" s="1"/>
  <c r="AJ135" i="2"/>
  <c r="R135" i="8" s="1"/>
  <c r="AJ159" i="2"/>
  <c r="R159" i="8" s="1"/>
  <c r="AJ183" i="2"/>
  <c r="R183" i="8" s="1"/>
  <c r="AJ207" i="2"/>
  <c r="R207" i="8" s="1"/>
  <c r="AJ231" i="2"/>
  <c r="R231" i="8" s="1"/>
  <c r="AJ255" i="2"/>
  <c r="R255" i="8" s="1"/>
  <c r="AJ279" i="2"/>
  <c r="R279" i="8" s="1"/>
  <c r="AJ303" i="2"/>
  <c r="R303" i="8" s="1"/>
  <c r="AJ327" i="2"/>
  <c r="R327" i="8" s="1"/>
  <c r="AJ351" i="2"/>
  <c r="R351" i="8" s="1"/>
  <c r="AJ375" i="2"/>
  <c r="R375" i="8" s="1"/>
  <c r="AJ399" i="2"/>
  <c r="R399" i="8" s="1"/>
  <c r="AJ423" i="2"/>
  <c r="R423" i="8" s="1"/>
  <c r="AJ447" i="2"/>
  <c r="R447" i="8" s="1"/>
  <c r="AJ471" i="2"/>
  <c r="R471" i="8" s="1"/>
  <c r="AJ495" i="2"/>
  <c r="R495" i="8" s="1"/>
  <c r="AJ519" i="2"/>
  <c r="R519" i="8" s="1"/>
  <c r="AJ543" i="2"/>
  <c r="R543" i="8" s="1"/>
  <c r="AJ567" i="2"/>
  <c r="R567" i="8" s="1"/>
  <c r="AJ591" i="2"/>
  <c r="R591" i="8" s="1"/>
  <c r="AJ615" i="2"/>
  <c r="R615" i="8" s="1"/>
  <c r="AJ639" i="2"/>
  <c r="R639" i="8" s="1"/>
  <c r="AJ663" i="2"/>
  <c r="R663" i="8" s="1"/>
  <c r="AJ687" i="2"/>
  <c r="R687" i="8" s="1"/>
  <c r="AJ711" i="2"/>
  <c r="R711" i="8" s="1"/>
  <c r="AJ735" i="2"/>
  <c r="R735" i="8" s="1"/>
  <c r="AJ759" i="2"/>
  <c r="R759" i="8" s="1"/>
  <c r="AJ783" i="2"/>
  <c r="R783" i="8" s="1"/>
  <c r="AJ807" i="2"/>
  <c r="R807" i="8" s="1"/>
  <c r="AJ831" i="2"/>
  <c r="R831" i="8" s="1"/>
  <c r="AJ855" i="2"/>
  <c r="R855" i="8" s="1"/>
  <c r="AJ879" i="2"/>
  <c r="R879" i="8" s="1"/>
  <c r="AJ903" i="2"/>
  <c r="R903" i="8" s="1"/>
  <c r="AJ927" i="2"/>
  <c r="R927" i="8" s="1"/>
  <c r="AJ951" i="2"/>
  <c r="R951" i="8" s="1"/>
  <c r="AJ975" i="2"/>
  <c r="R975" i="8" s="1"/>
  <c r="AJ999" i="2"/>
  <c r="R999" i="8" s="1"/>
  <c r="AJ1023" i="2"/>
  <c r="R1023" i="8" s="1"/>
  <c r="AJ1047" i="2"/>
  <c r="R1047" i="8" s="1"/>
  <c r="AJ1071" i="2"/>
  <c r="R1071" i="8" s="1"/>
  <c r="AJ1095" i="2"/>
  <c r="R1095" i="8" s="1"/>
  <c r="AJ1119" i="2"/>
  <c r="R1119" i="8" s="1"/>
  <c r="AI59" i="2"/>
  <c r="A59" i="8" s="1"/>
  <c r="AI107" i="2"/>
  <c r="A107" i="8" s="1"/>
  <c r="AI155" i="2"/>
  <c r="A155" i="8" s="1"/>
  <c r="AI203" i="2"/>
  <c r="A203" i="8" s="1"/>
  <c r="AI251" i="2"/>
  <c r="A251" i="8" s="1"/>
  <c r="AI299" i="2"/>
  <c r="A299" i="8" s="1"/>
  <c r="AI347" i="2"/>
  <c r="A347" i="8" s="1"/>
  <c r="AI385" i="2"/>
  <c r="A385" i="8" s="1"/>
  <c r="AI419" i="2"/>
  <c r="A419" i="8" s="1"/>
  <c r="AI453" i="2"/>
  <c r="A453" i="8" s="1"/>
  <c r="AI486" i="2"/>
  <c r="A486" i="8" s="1"/>
  <c r="AI516" i="2"/>
  <c r="A516" i="8" s="1"/>
  <c r="AI549" i="2"/>
  <c r="A549" i="8" s="1"/>
  <c r="AI582" i="2"/>
  <c r="A582" i="8" s="1"/>
  <c r="AI611" i="2"/>
  <c r="A611" i="8" s="1"/>
  <c r="AI643" i="2"/>
  <c r="A643" i="8" s="1"/>
  <c r="AI672" i="2"/>
  <c r="A672" i="8" s="1"/>
  <c r="AI703" i="2"/>
  <c r="A703" i="8" s="1"/>
  <c r="AI732" i="2"/>
  <c r="A732" i="8" s="1"/>
  <c r="AI764" i="2"/>
  <c r="A764" i="8" s="1"/>
  <c r="AI793" i="2"/>
  <c r="A793" i="8" s="1"/>
  <c r="AI824" i="2"/>
  <c r="A824" i="8" s="1"/>
  <c r="AI856" i="2"/>
  <c r="A856" i="8" s="1"/>
  <c r="AI885" i="2"/>
  <c r="A885" i="8" s="1"/>
  <c r="AI916" i="2"/>
  <c r="A916" i="8" s="1"/>
  <c r="AI945" i="2"/>
  <c r="A945" i="8" s="1"/>
  <c r="AI977" i="2"/>
  <c r="A977" i="8" s="1"/>
  <c r="AI1006" i="2"/>
  <c r="A1006" i="8" s="1"/>
  <c r="AI1037" i="2"/>
  <c r="A1037" i="8" s="1"/>
  <c r="AI1066" i="2"/>
  <c r="A1066" i="8" s="1"/>
  <c r="AI1098" i="2"/>
  <c r="A1098" i="8" s="1"/>
  <c r="AI1127" i="2"/>
  <c r="A1127" i="8" s="1"/>
  <c r="AJ64" i="2"/>
  <c r="R64" i="8" s="1"/>
  <c r="AJ88" i="2"/>
  <c r="R88" i="8" s="1"/>
  <c r="AI60" i="2"/>
  <c r="A60" i="8" s="1"/>
  <c r="AI108" i="2"/>
  <c r="A108" i="8" s="1"/>
  <c r="AI156" i="2"/>
  <c r="A156" i="8" s="1"/>
  <c r="AI204" i="2"/>
  <c r="A204" i="8" s="1"/>
  <c r="AI252" i="2"/>
  <c r="A252" i="8" s="1"/>
  <c r="AI300" i="2"/>
  <c r="A300" i="8" s="1"/>
  <c r="AI348" i="2"/>
  <c r="A348" i="8" s="1"/>
  <c r="AI388" i="2"/>
  <c r="A388" i="8" s="1"/>
  <c r="AI420" i="2"/>
  <c r="A420" i="8" s="1"/>
  <c r="AI454" i="2"/>
  <c r="A454" i="8" s="1"/>
  <c r="AI487" i="2"/>
  <c r="A487" i="8" s="1"/>
  <c r="AI520" i="2"/>
  <c r="A520" i="8" s="1"/>
  <c r="AI550" i="2"/>
  <c r="A550" i="8" s="1"/>
  <c r="AI583" i="2"/>
  <c r="A583" i="8" s="1"/>
  <c r="AI612" i="2"/>
  <c r="A612" i="8" s="1"/>
  <c r="AI644" i="2"/>
  <c r="A644" i="8" s="1"/>
  <c r="AI673" i="2"/>
  <c r="A673" i="8" s="1"/>
  <c r="AI704" i="2"/>
  <c r="A704" i="8" s="1"/>
  <c r="AI736" i="2"/>
  <c r="A736" i="8" s="1"/>
  <c r="AI765" i="2"/>
  <c r="A765" i="8" s="1"/>
  <c r="AI796" i="2"/>
  <c r="A796" i="8" s="1"/>
  <c r="AI825" i="2"/>
  <c r="A825" i="8" s="1"/>
  <c r="AI857" i="2"/>
  <c r="A857" i="8" s="1"/>
  <c r="AI886" i="2"/>
  <c r="A886" i="8" s="1"/>
  <c r="AI917" i="2"/>
  <c r="A917" i="8" s="1"/>
  <c r="AI946" i="2"/>
  <c r="A946" i="8" s="1"/>
  <c r="AI978" i="2"/>
  <c r="A978" i="8" s="1"/>
  <c r="AI1007" i="2"/>
  <c r="A1007" i="8" s="1"/>
  <c r="AI1038" i="2"/>
  <c r="A1038" i="8" s="1"/>
  <c r="AI1067" i="2"/>
  <c r="A1067" i="8" s="1"/>
  <c r="AI1099" i="2"/>
  <c r="A1099" i="8" s="1"/>
  <c r="AI1128" i="2"/>
  <c r="A1128" i="8" s="1"/>
  <c r="AJ65" i="2"/>
  <c r="R65" i="8" s="1"/>
  <c r="AJ89" i="2"/>
  <c r="R89" i="8" s="1"/>
  <c r="AJ113" i="2"/>
  <c r="R113" i="8" s="1"/>
  <c r="AJ137" i="2"/>
  <c r="R137" i="8" s="1"/>
  <c r="AJ161" i="2"/>
  <c r="R161" i="8" s="1"/>
  <c r="AJ185" i="2"/>
  <c r="R185" i="8" s="1"/>
  <c r="AJ209" i="2"/>
  <c r="R209" i="8" s="1"/>
  <c r="AJ233" i="2"/>
  <c r="R233" i="8" s="1"/>
  <c r="AJ257" i="2"/>
  <c r="R257" i="8" s="1"/>
  <c r="AJ281" i="2"/>
  <c r="R281" i="8" s="1"/>
  <c r="AJ305" i="2"/>
  <c r="R305" i="8" s="1"/>
  <c r="AJ329" i="2"/>
  <c r="R329" i="8" s="1"/>
  <c r="AJ353" i="2"/>
  <c r="R353" i="8" s="1"/>
  <c r="AJ377" i="2"/>
  <c r="R377" i="8" s="1"/>
  <c r="AJ401" i="2"/>
  <c r="R401" i="8" s="1"/>
  <c r="AJ425" i="2"/>
  <c r="R425" i="8" s="1"/>
  <c r="AJ449" i="2"/>
  <c r="R449" i="8" s="1"/>
  <c r="AJ473" i="2"/>
  <c r="R473" i="8" s="1"/>
  <c r="AJ497" i="2"/>
  <c r="R497" i="8" s="1"/>
  <c r="AJ521" i="2"/>
  <c r="R521" i="8" s="1"/>
  <c r="AJ545" i="2"/>
  <c r="R545" i="8" s="1"/>
  <c r="AJ569" i="2"/>
  <c r="R569" i="8" s="1"/>
  <c r="AJ593" i="2"/>
  <c r="R593" i="8" s="1"/>
  <c r="AJ617" i="2"/>
  <c r="R617" i="8" s="1"/>
  <c r="AJ641" i="2"/>
  <c r="R641" i="8" s="1"/>
  <c r="AJ665" i="2"/>
  <c r="R665" i="8" s="1"/>
  <c r="AJ689" i="2"/>
  <c r="R689" i="8" s="1"/>
  <c r="AJ713" i="2"/>
  <c r="R713" i="8" s="1"/>
  <c r="AJ737" i="2"/>
  <c r="R737" i="8" s="1"/>
  <c r="AJ761" i="2"/>
  <c r="R761" i="8" s="1"/>
  <c r="AJ785" i="2"/>
  <c r="R785" i="8" s="1"/>
  <c r="AJ809" i="2"/>
  <c r="R809" i="8" s="1"/>
  <c r="AJ833" i="2"/>
  <c r="R833" i="8" s="1"/>
  <c r="AJ857" i="2"/>
  <c r="R857" i="8" s="1"/>
  <c r="AJ881" i="2"/>
  <c r="R881" i="8" s="1"/>
  <c r="AJ905" i="2"/>
  <c r="R905" i="8" s="1"/>
  <c r="AJ929" i="2"/>
  <c r="R929" i="8" s="1"/>
  <c r="AI67" i="2"/>
  <c r="A67" i="8" s="1"/>
  <c r="AI115" i="2"/>
  <c r="A115" i="8" s="1"/>
  <c r="AI163" i="2"/>
  <c r="A163" i="8" s="1"/>
  <c r="AI211" i="2"/>
  <c r="A211" i="8" s="1"/>
  <c r="AI259" i="2"/>
  <c r="A259" i="8" s="1"/>
  <c r="AI307" i="2"/>
  <c r="A307" i="8" s="1"/>
  <c r="AI354" i="2"/>
  <c r="A354" i="8" s="1"/>
  <c r="AI390" i="2"/>
  <c r="A390" i="8" s="1"/>
  <c r="AI424" i="2"/>
  <c r="A424" i="8" s="1"/>
  <c r="AI456" i="2"/>
  <c r="A456" i="8" s="1"/>
  <c r="AI488" i="2"/>
  <c r="A488" i="8" s="1"/>
  <c r="AI521" i="2"/>
  <c r="A521" i="8" s="1"/>
  <c r="AI552" i="2"/>
  <c r="A552" i="8" s="1"/>
  <c r="AI584" i="2"/>
  <c r="A584" i="8" s="1"/>
  <c r="AI616" i="2"/>
  <c r="A616" i="8" s="1"/>
  <c r="AI645" i="2"/>
  <c r="A645" i="8" s="1"/>
  <c r="AI676" i="2"/>
  <c r="A676" i="8" s="1"/>
  <c r="AI705" i="2"/>
  <c r="A705" i="8" s="1"/>
  <c r="AI737" i="2"/>
  <c r="A737" i="8" s="1"/>
  <c r="AI766" i="2"/>
  <c r="A766" i="8" s="1"/>
  <c r="AI797" i="2"/>
  <c r="A797" i="8" s="1"/>
  <c r="AI826" i="2"/>
  <c r="A826" i="8" s="1"/>
  <c r="AI858" i="2"/>
  <c r="A858" i="8" s="1"/>
  <c r="AI887" i="2"/>
  <c r="A887" i="8" s="1"/>
  <c r="AI918" i="2"/>
  <c r="A918" i="8" s="1"/>
  <c r="AI947" i="2"/>
  <c r="A947" i="8" s="1"/>
  <c r="AI979" i="2"/>
  <c r="A979" i="8" s="1"/>
  <c r="AI1008" i="2"/>
  <c r="A1008" i="8" s="1"/>
  <c r="AI1039" i="2"/>
  <c r="A1039" i="8" s="1"/>
  <c r="AI1068" i="2"/>
  <c r="A1068" i="8" s="1"/>
  <c r="AI1100" i="2"/>
  <c r="A1100" i="8" s="1"/>
  <c r="AJ37" i="2"/>
  <c r="R37" i="8" s="1"/>
  <c r="AJ66" i="2"/>
  <c r="R66" i="8" s="1"/>
  <c r="AJ90" i="2"/>
  <c r="R90" i="8" s="1"/>
  <c r="AJ114" i="2"/>
  <c r="R114" i="8" s="1"/>
  <c r="AJ138" i="2"/>
  <c r="R138" i="8" s="1"/>
  <c r="AJ162" i="2"/>
  <c r="R162" i="8" s="1"/>
  <c r="AJ186" i="2"/>
  <c r="R186" i="8" s="1"/>
  <c r="AJ210" i="2"/>
  <c r="R210" i="8" s="1"/>
  <c r="AJ234" i="2"/>
  <c r="R234" i="8" s="1"/>
  <c r="AJ258" i="2"/>
  <c r="R258" i="8" s="1"/>
  <c r="AJ282" i="2"/>
  <c r="R282" i="8" s="1"/>
  <c r="AJ306" i="2"/>
  <c r="R306" i="8" s="1"/>
  <c r="AJ330" i="2"/>
  <c r="R330" i="8" s="1"/>
  <c r="AJ354" i="2"/>
  <c r="R354" i="8" s="1"/>
  <c r="AJ378" i="2"/>
  <c r="R378" i="8" s="1"/>
  <c r="AJ402" i="2"/>
  <c r="R402" i="8" s="1"/>
  <c r="AJ426" i="2"/>
  <c r="R426" i="8" s="1"/>
  <c r="AJ450" i="2"/>
  <c r="R450" i="8" s="1"/>
  <c r="AJ474" i="2"/>
  <c r="R474" i="8" s="1"/>
  <c r="AJ498" i="2"/>
  <c r="R498" i="8" s="1"/>
  <c r="AJ522" i="2"/>
  <c r="R522" i="8" s="1"/>
  <c r="AJ546" i="2"/>
  <c r="R546" i="8" s="1"/>
  <c r="AJ570" i="2"/>
  <c r="R570" i="8" s="1"/>
  <c r="AJ594" i="2"/>
  <c r="R594" i="8" s="1"/>
  <c r="AJ618" i="2"/>
  <c r="R618" i="8" s="1"/>
  <c r="AJ642" i="2"/>
  <c r="R642" i="8" s="1"/>
  <c r="AJ666" i="2"/>
  <c r="R666" i="8" s="1"/>
  <c r="AJ690" i="2"/>
  <c r="R690" i="8" s="1"/>
  <c r="AJ714" i="2"/>
  <c r="R714" i="8" s="1"/>
  <c r="AJ738" i="2"/>
  <c r="R738" i="8" s="1"/>
  <c r="AJ762" i="2"/>
  <c r="R762" i="8" s="1"/>
  <c r="AJ786" i="2"/>
  <c r="R786" i="8" s="1"/>
  <c r="AJ810" i="2"/>
  <c r="R810" i="8" s="1"/>
  <c r="AJ834" i="2"/>
  <c r="R834" i="8" s="1"/>
  <c r="AI68" i="2"/>
  <c r="A68" i="8" s="1"/>
  <c r="AI116" i="2"/>
  <c r="A116" i="8" s="1"/>
  <c r="AI164" i="2"/>
  <c r="A164" i="8" s="1"/>
  <c r="AI212" i="2"/>
  <c r="A212" i="8" s="1"/>
  <c r="AI260" i="2"/>
  <c r="A260" i="8" s="1"/>
  <c r="AI308" i="2"/>
  <c r="A308" i="8" s="1"/>
  <c r="AI355" i="2"/>
  <c r="A355" i="8" s="1"/>
  <c r="AI391" i="2"/>
  <c r="A391" i="8" s="1"/>
  <c r="AI426" i="2"/>
  <c r="A426" i="8" s="1"/>
  <c r="AI457" i="2"/>
  <c r="A457" i="8" s="1"/>
  <c r="AI489" i="2"/>
  <c r="A489" i="8" s="1"/>
  <c r="AI522" i="2"/>
  <c r="A522" i="8" s="1"/>
  <c r="AI553" i="2"/>
  <c r="A553" i="8" s="1"/>
  <c r="AI585" i="2"/>
  <c r="A585" i="8" s="1"/>
  <c r="AI617" i="2"/>
  <c r="A617" i="8" s="1"/>
  <c r="AI646" i="2"/>
  <c r="A646" i="8" s="1"/>
  <c r="AI677" i="2"/>
  <c r="A677" i="8" s="1"/>
  <c r="AI706" i="2"/>
  <c r="A706" i="8" s="1"/>
  <c r="AI738" i="2"/>
  <c r="A738" i="8" s="1"/>
  <c r="AI767" i="2"/>
  <c r="A767" i="8" s="1"/>
  <c r="AI798" i="2"/>
  <c r="A798" i="8" s="1"/>
  <c r="AI827" i="2"/>
  <c r="A827" i="8" s="1"/>
  <c r="AI859" i="2"/>
  <c r="A859" i="8" s="1"/>
  <c r="AI888" i="2"/>
  <c r="A888" i="8" s="1"/>
  <c r="AI919" i="2"/>
  <c r="A919" i="8" s="1"/>
  <c r="AI948" i="2"/>
  <c r="A948" i="8" s="1"/>
  <c r="AI980" i="2"/>
  <c r="A980" i="8" s="1"/>
  <c r="AI1009" i="2"/>
  <c r="A1009" i="8" s="1"/>
  <c r="AI1040" i="2"/>
  <c r="A1040" i="8" s="1"/>
  <c r="AI1072" i="2"/>
  <c r="A1072" i="8" s="1"/>
  <c r="AI1101" i="2"/>
  <c r="A1101" i="8" s="1"/>
  <c r="AJ40" i="2"/>
  <c r="R40" i="8" s="1"/>
  <c r="AJ67" i="2"/>
  <c r="R67" i="8" s="1"/>
  <c r="AJ91" i="2"/>
  <c r="R91" i="8" s="1"/>
  <c r="AJ115" i="2"/>
  <c r="R115" i="8" s="1"/>
  <c r="AJ139" i="2"/>
  <c r="R139" i="8" s="1"/>
  <c r="AJ163" i="2"/>
  <c r="R163" i="8" s="1"/>
  <c r="AJ187" i="2"/>
  <c r="R187" i="8" s="1"/>
  <c r="AJ211" i="2"/>
  <c r="R211" i="8" s="1"/>
  <c r="AJ235" i="2"/>
  <c r="R235" i="8" s="1"/>
  <c r="AJ259" i="2"/>
  <c r="R259" i="8" s="1"/>
  <c r="AJ283" i="2"/>
  <c r="R283" i="8" s="1"/>
  <c r="AJ307" i="2"/>
  <c r="R307" i="8" s="1"/>
  <c r="AJ331" i="2"/>
  <c r="R331" i="8" s="1"/>
  <c r="AJ355" i="2"/>
  <c r="R355" i="8" s="1"/>
  <c r="AJ379" i="2"/>
  <c r="R379" i="8" s="1"/>
  <c r="AJ403" i="2"/>
  <c r="R403" i="8" s="1"/>
  <c r="AJ427" i="2"/>
  <c r="R427" i="8" s="1"/>
  <c r="AJ451" i="2"/>
  <c r="R451" i="8" s="1"/>
  <c r="AJ475" i="2"/>
  <c r="R475" i="8" s="1"/>
  <c r="AJ499" i="2"/>
  <c r="R499" i="8" s="1"/>
  <c r="AJ523" i="2"/>
  <c r="R523" i="8" s="1"/>
  <c r="AJ547" i="2"/>
  <c r="R547" i="8" s="1"/>
  <c r="AJ571" i="2"/>
  <c r="R571" i="8" s="1"/>
  <c r="AJ595" i="2"/>
  <c r="R595" i="8" s="1"/>
  <c r="AJ619" i="2"/>
  <c r="R619" i="8" s="1"/>
  <c r="AJ643" i="2"/>
  <c r="R643" i="8" s="1"/>
  <c r="AJ667" i="2"/>
  <c r="R667" i="8" s="1"/>
  <c r="AJ691" i="2"/>
  <c r="R691" i="8" s="1"/>
  <c r="AJ715" i="2"/>
  <c r="R715" i="8" s="1"/>
  <c r="AJ739" i="2"/>
  <c r="R739" i="8" s="1"/>
  <c r="AJ763" i="2"/>
  <c r="R763" i="8" s="1"/>
  <c r="AJ787" i="2"/>
  <c r="R787" i="8" s="1"/>
  <c r="AJ811" i="2"/>
  <c r="R811" i="8" s="1"/>
  <c r="AJ835" i="2"/>
  <c r="R835" i="8" s="1"/>
  <c r="AJ859" i="2"/>
  <c r="R859" i="8" s="1"/>
  <c r="AJ883" i="2"/>
  <c r="R883" i="8" s="1"/>
  <c r="AI69" i="2"/>
  <c r="A69" i="8" s="1"/>
  <c r="AI117" i="2"/>
  <c r="A117" i="8" s="1"/>
  <c r="AI165" i="2"/>
  <c r="A165" i="8" s="1"/>
  <c r="AI213" i="2"/>
  <c r="A213" i="8" s="1"/>
  <c r="AI261" i="2"/>
  <c r="A261" i="8" s="1"/>
  <c r="AI309" i="2"/>
  <c r="A309" i="8" s="1"/>
  <c r="AI356" i="2"/>
  <c r="A356" i="8" s="1"/>
  <c r="AI392" i="2"/>
  <c r="A392" i="8" s="1"/>
  <c r="AI427" i="2"/>
  <c r="A427" i="8" s="1"/>
  <c r="AI460" i="2"/>
  <c r="A460" i="8" s="1"/>
  <c r="AI490" i="2"/>
  <c r="A490" i="8" s="1"/>
  <c r="AI523" i="2"/>
  <c r="A523" i="8" s="1"/>
  <c r="AI556" i="2"/>
  <c r="A556" i="8" s="1"/>
  <c r="AI586" i="2"/>
  <c r="A586" i="8" s="1"/>
  <c r="AI618" i="2"/>
  <c r="A618" i="8" s="1"/>
  <c r="AI647" i="2"/>
  <c r="A647" i="8" s="1"/>
  <c r="AI678" i="2"/>
  <c r="A678" i="8" s="1"/>
  <c r="AI707" i="2"/>
  <c r="A707" i="8" s="1"/>
  <c r="AI739" i="2"/>
  <c r="A739" i="8" s="1"/>
  <c r="AI768" i="2"/>
  <c r="A768" i="8" s="1"/>
  <c r="AI799" i="2"/>
  <c r="A799" i="8" s="1"/>
  <c r="AI828" i="2"/>
  <c r="A828" i="8" s="1"/>
  <c r="AI860" i="2"/>
  <c r="A860" i="8" s="1"/>
  <c r="AI889" i="2"/>
  <c r="A889" i="8" s="1"/>
  <c r="AI920" i="2"/>
  <c r="A920" i="8" s="1"/>
  <c r="AI952" i="2"/>
  <c r="A952" i="8" s="1"/>
  <c r="AI981" i="2"/>
  <c r="A981" i="8" s="1"/>
  <c r="AI1012" i="2"/>
  <c r="A1012" i="8" s="1"/>
  <c r="AI1041" i="2"/>
  <c r="A1041" i="8" s="1"/>
  <c r="AI1073" i="2"/>
  <c r="A1073" i="8" s="1"/>
  <c r="AI1102" i="2"/>
  <c r="A1102" i="8" s="1"/>
  <c r="AJ41" i="2"/>
  <c r="R41" i="8" s="1"/>
  <c r="AJ68" i="2"/>
  <c r="R68" i="8" s="1"/>
  <c r="AJ92" i="2"/>
  <c r="R92" i="8" s="1"/>
  <c r="AJ116" i="2"/>
  <c r="R116" i="8" s="1"/>
  <c r="AJ140" i="2"/>
  <c r="R140" i="8" s="1"/>
  <c r="AJ164" i="2"/>
  <c r="R164" i="8" s="1"/>
  <c r="AJ188" i="2"/>
  <c r="R188" i="8" s="1"/>
  <c r="AJ212" i="2"/>
  <c r="R212" i="8" s="1"/>
  <c r="AJ236" i="2"/>
  <c r="R236" i="8" s="1"/>
  <c r="AJ260" i="2"/>
  <c r="R260" i="8" s="1"/>
  <c r="AJ284" i="2"/>
  <c r="R284" i="8" s="1"/>
  <c r="AJ308" i="2"/>
  <c r="R308" i="8" s="1"/>
  <c r="AJ332" i="2"/>
  <c r="R332" i="8" s="1"/>
  <c r="AJ356" i="2"/>
  <c r="R356" i="8" s="1"/>
  <c r="AJ380" i="2"/>
  <c r="R380" i="8" s="1"/>
  <c r="AJ404" i="2"/>
  <c r="R404" i="8" s="1"/>
  <c r="AJ428" i="2"/>
  <c r="R428" i="8" s="1"/>
  <c r="AJ452" i="2"/>
  <c r="R452" i="8" s="1"/>
  <c r="AJ476" i="2"/>
  <c r="R476" i="8" s="1"/>
  <c r="AJ500" i="2"/>
  <c r="R500" i="8" s="1"/>
  <c r="AJ524" i="2"/>
  <c r="R524" i="8" s="1"/>
  <c r="AJ548" i="2"/>
  <c r="R548" i="8" s="1"/>
  <c r="AJ572" i="2"/>
  <c r="R572" i="8" s="1"/>
  <c r="AJ596" i="2"/>
  <c r="R596" i="8" s="1"/>
  <c r="AJ620" i="2"/>
  <c r="R620" i="8" s="1"/>
  <c r="AJ644" i="2"/>
  <c r="R644" i="8" s="1"/>
  <c r="AJ668" i="2"/>
  <c r="R668" i="8" s="1"/>
  <c r="AJ692" i="2"/>
  <c r="R692" i="8" s="1"/>
  <c r="AJ716" i="2"/>
  <c r="R716" i="8" s="1"/>
  <c r="AJ740" i="2"/>
  <c r="R740" i="8" s="1"/>
  <c r="AJ764" i="2"/>
  <c r="R764" i="8" s="1"/>
  <c r="AJ788" i="2"/>
  <c r="R788" i="8" s="1"/>
  <c r="AI70" i="2"/>
  <c r="A70" i="8" s="1"/>
  <c r="AI118" i="2"/>
  <c r="A118" i="8" s="1"/>
  <c r="AI166" i="2"/>
  <c r="A166" i="8" s="1"/>
  <c r="AI214" i="2"/>
  <c r="A214" i="8" s="1"/>
  <c r="AI262" i="2"/>
  <c r="A262" i="8" s="1"/>
  <c r="AI310" i="2"/>
  <c r="A310" i="8" s="1"/>
  <c r="AI357" i="2"/>
  <c r="A357" i="8" s="1"/>
  <c r="AI393" i="2"/>
  <c r="A393" i="8" s="1"/>
  <c r="AI428" i="2"/>
  <c r="A428" i="8" s="1"/>
  <c r="AI461" i="2"/>
  <c r="A461" i="8" s="1"/>
  <c r="AI491" i="2"/>
  <c r="A491" i="8" s="1"/>
  <c r="AI524" i="2"/>
  <c r="A524" i="8" s="1"/>
  <c r="AI557" i="2"/>
  <c r="A557" i="8" s="1"/>
  <c r="AI587" i="2"/>
  <c r="A587" i="8" s="1"/>
  <c r="AI619" i="2"/>
  <c r="A619" i="8" s="1"/>
  <c r="AI648" i="2"/>
  <c r="A648" i="8" s="1"/>
  <c r="AI679" i="2"/>
  <c r="A679" i="8" s="1"/>
  <c r="AI708" i="2"/>
  <c r="A708" i="8" s="1"/>
  <c r="AI740" i="2"/>
  <c r="A740" i="8" s="1"/>
  <c r="AI769" i="2"/>
  <c r="A769" i="8" s="1"/>
  <c r="AI800" i="2"/>
  <c r="A800" i="8" s="1"/>
  <c r="AI832" i="2"/>
  <c r="A832" i="8" s="1"/>
  <c r="AI861" i="2"/>
  <c r="A861" i="8" s="1"/>
  <c r="AI892" i="2"/>
  <c r="A892" i="8" s="1"/>
  <c r="AI921" i="2"/>
  <c r="A921" i="8" s="1"/>
  <c r="AI953" i="2"/>
  <c r="A953" i="8" s="1"/>
  <c r="AI982" i="2"/>
  <c r="A982" i="8" s="1"/>
  <c r="AI1013" i="2"/>
  <c r="A1013" i="8" s="1"/>
  <c r="AI1042" i="2"/>
  <c r="A1042" i="8" s="1"/>
  <c r="AI1074" i="2"/>
  <c r="A1074" i="8" s="1"/>
  <c r="AI1103" i="2"/>
  <c r="A1103" i="8" s="1"/>
  <c r="AJ42" i="2"/>
  <c r="R42" i="8" s="1"/>
  <c r="AJ69" i="2"/>
  <c r="R69" i="8" s="1"/>
  <c r="AJ93" i="2"/>
  <c r="R93" i="8" s="1"/>
  <c r="AJ117" i="2"/>
  <c r="R117" i="8" s="1"/>
  <c r="AJ141" i="2"/>
  <c r="R141" i="8" s="1"/>
  <c r="AJ165" i="2"/>
  <c r="R165" i="8" s="1"/>
  <c r="AJ189" i="2"/>
  <c r="R189" i="8" s="1"/>
  <c r="AJ213" i="2"/>
  <c r="R213" i="8" s="1"/>
  <c r="AJ237" i="2"/>
  <c r="R237" i="8" s="1"/>
  <c r="AJ261" i="2"/>
  <c r="R261" i="8" s="1"/>
  <c r="AJ285" i="2"/>
  <c r="R285" i="8" s="1"/>
  <c r="AJ309" i="2"/>
  <c r="R309" i="8" s="1"/>
  <c r="AJ333" i="2"/>
  <c r="R333" i="8" s="1"/>
  <c r="AJ357" i="2"/>
  <c r="R357" i="8" s="1"/>
  <c r="AJ381" i="2"/>
  <c r="R381" i="8" s="1"/>
  <c r="AJ405" i="2"/>
  <c r="R405" i="8" s="1"/>
  <c r="AJ429" i="2"/>
  <c r="R429" i="8" s="1"/>
  <c r="AJ453" i="2"/>
  <c r="R453" i="8" s="1"/>
  <c r="AJ477" i="2"/>
  <c r="R477" i="8" s="1"/>
  <c r="AJ501" i="2"/>
  <c r="R501" i="8" s="1"/>
  <c r="AJ525" i="2"/>
  <c r="R525" i="8" s="1"/>
  <c r="AJ549" i="2"/>
  <c r="R549" i="8" s="1"/>
  <c r="AJ573" i="2"/>
  <c r="R573" i="8" s="1"/>
  <c r="AJ597" i="2"/>
  <c r="R597" i="8" s="1"/>
  <c r="AJ621" i="2"/>
  <c r="R621" i="8" s="1"/>
  <c r="AJ645" i="2"/>
  <c r="R645" i="8" s="1"/>
  <c r="AJ669" i="2"/>
  <c r="R669" i="8" s="1"/>
  <c r="AJ693" i="2"/>
  <c r="R693" i="8" s="1"/>
  <c r="AJ717" i="2"/>
  <c r="R717" i="8" s="1"/>
  <c r="AJ741" i="2"/>
  <c r="R741" i="8" s="1"/>
  <c r="AJ765" i="2"/>
  <c r="R765" i="8" s="1"/>
  <c r="AI72" i="2"/>
  <c r="A72" i="8" s="1"/>
  <c r="AI120" i="2"/>
  <c r="A120" i="8" s="1"/>
  <c r="AI168" i="2"/>
  <c r="A168" i="8" s="1"/>
  <c r="AI216" i="2"/>
  <c r="A216" i="8" s="1"/>
  <c r="AI264" i="2"/>
  <c r="A264" i="8" s="1"/>
  <c r="AI312" i="2"/>
  <c r="A312" i="8" s="1"/>
  <c r="AI358" i="2"/>
  <c r="A358" i="8" s="1"/>
  <c r="AI394" i="2"/>
  <c r="A394" i="8" s="1"/>
  <c r="AI429" i="2"/>
  <c r="A429" i="8" s="1"/>
  <c r="AI462" i="2"/>
  <c r="A462" i="8" s="1"/>
  <c r="AI492" i="2"/>
  <c r="A492" i="8" s="1"/>
  <c r="AI525" i="2"/>
  <c r="A525" i="8" s="1"/>
  <c r="AI558" i="2"/>
  <c r="A558" i="8" s="1"/>
  <c r="AI588" i="2"/>
  <c r="A588" i="8" s="1"/>
  <c r="AI620" i="2"/>
  <c r="A620" i="8" s="1"/>
  <c r="AI649" i="2"/>
  <c r="A649" i="8" s="1"/>
  <c r="AI680" i="2"/>
  <c r="A680" i="8" s="1"/>
  <c r="AI712" i="2"/>
  <c r="A712" i="8" s="1"/>
  <c r="AI741" i="2"/>
  <c r="A741" i="8" s="1"/>
  <c r="AI772" i="2"/>
  <c r="A772" i="8" s="1"/>
  <c r="AI801" i="2"/>
  <c r="A801" i="8" s="1"/>
  <c r="AI833" i="2"/>
  <c r="A833" i="8" s="1"/>
  <c r="AI862" i="2"/>
  <c r="A862" i="8" s="1"/>
  <c r="AI893" i="2"/>
  <c r="A893" i="8" s="1"/>
  <c r="AI922" i="2"/>
  <c r="A922" i="8" s="1"/>
  <c r="AI954" i="2"/>
  <c r="A954" i="8" s="1"/>
  <c r="AI983" i="2"/>
  <c r="A983" i="8" s="1"/>
  <c r="AI1014" i="2"/>
  <c r="A1014" i="8" s="1"/>
  <c r="AI1043" i="2"/>
  <c r="A1043" i="8" s="1"/>
  <c r="AI1075" i="2"/>
  <c r="A1075" i="8" s="1"/>
  <c r="AI1104" i="2"/>
  <c r="A1104" i="8" s="1"/>
  <c r="AJ43" i="2"/>
  <c r="R43" i="8" s="1"/>
  <c r="AJ70" i="2"/>
  <c r="R70" i="8" s="1"/>
  <c r="AJ94" i="2"/>
  <c r="R94" i="8" s="1"/>
  <c r="AJ118" i="2"/>
  <c r="R118" i="8" s="1"/>
  <c r="AJ142" i="2"/>
  <c r="R142" i="8" s="1"/>
  <c r="AJ166" i="2"/>
  <c r="R166" i="8" s="1"/>
  <c r="AJ190" i="2"/>
  <c r="R190" i="8" s="1"/>
  <c r="AJ214" i="2"/>
  <c r="R214" i="8" s="1"/>
  <c r="AJ238" i="2"/>
  <c r="R238" i="8" s="1"/>
  <c r="AJ262" i="2"/>
  <c r="R262" i="8" s="1"/>
  <c r="AJ286" i="2"/>
  <c r="R286" i="8" s="1"/>
  <c r="AJ310" i="2"/>
  <c r="R310" i="8" s="1"/>
  <c r="AJ334" i="2"/>
  <c r="R334" i="8" s="1"/>
  <c r="AJ358" i="2"/>
  <c r="R358" i="8" s="1"/>
  <c r="AJ382" i="2"/>
  <c r="R382" i="8" s="1"/>
  <c r="AJ406" i="2"/>
  <c r="R406" i="8" s="1"/>
  <c r="AJ430" i="2"/>
  <c r="R430" i="8" s="1"/>
  <c r="AJ454" i="2"/>
  <c r="R454" i="8" s="1"/>
  <c r="AJ478" i="2"/>
  <c r="R478" i="8" s="1"/>
  <c r="AJ502" i="2"/>
  <c r="R502" i="8" s="1"/>
  <c r="AJ526" i="2"/>
  <c r="R526" i="8" s="1"/>
  <c r="AJ550" i="2"/>
  <c r="R550" i="8" s="1"/>
  <c r="AJ574" i="2"/>
  <c r="R574" i="8" s="1"/>
  <c r="AJ598" i="2"/>
  <c r="R598" i="8" s="1"/>
  <c r="AJ622" i="2"/>
  <c r="R622" i="8" s="1"/>
  <c r="AJ646" i="2"/>
  <c r="R646" i="8" s="1"/>
  <c r="AJ670" i="2"/>
  <c r="R670" i="8" s="1"/>
  <c r="AJ694" i="2"/>
  <c r="R694" i="8" s="1"/>
  <c r="AJ718" i="2"/>
  <c r="R718" i="8" s="1"/>
  <c r="AJ742" i="2"/>
  <c r="R742" i="8" s="1"/>
  <c r="AJ766" i="2"/>
  <c r="R766" i="8" s="1"/>
  <c r="AJ790" i="2"/>
  <c r="R790" i="8" s="1"/>
  <c r="AJ814" i="2"/>
  <c r="R814" i="8" s="1"/>
  <c r="AJ838" i="2"/>
  <c r="R838" i="8" s="1"/>
  <c r="AJ862" i="2"/>
  <c r="R862" i="8" s="1"/>
  <c r="AJ886" i="2"/>
  <c r="R886" i="8" s="1"/>
  <c r="AI73" i="2"/>
  <c r="A73" i="8" s="1"/>
  <c r="AI121" i="2"/>
  <c r="A121" i="8" s="1"/>
  <c r="AI169" i="2"/>
  <c r="A169" i="8" s="1"/>
  <c r="AI217" i="2"/>
  <c r="A217" i="8" s="1"/>
  <c r="AI265" i="2"/>
  <c r="A265" i="8" s="1"/>
  <c r="AI313" i="2"/>
  <c r="A313" i="8" s="1"/>
  <c r="AI360" i="2"/>
  <c r="A360" i="8" s="1"/>
  <c r="AI395" i="2"/>
  <c r="A395" i="8" s="1"/>
  <c r="AI430" i="2"/>
  <c r="A430" i="8" s="1"/>
  <c r="AI463" i="2"/>
  <c r="A463" i="8" s="1"/>
  <c r="AI496" i="2"/>
  <c r="A496" i="8" s="1"/>
  <c r="AI526" i="2"/>
  <c r="A526" i="8" s="1"/>
  <c r="AI559" i="2"/>
  <c r="A559" i="8" s="1"/>
  <c r="AI592" i="2"/>
  <c r="A592" i="8" s="1"/>
  <c r="AI621" i="2"/>
  <c r="A621" i="8" s="1"/>
  <c r="AI652" i="2"/>
  <c r="A652" i="8" s="1"/>
  <c r="AI681" i="2"/>
  <c r="A681" i="8" s="1"/>
  <c r="AI713" i="2"/>
  <c r="A713" i="8" s="1"/>
  <c r="AI742" i="2"/>
  <c r="A742" i="8" s="1"/>
  <c r="AI773" i="2"/>
  <c r="A773" i="8" s="1"/>
  <c r="AI802" i="2"/>
  <c r="A802" i="8" s="1"/>
  <c r="AI834" i="2"/>
  <c r="A834" i="8" s="1"/>
  <c r="AI863" i="2"/>
  <c r="A863" i="8" s="1"/>
  <c r="AI894" i="2"/>
  <c r="A894" i="8" s="1"/>
  <c r="AI923" i="2"/>
  <c r="A923" i="8" s="1"/>
  <c r="AI955" i="2"/>
  <c r="A955" i="8" s="1"/>
  <c r="AI984" i="2"/>
  <c r="A984" i="8" s="1"/>
  <c r="AI1015" i="2"/>
  <c r="A1015" i="8" s="1"/>
  <c r="AI1044" i="2"/>
  <c r="A1044" i="8" s="1"/>
  <c r="AI1076" i="2"/>
  <c r="A1076" i="8" s="1"/>
  <c r="AI1105" i="2"/>
  <c r="A1105" i="8" s="1"/>
  <c r="AJ44" i="2"/>
  <c r="R44" i="8" s="1"/>
  <c r="AJ71" i="2"/>
  <c r="R71" i="8" s="1"/>
  <c r="AJ95" i="2"/>
  <c r="R95" i="8" s="1"/>
  <c r="AJ119" i="2"/>
  <c r="R119" i="8" s="1"/>
  <c r="AJ143" i="2"/>
  <c r="R143" i="8" s="1"/>
  <c r="AJ167" i="2"/>
  <c r="R167" i="8" s="1"/>
  <c r="AJ191" i="2"/>
  <c r="R191" i="8" s="1"/>
  <c r="AJ215" i="2"/>
  <c r="R215" i="8" s="1"/>
  <c r="AJ239" i="2"/>
  <c r="R239" i="8" s="1"/>
  <c r="AJ263" i="2"/>
  <c r="R263" i="8" s="1"/>
  <c r="AJ287" i="2"/>
  <c r="R287" i="8" s="1"/>
  <c r="AJ311" i="2"/>
  <c r="R311" i="8" s="1"/>
  <c r="AJ335" i="2"/>
  <c r="R335" i="8" s="1"/>
  <c r="AJ359" i="2"/>
  <c r="R359" i="8" s="1"/>
  <c r="AJ383" i="2"/>
  <c r="R383" i="8" s="1"/>
  <c r="AJ407" i="2"/>
  <c r="R407" i="8" s="1"/>
  <c r="AJ431" i="2"/>
  <c r="R431" i="8" s="1"/>
  <c r="AJ455" i="2"/>
  <c r="R455" i="8" s="1"/>
  <c r="AJ479" i="2"/>
  <c r="R479" i="8" s="1"/>
  <c r="AJ503" i="2"/>
  <c r="R503" i="8" s="1"/>
  <c r="AJ527" i="2"/>
  <c r="R527" i="8" s="1"/>
  <c r="AJ551" i="2"/>
  <c r="R551" i="8" s="1"/>
  <c r="AJ575" i="2"/>
  <c r="R575" i="8" s="1"/>
  <c r="AJ599" i="2"/>
  <c r="R599" i="8" s="1"/>
  <c r="AJ623" i="2"/>
  <c r="R623" i="8" s="1"/>
  <c r="AJ647" i="2"/>
  <c r="R647" i="8" s="1"/>
  <c r="AI79" i="2"/>
  <c r="A79" i="8" s="1"/>
  <c r="AI127" i="2"/>
  <c r="A127" i="8" s="1"/>
  <c r="AI175" i="2"/>
  <c r="A175" i="8" s="1"/>
  <c r="AI223" i="2"/>
  <c r="A223" i="8" s="1"/>
  <c r="AI271" i="2"/>
  <c r="A271" i="8" s="1"/>
  <c r="AI319" i="2"/>
  <c r="A319" i="8" s="1"/>
  <c r="AI361" i="2"/>
  <c r="A361" i="8" s="1"/>
  <c r="AI396" i="2"/>
  <c r="A396" i="8" s="1"/>
  <c r="AI432" i="2"/>
  <c r="A432" i="8" s="1"/>
  <c r="AI464" i="2"/>
  <c r="A464" i="8" s="1"/>
  <c r="AI497" i="2"/>
  <c r="A497" i="8" s="1"/>
  <c r="AI528" i="2"/>
  <c r="A528" i="8" s="1"/>
  <c r="AI560" i="2"/>
  <c r="A560" i="8" s="1"/>
  <c r="AI593" i="2"/>
  <c r="A593" i="8" s="1"/>
  <c r="AI622" i="2"/>
  <c r="A622" i="8" s="1"/>
  <c r="AI653" i="2"/>
  <c r="A653" i="8" s="1"/>
  <c r="AI682" i="2"/>
  <c r="A682" i="8" s="1"/>
  <c r="AI714" i="2"/>
  <c r="A714" i="8" s="1"/>
  <c r="AI743" i="2"/>
  <c r="A743" i="8" s="1"/>
  <c r="AI774" i="2"/>
  <c r="A774" i="8" s="1"/>
  <c r="AI803" i="2"/>
  <c r="A803" i="8" s="1"/>
  <c r="AI835" i="2"/>
  <c r="A835" i="8" s="1"/>
  <c r="AI864" i="2"/>
  <c r="A864" i="8" s="1"/>
  <c r="AI895" i="2"/>
  <c r="A895" i="8" s="1"/>
  <c r="AI924" i="2"/>
  <c r="A924" i="8" s="1"/>
  <c r="AI956" i="2"/>
  <c r="A956" i="8" s="1"/>
  <c r="AI985" i="2"/>
  <c r="A985" i="8" s="1"/>
  <c r="AI1016" i="2"/>
  <c r="A1016" i="8" s="1"/>
  <c r="AI1048" i="2"/>
  <c r="A1048" i="8" s="1"/>
  <c r="AI1077" i="2"/>
  <c r="A1077" i="8" s="1"/>
  <c r="AI1108" i="2"/>
  <c r="A1108" i="8" s="1"/>
  <c r="AJ45" i="2"/>
  <c r="R45" i="8" s="1"/>
  <c r="AJ72" i="2"/>
  <c r="R72" i="8" s="1"/>
  <c r="AJ96" i="2"/>
  <c r="R96" i="8" s="1"/>
  <c r="AJ120" i="2"/>
  <c r="R120" i="8" s="1"/>
  <c r="AJ144" i="2"/>
  <c r="R144" i="8" s="1"/>
  <c r="AJ168" i="2"/>
  <c r="R168" i="8" s="1"/>
  <c r="AJ192" i="2"/>
  <c r="R192" i="8" s="1"/>
  <c r="AJ216" i="2"/>
  <c r="R216" i="8" s="1"/>
  <c r="AJ240" i="2"/>
  <c r="R240" i="8" s="1"/>
  <c r="AJ264" i="2"/>
  <c r="R264" i="8" s="1"/>
  <c r="AJ288" i="2"/>
  <c r="R288" i="8" s="1"/>
  <c r="AJ312" i="2"/>
  <c r="R312" i="8" s="1"/>
  <c r="AJ336" i="2"/>
  <c r="R336" i="8" s="1"/>
  <c r="AJ360" i="2"/>
  <c r="R360" i="8" s="1"/>
  <c r="AJ384" i="2"/>
  <c r="R384" i="8" s="1"/>
  <c r="AJ408" i="2"/>
  <c r="R408" i="8" s="1"/>
  <c r="AJ432" i="2"/>
  <c r="R432" i="8" s="1"/>
  <c r="AJ456" i="2"/>
  <c r="R456" i="8" s="1"/>
  <c r="AJ480" i="2"/>
  <c r="R480" i="8" s="1"/>
  <c r="AJ504" i="2"/>
  <c r="R504" i="8" s="1"/>
  <c r="AJ528" i="2"/>
  <c r="R528" i="8" s="1"/>
  <c r="AJ552" i="2"/>
  <c r="R552" i="8" s="1"/>
  <c r="AJ576" i="2"/>
  <c r="R576" i="8" s="1"/>
  <c r="AJ600" i="2"/>
  <c r="R600" i="8" s="1"/>
  <c r="AJ624" i="2"/>
  <c r="R624" i="8" s="1"/>
  <c r="AJ648" i="2"/>
  <c r="R648" i="8" s="1"/>
  <c r="AJ672" i="2"/>
  <c r="R672" i="8" s="1"/>
  <c r="AJ696" i="2"/>
  <c r="R696" i="8" s="1"/>
  <c r="AJ720" i="2"/>
  <c r="R720" i="8" s="1"/>
  <c r="AJ744" i="2"/>
  <c r="R744" i="8" s="1"/>
  <c r="AJ768" i="2"/>
  <c r="R768" i="8" s="1"/>
  <c r="AJ792" i="2"/>
  <c r="R792" i="8" s="1"/>
  <c r="AJ816" i="2"/>
  <c r="R816" i="8" s="1"/>
  <c r="AJ840" i="2"/>
  <c r="R840" i="8" s="1"/>
  <c r="AJ864" i="2"/>
  <c r="R864" i="8" s="1"/>
  <c r="AJ888" i="2"/>
  <c r="R888" i="8" s="1"/>
  <c r="AJ912" i="2"/>
  <c r="R912" i="8" s="1"/>
  <c r="AJ280" i="2"/>
  <c r="R280" i="8" s="1"/>
  <c r="AJ760" i="2"/>
  <c r="R760" i="8" s="1"/>
  <c r="AJ882" i="2"/>
  <c r="R882" i="8" s="1"/>
  <c r="AJ934" i="2"/>
  <c r="R934" i="8" s="1"/>
  <c r="AJ978" i="2"/>
  <c r="R978" i="8" s="1"/>
  <c r="AJ1015" i="2"/>
  <c r="R1015" i="8" s="1"/>
  <c r="AJ1053" i="2"/>
  <c r="R1053" i="8" s="1"/>
  <c r="AJ1089" i="2"/>
  <c r="R1089" i="8" s="1"/>
  <c r="AJ1125" i="2"/>
  <c r="R1125" i="8" s="1"/>
  <c r="AJ304" i="2"/>
  <c r="R304" i="8" s="1"/>
  <c r="AJ767" i="2"/>
  <c r="R767" i="8" s="1"/>
  <c r="AJ884" i="2"/>
  <c r="R884" i="8" s="1"/>
  <c r="AJ935" i="2"/>
  <c r="R935" i="8" s="1"/>
  <c r="AJ979" i="2"/>
  <c r="R979" i="8" s="1"/>
  <c r="AJ1016" i="2"/>
  <c r="R1016" i="8" s="1"/>
  <c r="AJ1054" i="2"/>
  <c r="R1054" i="8" s="1"/>
  <c r="AJ1090" i="2"/>
  <c r="R1090" i="8" s="1"/>
  <c r="AJ1126" i="2"/>
  <c r="R1126" i="8" s="1"/>
  <c r="AJ328" i="2"/>
  <c r="R328" i="8" s="1"/>
  <c r="AJ784" i="2"/>
  <c r="R784" i="8" s="1"/>
  <c r="AJ885" i="2"/>
  <c r="R885" i="8" s="1"/>
  <c r="AJ936" i="2"/>
  <c r="R936" i="8" s="1"/>
  <c r="AJ980" i="2"/>
  <c r="R980" i="8" s="1"/>
  <c r="AJ1017" i="2"/>
  <c r="R1017" i="8" s="1"/>
  <c r="AJ1055" i="2"/>
  <c r="R1055" i="8" s="1"/>
  <c r="AJ1091" i="2"/>
  <c r="R1091" i="8" s="1"/>
  <c r="AJ1127" i="2"/>
  <c r="R1127" i="8" s="1"/>
  <c r="AJ352" i="2"/>
  <c r="R352" i="8" s="1"/>
  <c r="AJ789" i="2"/>
  <c r="R789" i="8" s="1"/>
  <c r="AJ887" i="2"/>
  <c r="R887" i="8" s="1"/>
  <c r="AJ941" i="2"/>
  <c r="R941" i="8" s="1"/>
  <c r="AJ981" i="2"/>
  <c r="R981" i="8" s="1"/>
  <c r="AJ1018" i="2"/>
  <c r="R1018" i="8" s="1"/>
  <c r="AJ1056" i="2"/>
  <c r="R1056" i="8" s="1"/>
  <c r="AJ1096" i="2"/>
  <c r="R1096" i="8" s="1"/>
  <c r="AJ1128" i="2"/>
  <c r="R1128" i="8" s="1"/>
  <c r="AJ376" i="2"/>
  <c r="R376" i="8" s="1"/>
  <c r="AJ791" i="2"/>
  <c r="R791" i="8" s="1"/>
  <c r="AJ895" i="2"/>
  <c r="R895" i="8" s="1"/>
  <c r="AJ943" i="2"/>
  <c r="R943" i="8" s="1"/>
  <c r="AJ982" i="2"/>
  <c r="R982" i="8" s="1"/>
  <c r="AJ1024" i="2"/>
  <c r="R1024" i="8" s="1"/>
  <c r="AJ1060" i="2"/>
  <c r="R1060" i="8" s="1"/>
  <c r="AJ1097" i="2"/>
  <c r="R1097" i="8" s="1"/>
  <c r="AJ400" i="2"/>
  <c r="R400" i="8" s="1"/>
  <c r="AJ808" i="2"/>
  <c r="R808" i="8" s="1"/>
  <c r="AJ896" i="2"/>
  <c r="R896" i="8" s="1"/>
  <c r="AJ944" i="2"/>
  <c r="R944" i="8" s="1"/>
  <c r="AJ983" i="2"/>
  <c r="R983" i="8" s="1"/>
  <c r="AJ1025" i="2"/>
  <c r="R1025" i="8" s="1"/>
  <c r="AJ1061" i="2"/>
  <c r="R1061" i="8" s="1"/>
  <c r="AJ1098" i="2"/>
  <c r="R1098" i="8" s="1"/>
  <c r="AJ424" i="2"/>
  <c r="R424" i="8" s="1"/>
  <c r="AJ812" i="2"/>
  <c r="R812" i="8" s="1"/>
  <c r="AJ897" i="2"/>
  <c r="R897" i="8" s="1"/>
  <c r="AJ945" i="2"/>
  <c r="R945" i="8" s="1"/>
  <c r="AJ984" i="2"/>
  <c r="R984" i="8" s="1"/>
  <c r="AJ1026" i="2"/>
  <c r="R1026" i="8" s="1"/>
  <c r="AJ1063" i="2"/>
  <c r="R1063" i="8" s="1"/>
  <c r="AJ1099" i="2"/>
  <c r="R1099" i="8" s="1"/>
  <c r="AJ448" i="2"/>
  <c r="R448" i="8" s="1"/>
  <c r="AJ813" i="2"/>
  <c r="R813" i="8" s="1"/>
  <c r="AJ904" i="2"/>
  <c r="R904" i="8" s="1"/>
  <c r="AJ946" i="2"/>
  <c r="R946" i="8" s="1"/>
  <c r="AJ988" i="2"/>
  <c r="R988" i="8" s="1"/>
  <c r="AJ1027" i="2"/>
  <c r="R1027" i="8" s="1"/>
  <c r="AJ1064" i="2"/>
  <c r="R1064" i="8" s="1"/>
  <c r="AJ1100" i="2"/>
  <c r="R1100" i="8" s="1"/>
  <c r="AJ472" i="2"/>
  <c r="R472" i="8" s="1"/>
  <c r="AJ815" i="2"/>
  <c r="R815" i="8" s="1"/>
  <c r="AJ906" i="2"/>
  <c r="R906" i="8" s="1"/>
  <c r="AJ952" i="2"/>
  <c r="R952" i="8" s="1"/>
  <c r="AJ989" i="2"/>
  <c r="R989" i="8" s="1"/>
  <c r="AJ1028" i="2"/>
  <c r="R1028" i="8" s="1"/>
  <c r="AJ1065" i="2"/>
  <c r="R1065" i="8" s="1"/>
  <c r="AJ1101" i="2"/>
  <c r="R1101" i="8" s="1"/>
  <c r="AJ496" i="2"/>
  <c r="R496" i="8" s="1"/>
  <c r="AJ823" i="2"/>
  <c r="R823" i="8" s="1"/>
  <c r="AJ907" i="2"/>
  <c r="R907" i="8" s="1"/>
  <c r="AJ953" i="2"/>
  <c r="R953" i="8" s="1"/>
  <c r="AJ991" i="2"/>
  <c r="R991" i="8" s="1"/>
  <c r="AJ1029" i="2"/>
  <c r="R1029" i="8" s="1"/>
  <c r="AJ1066" i="2"/>
  <c r="R1066" i="8" s="1"/>
  <c r="AJ1102" i="2"/>
  <c r="R1102" i="8" s="1"/>
  <c r="AJ520" i="2"/>
  <c r="R520" i="8" s="1"/>
  <c r="AJ832" i="2"/>
  <c r="R832" i="8" s="1"/>
  <c r="AJ908" i="2"/>
  <c r="R908" i="8" s="1"/>
  <c r="AJ954" i="2"/>
  <c r="R954" i="8" s="1"/>
  <c r="AJ992" i="2"/>
  <c r="R992" i="8" s="1"/>
  <c r="AJ1030" i="2"/>
  <c r="R1030" i="8" s="1"/>
  <c r="AJ1067" i="2"/>
  <c r="R1067" i="8" s="1"/>
  <c r="AJ1103" i="2"/>
  <c r="R1103" i="8" s="1"/>
  <c r="AJ544" i="2"/>
  <c r="R544" i="8" s="1"/>
  <c r="AJ836" i="2"/>
  <c r="R836" i="8" s="1"/>
  <c r="AJ909" i="2"/>
  <c r="R909" i="8" s="1"/>
  <c r="AJ955" i="2"/>
  <c r="R955" i="8" s="1"/>
  <c r="AJ993" i="2"/>
  <c r="R993" i="8" s="1"/>
  <c r="AJ1031" i="2"/>
  <c r="R1031" i="8" s="1"/>
  <c r="AJ1072" i="2"/>
  <c r="R1072" i="8" s="1"/>
  <c r="AJ1104" i="2"/>
  <c r="R1104" i="8" s="1"/>
  <c r="AJ568" i="2"/>
  <c r="R568" i="8" s="1"/>
  <c r="AJ837" i="2"/>
  <c r="R837" i="8" s="1"/>
  <c r="AJ910" i="2"/>
  <c r="R910" i="8" s="1"/>
  <c r="AJ956" i="2"/>
  <c r="R956" i="8" s="1"/>
  <c r="AJ994" i="2"/>
  <c r="R994" i="8" s="1"/>
  <c r="AJ1032" i="2"/>
  <c r="R1032" i="8" s="1"/>
  <c r="AJ1073" i="2"/>
  <c r="R1073" i="8" s="1"/>
  <c r="AJ1108" i="2"/>
  <c r="R1108" i="8" s="1"/>
  <c r="AJ592" i="2"/>
  <c r="R592" i="8" s="1"/>
  <c r="AJ839" i="2"/>
  <c r="R839" i="8" s="1"/>
  <c r="AJ911" i="2"/>
  <c r="R911" i="8" s="1"/>
  <c r="AJ957" i="2"/>
  <c r="R957" i="8" s="1"/>
  <c r="AJ1000" i="2"/>
  <c r="R1000" i="8" s="1"/>
  <c r="AJ1036" i="2"/>
  <c r="R1036" i="8" s="1"/>
  <c r="AJ1074" i="2"/>
  <c r="R1074" i="8" s="1"/>
  <c r="AJ1109" i="2"/>
  <c r="R1109" i="8" s="1"/>
  <c r="AJ1124" i="2"/>
  <c r="R1124" i="8" s="1"/>
  <c r="AJ616" i="2"/>
  <c r="R616" i="8" s="1"/>
  <c r="AJ847" i="2"/>
  <c r="R847" i="8" s="1"/>
  <c r="AJ917" i="2"/>
  <c r="R917" i="8" s="1"/>
  <c r="AJ958" i="2"/>
  <c r="R958" i="8" s="1"/>
  <c r="AJ1001" i="2"/>
  <c r="R1001" i="8" s="1"/>
  <c r="AJ1037" i="2"/>
  <c r="R1037" i="8" s="1"/>
  <c r="AJ1075" i="2"/>
  <c r="R1075" i="8" s="1"/>
  <c r="AJ1111" i="2"/>
  <c r="R1111" i="8" s="1"/>
  <c r="AJ933" i="2"/>
  <c r="R933" i="8" s="1"/>
  <c r="AJ640" i="2"/>
  <c r="R640" i="8" s="1"/>
  <c r="AJ856" i="2"/>
  <c r="R856" i="8" s="1"/>
  <c r="AJ919" i="2"/>
  <c r="R919" i="8" s="1"/>
  <c r="AJ959" i="2"/>
  <c r="R959" i="8" s="1"/>
  <c r="AJ1002" i="2"/>
  <c r="R1002" i="8" s="1"/>
  <c r="AJ1039" i="2"/>
  <c r="R1039" i="8" s="1"/>
  <c r="AJ1076" i="2"/>
  <c r="R1076" i="8" s="1"/>
  <c r="AJ1112" i="2"/>
  <c r="R1112" i="8" s="1"/>
  <c r="AJ880" i="2"/>
  <c r="R880" i="8" s="1"/>
  <c r="AJ664" i="2"/>
  <c r="R664" i="8" s="1"/>
  <c r="AJ858" i="2"/>
  <c r="R858" i="8" s="1"/>
  <c r="AJ920" i="2"/>
  <c r="R920" i="8" s="1"/>
  <c r="AJ960" i="2"/>
  <c r="R960" i="8" s="1"/>
  <c r="AJ1003" i="2"/>
  <c r="R1003" i="8" s="1"/>
  <c r="AJ1040" i="2"/>
  <c r="R1040" i="8" s="1"/>
  <c r="AJ1077" i="2"/>
  <c r="R1077" i="8" s="1"/>
  <c r="AJ1113" i="2"/>
  <c r="R1113" i="8" s="1"/>
  <c r="AJ743" i="2"/>
  <c r="R743" i="8" s="1"/>
  <c r="AJ112" i="2"/>
  <c r="R112" i="8" s="1"/>
  <c r="AJ671" i="2"/>
  <c r="R671" i="8" s="1"/>
  <c r="AJ860" i="2"/>
  <c r="R860" i="8" s="1"/>
  <c r="AJ921" i="2"/>
  <c r="R921" i="8" s="1"/>
  <c r="AJ965" i="2"/>
  <c r="R965" i="8" s="1"/>
  <c r="AJ1004" i="2"/>
  <c r="R1004" i="8" s="1"/>
  <c r="AJ1041" i="2"/>
  <c r="R1041" i="8" s="1"/>
  <c r="AJ1078" i="2"/>
  <c r="R1078" i="8" s="1"/>
  <c r="AJ1114" i="2"/>
  <c r="R1114" i="8" s="1"/>
  <c r="AJ1088" i="2"/>
  <c r="R1088" i="8" s="1"/>
  <c r="AJ136" i="2"/>
  <c r="R136" i="8" s="1"/>
  <c r="AJ688" i="2"/>
  <c r="R688" i="8" s="1"/>
  <c r="AJ861" i="2"/>
  <c r="R861" i="8" s="1"/>
  <c r="AJ922" i="2"/>
  <c r="R922" i="8" s="1"/>
  <c r="AJ967" i="2"/>
  <c r="R967" i="8" s="1"/>
  <c r="AJ1005" i="2"/>
  <c r="R1005" i="8" s="1"/>
  <c r="AJ1042" i="2"/>
  <c r="R1042" i="8" s="1"/>
  <c r="AJ1079" i="2"/>
  <c r="R1079" i="8" s="1"/>
  <c r="AJ1115" i="2"/>
  <c r="R1115" i="8" s="1"/>
  <c r="AJ1052" i="2"/>
  <c r="R1052" i="8" s="1"/>
  <c r="AJ160" i="2"/>
  <c r="R160" i="8" s="1"/>
  <c r="AJ695" i="2"/>
  <c r="R695" i="8" s="1"/>
  <c r="AJ863" i="2"/>
  <c r="R863" i="8" s="1"/>
  <c r="AJ928" i="2"/>
  <c r="R928" i="8" s="1"/>
  <c r="AJ968" i="2"/>
  <c r="R968" i="8" s="1"/>
  <c r="AJ1006" i="2"/>
  <c r="R1006" i="8" s="1"/>
  <c r="AJ1048" i="2"/>
  <c r="R1048" i="8" s="1"/>
  <c r="AJ1080" i="2"/>
  <c r="R1080" i="8" s="1"/>
  <c r="AJ1120" i="2"/>
  <c r="R1120" i="8" s="1"/>
  <c r="AJ1013" i="2"/>
  <c r="R1013" i="8" s="1"/>
  <c r="AJ184" i="2"/>
  <c r="R184" i="8" s="1"/>
  <c r="AJ712" i="2"/>
  <c r="R712" i="8" s="1"/>
  <c r="AJ871" i="2"/>
  <c r="R871" i="8" s="1"/>
  <c r="AJ930" i="2"/>
  <c r="R930" i="8" s="1"/>
  <c r="AJ969" i="2"/>
  <c r="R969" i="8" s="1"/>
  <c r="AJ1007" i="2"/>
  <c r="R1007" i="8" s="1"/>
  <c r="AJ1049" i="2"/>
  <c r="R1049" i="8" s="1"/>
  <c r="AJ1084" i="2"/>
  <c r="R1084" i="8" s="1"/>
  <c r="AJ1121" i="2"/>
  <c r="R1121" i="8" s="1"/>
  <c r="AJ977" i="2"/>
  <c r="R977" i="8" s="1"/>
  <c r="AJ208" i="2"/>
  <c r="R208" i="8" s="1"/>
  <c r="AJ719" i="2"/>
  <c r="R719" i="8" s="1"/>
  <c r="AJ872" i="2"/>
  <c r="R872" i="8" s="1"/>
  <c r="AJ931" i="2"/>
  <c r="R931" i="8" s="1"/>
  <c r="AJ970" i="2"/>
  <c r="R970" i="8" s="1"/>
  <c r="AJ1008" i="2"/>
  <c r="R1008" i="8" s="1"/>
  <c r="AJ1050" i="2"/>
  <c r="R1050" i="8" s="1"/>
  <c r="AJ1085" i="2"/>
  <c r="R1085" i="8" s="1"/>
  <c r="AJ1122" i="2"/>
  <c r="R1122" i="8" s="1"/>
  <c r="AJ256" i="2"/>
  <c r="R256" i="8" s="1"/>
  <c r="AJ232" i="2"/>
  <c r="R232" i="8" s="1"/>
  <c r="AJ736" i="2"/>
  <c r="R736" i="8" s="1"/>
  <c r="AJ873" i="2"/>
  <c r="R873" i="8" s="1"/>
  <c r="AJ932" i="2"/>
  <c r="R932" i="8" s="1"/>
  <c r="AJ976" i="2"/>
  <c r="R976" i="8" s="1"/>
  <c r="AJ1012" i="2"/>
  <c r="R1012" i="8" s="1"/>
  <c r="AJ1051" i="2"/>
  <c r="R1051" i="8" s="1"/>
  <c r="AJ1087" i="2"/>
  <c r="R1087" i="8" s="1"/>
  <c r="AJ1123" i="2"/>
  <c r="R1123" i="8" s="1"/>
  <c r="AI33" i="2"/>
  <c r="A33" i="8" s="1"/>
  <c r="AJ33" i="2"/>
  <c r="R33" i="8" s="1"/>
  <c r="AJ34" i="2"/>
  <c r="R34" i="8" s="1"/>
  <c r="AI35" i="2"/>
  <c r="A35" i="8" s="1"/>
  <c r="AJ35" i="2"/>
  <c r="R35" i="8" s="1"/>
  <c r="AI36" i="2"/>
  <c r="A36" i="8" s="1"/>
  <c r="AJ36" i="2"/>
  <c r="R36" i="8" s="1"/>
  <c r="AI34" i="2"/>
  <c r="A34" i="8" s="1"/>
  <c r="AI23" i="2"/>
  <c r="A23" i="8" s="1"/>
  <c r="AJ29" i="2"/>
  <c r="R29" i="8" s="1"/>
  <c r="AI20" i="2"/>
  <c r="A20" i="8" s="1"/>
  <c r="AI32" i="2"/>
  <c r="A32" i="8" s="1"/>
  <c r="AI17" i="2"/>
  <c r="A17" i="8" s="1"/>
  <c r="AI21" i="2"/>
  <c r="A21" i="8" s="1"/>
  <c r="AI25" i="2"/>
  <c r="A25" i="8" s="1"/>
  <c r="AI29" i="2"/>
  <c r="A29" i="8" s="1"/>
  <c r="AJ15" i="2"/>
  <c r="R15" i="8" s="1"/>
  <c r="AJ19" i="2"/>
  <c r="R19" i="8" s="1"/>
  <c r="AJ23" i="2"/>
  <c r="R23" i="8" s="1"/>
  <c r="AJ27" i="2"/>
  <c r="R27" i="8" s="1"/>
  <c r="AJ31" i="2"/>
  <c r="R31" i="8" s="1"/>
  <c r="AI15" i="2"/>
  <c r="A15" i="8" s="1"/>
  <c r="AI27" i="2"/>
  <c r="A27" i="8" s="1"/>
  <c r="AJ17" i="2"/>
  <c r="R17" i="8" s="1"/>
  <c r="AJ25" i="2"/>
  <c r="R25" i="8" s="1"/>
  <c r="AI16" i="2"/>
  <c r="A16" i="8" s="1"/>
  <c r="AI28" i="2"/>
  <c r="A28" i="8" s="1"/>
  <c r="AI18" i="2"/>
  <c r="A18" i="8" s="1"/>
  <c r="AI22" i="2"/>
  <c r="A22" i="8" s="1"/>
  <c r="AI26" i="2"/>
  <c r="A26" i="8" s="1"/>
  <c r="AI30" i="2"/>
  <c r="A30" i="8" s="1"/>
  <c r="AJ16" i="2"/>
  <c r="R16" i="8" s="1"/>
  <c r="AJ20" i="2"/>
  <c r="R20" i="8" s="1"/>
  <c r="AJ24" i="2"/>
  <c r="R24" i="8" s="1"/>
  <c r="AJ28" i="2"/>
  <c r="R28" i="8" s="1"/>
  <c r="AJ32" i="2"/>
  <c r="R32" i="8" s="1"/>
  <c r="AI19" i="2"/>
  <c r="A19" i="8" s="1"/>
  <c r="AI31" i="2"/>
  <c r="A31" i="8" s="1"/>
  <c r="AJ21" i="2"/>
  <c r="R21" i="8" s="1"/>
  <c r="AI24" i="2"/>
  <c r="A24" i="8" s="1"/>
  <c r="AJ18" i="2"/>
  <c r="R18" i="8" s="1"/>
  <c r="AJ22" i="2"/>
  <c r="R22" i="8" s="1"/>
  <c r="AJ26" i="2"/>
  <c r="R26" i="8" s="1"/>
  <c r="AJ30" i="2"/>
  <c r="R30" i="8" s="1"/>
  <c r="AI14" i="2"/>
  <c r="A14" i="8" s="1"/>
  <c r="AI12" i="2"/>
  <c r="A12" i="8" s="1"/>
  <c r="AI10" i="2"/>
  <c r="A10" i="8" s="1"/>
  <c r="AI8" i="2"/>
  <c r="A8" i="8" s="1"/>
  <c r="AI6" i="2"/>
  <c r="A6" i="8" s="1"/>
  <c r="AI13" i="2"/>
  <c r="A13" i="8" s="1"/>
  <c r="AI11" i="2"/>
  <c r="A11" i="8" s="1"/>
  <c r="AI9" i="2"/>
  <c r="A9" i="8" s="1"/>
  <c r="AI7" i="2"/>
  <c r="A7" i="8" s="1"/>
  <c r="AI5" i="2"/>
  <c r="A5" i="8" s="1"/>
  <c r="AJ12" i="2"/>
  <c r="R12" i="8" s="1"/>
  <c r="AJ5" i="2"/>
  <c r="R5" i="8" s="1"/>
  <c r="AJ13" i="2"/>
  <c r="R13" i="8" s="1"/>
  <c r="AJ8" i="2"/>
  <c r="R8" i="8" s="1"/>
  <c r="AJ7" i="2"/>
  <c r="R7" i="8" s="1"/>
  <c r="AJ11" i="2"/>
  <c r="R11" i="8" s="1"/>
  <c r="AJ9" i="2"/>
  <c r="R9" i="8" s="1"/>
  <c r="AJ6" i="2"/>
  <c r="R6" i="8" s="1"/>
  <c r="AJ10" i="2"/>
  <c r="R10" i="8" s="1"/>
  <c r="AJ14" i="2"/>
  <c r="R14" i="8" s="1"/>
  <c r="AS1040" i="8" l="1"/>
  <c r="BI1040" i="8"/>
  <c r="AS1003" i="8"/>
  <c r="BI1003" i="8"/>
  <c r="AS816" i="8"/>
  <c r="BI816" i="8"/>
  <c r="AS17" i="8"/>
  <c r="BI17" i="8"/>
  <c r="AS232" i="8"/>
  <c r="BI232" i="8"/>
  <c r="AS969" i="8"/>
  <c r="BI969" i="8"/>
  <c r="AS1115" i="8"/>
  <c r="BI1115" i="8"/>
  <c r="AS860" i="8"/>
  <c r="BI860" i="8"/>
  <c r="AS1002" i="8"/>
  <c r="BI1002" i="8"/>
  <c r="AS1074" i="8"/>
  <c r="BI1074" i="8"/>
  <c r="AS1072" i="8"/>
  <c r="BI1072" i="8"/>
  <c r="AS1066" i="8"/>
  <c r="BI1066" i="8"/>
  <c r="AS1064" i="8"/>
  <c r="BI1064" i="8"/>
  <c r="AS1061" i="8"/>
  <c r="BI1061" i="8"/>
  <c r="AS1096" i="8"/>
  <c r="BI1096" i="8"/>
  <c r="AS328" i="8"/>
  <c r="BI328" i="8"/>
  <c r="AS882" i="8"/>
  <c r="BI882" i="8"/>
  <c r="AS600" i="8"/>
  <c r="BI600" i="8"/>
  <c r="AS216" i="8"/>
  <c r="BI216" i="8"/>
  <c r="AS431" i="8"/>
  <c r="BI431" i="8"/>
  <c r="AS44" i="8"/>
  <c r="BI44" i="8"/>
  <c r="AS886" i="8"/>
  <c r="BI886" i="8"/>
  <c r="AS502" i="8"/>
  <c r="BI502" i="8"/>
  <c r="AS118" i="8"/>
  <c r="BI118" i="8"/>
  <c r="AS453" i="8"/>
  <c r="BI453" i="8"/>
  <c r="AS69" i="8"/>
  <c r="BI69" i="8"/>
  <c r="AS428" i="8"/>
  <c r="BI428" i="8"/>
  <c r="AS41" i="8"/>
  <c r="BI41" i="8"/>
  <c r="AS883" i="8"/>
  <c r="BI883" i="8"/>
  <c r="AS499" i="8"/>
  <c r="BI499" i="8"/>
  <c r="AS115" i="8"/>
  <c r="BI115" i="8"/>
  <c r="AS522" i="8"/>
  <c r="BI522" i="8"/>
  <c r="AS138" i="8"/>
  <c r="BI138" i="8"/>
  <c r="AS641" i="8"/>
  <c r="BI641" i="8"/>
  <c r="AS257" i="8"/>
  <c r="BI257" i="8"/>
  <c r="AS999" i="8"/>
  <c r="BI999" i="8"/>
  <c r="AS615" i="8"/>
  <c r="BI615" i="8"/>
  <c r="AS231" i="8"/>
  <c r="BI231" i="8"/>
  <c r="AS926" i="8"/>
  <c r="BI926" i="8"/>
  <c r="AS542" i="8"/>
  <c r="BI542" i="8"/>
  <c r="AS158" i="8"/>
  <c r="BI158" i="8"/>
  <c r="AS853" i="8"/>
  <c r="BI853" i="8"/>
  <c r="AS469" i="8"/>
  <c r="BI469" i="8"/>
  <c r="AS85" i="8"/>
  <c r="BI85" i="8"/>
  <c r="AS780" i="8"/>
  <c r="BI780" i="8"/>
  <c r="AS396" i="8"/>
  <c r="BI396" i="8"/>
  <c r="AS1019" i="8"/>
  <c r="BI1019" i="8"/>
  <c r="AS635" i="8"/>
  <c r="BI635" i="8"/>
  <c r="AS251" i="8"/>
  <c r="BI251" i="8"/>
  <c r="AS730" i="8"/>
  <c r="BI730" i="8"/>
  <c r="AS346" i="8"/>
  <c r="BI346" i="8"/>
  <c r="AS777" i="8"/>
  <c r="BI777" i="8"/>
  <c r="AS393" i="8"/>
  <c r="BI393" i="8"/>
  <c r="AS824" i="8"/>
  <c r="BI824" i="8"/>
  <c r="AS440" i="8"/>
  <c r="BI440" i="8"/>
  <c r="AS56" i="8"/>
  <c r="BI56" i="8"/>
  <c r="AS799" i="8"/>
  <c r="BI799" i="8"/>
  <c r="AS415" i="8"/>
  <c r="BI415" i="8"/>
  <c r="AS1086" i="8"/>
  <c r="BI1086" i="8"/>
  <c r="AS702" i="8"/>
  <c r="BI702" i="8"/>
  <c r="AS318" i="8"/>
  <c r="BI318" i="8"/>
  <c r="AS773" i="8"/>
  <c r="BI773" i="8"/>
  <c r="AS389" i="8"/>
  <c r="BI389" i="8"/>
  <c r="AS916" i="8"/>
  <c r="BI916" i="8"/>
  <c r="AS532" i="8"/>
  <c r="BI532" i="8"/>
  <c r="AS148" i="8"/>
  <c r="BI148" i="8"/>
  <c r="AS819" i="8"/>
  <c r="BI819" i="8"/>
  <c r="AS435" i="8"/>
  <c r="BI435" i="8"/>
  <c r="AS48" i="8"/>
  <c r="BI48" i="8"/>
  <c r="AS1106" i="8"/>
  <c r="BI1106" i="8"/>
  <c r="AS722" i="8"/>
  <c r="BI722" i="8"/>
  <c r="AS338" i="8"/>
  <c r="BI338" i="8"/>
  <c r="AS1009" i="8"/>
  <c r="BI1009" i="8"/>
  <c r="AS625" i="8"/>
  <c r="BI625" i="8"/>
  <c r="AS241" i="8"/>
  <c r="BI241" i="8"/>
  <c r="AS21" i="8"/>
  <c r="BI21" i="8"/>
  <c r="AS1079" i="8"/>
  <c r="BI1079" i="8"/>
  <c r="AS671" i="8"/>
  <c r="BI671" i="8"/>
  <c r="AS959" i="8"/>
  <c r="BI959" i="8"/>
  <c r="AS1036" i="8"/>
  <c r="BI1036" i="8"/>
  <c r="AS1031" i="8"/>
  <c r="BI1031" i="8"/>
  <c r="AS1029" i="8"/>
  <c r="BI1029" i="8"/>
  <c r="AS1027" i="8"/>
  <c r="BI1027" i="8"/>
  <c r="AS1025" i="8"/>
  <c r="BI1025" i="8"/>
  <c r="AS1056" i="8"/>
  <c r="BI1056" i="8"/>
  <c r="AS1126" i="8"/>
  <c r="BI1126" i="8"/>
  <c r="AS760" i="8"/>
  <c r="BI760" i="8"/>
  <c r="AS576" i="8"/>
  <c r="BI576" i="8"/>
  <c r="AS192" i="8"/>
  <c r="BI192" i="8"/>
  <c r="AS407" i="8"/>
  <c r="BI407" i="8"/>
  <c r="AS862" i="8"/>
  <c r="BI862" i="8"/>
  <c r="AS478" i="8"/>
  <c r="BI478" i="8"/>
  <c r="AS94" i="8"/>
  <c r="BI94" i="8"/>
  <c r="AS429" i="8"/>
  <c r="BI429" i="8"/>
  <c r="AS42" i="8"/>
  <c r="BI42" i="8"/>
  <c r="AS788" i="8"/>
  <c r="BI788" i="8"/>
  <c r="AS404" i="8"/>
  <c r="BI404" i="8"/>
  <c r="AS859" i="8"/>
  <c r="BI859" i="8"/>
  <c r="AS475" i="8"/>
  <c r="BI475" i="8"/>
  <c r="AS91" i="8"/>
  <c r="BI91" i="8"/>
  <c r="AS498" i="8"/>
  <c r="BI498" i="8"/>
  <c r="AS114" i="8"/>
  <c r="BI114" i="8"/>
  <c r="AS617" i="8"/>
  <c r="BI617" i="8"/>
  <c r="AS233" i="8"/>
  <c r="BI233" i="8"/>
  <c r="AS975" i="8"/>
  <c r="BI975" i="8"/>
  <c r="AS591" i="8"/>
  <c r="BI591" i="8"/>
  <c r="AS207" i="8"/>
  <c r="BI207" i="8"/>
  <c r="AS902" i="8"/>
  <c r="BI902" i="8"/>
  <c r="AS518" i="8"/>
  <c r="BI518" i="8"/>
  <c r="AS134" i="8"/>
  <c r="BI134" i="8"/>
  <c r="AS829" i="8"/>
  <c r="BI829" i="8"/>
  <c r="AS445" i="8"/>
  <c r="BI445" i="8"/>
  <c r="AS61" i="8"/>
  <c r="BI61" i="8"/>
  <c r="AS756" i="8"/>
  <c r="BI756" i="8"/>
  <c r="AS372" i="8"/>
  <c r="BI372" i="8"/>
  <c r="AS995" i="8"/>
  <c r="BI995" i="8"/>
  <c r="AS611" i="8"/>
  <c r="BI611" i="8"/>
  <c r="AS227" i="8"/>
  <c r="BI227" i="8"/>
  <c r="AS706" i="8"/>
  <c r="BI706" i="8"/>
  <c r="AS322" i="8"/>
  <c r="BI322" i="8"/>
  <c r="AS753" i="8"/>
  <c r="BI753" i="8"/>
  <c r="AS369" i="8"/>
  <c r="BI369" i="8"/>
  <c r="AS800" i="8"/>
  <c r="BI800" i="8"/>
  <c r="AS416" i="8"/>
  <c r="BI416" i="8"/>
  <c r="AS775" i="8"/>
  <c r="BI775" i="8"/>
  <c r="AS391" i="8"/>
  <c r="BI391" i="8"/>
  <c r="AS1062" i="8"/>
  <c r="BI1062" i="8"/>
  <c r="AS678" i="8"/>
  <c r="BI678" i="8"/>
  <c r="AS294" i="8"/>
  <c r="BI294" i="8"/>
  <c r="AS749" i="8"/>
  <c r="BI749" i="8"/>
  <c r="AS365" i="8"/>
  <c r="BI365" i="8"/>
  <c r="AS892" i="8"/>
  <c r="BI892" i="8"/>
  <c r="AS508" i="8"/>
  <c r="BI508" i="8"/>
  <c r="AS124" i="8"/>
  <c r="BI124" i="8"/>
  <c r="AS795" i="8"/>
  <c r="BI795" i="8"/>
  <c r="AS411" i="8"/>
  <c r="BI411" i="8"/>
  <c r="AS1082" i="8"/>
  <c r="BI1082" i="8"/>
  <c r="AS698" i="8"/>
  <c r="BI698" i="8"/>
  <c r="AS314" i="8"/>
  <c r="BI314" i="8"/>
  <c r="AS985" i="8"/>
  <c r="BI985" i="8"/>
  <c r="AS601" i="8"/>
  <c r="BI601" i="8"/>
  <c r="AS217" i="8"/>
  <c r="BI217" i="8"/>
  <c r="AS36" i="8"/>
  <c r="BI36" i="8"/>
  <c r="AS930" i="8"/>
  <c r="BI930" i="8"/>
  <c r="AS1122" i="8"/>
  <c r="BI1122" i="8"/>
  <c r="AS871" i="8"/>
  <c r="BI871" i="8"/>
  <c r="AS1042" i="8"/>
  <c r="BI1042" i="8"/>
  <c r="AS112" i="8"/>
  <c r="BI112" i="8"/>
  <c r="AS919" i="8"/>
  <c r="BI919" i="8"/>
  <c r="AS1000" i="8"/>
  <c r="BI1000" i="8"/>
  <c r="AS993" i="8"/>
  <c r="BI993" i="8"/>
  <c r="AS991" i="8"/>
  <c r="BI991" i="8"/>
  <c r="AS988" i="8"/>
  <c r="BI988" i="8"/>
  <c r="AS983" i="8"/>
  <c r="BI983" i="8"/>
  <c r="AS1018" i="8"/>
  <c r="BI1018" i="8"/>
  <c r="AS1090" i="8"/>
  <c r="BI1090" i="8"/>
  <c r="AS280" i="8"/>
  <c r="BI280" i="8"/>
  <c r="AS552" i="8"/>
  <c r="BI552" i="8"/>
  <c r="AS168" i="8"/>
  <c r="BI168" i="8"/>
  <c r="AS383" i="8"/>
  <c r="BI383" i="8"/>
  <c r="AS838" i="8"/>
  <c r="BI838" i="8"/>
  <c r="AS454" i="8"/>
  <c r="BI454" i="8"/>
  <c r="AS70" i="8"/>
  <c r="BI70" i="8"/>
  <c r="AS405" i="8"/>
  <c r="BI405" i="8"/>
  <c r="AS764" i="8"/>
  <c r="BI764" i="8"/>
  <c r="AS380" i="8"/>
  <c r="BI380" i="8"/>
  <c r="AS835" i="8"/>
  <c r="BI835" i="8"/>
  <c r="AS451" i="8"/>
  <c r="BI451" i="8"/>
  <c r="AS67" i="8"/>
  <c r="BI67" i="8"/>
  <c r="AS474" i="8"/>
  <c r="BI474" i="8"/>
  <c r="AS90" i="8"/>
  <c r="BI90" i="8"/>
  <c r="AS593" i="8"/>
  <c r="BI593" i="8"/>
  <c r="AS209" i="8"/>
  <c r="BI209" i="8"/>
  <c r="AS951" i="8"/>
  <c r="BI951" i="8"/>
  <c r="AS567" i="8"/>
  <c r="BI567" i="8"/>
  <c r="AS183" i="8"/>
  <c r="BI183" i="8"/>
  <c r="AS878" i="8"/>
  <c r="BI878" i="8"/>
  <c r="AS494" i="8"/>
  <c r="BI494" i="8"/>
  <c r="AS110" i="8"/>
  <c r="BI110" i="8"/>
  <c r="AS805" i="8"/>
  <c r="BI805" i="8"/>
  <c r="AS421" i="8"/>
  <c r="BI421" i="8"/>
  <c r="AS1116" i="8"/>
  <c r="BI1116" i="8"/>
  <c r="AS732" i="8"/>
  <c r="BI732" i="8"/>
  <c r="AS348" i="8"/>
  <c r="BI348" i="8"/>
  <c r="AS971" i="8"/>
  <c r="BI971" i="8"/>
  <c r="AS587" i="8"/>
  <c r="BI587" i="8"/>
  <c r="AS203" i="8"/>
  <c r="BI203" i="8"/>
  <c r="AS682" i="8"/>
  <c r="BI682" i="8"/>
  <c r="AS298" i="8"/>
  <c r="BI298" i="8"/>
  <c r="AS729" i="8"/>
  <c r="BI729" i="8"/>
  <c r="AS345" i="8"/>
  <c r="BI345" i="8"/>
  <c r="AS776" i="8"/>
  <c r="BI776" i="8"/>
  <c r="AS392" i="8"/>
  <c r="BI392" i="8"/>
  <c r="AS751" i="8"/>
  <c r="BI751" i="8"/>
  <c r="AS367" i="8"/>
  <c r="BI367" i="8"/>
  <c r="AS1038" i="8"/>
  <c r="BI1038" i="8"/>
  <c r="AS654" i="8"/>
  <c r="BI654" i="8"/>
  <c r="AS270" i="8"/>
  <c r="BI270" i="8"/>
  <c r="AS725" i="8"/>
  <c r="BI725" i="8"/>
  <c r="AS341" i="8"/>
  <c r="BI341" i="8"/>
  <c r="AS868" i="8"/>
  <c r="BI868" i="8"/>
  <c r="AS484" i="8"/>
  <c r="BI484" i="8"/>
  <c r="AS100" i="8"/>
  <c r="BI100" i="8"/>
  <c r="AS771" i="8"/>
  <c r="BI771" i="8"/>
  <c r="AS387" i="8"/>
  <c r="BI387" i="8"/>
  <c r="AS1058" i="8"/>
  <c r="BI1058" i="8"/>
  <c r="AS674" i="8"/>
  <c r="BI674" i="8"/>
  <c r="AS290" i="8"/>
  <c r="BI290" i="8"/>
  <c r="AS961" i="8"/>
  <c r="BI961" i="8"/>
  <c r="AS577" i="8"/>
  <c r="BI577" i="8"/>
  <c r="AS193" i="8"/>
  <c r="BI193" i="8"/>
  <c r="AS38" i="8"/>
  <c r="BI38" i="8"/>
  <c r="AS256" i="8"/>
  <c r="BI256" i="8"/>
  <c r="AS35" i="8"/>
  <c r="BI35" i="8"/>
  <c r="AS1085" i="8"/>
  <c r="BI1085" i="8"/>
  <c r="AS712" i="8"/>
  <c r="BI712" i="8"/>
  <c r="AS957" i="8"/>
  <c r="BI957" i="8"/>
  <c r="AS953" i="8"/>
  <c r="BI953" i="8"/>
  <c r="AS944" i="8"/>
  <c r="BI944" i="8"/>
  <c r="AS912" i="8"/>
  <c r="BI912" i="8"/>
  <c r="AS144" i="8"/>
  <c r="BI144" i="8"/>
  <c r="AS359" i="8"/>
  <c r="BI359" i="8"/>
  <c r="AS814" i="8"/>
  <c r="BI814" i="8"/>
  <c r="AS430" i="8"/>
  <c r="BI430" i="8"/>
  <c r="AS43" i="8"/>
  <c r="BI43" i="8"/>
  <c r="AS765" i="8"/>
  <c r="BI765" i="8"/>
  <c r="AS381" i="8"/>
  <c r="BI381" i="8"/>
  <c r="AS740" i="8"/>
  <c r="BI740" i="8"/>
  <c r="AS356" i="8"/>
  <c r="BI356" i="8"/>
  <c r="AS811" i="8"/>
  <c r="BI811" i="8"/>
  <c r="AS427" i="8"/>
  <c r="BI427" i="8"/>
  <c r="AS40" i="8"/>
  <c r="BI40" i="8"/>
  <c r="AS834" i="8"/>
  <c r="BI834" i="8"/>
  <c r="AS450" i="8"/>
  <c r="BI450" i="8"/>
  <c r="AS66" i="8"/>
  <c r="BI66" i="8"/>
  <c r="AS569" i="8"/>
  <c r="BI569" i="8"/>
  <c r="AS185" i="8"/>
  <c r="BI185" i="8"/>
  <c r="AS927" i="8"/>
  <c r="BI927" i="8"/>
  <c r="AS543" i="8"/>
  <c r="BI543" i="8"/>
  <c r="AS159" i="8"/>
  <c r="BI159" i="8"/>
  <c r="AS854" i="8"/>
  <c r="BI854" i="8"/>
  <c r="AS470" i="8"/>
  <c r="BI470" i="8"/>
  <c r="AS86" i="8"/>
  <c r="BI86" i="8"/>
  <c r="AS781" i="8"/>
  <c r="BI781" i="8"/>
  <c r="AS397" i="8"/>
  <c r="BI397" i="8"/>
  <c r="AS1092" i="8"/>
  <c r="BI1092" i="8"/>
  <c r="AS708" i="8"/>
  <c r="BI708" i="8"/>
  <c r="AS324" i="8"/>
  <c r="BI324" i="8"/>
  <c r="AS947" i="8"/>
  <c r="BI947" i="8"/>
  <c r="AS563" i="8"/>
  <c r="BI563" i="8"/>
  <c r="AS179" i="8"/>
  <c r="BI179" i="8"/>
  <c r="AS658" i="8"/>
  <c r="BI658" i="8"/>
  <c r="AS274" i="8"/>
  <c r="BI274" i="8"/>
  <c r="AS705" i="8"/>
  <c r="BI705" i="8"/>
  <c r="AS321" i="8"/>
  <c r="BI321" i="8"/>
  <c r="AS752" i="8"/>
  <c r="BI752" i="8"/>
  <c r="AS368" i="8"/>
  <c r="BI368" i="8"/>
  <c r="AS727" i="8"/>
  <c r="BI727" i="8"/>
  <c r="AS343" i="8"/>
  <c r="BI343" i="8"/>
  <c r="AS1014" i="8"/>
  <c r="BI1014" i="8"/>
  <c r="AS630" i="8"/>
  <c r="BI630" i="8"/>
  <c r="AS246" i="8"/>
  <c r="BI246" i="8"/>
  <c r="AS701" i="8"/>
  <c r="BI701" i="8"/>
  <c r="AS317" i="8"/>
  <c r="BI317" i="8"/>
  <c r="AS844" i="8"/>
  <c r="BI844" i="8"/>
  <c r="AS460" i="8"/>
  <c r="BI460" i="8"/>
  <c r="AS76" i="8"/>
  <c r="BI76" i="8"/>
  <c r="AS747" i="8"/>
  <c r="BI747" i="8"/>
  <c r="AS363" i="8"/>
  <c r="BI363" i="8"/>
  <c r="AS1034" i="8"/>
  <c r="BI1034" i="8"/>
  <c r="AS650" i="8"/>
  <c r="BI650" i="8"/>
  <c r="AS266" i="8"/>
  <c r="BI266" i="8"/>
  <c r="AS937" i="8"/>
  <c r="BI937" i="8"/>
  <c r="AS553" i="8"/>
  <c r="BI553" i="8"/>
  <c r="AS169" i="8"/>
  <c r="BI169" i="8"/>
  <c r="AS861" i="8"/>
  <c r="BI861" i="8"/>
  <c r="AS1005" i="8"/>
  <c r="BI1005" i="8"/>
  <c r="AS743" i="8"/>
  <c r="BI743" i="8"/>
  <c r="AS856" i="8"/>
  <c r="BI856" i="8"/>
  <c r="AS955" i="8"/>
  <c r="BI955" i="8"/>
  <c r="AS946" i="8"/>
  <c r="BI946" i="8"/>
  <c r="AS981" i="8"/>
  <c r="BI981" i="8"/>
  <c r="AS1054" i="8"/>
  <c r="BI1054" i="8"/>
  <c r="AS528" i="8"/>
  <c r="BI528" i="8"/>
  <c r="AS32" i="8"/>
  <c r="BI32" i="8"/>
  <c r="AS27" i="8"/>
  <c r="BI27" i="8"/>
  <c r="AS1050" i="8"/>
  <c r="BI1050" i="8"/>
  <c r="AS184" i="8"/>
  <c r="BI184" i="8"/>
  <c r="AS967" i="8"/>
  <c r="BI967" i="8"/>
  <c r="AS1113" i="8"/>
  <c r="BI1113" i="8"/>
  <c r="AS640" i="8"/>
  <c r="BI640" i="8"/>
  <c r="AS911" i="8"/>
  <c r="BI911" i="8"/>
  <c r="AS909" i="8"/>
  <c r="BI909" i="8"/>
  <c r="AS907" i="8"/>
  <c r="BI907" i="8"/>
  <c r="AS904" i="8"/>
  <c r="BI904" i="8"/>
  <c r="AS896" i="8"/>
  <c r="BI896" i="8"/>
  <c r="AS941" i="8"/>
  <c r="BI941" i="8"/>
  <c r="AS1016" i="8"/>
  <c r="BI1016" i="8"/>
  <c r="AS888" i="8"/>
  <c r="BI888" i="8"/>
  <c r="AS504" i="8"/>
  <c r="BI504" i="8"/>
  <c r="AS120" i="8"/>
  <c r="BI120" i="8"/>
  <c r="AS335" i="8"/>
  <c r="BI335" i="8"/>
  <c r="AS790" i="8"/>
  <c r="BI790" i="8"/>
  <c r="AS406" i="8"/>
  <c r="BI406" i="8"/>
  <c r="AS741" i="8"/>
  <c r="BI741" i="8"/>
  <c r="AS357" i="8"/>
  <c r="BI357" i="8"/>
  <c r="AS716" i="8"/>
  <c r="BI716" i="8"/>
  <c r="AS332" i="8"/>
  <c r="BI332" i="8"/>
  <c r="AS787" i="8"/>
  <c r="BI787" i="8"/>
  <c r="AS403" i="8"/>
  <c r="BI403" i="8"/>
  <c r="AS810" i="8"/>
  <c r="BI810" i="8"/>
  <c r="AS426" i="8"/>
  <c r="BI426" i="8"/>
  <c r="AS37" i="8"/>
  <c r="BI37" i="8"/>
  <c r="AS929" i="8"/>
  <c r="BI929" i="8"/>
  <c r="AS545" i="8"/>
  <c r="BI545" i="8"/>
  <c r="AS161" i="8"/>
  <c r="BI161" i="8"/>
  <c r="AS903" i="8"/>
  <c r="BI903" i="8"/>
  <c r="AS519" i="8"/>
  <c r="BI519" i="8"/>
  <c r="AS135" i="8"/>
  <c r="BI135" i="8"/>
  <c r="AS830" i="8"/>
  <c r="BI830" i="8"/>
  <c r="AS446" i="8"/>
  <c r="BI446" i="8"/>
  <c r="AS62" i="8"/>
  <c r="BI62" i="8"/>
  <c r="AS757" i="8"/>
  <c r="BI757" i="8"/>
  <c r="AS373" i="8"/>
  <c r="BI373" i="8"/>
  <c r="AS1068" i="8"/>
  <c r="BI1068" i="8"/>
  <c r="AS684" i="8"/>
  <c r="BI684" i="8"/>
  <c r="AS300" i="8"/>
  <c r="BI300" i="8"/>
  <c r="AS923" i="8"/>
  <c r="BI923" i="8"/>
  <c r="AS539" i="8"/>
  <c r="BI539" i="8"/>
  <c r="AS155" i="8"/>
  <c r="BI155" i="8"/>
  <c r="AS634" i="8"/>
  <c r="BI634" i="8"/>
  <c r="AS250" i="8"/>
  <c r="BI250" i="8"/>
  <c r="AS681" i="8"/>
  <c r="BI681" i="8"/>
  <c r="AS297" i="8"/>
  <c r="BI297" i="8"/>
  <c r="AS728" i="8"/>
  <c r="BI728" i="8"/>
  <c r="AS344" i="8"/>
  <c r="BI344" i="8"/>
  <c r="AS703" i="8"/>
  <c r="BI703" i="8"/>
  <c r="AS319" i="8"/>
  <c r="BI319" i="8"/>
  <c r="AS990" i="8"/>
  <c r="BI990" i="8"/>
  <c r="AS606" i="8"/>
  <c r="BI606" i="8"/>
  <c r="AS222" i="8"/>
  <c r="BI222" i="8"/>
  <c r="AS677" i="8"/>
  <c r="BI677" i="8"/>
  <c r="AS293" i="8"/>
  <c r="BI293" i="8"/>
  <c r="AS820" i="8"/>
  <c r="BI820" i="8"/>
  <c r="AS436" i="8"/>
  <c r="BI436" i="8"/>
  <c r="AS52" i="8"/>
  <c r="BI52" i="8"/>
  <c r="AS1107" i="8"/>
  <c r="BI1107" i="8"/>
  <c r="AS723" i="8"/>
  <c r="BI723" i="8"/>
  <c r="AS339" i="8"/>
  <c r="BI339" i="8"/>
  <c r="AS1010" i="8"/>
  <c r="BI1010" i="8"/>
  <c r="AS626" i="8"/>
  <c r="BI626" i="8"/>
  <c r="AS242" i="8"/>
  <c r="BI242" i="8"/>
  <c r="AS913" i="8"/>
  <c r="BI913" i="8"/>
  <c r="AS529" i="8"/>
  <c r="BI529" i="8"/>
  <c r="AS145" i="8"/>
  <c r="BI145" i="8"/>
  <c r="AS39" i="8"/>
  <c r="BI39" i="8"/>
  <c r="AS31" i="8"/>
  <c r="BI31" i="8"/>
  <c r="AS28" i="8"/>
  <c r="BI28" i="8"/>
  <c r="AS23" i="8"/>
  <c r="BI23" i="8"/>
  <c r="AS34" i="8"/>
  <c r="BI34" i="8"/>
  <c r="AS1008" i="8"/>
  <c r="BI1008" i="8"/>
  <c r="AS1013" i="8"/>
  <c r="BI1013" i="8"/>
  <c r="AS922" i="8"/>
  <c r="BI922" i="8"/>
  <c r="AS1077" i="8"/>
  <c r="BI1077" i="8"/>
  <c r="AS933" i="8"/>
  <c r="BI933" i="8"/>
  <c r="AS839" i="8"/>
  <c r="BI839" i="8"/>
  <c r="AS836" i="8"/>
  <c r="BI836" i="8"/>
  <c r="AS823" i="8"/>
  <c r="BI823" i="8"/>
  <c r="AS813" i="8"/>
  <c r="BI813" i="8"/>
  <c r="AS808" i="8"/>
  <c r="BI808" i="8"/>
  <c r="AS887" i="8"/>
  <c r="BI887" i="8"/>
  <c r="AS979" i="8"/>
  <c r="BI979" i="8"/>
  <c r="AS864" i="8"/>
  <c r="BI864" i="8"/>
  <c r="AS480" i="8"/>
  <c r="BI480" i="8"/>
  <c r="AS96" i="8"/>
  <c r="BI96" i="8"/>
  <c r="AS311" i="8"/>
  <c r="BI311" i="8"/>
  <c r="AS766" i="8"/>
  <c r="BI766" i="8"/>
  <c r="AS382" i="8"/>
  <c r="BI382" i="8"/>
  <c r="AS717" i="8"/>
  <c r="BI717" i="8"/>
  <c r="AS333" i="8"/>
  <c r="BI333" i="8"/>
  <c r="AS692" i="8"/>
  <c r="BI692" i="8"/>
  <c r="AS308" i="8"/>
  <c r="BI308" i="8"/>
  <c r="AS763" i="8"/>
  <c r="BI763" i="8"/>
  <c r="AS379" i="8"/>
  <c r="BI379" i="8"/>
  <c r="AS786" i="8"/>
  <c r="BI786" i="8"/>
  <c r="AS402" i="8"/>
  <c r="BI402" i="8"/>
  <c r="AS905" i="8"/>
  <c r="BI905" i="8"/>
  <c r="AS521" i="8"/>
  <c r="BI521" i="8"/>
  <c r="AS137" i="8"/>
  <c r="BI137" i="8"/>
  <c r="AS879" i="8"/>
  <c r="BI879" i="8"/>
  <c r="AS495" i="8"/>
  <c r="BI495" i="8"/>
  <c r="AS111" i="8"/>
  <c r="BI111" i="8"/>
  <c r="AS806" i="8"/>
  <c r="BI806" i="8"/>
  <c r="AS422" i="8"/>
  <c r="BI422" i="8"/>
  <c r="AS1117" i="8"/>
  <c r="BI1117" i="8"/>
  <c r="AS733" i="8"/>
  <c r="BI733" i="8"/>
  <c r="AS349" i="8"/>
  <c r="BI349" i="8"/>
  <c r="AS1044" i="8"/>
  <c r="BI1044" i="8"/>
  <c r="AS660" i="8"/>
  <c r="BI660" i="8"/>
  <c r="AS276" i="8"/>
  <c r="BI276" i="8"/>
  <c r="AS899" i="8"/>
  <c r="BI899" i="8"/>
  <c r="AS515" i="8"/>
  <c r="BI515" i="8"/>
  <c r="AS131" i="8"/>
  <c r="BI131" i="8"/>
  <c r="AS610" i="8"/>
  <c r="BI610" i="8"/>
  <c r="AS226" i="8"/>
  <c r="BI226" i="8"/>
  <c r="AS657" i="8"/>
  <c r="BI657" i="8"/>
  <c r="AS273" i="8"/>
  <c r="BI273" i="8"/>
  <c r="AS704" i="8"/>
  <c r="BI704" i="8"/>
  <c r="AS320" i="8"/>
  <c r="BI320" i="8"/>
  <c r="AS679" i="8"/>
  <c r="BI679" i="8"/>
  <c r="AS295" i="8"/>
  <c r="BI295" i="8"/>
  <c r="AS966" i="8"/>
  <c r="BI966" i="8"/>
  <c r="AS582" i="8"/>
  <c r="BI582" i="8"/>
  <c r="AS198" i="8"/>
  <c r="BI198" i="8"/>
  <c r="AS653" i="8"/>
  <c r="BI653" i="8"/>
  <c r="AS269" i="8"/>
  <c r="BI269" i="8"/>
  <c r="AS796" i="8"/>
  <c r="BI796" i="8"/>
  <c r="AS412" i="8"/>
  <c r="BI412" i="8"/>
  <c r="AS1083" i="8"/>
  <c r="BI1083" i="8"/>
  <c r="AS699" i="8"/>
  <c r="BI699" i="8"/>
  <c r="AS315" i="8"/>
  <c r="BI315" i="8"/>
  <c r="AS986" i="8"/>
  <c r="BI986" i="8"/>
  <c r="AS602" i="8"/>
  <c r="BI602" i="8"/>
  <c r="AS218" i="8"/>
  <c r="BI218" i="8"/>
  <c r="AS889" i="8"/>
  <c r="BI889" i="8"/>
  <c r="AS505" i="8"/>
  <c r="BI505" i="8"/>
  <c r="AS121" i="8"/>
  <c r="BI121" i="8"/>
  <c r="AS970" i="8"/>
  <c r="BI970" i="8"/>
  <c r="AS1111" i="8"/>
  <c r="BI1111" i="8"/>
  <c r="AS592" i="8"/>
  <c r="BI592" i="8"/>
  <c r="AS544" i="8"/>
  <c r="BI544" i="8"/>
  <c r="AS496" i="8"/>
  <c r="BI496" i="8"/>
  <c r="AS448" i="8"/>
  <c r="BI448" i="8"/>
  <c r="AS400" i="8"/>
  <c r="BI400" i="8"/>
  <c r="AS789" i="8"/>
  <c r="BI789" i="8"/>
  <c r="AS935" i="8"/>
  <c r="BI935" i="8"/>
  <c r="AS840" i="8"/>
  <c r="BI840" i="8"/>
  <c r="AS456" i="8"/>
  <c r="BI456" i="8"/>
  <c r="AS72" i="8"/>
  <c r="BI72" i="8"/>
  <c r="AS287" i="8"/>
  <c r="BI287" i="8"/>
  <c r="AS742" i="8"/>
  <c r="BI742" i="8"/>
  <c r="AS358" i="8"/>
  <c r="BI358" i="8"/>
  <c r="AS693" i="8"/>
  <c r="BI693" i="8"/>
  <c r="AS309" i="8"/>
  <c r="BI309" i="8"/>
  <c r="AS668" i="8"/>
  <c r="BI668" i="8"/>
  <c r="AS284" i="8"/>
  <c r="BI284" i="8"/>
  <c r="AS739" i="8"/>
  <c r="BI739" i="8"/>
  <c r="AS355" i="8"/>
  <c r="BI355" i="8"/>
  <c r="AS762" i="8"/>
  <c r="BI762" i="8"/>
  <c r="AS378" i="8"/>
  <c r="BI378" i="8"/>
  <c r="AS881" i="8"/>
  <c r="BI881" i="8"/>
  <c r="AS497" i="8"/>
  <c r="BI497" i="8"/>
  <c r="AS113" i="8"/>
  <c r="BI113" i="8"/>
  <c r="AS855" i="8"/>
  <c r="BI855" i="8"/>
  <c r="AS471" i="8"/>
  <c r="BI471" i="8"/>
  <c r="AS87" i="8"/>
  <c r="BI87" i="8"/>
  <c r="AS782" i="8"/>
  <c r="BI782" i="8"/>
  <c r="AS398" i="8"/>
  <c r="BI398" i="8"/>
  <c r="AS1093" i="8"/>
  <c r="BI1093" i="8"/>
  <c r="AS709" i="8"/>
  <c r="BI709" i="8"/>
  <c r="AS325" i="8"/>
  <c r="BI325" i="8"/>
  <c r="AS1020" i="8"/>
  <c r="BI1020" i="8"/>
  <c r="AS636" i="8"/>
  <c r="BI636" i="8"/>
  <c r="AS252" i="8"/>
  <c r="BI252" i="8"/>
  <c r="AS875" i="8"/>
  <c r="BI875" i="8"/>
  <c r="AS491" i="8"/>
  <c r="BI491" i="8"/>
  <c r="AS107" i="8"/>
  <c r="BI107" i="8"/>
  <c r="AS586" i="8"/>
  <c r="BI586" i="8"/>
  <c r="AS202" i="8"/>
  <c r="BI202" i="8"/>
  <c r="AS633" i="8"/>
  <c r="BI633" i="8"/>
  <c r="AS249" i="8"/>
  <c r="BI249" i="8"/>
  <c r="AS680" i="8"/>
  <c r="BI680" i="8"/>
  <c r="AS296" i="8"/>
  <c r="BI296" i="8"/>
  <c r="AS655" i="8"/>
  <c r="BI655" i="8"/>
  <c r="AS271" i="8"/>
  <c r="BI271" i="8"/>
  <c r="AS942" i="8"/>
  <c r="BI942" i="8"/>
  <c r="AS558" i="8"/>
  <c r="BI558" i="8"/>
  <c r="AS174" i="8"/>
  <c r="BI174" i="8"/>
  <c r="AS629" i="8"/>
  <c r="BI629" i="8"/>
  <c r="AS245" i="8"/>
  <c r="BI245" i="8"/>
  <c r="AS772" i="8"/>
  <c r="BI772" i="8"/>
  <c r="AS388" i="8"/>
  <c r="BI388" i="8"/>
  <c r="AS1059" i="8"/>
  <c r="BI1059" i="8"/>
  <c r="AS675" i="8"/>
  <c r="BI675" i="8"/>
  <c r="AS291" i="8"/>
  <c r="BI291" i="8"/>
  <c r="AS962" i="8"/>
  <c r="BI962" i="8"/>
  <c r="AS578" i="8"/>
  <c r="BI578" i="8"/>
  <c r="AS194" i="8"/>
  <c r="BI194" i="8"/>
  <c r="AS865" i="8"/>
  <c r="BI865" i="8"/>
  <c r="AS481" i="8"/>
  <c r="BI481" i="8"/>
  <c r="AS97" i="8"/>
  <c r="BI97" i="8"/>
  <c r="AS1120" i="8"/>
  <c r="BI1120" i="8"/>
  <c r="AS1097" i="8"/>
  <c r="BI1097" i="8"/>
  <c r="AS334" i="8"/>
  <c r="BI334" i="8"/>
  <c r="AS669" i="8"/>
  <c r="BI669" i="8"/>
  <c r="AS285" i="8"/>
  <c r="BI285" i="8"/>
  <c r="AS644" i="8"/>
  <c r="BI644" i="8"/>
  <c r="AS260" i="8"/>
  <c r="BI260" i="8"/>
  <c r="AS715" i="8"/>
  <c r="BI715" i="8"/>
  <c r="AS331" i="8"/>
  <c r="BI331" i="8"/>
  <c r="AS738" i="8"/>
  <c r="BI738" i="8"/>
  <c r="AS354" i="8"/>
  <c r="BI354" i="8"/>
  <c r="AS857" i="8"/>
  <c r="BI857" i="8"/>
  <c r="AS473" i="8"/>
  <c r="BI473" i="8"/>
  <c r="AS89" i="8"/>
  <c r="BI89" i="8"/>
  <c r="AS831" i="8"/>
  <c r="BI831" i="8"/>
  <c r="AS447" i="8"/>
  <c r="BI447" i="8"/>
  <c r="AS63" i="8"/>
  <c r="BI63" i="8"/>
  <c r="AS758" i="8"/>
  <c r="BI758" i="8"/>
  <c r="AS374" i="8"/>
  <c r="BI374" i="8"/>
  <c r="AS1069" i="8"/>
  <c r="BI1069" i="8"/>
  <c r="AS685" i="8"/>
  <c r="BI685" i="8"/>
  <c r="AS301" i="8"/>
  <c r="BI301" i="8"/>
  <c r="AS996" i="8"/>
  <c r="BI996" i="8"/>
  <c r="AS612" i="8"/>
  <c r="BI612" i="8"/>
  <c r="AS228" i="8"/>
  <c r="BI228" i="8"/>
  <c r="AS851" i="8"/>
  <c r="BI851" i="8"/>
  <c r="AS467" i="8"/>
  <c r="BI467" i="8"/>
  <c r="AS83" i="8"/>
  <c r="BI83" i="8"/>
  <c r="AS562" i="8"/>
  <c r="BI562" i="8"/>
  <c r="AS178" i="8"/>
  <c r="BI178" i="8"/>
  <c r="AS609" i="8"/>
  <c r="BI609" i="8"/>
  <c r="AS225" i="8"/>
  <c r="BI225" i="8"/>
  <c r="AS656" i="8"/>
  <c r="BI656" i="8"/>
  <c r="AS272" i="8"/>
  <c r="BI272" i="8"/>
  <c r="AS631" i="8"/>
  <c r="BI631" i="8"/>
  <c r="AS247" i="8"/>
  <c r="BI247" i="8"/>
  <c r="AS918" i="8"/>
  <c r="BI918" i="8"/>
  <c r="AS534" i="8"/>
  <c r="BI534" i="8"/>
  <c r="AS150" i="8"/>
  <c r="BI150" i="8"/>
  <c r="AS605" i="8"/>
  <c r="BI605" i="8"/>
  <c r="AS221" i="8"/>
  <c r="BI221" i="8"/>
  <c r="AS748" i="8"/>
  <c r="BI748" i="8"/>
  <c r="AS364" i="8"/>
  <c r="BI364" i="8"/>
  <c r="AS1035" i="8"/>
  <c r="BI1035" i="8"/>
  <c r="AS651" i="8"/>
  <c r="BI651" i="8"/>
  <c r="AS267" i="8"/>
  <c r="BI267" i="8"/>
  <c r="AS938" i="8"/>
  <c r="BI938" i="8"/>
  <c r="AS554" i="8"/>
  <c r="BI554" i="8"/>
  <c r="AS170" i="8"/>
  <c r="BI170" i="8"/>
  <c r="AS841" i="8"/>
  <c r="BI841" i="8"/>
  <c r="AS457" i="8"/>
  <c r="BI457" i="8"/>
  <c r="AS73" i="8"/>
  <c r="BI73" i="8"/>
  <c r="AS1099" i="8"/>
  <c r="BI1099" i="8"/>
  <c r="AS718" i="8"/>
  <c r="BI718" i="8"/>
  <c r="AS1123" i="8"/>
  <c r="BI1123" i="8"/>
  <c r="AS1048" i="8"/>
  <c r="BI1048" i="8"/>
  <c r="AS1037" i="8"/>
  <c r="BI1037" i="8"/>
  <c r="AS1067" i="8"/>
  <c r="BI1067" i="8"/>
  <c r="AS1065" i="8"/>
  <c r="BI1065" i="8"/>
  <c r="AS1063" i="8"/>
  <c r="BI1063" i="8"/>
  <c r="AS1060" i="8"/>
  <c r="BI1060" i="8"/>
  <c r="AS1127" i="8"/>
  <c r="BI1127" i="8"/>
  <c r="AS767" i="8"/>
  <c r="BI767" i="8"/>
  <c r="AS792" i="8"/>
  <c r="BI792" i="8"/>
  <c r="AS408" i="8"/>
  <c r="BI408" i="8"/>
  <c r="AS623" i="8"/>
  <c r="BI623" i="8"/>
  <c r="AS239" i="8"/>
  <c r="BI239" i="8"/>
  <c r="AS694" i="8"/>
  <c r="BI694" i="8"/>
  <c r="AS310" i="8"/>
  <c r="BI310" i="8"/>
  <c r="AS645" i="8"/>
  <c r="BI645" i="8"/>
  <c r="AS261" i="8"/>
  <c r="BI261" i="8"/>
  <c r="AS620" i="8"/>
  <c r="BI620" i="8"/>
  <c r="AS236" i="8"/>
  <c r="BI236" i="8"/>
  <c r="AS691" i="8"/>
  <c r="BI691" i="8"/>
  <c r="AS307" i="8"/>
  <c r="BI307" i="8"/>
  <c r="AS714" i="8"/>
  <c r="BI714" i="8"/>
  <c r="AS330" i="8"/>
  <c r="BI330" i="8"/>
  <c r="AS833" i="8"/>
  <c r="BI833" i="8"/>
  <c r="AS449" i="8"/>
  <c r="BI449" i="8"/>
  <c r="AS65" i="8"/>
  <c r="BI65" i="8"/>
  <c r="AS807" i="8"/>
  <c r="BI807" i="8"/>
  <c r="AS423" i="8"/>
  <c r="BI423" i="8"/>
  <c r="AS1118" i="8"/>
  <c r="BI1118" i="8"/>
  <c r="AS734" i="8"/>
  <c r="BI734" i="8"/>
  <c r="AS350" i="8"/>
  <c r="BI350" i="8"/>
  <c r="AS1045" i="8"/>
  <c r="BI1045" i="8"/>
  <c r="AS661" i="8"/>
  <c r="BI661" i="8"/>
  <c r="AS277" i="8"/>
  <c r="BI277" i="8"/>
  <c r="AS972" i="8"/>
  <c r="BI972" i="8"/>
  <c r="AS588" i="8"/>
  <c r="BI588" i="8"/>
  <c r="AS204" i="8"/>
  <c r="BI204" i="8"/>
  <c r="AS827" i="8"/>
  <c r="BI827" i="8"/>
  <c r="AS443" i="8"/>
  <c r="BI443" i="8"/>
  <c r="AS59" i="8"/>
  <c r="BI59" i="8"/>
  <c r="AS538" i="8"/>
  <c r="BI538" i="8"/>
  <c r="AS154" i="8"/>
  <c r="BI154" i="8"/>
  <c r="AS585" i="8"/>
  <c r="BI585" i="8"/>
  <c r="AS201" i="8"/>
  <c r="BI201" i="8"/>
  <c r="AS632" i="8"/>
  <c r="BI632" i="8"/>
  <c r="AS248" i="8"/>
  <c r="BI248" i="8"/>
  <c r="AS607" i="8"/>
  <c r="BI607" i="8"/>
  <c r="AS223" i="8"/>
  <c r="BI223" i="8"/>
  <c r="AS894" i="8"/>
  <c r="BI894" i="8"/>
  <c r="AS510" i="8"/>
  <c r="BI510" i="8"/>
  <c r="AS126" i="8"/>
  <c r="BI126" i="8"/>
  <c r="AS581" i="8"/>
  <c r="BI581" i="8"/>
  <c r="AS197" i="8"/>
  <c r="BI197" i="8"/>
  <c r="AS724" i="8"/>
  <c r="BI724" i="8"/>
  <c r="AS340" i="8"/>
  <c r="BI340" i="8"/>
  <c r="AS1011" i="8"/>
  <c r="BI1011" i="8"/>
  <c r="AS627" i="8"/>
  <c r="BI627" i="8"/>
  <c r="AS243" i="8"/>
  <c r="BI243" i="8"/>
  <c r="AS914" i="8"/>
  <c r="BI914" i="8"/>
  <c r="AS530" i="8"/>
  <c r="BI530" i="8"/>
  <c r="AS146" i="8"/>
  <c r="BI146" i="8"/>
  <c r="AS817" i="8"/>
  <c r="BI817" i="8"/>
  <c r="AS433" i="8"/>
  <c r="BI433" i="8"/>
  <c r="AS46" i="8"/>
  <c r="BI46" i="8"/>
  <c r="AS33" i="8"/>
  <c r="BI33" i="8"/>
  <c r="AS1108" i="8"/>
  <c r="BI1108" i="8"/>
  <c r="AS432" i="8"/>
  <c r="BI432" i="8"/>
  <c r="AS136" i="8"/>
  <c r="BI136" i="8"/>
  <c r="AS719" i="8"/>
  <c r="BI719" i="8"/>
  <c r="AS1088" i="8"/>
  <c r="BI1088" i="8"/>
  <c r="AS1001" i="8"/>
  <c r="BI1001" i="8"/>
  <c r="AS1032" i="8"/>
  <c r="BI1032" i="8"/>
  <c r="AS1030" i="8"/>
  <c r="BI1030" i="8"/>
  <c r="AS1028" i="8"/>
  <c r="BI1028" i="8"/>
  <c r="AS1026" i="8"/>
  <c r="BI1026" i="8"/>
  <c r="AS1024" i="8"/>
  <c r="BI1024" i="8"/>
  <c r="AS1091" i="8"/>
  <c r="BI1091" i="8"/>
  <c r="AS304" i="8"/>
  <c r="BI304" i="8"/>
  <c r="AS768" i="8"/>
  <c r="BI768" i="8"/>
  <c r="AS384" i="8"/>
  <c r="BI384" i="8"/>
  <c r="AS599" i="8"/>
  <c r="BI599" i="8"/>
  <c r="AS215" i="8"/>
  <c r="BI215" i="8"/>
  <c r="AS670" i="8"/>
  <c r="BI670" i="8"/>
  <c r="AS286" i="8"/>
  <c r="BI286" i="8"/>
  <c r="AS621" i="8"/>
  <c r="BI621" i="8"/>
  <c r="AS237" i="8"/>
  <c r="BI237" i="8"/>
  <c r="AS596" i="8"/>
  <c r="BI596" i="8"/>
  <c r="AS212" i="8"/>
  <c r="BI212" i="8"/>
  <c r="AS667" i="8"/>
  <c r="BI667" i="8"/>
  <c r="AS283" i="8"/>
  <c r="BI283" i="8"/>
  <c r="AS690" i="8"/>
  <c r="BI690" i="8"/>
  <c r="AS306" i="8"/>
  <c r="BI306" i="8"/>
  <c r="AS809" i="8"/>
  <c r="BI809" i="8"/>
  <c r="AS425" i="8"/>
  <c r="BI425" i="8"/>
  <c r="AS88" i="8"/>
  <c r="BI88" i="8"/>
  <c r="AS783" i="8"/>
  <c r="BI783" i="8"/>
  <c r="AS399" i="8"/>
  <c r="BI399" i="8"/>
  <c r="AS1094" i="8"/>
  <c r="BI1094" i="8"/>
  <c r="AS710" i="8"/>
  <c r="BI710" i="8"/>
  <c r="AS326" i="8"/>
  <c r="BI326" i="8"/>
  <c r="AS1021" i="8"/>
  <c r="BI1021" i="8"/>
  <c r="AS637" i="8"/>
  <c r="BI637" i="8"/>
  <c r="AS253" i="8"/>
  <c r="BI253" i="8"/>
  <c r="AS948" i="8"/>
  <c r="BI948" i="8"/>
  <c r="AS564" i="8"/>
  <c r="BI564" i="8"/>
  <c r="AS180" i="8"/>
  <c r="BI180" i="8"/>
  <c r="AS803" i="8"/>
  <c r="BI803" i="8"/>
  <c r="AS419" i="8"/>
  <c r="BI419" i="8"/>
  <c r="AS898" i="8"/>
  <c r="BI898" i="8"/>
  <c r="AS514" i="8"/>
  <c r="BI514" i="8"/>
  <c r="AS130" i="8"/>
  <c r="BI130" i="8"/>
  <c r="AS561" i="8"/>
  <c r="BI561" i="8"/>
  <c r="AS177" i="8"/>
  <c r="BI177" i="8"/>
  <c r="AS608" i="8"/>
  <c r="BI608" i="8"/>
  <c r="AS224" i="8"/>
  <c r="BI224" i="8"/>
  <c r="AS583" i="8"/>
  <c r="BI583" i="8"/>
  <c r="AS199" i="8"/>
  <c r="BI199" i="8"/>
  <c r="AS870" i="8"/>
  <c r="BI870" i="8"/>
  <c r="AS486" i="8"/>
  <c r="BI486" i="8"/>
  <c r="AS102" i="8"/>
  <c r="BI102" i="8"/>
  <c r="AS557" i="8"/>
  <c r="BI557" i="8"/>
  <c r="AS173" i="8"/>
  <c r="BI173" i="8"/>
  <c r="AS700" i="8"/>
  <c r="BI700" i="8"/>
  <c r="AS316" i="8"/>
  <c r="BI316" i="8"/>
  <c r="AS987" i="8"/>
  <c r="BI987" i="8"/>
  <c r="AS603" i="8"/>
  <c r="BI603" i="8"/>
  <c r="AS219" i="8"/>
  <c r="BI219" i="8"/>
  <c r="AS890" i="8"/>
  <c r="BI890" i="8"/>
  <c r="AS506" i="8"/>
  <c r="BI506" i="8"/>
  <c r="AS122" i="8"/>
  <c r="BI122" i="8"/>
  <c r="AS793" i="8"/>
  <c r="BI793" i="8"/>
  <c r="AS409" i="8"/>
  <c r="BI409" i="8"/>
  <c r="AS24" i="8"/>
  <c r="BI24" i="8"/>
  <c r="AS1080" i="8"/>
  <c r="BI1080" i="8"/>
  <c r="AS45" i="8"/>
  <c r="BI45" i="8"/>
  <c r="AS16" i="8"/>
  <c r="BI16" i="8"/>
  <c r="AS872" i="8"/>
  <c r="BI872" i="8"/>
  <c r="AS960" i="8"/>
  <c r="BI960" i="8"/>
  <c r="AS1073" i="8"/>
  <c r="BI1073" i="8"/>
  <c r="AS1087" i="8"/>
  <c r="BI1087" i="8"/>
  <c r="AS1006" i="8"/>
  <c r="BI1006" i="8"/>
  <c r="AS920" i="8"/>
  <c r="BI920" i="8"/>
  <c r="AS1051" i="8"/>
  <c r="BI1051" i="8"/>
  <c r="AS208" i="8"/>
  <c r="BI208" i="8"/>
  <c r="AS968" i="8"/>
  <c r="BI968" i="8"/>
  <c r="AS1114" i="8"/>
  <c r="BI1114" i="8"/>
  <c r="AS858" i="8"/>
  <c r="BI858" i="8"/>
  <c r="AS958" i="8"/>
  <c r="BI958" i="8"/>
  <c r="AS994" i="8"/>
  <c r="BI994" i="8"/>
  <c r="AS992" i="8"/>
  <c r="BI992" i="8"/>
  <c r="AS989" i="8"/>
  <c r="BI989" i="8"/>
  <c r="AS984" i="8"/>
  <c r="BI984" i="8"/>
  <c r="AS982" i="8"/>
  <c r="BI982" i="8"/>
  <c r="AS1055" i="8"/>
  <c r="BI1055" i="8"/>
  <c r="AS1125" i="8"/>
  <c r="BI1125" i="8"/>
  <c r="AS744" i="8"/>
  <c r="BI744" i="8"/>
  <c r="AS360" i="8"/>
  <c r="BI360" i="8"/>
  <c r="AS575" i="8"/>
  <c r="BI575" i="8"/>
  <c r="AS191" i="8"/>
  <c r="BI191" i="8"/>
  <c r="AS646" i="8"/>
  <c r="BI646" i="8"/>
  <c r="AS262" i="8"/>
  <c r="BI262" i="8"/>
  <c r="AS597" i="8"/>
  <c r="BI597" i="8"/>
  <c r="AS213" i="8"/>
  <c r="BI213" i="8"/>
  <c r="AS572" i="8"/>
  <c r="BI572" i="8"/>
  <c r="AS188" i="8"/>
  <c r="BI188" i="8"/>
  <c r="AS643" i="8"/>
  <c r="BI643" i="8"/>
  <c r="AS259" i="8"/>
  <c r="BI259" i="8"/>
  <c r="AS666" i="8"/>
  <c r="BI666" i="8"/>
  <c r="AS282" i="8"/>
  <c r="BI282" i="8"/>
  <c r="AS785" i="8"/>
  <c r="BI785" i="8"/>
  <c r="AS401" i="8"/>
  <c r="BI401" i="8"/>
  <c r="AS64" i="8"/>
  <c r="BI64" i="8"/>
  <c r="AS759" i="8"/>
  <c r="BI759" i="8"/>
  <c r="AS375" i="8"/>
  <c r="BI375" i="8"/>
  <c r="AS1070" i="8"/>
  <c r="BI1070" i="8"/>
  <c r="AS686" i="8"/>
  <c r="BI686" i="8"/>
  <c r="AS302" i="8"/>
  <c r="BI302" i="8"/>
  <c r="AS997" i="8"/>
  <c r="BI997" i="8"/>
  <c r="AS613" i="8"/>
  <c r="BI613" i="8"/>
  <c r="AS229" i="8"/>
  <c r="BI229" i="8"/>
  <c r="AS924" i="8"/>
  <c r="BI924" i="8"/>
  <c r="AS540" i="8"/>
  <c r="BI540" i="8"/>
  <c r="AS156" i="8"/>
  <c r="BI156" i="8"/>
  <c r="AS779" i="8"/>
  <c r="BI779" i="8"/>
  <c r="AS395" i="8"/>
  <c r="BI395" i="8"/>
  <c r="AS874" i="8"/>
  <c r="BI874" i="8"/>
  <c r="AS490" i="8"/>
  <c r="BI490" i="8"/>
  <c r="AS106" i="8"/>
  <c r="BI106" i="8"/>
  <c r="AS537" i="8"/>
  <c r="BI537" i="8"/>
  <c r="AS153" i="8"/>
  <c r="BI153" i="8"/>
  <c r="AS584" i="8"/>
  <c r="BI584" i="8"/>
  <c r="AS200" i="8"/>
  <c r="BI200" i="8"/>
  <c r="AS559" i="8"/>
  <c r="BI559" i="8"/>
  <c r="AS175" i="8"/>
  <c r="BI175" i="8"/>
  <c r="AS846" i="8"/>
  <c r="BI846" i="8"/>
  <c r="AS462" i="8"/>
  <c r="BI462" i="8"/>
  <c r="AS78" i="8"/>
  <c r="BI78" i="8"/>
  <c r="AS533" i="8"/>
  <c r="BI533" i="8"/>
  <c r="AS149" i="8"/>
  <c r="BI149" i="8"/>
  <c r="AS676" i="8"/>
  <c r="BI676" i="8"/>
  <c r="AS292" i="8"/>
  <c r="BI292" i="8"/>
  <c r="AS963" i="8"/>
  <c r="BI963" i="8"/>
  <c r="AS579" i="8"/>
  <c r="BI579" i="8"/>
  <c r="AS195" i="8"/>
  <c r="BI195" i="8"/>
  <c r="AS866" i="8"/>
  <c r="BI866" i="8"/>
  <c r="AS482" i="8"/>
  <c r="BI482" i="8"/>
  <c r="AS98" i="8"/>
  <c r="BI98" i="8"/>
  <c r="AS769" i="8"/>
  <c r="BI769" i="8"/>
  <c r="AS385" i="8"/>
  <c r="BI385" i="8"/>
  <c r="AS20" i="8"/>
  <c r="BI20" i="8"/>
  <c r="AS1075" i="8"/>
  <c r="BI1075" i="8"/>
  <c r="AS352" i="8"/>
  <c r="BI352" i="8"/>
  <c r="AS664" i="8"/>
  <c r="BI664" i="8"/>
  <c r="AS954" i="8"/>
  <c r="BI954" i="8"/>
  <c r="AS1089" i="8"/>
  <c r="BI1089" i="8"/>
  <c r="AS720" i="8"/>
  <c r="BI720" i="8"/>
  <c r="AS336" i="8"/>
  <c r="BI336" i="8"/>
  <c r="AS551" i="8"/>
  <c r="BI551" i="8"/>
  <c r="AS167" i="8"/>
  <c r="BI167" i="8"/>
  <c r="AS622" i="8"/>
  <c r="BI622" i="8"/>
  <c r="AS238" i="8"/>
  <c r="BI238" i="8"/>
  <c r="AS573" i="8"/>
  <c r="BI573" i="8"/>
  <c r="AS189" i="8"/>
  <c r="BI189" i="8"/>
  <c r="AS548" i="8"/>
  <c r="BI548" i="8"/>
  <c r="AS164" i="8"/>
  <c r="BI164" i="8"/>
  <c r="AS619" i="8"/>
  <c r="BI619" i="8"/>
  <c r="AS235" i="8"/>
  <c r="BI235" i="8"/>
  <c r="AS642" i="8"/>
  <c r="BI642" i="8"/>
  <c r="AS258" i="8"/>
  <c r="BI258" i="8"/>
  <c r="AS761" i="8"/>
  <c r="BI761" i="8"/>
  <c r="AS377" i="8"/>
  <c r="BI377" i="8"/>
  <c r="AS1119" i="8"/>
  <c r="BI1119" i="8"/>
  <c r="AS735" i="8"/>
  <c r="BI735" i="8"/>
  <c r="AS351" i="8"/>
  <c r="BI351" i="8"/>
  <c r="AS1046" i="8"/>
  <c r="BI1046" i="8"/>
  <c r="AS662" i="8"/>
  <c r="BI662" i="8"/>
  <c r="AS278" i="8"/>
  <c r="BI278" i="8"/>
  <c r="AS973" i="8"/>
  <c r="BI973" i="8"/>
  <c r="AS589" i="8"/>
  <c r="BI589" i="8"/>
  <c r="AS205" i="8"/>
  <c r="BI205" i="8"/>
  <c r="AS900" i="8"/>
  <c r="BI900" i="8"/>
  <c r="AS516" i="8"/>
  <c r="BI516" i="8"/>
  <c r="AS132" i="8"/>
  <c r="BI132" i="8"/>
  <c r="AS755" i="8"/>
  <c r="BI755" i="8"/>
  <c r="AS371" i="8"/>
  <c r="BI371" i="8"/>
  <c r="AS850" i="8"/>
  <c r="BI850" i="8"/>
  <c r="AS466" i="8"/>
  <c r="BI466" i="8"/>
  <c r="AS82" i="8"/>
  <c r="BI82" i="8"/>
  <c r="AS513" i="8"/>
  <c r="BI513" i="8"/>
  <c r="AS129" i="8"/>
  <c r="BI129" i="8"/>
  <c r="AS560" i="8"/>
  <c r="BI560" i="8"/>
  <c r="AS176" i="8"/>
  <c r="BI176" i="8"/>
  <c r="AS535" i="8"/>
  <c r="BI535" i="8"/>
  <c r="AS151" i="8"/>
  <c r="BI151" i="8"/>
  <c r="AS822" i="8"/>
  <c r="BI822" i="8"/>
  <c r="AS438" i="8"/>
  <c r="BI438" i="8"/>
  <c r="AS54" i="8"/>
  <c r="BI54" i="8"/>
  <c r="AS893" i="8"/>
  <c r="BI893" i="8"/>
  <c r="AS509" i="8"/>
  <c r="BI509" i="8"/>
  <c r="AS125" i="8"/>
  <c r="BI125" i="8"/>
  <c r="AS652" i="8"/>
  <c r="BI652" i="8"/>
  <c r="AS268" i="8"/>
  <c r="BI268" i="8"/>
  <c r="AS939" i="8"/>
  <c r="BI939" i="8"/>
  <c r="AS555" i="8"/>
  <c r="BI555" i="8"/>
  <c r="AS171" i="8"/>
  <c r="BI171" i="8"/>
  <c r="AS842" i="8"/>
  <c r="BI842" i="8"/>
  <c r="AS458" i="8"/>
  <c r="BI458" i="8"/>
  <c r="AS74" i="8"/>
  <c r="BI74" i="8"/>
  <c r="AS745" i="8"/>
  <c r="BI745" i="8"/>
  <c r="AS361" i="8"/>
  <c r="BI361" i="8"/>
  <c r="AS976" i="8"/>
  <c r="BI976" i="8"/>
  <c r="AS1121" i="8"/>
  <c r="BI1121" i="8"/>
  <c r="AS863" i="8"/>
  <c r="BI863" i="8"/>
  <c r="AS1041" i="8"/>
  <c r="BI1041" i="8"/>
  <c r="AS880" i="8"/>
  <c r="BI880" i="8"/>
  <c r="AS847" i="8"/>
  <c r="BI847" i="8"/>
  <c r="AS910" i="8"/>
  <c r="BI910" i="8"/>
  <c r="AS908" i="8"/>
  <c r="BI908" i="8"/>
  <c r="AS906" i="8"/>
  <c r="BI906" i="8"/>
  <c r="AS897" i="8"/>
  <c r="BI897" i="8"/>
  <c r="AS895" i="8"/>
  <c r="BI895" i="8"/>
  <c r="AS980" i="8"/>
  <c r="BI980" i="8"/>
  <c r="AS1053" i="8"/>
  <c r="BI1053" i="8"/>
  <c r="AS696" i="8"/>
  <c r="BI696" i="8"/>
  <c r="AS312" i="8"/>
  <c r="BI312" i="8"/>
  <c r="AS527" i="8"/>
  <c r="BI527" i="8"/>
  <c r="AS143" i="8"/>
  <c r="BI143" i="8"/>
  <c r="AS598" i="8"/>
  <c r="BI598" i="8"/>
  <c r="AS214" i="8"/>
  <c r="BI214" i="8"/>
  <c r="AS549" i="8"/>
  <c r="BI549" i="8"/>
  <c r="AS165" i="8"/>
  <c r="BI165" i="8"/>
  <c r="AS524" i="8"/>
  <c r="BI524" i="8"/>
  <c r="AS140" i="8"/>
  <c r="BI140" i="8"/>
  <c r="AS595" i="8"/>
  <c r="BI595" i="8"/>
  <c r="AS211" i="8"/>
  <c r="BI211" i="8"/>
  <c r="AS618" i="8"/>
  <c r="BI618" i="8"/>
  <c r="AS234" i="8"/>
  <c r="BI234" i="8"/>
  <c r="AS737" i="8"/>
  <c r="BI737" i="8"/>
  <c r="AS353" i="8"/>
  <c r="BI353" i="8"/>
  <c r="AS1095" i="8"/>
  <c r="BI1095" i="8"/>
  <c r="AS711" i="8"/>
  <c r="BI711" i="8"/>
  <c r="AS327" i="8"/>
  <c r="BI327" i="8"/>
  <c r="AS1022" i="8"/>
  <c r="BI1022" i="8"/>
  <c r="AS638" i="8"/>
  <c r="BI638" i="8"/>
  <c r="AS254" i="8"/>
  <c r="BI254" i="8"/>
  <c r="AS949" i="8"/>
  <c r="BI949" i="8"/>
  <c r="AS565" i="8"/>
  <c r="BI565" i="8"/>
  <c r="AS181" i="8"/>
  <c r="BI181" i="8"/>
  <c r="AS876" i="8"/>
  <c r="BI876" i="8"/>
  <c r="AS492" i="8"/>
  <c r="BI492" i="8"/>
  <c r="AS108" i="8"/>
  <c r="BI108" i="8"/>
  <c r="AS731" i="8"/>
  <c r="BI731" i="8"/>
  <c r="AS347" i="8"/>
  <c r="BI347" i="8"/>
  <c r="AS826" i="8"/>
  <c r="BI826" i="8"/>
  <c r="AS442" i="8"/>
  <c r="BI442" i="8"/>
  <c r="AS58" i="8"/>
  <c r="BI58" i="8"/>
  <c r="AS489" i="8"/>
  <c r="BI489" i="8"/>
  <c r="AS105" i="8"/>
  <c r="BI105" i="8"/>
  <c r="AS536" i="8"/>
  <c r="BI536" i="8"/>
  <c r="AS152" i="8"/>
  <c r="BI152" i="8"/>
  <c r="AS511" i="8"/>
  <c r="BI511" i="8"/>
  <c r="AS127" i="8"/>
  <c r="BI127" i="8"/>
  <c r="AS798" i="8"/>
  <c r="BI798" i="8"/>
  <c r="AS414" i="8"/>
  <c r="BI414" i="8"/>
  <c r="AS869" i="8"/>
  <c r="BI869" i="8"/>
  <c r="AS485" i="8"/>
  <c r="BI485" i="8"/>
  <c r="AS101" i="8"/>
  <c r="BI101" i="8"/>
  <c r="AS628" i="8"/>
  <c r="BI628" i="8"/>
  <c r="AS244" i="8"/>
  <c r="BI244" i="8"/>
  <c r="AS915" i="8"/>
  <c r="BI915" i="8"/>
  <c r="AS531" i="8"/>
  <c r="BI531" i="8"/>
  <c r="AS147" i="8"/>
  <c r="BI147" i="8"/>
  <c r="AS818" i="8"/>
  <c r="BI818" i="8"/>
  <c r="AS434" i="8"/>
  <c r="BI434" i="8"/>
  <c r="AS47" i="8"/>
  <c r="BI47" i="8"/>
  <c r="AS1105" i="8"/>
  <c r="BI1105" i="8"/>
  <c r="AS721" i="8"/>
  <c r="BI721" i="8"/>
  <c r="AS337" i="8"/>
  <c r="BI337" i="8"/>
  <c r="AS49" i="8"/>
  <c r="BI49" i="8"/>
  <c r="AS931" i="8"/>
  <c r="BI931" i="8"/>
  <c r="AS884" i="8"/>
  <c r="BI884" i="8"/>
  <c r="AS1012" i="8"/>
  <c r="BI1012" i="8"/>
  <c r="AS1078" i="8"/>
  <c r="BI1078" i="8"/>
  <c r="AS917" i="8"/>
  <c r="BI917" i="8"/>
  <c r="AS943" i="8"/>
  <c r="BI943" i="8"/>
  <c r="AS26" i="8"/>
  <c r="BI26" i="8"/>
  <c r="AS932" i="8"/>
  <c r="BI932" i="8"/>
  <c r="AS1084" i="8"/>
  <c r="BI1084" i="8"/>
  <c r="AS695" i="8"/>
  <c r="BI695" i="8"/>
  <c r="AS1004" i="8"/>
  <c r="BI1004" i="8"/>
  <c r="AS1112" i="8"/>
  <c r="BI1112" i="8"/>
  <c r="AS616" i="8"/>
  <c r="BI616" i="8"/>
  <c r="AS837" i="8"/>
  <c r="BI837" i="8"/>
  <c r="AS832" i="8"/>
  <c r="BI832" i="8"/>
  <c r="AS815" i="8"/>
  <c r="BI815" i="8"/>
  <c r="AS812" i="8"/>
  <c r="BI812" i="8"/>
  <c r="AS791" i="8"/>
  <c r="BI791" i="8"/>
  <c r="AS936" i="8"/>
  <c r="BI936" i="8"/>
  <c r="AS1015" i="8"/>
  <c r="BI1015" i="8"/>
  <c r="AS672" i="8"/>
  <c r="BI672" i="8"/>
  <c r="AS288" i="8"/>
  <c r="BI288" i="8"/>
  <c r="AS503" i="8"/>
  <c r="BI503" i="8"/>
  <c r="AS119" i="8"/>
  <c r="BI119" i="8"/>
  <c r="AS574" i="8"/>
  <c r="BI574" i="8"/>
  <c r="AS190" i="8"/>
  <c r="BI190" i="8"/>
  <c r="AS525" i="8"/>
  <c r="BI525" i="8"/>
  <c r="AS141" i="8"/>
  <c r="BI141" i="8"/>
  <c r="AS500" i="8"/>
  <c r="BI500" i="8"/>
  <c r="AS116" i="8"/>
  <c r="BI116" i="8"/>
  <c r="AS571" i="8"/>
  <c r="BI571" i="8"/>
  <c r="AS187" i="8"/>
  <c r="BI187" i="8"/>
  <c r="AS594" i="8"/>
  <c r="BI594" i="8"/>
  <c r="AS210" i="8"/>
  <c r="BI210" i="8"/>
  <c r="AS713" i="8"/>
  <c r="BI713" i="8"/>
  <c r="AS329" i="8"/>
  <c r="BI329" i="8"/>
  <c r="AS1071" i="8"/>
  <c r="BI1071" i="8"/>
  <c r="AS687" i="8"/>
  <c r="BI687" i="8"/>
  <c r="AS303" i="8"/>
  <c r="BI303" i="8"/>
  <c r="AS998" i="8"/>
  <c r="BI998" i="8"/>
  <c r="AS614" i="8"/>
  <c r="BI614" i="8"/>
  <c r="AS230" i="8"/>
  <c r="BI230" i="8"/>
  <c r="AS925" i="8"/>
  <c r="BI925" i="8"/>
  <c r="AS541" i="8"/>
  <c r="BI541" i="8"/>
  <c r="AS157" i="8"/>
  <c r="BI157" i="8"/>
  <c r="AS852" i="8"/>
  <c r="BI852" i="8"/>
  <c r="AS468" i="8"/>
  <c r="BI468" i="8"/>
  <c r="AS84" i="8"/>
  <c r="BI84" i="8"/>
  <c r="AS707" i="8"/>
  <c r="BI707" i="8"/>
  <c r="AS323" i="8"/>
  <c r="BI323" i="8"/>
  <c r="AS802" i="8"/>
  <c r="BI802" i="8"/>
  <c r="AS418" i="8"/>
  <c r="BI418" i="8"/>
  <c r="AS849" i="8"/>
  <c r="BI849" i="8"/>
  <c r="AS465" i="8"/>
  <c r="BI465" i="8"/>
  <c r="AS81" i="8"/>
  <c r="BI81" i="8"/>
  <c r="AS512" i="8"/>
  <c r="BI512" i="8"/>
  <c r="AS128" i="8"/>
  <c r="BI128" i="8"/>
  <c r="AS487" i="8"/>
  <c r="BI487" i="8"/>
  <c r="AS103" i="8"/>
  <c r="BI103" i="8"/>
  <c r="AS774" i="8"/>
  <c r="BI774" i="8"/>
  <c r="AS390" i="8"/>
  <c r="BI390" i="8"/>
  <c r="AS845" i="8"/>
  <c r="BI845" i="8"/>
  <c r="AS461" i="8"/>
  <c r="BI461" i="8"/>
  <c r="AS77" i="8"/>
  <c r="BI77" i="8"/>
  <c r="AS604" i="8"/>
  <c r="BI604" i="8"/>
  <c r="AS220" i="8"/>
  <c r="BI220" i="8"/>
  <c r="AS891" i="8"/>
  <c r="BI891" i="8"/>
  <c r="AS507" i="8"/>
  <c r="BI507" i="8"/>
  <c r="AS123" i="8"/>
  <c r="BI123" i="8"/>
  <c r="AS794" i="8"/>
  <c r="BI794" i="8"/>
  <c r="AS410" i="8"/>
  <c r="BI410" i="8"/>
  <c r="AS1081" i="8"/>
  <c r="BI1081" i="8"/>
  <c r="AS697" i="8"/>
  <c r="BI697" i="8"/>
  <c r="AS313" i="8"/>
  <c r="BI313" i="8"/>
  <c r="AS50" i="8"/>
  <c r="BI50" i="8"/>
  <c r="AS15" i="8"/>
  <c r="BI15" i="8"/>
  <c r="AS1103" i="8"/>
  <c r="BI1103" i="8"/>
  <c r="AS647" i="8"/>
  <c r="BI647" i="8"/>
  <c r="AS977" i="8"/>
  <c r="BI977" i="8"/>
  <c r="AS945" i="8"/>
  <c r="BI945" i="8"/>
  <c r="AS30" i="8"/>
  <c r="BI30" i="8"/>
  <c r="AS22" i="8"/>
  <c r="BI22" i="8"/>
  <c r="AS873" i="8"/>
  <c r="BI873" i="8"/>
  <c r="AS1049" i="8"/>
  <c r="BI1049" i="8"/>
  <c r="AS965" i="8"/>
  <c r="BI965" i="8"/>
  <c r="AS1124" i="8"/>
  <c r="BI1124" i="8"/>
  <c r="AS568" i="8"/>
  <c r="BI568" i="8"/>
  <c r="AS520" i="8"/>
  <c r="BI520" i="8"/>
  <c r="AS472" i="8"/>
  <c r="BI472" i="8"/>
  <c r="AS424" i="8"/>
  <c r="BI424" i="8"/>
  <c r="AS376" i="8"/>
  <c r="BI376" i="8"/>
  <c r="AS885" i="8"/>
  <c r="BI885" i="8"/>
  <c r="AS978" i="8"/>
  <c r="BI978" i="8"/>
  <c r="AS648" i="8"/>
  <c r="BI648" i="8"/>
  <c r="AS264" i="8"/>
  <c r="BI264" i="8"/>
  <c r="AS479" i="8"/>
  <c r="BI479" i="8"/>
  <c r="AS95" i="8"/>
  <c r="BI95" i="8"/>
  <c r="AS550" i="8"/>
  <c r="BI550" i="8"/>
  <c r="AS166" i="8"/>
  <c r="BI166" i="8"/>
  <c r="AS501" i="8"/>
  <c r="BI501" i="8"/>
  <c r="AS117" i="8"/>
  <c r="BI117" i="8"/>
  <c r="AS476" i="8"/>
  <c r="BI476" i="8"/>
  <c r="AS92" i="8"/>
  <c r="BI92" i="8"/>
  <c r="AS547" i="8"/>
  <c r="BI547" i="8"/>
  <c r="AS163" i="8"/>
  <c r="BI163" i="8"/>
  <c r="AS570" i="8"/>
  <c r="BI570" i="8"/>
  <c r="AS186" i="8"/>
  <c r="BI186" i="8"/>
  <c r="AS689" i="8"/>
  <c r="BI689" i="8"/>
  <c r="AS305" i="8"/>
  <c r="BI305" i="8"/>
  <c r="AS1047" i="8"/>
  <c r="BI1047" i="8"/>
  <c r="AS663" i="8"/>
  <c r="BI663" i="8"/>
  <c r="AS279" i="8"/>
  <c r="BI279" i="8"/>
  <c r="AS974" i="8"/>
  <c r="BI974" i="8"/>
  <c r="AS590" i="8"/>
  <c r="BI590" i="8"/>
  <c r="AS206" i="8"/>
  <c r="BI206" i="8"/>
  <c r="AS901" i="8"/>
  <c r="BI901" i="8"/>
  <c r="AS517" i="8"/>
  <c r="BI517" i="8"/>
  <c r="AS133" i="8"/>
  <c r="BI133" i="8"/>
  <c r="AS828" i="8"/>
  <c r="BI828" i="8"/>
  <c r="AS444" i="8"/>
  <c r="BI444" i="8"/>
  <c r="AS60" i="8"/>
  <c r="BI60" i="8"/>
  <c r="AS683" i="8"/>
  <c r="BI683" i="8"/>
  <c r="AS299" i="8"/>
  <c r="BI299" i="8"/>
  <c r="AS778" i="8"/>
  <c r="BI778" i="8"/>
  <c r="AS394" i="8"/>
  <c r="BI394" i="8"/>
  <c r="AS825" i="8"/>
  <c r="BI825" i="8"/>
  <c r="AS441" i="8"/>
  <c r="BI441" i="8"/>
  <c r="AS57" i="8"/>
  <c r="BI57" i="8"/>
  <c r="AS488" i="8"/>
  <c r="BI488" i="8"/>
  <c r="AS104" i="8"/>
  <c r="BI104" i="8"/>
  <c r="AS463" i="8"/>
  <c r="BI463" i="8"/>
  <c r="AS79" i="8"/>
  <c r="BI79" i="8"/>
  <c r="AS750" i="8"/>
  <c r="BI750" i="8"/>
  <c r="AS366" i="8"/>
  <c r="BI366" i="8"/>
  <c r="AS821" i="8"/>
  <c r="BI821" i="8"/>
  <c r="AS437" i="8"/>
  <c r="BI437" i="8"/>
  <c r="AS53" i="8"/>
  <c r="BI53" i="8"/>
  <c r="AS964" i="8"/>
  <c r="BI964" i="8"/>
  <c r="AS580" i="8"/>
  <c r="BI580" i="8"/>
  <c r="AS196" i="8"/>
  <c r="BI196" i="8"/>
  <c r="AS867" i="8"/>
  <c r="BI867" i="8"/>
  <c r="AS483" i="8"/>
  <c r="BI483" i="8"/>
  <c r="AS99" i="8"/>
  <c r="BI99" i="8"/>
  <c r="AS770" i="8"/>
  <c r="BI770" i="8"/>
  <c r="AS386" i="8"/>
  <c r="BI386" i="8"/>
  <c r="AS1057" i="8"/>
  <c r="BI1057" i="8"/>
  <c r="AS673" i="8"/>
  <c r="BI673" i="8"/>
  <c r="AS289" i="8"/>
  <c r="BI289" i="8"/>
  <c r="AS51" i="8"/>
  <c r="BI51" i="8"/>
  <c r="AS19" i="8"/>
  <c r="BI19" i="8"/>
  <c r="AS688" i="8"/>
  <c r="BI688" i="8"/>
  <c r="AS1101" i="8"/>
  <c r="BI1101" i="8"/>
  <c r="AS263" i="8"/>
  <c r="BI263" i="8"/>
  <c r="AS928" i="8"/>
  <c r="BI928" i="8"/>
  <c r="AS956" i="8"/>
  <c r="BI956" i="8"/>
  <c r="AS952" i="8"/>
  <c r="BI952" i="8"/>
  <c r="AS1017" i="8"/>
  <c r="BI1017" i="8"/>
  <c r="AS29" i="8"/>
  <c r="BI29" i="8"/>
  <c r="AS160" i="8"/>
  <c r="BI160" i="8"/>
  <c r="AS1076" i="8"/>
  <c r="BI1076" i="8"/>
  <c r="AS18" i="8"/>
  <c r="BI18" i="8"/>
  <c r="AS25" i="8"/>
  <c r="BI25" i="8"/>
  <c r="AS736" i="8"/>
  <c r="BI736" i="8"/>
  <c r="AS1007" i="8"/>
  <c r="BI1007" i="8"/>
  <c r="AS1052" i="8"/>
  <c r="BI1052" i="8"/>
  <c r="AS921" i="8"/>
  <c r="BI921" i="8"/>
  <c r="AS1039" i="8"/>
  <c r="BI1039" i="8"/>
  <c r="AS1109" i="8"/>
  <c r="BI1109" i="8"/>
  <c r="AS1104" i="8"/>
  <c r="BI1104" i="8"/>
  <c r="AS1102" i="8"/>
  <c r="BI1102" i="8"/>
  <c r="AS1100" i="8"/>
  <c r="BI1100" i="8"/>
  <c r="AS1098" i="8"/>
  <c r="BI1098" i="8"/>
  <c r="AS1128" i="8"/>
  <c r="BI1128" i="8"/>
  <c r="AS784" i="8"/>
  <c r="BI784" i="8"/>
  <c r="AS934" i="8"/>
  <c r="BI934" i="8"/>
  <c r="AS624" i="8"/>
  <c r="BI624" i="8"/>
  <c r="AS240" i="8"/>
  <c r="BI240" i="8"/>
  <c r="AS455" i="8"/>
  <c r="BI455" i="8"/>
  <c r="AS71" i="8"/>
  <c r="BI71" i="8"/>
  <c r="AS526" i="8"/>
  <c r="BI526" i="8"/>
  <c r="AS142" i="8"/>
  <c r="BI142" i="8"/>
  <c r="AS477" i="8"/>
  <c r="BI477" i="8"/>
  <c r="AS93" i="8"/>
  <c r="BI93" i="8"/>
  <c r="AS452" i="8"/>
  <c r="BI452" i="8"/>
  <c r="AS68" i="8"/>
  <c r="BI68" i="8"/>
  <c r="AS523" i="8"/>
  <c r="BI523" i="8"/>
  <c r="AS139" i="8"/>
  <c r="BI139" i="8"/>
  <c r="AS546" i="8"/>
  <c r="BI546" i="8"/>
  <c r="AS162" i="8"/>
  <c r="BI162" i="8"/>
  <c r="AS665" i="8"/>
  <c r="BI665" i="8"/>
  <c r="AS281" i="8"/>
  <c r="BI281" i="8"/>
  <c r="AS1023" i="8"/>
  <c r="BI1023" i="8"/>
  <c r="AS639" i="8"/>
  <c r="BI639" i="8"/>
  <c r="AS255" i="8"/>
  <c r="BI255" i="8"/>
  <c r="AS950" i="8"/>
  <c r="BI950" i="8"/>
  <c r="AS566" i="8"/>
  <c r="BI566" i="8"/>
  <c r="AS182" i="8"/>
  <c r="BI182" i="8"/>
  <c r="AS877" i="8"/>
  <c r="BI877" i="8"/>
  <c r="AS493" i="8"/>
  <c r="BI493" i="8"/>
  <c r="AS109" i="8"/>
  <c r="BI109" i="8"/>
  <c r="AS804" i="8"/>
  <c r="BI804" i="8"/>
  <c r="AS420" i="8"/>
  <c r="BI420" i="8"/>
  <c r="AS1043" i="8"/>
  <c r="BI1043" i="8"/>
  <c r="AS659" i="8"/>
  <c r="BI659" i="8"/>
  <c r="AS275" i="8"/>
  <c r="BI275" i="8"/>
  <c r="AS754" i="8"/>
  <c r="BI754" i="8"/>
  <c r="AS370" i="8"/>
  <c r="BI370" i="8"/>
  <c r="AS801" i="8"/>
  <c r="BI801" i="8"/>
  <c r="AS417" i="8"/>
  <c r="BI417" i="8"/>
  <c r="AS848" i="8"/>
  <c r="BI848" i="8"/>
  <c r="AS464" i="8"/>
  <c r="BI464" i="8"/>
  <c r="AS80" i="8"/>
  <c r="BI80" i="8"/>
  <c r="AS439" i="8"/>
  <c r="BI439" i="8"/>
  <c r="AS55" i="8"/>
  <c r="BI55" i="8"/>
  <c r="AS1110" i="8"/>
  <c r="BI1110" i="8"/>
  <c r="AS726" i="8"/>
  <c r="BI726" i="8"/>
  <c r="AS342" i="8"/>
  <c r="BI342" i="8"/>
  <c r="AS797" i="8"/>
  <c r="BI797" i="8"/>
  <c r="AS413" i="8"/>
  <c r="BI413" i="8"/>
  <c r="AS940" i="8"/>
  <c r="BI940" i="8"/>
  <c r="AS556" i="8"/>
  <c r="BI556" i="8"/>
  <c r="AS172" i="8"/>
  <c r="BI172" i="8"/>
  <c r="AS843" i="8"/>
  <c r="BI843" i="8"/>
  <c r="AS459" i="8"/>
  <c r="BI459" i="8"/>
  <c r="AS75" i="8"/>
  <c r="BI75" i="8"/>
  <c r="AS746" i="8"/>
  <c r="BI746" i="8"/>
  <c r="AS362" i="8"/>
  <c r="BI362" i="8"/>
  <c r="AS1033" i="8"/>
  <c r="BI1033" i="8"/>
  <c r="AS649" i="8"/>
  <c r="BI649" i="8"/>
  <c r="AS265" i="8"/>
  <c r="BI265" i="8"/>
  <c r="R1129" i="8"/>
  <c r="AS5" i="8"/>
  <c r="BI5" i="8"/>
  <c r="AS7" i="8"/>
  <c r="BI7" i="8"/>
  <c r="AS11" i="8"/>
  <c r="BI11" i="8"/>
  <c r="AS9" i="8"/>
  <c r="BI9" i="8"/>
  <c r="AS13" i="8"/>
  <c r="BI13" i="8"/>
  <c r="BI10" i="8"/>
  <c r="AS10" i="8"/>
  <c r="BI12" i="8"/>
  <c r="AS12" i="8"/>
  <c r="BI14" i="8"/>
  <c r="AS14" i="8"/>
  <c r="BI8" i="8"/>
  <c r="AS8" i="8"/>
  <c r="AJ1129" i="2"/>
  <c r="BI6" i="8" l="1"/>
  <c r="BI1129" i="8" s="1"/>
  <c r="AS6" i="8"/>
  <c r="AS1129" i="8" s="1"/>
  <c r="BJ372" i="8" l="1"/>
  <c r="BJ404" i="8"/>
  <c r="BJ214" i="8"/>
  <c r="BJ563" i="8"/>
  <c r="BJ522" i="8"/>
  <c r="BL522" i="8" s="1"/>
  <c r="BJ168" i="8"/>
  <c r="BJ135" i="8"/>
  <c r="BJ834" i="8"/>
  <c r="BK834" i="8" s="1"/>
  <c r="BJ266" i="8"/>
  <c r="BK266" i="8" s="1"/>
  <c r="BJ940" i="8"/>
  <c r="BK940" i="8" s="1"/>
  <c r="BJ795" i="8"/>
  <c r="BL795" i="8" s="1"/>
  <c r="BJ974" i="8"/>
  <c r="BJ43" i="8"/>
  <c r="BJ240" i="8"/>
  <c r="BJ436" i="8"/>
  <c r="BJ632" i="8"/>
  <c r="BJ824" i="8"/>
  <c r="BJ1002" i="8"/>
  <c r="BJ74" i="8"/>
  <c r="BJ270" i="8"/>
  <c r="BJ467" i="8"/>
  <c r="BJ663" i="8"/>
  <c r="BJ854" i="8"/>
  <c r="BJ1030" i="8"/>
  <c r="BJ105" i="8"/>
  <c r="BJ300" i="8"/>
  <c r="BJ498" i="8"/>
  <c r="BJ692" i="8"/>
  <c r="BJ881" i="8"/>
  <c r="BJ1058" i="8"/>
  <c r="BJ137" i="8"/>
  <c r="BJ371" i="8"/>
  <c r="BJ565" i="8"/>
  <c r="BJ819" i="8"/>
  <c r="BJ70" i="8"/>
  <c r="BJ446" i="8"/>
  <c r="BJ817" i="8"/>
  <c r="BJ67" i="8"/>
  <c r="BJ462" i="8"/>
  <c r="BJ860" i="8"/>
  <c r="BJ115" i="8"/>
  <c r="BJ185" i="8"/>
  <c r="BJ680" i="8"/>
  <c r="BJ52" i="8"/>
  <c r="BJ233" i="8"/>
  <c r="BJ721" i="8"/>
  <c r="BJ92" i="8"/>
  <c r="BJ621" i="8"/>
  <c r="BJ45" i="8"/>
  <c r="BJ586" i="8"/>
  <c r="BJ330" i="8"/>
  <c r="BJ939" i="8"/>
  <c r="BJ1117" i="8"/>
  <c r="BJ200" i="8"/>
  <c r="BJ397" i="8"/>
  <c r="BJ593" i="8"/>
  <c r="BJ786" i="8"/>
  <c r="BJ967" i="8"/>
  <c r="BJ33" i="8"/>
  <c r="BJ231" i="8"/>
  <c r="BJ427" i="8"/>
  <c r="BJ624" i="8"/>
  <c r="BJ816" i="8"/>
  <c r="BJ996" i="8"/>
  <c r="BJ63" i="8"/>
  <c r="BJ263" i="8"/>
  <c r="BJ457" i="8"/>
  <c r="BJ655" i="8"/>
  <c r="BJ843" i="8"/>
  <c r="BJ1024" i="8"/>
  <c r="BJ95" i="8"/>
  <c r="BJ329" i="8"/>
  <c r="BJ528" i="8"/>
  <c r="BJ790" i="8"/>
  <c r="BJ38" i="8"/>
  <c r="BJ413" i="8"/>
  <c r="BJ787" i="8"/>
  <c r="BJ36" i="8"/>
  <c r="BJ431" i="8"/>
  <c r="BJ832" i="8"/>
  <c r="BJ85" i="8"/>
  <c r="BJ159" i="8"/>
  <c r="BJ654" i="8"/>
  <c r="BJ26" i="8"/>
  <c r="BJ207" i="8"/>
  <c r="BJ695" i="8"/>
  <c r="BJ66" i="8"/>
  <c r="BJ597" i="8"/>
  <c r="BJ21" i="8"/>
  <c r="BJ562" i="8"/>
  <c r="BJ173" i="8"/>
  <c r="BJ136" i="8"/>
  <c r="BJ901" i="8"/>
  <c r="BJ1082" i="8"/>
  <c r="BJ160" i="8"/>
  <c r="BJ358" i="8"/>
  <c r="BJ554" i="8"/>
  <c r="BJ749" i="8"/>
  <c r="BJ929" i="8"/>
  <c r="BJ1110" i="8"/>
  <c r="BJ191" i="8"/>
  <c r="BJ388" i="8"/>
  <c r="BJ584" i="8"/>
  <c r="BJ779" i="8"/>
  <c r="BJ958" i="8"/>
  <c r="BJ25" i="8"/>
  <c r="BJ220" i="8"/>
  <c r="BJ420" i="8"/>
  <c r="BJ614" i="8"/>
  <c r="BJ807" i="8"/>
  <c r="BJ986" i="8"/>
  <c r="BJ57" i="8"/>
  <c r="BJ292" i="8"/>
  <c r="BJ486" i="8"/>
  <c r="BJ760" i="8"/>
  <c r="BJ1104" i="8"/>
  <c r="BJ383" i="8"/>
  <c r="BJ756" i="8"/>
  <c r="BJ1119" i="8"/>
  <c r="BJ400" i="8"/>
  <c r="BJ803" i="8"/>
  <c r="BJ53" i="8"/>
  <c r="BJ133" i="8"/>
  <c r="BJ628" i="8"/>
  <c r="BJ809" i="8"/>
  <c r="BJ181" i="8"/>
  <c r="BJ668" i="8"/>
  <c r="BJ40" i="8"/>
  <c r="BJ573" i="8"/>
  <c r="BJ1114" i="8"/>
  <c r="BJ538" i="8"/>
  <c r="BJ424" i="8"/>
  <c r="BJ867" i="8"/>
  <c r="BJ1044" i="8"/>
  <c r="BJ121" i="8"/>
  <c r="BJ317" i="8"/>
  <c r="BJ515" i="8"/>
  <c r="BJ711" i="8"/>
  <c r="BJ895" i="8"/>
  <c r="BJ1072" i="8"/>
  <c r="BJ151" i="8"/>
  <c r="BJ348" i="8"/>
  <c r="BJ545" i="8"/>
  <c r="BJ740" i="8"/>
  <c r="BJ923" i="8"/>
  <c r="BJ1100" i="8"/>
  <c r="BJ182" i="8"/>
  <c r="BJ377" i="8"/>
  <c r="BJ577" i="8"/>
  <c r="BJ769" i="8"/>
  <c r="BJ951" i="8"/>
  <c r="BJ16" i="8"/>
  <c r="BJ248" i="8"/>
  <c r="BJ449" i="8"/>
  <c r="BJ728" i="8"/>
  <c r="BJ1075" i="8"/>
  <c r="BJ351" i="8"/>
  <c r="BJ726" i="8"/>
  <c r="BJ1091" i="8"/>
  <c r="BJ369" i="8"/>
  <c r="BJ772" i="8"/>
  <c r="BJ20" i="8"/>
  <c r="BJ107" i="8"/>
  <c r="BJ602" i="8"/>
  <c r="BJ783" i="8"/>
  <c r="BJ155" i="8"/>
  <c r="BJ642" i="8"/>
  <c r="BJ1125" i="8"/>
  <c r="BJ549" i="8"/>
  <c r="BJ1090" i="8"/>
  <c r="BJ514" i="8"/>
  <c r="BL135" i="8"/>
  <c r="BM135" i="8" s="1"/>
  <c r="BK135" i="8"/>
  <c r="BJ293" i="8"/>
  <c r="BJ244" i="8"/>
  <c r="BJ474" i="8"/>
  <c r="BJ505" i="8"/>
  <c r="BJ886" i="8"/>
  <c r="BJ1065" i="8"/>
  <c r="BJ142" i="8"/>
  <c r="BJ339" i="8"/>
  <c r="BJ534" i="8"/>
  <c r="BJ734" i="8"/>
  <c r="BJ914" i="8"/>
  <c r="BJ1127" i="8"/>
  <c r="BJ208" i="8"/>
  <c r="BJ406" i="8"/>
  <c r="BJ698" i="8"/>
  <c r="BJ1046" i="8"/>
  <c r="BJ320" i="8"/>
  <c r="BJ696" i="8"/>
  <c r="BJ1062" i="8"/>
  <c r="BJ336" i="8"/>
  <c r="BJ743" i="8"/>
  <c r="BJ709" i="8"/>
  <c r="BJ80" i="8"/>
  <c r="BJ576" i="8"/>
  <c r="BJ757" i="8"/>
  <c r="BJ128" i="8"/>
  <c r="BJ616" i="8"/>
  <c r="BJ1101" i="8"/>
  <c r="BJ525" i="8"/>
  <c r="BJ1066" i="8"/>
  <c r="BJ490" i="8"/>
  <c r="BJ1023" i="8"/>
  <c r="BJ908" i="8"/>
  <c r="BJ278" i="8"/>
  <c r="BJ503" i="8"/>
  <c r="BJ729" i="8"/>
  <c r="BJ599" i="8"/>
  <c r="BJ794" i="8"/>
  <c r="BJ973" i="8"/>
  <c r="BJ42" i="8"/>
  <c r="BJ239" i="8"/>
  <c r="BJ435" i="8"/>
  <c r="BJ631" i="8"/>
  <c r="BJ823" i="8"/>
  <c r="BJ1001" i="8"/>
  <c r="BJ73" i="8"/>
  <c r="BJ269" i="8"/>
  <c r="BJ465" i="8"/>
  <c r="BJ662" i="8"/>
  <c r="BJ851" i="8"/>
  <c r="BJ1028" i="8"/>
  <c r="BJ103" i="8"/>
  <c r="BJ299" i="8"/>
  <c r="BJ496" i="8"/>
  <c r="BJ691" i="8"/>
  <c r="BJ880" i="8"/>
  <c r="BJ1092" i="8"/>
  <c r="BJ170" i="8"/>
  <c r="BJ365" i="8"/>
  <c r="BJ666" i="8"/>
  <c r="BJ1017" i="8"/>
  <c r="BJ289" i="8"/>
  <c r="BJ664" i="8"/>
  <c r="BJ1033" i="8"/>
  <c r="BJ305" i="8"/>
  <c r="BJ713" i="8"/>
  <c r="BJ683" i="8"/>
  <c r="BJ54" i="8"/>
  <c r="BJ550" i="8"/>
  <c r="BJ731" i="8"/>
  <c r="BJ102" i="8"/>
  <c r="BJ590" i="8"/>
  <c r="BJ1077" i="8"/>
  <c r="BJ501" i="8"/>
  <c r="BJ1042" i="8"/>
  <c r="BJ466" i="8"/>
  <c r="BL940" i="8"/>
  <c r="BJ1052" i="8"/>
  <c r="BJ879" i="8"/>
  <c r="BJ1038" i="8"/>
  <c r="BJ324" i="8"/>
  <c r="BJ582" i="8"/>
  <c r="BJ753" i="8"/>
  <c r="BJ938" i="8"/>
  <c r="BJ1116" i="8"/>
  <c r="BJ199" i="8"/>
  <c r="BJ396" i="8"/>
  <c r="BJ592" i="8"/>
  <c r="BJ784" i="8"/>
  <c r="BJ966" i="8"/>
  <c r="BJ32" i="8"/>
  <c r="BJ230" i="8"/>
  <c r="BJ426" i="8"/>
  <c r="BJ623" i="8"/>
  <c r="BJ814" i="8"/>
  <c r="BJ993" i="8"/>
  <c r="BJ62" i="8"/>
  <c r="BJ260" i="8"/>
  <c r="BJ456" i="8"/>
  <c r="BJ653" i="8"/>
  <c r="BJ842" i="8"/>
  <c r="BJ1055" i="8"/>
  <c r="BJ127" i="8"/>
  <c r="BJ327" i="8"/>
  <c r="BJ636" i="8"/>
  <c r="BJ989" i="8"/>
  <c r="BJ256" i="8"/>
  <c r="BJ633" i="8"/>
  <c r="BJ1004" i="8"/>
  <c r="BJ273" i="8"/>
  <c r="BJ681" i="8"/>
  <c r="BJ656" i="8"/>
  <c r="BJ28" i="8"/>
  <c r="BJ523" i="8"/>
  <c r="BJ704" i="8"/>
  <c r="BJ76" i="8"/>
  <c r="BJ564" i="8"/>
  <c r="BJ1053" i="8"/>
  <c r="BJ477" i="8"/>
  <c r="BJ1018" i="8"/>
  <c r="BJ442" i="8"/>
  <c r="BK563" i="8"/>
  <c r="BL563" i="8"/>
  <c r="BJ985" i="8"/>
  <c r="BJ1010" i="8"/>
  <c r="BJ672" i="8"/>
  <c r="BJ47" i="8"/>
  <c r="BJ561" i="8"/>
  <c r="BJ125" i="8"/>
  <c r="BJ831" i="8"/>
  <c r="BJ252" i="8"/>
  <c r="BJ924" i="8"/>
  <c r="BJ402" i="8"/>
  <c r="BJ363" i="8"/>
  <c r="BJ520" i="8"/>
  <c r="BJ718" i="8"/>
  <c r="BJ900" i="8"/>
  <c r="BJ1081" i="8"/>
  <c r="BJ158" i="8"/>
  <c r="BJ356" i="8"/>
  <c r="BJ553" i="8"/>
  <c r="BJ748" i="8"/>
  <c r="BJ928" i="8"/>
  <c r="BJ1109" i="8"/>
  <c r="BJ190" i="8"/>
  <c r="BJ387" i="8"/>
  <c r="BJ583" i="8"/>
  <c r="BJ776" i="8"/>
  <c r="BJ955" i="8"/>
  <c r="BJ23" i="8"/>
  <c r="BJ219" i="8"/>
  <c r="BJ417" i="8"/>
  <c r="BJ613" i="8"/>
  <c r="BJ806" i="8"/>
  <c r="BJ1020" i="8"/>
  <c r="BJ90" i="8"/>
  <c r="BJ284" i="8"/>
  <c r="BJ605" i="8"/>
  <c r="BJ961" i="8"/>
  <c r="BJ225" i="8"/>
  <c r="BJ601" i="8"/>
  <c r="BJ976" i="8"/>
  <c r="BJ243" i="8"/>
  <c r="BJ649" i="8"/>
  <c r="BJ630" i="8"/>
  <c r="BJ1126" i="8"/>
  <c r="BJ497" i="8"/>
  <c r="BJ678" i="8"/>
  <c r="BJ50" i="8"/>
  <c r="BJ537" i="8"/>
  <c r="BJ1029" i="8"/>
  <c r="BJ453" i="8"/>
  <c r="BJ994" i="8"/>
  <c r="BJ418" i="8"/>
  <c r="BJ611" i="8"/>
  <c r="BJ801" i="8"/>
  <c r="BJ112" i="8"/>
  <c r="BJ643" i="8"/>
  <c r="BJ977" i="8"/>
  <c r="BJ661" i="8"/>
  <c r="BJ777" i="8"/>
  <c r="BJ205" i="8"/>
  <c r="BJ172" i="8"/>
  <c r="BJ483" i="8"/>
  <c r="BJ676" i="8"/>
  <c r="BJ866" i="8"/>
  <c r="BJ1043" i="8"/>
  <c r="BJ120" i="8"/>
  <c r="BJ315" i="8"/>
  <c r="BJ513" i="8"/>
  <c r="BJ710" i="8"/>
  <c r="BJ894" i="8"/>
  <c r="BJ1071" i="8"/>
  <c r="BJ150" i="8"/>
  <c r="BJ347" i="8"/>
  <c r="BJ544" i="8"/>
  <c r="BJ738" i="8"/>
  <c r="BJ921" i="8"/>
  <c r="BJ1098" i="8"/>
  <c r="BJ180" i="8"/>
  <c r="BJ376" i="8"/>
  <c r="BJ575" i="8"/>
  <c r="BJ768" i="8"/>
  <c r="BJ982" i="8"/>
  <c r="BJ49" i="8"/>
  <c r="BJ247" i="8"/>
  <c r="BJ571" i="8"/>
  <c r="BJ932" i="8"/>
  <c r="BJ194" i="8"/>
  <c r="BJ569" i="8"/>
  <c r="BJ948" i="8"/>
  <c r="BJ212" i="8"/>
  <c r="BJ618" i="8"/>
  <c r="BJ604" i="8"/>
  <c r="BJ1099" i="8"/>
  <c r="BJ471" i="8"/>
  <c r="BJ652" i="8"/>
  <c r="BJ24" i="8"/>
  <c r="BJ511" i="8"/>
  <c r="BJ1005" i="8"/>
  <c r="BJ429" i="8"/>
  <c r="BJ970" i="8"/>
  <c r="BJ394" i="8"/>
  <c r="BK372" i="8"/>
  <c r="BL372" i="8"/>
  <c r="BJ641" i="8"/>
  <c r="BJ858" i="8"/>
  <c r="BJ762" i="8"/>
  <c r="BJ451" i="8"/>
  <c r="BJ64" i="8"/>
  <c r="BJ482" i="8"/>
  <c r="BJ1051" i="8"/>
  <c r="BJ1014" i="8"/>
  <c r="BJ639" i="8"/>
  <c r="BJ829" i="8"/>
  <c r="BJ79" i="8"/>
  <c r="BJ277" i="8"/>
  <c r="BJ472" i="8"/>
  <c r="BJ671" i="8"/>
  <c r="BJ1037" i="8"/>
  <c r="BJ111" i="8"/>
  <c r="BJ307" i="8"/>
  <c r="BJ504" i="8"/>
  <c r="BJ700" i="8"/>
  <c r="BJ884" i="8"/>
  <c r="BJ1064" i="8"/>
  <c r="BJ140" i="8"/>
  <c r="BJ337" i="8"/>
  <c r="BJ533" i="8"/>
  <c r="BJ732" i="8"/>
  <c r="BJ945" i="8"/>
  <c r="BJ1124" i="8"/>
  <c r="BJ206" i="8"/>
  <c r="BJ541" i="8"/>
  <c r="BJ903" i="8"/>
  <c r="BJ163" i="8"/>
  <c r="BJ539" i="8"/>
  <c r="BJ919" i="8"/>
  <c r="BJ179" i="8"/>
  <c r="BJ587" i="8"/>
  <c r="BJ578" i="8"/>
  <c r="BJ1073" i="8"/>
  <c r="BJ445" i="8"/>
  <c r="BJ626" i="8"/>
  <c r="BJ1113" i="8"/>
  <c r="BJ485" i="8"/>
  <c r="BJ981" i="8"/>
  <c r="BJ405" i="8"/>
  <c r="BJ946" i="8"/>
  <c r="BJ370" i="8"/>
  <c r="BJ15" i="8"/>
  <c r="BJ830" i="8"/>
  <c r="BJ702" i="8"/>
  <c r="BJ560" i="8"/>
  <c r="BJ609" i="8"/>
  <c r="BJ440" i="8"/>
  <c r="BJ1008" i="8"/>
  <c r="BJ857" i="8"/>
  <c r="BJ840" i="8"/>
  <c r="BJ283" i="8"/>
  <c r="BJ943" i="8"/>
  <c r="BJ410" i="8"/>
  <c r="BJ907" i="8"/>
  <c r="BJ870" i="8"/>
  <c r="BJ403" i="8"/>
  <c r="BJ596" i="8"/>
  <c r="BJ793" i="8"/>
  <c r="BJ972" i="8"/>
  <c r="BJ41" i="8"/>
  <c r="BJ236" i="8"/>
  <c r="BJ434" i="8"/>
  <c r="BJ629" i="8"/>
  <c r="BJ822" i="8"/>
  <c r="BJ1000" i="8"/>
  <c r="BJ72" i="8"/>
  <c r="BJ268" i="8"/>
  <c r="BJ464" i="8"/>
  <c r="BJ660" i="8"/>
  <c r="BJ849" i="8"/>
  <c r="BJ1027" i="8"/>
  <c r="BJ101" i="8"/>
  <c r="BJ297" i="8"/>
  <c r="BJ494" i="8"/>
  <c r="BJ690" i="8"/>
  <c r="BJ911" i="8"/>
  <c r="BJ1088" i="8"/>
  <c r="BJ169" i="8"/>
  <c r="BJ509" i="8"/>
  <c r="BJ875" i="8"/>
  <c r="BJ132" i="8"/>
  <c r="BJ507" i="8"/>
  <c r="BJ891" i="8"/>
  <c r="BJ148" i="8"/>
  <c r="BJ556" i="8"/>
  <c r="BJ552" i="8"/>
  <c r="BJ1047" i="8"/>
  <c r="BJ419" i="8"/>
  <c r="BJ600" i="8"/>
  <c r="BJ1087" i="8"/>
  <c r="BJ459" i="8"/>
  <c r="BJ957" i="8"/>
  <c r="BJ381" i="8"/>
  <c r="BJ922" i="8"/>
  <c r="BJ346" i="8"/>
  <c r="BK168" i="8"/>
  <c r="BL168" i="8"/>
  <c r="BM168" i="8" s="1"/>
  <c r="BJ841" i="8"/>
  <c r="BJ689" i="8"/>
  <c r="BJ81" i="8"/>
  <c r="BJ308" i="8"/>
  <c r="BJ1121" i="8"/>
  <c r="BJ1068" i="8"/>
  <c r="BJ1128" i="8"/>
  <c r="BJ984" i="8"/>
  <c r="BJ1086" i="8"/>
  <c r="BJ688" i="8"/>
  <c r="BJ91" i="8"/>
  <c r="BJ797" i="8"/>
  <c r="BJ222" i="8"/>
  <c r="BJ761" i="8"/>
  <c r="BJ722" i="8"/>
  <c r="BJ362" i="8"/>
  <c r="BJ559" i="8"/>
  <c r="BJ752" i="8"/>
  <c r="BJ937" i="8"/>
  <c r="BJ1115" i="8"/>
  <c r="BJ198" i="8"/>
  <c r="BJ393" i="8"/>
  <c r="BJ591" i="8"/>
  <c r="BJ782" i="8"/>
  <c r="BJ965" i="8"/>
  <c r="BJ31" i="8"/>
  <c r="BJ229" i="8"/>
  <c r="BJ425" i="8"/>
  <c r="BJ620" i="8"/>
  <c r="BJ812" i="8"/>
  <c r="BJ992" i="8"/>
  <c r="BJ61" i="8"/>
  <c r="BJ258" i="8"/>
  <c r="BJ455" i="8"/>
  <c r="BJ651" i="8"/>
  <c r="BJ872" i="8"/>
  <c r="BJ1054" i="8"/>
  <c r="BJ126" i="8"/>
  <c r="BJ479" i="8"/>
  <c r="BJ846" i="8"/>
  <c r="BJ99" i="8"/>
  <c r="BJ476" i="8"/>
  <c r="BJ862" i="8"/>
  <c r="BJ116" i="8"/>
  <c r="BJ524" i="8"/>
  <c r="BJ526" i="8"/>
  <c r="BJ1021" i="8"/>
  <c r="BJ392" i="8"/>
  <c r="BJ574" i="8"/>
  <c r="BJ1061" i="8"/>
  <c r="BJ433" i="8"/>
  <c r="BJ933" i="8"/>
  <c r="BJ357" i="8"/>
  <c r="BJ898" i="8"/>
  <c r="BJ322" i="8"/>
  <c r="BJ679" i="8"/>
  <c r="BJ94" i="8"/>
  <c r="BJ489" i="8"/>
  <c r="BJ1106" i="8"/>
  <c r="BJ640" i="8"/>
  <c r="BJ44" i="8"/>
  <c r="BJ568" i="8"/>
  <c r="BJ531" i="8"/>
  <c r="BJ325" i="8"/>
  <c r="BJ518" i="8"/>
  <c r="BJ716" i="8"/>
  <c r="BJ899" i="8"/>
  <c r="BJ1080" i="8"/>
  <c r="BJ156" i="8"/>
  <c r="BJ355" i="8"/>
  <c r="BJ551" i="8"/>
  <c r="BJ746" i="8"/>
  <c r="BJ927" i="8"/>
  <c r="BJ1108" i="8"/>
  <c r="BJ188" i="8"/>
  <c r="BJ386" i="8"/>
  <c r="BJ581" i="8"/>
  <c r="BJ775" i="8"/>
  <c r="BJ954" i="8"/>
  <c r="BJ19" i="8"/>
  <c r="BJ218" i="8"/>
  <c r="BJ415" i="8"/>
  <c r="BJ612" i="8"/>
  <c r="BJ839" i="8"/>
  <c r="BJ1015" i="8"/>
  <c r="BJ89" i="8"/>
  <c r="BJ448" i="8"/>
  <c r="BJ818" i="8"/>
  <c r="BJ68" i="8"/>
  <c r="BJ444" i="8"/>
  <c r="BJ833" i="8"/>
  <c r="BJ86" i="8"/>
  <c r="BJ492" i="8"/>
  <c r="BJ499" i="8"/>
  <c r="BJ995" i="8"/>
  <c r="BJ366" i="8"/>
  <c r="BJ547" i="8"/>
  <c r="BJ1035" i="8"/>
  <c r="BJ407" i="8"/>
  <c r="BJ909" i="8"/>
  <c r="BJ333" i="8"/>
  <c r="BJ874" i="8"/>
  <c r="BJ298" i="8"/>
  <c r="BJ481" i="8"/>
  <c r="BJ675" i="8"/>
  <c r="BJ865" i="8"/>
  <c r="BJ1041" i="8"/>
  <c r="BJ118" i="8"/>
  <c r="BJ313" i="8"/>
  <c r="BJ512" i="8"/>
  <c r="BJ708" i="8"/>
  <c r="BJ893" i="8"/>
  <c r="BJ1070" i="8"/>
  <c r="BJ149" i="8"/>
  <c r="BJ345" i="8"/>
  <c r="BJ542" i="8"/>
  <c r="BJ737" i="8"/>
  <c r="BJ920" i="8"/>
  <c r="BJ1097" i="8"/>
  <c r="BJ176" i="8"/>
  <c r="BJ375" i="8"/>
  <c r="BJ572" i="8"/>
  <c r="BJ800" i="8"/>
  <c r="BJ980" i="8"/>
  <c r="BJ48" i="8"/>
  <c r="BJ414" i="8"/>
  <c r="BJ788" i="8"/>
  <c r="BJ37" i="8"/>
  <c r="BJ412" i="8"/>
  <c r="BJ804" i="8"/>
  <c r="BJ55" i="8"/>
  <c r="BJ461" i="8"/>
  <c r="BJ473" i="8"/>
  <c r="BJ968" i="8"/>
  <c r="BJ340" i="8"/>
  <c r="BJ521" i="8"/>
  <c r="BJ1009" i="8"/>
  <c r="BJ380" i="8"/>
  <c r="BJ885" i="8"/>
  <c r="BJ309" i="8"/>
  <c r="BJ850" i="8"/>
  <c r="BJ274" i="8"/>
  <c r="BJ203" i="8"/>
  <c r="BJ828" i="8"/>
  <c r="BJ1007" i="8"/>
  <c r="BJ77" i="8"/>
  <c r="BJ275" i="8"/>
  <c r="BJ470" i="8"/>
  <c r="BJ670" i="8"/>
  <c r="BJ856" i="8"/>
  <c r="BJ1036" i="8"/>
  <c r="BJ110" i="8"/>
  <c r="BJ306" i="8"/>
  <c r="BJ502" i="8"/>
  <c r="BJ699" i="8"/>
  <c r="BJ883" i="8"/>
  <c r="BJ1063" i="8"/>
  <c r="BJ139" i="8"/>
  <c r="BJ334" i="8"/>
  <c r="BJ532" i="8"/>
  <c r="BJ764" i="8"/>
  <c r="BJ944" i="8"/>
  <c r="BJ1105" i="8"/>
  <c r="BJ384" i="8"/>
  <c r="BJ758" i="8"/>
  <c r="BJ1103" i="8"/>
  <c r="BJ382" i="8"/>
  <c r="BJ774" i="8"/>
  <c r="BJ22" i="8"/>
  <c r="BJ430" i="8"/>
  <c r="BJ447" i="8"/>
  <c r="BJ942" i="8"/>
  <c r="BJ314" i="8"/>
  <c r="BJ495" i="8"/>
  <c r="BJ983" i="8"/>
  <c r="BJ354" i="8"/>
  <c r="BJ861" i="8"/>
  <c r="BJ285" i="8"/>
  <c r="BJ826" i="8"/>
  <c r="BJ250" i="8"/>
  <c r="BJ595" i="8"/>
  <c r="BJ39" i="8"/>
  <c r="BJ234" i="8"/>
  <c r="BJ432" i="8"/>
  <c r="BJ627" i="8"/>
  <c r="BJ821" i="8"/>
  <c r="BJ999" i="8"/>
  <c r="BJ71" i="8"/>
  <c r="BJ267" i="8"/>
  <c r="BJ460" i="8"/>
  <c r="BJ659" i="8"/>
  <c r="BJ848" i="8"/>
  <c r="BJ1026" i="8"/>
  <c r="BJ97" i="8"/>
  <c r="BJ296" i="8"/>
  <c r="BJ491" i="8"/>
  <c r="BJ724" i="8"/>
  <c r="BJ910" i="8"/>
  <c r="BJ1076" i="8"/>
  <c r="BJ352" i="8"/>
  <c r="BJ727" i="8"/>
  <c r="BJ1074" i="8"/>
  <c r="BJ350" i="8"/>
  <c r="BJ744" i="8"/>
  <c r="BJ1118" i="8"/>
  <c r="BJ399" i="8"/>
  <c r="BJ421" i="8"/>
  <c r="BJ916" i="8"/>
  <c r="BJ288" i="8"/>
  <c r="BJ469" i="8"/>
  <c r="BJ956" i="8"/>
  <c r="BJ328" i="8"/>
  <c r="BJ837" i="8"/>
  <c r="BJ261" i="8"/>
  <c r="BJ802" i="8"/>
  <c r="BJ226" i="8"/>
  <c r="BJ84" i="8"/>
  <c r="BJ303" i="8"/>
  <c r="BJ438" i="8"/>
  <c r="BJ56" i="8"/>
  <c r="BJ869" i="8"/>
  <c r="BJ558" i="8"/>
  <c r="BJ751" i="8"/>
  <c r="BJ936" i="8"/>
  <c r="BJ1112" i="8"/>
  <c r="BJ196" i="8"/>
  <c r="BJ391" i="8"/>
  <c r="BJ589" i="8"/>
  <c r="BJ781" i="8"/>
  <c r="BJ964" i="8"/>
  <c r="BJ30" i="8"/>
  <c r="BJ228" i="8"/>
  <c r="BJ423" i="8"/>
  <c r="BJ617" i="8"/>
  <c r="BJ810" i="8"/>
  <c r="BJ991" i="8"/>
  <c r="BJ60" i="8"/>
  <c r="BJ254" i="8"/>
  <c r="BJ454" i="8"/>
  <c r="BJ687" i="8"/>
  <c r="BJ871" i="8"/>
  <c r="BJ1048" i="8"/>
  <c r="BJ321" i="8"/>
  <c r="BJ697" i="8"/>
  <c r="BJ1045" i="8"/>
  <c r="BJ319" i="8"/>
  <c r="BJ714" i="8"/>
  <c r="BJ1089" i="8"/>
  <c r="BJ367" i="8"/>
  <c r="BJ395" i="8"/>
  <c r="BJ890" i="8"/>
  <c r="BJ262" i="8"/>
  <c r="BJ443" i="8"/>
  <c r="BJ930" i="8"/>
  <c r="BJ302" i="8"/>
  <c r="BJ813" i="8"/>
  <c r="BJ237" i="8"/>
  <c r="BJ778" i="8"/>
  <c r="BJ202" i="8"/>
  <c r="BJ385" i="8"/>
  <c r="BJ815" i="8"/>
  <c r="BJ1123" i="8"/>
  <c r="BJ792" i="8"/>
  <c r="BJ281" i="8"/>
  <c r="BJ323" i="8"/>
  <c r="BJ517" i="8"/>
  <c r="BJ715" i="8"/>
  <c r="BJ897" i="8"/>
  <c r="BJ1079" i="8"/>
  <c r="BJ153" i="8"/>
  <c r="BJ353" i="8"/>
  <c r="BJ548" i="8"/>
  <c r="BJ745" i="8"/>
  <c r="BJ926" i="8"/>
  <c r="BJ1107" i="8"/>
  <c r="BJ187" i="8"/>
  <c r="BJ379" i="8"/>
  <c r="BJ580" i="8"/>
  <c r="BJ771" i="8"/>
  <c r="BJ953" i="8"/>
  <c r="BJ18" i="8"/>
  <c r="BJ217" i="8"/>
  <c r="BJ411" i="8"/>
  <c r="BJ646" i="8"/>
  <c r="BJ836" i="8"/>
  <c r="BJ1019" i="8"/>
  <c r="BJ291" i="8"/>
  <c r="BJ665" i="8"/>
  <c r="BJ1016" i="8"/>
  <c r="BJ287" i="8"/>
  <c r="BJ684" i="8"/>
  <c r="BJ1060" i="8"/>
  <c r="BJ335" i="8"/>
  <c r="BJ368" i="8"/>
  <c r="BJ864" i="8"/>
  <c r="BJ235" i="8"/>
  <c r="BJ416" i="8"/>
  <c r="BJ904" i="8"/>
  <c r="BJ276" i="8"/>
  <c r="BJ789" i="8"/>
  <c r="BJ213" i="8"/>
  <c r="BJ754" i="8"/>
  <c r="BJ178" i="8"/>
  <c r="BJ677" i="8"/>
  <c r="BJ344" i="8"/>
  <c r="BJ123" i="8"/>
  <c r="BJ971" i="8"/>
  <c r="BJ280" i="8"/>
  <c r="BJ311" i="8"/>
  <c r="BJ510" i="8"/>
  <c r="BJ705" i="8"/>
  <c r="BJ892" i="8"/>
  <c r="BJ1069" i="8"/>
  <c r="BJ146" i="8"/>
  <c r="BJ343" i="8"/>
  <c r="BJ536" i="8"/>
  <c r="BJ736" i="8"/>
  <c r="BJ917" i="8"/>
  <c r="BJ1096" i="8"/>
  <c r="BJ175" i="8"/>
  <c r="BJ374" i="8"/>
  <c r="BJ608" i="8"/>
  <c r="BJ798" i="8"/>
  <c r="BJ990" i="8"/>
  <c r="BJ257" i="8"/>
  <c r="BJ635" i="8"/>
  <c r="BJ988" i="8"/>
  <c r="BJ255" i="8"/>
  <c r="BJ650" i="8"/>
  <c r="BJ1032" i="8"/>
  <c r="BJ304" i="8"/>
  <c r="BJ342" i="8"/>
  <c r="BJ838" i="8"/>
  <c r="BJ209" i="8"/>
  <c r="BJ390" i="8"/>
  <c r="BJ878" i="8"/>
  <c r="BJ249" i="8"/>
  <c r="BJ765" i="8"/>
  <c r="BJ189" i="8"/>
  <c r="BJ730" i="8"/>
  <c r="BJ154" i="8"/>
  <c r="BJ959" i="8"/>
  <c r="BJ1022" i="8"/>
  <c r="BJ913" i="8"/>
  <c r="BJ401" i="8"/>
  <c r="BJ606" i="8"/>
  <c r="BJ941" i="8"/>
  <c r="BJ755" i="8"/>
  <c r="BJ88" i="8"/>
  <c r="BJ530" i="8"/>
  <c r="BJ480" i="8"/>
  <c r="BJ331" i="8"/>
  <c r="BJ437" i="8"/>
  <c r="BJ637" i="8"/>
  <c r="BJ827" i="8"/>
  <c r="BJ1006" i="8"/>
  <c r="BJ75" i="8"/>
  <c r="BJ271" i="8"/>
  <c r="BJ468" i="8"/>
  <c r="BJ667" i="8"/>
  <c r="BJ855" i="8"/>
  <c r="BJ1034" i="8"/>
  <c r="BJ109" i="8"/>
  <c r="BJ301" i="8"/>
  <c r="BJ500" i="8"/>
  <c r="BJ694" i="8"/>
  <c r="BJ882" i="8"/>
  <c r="BJ1059" i="8"/>
  <c r="BJ138" i="8"/>
  <c r="BJ332" i="8"/>
  <c r="BJ566" i="8"/>
  <c r="BJ763" i="8"/>
  <c r="BJ962" i="8"/>
  <c r="BJ227" i="8"/>
  <c r="BJ603" i="8"/>
  <c r="BJ960" i="8"/>
  <c r="BJ224" i="8"/>
  <c r="BJ619" i="8"/>
  <c r="BJ1003" i="8"/>
  <c r="BJ272" i="8"/>
  <c r="BJ316" i="8"/>
  <c r="BJ811" i="8"/>
  <c r="BJ183" i="8"/>
  <c r="BJ364" i="8"/>
  <c r="BJ852" i="8"/>
  <c r="BJ223" i="8"/>
  <c r="BJ741" i="8"/>
  <c r="BJ165" i="8"/>
  <c r="BJ706" i="8"/>
  <c r="BJ130" i="8"/>
  <c r="BK214" i="8"/>
  <c r="BL214" i="8"/>
  <c r="BM214" i="8" s="1"/>
  <c r="BJ282" i="8"/>
  <c r="BJ251" i="8"/>
  <c r="BJ997" i="8"/>
  <c r="BJ767" i="8"/>
  <c r="BJ877" i="8"/>
  <c r="BJ906" i="8"/>
  <c r="BJ409" i="8"/>
  <c r="BJ720" i="8"/>
  <c r="BJ215" i="8"/>
  <c r="BJ863" i="8"/>
  <c r="BJ701" i="8"/>
  <c r="BJ27" i="8"/>
  <c r="BJ439" i="8"/>
  <c r="BJ398" i="8"/>
  <c r="BJ969" i="8"/>
  <c r="BJ428" i="8"/>
  <c r="BJ998" i="8"/>
  <c r="BJ65" i="8"/>
  <c r="BJ265" i="8"/>
  <c r="BJ458" i="8"/>
  <c r="BJ657" i="8"/>
  <c r="BJ844" i="8"/>
  <c r="BJ1025" i="8"/>
  <c r="BJ96" i="8"/>
  <c r="BJ295" i="8"/>
  <c r="BJ529" i="8"/>
  <c r="BJ723" i="8"/>
  <c r="BJ934" i="8"/>
  <c r="BJ195" i="8"/>
  <c r="BJ570" i="8"/>
  <c r="BJ931" i="8"/>
  <c r="BJ193" i="8"/>
  <c r="BJ588" i="8"/>
  <c r="BJ975" i="8"/>
  <c r="BJ242" i="8"/>
  <c r="BJ290" i="8"/>
  <c r="BJ785" i="8"/>
  <c r="BJ157" i="8"/>
  <c r="BJ338" i="8"/>
  <c r="BJ825" i="8"/>
  <c r="BJ197" i="8"/>
  <c r="BJ717" i="8"/>
  <c r="BJ141" i="8"/>
  <c r="BJ682" i="8"/>
  <c r="BJ106" i="8"/>
  <c r="BK404" i="8"/>
  <c r="BL404" i="8"/>
  <c r="BJ949" i="8"/>
  <c r="BJ638" i="8"/>
  <c r="BJ1050" i="8"/>
  <c r="BJ979" i="8"/>
  <c r="BJ1085" i="8"/>
  <c r="BJ853" i="8"/>
  <c r="BJ124" i="8"/>
  <c r="BJ685" i="8"/>
  <c r="BJ567" i="8"/>
  <c r="BJ674" i="8"/>
  <c r="BJ488" i="8"/>
  <c r="BJ373" i="8"/>
  <c r="BJ805" i="8"/>
  <c r="BJ585" i="8"/>
  <c r="BJ59" i="8"/>
  <c r="BJ686" i="8"/>
  <c r="BJ905" i="8"/>
  <c r="BJ164" i="8"/>
  <c r="BJ540" i="8"/>
  <c r="BJ902" i="8"/>
  <c r="BJ162" i="8"/>
  <c r="BJ557" i="8"/>
  <c r="BJ947" i="8"/>
  <c r="BJ210" i="8"/>
  <c r="BJ264" i="8"/>
  <c r="BJ759" i="8"/>
  <c r="BJ131" i="8"/>
  <c r="BJ312" i="8"/>
  <c r="BJ799" i="8"/>
  <c r="BJ171" i="8"/>
  <c r="BJ693" i="8"/>
  <c r="BJ117" i="8"/>
  <c r="BJ658" i="8"/>
  <c r="BJ82" i="8"/>
  <c r="BJ484" i="8"/>
  <c r="BJ441" i="8"/>
  <c r="BJ166" i="8"/>
  <c r="BJ648" i="8"/>
  <c r="BJ1013" i="8"/>
  <c r="BJ463" i="8"/>
  <c r="BJ167" i="8"/>
  <c r="BJ835" i="8"/>
  <c r="BJ725" i="8"/>
  <c r="BJ87" i="8"/>
  <c r="BJ1040" i="8"/>
  <c r="BJ622" i="8"/>
  <c r="BJ241" i="8"/>
  <c r="BJ543" i="8"/>
  <c r="BJ950" i="8"/>
  <c r="BJ186" i="8"/>
  <c r="BJ144" i="8"/>
  <c r="BJ201" i="8"/>
  <c r="BJ594" i="8"/>
  <c r="BJ35" i="8"/>
  <c r="BJ625" i="8"/>
  <c r="BJ519" i="8"/>
  <c r="BJ246" i="8"/>
  <c r="BJ1012" i="8"/>
  <c r="BJ161" i="8"/>
  <c r="BJ555" i="8"/>
  <c r="BJ935" i="8"/>
  <c r="BJ192" i="8"/>
  <c r="BJ780" i="8"/>
  <c r="BJ29" i="8"/>
  <c r="BJ422" i="8"/>
  <c r="BJ808" i="8"/>
  <c r="BJ487" i="8"/>
  <c r="BJ361" i="8"/>
  <c r="BJ1122" i="8"/>
  <c r="BJ647" i="8"/>
  <c r="BJ51" i="8"/>
  <c r="BJ766" i="8"/>
  <c r="BJ887" i="8"/>
  <c r="BJ868" i="8"/>
  <c r="BJ1049" i="8"/>
  <c r="BJ122" i="8"/>
  <c r="BJ318" i="8"/>
  <c r="BJ516" i="8"/>
  <c r="BJ712" i="8"/>
  <c r="BJ896" i="8"/>
  <c r="BJ1078" i="8"/>
  <c r="BJ152" i="8"/>
  <c r="BJ349" i="8"/>
  <c r="BJ546" i="8"/>
  <c r="BJ742" i="8"/>
  <c r="BJ925" i="8"/>
  <c r="BJ1102" i="8"/>
  <c r="BJ184" i="8"/>
  <c r="BJ378" i="8"/>
  <c r="BJ579" i="8"/>
  <c r="BJ770" i="8"/>
  <c r="BJ952" i="8"/>
  <c r="BJ17" i="8"/>
  <c r="BJ216" i="8"/>
  <c r="BJ450" i="8"/>
  <c r="BJ644" i="8"/>
  <c r="BJ876" i="8"/>
  <c r="BJ134" i="8"/>
  <c r="BJ508" i="8"/>
  <c r="BJ873" i="8"/>
  <c r="BJ129" i="8"/>
  <c r="BJ527" i="8"/>
  <c r="BJ918" i="8"/>
  <c r="BJ177" i="8"/>
  <c r="BJ238" i="8"/>
  <c r="BJ733" i="8"/>
  <c r="BJ104" i="8"/>
  <c r="BJ286" i="8"/>
  <c r="BJ773" i="8"/>
  <c r="BJ145" i="8"/>
  <c r="BJ669" i="8"/>
  <c r="BJ93" i="8"/>
  <c r="BJ634" i="8"/>
  <c r="BJ58" i="8"/>
  <c r="BJ1093" i="8"/>
  <c r="BJ1057" i="8"/>
  <c r="BJ245" i="8"/>
  <c r="BJ204" i="8"/>
  <c r="BJ360" i="8"/>
  <c r="BJ796" i="8"/>
  <c r="BJ114" i="8"/>
  <c r="BJ1094" i="8"/>
  <c r="BJ46" i="8"/>
  <c r="BJ294" i="8"/>
  <c r="BJ1056" i="8"/>
  <c r="BJ1120" i="8"/>
  <c r="BJ791" i="8"/>
  <c r="BJ232" i="8"/>
  <c r="BJ820" i="8"/>
  <c r="BJ108" i="8"/>
  <c r="BJ912" i="8"/>
  <c r="BJ1031" i="8"/>
  <c r="BJ1083" i="8"/>
  <c r="BJ359" i="8"/>
  <c r="BJ750" i="8"/>
  <c r="BJ1111" i="8"/>
  <c r="BJ389" i="8"/>
  <c r="BJ963" i="8"/>
  <c r="BJ221" i="8"/>
  <c r="BJ615" i="8"/>
  <c r="BJ987" i="8"/>
  <c r="BJ253" i="8"/>
  <c r="BJ326" i="8"/>
  <c r="BJ978" i="8"/>
  <c r="BJ452" i="8"/>
  <c r="BJ1084" i="8"/>
  <c r="BJ598" i="8"/>
  <c r="BJ739" i="8"/>
  <c r="BJ719" i="8"/>
  <c r="BJ1011" i="8"/>
  <c r="BJ83" i="8"/>
  <c r="BJ279" i="8"/>
  <c r="BJ475" i="8"/>
  <c r="BJ673" i="8"/>
  <c r="BJ859" i="8"/>
  <c r="BJ1039" i="8"/>
  <c r="BJ113" i="8"/>
  <c r="BJ310" i="8"/>
  <c r="BJ506" i="8"/>
  <c r="BJ703" i="8"/>
  <c r="BJ888" i="8"/>
  <c r="BJ1067" i="8"/>
  <c r="BJ143" i="8"/>
  <c r="BJ341" i="8"/>
  <c r="BJ535" i="8"/>
  <c r="BJ735" i="8"/>
  <c r="BJ915" i="8"/>
  <c r="BJ1095" i="8"/>
  <c r="BJ174" i="8"/>
  <c r="BJ408" i="8"/>
  <c r="BJ607" i="8"/>
  <c r="BJ847" i="8"/>
  <c r="BJ100" i="8"/>
  <c r="BJ478" i="8"/>
  <c r="BJ845" i="8"/>
  <c r="BJ98" i="8"/>
  <c r="BJ493" i="8"/>
  <c r="BJ889" i="8"/>
  <c r="BJ147" i="8"/>
  <c r="BJ211" i="8"/>
  <c r="BJ707" i="8"/>
  <c r="BJ78" i="8"/>
  <c r="BJ259" i="8"/>
  <c r="BJ747" i="8"/>
  <c r="BJ119" i="8"/>
  <c r="BJ645" i="8"/>
  <c r="BJ69" i="8"/>
  <c r="BJ610" i="8"/>
  <c r="BJ34" i="8"/>
  <c r="BJ14" i="8"/>
  <c r="BL14" i="8" s="1"/>
  <c r="BJ7" i="8"/>
  <c r="BJ11" i="8"/>
  <c r="BJ5" i="8"/>
  <c r="BJ9" i="8"/>
  <c r="BJ13" i="8"/>
  <c r="BJ12" i="8"/>
  <c r="BK12" i="8" s="1"/>
  <c r="BJ8" i="8"/>
  <c r="BL8" i="8" s="1"/>
  <c r="BJ10" i="8"/>
  <c r="BL10" i="8" s="1"/>
  <c r="BJ6" i="8"/>
  <c r="BL6" i="8" s="1"/>
  <c r="B18" i="3"/>
  <c r="B48" i="3" a="1"/>
  <c r="B48" i="3" s="1"/>
  <c r="A48" i="3" a="1"/>
  <c r="A48" i="3" s="1"/>
  <c r="BL266" i="8" l="1"/>
  <c r="BM266" i="8" s="1"/>
  <c r="BL834" i="8"/>
  <c r="BK795" i="8"/>
  <c r="BK522" i="8"/>
  <c r="BL506" i="8"/>
  <c r="BK506" i="8"/>
  <c r="BK78" i="8"/>
  <c r="BL78" i="8"/>
  <c r="BM78" i="8" s="1"/>
  <c r="BL147" i="8"/>
  <c r="BM147" i="8" s="1"/>
  <c r="BK147" i="8"/>
  <c r="BK1095" i="8"/>
  <c r="BL1095" i="8"/>
  <c r="BK978" i="8"/>
  <c r="BL978" i="8"/>
  <c r="BL796" i="8"/>
  <c r="BM796" i="8" s="1"/>
  <c r="BK796" i="8"/>
  <c r="BK644" i="8"/>
  <c r="BL644" i="8"/>
  <c r="BK766" i="8"/>
  <c r="BL766" i="8"/>
  <c r="BL543" i="8"/>
  <c r="BK543" i="8"/>
  <c r="BK210" i="8"/>
  <c r="BL210" i="8"/>
  <c r="BM210" i="8" s="1"/>
  <c r="BK1025" i="8"/>
  <c r="BL1025" i="8"/>
  <c r="BK882" i="8"/>
  <c r="BL882" i="8"/>
  <c r="BL1022" i="8"/>
  <c r="BK1022" i="8"/>
  <c r="BL374" i="8"/>
  <c r="BK374" i="8"/>
  <c r="BK416" i="8"/>
  <c r="BL416" i="8"/>
  <c r="BK745" i="8"/>
  <c r="BL745" i="8"/>
  <c r="BK367" i="8"/>
  <c r="BL367" i="8"/>
  <c r="BL1112" i="8"/>
  <c r="BK1112" i="8"/>
  <c r="BK727" i="8"/>
  <c r="BL727" i="8"/>
  <c r="BK861" i="8"/>
  <c r="BL861" i="8"/>
  <c r="BK306" i="8"/>
  <c r="BL306" i="8"/>
  <c r="BM306" i="8" s="1"/>
  <c r="BL412" i="8"/>
  <c r="BK412" i="8"/>
  <c r="BL675" i="8"/>
  <c r="BK675" i="8"/>
  <c r="BK218" i="8"/>
  <c r="BL218" i="8"/>
  <c r="BM218" i="8" s="1"/>
  <c r="BK94" i="8"/>
  <c r="BL94" i="8"/>
  <c r="BM94" i="8" s="1"/>
  <c r="BL651" i="8"/>
  <c r="BK651" i="8"/>
  <c r="BK91" i="8"/>
  <c r="BL91" i="8"/>
  <c r="BM91" i="8" s="1"/>
  <c r="BL148" i="8"/>
  <c r="BM148" i="8" s="1"/>
  <c r="BK148" i="8"/>
  <c r="BK41" i="8"/>
  <c r="BL41" i="8"/>
  <c r="BM41" i="8" s="1"/>
  <c r="BK1113" i="8"/>
  <c r="BL1113" i="8"/>
  <c r="BL111" i="8"/>
  <c r="BM111" i="8" s="1"/>
  <c r="BK111" i="8"/>
  <c r="BK652" i="8"/>
  <c r="BL652" i="8"/>
  <c r="BM652" i="8" s="1"/>
  <c r="BL1071" i="8"/>
  <c r="BK1071" i="8"/>
  <c r="BK50" i="8"/>
  <c r="BL50" i="8"/>
  <c r="BM50" i="8" s="1"/>
  <c r="BK190" i="8"/>
  <c r="BL190" i="8"/>
  <c r="BM190" i="8" s="1"/>
  <c r="BK442" i="8"/>
  <c r="BL442" i="8"/>
  <c r="BK62" i="8"/>
  <c r="BL62" i="8"/>
  <c r="BM62" i="8" s="1"/>
  <c r="BK501" i="8"/>
  <c r="BL501" i="8"/>
  <c r="BK851" i="8"/>
  <c r="BL851" i="8"/>
  <c r="BK1101" i="8"/>
  <c r="BL1101" i="8"/>
  <c r="BK505" i="8"/>
  <c r="BL505" i="8"/>
  <c r="BK248" i="8"/>
  <c r="BL248" i="8"/>
  <c r="BM248" i="8" s="1"/>
  <c r="BK573" i="8"/>
  <c r="BL573" i="8"/>
  <c r="BK958" i="8"/>
  <c r="BL958" i="8"/>
  <c r="BK85" i="8"/>
  <c r="BL85" i="8"/>
  <c r="BM85" i="8" s="1"/>
  <c r="BK786" i="8"/>
  <c r="BL786" i="8"/>
  <c r="BK565" i="8"/>
  <c r="BL565" i="8"/>
  <c r="BL915" i="8"/>
  <c r="BK915" i="8"/>
  <c r="BL326" i="8"/>
  <c r="BK326" i="8"/>
  <c r="BK360" i="8"/>
  <c r="BL360" i="8"/>
  <c r="BK450" i="8"/>
  <c r="BL450" i="8"/>
  <c r="BL51" i="8"/>
  <c r="BM51" i="8" s="1"/>
  <c r="BK51" i="8"/>
  <c r="BL241" i="8"/>
  <c r="BM241" i="8" s="1"/>
  <c r="BK241" i="8"/>
  <c r="BK947" i="8"/>
  <c r="BL947" i="8"/>
  <c r="BL844" i="8"/>
  <c r="BK844" i="8"/>
  <c r="BK130" i="8"/>
  <c r="BL130" i="8"/>
  <c r="BM130" i="8" s="1"/>
  <c r="BK694" i="8"/>
  <c r="BL694" i="8"/>
  <c r="BK959" i="8"/>
  <c r="BL959" i="8"/>
  <c r="BM959" i="8" s="1"/>
  <c r="BK175" i="8"/>
  <c r="BL175" i="8"/>
  <c r="BM175" i="8" s="1"/>
  <c r="BK235" i="8"/>
  <c r="BL235" i="8"/>
  <c r="BM235" i="8" s="1"/>
  <c r="BK548" i="8"/>
  <c r="BL548" i="8"/>
  <c r="BK1089" i="8"/>
  <c r="BL1089" i="8"/>
  <c r="BK936" i="8"/>
  <c r="BL936" i="8"/>
  <c r="BL352" i="8"/>
  <c r="BK352" i="8"/>
  <c r="BK354" i="8"/>
  <c r="BL354" i="8"/>
  <c r="BL110" i="8"/>
  <c r="BM110" i="8" s="1"/>
  <c r="BK110" i="8"/>
  <c r="BK37" i="8"/>
  <c r="BL37" i="8"/>
  <c r="BM37" i="8" s="1"/>
  <c r="BK481" i="8"/>
  <c r="BL481" i="8"/>
  <c r="BK19" i="8"/>
  <c r="BL19" i="8"/>
  <c r="BM19" i="8" s="1"/>
  <c r="BK679" i="8"/>
  <c r="BL679" i="8"/>
  <c r="BK455" i="8"/>
  <c r="BL455" i="8"/>
  <c r="BL688" i="8"/>
  <c r="BK688" i="8"/>
  <c r="BL891" i="8"/>
  <c r="BK891" i="8"/>
  <c r="BK972" i="8"/>
  <c r="BL972" i="8"/>
  <c r="BK626" i="8"/>
  <c r="BL626" i="8"/>
  <c r="BK1037" i="8"/>
  <c r="BL1037" i="8"/>
  <c r="BM1037" i="8" s="1"/>
  <c r="BL471" i="8"/>
  <c r="BK471" i="8"/>
  <c r="BK894" i="8"/>
  <c r="BL894" i="8"/>
  <c r="BK678" i="8"/>
  <c r="BL678" i="8"/>
  <c r="BK1109" i="8"/>
  <c r="BL1109" i="8"/>
  <c r="BL1018" i="8"/>
  <c r="BK1018" i="8"/>
  <c r="BK993" i="8"/>
  <c r="BL993" i="8"/>
  <c r="BK1077" i="8"/>
  <c r="BL1077" i="8"/>
  <c r="BL662" i="8"/>
  <c r="BK662" i="8"/>
  <c r="BL616" i="8"/>
  <c r="BK616" i="8"/>
  <c r="BK474" i="8"/>
  <c r="BL474" i="8"/>
  <c r="BK16" i="8"/>
  <c r="BL16" i="8"/>
  <c r="BM16" i="8" s="1"/>
  <c r="BL40" i="8"/>
  <c r="BM40" i="8" s="1"/>
  <c r="BK40" i="8"/>
  <c r="BK779" i="8"/>
  <c r="BL779" i="8"/>
  <c r="BL832" i="8"/>
  <c r="BK832" i="8"/>
  <c r="BK593" i="8"/>
  <c r="BL593" i="8"/>
  <c r="BK371" i="8"/>
  <c r="BL371" i="8"/>
  <c r="BK204" i="8"/>
  <c r="BL204" i="8"/>
  <c r="BM204" i="8" s="1"/>
  <c r="BK216" i="8"/>
  <c r="BL216" i="8"/>
  <c r="BM216" i="8" s="1"/>
  <c r="BK647" i="8"/>
  <c r="BL647" i="8"/>
  <c r="BK622" i="8"/>
  <c r="BL622" i="8"/>
  <c r="BK557" i="8"/>
  <c r="BL557" i="8"/>
  <c r="BK106" i="8"/>
  <c r="BL106" i="8"/>
  <c r="BM106" i="8" s="1"/>
  <c r="BK657" i="8"/>
  <c r="BL657" i="8"/>
  <c r="BL706" i="8"/>
  <c r="BK706" i="8"/>
  <c r="BK500" i="8"/>
  <c r="BL500" i="8"/>
  <c r="BL1096" i="8"/>
  <c r="BM1096" i="8" s="1"/>
  <c r="BK1096" i="8"/>
  <c r="BK864" i="8"/>
  <c r="BL864" i="8"/>
  <c r="BK353" i="8"/>
  <c r="BL353" i="8"/>
  <c r="BM353" i="8" s="1"/>
  <c r="BL714" i="8"/>
  <c r="BK714" i="8"/>
  <c r="BK751" i="8"/>
  <c r="BL751" i="8"/>
  <c r="BK1076" i="8"/>
  <c r="BL1076" i="8"/>
  <c r="BK983" i="8"/>
  <c r="BL983" i="8"/>
  <c r="BL1036" i="8"/>
  <c r="BK1036" i="8"/>
  <c r="BK788" i="8"/>
  <c r="BL788" i="8"/>
  <c r="BK298" i="8"/>
  <c r="BL298" i="8"/>
  <c r="BM298" i="8" s="1"/>
  <c r="BK954" i="8"/>
  <c r="BL954" i="8"/>
  <c r="BK258" i="8"/>
  <c r="BL258" i="8"/>
  <c r="BM258" i="8" s="1"/>
  <c r="BK1086" i="8"/>
  <c r="BL1086" i="8"/>
  <c r="BL507" i="8"/>
  <c r="BM507" i="8" s="1"/>
  <c r="BK507" i="8"/>
  <c r="BK793" i="8"/>
  <c r="BL793" i="8"/>
  <c r="BK445" i="8"/>
  <c r="BL445" i="8"/>
  <c r="BK671" i="8"/>
  <c r="BL671" i="8"/>
  <c r="BL1099" i="8"/>
  <c r="BK1099" i="8"/>
  <c r="BK710" i="8"/>
  <c r="BL710" i="8"/>
  <c r="BL497" i="8"/>
  <c r="BK497" i="8"/>
  <c r="BL928" i="8"/>
  <c r="BK928" i="8"/>
  <c r="BK477" i="8"/>
  <c r="BL477" i="8"/>
  <c r="BK814" i="8"/>
  <c r="BL814" i="8"/>
  <c r="BL590" i="8"/>
  <c r="BK590" i="8"/>
  <c r="BL465" i="8"/>
  <c r="BK465" i="8"/>
  <c r="BK128" i="8"/>
  <c r="BL128" i="8"/>
  <c r="BM128" i="8" s="1"/>
  <c r="BL244" i="8"/>
  <c r="BM244" i="8" s="1"/>
  <c r="BK244" i="8"/>
  <c r="BK951" i="8"/>
  <c r="BL951" i="8"/>
  <c r="BK668" i="8"/>
  <c r="BL668" i="8"/>
  <c r="BL584" i="8"/>
  <c r="BK584" i="8"/>
  <c r="BK431" i="8"/>
  <c r="BL431" i="8"/>
  <c r="BK397" i="8"/>
  <c r="BL397" i="8"/>
  <c r="BK137" i="8"/>
  <c r="BL137" i="8"/>
  <c r="BM137" i="8" s="1"/>
  <c r="BK535" i="8"/>
  <c r="BL535" i="8"/>
  <c r="BL987" i="8"/>
  <c r="BK987" i="8"/>
  <c r="BK245" i="8"/>
  <c r="BL245" i="8"/>
  <c r="BM245" i="8" s="1"/>
  <c r="BK17" i="8"/>
  <c r="BL17" i="8"/>
  <c r="BM17" i="8" s="1"/>
  <c r="BL1122" i="8"/>
  <c r="BK1122" i="8"/>
  <c r="BK1040" i="8"/>
  <c r="BL1040" i="8"/>
  <c r="BK162" i="8"/>
  <c r="BL162" i="8"/>
  <c r="BM162" i="8" s="1"/>
  <c r="BK682" i="8"/>
  <c r="BL682" i="8"/>
  <c r="BK458" i="8"/>
  <c r="BL458" i="8"/>
  <c r="BK165" i="8"/>
  <c r="BL165" i="8"/>
  <c r="BM165" i="8" s="1"/>
  <c r="BK301" i="8"/>
  <c r="BL301" i="8"/>
  <c r="BM301" i="8" s="1"/>
  <c r="BL917" i="8"/>
  <c r="BK917" i="8"/>
  <c r="BK368" i="8"/>
  <c r="BL368" i="8"/>
  <c r="BM368" i="8" s="1"/>
  <c r="BK153" i="8"/>
  <c r="BL153" i="8"/>
  <c r="BM153" i="8" s="1"/>
  <c r="BK319" i="8"/>
  <c r="BL319" i="8"/>
  <c r="BL558" i="8"/>
  <c r="BM558" i="8" s="1"/>
  <c r="BK558" i="8"/>
  <c r="BK910" i="8"/>
  <c r="BL910" i="8"/>
  <c r="BK495" i="8"/>
  <c r="BL495" i="8"/>
  <c r="BL856" i="8"/>
  <c r="BK856" i="8"/>
  <c r="BK414" i="8"/>
  <c r="BL414" i="8"/>
  <c r="BK874" i="8"/>
  <c r="BL874" i="8"/>
  <c r="BK775" i="8"/>
  <c r="BL775" i="8"/>
  <c r="BK61" i="8"/>
  <c r="BL61" i="8"/>
  <c r="BM61" i="8" s="1"/>
  <c r="BK984" i="8"/>
  <c r="BL984" i="8"/>
  <c r="BM984" i="8" s="1"/>
  <c r="BK132" i="8"/>
  <c r="BL132" i="8"/>
  <c r="BM132" i="8" s="1"/>
  <c r="BK596" i="8"/>
  <c r="BL596" i="8"/>
  <c r="BL1073" i="8"/>
  <c r="BK1073" i="8"/>
  <c r="BK472" i="8"/>
  <c r="BL472" i="8"/>
  <c r="BM472" i="8" s="1"/>
  <c r="BL604" i="8"/>
  <c r="BK604" i="8"/>
  <c r="BK513" i="8"/>
  <c r="BL513" i="8"/>
  <c r="BL1126" i="8"/>
  <c r="BK1126" i="8"/>
  <c r="BL748" i="8"/>
  <c r="BK748" i="8"/>
  <c r="BK1053" i="8"/>
  <c r="BL1053" i="8"/>
  <c r="BK623" i="8"/>
  <c r="BL623" i="8"/>
  <c r="BM623" i="8" s="1"/>
  <c r="BK102" i="8"/>
  <c r="BL102" i="8"/>
  <c r="BM102" i="8" s="1"/>
  <c r="BK269" i="8"/>
  <c r="BL269" i="8"/>
  <c r="BM269" i="8" s="1"/>
  <c r="BK757" i="8"/>
  <c r="BL757" i="8"/>
  <c r="BK293" i="8"/>
  <c r="BL293" i="8"/>
  <c r="BM293" i="8" s="1"/>
  <c r="BK769" i="8"/>
  <c r="BL769" i="8"/>
  <c r="BL181" i="8"/>
  <c r="BM181" i="8" s="1"/>
  <c r="BK181" i="8"/>
  <c r="BL388" i="8"/>
  <c r="BK388" i="8"/>
  <c r="BK36" i="8"/>
  <c r="BL36" i="8"/>
  <c r="BM36" i="8" s="1"/>
  <c r="BK200" i="8"/>
  <c r="BL200" i="8"/>
  <c r="BM200" i="8" s="1"/>
  <c r="BK1058" i="8"/>
  <c r="BL1058" i="8"/>
  <c r="BL615" i="8"/>
  <c r="BK615" i="8"/>
  <c r="BK1057" i="8"/>
  <c r="BL1057" i="8"/>
  <c r="BK952" i="8"/>
  <c r="BL952" i="8"/>
  <c r="BM952" i="8" s="1"/>
  <c r="BK361" i="8"/>
  <c r="BL361" i="8"/>
  <c r="BM361" i="8" s="1"/>
  <c r="BK87" i="8"/>
  <c r="BL87" i="8"/>
  <c r="BM87" i="8" s="1"/>
  <c r="BL902" i="8"/>
  <c r="BK902" i="8"/>
  <c r="BK141" i="8"/>
  <c r="BL141" i="8"/>
  <c r="BM141" i="8" s="1"/>
  <c r="BK265" i="8"/>
  <c r="BL265" i="8"/>
  <c r="BM265" i="8" s="1"/>
  <c r="BK741" i="8"/>
  <c r="BL741" i="8"/>
  <c r="BK109" i="8"/>
  <c r="BL109" i="8"/>
  <c r="BM109" i="8" s="1"/>
  <c r="BK154" i="8"/>
  <c r="BL154" i="8"/>
  <c r="BM154" i="8" s="1"/>
  <c r="BK736" i="8"/>
  <c r="BL736" i="8"/>
  <c r="BK335" i="8"/>
  <c r="BL335" i="8"/>
  <c r="BK1079" i="8"/>
  <c r="BL1079" i="8"/>
  <c r="BK1045" i="8"/>
  <c r="BL1045" i="8"/>
  <c r="BK869" i="8"/>
  <c r="BL869" i="8"/>
  <c r="BL724" i="8"/>
  <c r="BK724" i="8"/>
  <c r="BK314" i="8"/>
  <c r="BL314" i="8"/>
  <c r="BK670" i="8"/>
  <c r="BL670" i="8"/>
  <c r="BK48" i="8"/>
  <c r="BL48" i="8"/>
  <c r="BM48" i="8" s="1"/>
  <c r="BK333" i="8"/>
  <c r="BL333" i="8"/>
  <c r="BK581" i="8"/>
  <c r="BL581" i="8"/>
  <c r="BK322" i="8"/>
  <c r="BL322" i="8"/>
  <c r="BK992" i="8"/>
  <c r="BL992" i="8"/>
  <c r="BK1128" i="8"/>
  <c r="BL1128" i="8"/>
  <c r="BK875" i="8"/>
  <c r="BL875" i="8"/>
  <c r="BM875" i="8" s="1"/>
  <c r="BK403" i="8"/>
  <c r="BL403" i="8"/>
  <c r="BM404" i="8" s="1"/>
  <c r="BK578" i="8"/>
  <c r="BL578" i="8"/>
  <c r="BM578" i="8" s="1"/>
  <c r="BK277" i="8"/>
  <c r="BL277" i="8"/>
  <c r="BM277" i="8" s="1"/>
  <c r="BK618" i="8"/>
  <c r="BL618" i="8"/>
  <c r="BL315" i="8"/>
  <c r="BK315" i="8"/>
  <c r="BK630" i="8"/>
  <c r="BL630" i="8"/>
  <c r="BK553" i="8"/>
  <c r="BL553" i="8"/>
  <c r="BK564" i="8"/>
  <c r="BL564" i="8"/>
  <c r="BM564" i="8" s="1"/>
  <c r="BL426" i="8"/>
  <c r="BK426" i="8"/>
  <c r="BK731" i="8"/>
  <c r="BL731" i="8"/>
  <c r="BK73" i="8"/>
  <c r="BL73" i="8"/>
  <c r="BM73" i="8" s="1"/>
  <c r="BL576" i="8"/>
  <c r="BK576" i="8"/>
  <c r="BL577" i="8"/>
  <c r="BM577" i="8" s="1"/>
  <c r="BK577" i="8"/>
  <c r="BK809" i="8"/>
  <c r="BL809" i="8"/>
  <c r="BK191" i="8"/>
  <c r="BL191" i="8"/>
  <c r="BM191" i="8" s="1"/>
  <c r="BK787" i="8"/>
  <c r="BL787" i="8"/>
  <c r="BM787" i="8" s="1"/>
  <c r="BK1117" i="8"/>
  <c r="BL1117" i="8"/>
  <c r="BK881" i="8"/>
  <c r="BL881" i="8"/>
  <c r="BK341" i="8"/>
  <c r="BL341" i="8"/>
  <c r="BK69" i="8"/>
  <c r="BL69" i="8"/>
  <c r="BM69" i="8" s="1"/>
  <c r="BK1093" i="8"/>
  <c r="BL1093" i="8"/>
  <c r="BK487" i="8"/>
  <c r="BL487" i="8"/>
  <c r="BK725" i="8"/>
  <c r="BL725" i="8"/>
  <c r="BM725" i="8" s="1"/>
  <c r="BK540" i="8"/>
  <c r="BL540" i="8"/>
  <c r="BK717" i="8"/>
  <c r="BL717" i="8"/>
  <c r="BK65" i="8"/>
  <c r="BL65" i="8"/>
  <c r="BM65" i="8" s="1"/>
  <c r="BK223" i="8"/>
  <c r="BL223" i="8"/>
  <c r="BM223" i="8" s="1"/>
  <c r="BK1034" i="8"/>
  <c r="BL1034" i="8"/>
  <c r="BK730" i="8"/>
  <c r="BL730" i="8"/>
  <c r="BK536" i="8"/>
  <c r="BL536" i="8"/>
  <c r="BM536" i="8" s="1"/>
  <c r="BL1060" i="8"/>
  <c r="BK1060" i="8"/>
  <c r="BK897" i="8"/>
  <c r="BL897" i="8"/>
  <c r="BK697" i="8"/>
  <c r="BL697" i="8"/>
  <c r="BK56" i="8"/>
  <c r="BL56" i="8"/>
  <c r="BM56" i="8" s="1"/>
  <c r="BL491" i="8"/>
  <c r="BK491" i="8"/>
  <c r="BL942" i="8"/>
  <c r="BK942" i="8"/>
  <c r="BL470" i="8"/>
  <c r="BK470" i="8"/>
  <c r="BL980" i="8"/>
  <c r="BK980" i="8"/>
  <c r="BK909" i="8"/>
  <c r="BL909" i="8"/>
  <c r="BK386" i="8"/>
  <c r="BL386" i="8"/>
  <c r="BL898" i="8"/>
  <c r="BK898" i="8"/>
  <c r="BK812" i="8"/>
  <c r="BL812" i="8"/>
  <c r="BL1068" i="8"/>
  <c r="BK1068" i="8"/>
  <c r="BK509" i="8"/>
  <c r="BL509" i="8"/>
  <c r="BK870" i="8"/>
  <c r="BL870" i="8"/>
  <c r="BM870" i="8" s="1"/>
  <c r="BK587" i="8"/>
  <c r="BL587" i="8"/>
  <c r="BK79" i="8"/>
  <c r="BL79" i="8"/>
  <c r="BM79" i="8" s="1"/>
  <c r="BK212" i="8"/>
  <c r="BL212" i="8"/>
  <c r="BM212" i="8" s="1"/>
  <c r="BK120" i="8"/>
  <c r="BL120" i="8"/>
  <c r="BM120" i="8" s="1"/>
  <c r="BK649" i="8"/>
  <c r="BL649" i="8"/>
  <c r="BK356" i="8"/>
  <c r="BL356" i="8"/>
  <c r="BK76" i="8"/>
  <c r="BL76" i="8"/>
  <c r="BM76" i="8" s="1"/>
  <c r="BL230" i="8"/>
  <c r="BM230" i="8" s="1"/>
  <c r="BK230" i="8"/>
  <c r="BL550" i="8"/>
  <c r="BK550" i="8"/>
  <c r="BK1001" i="8"/>
  <c r="BL1001" i="8"/>
  <c r="BK80" i="8"/>
  <c r="BL80" i="8"/>
  <c r="BM80" i="8" s="1"/>
  <c r="BK377" i="8"/>
  <c r="BL377" i="8"/>
  <c r="BL628" i="8"/>
  <c r="BK628" i="8"/>
  <c r="BK1110" i="8"/>
  <c r="BL1110" i="8"/>
  <c r="BM1110" i="8" s="1"/>
  <c r="BK413" i="8"/>
  <c r="BL413" i="8"/>
  <c r="BM413" i="8" s="1"/>
  <c r="BL939" i="8"/>
  <c r="BK939" i="8"/>
  <c r="BK692" i="8"/>
  <c r="BL692" i="8"/>
  <c r="BL610" i="8"/>
  <c r="BK610" i="8"/>
  <c r="BK143" i="8"/>
  <c r="BL143" i="8"/>
  <c r="BM143" i="8" s="1"/>
  <c r="BK221" i="8"/>
  <c r="BL221" i="8"/>
  <c r="BM221" i="8" s="1"/>
  <c r="BK770" i="8"/>
  <c r="BL770" i="8"/>
  <c r="BM770" i="8" s="1"/>
  <c r="BK645" i="8"/>
  <c r="BL645" i="8"/>
  <c r="BM645" i="8" s="1"/>
  <c r="BL1067" i="8"/>
  <c r="BK1067" i="8"/>
  <c r="BL963" i="8"/>
  <c r="BK963" i="8"/>
  <c r="BK58" i="8"/>
  <c r="BL58" i="8"/>
  <c r="BM58" i="8" s="1"/>
  <c r="BL579" i="8"/>
  <c r="BK579" i="8"/>
  <c r="BK808" i="8"/>
  <c r="BL808" i="8"/>
  <c r="BK835" i="8"/>
  <c r="BL835" i="8"/>
  <c r="BM835" i="8" s="1"/>
  <c r="BK164" i="8"/>
  <c r="BL164" i="8"/>
  <c r="BM164" i="8" s="1"/>
  <c r="BK197" i="8"/>
  <c r="BL197" i="8"/>
  <c r="BM197" i="8" s="1"/>
  <c r="BL998" i="8"/>
  <c r="BK998" i="8"/>
  <c r="BK852" i="8"/>
  <c r="BL852" i="8"/>
  <c r="BM852" i="8" s="1"/>
  <c r="BL855" i="8"/>
  <c r="BK855" i="8"/>
  <c r="BK189" i="8"/>
  <c r="BL189" i="8"/>
  <c r="BM189" i="8" s="1"/>
  <c r="BK343" i="8"/>
  <c r="BL343" i="8"/>
  <c r="BK684" i="8"/>
  <c r="BL684" i="8"/>
  <c r="BK715" i="8"/>
  <c r="BL715" i="8"/>
  <c r="BM715" i="8" s="1"/>
  <c r="BK321" i="8"/>
  <c r="BL321" i="8"/>
  <c r="BK438" i="8"/>
  <c r="BL438" i="8"/>
  <c r="BK296" i="8"/>
  <c r="BL296" i="8"/>
  <c r="BM296" i="8" s="1"/>
  <c r="BK447" i="8"/>
  <c r="BL447" i="8"/>
  <c r="BK275" i="8"/>
  <c r="BL275" i="8"/>
  <c r="BM275" i="8" s="1"/>
  <c r="BK800" i="8"/>
  <c r="BL800" i="8"/>
  <c r="BK407" i="8"/>
  <c r="BL407" i="8"/>
  <c r="BK188" i="8"/>
  <c r="BL188" i="8"/>
  <c r="BM188" i="8" s="1"/>
  <c r="BK357" i="8"/>
  <c r="BL357" i="8"/>
  <c r="BM357" i="8" s="1"/>
  <c r="BK620" i="8"/>
  <c r="BL620" i="8"/>
  <c r="BK1121" i="8"/>
  <c r="BL1121" i="8"/>
  <c r="BK169" i="8"/>
  <c r="BL169" i="8"/>
  <c r="BM169" i="8" s="1"/>
  <c r="BK907" i="8"/>
  <c r="BL907" i="8"/>
  <c r="BK179" i="8"/>
  <c r="BL179" i="8"/>
  <c r="BM179" i="8" s="1"/>
  <c r="BK829" i="8"/>
  <c r="BL829" i="8"/>
  <c r="BK948" i="8"/>
  <c r="BL948" i="8"/>
  <c r="BM948" i="8" s="1"/>
  <c r="BK1043" i="8"/>
  <c r="BL1043" i="8"/>
  <c r="BL243" i="8"/>
  <c r="BM243" i="8" s="1"/>
  <c r="BK243" i="8"/>
  <c r="BK158" i="8"/>
  <c r="BL158" i="8"/>
  <c r="BM158" i="8" s="1"/>
  <c r="BK704" i="8"/>
  <c r="BL704" i="8"/>
  <c r="BM704" i="8" s="1"/>
  <c r="BK32" i="8"/>
  <c r="BL32" i="8"/>
  <c r="BM32" i="8" s="1"/>
  <c r="BK54" i="8"/>
  <c r="BL54" i="8"/>
  <c r="BM54" i="8" s="1"/>
  <c r="BK823" i="8"/>
  <c r="BL823" i="8"/>
  <c r="BK709" i="8"/>
  <c r="BL709" i="8"/>
  <c r="BK514" i="8"/>
  <c r="BL514" i="8"/>
  <c r="BM514" i="8" s="1"/>
  <c r="BL182" i="8"/>
  <c r="BM182" i="8" s="1"/>
  <c r="BK182" i="8"/>
  <c r="BK133" i="8"/>
  <c r="BL133" i="8"/>
  <c r="BM133" i="8" s="1"/>
  <c r="BK929" i="8"/>
  <c r="BL929" i="8"/>
  <c r="BM929" i="8" s="1"/>
  <c r="BK38" i="8"/>
  <c r="BL38" i="8"/>
  <c r="BM38" i="8" s="1"/>
  <c r="BK330" i="8"/>
  <c r="BL330" i="8"/>
  <c r="BK498" i="8"/>
  <c r="BL498" i="8"/>
  <c r="BM498" i="8" s="1"/>
  <c r="BL389" i="8"/>
  <c r="BM389" i="8" s="1"/>
  <c r="BK389" i="8"/>
  <c r="BK422" i="8"/>
  <c r="BL422" i="8"/>
  <c r="BK905" i="8"/>
  <c r="BL905" i="8"/>
  <c r="BK825" i="8"/>
  <c r="BL825" i="8"/>
  <c r="BK428" i="8"/>
  <c r="BL428" i="8"/>
  <c r="BL364" i="8"/>
  <c r="BK364" i="8"/>
  <c r="BK667" i="8"/>
  <c r="BL667" i="8"/>
  <c r="BK765" i="8"/>
  <c r="BL765" i="8"/>
  <c r="BK146" i="8"/>
  <c r="BL146" i="8"/>
  <c r="BM146" i="8" s="1"/>
  <c r="BK287" i="8"/>
  <c r="BL287" i="8"/>
  <c r="BM287" i="8" s="1"/>
  <c r="BK517" i="8"/>
  <c r="BL517" i="8"/>
  <c r="BL1048" i="8"/>
  <c r="BK1048" i="8"/>
  <c r="BL303" i="8"/>
  <c r="BM303" i="8" s="1"/>
  <c r="BK303" i="8"/>
  <c r="BK97" i="8"/>
  <c r="BL97" i="8"/>
  <c r="BM97" i="8" s="1"/>
  <c r="BK430" i="8"/>
  <c r="BL430" i="8"/>
  <c r="BK77" i="8"/>
  <c r="BL77" i="8"/>
  <c r="BM77" i="8" s="1"/>
  <c r="BK572" i="8"/>
  <c r="BL572" i="8"/>
  <c r="BL1035" i="8"/>
  <c r="BK1035" i="8"/>
  <c r="BL1108" i="8"/>
  <c r="BK1108" i="8"/>
  <c r="BK933" i="8"/>
  <c r="BL933" i="8"/>
  <c r="BK425" i="8"/>
  <c r="BL425" i="8"/>
  <c r="BK308" i="8"/>
  <c r="BL308" i="8"/>
  <c r="BM308" i="8" s="1"/>
  <c r="BK1088" i="8"/>
  <c r="BL1088" i="8"/>
  <c r="BK410" i="8"/>
  <c r="BL410" i="8"/>
  <c r="BK919" i="8"/>
  <c r="BL919" i="8"/>
  <c r="BL639" i="8"/>
  <c r="BK639" i="8"/>
  <c r="BK569" i="8"/>
  <c r="BL569" i="8"/>
  <c r="BK866" i="8"/>
  <c r="BL866" i="8"/>
  <c r="BK976" i="8"/>
  <c r="BL976" i="8"/>
  <c r="BK1081" i="8"/>
  <c r="BL1081" i="8"/>
  <c r="BK523" i="8"/>
  <c r="BL523" i="8"/>
  <c r="BM523" i="8" s="1"/>
  <c r="BK966" i="8"/>
  <c r="BL966" i="8"/>
  <c r="BK683" i="8"/>
  <c r="BL683" i="8"/>
  <c r="BM683" i="8" s="1"/>
  <c r="BK631" i="8"/>
  <c r="BL631" i="8"/>
  <c r="BM631" i="8" s="1"/>
  <c r="BK743" i="8"/>
  <c r="BL743" i="8"/>
  <c r="BK1090" i="8"/>
  <c r="BL1090" i="8"/>
  <c r="BM1090" i="8" s="1"/>
  <c r="BL1100" i="8"/>
  <c r="BM1100" i="8" s="1"/>
  <c r="BK1100" i="8"/>
  <c r="BK53" i="8"/>
  <c r="BL53" i="8"/>
  <c r="BM53" i="8" s="1"/>
  <c r="BK749" i="8"/>
  <c r="BL749" i="8"/>
  <c r="BM749" i="8" s="1"/>
  <c r="BK790" i="8"/>
  <c r="BL790" i="8"/>
  <c r="BK586" i="8"/>
  <c r="BL586" i="8"/>
  <c r="BK300" i="8"/>
  <c r="BL300" i="8"/>
  <c r="BM300" i="8" s="1"/>
  <c r="BK378" i="8"/>
  <c r="BL378" i="8"/>
  <c r="BM378" i="8" s="1"/>
  <c r="BK167" i="8"/>
  <c r="BL167" i="8"/>
  <c r="BM167" i="8" s="1"/>
  <c r="BL747" i="8"/>
  <c r="BK747" i="8"/>
  <c r="BL703" i="8"/>
  <c r="BK703" i="8"/>
  <c r="BK1111" i="8"/>
  <c r="BL1111" i="8"/>
  <c r="BM1111" i="8" s="1"/>
  <c r="BK93" i="8"/>
  <c r="BL93" i="8"/>
  <c r="BM93" i="8" s="1"/>
  <c r="BK184" i="8"/>
  <c r="BL184" i="8"/>
  <c r="BM184" i="8" s="1"/>
  <c r="BK29" i="8"/>
  <c r="BL29" i="8"/>
  <c r="BM29" i="8" s="1"/>
  <c r="BK463" i="8"/>
  <c r="BL463" i="8"/>
  <c r="BK686" i="8"/>
  <c r="BL686" i="8"/>
  <c r="BK338" i="8"/>
  <c r="BL338" i="8"/>
  <c r="BK969" i="8"/>
  <c r="BL969" i="8"/>
  <c r="BK183" i="8"/>
  <c r="BL183" i="8"/>
  <c r="BM183" i="8" s="1"/>
  <c r="BK468" i="8"/>
  <c r="BL468" i="8"/>
  <c r="BK249" i="8"/>
  <c r="BL249" i="8"/>
  <c r="BM249" i="8" s="1"/>
  <c r="BK1069" i="8"/>
  <c r="BL1069" i="8"/>
  <c r="BM1069" i="8" s="1"/>
  <c r="BK1016" i="8"/>
  <c r="BL1016" i="8"/>
  <c r="BK323" i="8"/>
  <c r="BL323" i="8"/>
  <c r="BM323" i="8" s="1"/>
  <c r="BK871" i="8"/>
  <c r="BL871" i="8"/>
  <c r="BM871" i="8" s="1"/>
  <c r="BK84" i="8"/>
  <c r="BL84" i="8"/>
  <c r="BM84" i="8" s="1"/>
  <c r="BK1026" i="8"/>
  <c r="BL1026" i="8"/>
  <c r="BM1026" i="8" s="1"/>
  <c r="BK22" i="8"/>
  <c r="BL22" i="8"/>
  <c r="BM22" i="8" s="1"/>
  <c r="BK1007" i="8"/>
  <c r="BL1007" i="8"/>
  <c r="BM1007" i="8" s="1"/>
  <c r="BL375" i="8"/>
  <c r="BM375" i="8" s="1"/>
  <c r="BK375" i="8"/>
  <c r="BK547" i="8"/>
  <c r="BL547" i="8"/>
  <c r="BL927" i="8"/>
  <c r="BK927" i="8"/>
  <c r="BK433" i="8"/>
  <c r="BL433" i="8"/>
  <c r="BK229" i="8"/>
  <c r="BL229" i="8"/>
  <c r="BM229" i="8" s="1"/>
  <c r="BK81" i="8"/>
  <c r="BL81" i="8"/>
  <c r="BM81" i="8" s="1"/>
  <c r="BL911" i="8"/>
  <c r="BM911" i="8" s="1"/>
  <c r="BK911" i="8"/>
  <c r="BK943" i="8"/>
  <c r="BL943" i="8"/>
  <c r="BM943" i="8" s="1"/>
  <c r="BK539" i="8"/>
  <c r="BL539" i="8"/>
  <c r="BL1014" i="8"/>
  <c r="BM1014" i="8" s="1"/>
  <c r="BK1014" i="8"/>
  <c r="BK194" i="8"/>
  <c r="BL194" i="8"/>
  <c r="BM194" i="8" s="1"/>
  <c r="BL676" i="8"/>
  <c r="BM676" i="8" s="1"/>
  <c r="BK676" i="8"/>
  <c r="BK601" i="8"/>
  <c r="BL601" i="8"/>
  <c r="BK900" i="8"/>
  <c r="BL900" i="8"/>
  <c r="BK28" i="8"/>
  <c r="BL28" i="8"/>
  <c r="BM28" i="8" s="1"/>
  <c r="BL784" i="8"/>
  <c r="BK784" i="8"/>
  <c r="BK713" i="8"/>
  <c r="BL713" i="8"/>
  <c r="BL435" i="8"/>
  <c r="BK435" i="8"/>
  <c r="BK336" i="8"/>
  <c r="BL336" i="8"/>
  <c r="BM336" i="8" s="1"/>
  <c r="BK549" i="8"/>
  <c r="BL549" i="8"/>
  <c r="BM549" i="8" s="1"/>
  <c r="BK923" i="8"/>
  <c r="BL923" i="8"/>
  <c r="BK803" i="8"/>
  <c r="BL803" i="8"/>
  <c r="BK554" i="8"/>
  <c r="BL554" i="8"/>
  <c r="BM554" i="8" s="1"/>
  <c r="BK528" i="8"/>
  <c r="BL528" i="8"/>
  <c r="BK45" i="8"/>
  <c r="BL45" i="8"/>
  <c r="BM45" i="8" s="1"/>
  <c r="BK105" i="8"/>
  <c r="BL105" i="8"/>
  <c r="BM105" i="8" s="1"/>
  <c r="BK669" i="8"/>
  <c r="BL669" i="8"/>
  <c r="BM669" i="8" s="1"/>
  <c r="BK1102" i="8"/>
  <c r="BL1102" i="8"/>
  <c r="BM1102" i="8" s="1"/>
  <c r="BK780" i="8"/>
  <c r="BL780" i="8"/>
  <c r="BM780" i="8" s="1"/>
  <c r="BL1013" i="8"/>
  <c r="BK1013" i="8"/>
  <c r="BK59" i="8"/>
  <c r="BL59" i="8"/>
  <c r="BM59" i="8" s="1"/>
  <c r="BK157" i="8"/>
  <c r="BL157" i="8"/>
  <c r="BM157" i="8" s="1"/>
  <c r="BL398" i="8"/>
  <c r="BM398" i="8" s="1"/>
  <c r="BK398" i="8"/>
  <c r="BL811" i="8"/>
  <c r="BK811" i="8"/>
  <c r="BK271" i="8"/>
  <c r="BL271" i="8"/>
  <c r="BM271" i="8" s="1"/>
  <c r="BL878" i="8"/>
  <c r="BK878" i="8"/>
  <c r="BL892" i="8"/>
  <c r="BM892" i="8" s="1"/>
  <c r="BK892" i="8"/>
  <c r="BK665" i="8"/>
  <c r="BL665" i="8"/>
  <c r="BL281" i="8"/>
  <c r="BM281" i="8" s="1"/>
  <c r="BK281" i="8"/>
  <c r="BK687" i="8"/>
  <c r="BL687" i="8"/>
  <c r="BM687" i="8" s="1"/>
  <c r="BK226" i="8"/>
  <c r="BL226" i="8"/>
  <c r="BM226" i="8" s="1"/>
  <c r="BK848" i="8"/>
  <c r="BL848" i="8"/>
  <c r="BK774" i="8"/>
  <c r="BL774" i="8"/>
  <c r="BK828" i="8"/>
  <c r="BL828" i="8"/>
  <c r="BK176" i="8"/>
  <c r="BL176" i="8"/>
  <c r="BM176" i="8" s="1"/>
  <c r="BK366" i="8"/>
  <c r="BL366" i="8"/>
  <c r="BK746" i="8"/>
  <c r="BL746" i="8"/>
  <c r="BM746" i="8" s="1"/>
  <c r="BL1061" i="8"/>
  <c r="BM1061" i="8" s="1"/>
  <c r="BK1061" i="8"/>
  <c r="BK31" i="8"/>
  <c r="BL31" i="8"/>
  <c r="BM31" i="8" s="1"/>
  <c r="BK689" i="8"/>
  <c r="BL689" i="8"/>
  <c r="BM689" i="8" s="1"/>
  <c r="BK690" i="8"/>
  <c r="BL690" i="8"/>
  <c r="BM690" i="8" s="1"/>
  <c r="BK283" i="8"/>
  <c r="BL283" i="8"/>
  <c r="BM283" i="8" s="1"/>
  <c r="BK163" i="8"/>
  <c r="BL163" i="8"/>
  <c r="BM163" i="8" s="1"/>
  <c r="BK1051" i="8"/>
  <c r="BL1051" i="8"/>
  <c r="BK932" i="8"/>
  <c r="BL932" i="8"/>
  <c r="BL483" i="8"/>
  <c r="BK483" i="8"/>
  <c r="BK225" i="8"/>
  <c r="BL225" i="8"/>
  <c r="BM225" i="8" s="1"/>
  <c r="BK718" i="8"/>
  <c r="BL718" i="8"/>
  <c r="BM718" i="8" s="1"/>
  <c r="BK656" i="8"/>
  <c r="BL656" i="8"/>
  <c r="BL592" i="8"/>
  <c r="BK592" i="8"/>
  <c r="BK305" i="8"/>
  <c r="BL305" i="8"/>
  <c r="BM305" i="8" s="1"/>
  <c r="BK239" i="8"/>
  <c r="BL239" i="8"/>
  <c r="BM239" i="8" s="1"/>
  <c r="BL1062" i="8"/>
  <c r="BM1062" i="8" s="1"/>
  <c r="BK1062" i="8"/>
  <c r="BK1125" i="8"/>
  <c r="BL1125" i="8"/>
  <c r="BM1125" i="8" s="1"/>
  <c r="BK740" i="8"/>
  <c r="BL740" i="8"/>
  <c r="BK400" i="8"/>
  <c r="BL400" i="8"/>
  <c r="BK358" i="8"/>
  <c r="BL358" i="8"/>
  <c r="BM358" i="8" s="1"/>
  <c r="BK329" i="8"/>
  <c r="BL329" i="8"/>
  <c r="BK621" i="8"/>
  <c r="BL621" i="8"/>
  <c r="BM621" i="8" s="1"/>
  <c r="BK1030" i="8"/>
  <c r="BL1030" i="8"/>
  <c r="BK735" i="8"/>
  <c r="BL735" i="8"/>
  <c r="BK34" i="8"/>
  <c r="BL34" i="8"/>
  <c r="BM34" i="8" s="1"/>
  <c r="BK310" i="8"/>
  <c r="BL310" i="8"/>
  <c r="BM310" i="8" s="1"/>
  <c r="BK925" i="8"/>
  <c r="BL925" i="8"/>
  <c r="BK192" i="8"/>
  <c r="BL192" i="8"/>
  <c r="BM192" i="8" s="1"/>
  <c r="BK648" i="8"/>
  <c r="BL648" i="8"/>
  <c r="BM648" i="8" s="1"/>
  <c r="BK585" i="8"/>
  <c r="BL585" i="8"/>
  <c r="BM585" i="8" s="1"/>
  <c r="BK785" i="8"/>
  <c r="BL785" i="8"/>
  <c r="BM785" i="8" s="1"/>
  <c r="BK439" i="8"/>
  <c r="BL439" i="8"/>
  <c r="BM439" i="8" s="1"/>
  <c r="BL316" i="8"/>
  <c r="BM316" i="8" s="1"/>
  <c r="BK316" i="8"/>
  <c r="BK75" i="8"/>
  <c r="BL75" i="8"/>
  <c r="BM75" i="8" s="1"/>
  <c r="BK390" i="8"/>
  <c r="BL390" i="8"/>
  <c r="BM390" i="8" s="1"/>
  <c r="BK705" i="8"/>
  <c r="BL705" i="8"/>
  <c r="BM705" i="8" s="1"/>
  <c r="BL291" i="8"/>
  <c r="BM291" i="8" s="1"/>
  <c r="BK291" i="8"/>
  <c r="BK792" i="8"/>
  <c r="BL792" i="8"/>
  <c r="BL454" i="8"/>
  <c r="BK454" i="8"/>
  <c r="BK802" i="8"/>
  <c r="BL802" i="8"/>
  <c r="BK659" i="8"/>
  <c r="BL659" i="8"/>
  <c r="BK382" i="8"/>
  <c r="BL382" i="8"/>
  <c r="BK203" i="8"/>
  <c r="BL203" i="8"/>
  <c r="BM203" i="8" s="1"/>
  <c r="BL1097" i="8"/>
  <c r="BM1097" i="8" s="1"/>
  <c r="BK1097" i="8"/>
  <c r="BK995" i="8"/>
  <c r="BL995" i="8"/>
  <c r="BL551" i="8"/>
  <c r="BM551" i="8" s="1"/>
  <c r="BK551" i="8"/>
  <c r="BK574" i="8"/>
  <c r="BL574" i="8"/>
  <c r="BM574" i="8" s="1"/>
  <c r="BK965" i="8"/>
  <c r="BL965" i="8"/>
  <c r="BK841" i="8"/>
  <c r="BL841" i="8"/>
  <c r="BK494" i="8"/>
  <c r="BL494" i="8"/>
  <c r="BM494" i="8" s="1"/>
  <c r="BK840" i="8"/>
  <c r="BL840" i="8"/>
  <c r="BL903" i="8"/>
  <c r="BM903" i="8" s="1"/>
  <c r="BK903" i="8"/>
  <c r="BK482" i="8"/>
  <c r="BL482" i="8"/>
  <c r="BM482" i="8" s="1"/>
  <c r="BK571" i="8"/>
  <c r="BL571" i="8"/>
  <c r="BL172" i="8"/>
  <c r="BM172" i="8" s="1"/>
  <c r="BK172" i="8"/>
  <c r="BK961" i="8"/>
  <c r="BL961" i="8"/>
  <c r="BK520" i="8"/>
  <c r="BL520" i="8"/>
  <c r="BL681" i="8"/>
  <c r="BK681" i="8"/>
  <c r="BK396" i="8"/>
  <c r="BL396" i="8"/>
  <c r="BK1033" i="8"/>
  <c r="BL1033" i="8"/>
  <c r="BK42" i="8"/>
  <c r="BL42" i="8"/>
  <c r="BM42" i="8" s="1"/>
  <c r="BK696" i="8"/>
  <c r="BL696" i="8"/>
  <c r="BK642" i="8"/>
  <c r="BL642" i="8"/>
  <c r="BK545" i="8"/>
  <c r="BL545" i="8"/>
  <c r="BL1119" i="8"/>
  <c r="BK1119" i="8"/>
  <c r="BK160" i="8"/>
  <c r="BL160" i="8"/>
  <c r="BM160" i="8" s="1"/>
  <c r="BK95" i="8"/>
  <c r="BL95" i="8"/>
  <c r="BM95" i="8" s="1"/>
  <c r="BK92" i="8"/>
  <c r="BL92" i="8"/>
  <c r="BM92" i="8" s="1"/>
  <c r="BL854" i="8"/>
  <c r="BK854" i="8"/>
  <c r="BK888" i="8"/>
  <c r="BL888" i="8"/>
  <c r="BK359" i="8"/>
  <c r="BL359" i="8"/>
  <c r="BM359" i="8" s="1"/>
  <c r="BK145" i="8"/>
  <c r="BL145" i="8"/>
  <c r="BM145" i="8" s="1"/>
  <c r="BL707" i="8"/>
  <c r="BM707" i="8" s="1"/>
  <c r="BK707" i="8"/>
  <c r="BK113" i="8"/>
  <c r="BL113" i="8"/>
  <c r="BM113" i="8" s="1"/>
  <c r="BL1083" i="8"/>
  <c r="BK1083" i="8"/>
  <c r="BK773" i="8"/>
  <c r="BL773" i="8"/>
  <c r="BM773" i="8" s="1"/>
  <c r="BK742" i="8"/>
  <c r="BL742" i="8"/>
  <c r="BM742" i="8" s="1"/>
  <c r="BK935" i="8"/>
  <c r="BL935" i="8"/>
  <c r="BK166" i="8"/>
  <c r="BL166" i="8"/>
  <c r="BM166" i="8" s="1"/>
  <c r="BL805" i="8"/>
  <c r="BK805" i="8"/>
  <c r="BK290" i="8"/>
  <c r="BL290" i="8"/>
  <c r="BM290" i="8" s="1"/>
  <c r="BL27" i="8"/>
  <c r="BM27" i="8" s="1"/>
  <c r="BK27" i="8"/>
  <c r="BK272" i="8"/>
  <c r="BL272" i="8"/>
  <c r="BM272" i="8" s="1"/>
  <c r="BL1006" i="8"/>
  <c r="BK1006" i="8"/>
  <c r="BK209" i="8"/>
  <c r="BL209" i="8"/>
  <c r="BM209" i="8" s="1"/>
  <c r="BK510" i="8"/>
  <c r="BL510" i="8"/>
  <c r="BM510" i="8" s="1"/>
  <c r="BL1019" i="8"/>
  <c r="BM1019" i="8" s="1"/>
  <c r="BK1019" i="8"/>
  <c r="BL1123" i="8"/>
  <c r="BM1123" i="8" s="1"/>
  <c r="BK1123" i="8"/>
  <c r="BL254" i="8"/>
  <c r="BM254" i="8" s="1"/>
  <c r="BK254" i="8"/>
  <c r="BK261" i="8"/>
  <c r="BL261" i="8"/>
  <c r="BM261" i="8" s="1"/>
  <c r="BL460" i="8"/>
  <c r="BK460" i="8"/>
  <c r="BK1103" i="8"/>
  <c r="BL1103" i="8"/>
  <c r="BM1103" i="8" s="1"/>
  <c r="BL274" i="8"/>
  <c r="BM274" i="8" s="1"/>
  <c r="BK274" i="8"/>
  <c r="BK920" i="8"/>
  <c r="BL920" i="8"/>
  <c r="BM920" i="8" s="1"/>
  <c r="BK499" i="8"/>
  <c r="BL499" i="8"/>
  <c r="BM499" i="8" s="1"/>
  <c r="BK355" i="8"/>
  <c r="BL355" i="8"/>
  <c r="BM355" i="8" s="1"/>
  <c r="BK392" i="8"/>
  <c r="BL392" i="8"/>
  <c r="BK782" i="8"/>
  <c r="BL782" i="8"/>
  <c r="BK297" i="8"/>
  <c r="BL297" i="8"/>
  <c r="BM297" i="8" s="1"/>
  <c r="BK857" i="8"/>
  <c r="BL857" i="8"/>
  <c r="BM857" i="8" s="1"/>
  <c r="BK541" i="8"/>
  <c r="BL541" i="8"/>
  <c r="BM541" i="8" s="1"/>
  <c r="BK64" i="8"/>
  <c r="BL64" i="8"/>
  <c r="BM64" i="8" s="1"/>
  <c r="BK247" i="8"/>
  <c r="BL247" i="8"/>
  <c r="BM247" i="8" s="1"/>
  <c r="BK205" i="8"/>
  <c r="BL205" i="8"/>
  <c r="BM205" i="8" s="1"/>
  <c r="BK605" i="8"/>
  <c r="BL605" i="8"/>
  <c r="BM605" i="8" s="1"/>
  <c r="BL363" i="8"/>
  <c r="BK363" i="8"/>
  <c r="BK273" i="8"/>
  <c r="BL273" i="8"/>
  <c r="BM273" i="8" s="1"/>
  <c r="BK199" i="8"/>
  <c r="BL199" i="8"/>
  <c r="BM199" i="8" s="1"/>
  <c r="BK664" i="8"/>
  <c r="BL664" i="8"/>
  <c r="BM664" i="8" s="1"/>
  <c r="BL973" i="8"/>
  <c r="BM973" i="8" s="1"/>
  <c r="BK973" i="8"/>
  <c r="BK320" i="8"/>
  <c r="BL320" i="8"/>
  <c r="BM320" i="8" s="1"/>
  <c r="BK155" i="8"/>
  <c r="BL155" i="8"/>
  <c r="BM155" i="8" s="1"/>
  <c r="BK348" i="8"/>
  <c r="BL348" i="8"/>
  <c r="BK756" i="8"/>
  <c r="BL756" i="8"/>
  <c r="BK1082" i="8"/>
  <c r="BL1082" i="8"/>
  <c r="BM1082" i="8" s="1"/>
  <c r="BL1024" i="8"/>
  <c r="BK1024" i="8"/>
  <c r="BK721" i="8"/>
  <c r="BL721" i="8"/>
  <c r="BK663" i="8"/>
  <c r="BL663" i="8"/>
  <c r="BM663" i="8" s="1"/>
  <c r="BK253" i="8"/>
  <c r="BL253" i="8"/>
  <c r="BM253" i="8" s="1"/>
  <c r="BK119" i="8"/>
  <c r="BL119" i="8"/>
  <c r="BM119" i="8" s="1"/>
  <c r="BL1031" i="8"/>
  <c r="BK1031" i="8"/>
  <c r="BK286" i="8"/>
  <c r="BL286" i="8"/>
  <c r="BM286" i="8" s="1"/>
  <c r="BK546" i="8"/>
  <c r="BL546" i="8"/>
  <c r="BM546" i="8" s="1"/>
  <c r="BL555" i="8"/>
  <c r="BK555" i="8"/>
  <c r="BK441" i="8"/>
  <c r="BL441" i="8"/>
  <c r="BK373" i="8"/>
  <c r="BL373" i="8"/>
  <c r="BM373" i="8" s="1"/>
  <c r="BL242" i="8"/>
  <c r="BM242" i="8" s="1"/>
  <c r="BK242" i="8"/>
  <c r="BK701" i="8"/>
  <c r="BL701" i="8"/>
  <c r="BK1003" i="8"/>
  <c r="BL1003" i="8"/>
  <c r="BK827" i="8"/>
  <c r="BL827" i="8"/>
  <c r="BL838" i="8"/>
  <c r="BK838" i="8"/>
  <c r="BK311" i="8"/>
  <c r="BL311" i="8"/>
  <c r="BM311" i="8" s="1"/>
  <c r="BK836" i="8"/>
  <c r="BL836" i="8"/>
  <c r="BM836" i="8" s="1"/>
  <c r="BK815" i="8"/>
  <c r="BL815" i="8"/>
  <c r="BM815" i="8" s="1"/>
  <c r="BK60" i="8"/>
  <c r="BL60" i="8"/>
  <c r="BM60" i="8" s="1"/>
  <c r="BK837" i="8"/>
  <c r="BL837" i="8"/>
  <c r="BL267" i="8"/>
  <c r="BM267" i="8" s="1"/>
  <c r="BK267" i="8"/>
  <c r="BL758" i="8"/>
  <c r="BM758" i="8" s="1"/>
  <c r="BK758" i="8"/>
  <c r="BK850" i="8"/>
  <c r="BL850" i="8"/>
  <c r="BK737" i="8"/>
  <c r="BL737" i="8"/>
  <c r="BM737" i="8" s="1"/>
  <c r="BL492" i="8"/>
  <c r="BM492" i="8" s="1"/>
  <c r="BK492" i="8"/>
  <c r="BK156" i="8"/>
  <c r="BL156" i="8"/>
  <c r="BM156" i="8" s="1"/>
  <c r="BL1021" i="8"/>
  <c r="BK1021" i="8"/>
  <c r="BL591" i="8"/>
  <c r="BM591" i="8" s="1"/>
  <c r="BK591" i="8"/>
  <c r="BK101" i="8"/>
  <c r="BL101" i="8"/>
  <c r="BM101" i="8" s="1"/>
  <c r="BK1008" i="8"/>
  <c r="BL1008" i="8"/>
  <c r="BM1008" i="8" s="1"/>
  <c r="BL206" i="8"/>
  <c r="BM206" i="8" s="1"/>
  <c r="BK206" i="8"/>
  <c r="BK451" i="8"/>
  <c r="BL451" i="8"/>
  <c r="BM451" i="8" s="1"/>
  <c r="BK49" i="8"/>
  <c r="BL49" i="8"/>
  <c r="BM49" i="8" s="1"/>
  <c r="BK777" i="8"/>
  <c r="BL777" i="8"/>
  <c r="BK284" i="8"/>
  <c r="BL284" i="8"/>
  <c r="BM284" i="8" s="1"/>
  <c r="BK402" i="8"/>
  <c r="BL402" i="8"/>
  <c r="BK1004" i="8"/>
  <c r="BL1004" i="8"/>
  <c r="BM1004" i="8" s="1"/>
  <c r="BK1116" i="8"/>
  <c r="BL1116" i="8"/>
  <c r="BK289" i="8"/>
  <c r="BL289" i="8"/>
  <c r="BM289" i="8" s="1"/>
  <c r="BL794" i="8"/>
  <c r="BM794" i="8" s="1"/>
  <c r="BK794" i="8"/>
  <c r="BL1046" i="8"/>
  <c r="BM1046" i="8" s="1"/>
  <c r="BK1046" i="8"/>
  <c r="BK783" i="8"/>
  <c r="BL783" i="8"/>
  <c r="BM783" i="8" s="1"/>
  <c r="BK151" i="8"/>
  <c r="BL151" i="8"/>
  <c r="BM151" i="8" s="1"/>
  <c r="BL383" i="8"/>
  <c r="BK383" i="8"/>
  <c r="BK901" i="8"/>
  <c r="BL901" i="8"/>
  <c r="BM901" i="8" s="1"/>
  <c r="BL843" i="8"/>
  <c r="BK843" i="8"/>
  <c r="BK233" i="8"/>
  <c r="BL233" i="8"/>
  <c r="BM233" i="8" s="1"/>
  <c r="BL467" i="8"/>
  <c r="BK467" i="8"/>
  <c r="BK912" i="8"/>
  <c r="BL912" i="8"/>
  <c r="BM912" i="8" s="1"/>
  <c r="BK104" i="8"/>
  <c r="BL104" i="8"/>
  <c r="BM104" i="8" s="1"/>
  <c r="BK349" i="8"/>
  <c r="BL349" i="8"/>
  <c r="BM349" i="8" s="1"/>
  <c r="BK161" i="8"/>
  <c r="BL161" i="8"/>
  <c r="BM161" i="8" s="1"/>
  <c r="BL484" i="8"/>
  <c r="BM484" i="8" s="1"/>
  <c r="BK484" i="8"/>
  <c r="BK488" i="8"/>
  <c r="BL488" i="8"/>
  <c r="BM488" i="8" s="1"/>
  <c r="BL975" i="8"/>
  <c r="BK975" i="8"/>
  <c r="BK863" i="8"/>
  <c r="BL863" i="8"/>
  <c r="BK619" i="8"/>
  <c r="BL619" i="8"/>
  <c r="BM619" i="8" s="1"/>
  <c r="BK637" i="8"/>
  <c r="BL637" i="8"/>
  <c r="BM637" i="8" s="1"/>
  <c r="BK342" i="8"/>
  <c r="BL342" i="8"/>
  <c r="BM342" i="8" s="1"/>
  <c r="BK280" i="8"/>
  <c r="BL280" i="8"/>
  <c r="BM280" i="8" s="1"/>
  <c r="BK646" i="8"/>
  <c r="BL646" i="8"/>
  <c r="BM646" i="8" s="1"/>
  <c r="BL385" i="8"/>
  <c r="BM385" i="8" s="1"/>
  <c r="BK385" i="8"/>
  <c r="BK991" i="8"/>
  <c r="BL991" i="8"/>
  <c r="BK328" i="8"/>
  <c r="BL328" i="8"/>
  <c r="BM328" i="8" s="1"/>
  <c r="BK71" i="8"/>
  <c r="BL71" i="8"/>
  <c r="BM71" i="8" s="1"/>
  <c r="BL384" i="8"/>
  <c r="BK384" i="8"/>
  <c r="BK309" i="8"/>
  <c r="BL309" i="8"/>
  <c r="BM309" i="8" s="1"/>
  <c r="BL542" i="8"/>
  <c r="BK542" i="8"/>
  <c r="BL86" i="8"/>
  <c r="BM86" i="8" s="1"/>
  <c r="BK86" i="8"/>
  <c r="BK1080" i="8"/>
  <c r="BL1080" i="8"/>
  <c r="BM1080" i="8" s="1"/>
  <c r="BK526" i="8"/>
  <c r="BL526" i="8"/>
  <c r="BK393" i="8"/>
  <c r="BL393" i="8"/>
  <c r="BM393" i="8" s="1"/>
  <c r="BK346" i="8"/>
  <c r="BL346" i="8"/>
  <c r="BM346" i="8" s="1"/>
  <c r="BK1027" i="8"/>
  <c r="BL1027" i="8"/>
  <c r="BM1027" i="8" s="1"/>
  <c r="BK440" i="8"/>
  <c r="BL440" i="8"/>
  <c r="BM440" i="8" s="1"/>
  <c r="BL1124" i="8"/>
  <c r="BM1124" i="8" s="1"/>
  <c r="BK1124" i="8"/>
  <c r="BK762" i="8"/>
  <c r="BL762" i="8"/>
  <c r="BK982" i="8"/>
  <c r="BL982" i="8"/>
  <c r="BK661" i="8"/>
  <c r="BL661" i="8"/>
  <c r="BK90" i="8"/>
  <c r="BL90" i="8"/>
  <c r="BM90" i="8" s="1"/>
  <c r="BK924" i="8"/>
  <c r="BL924" i="8"/>
  <c r="BM924" i="8" s="1"/>
  <c r="BK633" i="8"/>
  <c r="BL633" i="8"/>
  <c r="BL938" i="8"/>
  <c r="BK938" i="8"/>
  <c r="BL1017" i="8"/>
  <c r="BM1017" i="8" s="1"/>
  <c r="BK1017" i="8"/>
  <c r="BL599" i="8"/>
  <c r="BK599" i="8"/>
  <c r="BK698" i="8"/>
  <c r="BL698" i="8"/>
  <c r="BM698" i="8" s="1"/>
  <c r="BL602" i="8"/>
  <c r="BM602" i="8" s="1"/>
  <c r="BK602" i="8"/>
  <c r="BL1072" i="8"/>
  <c r="BM1072" i="8" s="1"/>
  <c r="BK1072" i="8"/>
  <c r="BK1104" i="8"/>
  <c r="BL1104" i="8"/>
  <c r="BM1104" i="8" s="1"/>
  <c r="BL136" i="8"/>
  <c r="BM136" i="8" s="1"/>
  <c r="BK136" i="8"/>
  <c r="BK655" i="8"/>
  <c r="BL655" i="8"/>
  <c r="BK52" i="8"/>
  <c r="BL52" i="8"/>
  <c r="BM52" i="8" s="1"/>
  <c r="BK270" i="8"/>
  <c r="BL270" i="8"/>
  <c r="BM270" i="8" s="1"/>
  <c r="BL1012" i="8"/>
  <c r="BK1012" i="8"/>
  <c r="BK82" i="8"/>
  <c r="BL82" i="8"/>
  <c r="BM82" i="8" s="1"/>
  <c r="BK674" i="8"/>
  <c r="BL674" i="8"/>
  <c r="BK588" i="8"/>
  <c r="BL588" i="8"/>
  <c r="BM588" i="8" s="1"/>
  <c r="BK215" i="8"/>
  <c r="BL215" i="8"/>
  <c r="BM215" i="8" s="1"/>
  <c r="BK224" i="8"/>
  <c r="BL224" i="8"/>
  <c r="BM224" i="8" s="1"/>
  <c r="BK437" i="8"/>
  <c r="BL437" i="8"/>
  <c r="BM437" i="8" s="1"/>
  <c r="BK304" i="8"/>
  <c r="BL304" i="8"/>
  <c r="BM304" i="8" s="1"/>
  <c r="BK971" i="8"/>
  <c r="BL971" i="8"/>
  <c r="BL411" i="8"/>
  <c r="BM411" i="8" s="1"/>
  <c r="BK411" i="8"/>
  <c r="BK202" i="8"/>
  <c r="BL202" i="8"/>
  <c r="BM202" i="8" s="1"/>
  <c r="BL810" i="8"/>
  <c r="BM810" i="8" s="1"/>
  <c r="BK810" i="8"/>
  <c r="BK956" i="8"/>
  <c r="BL956" i="8"/>
  <c r="BL999" i="8"/>
  <c r="BM999" i="8" s="1"/>
  <c r="BK999" i="8"/>
  <c r="BL1105" i="8"/>
  <c r="BK1105" i="8"/>
  <c r="BK885" i="8"/>
  <c r="BL885" i="8"/>
  <c r="BK345" i="8"/>
  <c r="BL345" i="8"/>
  <c r="BK833" i="8"/>
  <c r="BL833" i="8"/>
  <c r="BM833" i="8" s="1"/>
  <c r="BK899" i="8"/>
  <c r="BL899" i="8"/>
  <c r="BM899" i="8" s="1"/>
  <c r="BK524" i="8"/>
  <c r="BL524" i="8"/>
  <c r="BM524" i="8" s="1"/>
  <c r="BK198" i="8"/>
  <c r="BL198" i="8"/>
  <c r="BM198" i="8" s="1"/>
  <c r="BL922" i="8"/>
  <c r="BK922" i="8"/>
  <c r="BK849" i="8"/>
  <c r="BL849" i="8"/>
  <c r="BM849" i="8" s="1"/>
  <c r="BK609" i="8"/>
  <c r="BL609" i="8"/>
  <c r="BK945" i="8"/>
  <c r="BL945" i="8"/>
  <c r="BK858" i="8"/>
  <c r="BL858" i="8"/>
  <c r="BM858" i="8" s="1"/>
  <c r="BL768" i="8"/>
  <c r="BK768" i="8"/>
  <c r="BK977" i="8"/>
  <c r="BL977" i="8"/>
  <c r="BM977" i="8" s="1"/>
  <c r="BK1020" i="8"/>
  <c r="BL1020" i="8"/>
  <c r="BM1020" i="8" s="1"/>
  <c r="BL252" i="8"/>
  <c r="BM252" i="8" s="1"/>
  <c r="BK252" i="8"/>
  <c r="BL256" i="8"/>
  <c r="BM256" i="8" s="1"/>
  <c r="BK256" i="8"/>
  <c r="BK753" i="8"/>
  <c r="BL753" i="8"/>
  <c r="BK666" i="8"/>
  <c r="BL666" i="8"/>
  <c r="BM666" i="8" s="1"/>
  <c r="BK729" i="8"/>
  <c r="BL729" i="8"/>
  <c r="BK406" i="8"/>
  <c r="BL406" i="8"/>
  <c r="BK107" i="8"/>
  <c r="BL107" i="8"/>
  <c r="BM107" i="8" s="1"/>
  <c r="BK895" i="8"/>
  <c r="BL895" i="8"/>
  <c r="BM895" i="8" s="1"/>
  <c r="BK760" i="8"/>
  <c r="BL760" i="8"/>
  <c r="BK173" i="8"/>
  <c r="BL173" i="8"/>
  <c r="BM173" i="8" s="1"/>
  <c r="BK457" i="8"/>
  <c r="BL457" i="8"/>
  <c r="BL680" i="8"/>
  <c r="BM680" i="8" s="1"/>
  <c r="BK680" i="8"/>
  <c r="BK74" i="8"/>
  <c r="BL74" i="8"/>
  <c r="BM74" i="8" s="1"/>
  <c r="BK889" i="8"/>
  <c r="BL889" i="8"/>
  <c r="BM889" i="8" s="1"/>
  <c r="BL493" i="8"/>
  <c r="BM493" i="8" s="1"/>
  <c r="BK493" i="8"/>
  <c r="BK1078" i="8"/>
  <c r="BL1078" i="8"/>
  <c r="BM1078" i="8" s="1"/>
  <c r="BK246" i="8"/>
  <c r="BL246" i="8"/>
  <c r="BM246" i="8" s="1"/>
  <c r="BL567" i="8"/>
  <c r="BK567" i="8"/>
  <c r="BK193" i="8"/>
  <c r="BL193" i="8"/>
  <c r="BM193" i="8" s="1"/>
  <c r="BK720" i="8"/>
  <c r="BL720" i="8"/>
  <c r="BK960" i="8"/>
  <c r="BL960" i="8"/>
  <c r="BM960" i="8" s="1"/>
  <c r="BK331" i="8"/>
  <c r="BL331" i="8"/>
  <c r="BM331" i="8" s="1"/>
  <c r="BK1032" i="8"/>
  <c r="BL1032" i="8"/>
  <c r="BM1032" i="8" s="1"/>
  <c r="BL123" i="8"/>
  <c r="BM123" i="8" s="1"/>
  <c r="BK123" i="8"/>
  <c r="BK217" i="8"/>
  <c r="BL217" i="8"/>
  <c r="BM217" i="8" s="1"/>
  <c r="BK778" i="8"/>
  <c r="BL778" i="8"/>
  <c r="BM778" i="8" s="1"/>
  <c r="BK617" i="8"/>
  <c r="BL617" i="8"/>
  <c r="BM617" i="8" s="1"/>
  <c r="BK469" i="8"/>
  <c r="BL469" i="8"/>
  <c r="BM469" i="8" s="1"/>
  <c r="BK821" i="8"/>
  <c r="BL821" i="8"/>
  <c r="BM821" i="8" s="1"/>
  <c r="BK944" i="8"/>
  <c r="BL944" i="8"/>
  <c r="BM944" i="8" s="1"/>
  <c r="BK380" i="8"/>
  <c r="BL380" i="8"/>
  <c r="BM380" i="8" s="1"/>
  <c r="BK149" i="8"/>
  <c r="BL149" i="8"/>
  <c r="BM149" i="8" s="1"/>
  <c r="BK444" i="8"/>
  <c r="BL444" i="8"/>
  <c r="BM444" i="8" s="1"/>
  <c r="BK716" i="8"/>
  <c r="BL716" i="8"/>
  <c r="BM716" i="8" s="1"/>
  <c r="BK116" i="8"/>
  <c r="BL116" i="8"/>
  <c r="BM116" i="8" s="1"/>
  <c r="BK1115" i="8"/>
  <c r="BL1115" i="8"/>
  <c r="BK381" i="8"/>
  <c r="BL381" i="8"/>
  <c r="BK660" i="8"/>
  <c r="BL660" i="8"/>
  <c r="BM660" i="8" s="1"/>
  <c r="BK560" i="8"/>
  <c r="BL560" i="8"/>
  <c r="BL732" i="8"/>
  <c r="BM732" i="8" s="1"/>
  <c r="BK732" i="8"/>
  <c r="BK641" i="8"/>
  <c r="BL641" i="8"/>
  <c r="BK575" i="8"/>
  <c r="BL575" i="8"/>
  <c r="BM575" i="8" s="1"/>
  <c r="BK643" i="8"/>
  <c r="BL643" i="8"/>
  <c r="BM643" i="8" s="1"/>
  <c r="BL806" i="8"/>
  <c r="BM806" i="8" s="1"/>
  <c r="BK806" i="8"/>
  <c r="BL831" i="8"/>
  <c r="BK831" i="8"/>
  <c r="BK989" i="8"/>
  <c r="BL989" i="8"/>
  <c r="BM989" i="8" s="1"/>
  <c r="BK582" i="8"/>
  <c r="BL582" i="8"/>
  <c r="BM582" i="8" s="1"/>
  <c r="BK365" i="8"/>
  <c r="BL365" i="8"/>
  <c r="BM365" i="8" s="1"/>
  <c r="BK503" i="8"/>
  <c r="BL503" i="8"/>
  <c r="BM503" i="8" s="1"/>
  <c r="BK208" i="8"/>
  <c r="BL208" i="8"/>
  <c r="BM208" i="8" s="1"/>
  <c r="BK20" i="8"/>
  <c r="BL20" i="8"/>
  <c r="BM20" i="8" s="1"/>
  <c r="BK711" i="8"/>
  <c r="BL711" i="8"/>
  <c r="BM711" i="8" s="1"/>
  <c r="BK486" i="8"/>
  <c r="BL486" i="8"/>
  <c r="BK562" i="8"/>
  <c r="BL562" i="8"/>
  <c r="BK263" i="8"/>
  <c r="BL263" i="8"/>
  <c r="BM263" i="8" s="1"/>
  <c r="BK185" i="8"/>
  <c r="BL185" i="8"/>
  <c r="BM185" i="8" s="1"/>
  <c r="BK1002" i="8"/>
  <c r="BL1002" i="8"/>
  <c r="BM1002" i="8" s="1"/>
  <c r="BK259" i="8"/>
  <c r="BL259" i="8"/>
  <c r="BM259" i="8" s="1"/>
  <c r="BK673" i="8"/>
  <c r="BL673" i="8"/>
  <c r="BK108" i="8"/>
  <c r="BL108" i="8"/>
  <c r="BM108" i="8" s="1"/>
  <c r="BK152" i="8"/>
  <c r="BL152" i="8"/>
  <c r="BM152" i="8" s="1"/>
  <c r="BL820" i="8"/>
  <c r="BK820" i="8"/>
  <c r="BK238" i="8"/>
  <c r="BL238" i="8"/>
  <c r="BM238" i="8" s="1"/>
  <c r="BK658" i="8"/>
  <c r="BL658" i="8"/>
  <c r="BM658" i="8" s="1"/>
  <c r="BK98" i="8"/>
  <c r="BL98" i="8"/>
  <c r="BM98" i="8" s="1"/>
  <c r="BK279" i="8"/>
  <c r="BL279" i="8"/>
  <c r="BM279" i="8" s="1"/>
  <c r="BL232" i="8"/>
  <c r="BM232" i="8" s="1"/>
  <c r="BK232" i="8"/>
  <c r="BK177" i="8"/>
  <c r="BL177" i="8"/>
  <c r="BM177" i="8" s="1"/>
  <c r="BK896" i="8"/>
  <c r="BL896" i="8"/>
  <c r="BM896" i="8" s="1"/>
  <c r="BL519" i="8"/>
  <c r="BM519" i="8" s="1"/>
  <c r="BK519" i="8"/>
  <c r="BK117" i="8"/>
  <c r="BL117" i="8"/>
  <c r="BM117" i="8" s="1"/>
  <c r="BK685" i="8"/>
  <c r="BL685" i="8"/>
  <c r="BM685" i="8" s="1"/>
  <c r="BK931" i="8"/>
  <c r="BL931" i="8"/>
  <c r="BK409" i="8"/>
  <c r="BL409" i="8"/>
  <c r="BM409" i="8" s="1"/>
  <c r="BL603" i="8"/>
  <c r="BM603" i="8" s="1"/>
  <c r="BK603" i="8"/>
  <c r="BK480" i="8"/>
  <c r="BL480" i="8"/>
  <c r="BM480" i="8" s="1"/>
  <c r="BK650" i="8"/>
  <c r="BL650" i="8"/>
  <c r="BM650" i="8" s="1"/>
  <c r="BK344" i="8"/>
  <c r="BL344" i="8"/>
  <c r="BM344" i="8" s="1"/>
  <c r="BK18" i="8"/>
  <c r="BL18" i="8"/>
  <c r="BM18" i="8" s="1"/>
  <c r="BK237" i="8"/>
  <c r="BL237" i="8"/>
  <c r="BM237" i="8" s="1"/>
  <c r="BK423" i="8"/>
  <c r="BL423" i="8"/>
  <c r="BM423" i="8" s="1"/>
  <c r="BK288" i="8"/>
  <c r="BL288" i="8"/>
  <c r="BM288" i="8" s="1"/>
  <c r="BL627" i="8"/>
  <c r="BM627" i="8" s="1"/>
  <c r="BK627" i="8"/>
  <c r="BK764" i="8"/>
  <c r="BL764" i="8"/>
  <c r="BK1009" i="8"/>
  <c r="BL1009" i="8"/>
  <c r="BM1009" i="8" s="1"/>
  <c r="BK1070" i="8"/>
  <c r="BL1070" i="8"/>
  <c r="BM1070" i="8" s="1"/>
  <c r="BK68" i="8"/>
  <c r="BL68" i="8"/>
  <c r="BM68" i="8" s="1"/>
  <c r="BL518" i="8"/>
  <c r="BM518" i="8" s="1"/>
  <c r="BK518" i="8"/>
  <c r="BK862" i="8"/>
  <c r="BL862" i="8"/>
  <c r="BM862" i="8" s="1"/>
  <c r="BL937" i="8"/>
  <c r="BM937" i="8" s="1"/>
  <c r="BK937" i="8"/>
  <c r="BK957" i="8"/>
  <c r="BL957" i="8"/>
  <c r="BM957" i="8" s="1"/>
  <c r="BK464" i="8"/>
  <c r="BL464" i="8"/>
  <c r="BM464" i="8" s="1"/>
  <c r="BL702" i="8"/>
  <c r="BK702" i="8"/>
  <c r="BK533" i="8"/>
  <c r="BL533" i="8"/>
  <c r="BM533" i="8" s="1"/>
  <c r="BL376" i="8"/>
  <c r="BM376" i="8" s="1"/>
  <c r="BK376" i="8"/>
  <c r="BL112" i="8"/>
  <c r="BM112" i="8" s="1"/>
  <c r="BK112" i="8"/>
  <c r="BK613" i="8"/>
  <c r="BL613" i="8"/>
  <c r="BM613" i="8" s="1"/>
  <c r="BK125" i="8"/>
  <c r="BL125" i="8"/>
  <c r="BM125" i="8" s="1"/>
  <c r="BL636" i="8"/>
  <c r="BK636" i="8"/>
  <c r="BK324" i="8"/>
  <c r="BL324" i="8"/>
  <c r="BM324" i="8" s="1"/>
  <c r="BK170" i="8"/>
  <c r="BL170" i="8"/>
  <c r="BM170" i="8" s="1"/>
  <c r="BK278" i="8"/>
  <c r="BL278" i="8"/>
  <c r="BM278" i="8" s="1"/>
  <c r="BK1127" i="8"/>
  <c r="BL1127" i="8"/>
  <c r="BL772" i="8"/>
  <c r="BK772" i="8"/>
  <c r="BK515" i="8"/>
  <c r="BL515" i="8"/>
  <c r="BM515" i="8" s="1"/>
  <c r="BL292" i="8"/>
  <c r="BM292" i="8" s="1"/>
  <c r="BK292" i="8"/>
  <c r="BK21" i="8"/>
  <c r="BL21" i="8"/>
  <c r="BM21" i="8" s="1"/>
  <c r="BL63" i="8"/>
  <c r="BM63" i="8" s="1"/>
  <c r="BK63" i="8"/>
  <c r="BK115" i="8"/>
  <c r="BL115" i="8"/>
  <c r="BM115" i="8" s="1"/>
  <c r="BK824" i="8"/>
  <c r="BL824" i="8"/>
  <c r="BM824" i="8" s="1"/>
  <c r="BK750" i="8"/>
  <c r="BL750" i="8"/>
  <c r="BM750" i="8" s="1"/>
  <c r="BK733" i="8"/>
  <c r="BL733" i="8"/>
  <c r="BM733" i="8" s="1"/>
  <c r="BK845" i="8"/>
  <c r="BL845" i="8"/>
  <c r="BM845" i="8" s="1"/>
  <c r="BK918" i="8"/>
  <c r="BL918" i="8"/>
  <c r="BM918" i="8" s="1"/>
  <c r="BK712" i="8"/>
  <c r="BL712" i="8"/>
  <c r="BM712" i="8" s="1"/>
  <c r="BK625" i="8"/>
  <c r="BL625" i="8"/>
  <c r="BK693" i="8"/>
  <c r="BL693" i="8"/>
  <c r="BM693" i="8" s="1"/>
  <c r="BL124" i="8"/>
  <c r="BM124" i="8" s="1"/>
  <c r="BK124" i="8"/>
  <c r="BK570" i="8"/>
  <c r="BL570" i="8"/>
  <c r="BM570" i="8" s="1"/>
  <c r="BK906" i="8"/>
  <c r="BL906" i="8"/>
  <c r="BM906" i="8" s="1"/>
  <c r="BK227" i="8"/>
  <c r="BL227" i="8"/>
  <c r="BM227" i="8" s="1"/>
  <c r="BK530" i="8"/>
  <c r="BL530" i="8"/>
  <c r="BM530" i="8" s="1"/>
  <c r="BL255" i="8"/>
  <c r="BM255" i="8" s="1"/>
  <c r="BK255" i="8"/>
  <c r="BL677" i="8"/>
  <c r="BM677" i="8" s="1"/>
  <c r="BK677" i="8"/>
  <c r="BK953" i="8"/>
  <c r="BL953" i="8"/>
  <c r="BM953" i="8" s="1"/>
  <c r="BK813" i="8"/>
  <c r="BL813" i="8"/>
  <c r="BM813" i="8" s="1"/>
  <c r="BK228" i="8"/>
  <c r="BL228" i="8"/>
  <c r="BM228" i="8" s="1"/>
  <c r="BL916" i="8"/>
  <c r="BM916" i="8" s="1"/>
  <c r="BK916" i="8"/>
  <c r="BK432" i="8"/>
  <c r="BL432" i="8"/>
  <c r="BM432" i="8" s="1"/>
  <c r="BL532" i="8"/>
  <c r="BM532" i="8" s="1"/>
  <c r="BK532" i="8"/>
  <c r="BK521" i="8"/>
  <c r="BL521" i="8"/>
  <c r="BM521" i="8" s="1"/>
  <c r="BK893" i="8"/>
  <c r="BL893" i="8"/>
  <c r="BM893" i="8" s="1"/>
  <c r="BK818" i="8"/>
  <c r="BL818" i="8"/>
  <c r="BM818" i="8" s="1"/>
  <c r="BK325" i="8"/>
  <c r="BL325" i="8"/>
  <c r="BM325" i="8" s="1"/>
  <c r="BK476" i="8"/>
  <c r="BL476" i="8"/>
  <c r="BM476" i="8" s="1"/>
  <c r="BK752" i="8"/>
  <c r="BL752" i="8"/>
  <c r="BM752" i="8" s="1"/>
  <c r="BL459" i="8"/>
  <c r="BM459" i="8" s="1"/>
  <c r="BK459" i="8"/>
  <c r="BK268" i="8"/>
  <c r="BL268" i="8"/>
  <c r="BM268" i="8" s="1"/>
  <c r="BL830" i="8"/>
  <c r="BM830" i="8" s="1"/>
  <c r="BK830" i="8"/>
  <c r="BK337" i="8"/>
  <c r="BL337" i="8"/>
  <c r="BM337" i="8" s="1"/>
  <c r="BK180" i="8"/>
  <c r="BL180" i="8"/>
  <c r="BM180" i="8" s="1"/>
  <c r="BK801" i="8"/>
  <c r="BL801" i="8"/>
  <c r="BM801" i="8" s="1"/>
  <c r="BK417" i="8"/>
  <c r="BL417" i="8"/>
  <c r="BM417" i="8" s="1"/>
  <c r="BK561" i="8"/>
  <c r="BL561" i="8"/>
  <c r="BM561" i="8" s="1"/>
  <c r="BL327" i="8"/>
  <c r="BM327" i="8" s="1"/>
  <c r="BK327" i="8"/>
  <c r="BK1038" i="8"/>
  <c r="BL1038" i="8"/>
  <c r="BM1038" i="8" s="1"/>
  <c r="BL1092" i="8"/>
  <c r="BK1092" i="8"/>
  <c r="BK908" i="8"/>
  <c r="BL908" i="8"/>
  <c r="BM908" i="8" s="1"/>
  <c r="BK914" i="8"/>
  <c r="BL914" i="8"/>
  <c r="BK369" i="8"/>
  <c r="BL369" i="8"/>
  <c r="BM369" i="8" s="1"/>
  <c r="BK317" i="8"/>
  <c r="BL317" i="8"/>
  <c r="BM317" i="8" s="1"/>
  <c r="BK57" i="8"/>
  <c r="BL57" i="8"/>
  <c r="BM57" i="8" s="1"/>
  <c r="BK597" i="8"/>
  <c r="BL597" i="8"/>
  <c r="BM597" i="8" s="1"/>
  <c r="BK996" i="8"/>
  <c r="BL996" i="8"/>
  <c r="BM996" i="8" s="1"/>
  <c r="BK860" i="8"/>
  <c r="BL860" i="8"/>
  <c r="BM860" i="8" s="1"/>
  <c r="BK632" i="8"/>
  <c r="BL632" i="8"/>
  <c r="BM632" i="8" s="1"/>
  <c r="BK475" i="8"/>
  <c r="BL475" i="8"/>
  <c r="BM475" i="8" s="1"/>
  <c r="BK83" i="8"/>
  <c r="BL83" i="8"/>
  <c r="BM83" i="8" s="1"/>
  <c r="BK791" i="8"/>
  <c r="BL791" i="8"/>
  <c r="BM791" i="8" s="1"/>
  <c r="BK478" i="8"/>
  <c r="BL478" i="8"/>
  <c r="BM478" i="8" s="1"/>
  <c r="BL1011" i="8"/>
  <c r="BK1011" i="8"/>
  <c r="BK1120" i="8"/>
  <c r="BL1120" i="8"/>
  <c r="BM1120" i="8" s="1"/>
  <c r="BK527" i="8"/>
  <c r="BL527" i="8"/>
  <c r="BM527" i="8" s="1"/>
  <c r="BK516" i="8"/>
  <c r="BL516" i="8"/>
  <c r="BK35" i="8"/>
  <c r="BL35" i="8"/>
  <c r="BM35" i="8" s="1"/>
  <c r="BL171" i="8"/>
  <c r="BM171" i="8" s="1"/>
  <c r="BK171" i="8"/>
  <c r="BK853" i="8"/>
  <c r="BL853" i="8"/>
  <c r="BM853" i="8" s="1"/>
  <c r="BL195" i="8"/>
  <c r="BM195" i="8" s="1"/>
  <c r="BK195" i="8"/>
  <c r="BK877" i="8"/>
  <c r="BL877" i="8"/>
  <c r="BM877" i="8" s="1"/>
  <c r="BK962" i="8"/>
  <c r="BL962" i="8"/>
  <c r="BM962" i="8" s="1"/>
  <c r="BK88" i="8"/>
  <c r="BL88" i="8"/>
  <c r="BM88" i="8" s="1"/>
  <c r="BL988" i="8"/>
  <c r="BM988" i="8" s="1"/>
  <c r="BK988" i="8"/>
  <c r="BK178" i="8"/>
  <c r="BL178" i="8"/>
  <c r="BM178" i="8" s="1"/>
  <c r="BL771" i="8"/>
  <c r="BM771" i="8" s="1"/>
  <c r="BK771" i="8"/>
  <c r="BL302" i="8"/>
  <c r="BM302" i="8" s="1"/>
  <c r="BK302" i="8"/>
  <c r="BK30" i="8"/>
  <c r="BL30" i="8"/>
  <c r="BM30" i="8" s="1"/>
  <c r="BK421" i="8"/>
  <c r="BL421" i="8"/>
  <c r="BM421" i="8" s="1"/>
  <c r="BK234" i="8"/>
  <c r="BL234" i="8"/>
  <c r="BM234" i="8" s="1"/>
  <c r="BK334" i="8"/>
  <c r="BL334" i="8"/>
  <c r="BM334" i="8" s="1"/>
  <c r="BL340" i="8"/>
  <c r="BK340" i="8"/>
  <c r="BK708" i="8"/>
  <c r="BL708" i="8"/>
  <c r="BM708" i="8" s="1"/>
  <c r="BK448" i="8"/>
  <c r="BL448" i="8"/>
  <c r="BM448" i="8" s="1"/>
  <c r="BL531" i="8"/>
  <c r="BK531" i="8"/>
  <c r="BL99" i="8"/>
  <c r="BM99" i="8" s="1"/>
  <c r="BK99" i="8"/>
  <c r="BK559" i="8"/>
  <c r="BL559" i="8"/>
  <c r="BM559" i="8" s="1"/>
  <c r="BK1087" i="8"/>
  <c r="BL1087" i="8"/>
  <c r="BM1087" i="8" s="1"/>
  <c r="BK72" i="8"/>
  <c r="BL72" i="8"/>
  <c r="BM72" i="8" s="1"/>
  <c r="BL15" i="8"/>
  <c r="BM15" i="8" s="1"/>
  <c r="BK15" i="8"/>
  <c r="BK140" i="8"/>
  <c r="BL140" i="8"/>
  <c r="BM140" i="8" s="1"/>
  <c r="BK394" i="8"/>
  <c r="BL394" i="8"/>
  <c r="BM394" i="8" s="1"/>
  <c r="BL1098" i="8"/>
  <c r="BM1098" i="8" s="1"/>
  <c r="BK1098" i="8"/>
  <c r="BK611" i="8"/>
  <c r="BL611" i="8"/>
  <c r="BM611" i="8" s="1"/>
  <c r="BL219" i="8"/>
  <c r="BM219" i="8" s="1"/>
  <c r="BK219" i="8"/>
  <c r="BK47" i="8"/>
  <c r="BL47" i="8"/>
  <c r="BM47" i="8" s="1"/>
  <c r="BK127" i="8"/>
  <c r="BL127" i="8"/>
  <c r="BM127" i="8" s="1"/>
  <c r="BL879" i="8"/>
  <c r="BM879" i="8" s="1"/>
  <c r="BK879" i="8"/>
  <c r="BL880" i="8"/>
  <c r="BK880" i="8"/>
  <c r="BL1023" i="8"/>
  <c r="BM1023" i="8" s="1"/>
  <c r="BK1023" i="8"/>
  <c r="BK734" i="8"/>
  <c r="BL734" i="8"/>
  <c r="BM734" i="8" s="1"/>
  <c r="BK1091" i="8"/>
  <c r="BL1091" i="8"/>
  <c r="BM1091" i="8" s="1"/>
  <c r="BK121" i="8"/>
  <c r="BL121" i="8"/>
  <c r="BM121" i="8" s="1"/>
  <c r="BK986" i="8"/>
  <c r="BL986" i="8"/>
  <c r="BM986" i="8" s="1"/>
  <c r="BK66" i="8"/>
  <c r="BL66" i="8"/>
  <c r="BM66" i="8" s="1"/>
  <c r="BK816" i="8"/>
  <c r="BL816" i="8"/>
  <c r="BM816" i="8" s="1"/>
  <c r="BK462" i="8"/>
  <c r="BL462" i="8"/>
  <c r="BM462" i="8" s="1"/>
  <c r="BL436" i="8"/>
  <c r="BM436" i="8" s="1"/>
  <c r="BK436" i="8"/>
  <c r="BK719" i="8"/>
  <c r="BL719" i="8"/>
  <c r="BM719" i="8" s="1"/>
  <c r="BK318" i="8"/>
  <c r="BL318" i="8"/>
  <c r="BK1085" i="8"/>
  <c r="BL1085" i="8"/>
  <c r="BK934" i="8"/>
  <c r="BL934" i="8"/>
  <c r="BM934" i="8" s="1"/>
  <c r="BK767" i="8"/>
  <c r="BL767" i="8"/>
  <c r="BM767" i="8" s="1"/>
  <c r="BK763" i="8"/>
  <c r="BL763" i="8"/>
  <c r="BM763" i="8" s="1"/>
  <c r="BK755" i="8"/>
  <c r="BL755" i="8"/>
  <c r="BK635" i="8"/>
  <c r="BL635" i="8"/>
  <c r="BM635" i="8" s="1"/>
  <c r="BK754" i="8"/>
  <c r="BL754" i="8"/>
  <c r="BM754" i="8" s="1"/>
  <c r="BL580" i="8"/>
  <c r="BM580" i="8" s="1"/>
  <c r="BK580" i="8"/>
  <c r="BK930" i="8"/>
  <c r="BL930" i="8"/>
  <c r="BM930" i="8" s="1"/>
  <c r="BL964" i="8"/>
  <c r="BM964" i="8" s="1"/>
  <c r="BK964" i="8"/>
  <c r="BK399" i="8"/>
  <c r="BL399" i="8"/>
  <c r="BM399" i="8" s="1"/>
  <c r="BL39" i="8"/>
  <c r="BM39" i="8" s="1"/>
  <c r="BK39" i="8"/>
  <c r="BK139" i="8"/>
  <c r="BL139" i="8"/>
  <c r="BM139" i="8" s="1"/>
  <c r="BK968" i="8"/>
  <c r="BL968" i="8"/>
  <c r="BM968" i="8" s="1"/>
  <c r="BK512" i="8"/>
  <c r="BL512" i="8"/>
  <c r="BM512" i="8" s="1"/>
  <c r="BK89" i="8"/>
  <c r="BL89" i="8"/>
  <c r="BM89" i="8" s="1"/>
  <c r="BL568" i="8"/>
  <c r="BM568" i="8" s="1"/>
  <c r="BK568" i="8"/>
  <c r="BK846" i="8"/>
  <c r="BL846" i="8"/>
  <c r="BM846" i="8" s="1"/>
  <c r="BK362" i="8"/>
  <c r="BL362" i="8"/>
  <c r="BM362" i="8" s="1"/>
  <c r="BK600" i="8"/>
  <c r="BL600" i="8"/>
  <c r="BM600" i="8" s="1"/>
  <c r="BL1000" i="8"/>
  <c r="BM1000" i="8" s="1"/>
  <c r="BK1000" i="8"/>
  <c r="BL370" i="8"/>
  <c r="BK370" i="8"/>
  <c r="BK1064" i="8"/>
  <c r="BL1064" i="8"/>
  <c r="BM1064" i="8" s="1"/>
  <c r="BK970" i="8"/>
  <c r="BL970" i="8"/>
  <c r="BM970" i="8" s="1"/>
  <c r="BK921" i="8"/>
  <c r="BL921" i="8"/>
  <c r="BM921" i="8" s="1"/>
  <c r="BL418" i="8"/>
  <c r="BK418" i="8"/>
  <c r="BK23" i="8"/>
  <c r="BL23" i="8"/>
  <c r="BM23" i="8" s="1"/>
  <c r="BK672" i="8"/>
  <c r="BL672" i="8"/>
  <c r="BM672" i="8" s="1"/>
  <c r="BK1055" i="8"/>
  <c r="BL1055" i="8"/>
  <c r="BM1055" i="8" s="1"/>
  <c r="BK1052" i="8"/>
  <c r="BL1052" i="8"/>
  <c r="BM1052" i="8" s="1"/>
  <c r="BK691" i="8"/>
  <c r="BL691" i="8"/>
  <c r="BM691" i="8" s="1"/>
  <c r="BK534" i="8"/>
  <c r="BL534" i="8"/>
  <c r="BM534" i="8" s="1"/>
  <c r="BK726" i="8"/>
  <c r="BL726" i="8"/>
  <c r="BM726" i="8" s="1"/>
  <c r="BK1044" i="8"/>
  <c r="BL1044" i="8"/>
  <c r="BM1044" i="8" s="1"/>
  <c r="BL807" i="8"/>
  <c r="BM807" i="8" s="1"/>
  <c r="BK807" i="8"/>
  <c r="BK695" i="8"/>
  <c r="BL695" i="8"/>
  <c r="BM695" i="8" s="1"/>
  <c r="BK624" i="8"/>
  <c r="BL624" i="8"/>
  <c r="BM624" i="8" s="1"/>
  <c r="BK67" i="8"/>
  <c r="BL67" i="8"/>
  <c r="BM67" i="8" s="1"/>
  <c r="BK240" i="8"/>
  <c r="BL240" i="8"/>
  <c r="BM240" i="8" s="1"/>
  <c r="BK1039" i="8"/>
  <c r="BL1039" i="8"/>
  <c r="BM1039" i="8" s="1"/>
  <c r="BK14" i="8"/>
  <c r="BK100" i="8"/>
  <c r="BL100" i="8"/>
  <c r="BM100" i="8" s="1"/>
  <c r="BK594" i="8"/>
  <c r="BL594" i="8"/>
  <c r="BM594" i="8" s="1"/>
  <c r="BK873" i="8"/>
  <c r="BL873" i="8"/>
  <c r="BK122" i="8"/>
  <c r="BL122" i="8"/>
  <c r="BM122" i="8" s="1"/>
  <c r="BK201" i="8"/>
  <c r="BL201" i="8"/>
  <c r="BM201" i="8" s="1"/>
  <c r="BK312" i="8"/>
  <c r="BL312" i="8"/>
  <c r="BM312" i="8" s="1"/>
  <c r="BK979" i="8"/>
  <c r="BL979" i="8"/>
  <c r="BM979" i="8" s="1"/>
  <c r="BL723" i="8"/>
  <c r="BM723" i="8" s="1"/>
  <c r="BK723" i="8"/>
  <c r="BK997" i="8"/>
  <c r="BL997" i="8"/>
  <c r="BL566" i="8"/>
  <c r="BM566" i="8" s="1"/>
  <c r="BK566" i="8"/>
  <c r="BK941" i="8"/>
  <c r="BL941" i="8"/>
  <c r="BM941" i="8" s="1"/>
  <c r="BK257" i="8"/>
  <c r="BL257" i="8"/>
  <c r="BM257" i="8" s="1"/>
  <c r="BK213" i="8"/>
  <c r="BL213" i="8"/>
  <c r="BM213" i="8" s="1"/>
  <c r="BK379" i="8"/>
  <c r="BL379" i="8"/>
  <c r="BM379" i="8" s="1"/>
  <c r="BK443" i="8"/>
  <c r="BL443" i="8"/>
  <c r="BM443" i="8" s="1"/>
  <c r="BK781" i="8"/>
  <c r="BL781" i="8"/>
  <c r="BM781" i="8" s="1"/>
  <c r="BL1118" i="8"/>
  <c r="BM1118" i="8" s="1"/>
  <c r="BK1118" i="8"/>
  <c r="BL595" i="8"/>
  <c r="BM595" i="8" s="1"/>
  <c r="BK595" i="8"/>
  <c r="BL1063" i="8"/>
  <c r="BM1063" i="8" s="1"/>
  <c r="BK1063" i="8"/>
  <c r="BK473" i="8"/>
  <c r="BL473" i="8"/>
  <c r="BM473" i="8" s="1"/>
  <c r="BK313" i="8"/>
  <c r="BL313" i="8"/>
  <c r="BM313" i="8" s="1"/>
  <c r="BK1015" i="8"/>
  <c r="BL1015" i="8"/>
  <c r="BM1015" i="8" s="1"/>
  <c r="BK44" i="8"/>
  <c r="BL44" i="8"/>
  <c r="BM44" i="8" s="1"/>
  <c r="BK479" i="8"/>
  <c r="BL479" i="8"/>
  <c r="BK722" i="8"/>
  <c r="BL722" i="8"/>
  <c r="BM722" i="8" s="1"/>
  <c r="BK419" i="8"/>
  <c r="BL419" i="8"/>
  <c r="BM419" i="8" s="1"/>
  <c r="BK822" i="8"/>
  <c r="BL822" i="8"/>
  <c r="BK946" i="8"/>
  <c r="BL946" i="8"/>
  <c r="BK884" i="8"/>
  <c r="BL884" i="8"/>
  <c r="BM884" i="8" s="1"/>
  <c r="BK429" i="8"/>
  <c r="BL429" i="8"/>
  <c r="BM429" i="8" s="1"/>
  <c r="BK738" i="8"/>
  <c r="BL738" i="8"/>
  <c r="BM738" i="8" s="1"/>
  <c r="BK994" i="8"/>
  <c r="BL994" i="8"/>
  <c r="BM994" i="8" s="1"/>
  <c r="BK955" i="8"/>
  <c r="BL955" i="8"/>
  <c r="BM955" i="8" s="1"/>
  <c r="BL1010" i="8"/>
  <c r="BM1010" i="8" s="1"/>
  <c r="BK1010" i="8"/>
  <c r="BK842" i="8"/>
  <c r="BL842" i="8"/>
  <c r="BM842" i="8" s="1"/>
  <c r="BL496" i="8"/>
  <c r="BM496" i="8" s="1"/>
  <c r="BK496" i="8"/>
  <c r="BL339" i="8"/>
  <c r="BM339" i="8" s="1"/>
  <c r="BK339" i="8"/>
  <c r="BL351" i="8"/>
  <c r="BK351" i="8"/>
  <c r="BL867" i="8"/>
  <c r="BM867" i="8" s="1"/>
  <c r="BK867" i="8"/>
  <c r="BL614" i="8"/>
  <c r="BM614" i="8" s="1"/>
  <c r="BK614" i="8"/>
  <c r="BL207" i="8"/>
  <c r="BM207" i="8" s="1"/>
  <c r="BK207" i="8"/>
  <c r="BK427" i="8"/>
  <c r="BL427" i="8"/>
  <c r="BM427" i="8" s="1"/>
  <c r="BK817" i="8"/>
  <c r="BL817" i="8"/>
  <c r="BK43" i="8"/>
  <c r="BL43" i="8"/>
  <c r="BM43" i="8" s="1"/>
  <c r="BK634" i="8"/>
  <c r="BL634" i="8"/>
  <c r="BM634" i="8" s="1"/>
  <c r="BK211" i="8"/>
  <c r="BL211" i="8"/>
  <c r="BM211" i="8" s="1"/>
  <c r="BK799" i="8"/>
  <c r="BL799" i="8"/>
  <c r="BL598" i="8"/>
  <c r="BM598" i="8" s="1"/>
  <c r="BK598" i="8"/>
  <c r="BK46" i="8"/>
  <c r="BL46" i="8"/>
  <c r="BM46" i="8" s="1"/>
  <c r="BL508" i="8"/>
  <c r="BM508" i="8" s="1"/>
  <c r="BK508" i="8"/>
  <c r="BK1049" i="8"/>
  <c r="BL1049" i="8"/>
  <c r="BM1049" i="8" s="1"/>
  <c r="BK144" i="8"/>
  <c r="BL144" i="8"/>
  <c r="BM144" i="8" s="1"/>
  <c r="BK131" i="8"/>
  <c r="BL131" i="8"/>
  <c r="BM131" i="8" s="1"/>
  <c r="BK1050" i="8"/>
  <c r="BL1050" i="8"/>
  <c r="BM1050" i="8" s="1"/>
  <c r="BK529" i="8"/>
  <c r="BL529" i="8"/>
  <c r="BM529" i="8" s="1"/>
  <c r="BK251" i="8"/>
  <c r="BL251" i="8"/>
  <c r="BM251" i="8" s="1"/>
  <c r="BK332" i="8"/>
  <c r="BL332" i="8"/>
  <c r="BK606" i="8"/>
  <c r="BL606" i="8"/>
  <c r="BM606" i="8" s="1"/>
  <c r="BK990" i="8"/>
  <c r="BL990" i="8"/>
  <c r="BK789" i="8"/>
  <c r="BL789" i="8"/>
  <c r="BM789" i="8" s="1"/>
  <c r="BK187" i="8"/>
  <c r="BL187" i="8"/>
  <c r="BM187" i="8" s="1"/>
  <c r="BK262" i="8"/>
  <c r="BL262" i="8"/>
  <c r="BM262" i="8" s="1"/>
  <c r="BK589" i="8"/>
  <c r="BL589" i="8"/>
  <c r="BK744" i="8"/>
  <c r="BL744" i="8"/>
  <c r="BM744" i="8" s="1"/>
  <c r="BK250" i="8"/>
  <c r="BL250" i="8"/>
  <c r="BM250" i="8" s="1"/>
  <c r="BK883" i="8"/>
  <c r="BL883" i="8"/>
  <c r="BM883" i="8" s="1"/>
  <c r="BK461" i="8"/>
  <c r="BL461" i="8"/>
  <c r="BM461" i="8" s="1"/>
  <c r="BK118" i="8"/>
  <c r="BL118" i="8"/>
  <c r="BM118" i="8" s="1"/>
  <c r="BK839" i="8"/>
  <c r="BL839" i="8"/>
  <c r="BM839" i="8" s="1"/>
  <c r="BL640" i="8"/>
  <c r="BM640" i="8" s="1"/>
  <c r="BK640" i="8"/>
  <c r="BK126" i="8"/>
  <c r="BL126" i="8"/>
  <c r="BM126" i="8" s="1"/>
  <c r="BK761" i="8"/>
  <c r="BL761" i="8"/>
  <c r="BL1047" i="8"/>
  <c r="BM1047" i="8" s="1"/>
  <c r="BK1047" i="8"/>
  <c r="BK629" i="8"/>
  <c r="BL629" i="8"/>
  <c r="BM629" i="8" s="1"/>
  <c r="BK405" i="8"/>
  <c r="BL405" i="8"/>
  <c r="BM405" i="8" s="1"/>
  <c r="BL700" i="8"/>
  <c r="BK700" i="8"/>
  <c r="BK1005" i="8"/>
  <c r="BL1005" i="8"/>
  <c r="BM1005" i="8" s="1"/>
  <c r="BL544" i="8"/>
  <c r="BM544" i="8" s="1"/>
  <c r="BK544" i="8"/>
  <c r="BK453" i="8"/>
  <c r="BL453" i="8"/>
  <c r="BK776" i="8"/>
  <c r="BL776" i="8"/>
  <c r="BM776" i="8" s="1"/>
  <c r="BK985" i="8"/>
  <c r="BL985" i="8"/>
  <c r="BM985" i="8" s="1"/>
  <c r="BK653" i="8"/>
  <c r="BL653" i="8"/>
  <c r="BM653" i="8" s="1"/>
  <c r="BK299" i="8"/>
  <c r="BL299" i="8"/>
  <c r="BM299" i="8" s="1"/>
  <c r="BK490" i="8"/>
  <c r="BL490" i="8"/>
  <c r="BK142" i="8"/>
  <c r="BL142" i="8"/>
  <c r="BM142" i="8" s="1"/>
  <c r="BK1075" i="8"/>
  <c r="BL1075" i="8"/>
  <c r="BK424" i="8"/>
  <c r="BL424" i="8"/>
  <c r="BK420" i="8"/>
  <c r="BL420" i="8"/>
  <c r="BM420" i="8" s="1"/>
  <c r="BK26" i="8"/>
  <c r="BL26" i="8"/>
  <c r="BM26" i="8" s="1"/>
  <c r="BL231" i="8"/>
  <c r="BM231" i="8" s="1"/>
  <c r="BK231" i="8"/>
  <c r="BK446" i="8"/>
  <c r="BL446" i="8"/>
  <c r="BM446" i="8" s="1"/>
  <c r="BL974" i="8"/>
  <c r="BM974" i="8" s="1"/>
  <c r="BK974" i="8"/>
  <c r="BK1056" i="8"/>
  <c r="BL1056" i="8"/>
  <c r="BK847" i="8"/>
  <c r="BL847" i="8"/>
  <c r="BK607" i="8"/>
  <c r="BL607" i="8"/>
  <c r="BM607" i="8" s="1"/>
  <c r="BK408" i="8"/>
  <c r="BL408" i="8"/>
  <c r="BM408" i="8" s="1"/>
  <c r="BL1084" i="8"/>
  <c r="BM1084" i="8" s="1"/>
  <c r="BK1084" i="8"/>
  <c r="BL1094" i="8"/>
  <c r="BM1094" i="8" s="1"/>
  <c r="BK1094" i="8"/>
  <c r="BL134" i="8"/>
  <c r="BM134" i="8" s="1"/>
  <c r="BK134" i="8"/>
  <c r="BL868" i="8"/>
  <c r="BK868" i="8"/>
  <c r="BK186" i="8"/>
  <c r="BL186" i="8"/>
  <c r="BM186" i="8" s="1"/>
  <c r="BL759" i="8"/>
  <c r="BM759" i="8" s="1"/>
  <c r="BK759" i="8"/>
  <c r="BL638" i="8"/>
  <c r="BM638" i="8" s="1"/>
  <c r="BK638" i="8"/>
  <c r="BK295" i="8"/>
  <c r="BL295" i="8"/>
  <c r="BM295" i="8" s="1"/>
  <c r="BK282" i="8"/>
  <c r="BL282" i="8"/>
  <c r="BM282" i="8" s="1"/>
  <c r="BK138" i="8"/>
  <c r="BL138" i="8"/>
  <c r="BM138" i="8" s="1"/>
  <c r="BK401" i="8"/>
  <c r="BL401" i="8"/>
  <c r="BM401" i="8" s="1"/>
  <c r="BK798" i="8"/>
  <c r="BL798" i="8"/>
  <c r="BK276" i="8"/>
  <c r="BL276" i="8"/>
  <c r="BM276" i="8" s="1"/>
  <c r="BL1107" i="8"/>
  <c r="BK1107" i="8"/>
  <c r="BL890" i="8"/>
  <c r="BM890" i="8" s="1"/>
  <c r="BK890" i="8"/>
  <c r="BK391" i="8"/>
  <c r="BL391" i="8"/>
  <c r="BM391" i="8" s="1"/>
  <c r="BL350" i="8"/>
  <c r="BM350" i="8" s="1"/>
  <c r="BK350" i="8"/>
  <c r="BK826" i="8"/>
  <c r="BL826" i="8"/>
  <c r="BM826" i="8" s="1"/>
  <c r="BL699" i="8"/>
  <c r="BM699" i="8" s="1"/>
  <c r="BK699" i="8"/>
  <c r="BK55" i="8"/>
  <c r="BL55" i="8"/>
  <c r="BM55" i="8" s="1"/>
  <c r="BK1041" i="8"/>
  <c r="BL1041" i="8"/>
  <c r="BM1041" i="8" s="1"/>
  <c r="BK612" i="8"/>
  <c r="BL612" i="8"/>
  <c r="BL1106" i="8"/>
  <c r="BM1106" i="8" s="1"/>
  <c r="BK1106" i="8"/>
  <c r="BK1054" i="8"/>
  <c r="BL1054" i="8"/>
  <c r="BM1054" i="8" s="1"/>
  <c r="BK222" i="8"/>
  <c r="BL222" i="8"/>
  <c r="BM222" i="8" s="1"/>
  <c r="BK552" i="8"/>
  <c r="BL552" i="8"/>
  <c r="BM552" i="8" s="1"/>
  <c r="BK434" i="8"/>
  <c r="BL434" i="8"/>
  <c r="BM434" i="8" s="1"/>
  <c r="BK981" i="8"/>
  <c r="BL981" i="8"/>
  <c r="BM981" i="8" s="1"/>
  <c r="BK504" i="8"/>
  <c r="BL504" i="8"/>
  <c r="BM504" i="8" s="1"/>
  <c r="BK511" i="8"/>
  <c r="BL511" i="8"/>
  <c r="BM511" i="8" s="1"/>
  <c r="BK347" i="8"/>
  <c r="BL347" i="8"/>
  <c r="BM347" i="8" s="1"/>
  <c r="BK1029" i="8"/>
  <c r="BL1029" i="8"/>
  <c r="BK583" i="8"/>
  <c r="BL583" i="8"/>
  <c r="BM583" i="8" s="1"/>
  <c r="BK456" i="8"/>
  <c r="BL456" i="8"/>
  <c r="BM456" i="8" s="1"/>
  <c r="BL466" i="8"/>
  <c r="BM466" i="8" s="1"/>
  <c r="BK466" i="8"/>
  <c r="BK103" i="8"/>
  <c r="BL103" i="8"/>
  <c r="BM103" i="8" s="1"/>
  <c r="BK1066" i="8"/>
  <c r="BL1066" i="8"/>
  <c r="BM1066" i="8" s="1"/>
  <c r="BK1065" i="8"/>
  <c r="BL1065" i="8"/>
  <c r="BK728" i="8"/>
  <c r="BL728" i="8"/>
  <c r="BM728" i="8" s="1"/>
  <c r="BK538" i="8"/>
  <c r="BL538" i="8"/>
  <c r="BL220" i="8"/>
  <c r="BM220" i="8" s="1"/>
  <c r="BK220" i="8"/>
  <c r="BK654" i="8"/>
  <c r="BL654" i="8"/>
  <c r="BM654" i="8" s="1"/>
  <c r="BK33" i="8"/>
  <c r="BL33" i="8"/>
  <c r="BM33" i="8" s="1"/>
  <c r="BK70" i="8"/>
  <c r="BL70" i="8"/>
  <c r="BM70" i="8" s="1"/>
  <c r="BK859" i="8"/>
  <c r="BL859" i="8"/>
  <c r="BM859" i="8" s="1"/>
  <c r="BL129" i="8"/>
  <c r="BM129" i="8" s="1"/>
  <c r="BK129" i="8"/>
  <c r="BK739" i="8"/>
  <c r="BL739" i="8"/>
  <c r="BM739" i="8" s="1"/>
  <c r="BK294" i="8"/>
  <c r="BL294" i="8"/>
  <c r="BM294" i="8" s="1"/>
  <c r="BK174" i="8"/>
  <c r="BL174" i="8"/>
  <c r="BM174" i="8" s="1"/>
  <c r="BK452" i="8"/>
  <c r="BL452" i="8"/>
  <c r="BM452" i="8" s="1"/>
  <c r="BK114" i="8"/>
  <c r="BL114" i="8"/>
  <c r="BM114" i="8" s="1"/>
  <c r="BK876" i="8"/>
  <c r="BL876" i="8"/>
  <c r="BM876" i="8" s="1"/>
  <c r="BL887" i="8"/>
  <c r="BK887" i="8"/>
  <c r="BL950" i="8"/>
  <c r="BM950" i="8" s="1"/>
  <c r="BK950" i="8"/>
  <c r="BK264" i="8"/>
  <c r="BL264" i="8"/>
  <c r="BM264" i="8" s="1"/>
  <c r="BK949" i="8"/>
  <c r="BL949" i="8"/>
  <c r="BM949" i="8" s="1"/>
  <c r="BL96" i="8"/>
  <c r="BM96" i="8" s="1"/>
  <c r="BK96" i="8"/>
  <c r="BL1059" i="8"/>
  <c r="BM1059" i="8" s="1"/>
  <c r="BK1059" i="8"/>
  <c r="BL913" i="8"/>
  <c r="BM913" i="8" s="1"/>
  <c r="BK913" i="8"/>
  <c r="BK608" i="8"/>
  <c r="BL608" i="8"/>
  <c r="BM608" i="8" s="1"/>
  <c r="BL904" i="8"/>
  <c r="BM904" i="8" s="1"/>
  <c r="BK904" i="8"/>
  <c r="BL926" i="8"/>
  <c r="BM926" i="8" s="1"/>
  <c r="BK926" i="8"/>
  <c r="BK395" i="8"/>
  <c r="BL395" i="8"/>
  <c r="BL196" i="8"/>
  <c r="BM196" i="8" s="1"/>
  <c r="BK196" i="8"/>
  <c r="BK1074" i="8"/>
  <c r="BL1074" i="8"/>
  <c r="BM1074" i="8" s="1"/>
  <c r="BK285" i="8"/>
  <c r="BL285" i="8"/>
  <c r="BM285" i="8" s="1"/>
  <c r="BK502" i="8"/>
  <c r="BL502" i="8"/>
  <c r="BM502" i="8" s="1"/>
  <c r="BK804" i="8"/>
  <c r="BL804" i="8"/>
  <c r="BM804" i="8" s="1"/>
  <c r="BK865" i="8"/>
  <c r="BL865" i="8"/>
  <c r="BM865" i="8" s="1"/>
  <c r="BK415" i="8"/>
  <c r="BL415" i="8"/>
  <c r="BM415" i="8" s="1"/>
  <c r="BK489" i="8"/>
  <c r="BL489" i="8"/>
  <c r="BM489" i="8" s="1"/>
  <c r="BK872" i="8"/>
  <c r="BL872" i="8"/>
  <c r="BM872" i="8" s="1"/>
  <c r="BK797" i="8"/>
  <c r="BL797" i="8"/>
  <c r="BM797" i="8" s="1"/>
  <c r="BL556" i="8"/>
  <c r="BM556" i="8" s="1"/>
  <c r="BK556" i="8"/>
  <c r="BK236" i="8"/>
  <c r="BL236" i="8"/>
  <c r="BM236" i="8" s="1"/>
  <c r="BK485" i="8"/>
  <c r="BL485" i="8"/>
  <c r="BM485" i="8" s="1"/>
  <c r="BK307" i="8"/>
  <c r="BL307" i="8"/>
  <c r="BM307" i="8" s="1"/>
  <c r="BK24" i="8"/>
  <c r="BL24" i="8"/>
  <c r="BM24" i="8" s="1"/>
  <c r="BK150" i="8"/>
  <c r="BL150" i="8"/>
  <c r="BM150" i="8" s="1"/>
  <c r="BK537" i="8"/>
  <c r="BL537" i="8"/>
  <c r="BM537" i="8" s="1"/>
  <c r="BL387" i="8"/>
  <c r="BM387" i="8" s="1"/>
  <c r="BK387" i="8"/>
  <c r="BK260" i="8"/>
  <c r="BL260" i="8"/>
  <c r="BM260" i="8" s="1"/>
  <c r="BK1042" i="8"/>
  <c r="BL1042" i="8"/>
  <c r="BM1042" i="8" s="1"/>
  <c r="BK1028" i="8"/>
  <c r="BL1028" i="8"/>
  <c r="BM1028" i="8" s="1"/>
  <c r="BK525" i="8"/>
  <c r="BL525" i="8"/>
  <c r="BM525" i="8" s="1"/>
  <c r="BL886" i="8"/>
  <c r="BM886" i="8" s="1"/>
  <c r="BK886" i="8"/>
  <c r="BK449" i="8"/>
  <c r="BL449" i="8"/>
  <c r="BK1114" i="8"/>
  <c r="BL1114" i="8"/>
  <c r="BM1114" i="8" s="1"/>
  <c r="BK25" i="8"/>
  <c r="BL25" i="8"/>
  <c r="BM25" i="8" s="1"/>
  <c r="BL159" i="8"/>
  <c r="BM159" i="8" s="1"/>
  <c r="BK159" i="8"/>
  <c r="BK967" i="8"/>
  <c r="BL967" i="8"/>
  <c r="BM967" i="8" s="1"/>
  <c r="BL819" i="8"/>
  <c r="BM819" i="8" s="1"/>
  <c r="BK819" i="8"/>
  <c r="BJ1129" i="8"/>
  <c r="BK10" i="8"/>
  <c r="BL12" i="8"/>
  <c r="BK6" i="8"/>
  <c r="BK13" i="8"/>
  <c r="BL13" i="8"/>
  <c r="BM14" i="8" s="1"/>
  <c r="BK5" i="8"/>
  <c r="BL5" i="8"/>
  <c r="BK9" i="8"/>
  <c r="BL9" i="8"/>
  <c r="BM10" i="8" s="1"/>
  <c r="BK7" i="8"/>
  <c r="BL7" i="8"/>
  <c r="BM7" i="8" s="1"/>
  <c r="BK11" i="8"/>
  <c r="BL11" i="8"/>
  <c r="BM11" i="8" s="1"/>
  <c r="BK8" i="8"/>
  <c r="BM1127" i="8" l="1"/>
  <c r="BM1085" i="8"/>
  <c r="BM931" i="8"/>
  <c r="BM641" i="8"/>
  <c r="BM760" i="8"/>
  <c r="BM655" i="8"/>
  <c r="BM642" i="8"/>
  <c r="BM1030" i="8"/>
  <c r="BM1051" i="8"/>
  <c r="BM366" i="8"/>
  <c r="BM665" i="8"/>
  <c r="BM803" i="8"/>
  <c r="BM900" i="8"/>
  <c r="BM1088" i="8"/>
  <c r="BM430" i="8"/>
  <c r="BM667" i="8"/>
  <c r="BM330" i="8"/>
  <c r="BM800" i="8"/>
  <c r="BM343" i="8"/>
  <c r="BM808" i="8"/>
  <c r="BM386" i="8"/>
  <c r="BM897" i="8"/>
  <c r="BM540" i="8"/>
  <c r="BM314" i="8"/>
  <c r="BM1057" i="8"/>
  <c r="BM513" i="8"/>
  <c r="BM775" i="8"/>
  <c r="BM1040" i="8"/>
  <c r="BM431" i="8"/>
  <c r="BM814" i="8"/>
  <c r="BM793" i="8"/>
  <c r="BM983" i="8"/>
  <c r="BM371" i="8"/>
  <c r="BM481" i="8"/>
  <c r="BM958" i="8"/>
  <c r="BM442" i="8"/>
  <c r="BM861" i="8"/>
  <c r="BM882" i="8"/>
  <c r="BM1095" i="8"/>
  <c r="BM538" i="8"/>
  <c r="BM1029" i="8"/>
  <c r="BM761" i="8"/>
  <c r="BM479" i="8"/>
  <c r="BM1011" i="8"/>
  <c r="BM922" i="8"/>
  <c r="BM938" i="8"/>
  <c r="BM1021" i="8"/>
  <c r="BM454" i="8"/>
  <c r="BM1013" i="8"/>
  <c r="BM706" i="8"/>
  <c r="BM662" i="8"/>
  <c r="BM318" i="8"/>
  <c r="BM956" i="8"/>
  <c r="BM633" i="8"/>
  <c r="BM777" i="8"/>
  <c r="BM935" i="8"/>
  <c r="BM888" i="8"/>
  <c r="BM696" i="8"/>
  <c r="BM571" i="8"/>
  <c r="BM792" i="8"/>
  <c r="BM923" i="8"/>
  <c r="BM601" i="8"/>
  <c r="BM969" i="8"/>
  <c r="BM1081" i="8"/>
  <c r="BM907" i="8"/>
  <c r="BM1001" i="8"/>
  <c r="BM909" i="8"/>
  <c r="BM553" i="8"/>
  <c r="BM741" i="8"/>
  <c r="BM757" i="8"/>
  <c r="BM874" i="8"/>
  <c r="BM477" i="8"/>
  <c r="BM1076" i="8"/>
  <c r="BM657" i="8"/>
  <c r="BM593" i="8"/>
  <c r="BM1077" i="8"/>
  <c r="BM626" i="8"/>
  <c r="BM450" i="8"/>
  <c r="BM573" i="8"/>
  <c r="BM727" i="8"/>
  <c r="BM1025" i="8"/>
  <c r="BM449" i="8"/>
  <c r="BM395" i="8"/>
  <c r="BM424" i="8"/>
  <c r="BM453" i="8"/>
  <c r="BM589" i="8"/>
  <c r="BM799" i="8"/>
  <c r="BM772" i="8"/>
  <c r="BM384" i="8"/>
  <c r="BM703" i="8"/>
  <c r="BM364" i="8"/>
  <c r="BM579" i="8"/>
  <c r="BM610" i="8"/>
  <c r="BM1060" i="8"/>
  <c r="BM724" i="8"/>
  <c r="BM615" i="8"/>
  <c r="BM604" i="8"/>
  <c r="BM1122" i="8"/>
  <c r="BM584" i="8"/>
  <c r="BM560" i="8"/>
  <c r="BM441" i="8"/>
  <c r="BM721" i="8"/>
  <c r="BM995" i="8"/>
  <c r="BM329" i="8"/>
  <c r="BM828" i="8"/>
  <c r="BM433" i="8"/>
  <c r="BM338" i="8"/>
  <c r="BM976" i="8"/>
  <c r="BM425" i="8"/>
  <c r="BM428" i="8"/>
  <c r="BM447" i="8"/>
  <c r="BM692" i="8"/>
  <c r="BM587" i="8"/>
  <c r="BM487" i="8"/>
  <c r="BM809" i="8"/>
  <c r="BM630" i="8"/>
  <c r="BM992" i="8"/>
  <c r="BM869" i="8"/>
  <c r="BM1058" i="8"/>
  <c r="BM414" i="8"/>
  <c r="BM668" i="8"/>
  <c r="BM1086" i="8"/>
  <c r="BM751" i="8"/>
  <c r="BM993" i="8"/>
  <c r="BM972" i="8"/>
  <c r="BM360" i="8"/>
  <c r="BM1065" i="8"/>
  <c r="BM612" i="8"/>
  <c r="BM847" i="8"/>
  <c r="BM1075" i="8"/>
  <c r="BM531" i="8"/>
  <c r="BM854" i="8"/>
  <c r="BM592" i="8"/>
  <c r="BM878" i="8"/>
  <c r="BM747" i="8"/>
  <c r="BM855" i="8"/>
  <c r="BM550" i="8"/>
  <c r="BM980" i="8"/>
  <c r="BM917" i="8"/>
  <c r="BM928" i="8"/>
  <c r="BM832" i="8"/>
  <c r="BM651" i="8"/>
  <c r="BM1112" i="8"/>
  <c r="BM1107" i="8"/>
  <c r="BM562" i="8"/>
  <c r="BM406" i="8"/>
  <c r="BM674" i="8"/>
  <c r="BM863" i="8"/>
  <c r="BM1033" i="8"/>
  <c r="BM656" i="8"/>
  <c r="BM774" i="8"/>
  <c r="BM686" i="8"/>
  <c r="BM866" i="8"/>
  <c r="BM933" i="8"/>
  <c r="BM825" i="8"/>
  <c r="BM1121" i="8"/>
  <c r="BM730" i="8"/>
  <c r="BM1093" i="8"/>
  <c r="BM322" i="8"/>
  <c r="BM1045" i="8"/>
  <c r="BM951" i="8"/>
  <c r="BM557" i="8"/>
  <c r="BM779" i="8"/>
  <c r="BM354" i="8"/>
  <c r="BM694" i="8"/>
  <c r="BM505" i="8"/>
  <c r="BM367" i="8"/>
  <c r="BM351" i="8"/>
  <c r="BM1056" i="8"/>
  <c r="BM370" i="8"/>
  <c r="BM820" i="8"/>
  <c r="BM768" i="8"/>
  <c r="BM467" i="8"/>
  <c r="BM555" i="8"/>
  <c r="BM1024" i="8"/>
  <c r="BM1006" i="8"/>
  <c r="BM927" i="8"/>
  <c r="BM1048" i="8"/>
  <c r="BM963" i="8"/>
  <c r="BM939" i="8"/>
  <c r="BM470" i="8"/>
  <c r="BM315" i="8"/>
  <c r="BM1073" i="8"/>
  <c r="BM856" i="8"/>
  <c r="BM497" i="8"/>
  <c r="BM714" i="8"/>
  <c r="BM1018" i="8"/>
  <c r="BM891" i="8"/>
  <c r="BM326" i="8"/>
  <c r="BM1071" i="8"/>
  <c r="BM543" i="8"/>
  <c r="BM506" i="8"/>
  <c r="BM486" i="8"/>
  <c r="BM381" i="8"/>
  <c r="BM729" i="8"/>
  <c r="BM661" i="8"/>
  <c r="BM526" i="8"/>
  <c r="BM991" i="8"/>
  <c r="BM850" i="8"/>
  <c r="BM396" i="8"/>
  <c r="BM840" i="8"/>
  <c r="BM925" i="8"/>
  <c r="BM400" i="8"/>
  <c r="BM848" i="8"/>
  <c r="BM547" i="8"/>
  <c r="BM1016" i="8"/>
  <c r="BM463" i="8"/>
  <c r="BM743" i="8"/>
  <c r="BM569" i="8"/>
  <c r="BM517" i="8"/>
  <c r="BM905" i="8"/>
  <c r="BM620" i="8"/>
  <c r="BM438" i="8"/>
  <c r="BM509" i="8"/>
  <c r="BM1034" i="8"/>
  <c r="BM618" i="8"/>
  <c r="BM581" i="8"/>
  <c r="BM1079" i="8"/>
  <c r="BM596" i="8"/>
  <c r="BM495" i="8"/>
  <c r="BM710" i="8"/>
  <c r="BM954" i="8"/>
  <c r="BM622" i="8"/>
  <c r="BM1109" i="8"/>
  <c r="BM1101" i="8"/>
  <c r="BM745" i="8"/>
  <c r="BM766" i="8"/>
  <c r="BM755" i="8"/>
  <c r="BM914" i="8"/>
  <c r="BM798" i="8"/>
  <c r="BM490" i="8"/>
  <c r="BM946" i="8"/>
  <c r="BM880" i="8"/>
  <c r="BM702" i="8"/>
  <c r="BM831" i="8"/>
  <c r="BM975" i="8"/>
  <c r="BM838" i="8"/>
  <c r="BM460" i="8"/>
  <c r="BM1083" i="8"/>
  <c r="BM811" i="8"/>
  <c r="BM435" i="8"/>
  <c r="BM1108" i="8"/>
  <c r="BM998" i="8"/>
  <c r="BM1067" i="8"/>
  <c r="BM942" i="8"/>
  <c r="BM576" i="8"/>
  <c r="BM902" i="8"/>
  <c r="BM987" i="8"/>
  <c r="BM688" i="8"/>
  <c r="BM352" i="8"/>
  <c r="BM915" i="8"/>
  <c r="BM372" i="8"/>
  <c r="BM868" i="8"/>
  <c r="BM700" i="8"/>
  <c r="BM516" i="8"/>
  <c r="BM625" i="8"/>
  <c r="BM764" i="8"/>
  <c r="BM1115" i="8"/>
  <c r="BM720" i="8"/>
  <c r="BM945" i="8"/>
  <c r="BM345" i="8"/>
  <c r="BM971" i="8"/>
  <c r="BM982" i="8"/>
  <c r="BM1116" i="8"/>
  <c r="BM827" i="8"/>
  <c r="BM756" i="8"/>
  <c r="BM782" i="8"/>
  <c r="BM382" i="8"/>
  <c r="BM740" i="8"/>
  <c r="BM713" i="8"/>
  <c r="BM539" i="8"/>
  <c r="BM422" i="8"/>
  <c r="BM1043" i="8"/>
  <c r="BM321" i="8"/>
  <c r="BM356" i="8"/>
  <c r="BM341" i="8"/>
  <c r="BM333" i="8"/>
  <c r="BM335" i="8"/>
  <c r="BM1053" i="8"/>
  <c r="BM910" i="8"/>
  <c r="BM458" i="8"/>
  <c r="BM535" i="8"/>
  <c r="BM864" i="8"/>
  <c r="BM647" i="8"/>
  <c r="BM678" i="8"/>
  <c r="BM455" i="8"/>
  <c r="BM936" i="8"/>
  <c r="BM565" i="8"/>
  <c r="BM851" i="8"/>
  <c r="BM416" i="8"/>
  <c r="BM644" i="8"/>
  <c r="BM887" i="8"/>
  <c r="BM990" i="8"/>
  <c r="BM817" i="8"/>
  <c r="BM822" i="8"/>
  <c r="BM873" i="8"/>
  <c r="BM340" i="8"/>
  <c r="BM1012" i="8"/>
  <c r="BM843" i="8"/>
  <c r="BM363" i="8"/>
  <c r="BM681" i="8"/>
  <c r="BM639" i="8"/>
  <c r="BM1035" i="8"/>
  <c r="BM1068" i="8"/>
  <c r="BM491" i="8"/>
  <c r="BM388" i="8"/>
  <c r="BM1099" i="8"/>
  <c r="BM844" i="8"/>
  <c r="BM675" i="8"/>
  <c r="BM522" i="8"/>
  <c r="BM673" i="8"/>
  <c r="BM457" i="8"/>
  <c r="BM753" i="8"/>
  <c r="BM609" i="8"/>
  <c r="BM885" i="8"/>
  <c r="BM762" i="8"/>
  <c r="BM1003" i="8"/>
  <c r="BM348" i="8"/>
  <c r="BM392" i="8"/>
  <c r="BM520" i="8"/>
  <c r="BM841" i="8"/>
  <c r="BM659" i="8"/>
  <c r="BM528" i="8"/>
  <c r="BM586" i="8"/>
  <c r="BM919" i="8"/>
  <c r="BM572" i="8"/>
  <c r="BM709" i="8"/>
  <c r="BM649" i="8"/>
  <c r="BM812" i="8"/>
  <c r="BM881" i="8"/>
  <c r="BM731" i="8"/>
  <c r="BM736" i="8"/>
  <c r="BM682" i="8"/>
  <c r="BM671" i="8"/>
  <c r="BM788" i="8"/>
  <c r="BM474" i="8"/>
  <c r="BM894" i="8"/>
  <c r="BM679" i="8"/>
  <c r="BM1089" i="8"/>
  <c r="BM947" i="8"/>
  <c r="BM786" i="8"/>
  <c r="BM501" i="8"/>
  <c r="BM1113" i="8"/>
  <c r="BM563" i="8"/>
  <c r="BM1092" i="8"/>
  <c r="BM636" i="8"/>
  <c r="BM599" i="8"/>
  <c r="BM1031" i="8"/>
  <c r="BM1119" i="8"/>
  <c r="BM483" i="8"/>
  <c r="BM784" i="8"/>
  <c r="BM628" i="8"/>
  <c r="BM748" i="8"/>
  <c r="BM465" i="8"/>
  <c r="BM412" i="8"/>
  <c r="BM374" i="8"/>
  <c r="BM940" i="8"/>
  <c r="BM402" i="8"/>
  <c r="BM837" i="8"/>
  <c r="BM701" i="8"/>
  <c r="BM545" i="8"/>
  <c r="BM961" i="8"/>
  <c r="BM965" i="8"/>
  <c r="BM802" i="8"/>
  <c r="BM735" i="8"/>
  <c r="BM932" i="8"/>
  <c r="BM468" i="8"/>
  <c r="BM790" i="8"/>
  <c r="BM966" i="8"/>
  <c r="BM410" i="8"/>
  <c r="BM765" i="8"/>
  <c r="BM823" i="8"/>
  <c r="BM829" i="8"/>
  <c r="BM407" i="8"/>
  <c r="BM684" i="8"/>
  <c r="BM377" i="8"/>
  <c r="BM697" i="8"/>
  <c r="BM717" i="8"/>
  <c r="BM1117" i="8"/>
  <c r="BM403" i="8"/>
  <c r="BM670" i="8"/>
  <c r="BM769" i="8"/>
  <c r="BM319" i="8"/>
  <c r="BM397" i="8"/>
  <c r="BM445" i="8"/>
  <c r="BM500" i="8"/>
  <c r="BM548" i="8"/>
  <c r="BM978" i="8"/>
  <c r="BM795" i="8"/>
  <c r="BM332" i="8"/>
  <c r="BM997" i="8"/>
  <c r="BM418" i="8"/>
  <c r="BM567" i="8"/>
  <c r="BM1105" i="8"/>
  <c r="BM542" i="8"/>
  <c r="BM383" i="8"/>
  <c r="BM805" i="8"/>
  <c r="BM898" i="8"/>
  <c r="BM426" i="8"/>
  <c r="BM1126" i="8"/>
  <c r="BM590" i="8"/>
  <c r="BM1036" i="8"/>
  <c r="BM616" i="8"/>
  <c r="BM471" i="8"/>
  <c r="BM1022" i="8"/>
  <c r="BM834" i="8"/>
  <c r="BM1128" i="8"/>
  <c r="BM8" i="8"/>
  <c r="BM12" i="8"/>
  <c r="BK1129" i="8"/>
  <c r="BM6" i="8"/>
  <c r="BM9" i="8"/>
  <c r="BM5" i="8"/>
  <c r="BM13" i="8"/>
  <c r="B19" i="3" l="1"/>
  <c r="B15" i="3"/>
  <c r="BM112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<sst xmlns="http://schemas.openxmlformats.org/spreadsheetml/2006/main" count="1435" uniqueCount="1345">
  <si>
    <t>Total</t>
  </si>
  <si>
    <t>KM Factor</t>
  </si>
  <si>
    <t>K-M P Value</t>
  </si>
  <si>
    <t>Net KM Factor -
KM Factor taking into account pcts audited multiple times</t>
  </si>
  <si>
    <t>Status -
Continue or stop audit</t>
  </si>
  <si>
    <t>Running (cumulative) sum</t>
  </si>
  <si>
    <t>Over Votes</t>
  </si>
  <si>
    <t>Under Votes</t>
  </si>
  <si>
    <t>Batch Number</t>
  </si>
  <si>
    <t>Batch Name</t>
  </si>
  <si>
    <t>Post-Election Audit</t>
  </si>
  <si>
    <t>General Information</t>
  </si>
  <si>
    <t>Contest Audited</t>
  </si>
  <si>
    <t>Number of Precincts within Contest</t>
  </si>
  <si>
    <t>Number of Batches within Contest</t>
  </si>
  <si>
    <t>Number of Ballots Cast within Contest</t>
  </si>
  <si>
    <t>Number of Ballots Cast within Election</t>
  </si>
  <si>
    <t>Confidence Level</t>
  </si>
  <si>
    <t>Number of Batches Audited</t>
  </si>
  <si>
    <t>Number of Unique Batches Audited</t>
  </si>
  <si>
    <t>Number of Ballots Audited</t>
  </si>
  <si>
    <t xml:space="preserve">Number of Tabulation Discrepancies </t>
  </si>
  <si>
    <t xml:space="preserve">Error Rate </t>
  </si>
  <si>
    <t>Number of Precincts with Accurate Signature Tallies</t>
  </si>
  <si>
    <t>Number of Precincts with Accurate Ballot Reconciliation</t>
  </si>
  <si>
    <t>Total Cost of Post-Election Audit</t>
  </si>
  <si>
    <t>Cost Per Ballot (Ballots Cast in Audited Contest Only)</t>
  </si>
  <si>
    <t>Cost Per Ballot (Ballots Cast in Entire Election)</t>
  </si>
  <si>
    <t>Draw</t>
  </si>
  <si>
    <t xml:space="preserve">Number of Responses within Contest </t>
  </si>
  <si>
    <t>Upper Range</t>
  </si>
  <si>
    <t>Lower Range</t>
  </si>
  <si>
    <t>Span</t>
  </si>
  <si>
    <t>Difference Loser</t>
  </si>
  <si>
    <t>Difference Winner</t>
  </si>
  <si>
    <t>Max Differences</t>
  </si>
  <si>
    <t>Canceled Differences</t>
  </si>
  <si>
    <t>Total Differences</t>
  </si>
  <si>
    <t>Process Batch</t>
  </si>
  <si>
    <t>Selection Span</t>
  </si>
  <si>
    <t>Highest Selection Value (Value Included)</t>
  </si>
  <si>
    <t>Lowest Selection Value (Value Included)</t>
  </si>
  <si>
    <t>Minimum For Selection Span</t>
  </si>
  <si>
    <t>Reason For Differences</t>
  </si>
  <si>
    <t>Audit Parameters</t>
  </si>
  <si>
    <t>Precinct Name</t>
  </si>
  <si>
    <t>Explanation</t>
  </si>
  <si>
    <t>Winning Candidate</t>
  </si>
  <si>
    <t>Third Candidate</t>
  </si>
  <si>
    <t>Fourth Candidate</t>
  </si>
  <si>
    <t>Fifth Candidate</t>
  </si>
  <si>
    <t>Sixth Candidate</t>
  </si>
  <si>
    <t>Candidate 5</t>
  </si>
  <si>
    <t>Candidate 6</t>
  </si>
  <si>
    <t>Selection Range</t>
  </si>
  <si>
    <r>
      <t>Precinct (</t>
    </r>
    <r>
      <rPr>
        <i/>
        <vertAlign val="subscript"/>
        <sz val="11"/>
        <color theme="3" tint="-0.249977111117893"/>
        <rFont val="Calibri"/>
        <family val="2"/>
        <scheme val="minor"/>
      </rPr>
      <t>p</t>
    </r>
    <r>
      <rPr>
        <sz val="11"/>
        <color theme="3" tint="-0.249977111117893"/>
        <rFont val="Calibri"/>
        <family val="2"/>
        <scheme val="minor"/>
      </rPr>
      <t>) - Batched by Type</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</si>
  <si>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t>
    </r>
  </si>
  <si>
    <r>
      <rPr>
        <i/>
        <sz val="11"/>
        <color theme="3" tint="-0.249977111117893"/>
        <rFont val="Calibri"/>
        <family val="2"/>
        <scheme val="minor"/>
      </rPr>
      <t>u</t>
    </r>
    <r>
      <rPr>
        <i/>
        <vertAlign val="subscript"/>
        <sz val="11"/>
        <color theme="3" tint="-0.249977111117893"/>
        <rFont val="Calibri"/>
        <family val="2"/>
        <scheme val="minor"/>
      </rPr>
      <t>p</t>
    </r>
    <r>
      <rPr>
        <i/>
        <sz val="11"/>
        <color theme="3" tint="-0.249977111117893"/>
        <rFont val="Calibri"/>
        <family val="2"/>
        <scheme val="minor"/>
      </rPr>
      <t xml:space="preserve">/U </t>
    </r>
    <r>
      <rPr>
        <sz val="11"/>
        <color theme="3" tint="-0.249977111117893"/>
        <rFont val="Calibri"/>
        <family val="2"/>
        <scheme val="minor"/>
      </rPr>
      <t>Selection Probability</t>
    </r>
  </si>
  <si>
    <r>
      <t xml:space="preserve">Times </t>
    </r>
    <r>
      <rPr>
        <i/>
        <vertAlign val="subscript"/>
        <sz val="11"/>
        <color theme="3" tint="-0.249977111117893"/>
        <rFont val="Calibri"/>
        <family val="2"/>
        <scheme val="minor"/>
      </rPr>
      <t>p</t>
    </r>
    <r>
      <rPr>
        <sz val="11"/>
        <color theme="3" tint="-0.249977111117893"/>
        <rFont val="Calibri"/>
        <family val="2"/>
        <scheme val="minor"/>
      </rPr>
      <t xml:space="preserve"> Drawn - With Replacement</t>
    </r>
  </si>
  <si>
    <r>
      <rPr>
        <b/>
        <i/>
        <sz val="11"/>
        <color theme="0"/>
        <rFont val="Calibri"/>
        <family val="2"/>
        <scheme val="minor"/>
      </rPr>
      <t>u</t>
    </r>
    <r>
      <rPr>
        <b/>
        <i/>
        <vertAlign val="subscript"/>
        <sz val="11"/>
        <color theme="0"/>
        <rFont val="Calibri"/>
        <family val="2"/>
        <scheme val="minor"/>
      </rPr>
      <t>p</t>
    </r>
    <r>
      <rPr>
        <b/>
        <i/>
        <sz val="11"/>
        <color theme="0"/>
        <rFont val="Calibri"/>
        <family val="2"/>
        <scheme val="minor"/>
      </rPr>
      <t xml:space="preserve">/U </t>
    </r>
    <r>
      <rPr>
        <b/>
        <sz val="11"/>
        <color theme="0"/>
        <rFont val="Calibri"/>
        <family val="2"/>
        <scheme val="minor"/>
      </rPr>
      <t>Selection Probability</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</si>
  <si>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</si>
  <si>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t>Losing Candidate</t>
  </si>
  <si>
    <t>Candidate 3</t>
  </si>
  <si>
    <t>Candidate 4</t>
  </si>
  <si>
    <r>
      <t>Precinct (</t>
    </r>
    <r>
      <rPr>
        <b/>
        <i/>
        <vertAlign val="subscript"/>
        <sz val="11"/>
        <color theme="0"/>
        <rFont val="Calibri"/>
        <family val="2"/>
        <scheme val="minor"/>
      </rPr>
      <t>p</t>
    </r>
    <r>
      <rPr>
        <b/>
        <sz val="11"/>
        <color theme="0"/>
        <rFont val="Calibri"/>
        <family val="2"/>
        <scheme val="minor"/>
      </rPr>
      <t>) -
Batched by Type</t>
    </r>
  </si>
  <si>
    <r>
      <t>Error Bound (</t>
    </r>
    <r>
      <rPr>
        <b/>
        <i/>
        <sz val="11"/>
        <color theme="0"/>
        <rFont val="Calibri"/>
        <family val="2"/>
        <scheme val="minor"/>
      </rPr>
      <t>u</t>
    </r>
    <r>
      <rPr>
        <b/>
        <vertAlign val="subscript"/>
        <sz val="11"/>
        <color theme="0"/>
        <rFont val="Calibri"/>
        <family val="2"/>
        <scheme val="minor"/>
      </rPr>
      <t xml:space="preserve">p) -
</t>
    </r>
    <r>
      <rPr>
        <b/>
        <sz val="11"/>
        <color theme="0"/>
        <rFont val="Calibri"/>
        <family val="2"/>
        <scheme val="minor"/>
      </rPr>
      <t>Max. possible relative overstatement</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</si>
  <si>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</si>
  <si>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r>
      <t>Taint (</t>
    </r>
    <r>
      <rPr>
        <b/>
        <i/>
        <vertAlign val="subscript"/>
        <sz val="11"/>
        <color theme="0"/>
        <rFont val="Calibri"/>
        <family val="2"/>
        <scheme val="minor"/>
      </rPr>
      <t>t</t>
    </r>
    <r>
      <rPr>
        <b/>
        <sz val="11"/>
        <color theme="0"/>
        <rFont val="Calibri"/>
        <family val="2"/>
        <scheme val="minor"/>
      </rPr>
      <t>) -
Error rate as a proportion of the max possible relative overstatement</t>
    </r>
  </si>
  <si>
    <t>Audit Losing Candidate</t>
  </si>
  <si>
    <t>Audit Winning Candidate</t>
  </si>
  <si>
    <t>Audit Candidate 3</t>
  </si>
  <si>
    <t>Audit Candidate 4</t>
  </si>
  <si>
    <t>Audit Candidate 5</t>
  </si>
  <si>
    <t>Audit Candidate 6</t>
  </si>
  <si>
    <t>Net KM Factor - KM Factor taking into account pcts audited multiple times</t>
  </si>
  <si>
    <t>Status - Continue or stop audit</t>
  </si>
  <si>
    <t>Difference Candidate 3</t>
  </si>
  <si>
    <t>Difference Candidate 4</t>
  </si>
  <si>
    <t>Difference Candidate 5</t>
  </si>
  <si>
    <t>Difference Candidate 6</t>
  </si>
  <si>
    <r>
      <t>Relative Error (</t>
    </r>
    <r>
      <rPr>
        <i/>
        <sz val="11"/>
        <color theme="3" tint="-0.249977111117893"/>
        <rFont val="Calibri"/>
        <family val="2"/>
        <scheme val="minor"/>
      </rPr>
      <t>e</t>
    </r>
    <r>
      <rPr>
        <vertAlign val="subscript"/>
        <sz val="11"/>
        <color theme="3" tint="-0.249977111117893"/>
        <rFont val="Calibri"/>
        <family val="2"/>
        <scheme val="minor"/>
      </rPr>
      <t xml:space="preserve">p) - </t>
    </r>
    <r>
      <rPr>
        <sz val="11"/>
        <color theme="3" tint="-0.249977111117893"/>
        <rFont val="Calibri"/>
        <family val="2"/>
        <scheme val="minor"/>
      </rPr>
      <t>Error Rate as a proportion of the margin of victory for Winning Candidate</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</si>
  <si>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3</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</si>
  <si>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4</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</si>
  <si>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5</t>
    </r>
    <r>
      <rPr>
        <sz val="11"/>
        <color theme="1"/>
        <rFont val="Calibri"/>
        <family val="2"/>
        <scheme val="minor"/>
      </rPr>
      <t/>
    </r>
  </si>
  <si>
    <r>
      <t>Taint (</t>
    </r>
    <r>
      <rPr>
        <i/>
        <vertAlign val="subscript"/>
        <sz val="11"/>
        <color theme="3" tint="-0.249977111117893"/>
        <rFont val="Calibri"/>
        <family val="2"/>
        <scheme val="minor"/>
      </rPr>
      <t>t</t>
    </r>
    <r>
      <rPr>
        <sz val="11"/>
        <color theme="3" tint="-0.249977111117893"/>
        <rFont val="Calibri"/>
        <family val="2"/>
        <scheme val="minor"/>
      </rPr>
      <t>) - Error rate as a proportion of the max possible relative overstatement</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</si>
  <si>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 - Losing Candidate</t>
    </r>
  </si>
  <si>
    <t>Error Bound (up) - Max. possible relative overstatement - Candidate 3</t>
  </si>
  <si>
    <t>Error Bound (up) - Max. possible relative overstatement - Candidate 4</t>
  </si>
  <si>
    <t>Error Bound (up) - Max. possible relative overstatement - Candidate 5</t>
  </si>
  <si>
    <t>Error Bound (up) - Max. possible relative overstatement - Candidate 6</t>
  </si>
  <si>
    <r>
      <t>Max Error Bound (</t>
    </r>
    <r>
      <rPr>
        <b/>
        <i/>
        <sz val="11"/>
        <color theme="0"/>
        <rFont val="Calibri"/>
        <family val="2"/>
        <scheme val="minor"/>
      </rPr>
      <t>u</t>
    </r>
    <r>
      <rPr>
        <b/>
        <i/>
        <sz val="10"/>
        <color theme="0"/>
        <rFont val="Calibri"/>
        <family val="2"/>
        <scheme val="minor"/>
      </rPr>
      <t>p</t>
    </r>
    <r>
      <rPr>
        <b/>
        <sz val="11"/>
        <color theme="0"/>
        <rFont val="Calibri"/>
        <family val="2"/>
        <scheme val="minor"/>
      </rPr>
      <t>)</t>
    </r>
  </si>
  <si>
    <t>Max Error Bound (up)</t>
  </si>
  <si>
    <t>Max Relative Error (ep)</t>
  </si>
  <si>
    <t>Selection - 
Batch picked for audit</t>
  </si>
  <si>
    <r>
      <t>Batch by Type (</t>
    </r>
    <r>
      <rPr>
        <b/>
        <i/>
        <vertAlign val="subscript"/>
        <sz val="11"/>
        <color theme="0"/>
        <rFont val="Calibri"/>
        <family val="2"/>
        <scheme val="minor"/>
      </rPr>
      <t>p</t>
    </r>
    <r>
      <rPr>
        <b/>
        <sz val="11"/>
        <color theme="0"/>
        <rFont val="Calibri"/>
        <family val="2"/>
        <scheme val="minor"/>
      </rPr>
      <t>)</t>
    </r>
  </si>
  <si>
    <t>Batch by Type (p)</t>
  </si>
  <si>
    <t>Selection - Batch picked for audit</t>
  </si>
  <si>
    <t>Selection -
Batch picked for audit</t>
  </si>
  <si>
    <t>User Editable Columns</t>
  </si>
  <si>
    <t>Calculated Columns (Do Not Edit)</t>
  </si>
  <si>
    <t>Number of Batches per Precinct</t>
  </si>
  <si>
    <t>Click on 'Hide' in the popup menu.</t>
  </si>
  <si>
    <t>Click on 'Unhide' in the popup menu.</t>
  </si>
  <si>
    <t>Winning Candidate / Response</t>
  </si>
  <si>
    <t>First Losing Candidate / Response</t>
  </si>
  <si>
    <t>To extend a table:</t>
  </si>
  <si>
    <t xml:space="preserve">To shrink a table: </t>
  </si>
  <si>
    <t>Save results</t>
  </si>
  <si>
    <r>
      <rPr>
        <b/>
        <sz val="11"/>
        <rFont val="Calibri"/>
        <family val="2"/>
        <scheme val="minor"/>
      </rPr>
      <t>Optional:</t>
    </r>
    <r>
      <rPr>
        <sz val="11"/>
        <rFont val="Calibri"/>
        <family val="2"/>
        <scheme val="minor"/>
      </rPr>
      <t xml:space="preserve"> Type in the total cost for conducting the audit in cell B22.</t>
    </r>
  </si>
  <si>
    <t>S1</t>
  </si>
  <si>
    <t>S2</t>
  </si>
  <si>
    <t>S3</t>
  </si>
  <si>
    <t>S4</t>
  </si>
  <si>
    <t>Candidate / Issue Reponses</t>
  </si>
  <si>
    <t>S5</t>
  </si>
  <si>
    <t>Note: This table will automatically grow as you enter data past the last line.</t>
  </si>
  <si>
    <t>Locate the bottom right cell in the table.</t>
  </si>
  <si>
    <t>Click on the down arrow, then click on 'Paste Values'.</t>
  </si>
  <si>
    <r>
      <t xml:space="preserve">Save a new copy to work from using the 'Save As' option in the menu. </t>
    </r>
    <r>
      <rPr>
        <b/>
        <i/>
        <sz val="11"/>
        <color theme="1"/>
        <rFont val="Calibri"/>
        <family val="2"/>
        <scheme val="minor"/>
      </rPr>
      <t>Do not modify the original 
spreadsheet.</t>
    </r>
  </si>
  <si>
    <r>
      <t xml:space="preserve">Continue auditing the batches until the status for the current batch displays 'Stop'. 
</t>
    </r>
    <r>
      <rPr>
        <b/>
        <i/>
        <sz val="11"/>
        <rFont val="Calibri"/>
        <family val="2"/>
        <scheme val="minor"/>
      </rPr>
      <t>Note: the color of that column will change from green to yellow to red to show the progress.</t>
    </r>
  </si>
  <si>
    <t>Note: The batch name will change to 'END' when there are no more discrepancies to report.</t>
  </si>
  <si>
    <t>Locate on the left of the 'Home' tab an image of a clipboard with word 'Paste' and a down arrow 
below it.</t>
  </si>
  <si>
    <t>On the bottom, right corner of the cell there is a handle, click and hold this handle, dragging 
down to the number of additional rows needed.</t>
  </si>
  <si>
    <t>On the bottom, right corner of the cell there is a handle, click and hold this handle, dragging up 
to the number of rows needing to be removed.</t>
  </si>
  <si>
    <t>Minimum Units to be Selected</t>
  </si>
  <si>
    <t>Number of Actual Units Selected</t>
  </si>
  <si>
    <t>Note: The columns that can be safely edited are marked in the header as "User Editable Columns" and are shaded in a lighter blue.</t>
  </si>
  <si>
    <t>Note: Many columns contain calculation fields and are hidden from view.</t>
  </si>
  <si>
    <t>Enter the Election Date and Election Type in cell A2.</t>
  </si>
  <si>
    <t>Enter the name of the contest that is being audited in cell B5.</t>
  </si>
  <si>
    <t>Enter the number of batches per precinct in cell B8.</t>
  </si>
  <si>
    <t>Enter the number of precincts where the total number of signatures in the precinct poll books equals the total number of Election Day ballots cast in cell B20.</t>
  </si>
  <si>
    <t>Start with the winning candidate or issue response, entering all names/responses in descending order by the number of votes cast.</t>
  </si>
  <si>
    <t>Ensure the data aligns with the correct columns, i.e. all of the over voted values are under the 
header for over votes. Also ensure none of the calculated cells have been overwritten.</t>
  </si>
  <si>
    <t>Enter (or copy/paste as values) the batch names in the first column.</t>
  </si>
  <si>
    <r>
      <t xml:space="preserve">Note: This table will automatically </t>
    </r>
    <r>
      <rPr>
        <b/>
        <u/>
        <sz val="11"/>
        <rFont val="Calibri"/>
        <family val="2"/>
        <scheme val="minor"/>
      </rPr>
      <t>grow</t>
    </r>
    <r>
      <rPr>
        <b/>
        <sz val="11"/>
        <rFont val="Calibri"/>
        <family val="2"/>
        <scheme val="minor"/>
      </rPr>
      <t xml:space="preserve"> to fit the data pasted.</t>
    </r>
  </si>
  <si>
    <t>Return to the "General Info" spreadsheet to set the Audit Parameters.</t>
  </si>
  <si>
    <t>a.</t>
  </si>
  <si>
    <t>b.</t>
  </si>
  <si>
    <t>c.</t>
  </si>
  <si>
    <t>d.</t>
  </si>
  <si>
    <t>e.</t>
  </si>
  <si>
    <t>f.</t>
  </si>
  <si>
    <t>g.</t>
  </si>
  <si>
    <t>h.</t>
  </si>
  <si>
    <t>In the following columns, enter (or copy/paste as values) the votes cast by candidate/response.</t>
  </si>
  <si>
    <t>To hide rows/columns:</t>
  </si>
  <si>
    <t>Select row/column identifier (i.e. Letter 'A' at the top of the spreadsheet for first column, 
Number '1' at the left of the spreadsheet for the first row).</t>
  </si>
  <si>
    <t>With the entire row/column selected, right click on the identifier to bring up the popup menu.</t>
  </si>
  <si>
    <t>To show hidden rows/columns:</t>
  </si>
  <si>
    <t>With the rows/columns selected, right click on the identifier to bring up the popup menu.</t>
  </si>
  <si>
    <t>Note: Do not remove/overwrite the header rows or the total row.</t>
  </si>
  <si>
    <t xml:space="preserve">To paste as values: </t>
  </si>
  <si>
    <t>Note: These steps may differ slightly depending on your Excel settings and version.</t>
  </si>
  <si>
    <t>Supplemental Instructions:</t>
  </si>
  <si>
    <t>Enter (or copy/paste as values) over/under votes in the last two columns.</t>
  </si>
  <si>
    <t>Select and delete any leftover data that is below the table.</t>
  </si>
  <si>
    <t>Enter the data for each batch in the appropriately marked columns 'Audit'.</t>
  </si>
  <si>
    <t>Remember to take into consideration the header rows at the top as well as the totals row at the 
bottom. i.e. If you need 50 rows for your data, you must drag the handle up to row 54. Four (4) rows are designated for the header.</t>
  </si>
  <si>
    <t>Note: The order of candidates/responses will be based on the number of votes received.  Make sure you are entering votes cast into the appropriate column.</t>
  </si>
  <si>
    <t>Remember to take into consideration the header rows at the top as well as the totals row at the 
bottom. i.e. If you need 100 rows for your data, then you must drag the handle down to row 
104. Four (4) rows are designated for the header.</t>
  </si>
  <si>
    <t>Explanation of Discrepancies</t>
  </si>
  <si>
    <t>Enter the total number of possible responses/candidates for the audited contest in cell B9.</t>
  </si>
  <si>
    <t>Enter the total number of ballots cast in the entire election in cell B11.</t>
  </si>
  <si>
    <t>Review the value in cell B12. If desired, the confidence level can be modified.</t>
  </si>
  <si>
    <t>Enter the number of precincts where the total number of ballots ordered equals the number of ballots voted, soiled and unused in cell B21.</t>
  </si>
  <si>
    <t>Candidate 8</t>
  </si>
  <si>
    <t>Candidate 7</t>
  </si>
  <si>
    <t>Seventh Candidate</t>
  </si>
  <si>
    <t>Eighth Candidate</t>
  </si>
  <si>
    <t>Audit Candidate 8</t>
  </si>
  <si>
    <t>Audit Candidate 7</t>
  </si>
  <si>
    <t>Error Bound (up) - Max. possible relative overstatement - Candidate 8</t>
  </si>
  <si>
    <t>Error Bound (up) - Max. possible relative overstatement - Candidate 7</t>
  </si>
  <si>
    <t>Difference Candidate 8</t>
  </si>
  <si>
    <t>Difference Candidate 7</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</si>
  <si>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8</t>
    </r>
  </si>
  <si>
    <t>Relative Error (ep) - Error Rate as a proportion of the margin of victory for  Candidate 7</t>
  </si>
  <si>
    <t>Relative Error (ep) - Error Rate as a proportion of the margin of victory for  Candidate 6</t>
  </si>
  <si>
    <t>Ensure the formulas copied correctly by using the Error Checking function (see S6 below)</t>
  </si>
  <si>
    <t>S6</t>
  </si>
  <si>
    <t>To check for errors:</t>
  </si>
  <si>
    <t>Open the correct worksheet (tab)</t>
  </si>
  <si>
    <t>Click "Error Checking" and correct any formulas as needed</t>
  </si>
  <si>
    <t>Ninth Candidate</t>
  </si>
  <si>
    <t>Tenth Candidate</t>
  </si>
  <si>
    <t>Eleventh Candidate</t>
  </si>
  <si>
    <t>Twelth Candidate</t>
  </si>
  <si>
    <t>Candidate 9</t>
  </si>
  <si>
    <t>Candidate 10</t>
  </si>
  <si>
    <t>Candidate 11</t>
  </si>
  <si>
    <t>Candidate 12</t>
  </si>
  <si>
    <t>Error Bound (up) - Max. possible relative overstatement - Candidate 9</t>
  </si>
  <si>
    <t>Error Bound (up) - Max. possible relative overstatement - Candidate 10</t>
  </si>
  <si>
    <t>Error Bound (up) - Max. possible relative overstatement - Candidate 11</t>
  </si>
  <si>
    <t>Error Bound (up) - Max. possible relative overstatement - Candidate 12</t>
  </si>
  <si>
    <t>Audit Candidate 9</t>
  </si>
  <si>
    <t>Audit Candidate 10</t>
  </si>
  <si>
    <t>Audit Candidate 11</t>
  </si>
  <si>
    <t>Audit Candidate 12</t>
  </si>
  <si>
    <t>Difference Candidate 9</t>
  </si>
  <si>
    <t>Difference Candidate 10</t>
  </si>
  <si>
    <t>Difference Candidate 11</t>
  </si>
  <si>
    <t>Difference Candidate 12</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</si>
  <si>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9</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</si>
  <si>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10</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</si>
  <si>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11</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</si>
  <si>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12</t>
    </r>
    <r>
      <rPr>
        <sz val="11"/>
        <color theme="1"/>
        <rFont val="Calibri"/>
        <family val="2"/>
        <scheme val="minor"/>
      </rPr>
      <t/>
    </r>
  </si>
  <si>
    <t>Note: This spreadsheet is not configured to handle more than twelve (12) candidates or responses.</t>
  </si>
  <si>
    <t>The minimum selection range is calculated and displayed in cell B41.</t>
  </si>
  <si>
    <t>Enter the value generated in cell B41 into cell B42.</t>
  </si>
  <si>
    <t>Enter the value "0" in cell B43.</t>
  </si>
  <si>
    <t>The calculated range for your minimum and maximum values is displayed in cell B44. If the 
value is in red, then your range is smaller than recommended. Adjust the highest value until 
it is higher than the recommended minimum.</t>
  </si>
  <si>
    <t>i.</t>
  </si>
  <si>
    <t>On the Office Menu bar click on the tab titled: 'Home'.</t>
  </si>
  <si>
    <t>Open the formulas toolbar by clicking "Formulas" in the Menu bar</t>
  </si>
  <si>
    <t>2024 General (November 5, 2024)</t>
  </si>
  <si>
    <t>Judge of Court of Appeals (2-12-25)</t>
  </si>
  <si>
    <t>0101 CIN 1-A   (AV)</t>
  </si>
  <si>
    <t>0102 CIN 1-B   (AV)</t>
  </si>
  <si>
    <t>0103 CIN 1-C   (AV)</t>
  </si>
  <si>
    <t>0104 CIN 1-D   (AV)</t>
  </si>
  <si>
    <t>0105 CIN 1-E   (AV)</t>
  </si>
  <si>
    <t>0106 CIN 1-F   (AV)</t>
  </si>
  <si>
    <t>0107 CIN 1-G   (AV)</t>
  </si>
  <si>
    <t>0108 CIN 1-H   (AV)</t>
  </si>
  <si>
    <t>0109 CIN 1-I   (AV)</t>
  </si>
  <si>
    <t>0110 CIN 1-J   (AV)</t>
  </si>
  <si>
    <t>0111 CIN 1-K   (AV)</t>
  </si>
  <si>
    <t>0112 CIN 1-L   (AV)</t>
  </si>
  <si>
    <t>0113 CIN 1-M   (AV)</t>
  </si>
  <si>
    <t>0201 CIN 2-A   (AV)</t>
  </si>
  <si>
    <t>0202 CIN 2-B   (AV)</t>
  </si>
  <si>
    <t>0203 CIN 2-C   (AV)</t>
  </si>
  <si>
    <t>0204 CIN 2-D   (AV)</t>
  </si>
  <si>
    <t>0205 CIN 2-E   (AV)</t>
  </si>
  <si>
    <t>0206 CIN 2-F   (AV)</t>
  </si>
  <si>
    <t>0207 CIN 2-G   (AV)</t>
  </si>
  <si>
    <t>0208 CIN 2-H   (AV)</t>
  </si>
  <si>
    <t>0209 CIN 2-I   (AV)</t>
  </si>
  <si>
    <t>0210 CIN 2-J   (AV)</t>
  </si>
  <si>
    <t>0211 CIN 2-K   (AV)</t>
  </si>
  <si>
    <t>0301 CIN 3-A   (AV)</t>
  </si>
  <si>
    <t>0302 CIN 3-B   (AV)</t>
  </si>
  <si>
    <t>0303 CIN 3-C   (AV)</t>
  </si>
  <si>
    <t>0304 CIN 3-D   (AV)</t>
  </si>
  <si>
    <t>0305 CIN 3-E   (AV)</t>
  </si>
  <si>
    <t>0401 CIN 4-A   (AV)</t>
  </si>
  <si>
    <t>0402 CIN 4-B   (AV)</t>
  </si>
  <si>
    <t>0403 CIN 4-C   (AV)</t>
  </si>
  <si>
    <t>0404 CIN 4-D   (AV)</t>
  </si>
  <si>
    <t>0405 CIN 4-E   (AV)</t>
  </si>
  <si>
    <t>0406 CIN 4-F   (AV)</t>
  </si>
  <si>
    <t>0407 CIN 4-G   (AV)</t>
  </si>
  <si>
    <t>0408 CIN 4-H   (AV)</t>
  </si>
  <si>
    <t>0501 CIN 5-A   (AV)</t>
  </si>
  <si>
    <t>0502 CIN 5-B   (AV)</t>
  </si>
  <si>
    <t>0503 CIN 5-C   (AV)</t>
  </si>
  <si>
    <t>0504 CIN 5-D   (AV)</t>
  </si>
  <si>
    <t>0505 CIN 5-E   (AV)</t>
  </si>
  <si>
    <t>0506 CIN 5-F   (AV)</t>
  </si>
  <si>
    <t>0507 CIN 5-G   (AV)</t>
  </si>
  <si>
    <t>0508 CIN 5-H   (AV)</t>
  </si>
  <si>
    <t>0509 CIN 5-I   (AV)</t>
  </si>
  <si>
    <t>0601 CIN 6-A   (AV)</t>
  </si>
  <si>
    <t>0602 CIN 6-B   (AV)</t>
  </si>
  <si>
    <t>0603 CIN 6-C   (AV)</t>
  </si>
  <si>
    <t>0604 CIN 6-D   (AV)</t>
  </si>
  <si>
    <t>0605 CIN 6-E   (AV)</t>
  </si>
  <si>
    <t>0701 CIN 7-A   (AV)</t>
  </si>
  <si>
    <t>0702 CIN 7-B   (AV)</t>
  </si>
  <si>
    <t>0703 CIN 7-C   (AV)</t>
  </si>
  <si>
    <t>0704 CIN 7-D   (AV)</t>
  </si>
  <si>
    <t>0705 CIN 7-E   (AV)</t>
  </si>
  <si>
    <t>0706 CIN 7-F   (AV)</t>
  </si>
  <si>
    <t>0707 CIN 7-G   (AV)</t>
  </si>
  <si>
    <t>0708 CIN 7-H   (AV)</t>
  </si>
  <si>
    <t>0709 CIN 7-I   (AV)</t>
  </si>
  <si>
    <t>0710 CIN 7-J   (AV)</t>
  </si>
  <si>
    <t>0711 CIN 7-K   (AV)</t>
  </si>
  <si>
    <t>0801 CIN 8-A   (AV)</t>
  </si>
  <si>
    <t>0802 CIN 8-B   (AV)</t>
  </si>
  <si>
    <t>0803 CIN 8-C   (AV)</t>
  </si>
  <si>
    <t>0804 CIN 8-D   (AV)</t>
  </si>
  <si>
    <t>0901 CIN 9-A   (AV)</t>
  </si>
  <si>
    <t>0902 CIN 9-B   (AV)</t>
  </si>
  <si>
    <t>0903 CIN 9-C   (AV)</t>
  </si>
  <si>
    <t>0904 CIN 9-D   (AV)</t>
  </si>
  <si>
    <t>1001 CIN 10-A   (AV)</t>
  </si>
  <si>
    <t>1002 CIN 10-B   (AV)</t>
  </si>
  <si>
    <t>1003 CIN 10-C   (AV)</t>
  </si>
  <si>
    <t>1101 CIN 11-A   (AV)</t>
  </si>
  <si>
    <t>1102 CIN 11-B   (AV)</t>
  </si>
  <si>
    <t>1103 CIN 11-C   (AV)</t>
  </si>
  <si>
    <t>1104 CIN 11-D   (AV)</t>
  </si>
  <si>
    <t>1201 CIN 12-A   (AV)</t>
  </si>
  <si>
    <t>1202 CIN 12-B   (AV)</t>
  </si>
  <si>
    <t>1203 CIN 12-C   (AV)</t>
  </si>
  <si>
    <t>1204 CIN 12-D   (AV)</t>
  </si>
  <si>
    <t>1205 CIN 12-E   (AV)</t>
  </si>
  <si>
    <t>1301 CIN 13-A   (AV)</t>
  </si>
  <si>
    <t>1302 CIN 13-B   (AV)</t>
  </si>
  <si>
    <t>1303 CIN 13-C   (AV)</t>
  </si>
  <si>
    <t>1304 CIN 13-D   (AV)</t>
  </si>
  <si>
    <t>1305 CIN 13-E   (AV)</t>
  </si>
  <si>
    <t>1306 CIN 13-F   (AV)</t>
  </si>
  <si>
    <t>1307 CIN 13-G   (AV)</t>
  </si>
  <si>
    <t>1308 CIN 13-H   (AV)</t>
  </si>
  <si>
    <t>1401 CIN 14-A   (AV)</t>
  </si>
  <si>
    <t>1402 CIN 14-B   (AV)</t>
  </si>
  <si>
    <t>1403 CIN 14-C   (AV)</t>
  </si>
  <si>
    <t>1404 CIN 14-D   (AV)</t>
  </si>
  <si>
    <t>1405 CIN 14-E   (AV)</t>
  </si>
  <si>
    <t>1406 CIN 14-F   (AV)</t>
  </si>
  <si>
    <t>1407 CIN 14-G   (AV)</t>
  </si>
  <si>
    <t>1408 CIN 14-H   (AV)</t>
  </si>
  <si>
    <t>1409 CIN 14-I   (AV)</t>
  </si>
  <si>
    <t>1501 CIN 15-A   (AV)</t>
  </si>
  <si>
    <t>1502 CIN 15-B   (AV)</t>
  </si>
  <si>
    <t>1503 CIN 15-C   (AV)</t>
  </si>
  <si>
    <t>1504 CIN 15-D   (AV)</t>
  </si>
  <si>
    <t>1505 CIN 15-E   (AV)</t>
  </si>
  <si>
    <t>1506 CIN 15-F   (AV)</t>
  </si>
  <si>
    <t>1507 CIN 15-G   (AV)</t>
  </si>
  <si>
    <t>1508 CIN 15-H   (AV)</t>
  </si>
  <si>
    <t>1509 CIN 15-I   (AV)</t>
  </si>
  <si>
    <t>1510 CIN 15-J   (AV)</t>
  </si>
  <si>
    <t>1601 CIN 16-A   (AV)</t>
  </si>
  <si>
    <t>1701 CIN 17-A   (AV)</t>
  </si>
  <si>
    <t>1702 CIN 17-B   (AV)</t>
  </si>
  <si>
    <t>1703 CIN 17-C   (AV)</t>
  </si>
  <si>
    <t>1801 CIN 18-A   (AV)</t>
  </si>
  <si>
    <t>1802 CIN 18-B   (AV)</t>
  </si>
  <si>
    <t>1901 CIN 19-A   (AV)</t>
  </si>
  <si>
    <t>1902 CIN 19-B   (AV)</t>
  </si>
  <si>
    <t>1903 CIN 19-C   (AV)</t>
  </si>
  <si>
    <t>1904 CIN 19-D   (AV)</t>
  </si>
  <si>
    <t>2001 CIN 20-A   (AV)</t>
  </si>
  <si>
    <t>2002 CIN 20-B   (AV)</t>
  </si>
  <si>
    <t>2003 CIN 20-C   (AV)</t>
  </si>
  <si>
    <t>2004 CIN 20-D   (AV)</t>
  </si>
  <si>
    <t>2005 CIN 20-E   (AV)</t>
  </si>
  <si>
    <t>2101 CIN 21-A   (AV)</t>
  </si>
  <si>
    <t>2102 CIN 21-B   (AV)</t>
  </si>
  <si>
    <t>2103 CIN 21-C   (AV)</t>
  </si>
  <si>
    <t>2104 CIN 21-D   (AV)</t>
  </si>
  <si>
    <t>2105 CIN 21-E   (AV)</t>
  </si>
  <si>
    <t>2201 CIN 22-A   (AV)</t>
  </si>
  <si>
    <t>2202 CIN 22-B   (AV)</t>
  </si>
  <si>
    <t>2203 CIN 22-C   (AV)</t>
  </si>
  <si>
    <t>2301 CIN 23-A   (AV)</t>
  </si>
  <si>
    <t>2302 CIN 23-B   (AV)</t>
  </si>
  <si>
    <t>2303 CIN 23-C   (AV)</t>
  </si>
  <si>
    <t>2304 CIN 23-D   (AV)</t>
  </si>
  <si>
    <t>2305 CIN 23-E   (AV)</t>
  </si>
  <si>
    <t>2306 CIN 23-F   (AV)</t>
  </si>
  <si>
    <t>2307 CIN 23-G   (AV)</t>
  </si>
  <si>
    <t>2308 CIN 23-H   (AV)</t>
  </si>
  <si>
    <t>2309 CIN 23-I   (AV)</t>
  </si>
  <si>
    <t>2310 CIN 23-J   (AV)</t>
  </si>
  <si>
    <t>2311 CIN 23-K   (AV)</t>
  </si>
  <si>
    <t>2312 CIN 23-L   (AV)</t>
  </si>
  <si>
    <t>2313 CIN 23-M   (AV)</t>
  </si>
  <si>
    <t>2314 CIN 23-N   (AV)</t>
  </si>
  <si>
    <t>2315 CIN 23-O   (AV)</t>
  </si>
  <si>
    <t>2316 CIN 23-P   (AV)</t>
  </si>
  <si>
    <t>2317 CIN 23-Q   (AV)</t>
  </si>
  <si>
    <t>2318 CIN 23-R   (AV)</t>
  </si>
  <si>
    <t>2401 CIN 24-A   (AV)</t>
  </si>
  <si>
    <t>2402 CIN 24-B   (AV)</t>
  </si>
  <si>
    <t>2403 CIN 24-C   (AV)</t>
  </si>
  <si>
    <t>2404 CIN 24-D   (AV)</t>
  </si>
  <si>
    <t>2405 CIN 24-E   (AV)</t>
  </si>
  <si>
    <t>2406 CIN 24-F   (AV)</t>
  </si>
  <si>
    <t>2407 CIN 24-G   (AV)</t>
  </si>
  <si>
    <t>2408 CIN 24-H   (AV)</t>
  </si>
  <si>
    <t>2409 CIN 24-I   (AV)</t>
  </si>
  <si>
    <t>2501 CIN 25-A   (AV)</t>
  </si>
  <si>
    <t>2502 CIN 25-B   (AV)</t>
  </si>
  <si>
    <t>2503 CIN 25-C   (AV)</t>
  </si>
  <si>
    <t>2504 CIN 25-D   (AV)</t>
  </si>
  <si>
    <t>2505 CIN 25-E   (AV)</t>
  </si>
  <si>
    <t>2506 CIN 25-F   (AV)</t>
  </si>
  <si>
    <t>2507 CIN 25-G   (AV)</t>
  </si>
  <si>
    <t>2508 CIN 25-H   (AV)</t>
  </si>
  <si>
    <t>2509 CIN 25-I   (AV)</t>
  </si>
  <si>
    <t>2510 CIN 25-J   (AV)</t>
  </si>
  <si>
    <t>2511 CIN 25-K   (AV)</t>
  </si>
  <si>
    <t>2512 CIN 25-L   (AV)</t>
  </si>
  <si>
    <t>2601 CIN 26-A   (AV)</t>
  </si>
  <si>
    <t>2602 CIN 26-B   (AV)</t>
  </si>
  <si>
    <t>2603 CIN 26-C   (AV)</t>
  </si>
  <si>
    <t>2604 CIN 26-D   (AV)</t>
  </si>
  <si>
    <t>2605 CIN 26-E   (AV)</t>
  </si>
  <si>
    <t>2606 CIN 26-F   (AV)</t>
  </si>
  <si>
    <t>2607 CIN 26-G   (AV)</t>
  </si>
  <si>
    <t>2608 CIN 26-H   (AV)</t>
  </si>
  <si>
    <t>2609 CIN 26-I   (AV)</t>
  </si>
  <si>
    <t>2610 CIN 26-J   (AV)</t>
  </si>
  <si>
    <t>2611 CIN 26-K   (AV)</t>
  </si>
  <si>
    <t>2612 CIN 26-L   (AV)</t>
  </si>
  <si>
    <t>2613 CIN 26-M   (AV)</t>
  </si>
  <si>
    <t>2614 CIN 26-N   (AV)</t>
  </si>
  <si>
    <t>2615 CIN 26-O   (AV)</t>
  </si>
  <si>
    <t>2616 CIN 26-P   (AV)</t>
  </si>
  <si>
    <t>2617 CIN 26-Q   (AV)</t>
  </si>
  <si>
    <t>2618 CIN 26-R   (AV)</t>
  </si>
  <si>
    <t>2619 CIN 26-S   (AV)</t>
  </si>
  <si>
    <t>2811 BLUE 1-A   (AV)</t>
  </si>
  <si>
    <t>2812 BLUE 1-B   (AV)</t>
  </si>
  <si>
    <t>2821 BLUE 2-A   (AV)</t>
  </si>
  <si>
    <t>2822 BLUE 2-B   (AV)</t>
  </si>
  <si>
    <t>2823 BLUE 2-C   (AV)</t>
  </si>
  <si>
    <t>2831 BLUE 3-A   (AV)</t>
  </si>
  <si>
    <t>2832 BLUE 3-B   (AV)</t>
  </si>
  <si>
    <t>2841 BLUE 4-A   (AV)</t>
  </si>
  <si>
    <t>2842 BLUE 4-B   (AV)</t>
  </si>
  <si>
    <t>2851 BLUE 5-A   (AV)</t>
  </si>
  <si>
    <t>2852 BLUE 5-B   (AV)</t>
  </si>
  <si>
    <t>2911 CHEV 1-A   (AV)</t>
  </si>
  <si>
    <t>2921 CHEV 2-A   (AV)</t>
  </si>
  <si>
    <t>2931 CHEV 3-A   (AV)</t>
  </si>
  <si>
    <t>2941 CHEV 4-A   (AV)</t>
  </si>
  <si>
    <t>3111 DR PK 1-A   (AV)</t>
  </si>
  <si>
    <t>3121 DR PK 2-A   (AV)</t>
  </si>
  <si>
    <t>3131 DR PK 3-A   (AV)</t>
  </si>
  <si>
    <t>3141 DR PK 4-A   (AV)</t>
  </si>
  <si>
    <t>3201 FR PK A   (AV)</t>
  </si>
  <si>
    <t>3202 FR PK B   (AV)</t>
  </si>
  <si>
    <t>3203 FR PK C   (AV)</t>
  </si>
  <si>
    <t>3204 FR PK D   (AV)</t>
  </si>
  <si>
    <t>3205 FR PK E   (AV)</t>
  </si>
  <si>
    <t>3206 FR PK F   (AV)</t>
  </si>
  <si>
    <t>3207 FR PK G   (AV)</t>
  </si>
  <si>
    <t>3208 FR PK H   (AV)</t>
  </si>
  <si>
    <t>3209 FR PK I   (AV)</t>
  </si>
  <si>
    <t>3210 FR PK J   (AV)</t>
  </si>
  <si>
    <t>3211 FR PK K   (AV)</t>
  </si>
  <si>
    <t>3212 FR PK L   (AV)</t>
  </si>
  <si>
    <t>3213 FR PK M   (AV)</t>
  </si>
  <si>
    <t>3401 HARR A   (AV)</t>
  </si>
  <si>
    <t>3402 HARR B   (AV)</t>
  </si>
  <si>
    <t>3403 HARR C   (AV)</t>
  </si>
  <si>
    <t>3404 HARR D   (AV)</t>
  </si>
  <si>
    <t>3405 HARR E   (AV)</t>
  </si>
  <si>
    <t>3406 HARR F   (AV)</t>
  </si>
  <si>
    <t>3407 HARR G   (AV)</t>
  </si>
  <si>
    <t>3501 IND HLL A   (AV)</t>
  </si>
  <si>
    <t>3502 IND HLL B   (AV)</t>
  </si>
  <si>
    <t>3503 IND HLL C   (AV)</t>
  </si>
  <si>
    <t>3504 IND HLL D   (AV)</t>
  </si>
  <si>
    <t>3505 IND HLL E   (AV)</t>
  </si>
  <si>
    <t>3506 IND HLL F   (AV)</t>
  </si>
  <si>
    <t>3701 LOVE A   (AV)</t>
  </si>
  <si>
    <t>3702 LOVE B   (AV)</t>
  </si>
  <si>
    <t>3703 LOVE C   (AV)</t>
  </si>
  <si>
    <t>3704 LOVE D   (AV)</t>
  </si>
  <si>
    <t>3705 LOVE E   (AV)</t>
  </si>
  <si>
    <t>3706 LOVE F   (AV)</t>
  </si>
  <si>
    <t>3707 LOVE G   (AV)</t>
  </si>
  <si>
    <t>3801 MADRA A   (AV)</t>
  </si>
  <si>
    <t>3802 MADRA B   (AV)</t>
  </si>
  <si>
    <t>3803 MADRA C   (AV)</t>
  </si>
  <si>
    <t>3804 MADRA D   (AV)</t>
  </si>
  <si>
    <t>3805 MADRA E   (AV)</t>
  </si>
  <si>
    <t>3806 MADRA F   (AV)</t>
  </si>
  <si>
    <t>3807 MADRA G   (AV)</t>
  </si>
  <si>
    <t>3808 MADRA H   (AV)</t>
  </si>
  <si>
    <t>3901 MILF A   (AV)</t>
  </si>
  <si>
    <t>4001 MONT A   (AV)</t>
  </si>
  <si>
    <t>4002 MONT B   (AV)</t>
  </si>
  <si>
    <t>4003 MONT C   (AV)</t>
  </si>
  <si>
    <t>4004 MONT D   (AV)</t>
  </si>
  <si>
    <t>4005 MONT E   (AV)</t>
  </si>
  <si>
    <t>4006 MONT F   (AV)</t>
  </si>
  <si>
    <t>4007 MONT G   (AV)</t>
  </si>
  <si>
    <t>4008 MONT H   (AV)</t>
  </si>
  <si>
    <t>4009 MONT I   (AV)</t>
  </si>
  <si>
    <t>4111 MTHY 1-A   (AV)</t>
  </si>
  <si>
    <t>4121 MTHY 2-A   (AV)</t>
  </si>
  <si>
    <t>4131 MTHY 3-A   (AV)</t>
  </si>
  <si>
    <t>4141 MTHY 4-A   (AV)</t>
  </si>
  <si>
    <t>4311 NCH 1-A   (AV)</t>
  </si>
  <si>
    <t>4312 NCH 1-B   (AV)</t>
  </si>
  <si>
    <t>4321 NCH 2-A   (AV)</t>
  </si>
  <si>
    <t>4331 NCH 3-A   (AV)</t>
  </si>
  <si>
    <t>4341 NCH 4-A   (AV)</t>
  </si>
  <si>
    <t>4342 NCH 4-B   (AV)</t>
  </si>
  <si>
    <t>4343 NCH 4-C   (AV)</t>
  </si>
  <si>
    <t>4411 NORW 1-A   (AV)</t>
  </si>
  <si>
    <t>4412 NORW 1-B   (AV)</t>
  </si>
  <si>
    <t>4413 NORW 1-C   (AV)</t>
  </si>
  <si>
    <t>4421 NORW 2-A   (AV)</t>
  </si>
  <si>
    <t>4422 NORW 2-B   (AV)</t>
  </si>
  <si>
    <t>4423 NORW 2-C   (AV)</t>
  </si>
  <si>
    <t>4431 NORW 3-A   (AV)</t>
  </si>
  <si>
    <t>4432 NORW 3-B   (AV)</t>
  </si>
  <si>
    <t>4433 NORW 3-C   (AV)</t>
  </si>
  <si>
    <t>4441 NORW 4-A   (AV)</t>
  </si>
  <si>
    <t>4442 NORW 4-B   (AV)</t>
  </si>
  <si>
    <t>4443 NORW 4-C   (AV)</t>
  </si>
  <si>
    <t>4611 READ 1-A   (AV)</t>
  </si>
  <si>
    <t>4612 READ 1-B   (AV)</t>
  </si>
  <si>
    <t>4621 READ 2-A   (AV)</t>
  </si>
  <si>
    <t>4622 READ 2-B   (AV)</t>
  </si>
  <si>
    <t>4631 READ 3-A   (AV)</t>
  </si>
  <si>
    <t>4632 READ 3-B   (AV)</t>
  </si>
  <si>
    <t>4641 READ 4-A   (AV)</t>
  </si>
  <si>
    <t>4642 READ 4-B   (AV)</t>
  </si>
  <si>
    <t>4911 SHAR 1-A   (AV)</t>
  </si>
  <si>
    <t>4912 SHAR 1-B   (AV)</t>
  </si>
  <si>
    <t>4921 SHAR 2-A   (AV)</t>
  </si>
  <si>
    <t>4931 SHAR 3-A   (AV)</t>
  </si>
  <si>
    <t>4932 SHAR 3-B   (AV)</t>
  </si>
  <si>
    <t>4941 SHAR 4-A   (AV)</t>
  </si>
  <si>
    <t>4942 SHAR 4-B   (AV)</t>
  </si>
  <si>
    <t>5201 SPDALE A   (AV)</t>
  </si>
  <si>
    <t>5202 SPDALE B   (AV)</t>
  </si>
  <si>
    <t>5203 SPDALE C   (AV)</t>
  </si>
  <si>
    <t>5204 SPDALE D   (AV)</t>
  </si>
  <si>
    <t>5205 SPDALE E   (AV)</t>
  </si>
  <si>
    <t>5206 SPDALE F   (AV)</t>
  </si>
  <si>
    <t>5207 SPDALE G   (AV)</t>
  </si>
  <si>
    <t>5208 SPDALE H   (AV)</t>
  </si>
  <si>
    <t>5301 WYOM A   (AV)</t>
  </si>
  <si>
    <t>5302 WYOM B   (AV)</t>
  </si>
  <si>
    <t>5303 WYOM C   (AV)</t>
  </si>
  <si>
    <t>5304 WYOM D   (AV)</t>
  </si>
  <si>
    <t>5305 WYOM E   (AV)</t>
  </si>
  <si>
    <t>5501 AMBER A   (AV)</t>
  </si>
  <si>
    <t>5502 AMBER B   (AV)</t>
  </si>
  <si>
    <t>5503 AMBER C   (AV)</t>
  </si>
  <si>
    <t>5504 AMBER D   (AV)</t>
  </si>
  <si>
    <t>5601 AND A   (AV)</t>
  </si>
  <si>
    <t>5602 AND B   (AV)</t>
  </si>
  <si>
    <t>5603 AND C   (AV)</t>
  </si>
  <si>
    <t>5604 AND D   (AV)</t>
  </si>
  <si>
    <t>5605 AND E   (AV)</t>
  </si>
  <si>
    <t>5606 AND F   (AV)</t>
  </si>
  <si>
    <t>5607 AND G   (AV)</t>
  </si>
  <si>
    <t>5608 AND H   (AV)</t>
  </si>
  <si>
    <t>5609 AND I   (AV)</t>
  </si>
  <si>
    <t>5610 AND J   (AV)</t>
  </si>
  <si>
    <t>5611 AND K   (AV)</t>
  </si>
  <si>
    <t>5612 AND L   (AV)</t>
  </si>
  <si>
    <t>5613 AND M   (AV)</t>
  </si>
  <si>
    <t>5614 AND N   (AV)</t>
  </si>
  <si>
    <t>5615 AND O   (AV)</t>
  </si>
  <si>
    <t>5616 AND P   (AV)</t>
  </si>
  <si>
    <t>5617 AND Q   (AV)</t>
  </si>
  <si>
    <t>5618 AND R   (AV)</t>
  </si>
  <si>
    <t>5619 AND S   (AV)</t>
  </si>
  <si>
    <t>5620 AND T   (AV)</t>
  </si>
  <si>
    <t>5621 AND U   (AV)</t>
  </si>
  <si>
    <t>5622 AND V   (AV)</t>
  </si>
  <si>
    <t>5623 AND W   (AV)</t>
  </si>
  <si>
    <t>5624 AND X   (AV)</t>
  </si>
  <si>
    <t>5625 AND Y   (AV)</t>
  </si>
  <si>
    <t>5626 AND Z   (AV)</t>
  </si>
  <si>
    <t>5627 AND AA   (AV)</t>
  </si>
  <si>
    <t>5628 AND BB   (AV)</t>
  </si>
  <si>
    <t>5629 AND CC   (AV)</t>
  </si>
  <si>
    <t>5630 AND DD   (AV)</t>
  </si>
  <si>
    <t>5631 AND EE   (AV)</t>
  </si>
  <si>
    <t>5632 AND FF   (AV)</t>
  </si>
  <si>
    <t>5801 ARLN A   (AV)</t>
  </si>
  <si>
    <t>5901 COLE A   (AV)</t>
  </si>
  <si>
    <t>5902 COLE B   (AV)</t>
  </si>
  <si>
    <t>5903 COLE C   (AV)</t>
  </si>
  <si>
    <t>5904 COLE D   (AV)</t>
  </si>
  <si>
    <t>5905 COLE E   (AV)</t>
  </si>
  <si>
    <t>5906 COLE F   (AV)</t>
  </si>
  <si>
    <t>5907 COLE G   (AV)</t>
  </si>
  <si>
    <t>5908 COLE H   (AV)</t>
  </si>
  <si>
    <t>5909 COLE I   (AV)</t>
  </si>
  <si>
    <t>5910 COLE J   (AV)</t>
  </si>
  <si>
    <t>5911 COLE K   (AV)</t>
  </si>
  <si>
    <t>5912 COLE L   (AV)</t>
  </si>
  <si>
    <t>5913 COLE M   (AV)</t>
  </si>
  <si>
    <t>5914 COLE N   (AV)</t>
  </si>
  <si>
    <t>5915 COLE O   (AV)</t>
  </si>
  <si>
    <t>5916 COLE P   (AV)</t>
  </si>
  <si>
    <t>5917 COLE Q   (AV)</t>
  </si>
  <si>
    <t>5918 COLE R   (AV)</t>
  </si>
  <si>
    <t>5919 COLE S   (AV)</t>
  </si>
  <si>
    <t>5920 COLE T   (AV)</t>
  </si>
  <si>
    <t>5921 COLE U   (AV)</t>
  </si>
  <si>
    <t>5922 COLE V   (AV)</t>
  </si>
  <si>
    <t>5923 COLE W   (AV)</t>
  </si>
  <si>
    <t>5924 COLE X   (AV)</t>
  </si>
  <si>
    <t>5925 COLE Y   (AV)</t>
  </si>
  <si>
    <t>5926 COLE Z   (AV)</t>
  </si>
  <si>
    <t>5927 COLE AA   (AV)</t>
  </si>
  <si>
    <t>5928 COLE BB   (AV)</t>
  </si>
  <si>
    <t>5929 COLE CC   (AV)</t>
  </si>
  <si>
    <t>5930 COLE DD   (AV)</t>
  </si>
  <si>
    <t>5931 COLE EE   (AV)</t>
  </si>
  <si>
    <t>5932 COLE FF   (AV)</t>
  </si>
  <si>
    <t>5933 COLE GG   (AV)</t>
  </si>
  <si>
    <t>5934 COLE HH   (AV)</t>
  </si>
  <si>
    <t>5935 COLE II   (AV)</t>
  </si>
  <si>
    <t>5936 COLE JJ   (AV)</t>
  </si>
  <si>
    <t>5937 COLE KK   (AV)</t>
  </si>
  <si>
    <t>5938 COLE LL   (AV)</t>
  </si>
  <si>
    <t>6201 COLUM A   (AV)</t>
  </si>
  <si>
    <t>6202 COLUM B   (AV)</t>
  </si>
  <si>
    <t>6203 COLUM C   (AV)</t>
  </si>
  <si>
    <t>6204 COLUM D   (AV)</t>
  </si>
  <si>
    <t>6205 COLUM E   (AV)</t>
  </si>
  <si>
    <t>6206 COLUM F   (AV)</t>
  </si>
  <si>
    <t>6207 COLUM G   (AV)</t>
  </si>
  <si>
    <t>6208 COLUM H   (AV)</t>
  </si>
  <si>
    <t>6209 COLUM I   (AV)</t>
  </si>
  <si>
    <t>6401 CROSB A   (AV)</t>
  </si>
  <si>
    <t>6402 CROSB B   (AV)</t>
  </si>
  <si>
    <t>6501 DELHI A   (AV)</t>
  </si>
  <si>
    <t>6502 DELHI B   (AV)</t>
  </si>
  <si>
    <t>6503 DELHI C   (AV)</t>
  </si>
  <si>
    <t>6504 DELHI D   (AV)</t>
  </si>
  <si>
    <t>6505 DELHI E   (AV)</t>
  </si>
  <si>
    <t>6506 DELHI F   (AV)</t>
  </si>
  <si>
    <t>6507 DELHI G   (AV)</t>
  </si>
  <si>
    <t>6508 DELHI H   (AV)</t>
  </si>
  <si>
    <t>6509 DELHI I   (AV)</t>
  </si>
  <si>
    <t>6510 DELHI J   (AV)</t>
  </si>
  <si>
    <t>6511 DELHI K   (AV)</t>
  </si>
  <si>
    <t>6512 DELHI L   (AV)</t>
  </si>
  <si>
    <t>6513 DELHI M   (AV)</t>
  </si>
  <si>
    <t>6514 DELHI N   (AV)</t>
  </si>
  <si>
    <t>6515 DELHI O   (AV)</t>
  </si>
  <si>
    <t>6516 DELHI P   (AV)</t>
  </si>
  <si>
    <t>6517 DELHI Q   (AV)</t>
  </si>
  <si>
    <t>6518 DELHI R   (AV)</t>
  </si>
  <si>
    <t>6519 DELHI S   (AV)</t>
  </si>
  <si>
    <t>6701 ELMW A   (AV)</t>
  </si>
  <si>
    <t>6801 EVEN A   (AV)</t>
  </si>
  <si>
    <t>6802 EVEN B   (AV)</t>
  </si>
  <si>
    <t>6803 EVEN C   (AV)</t>
  </si>
  <si>
    <t>6901 FAIRFX A   (AV)</t>
  </si>
  <si>
    <t>7001 GLEN A   (AV)</t>
  </si>
  <si>
    <t>7002 GLEN B   (AV)</t>
  </si>
  <si>
    <t>7101 GOLF A   (AV)</t>
  </si>
  <si>
    <t>7102 GOLF B   (AV)</t>
  </si>
  <si>
    <t>7301 GREEN A   (AV)</t>
  </si>
  <si>
    <t>7302 GREEN B   (AV)</t>
  </si>
  <si>
    <t>7303 GREEN C   (AV)</t>
  </si>
  <si>
    <t>7304 GREEN D   (AV)</t>
  </si>
  <si>
    <t>7305 GREEN E   (AV)</t>
  </si>
  <si>
    <t>7306 GREEN F   (AV)</t>
  </si>
  <si>
    <t>7307 GREEN G   (AV)</t>
  </si>
  <si>
    <t>7308 GREEN H   (AV)</t>
  </si>
  <si>
    <t>7309 GREEN I   (AV)</t>
  </si>
  <si>
    <t>7310 GREEN J   (AV)</t>
  </si>
  <si>
    <t>7311 GREEN K   (AV)</t>
  </si>
  <si>
    <t>7312 GREEN L   (AV)</t>
  </si>
  <si>
    <t>7313 GREEN M   (AV)</t>
  </si>
  <si>
    <t>7314 GREEN N   (AV)</t>
  </si>
  <si>
    <t>7315 GREEN O   (AV)</t>
  </si>
  <si>
    <t>7316 GREEN P   (AV)</t>
  </si>
  <si>
    <t>7317 GREEN Q   (AV)</t>
  </si>
  <si>
    <t>7318 GREEN R   (AV)</t>
  </si>
  <si>
    <t>7319 GREEN S   (AV)</t>
  </si>
  <si>
    <t>7320 GREEN T   (AV)</t>
  </si>
  <si>
    <t>7321 GREEN U   (AV)</t>
  </si>
  <si>
    <t>7322 GREEN V   (AV)</t>
  </si>
  <si>
    <t>7323 GREEN W   (AV)</t>
  </si>
  <si>
    <t>7324 GREEN X   (AV)</t>
  </si>
  <si>
    <t>7325 GREEN Y   (AV)</t>
  </si>
  <si>
    <t>7326 GREEN Z   (AV)</t>
  </si>
  <si>
    <t>7327 GREEN AA   (AV)</t>
  </si>
  <si>
    <t>7328 GREEN BB   (AV)</t>
  </si>
  <si>
    <t>7329 GREEN CC   (AV)</t>
  </si>
  <si>
    <t>7330 GREEN DD   (AV)</t>
  </si>
  <si>
    <t>7331 GREEN EE   (AV)</t>
  </si>
  <si>
    <t>7332 GREEN FF   (AV)</t>
  </si>
  <si>
    <t>7333 GREEN GG   (AV)</t>
  </si>
  <si>
    <t>7334 GREEN HH   (AV)</t>
  </si>
  <si>
    <t>7335 GREEN II   (AV)</t>
  </si>
  <si>
    <t>7336 GREEN JJ   (AV)</t>
  </si>
  <si>
    <t>7337 GREEN KK   (AV)</t>
  </si>
  <si>
    <t>7338 GREEN LL   (AV)</t>
  </si>
  <si>
    <t>7339 GREEN MM   (AV)</t>
  </si>
  <si>
    <t>7340 GREEN NN   (AV)</t>
  </si>
  <si>
    <t>7341 GREEN OO   (AV)</t>
  </si>
  <si>
    <t>7342 GREEN PP   (AV)</t>
  </si>
  <si>
    <t>7343 GREEN QQ   (AV)</t>
  </si>
  <si>
    <t>7401 GR HL A   (AV)</t>
  </si>
  <si>
    <t>7402 GR HL B   (AV)</t>
  </si>
  <si>
    <t>7403 GR HL C   (AV)</t>
  </si>
  <si>
    <t>7601 HARR AA   (AV)</t>
  </si>
  <si>
    <t>7602 HARR BB   (AV)</t>
  </si>
  <si>
    <t>7603 HARR CC   (AV)</t>
  </si>
  <si>
    <t>7701 LIN HT A   (AV)</t>
  </si>
  <si>
    <t>7702 LIN HT B   (AV)</t>
  </si>
  <si>
    <t>7901 LOCK A   (AV)</t>
  </si>
  <si>
    <t>7902 LOCK B   (AV)</t>
  </si>
  <si>
    <t>8001 MARMT A   (AV)</t>
  </si>
  <si>
    <t>8002 MARMT B   (AV)</t>
  </si>
  <si>
    <t>8211 ADDY A   (AV)</t>
  </si>
  <si>
    <t>8221 CLEVE A   (AV)</t>
  </si>
  <si>
    <t>8222 CLEVE B   (AV)</t>
  </si>
  <si>
    <t>8231 NO BEND A   (AV)</t>
  </si>
  <si>
    <t>8301 MIAMI A   (AV)</t>
  </si>
  <si>
    <t>8302 MIAMI B   (AV)</t>
  </si>
  <si>
    <t>8303 MIAMI C   (AV)</t>
  </si>
  <si>
    <t>8304 MIAMI D   (AV)</t>
  </si>
  <si>
    <t>8305 MIAMI E   (AV)</t>
  </si>
  <si>
    <t>8306 MIAMI F   (AV)</t>
  </si>
  <si>
    <t>8307 MIAMI G   (AV)</t>
  </si>
  <si>
    <t>8308 MIAMI H   (AV)</t>
  </si>
  <si>
    <t>8401 NEWT A   (AV)</t>
  </si>
  <si>
    <t>8402 NEWT B   (AV)</t>
  </si>
  <si>
    <t>8511 ST BN 1-A   (AV)</t>
  </si>
  <si>
    <t>8521 ST BN 2-A   (AV)</t>
  </si>
  <si>
    <t>8531 ST BN 3-A   (AV)</t>
  </si>
  <si>
    <t>8541 ST BN 4-A   (AV)</t>
  </si>
  <si>
    <t>8601 SILVT A   (AV)</t>
  </si>
  <si>
    <t>8602 SILVT B   (AV)</t>
  </si>
  <si>
    <t>8603 SILVT C   (AV)</t>
  </si>
  <si>
    <t>8701 SPFLD A   (AV)</t>
  </si>
  <si>
    <t>8702 SPFLD B   (AV)</t>
  </si>
  <si>
    <t>8703 SPFLD C   (AV)</t>
  </si>
  <si>
    <t>8704 SPFLD D   (AV)</t>
  </si>
  <si>
    <t>8705 SPFLD E   (AV)</t>
  </si>
  <si>
    <t>8706 SPFLD F   (AV)</t>
  </si>
  <si>
    <t>8707 SPFLD G   (AV)</t>
  </si>
  <si>
    <t>8708 SPFLD H   (AV)</t>
  </si>
  <si>
    <t>8709 SPFLD I   (AV)</t>
  </si>
  <si>
    <t>8710 SPFLD J   (AV)</t>
  </si>
  <si>
    <t>8711 SPFLD K   (AV)</t>
  </si>
  <si>
    <t>8712 SPFLD L   (AV)</t>
  </si>
  <si>
    <t>8713 SPFLD M   (AV)</t>
  </si>
  <si>
    <t>8714 SPFLD N   (AV)</t>
  </si>
  <si>
    <t>8715 SPFLD O   (AV)</t>
  </si>
  <si>
    <t>8716 SPFLD P   (AV)</t>
  </si>
  <si>
    <t>8717 SPFLD Q   (AV)</t>
  </si>
  <si>
    <t>8718 SPFLD R   (AV)</t>
  </si>
  <si>
    <t>8719 SPFLD S   (AV)</t>
  </si>
  <si>
    <t>8720 SPFLD T   (AV)</t>
  </si>
  <si>
    <t>8721 SPFLD U   (AV)</t>
  </si>
  <si>
    <t>8722 SPFLD V   (AV)</t>
  </si>
  <si>
    <t>8723 SPFLD W   (AV)</t>
  </si>
  <si>
    <t>8724 SPFLD X   (AV)</t>
  </si>
  <si>
    <t>8725 SPFLD Y   (AV)</t>
  </si>
  <si>
    <t>8726 SPFLD Z   (AV)</t>
  </si>
  <si>
    <t>8727 SPFLD AA   (AV)</t>
  </si>
  <si>
    <t>8728 SPFLD BB   (AV)</t>
  </si>
  <si>
    <t>8901 SYCAM A   (AV)</t>
  </si>
  <si>
    <t>8902 SYCAM B   (AV)</t>
  </si>
  <si>
    <t>8903 SYCAM C   (AV)</t>
  </si>
  <si>
    <t>8904 SYCAM D   (AV)</t>
  </si>
  <si>
    <t>8905 SYCAM E   (AV)</t>
  </si>
  <si>
    <t>8906 SYCAM F   (AV)</t>
  </si>
  <si>
    <t>8907 SYCAM G   (AV)</t>
  </si>
  <si>
    <t>8908 SYCAM H   (AV)</t>
  </si>
  <si>
    <t>8909 SYCAM I   (AV)</t>
  </si>
  <si>
    <t>8910 SYCAM J   (AV)</t>
  </si>
  <si>
    <t>8911 SYCAM K   (AV)</t>
  </si>
  <si>
    <t>8912 SYCAM L   (AV)</t>
  </si>
  <si>
    <t>8913 SYCAM M   (AV)</t>
  </si>
  <si>
    <t>8914 SYCAM N   (AV)</t>
  </si>
  <si>
    <t>9101 SYMM A   (AV)</t>
  </si>
  <si>
    <t>9102 SYMM B   (AV)</t>
  </si>
  <si>
    <t>9103 SYMM C   (AV)</t>
  </si>
  <si>
    <t>9104 SYMM D   (AV)</t>
  </si>
  <si>
    <t>9105 SYMM E   (AV)</t>
  </si>
  <si>
    <t>9106 SYMM F   (AV)</t>
  </si>
  <si>
    <t>9107 SYMM G   (AV)</t>
  </si>
  <si>
    <t>9108 SYMM H   (AV)</t>
  </si>
  <si>
    <t>9109 SYMM I   (AV)</t>
  </si>
  <si>
    <t>9110 SYMM J   (AV)</t>
  </si>
  <si>
    <t>9111 SYMM K   (AV)</t>
  </si>
  <si>
    <t>9112 SYMM L   (AV)</t>
  </si>
  <si>
    <t>9301 TER PK A   (AV)</t>
  </si>
  <si>
    <t>9302 TER PK B   (AV)</t>
  </si>
  <si>
    <t>9501 WHWTR A   (AV)</t>
  </si>
  <si>
    <t>9502 WHWTR B   (AV)</t>
  </si>
  <si>
    <t>9503 WHWTR C   (AV)</t>
  </si>
  <si>
    <t>9701 WOOD A   (AV)</t>
  </si>
  <si>
    <t>9702 WOOD B   (AV)</t>
  </si>
  <si>
    <t>0101 CIN 1-A   (ED)</t>
  </si>
  <si>
    <t>0102 CIN 1-B   (ED)</t>
  </si>
  <si>
    <t>0103 CIN 1-C   (ED)</t>
  </si>
  <si>
    <t>0104 CIN 1-D   (ED)</t>
  </si>
  <si>
    <t>0105 CIN 1-E   (ED)</t>
  </si>
  <si>
    <t>0106 CIN 1-F   (ED)</t>
  </si>
  <si>
    <t>0107 CIN 1-G   (ED)</t>
  </si>
  <si>
    <t>0108 CIN 1-H   (ED)</t>
  </si>
  <si>
    <t>0109 CIN 1-I   (ED)</t>
  </si>
  <si>
    <t>0110 CIN 1-J   (ED)</t>
  </si>
  <si>
    <t>0111 CIN 1-K   (ED)</t>
  </si>
  <si>
    <t>0112 CIN 1-L   (ED)</t>
  </si>
  <si>
    <t>0113 CIN 1-M   (ED)</t>
  </si>
  <si>
    <t>0201 CIN 2-A   (ED)</t>
  </si>
  <si>
    <t>0202 CIN 2-B   (ED)</t>
  </si>
  <si>
    <t>0203 CIN 2-C   (ED)</t>
  </si>
  <si>
    <t>0204 CIN 2-D   (ED)</t>
  </si>
  <si>
    <t>0205 CIN 2-E   (ED)</t>
  </si>
  <si>
    <t>0206 CIN 2-F   (ED)</t>
  </si>
  <si>
    <t>0207 CIN 2-G   (ED)</t>
  </si>
  <si>
    <t>0208 CIN 2-H   (ED)</t>
  </si>
  <si>
    <t>0209 CIN 2-I   (ED)</t>
  </si>
  <si>
    <t>0210 CIN 2-J   (ED)</t>
  </si>
  <si>
    <t>0211 CIN 2-K   (ED)</t>
  </si>
  <si>
    <t>0301 CIN 3-A   (ED)</t>
  </si>
  <si>
    <t>0302 CIN 3-B   (ED)</t>
  </si>
  <si>
    <t>0303 CIN 3-C   (ED)</t>
  </si>
  <si>
    <t>0304 CIN 3-D   (ED)</t>
  </si>
  <si>
    <t>0305 CIN 3-E   (ED)</t>
  </si>
  <si>
    <t>0401 CIN 4-A   (ED)</t>
  </si>
  <si>
    <t>0402 CIN 4-B   (ED)</t>
  </si>
  <si>
    <t>0403 CIN 4-C   (ED)</t>
  </si>
  <si>
    <t>0404 CIN 4-D   (ED)</t>
  </si>
  <si>
    <t>0405 CIN 4-E   (ED)</t>
  </si>
  <si>
    <t>0406 CIN 4-F   (ED)</t>
  </si>
  <si>
    <t>0407 CIN 4-G   (ED)</t>
  </si>
  <si>
    <t>0408 CIN 4-H   (ED)</t>
  </si>
  <si>
    <t>0501 CIN 5-A   (ED)</t>
  </si>
  <si>
    <t>0502 CIN 5-B   (ED)</t>
  </si>
  <si>
    <t>0503 CIN 5-C   (ED)</t>
  </si>
  <si>
    <t>0504 CIN 5-D   (ED)</t>
  </si>
  <si>
    <t>0505 CIN 5-E   (ED)</t>
  </si>
  <si>
    <t>0506 CIN 5-F   (ED)</t>
  </si>
  <si>
    <t>0507 CIN 5-G   (ED)</t>
  </si>
  <si>
    <t>0508 CIN 5-H   (ED)</t>
  </si>
  <si>
    <t>0509 CIN 5-I   (ED)</t>
  </si>
  <si>
    <t>0601 CIN 6-A   (ED)</t>
  </si>
  <si>
    <t>0602 CIN 6-B   (ED)</t>
  </si>
  <si>
    <t>0603 CIN 6-C   (ED)</t>
  </si>
  <si>
    <t>0604 CIN 6-D   (ED)</t>
  </si>
  <si>
    <t>0605 CIN 6-E   (ED)</t>
  </si>
  <si>
    <t>0701 CIN 7-A   (ED)</t>
  </si>
  <si>
    <t>0702 CIN 7-B   (ED)</t>
  </si>
  <si>
    <t>0703 CIN 7-C   (ED)</t>
  </si>
  <si>
    <t>0704 CIN 7-D   (ED)</t>
  </si>
  <si>
    <t>0705 CIN 7-E   (ED)</t>
  </si>
  <si>
    <t>0706 CIN 7-F   (ED)</t>
  </si>
  <si>
    <t>0707 CIN 7-G   (ED)</t>
  </si>
  <si>
    <t>0708 CIN 7-H   (ED)</t>
  </si>
  <si>
    <t>0709 CIN 7-I   (ED)</t>
  </si>
  <si>
    <t>0710 CIN 7-J   (ED)</t>
  </si>
  <si>
    <t>0711 CIN 7-K   (ED)</t>
  </si>
  <si>
    <t>0801 CIN 8-A   (ED)</t>
  </si>
  <si>
    <t>0802 CIN 8-B   (ED)</t>
  </si>
  <si>
    <t>0803 CIN 8-C   (ED)</t>
  </si>
  <si>
    <t>0804 CIN 8-D   (ED)</t>
  </si>
  <si>
    <t>0901 CIN 9-A   (ED)</t>
  </si>
  <si>
    <t>0902 CIN 9-B   (ED)</t>
  </si>
  <si>
    <t>0903 CIN 9-C   (ED)</t>
  </si>
  <si>
    <t>0904 CIN 9-D   (ED)</t>
  </si>
  <si>
    <t>1001 CIN 10-A   (ED)</t>
  </si>
  <si>
    <t>1002 CIN 10-B   (ED)</t>
  </si>
  <si>
    <t>1003 CIN 10-C   (ED)</t>
  </si>
  <si>
    <t>1101 CIN 11-A   (ED)</t>
  </si>
  <si>
    <t>1102 CIN 11-B   (ED)</t>
  </si>
  <si>
    <t>1103 CIN 11-C   (ED)</t>
  </si>
  <si>
    <t>1104 CIN 11-D   (ED)</t>
  </si>
  <si>
    <t>1201 CIN 12-A   (ED)</t>
  </si>
  <si>
    <t>1202 CIN 12-B   (ED)</t>
  </si>
  <si>
    <t>1203 CIN 12-C   (ED)</t>
  </si>
  <si>
    <t>1204 CIN 12-D   (ED)</t>
  </si>
  <si>
    <t>1205 CIN 12-E   (ED)</t>
  </si>
  <si>
    <t>1301 CIN 13-A   (ED)</t>
  </si>
  <si>
    <t>1302 CIN 13-B   (ED)</t>
  </si>
  <si>
    <t>1303 CIN 13-C   (ED)</t>
  </si>
  <si>
    <t>1304 CIN 13-D   (ED)</t>
  </si>
  <si>
    <t>1305 CIN 13-E   (ED)</t>
  </si>
  <si>
    <t>1306 CIN 13-F   (ED)</t>
  </si>
  <si>
    <t>1307 CIN 13-G   (ED)</t>
  </si>
  <si>
    <t>1308 CIN 13-H   (ED)</t>
  </si>
  <si>
    <t>1401 CIN 14-A   (ED)</t>
  </si>
  <si>
    <t>1402 CIN 14-B   (ED)</t>
  </si>
  <si>
    <t>1403 CIN 14-C   (ED)</t>
  </si>
  <si>
    <t>1404 CIN 14-D   (ED)</t>
  </si>
  <si>
    <t>1405 CIN 14-E   (ED)</t>
  </si>
  <si>
    <t>1406 CIN 14-F   (ED)</t>
  </si>
  <si>
    <t>1407 CIN 14-G   (ED)</t>
  </si>
  <si>
    <t>1408 CIN 14-H   (ED)</t>
  </si>
  <si>
    <t>1409 CIN 14-I   (ED)</t>
  </si>
  <si>
    <t>1501 CIN 15-A   (ED)</t>
  </si>
  <si>
    <t>1502 CIN 15-B   (ED)</t>
  </si>
  <si>
    <t>1503 CIN 15-C   (ED)</t>
  </si>
  <si>
    <t>1504 CIN 15-D   (ED)</t>
  </si>
  <si>
    <t>1505 CIN 15-E   (ED)</t>
  </si>
  <si>
    <t>1506 CIN 15-F   (ED)</t>
  </si>
  <si>
    <t>1507 CIN 15-G   (ED)</t>
  </si>
  <si>
    <t>1508 CIN 15-H   (ED)</t>
  </si>
  <si>
    <t>1509 CIN 15-I   (ED)</t>
  </si>
  <si>
    <t>1510 CIN 15-J   (ED)</t>
  </si>
  <si>
    <t>1601 CIN 16-A   (ED)</t>
  </si>
  <si>
    <t>1701 CIN 17-A   (ED)</t>
  </si>
  <si>
    <t>1702 CIN 17-B   (ED)</t>
  </si>
  <si>
    <t>1703 CIN 17-C   (ED)</t>
  </si>
  <si>
    <t>1801 CIN 18-A   (ED)</t>
  </si>
  <si>
    <t>1802 CIN 18-B   (ED)</t>
  </si>
  <si>
    <t>1901 CIN 19-A   (ED)</t>
  </si>
  <si>
    <t>1902 CIN 19-B   (ED)</t>
  </si>
  <si>
    <t>1903 CIN 19-C   (ED)</t>
  </si>
  <si>
    <t>1904 CIN 19-D   (ED)</t>
  </si>
  <si>
    <t>2001 CIN 20-A   (ED)</t>
  </si>
  <si>
    <t>2002 CIN 20-B   (ED)</t>
  </si>
  <si>
    <t>2003 CIN 20-C   (ED)</t>
  </si>
  <si>
    <t>2004 CIN 20-D   (ED)</t>
  </si>
  <si>
    <t>2005 CIN 20-E   (ED)</t>
  </si>
  <si>
    <t>2101 CIN 21-A   (ED)</t>
  </si>
  <si>
    <t>2102 CIN 21-B   (ED)</t>
  </si>
  <si>
    <t>2103 CIN 21-C   (ED)</t>
  </si>
  <si>
    <t>2104 CIN 21-D   (ED)</t>
  </si>
  <si>
    <t>2105 CIN 21-E   (ED)</t>
  </si>
  <si>
    <t>2201 CIN 22-A   (ED)</t>
  </si>
  <si>
    <t>2202 CIN 22-B   (ED)</t>
  </si>
  <si>
    <t>2203 CIN 22-C   (ED)</t>
  </si>
  <si>
    <t>2301 CIN 23-A   (ED)</t>
  </si>
  <si>
    <t>2302 CIN 23-B   (ED)</t>
  </si>
  <si>
    <t>2303 CIN 23-C   (ED)</t>
  </si>
  <si>
    <t>2304 CIN 23-D   (ED)</t>
  </si>
  <si>
    <t>2305 CIN 23-E   (ED)</t>
  </si>
  <si>
    <t>2306 CIN 23-F   (ED)</t>
  </si>
  <si>
    <t>2307 CIN 23-G   (ED)</t>
  </si>
  <si>
    <t>2308 CIN 23-H   (ED)</t>
  </si>
  <si>
    <t>2309 CIN 23-I   (ED)</t>
  </si>
  <si>
    <t>2310 CIN 23-J   (ED)</t>
  </si>
  <si>
    <t>2311 CIN 23-K   (ED)</t>
  </si>
  <si>
    <t>2312 CIN 23-L   (ED)</t>
  </si>
  <si>
    <t>2313 CIN 23-M   (ED)</t>
  </si>
  <si>
    <t>2314 CIN 23-N   (ED)</t>
  </si>
  <si>
    <t>2315 CIN 23-O   (ED)</t>
  </si>
  <si>
    <t>2316 CIN 23-P   (ED)</t>
  </si>
  <si>
    <t>2317 CIN 23-Q   (ED)</t>
  </si>
  <si>
    <t>2318 CIN 23-R   (ED)</t>
  </si>
  <si>
    <t>2401 CIN 24-A   (ED)</t>
  </si>
  <si>
    <t>2402 CIN 24-B   (ED)</t>
  </si>
  <si>
    <t>2403 CIN 24-C   (ED)</t>
  </si>
  <si>
    <t>2404 CIN 24-D   (ED)</t>
  </si>
  <si>
    <t>2405 CIN 24-E   (ED)</t>
  </si>
  <si>
    <t>2406 CIN 24-F   (ED)</t>
  </si>
  <si>
    <t>2407 CIN 24-G   (ED)</t>
  </si>
  <si>
    <t>2408 CIN 24-H   (ED)</t>
  </si>
  <si>
    <t>2409 CIN 24-I   (ED)</t>
  </si>
  <si>
    <t>2501 CIN 25-A   (ED)</t>
  </si>
  <si>
    <t>2502 CIN 25-B   (ED)</t>
  </si>
  <si>
    <t>2503 CIN 25-C   (ED)</t>
  </si>
  <si>
    <t>2504 CIN 25-D   (ED)</t>
  </si>
  <si>
    <t>2505 CIN 25-E   (ED)</t>
  </si>
  <si>
    <t>2506 CIN 25-F   (ED)</t>
  </si>
  <si>
    <t>2507 CIN 25-G   (ED)</t>
  </si>
  <si>
    <t>2508 CIN 25-H   (ED)</t>
  </si>
  <si>
    <t>2509 CIN 25-I   (ED)</t>
  </si>
  <si>
    <t>2510 CIN 25-J   (ED)</t>
  </si>
  <si>
    <t>2511 CIN 25-K   (ED)</t>
  </si>
  <si>
    <t>2512 CIN 25-L   (ED)</t>
  </si>
  <si>
    <t>2601 CIN 26-A   (ED)</t>
  </si>
  <si>
    <t>2602 CIN 26-B   (ED)</t>
  </si>
  <si>
    <t>2603 CIN 26-C   (ED)</t>
  </si>
  <si>
    <t>2604 CIN 26-D   (ED)</t>
  </si>
  <si>
    <t>2605 CIN 26-E   (ED)</t>
  </si>
  <si>
    <t>2606 CIN 26-F   (ED)</t>
  </si>
  <si>
    <t>2607 CIN 26-G   (ED)</t>
  </si>
  <si>
    <t>2608 CIN 26-H   (ED)</t>
  </si>
  <si>
    <t>2609 CIN 26-I   (ED)</t>
  </si>
  <si>
    <t>2610 CIN 26-J   (ED)</t>
  </si>
  <si>
    <t>2611 CIN 26-K   (ED)</t>
  </si>
  <si>
    <t>2612 CIN 26-L   (ED)</t>
  </si>
  <si>
    <t>2613 CIN 26-M   (ED)</t>
  </si>
  <si>
    <t>2614 CIN 26-N   (ED)</t>
  </si>
  <si>
    <t>2615 CIN 26-O   (ED)</t>
  </si>
  <si>
    <t>2616 CIN 26-P   (ED)</t>
  </si>
  <si>
    <t>2617 CIN 26-Q   (ED)</t>
  </si>
  <si>
    <t>2618 CIN 26-R   (ED)</t>
  </si>
  <si>
    <t>2619 CIN 26-S   (ED)</t>
  </si>
  <si>
    <t>2811 BLUE 1-A   (ED)</t>
  </si>
  <si>
    <t>2812 BLUE 1-B   (ED)</t>
  </si>
  <si>
    <t>2821 BLUE 2-A   (ED)</t>
  </si>
  <si>
    <t>2822 BLUE 2-B   (ED)</t>
  </si>
  <si>
    <t>2823 BLUE 2-C   (ED)</t>
  </si>
  <si>
    <t>2831 BLUE 3-A   (ED)</t>
  </si>
  <si>
    <t>2832 BLUE 3-B   (ED)</t>
  </si>
  <si>
    <t>2841 BLUE 4-A   (ED)</t>
  </si>
  <si>
    <t>2842 BLUE 4-B   (ED)</t>
  </si>
  <si>
    <t>2851 BLUE 5-A   (ED)</t>
  </si>
  <si>
    <t>2852 BLUE 5-B   (ED)</t>
  </si>
  <si>
    <t>2911 CHEV 1-A   (ED)</t>
  </si>
  <si>
    <t>2921 CHEV 2-A   (ED)</t>
  </si>
  <si>
    <t>2931 CHEV 3-A   (ED)</t>
  </si>
  <si>
    <t>2941 CHEV 4-A   (ED)</t>
  </si>
  <si>
    <t>3111 DR PK 1-A   (ED)</t>
  </si>
  <si>
    <t>3121 DR PK 2-A   (ED)</t>
  </si>
  <si>
    <t>3131 DR PK 3-A   (ED)</t>
  </si>
  <si>
    <t>3141 DR PK 4-A   (ED)</t>
  </si>
  <si>
    <t>3201 FR PK A   (ED)</t>
  </si>
  <si>
    <t>3202 FR PK B   (ED)</t>
  </si>
  <si>
    <t>3203 FR PK C   (ED)</t>
  </si>
  <si>
    <t>3204 FR PK D   (ED)</t>
  </si>
  <si>
    <t>3205 FR PK E   (ED)</t>
  </si>
  <si>
    <t>3206 FR PK F   (ED)</t>
  </si>
  <si>
    <t>3207 FR PK G   (ED)</t>
  </si>
  <si>
    <t>3208 FR PK H   (ED)</t>
  </si>
  <si>
    <t>3209 FR PK I   (ED)</t>
  </si>
  <si>
    <t>3210 FR PK J   (ED)</t>
  </si>
  <si>
    <t>3211 FR PK K   (ED)</t>
  </si>
  <si>
    <t>3212 FR PK L   (ED)</t>
  </si>
  <si>
    <t>3213 FR PK M   (ED)</t>
  </si>
  <si>
    <t>3401 HARR A   (ED)</t>
  </si>
  <si>
    <t>3402 HARR B   (ED)</t>
  </si>
  <si>
    <t>3403 HARR C   (ED)</t>
  </si>
  <si>
    <t>3404 HARR D   (ED)</t>
  </si>
  <si>
    <t>3405 HARR E   (ED)</t>
  </si>
  <si>
    <t>3406 HARR F   (ED)</t>
  </si>
  <si>
    <t>3407 HARR G   (ED)</t>
  </si>
  <si>
    <t>3501 IND HLL A   (ED)</t>
  </si>
  <si>
    <t>3502 IND HLL B   (ED)</t>
  </si>
  <si>
    <t>3503 IND HLL C   (ED)</t>
  </si>
  <si>
    <t>3504 IND HLL D   (ED)</t>
  </si>
  <si>
    <t>3505 IND HLL E   (ED)</t>
  </si>
  <si>
    <t>3506 IND HLL F   (ED)</t>
  </si>
  <si>
    <t>3701 LOVE A   (ED)</t>
  </si>
  <si>
    <t>3702 LOVE B   (ED)</t>
  </si>
  <si>
    <t>3703 LOVE C   (ED)</t>
  </si>
  <si>
    <t>3704 LOVE D   (ED)</t>
  </si>
  <si>
    <t>3705 LOVE E   (ED)</t>
  </si>
  <si>
    <t>3706 LOVE F   (ED)</t>
  </si>
  <si>
    <t>3707 LOVE G   (ED)</t>
  </si>
  <si>
    <t>3801 MADRA A   (ED)</t>
  </si>
  <si>
    <t>3802 MADRA B   (ED)</t>
  </si>
  <si>
    <t>3803 MADRA C   (ED)</t>
  </si>
  <si>
    <t>3804 MADRA D   (ED)</t>
  </si>
  <si>
    <t>3805 MADRA E   (ED)</t>
  </si>
  <si>
    <t>3806 MADRA F   (ED)</t>
  </si>
  <si>
    <t>3807 MADRA G   (ED)</t>
  </si>
  <si>
    <t>3808 MADRA H   (ED)</t>
  </si>
  <si>
    <t>3901 MILF A  (ED)</t>
  </si>
  <si>
    <t>4001 MONT A   (ED)</t>
  </si>
  <si>
    <t>4002 MONT B   (ED)</t>
  </si>
  <si>
    <t>4003 MONT C   (ED)</t>
  </si>
  <si>
    <t>4004 MONT D   (ED)</t>
  </si>
  <si>
    <t>4005 MONT E   (ED)</t>
  </si>
  <si>
    <t>4006 MONT F   (ED)</t>
  </si>
  <si>
    <t>4007 MONT G   (ED)</t>
  </si>
  <si>
    <t>4008 MONT H   (ED)</t>
  </si>
  <si>
    <t>4009 MONT I   (ED)</t>
  </si>
  <si>
    <t>4111 MTHY 1-A   (ED)</t>
  </si>
  <si>
    <t>4121 MTHY 2-A   (ED)</t>
  </si>
  <si>
    <t>4131 MTHY 3-A   (ED)</t>
  </si>
  <si>
    <t>4141 MTHY 4-A   (ED)</t>
  </si>
  <si>
    <t>4311 NCH 1-A   (ED)</t>
  </si>
  <si>
    <t>4312 NCH 1-B   (ED)</t>
  </si>
  <si>
    <t>4321 NCH 2-A   (ED)</t>
  </si>
  <si>
    <t>4331 NCH 3-A   (ED)</t>
  </si>
  <si>
    <t>4341 NCH 4-A   (ED)</t>
  </si>
  <si>
    <t>4342 NCH 4-B   (ED)</t>
  </si>
  <si>
    <t>4343 NCH 4-C   (ED)</t>
  </si>
  <si>
    <t>4411 NORW 1-A   (ED)</t>
  </si>
  <si>
    <t>4412 NORW 1-B   (ED)</t>
  </si>
  <si>
    <t>4413 NORW 1-C   (ED)</t>
  </si>
  <si>
    <t>4421 NORW 2-A   (ED)</t>
  </si>
  <si>
    <t>4422 NORW 2-B   (ED)</t>
  </si>
  <si>
    <t>4423 NORW 2-C   (ED)</t>
  </si>
  <si>
    <t>4431 NORW 3-A   (ED)</t>
  </si>
  <si>
    <t>4432 NORW 3-B   (ED)</t>
  </si>
  <si>
    <t>4433 NORW 3-C   (ED)</t>
  </si>
  <si>
    <t>4441 NORW 4-A   (ED)</t>
  </si>
  <si>
    <t>4442 NORW 4-B   (ED)</t>
  </si>
  <si>
    <t>4443 NORW 4-C   (ED)</t>
  </si>
  <si>
    <t>4611 READ 1-A   (ED)</t>
  </si>
  <si>
    <t>4612 READ 1-B   (ED)</t>
  </si>
  <si>
    <t>4621 READ 2-A   (ED)</t>
  </si>
  <si>
    <t>4622 READ 2-B   (ED)</t>
  </si>
  <si>
    <t>4631 READ 3-A   (ED)</t>
  </si>
  <si>
    <t>4632 READ 3-B   (ED)</t>
  </si>
  <si>
    <t>4641 READ 4-A   (ED)</t>
  </si>
  <si>
    <t>4642 READ 4-B   (ED)</t>
  </si>
  <si>
    <t>4911 SHAR 1-A   (ED)</t>
  </si>
  <si>
    <t>4912 SHAR 1-B   (ED)</t>
  </si>
  <si>
    <t>4921 SHAR 2-A   (ED)</t>
  </si>
  <si>
    <t>4931 SHAR 3-A   (ED)</t>
  </si>
  <si>
    <t>4932 SHAR 3-B   (ED)</t>
  </si>
  <si>
    <t>4941 SHAR 4-A   (ED)</t>
  </si>
  <si>
    <t>4942 SHAR 4-B   (ED)</t>
  </si>
  <si>
    <t>5201 SPDALE A   (ED)</t>
  </si>
  <si>
    <t>5202 SPDALE B   (ED)</t>
  </si>
  <si>
    <t>5203 SPDALE C   (ED)</t>
  </si>
  <si>
    <t>5204 SPDALE D   (ED)</t>
  </si>
  <si>
    <t>5205 SPDALE E   (ED)</t>
  </si>
  <si>
    <t>5206 SPDALE F   (ED)</t>
  </si>
  <si>
    <t>5207 SPDALE G   (ED)</t>
  </si>
  <si>
    <t>5208 SPDALE H   (ED)</t>
  </si>
  <si>
    <t>5301 WYOM A   (ED)</t>
  </si>
  <si>
    <t>5302 WYOM B   (ED)</t>
  </si>
  <si>
    <t>5303 WYOM C   (ED)</t>
  </si>
  <si>
    <t>5304 WYOM D   (ED)</t>
  </si>
  <si>
    <t>5305 WYOM E   (ED)</t>
  </si>
  <si>
    <t>5501 AMBER A   (ED)</t>
  </si>
  <si>
    <t>5502 AMBER B   (ED)</t>
  </si>
  <si>
    <t>5503 AMBER C   (ED)</t>
  </si>
  <si>
    <t>5504 AMBER D   (ED)</t>
  </si>
  <si>
    <t>5601 AND A   (ED)</t>
  </si>
  <si>
    <t>5602 AND B   (ED)</t>
  </si>
  <si>
    <t>5603 AND C   (ED)</t>
  </si>
  <si>
    <t>5604 AND D   (ED)</t>
  </si>
  <si>
    <t>5605 AND E   (ED)</t>
  </si>
  <si>
    <t>5606 AND F   (ED)</t>
  </si>
  <si>
    <t>5607 AND G   (ED)</t>
  </si>
  <si>
    <t>5608 AND H   (ED)</t>
  </si>
  <si>
    <t>5609 AND I   (ED)</t>
  </si>
  <si>
    <t>5610 AND J   (ED)</t>
  </si>
  <si>
    <t>5611 AND K   (ED)</t>
  </si>
  <si>
    <t>5612 AND L   (ED)</t>
  </si>
  <si>
    <t>5613 AND M   (ED)</t>
  </si>
  <si>
    <t>5614 AND N   (ED)</t>
  </si>
  <si>
    <t>5615 AND O   (ED)</t>
  </si>
  <si>
    <t>5616 AND P   (ED)</t>
  </si>
  <si>
    <t>5617 AND Q   (ED)</t>
  </si>
  <si>
    <t>5618 AND R   (ED)</t>
  </si>
  <si>
    <t>5619 AND S   (ED)</t>
  </si>
  <si>
    <t>5620 AND T   (ED)</t>
  </si>
  <si>
    <t>5621 AND U   (ED)</t>
  </si>
  <si>
    <t>5622 AND V   (ED)</t>
  </si>
  <si>
    <t>5623 AND W   (ED)</t>
  </si>
  <si>
    <t>5624 AND X   (ED)</t>
  </si>
  <si>
    <t>5625 AND Y   (ED)</t>
  </si>
  <si>
    <t>5626 AND Z   (ED)</t>
  </si>
  <si>
    <t>5627 AND AA   (ED)</t>
  </si>
  <si>
    <t>5628 AND BB   (ED)</t>
  </si>
  <si>
    <t>5629 AND CC   (ED)</t>
  </si>
  <si>
    <t>5630 AND DD   (ED)</t>
  </si>
  <si>
    <t>5631 AND EE   (ED)</t>
  </si>
  <si>
    <t>5632 AND FF   (ED)</t>
  </si>
  <si>
    <t>5801 ARLN A   (ED)</t>
  </si>
  <si>
    <t>5901 COLE A   (ED)</t>
  </si>
  <si>
    <t>5902 COLE B   (ED)</t>
  </si>
  <si>
    <t>5903 COLE C   (ED)</t>
  </si>
  <si>
    <t>5904 COLE D   (ED)</t>
  </si>
  <si>
    <t>5905 COLE E   (ED)</t>
  </si>
  <si>
    <t>5906 COLE F   (ED)</t>
  </si>
  <si>
    <t>5907 COLE G   (ED)</t>
  </si>
  <si>
    <t>5908 COLE H   (ED)</t>
  </si>
  <si>
    <t>5909 COLE I   (ED)</t>
  </si>
  <si>
    <t>5910 COLE J   (ED)</t>
  </si>
  <si>
    <t>5911 COLE K   (ED)</t>
  </si>
  <si>
    <t>5912 COLE L   (ED)</t>
  </si>
  <si>
    <t>5913 COLE M   (ED)</t>
  </si>
  <si>
    <t>5914 COLE N   (ED)</t>
  </si>
  <si>
    <t>5915 COLE O   (ED)</t>
  </si>
  <si>
    <t>5916 COLE P   (ED)</t>
  </si>
  <si>
    <t>5917 COLE Q   (ED)</t>
  </si>
  <si>
    <t>5918 COLE R   (ED)</t>
  </si>
  <si>
    <t>5919 COLE S   (ED)</t>
  </si>
  <si>
    <t>5920 COLE T   (ED)</t>
  </si>
  <si>
    <t>5921 COLE U   (ED)</t>
  </si>
  <si>
    <t>5922 COLE V   (ED)</t>
  </si>
  <si>
    <t>5923 COLE W   (ED)</t>
  </si>
  <si>
    <t>5924 COLE X   (ED)</t>
  </si>
  <si>
    <t>5925 COLE Y   (ED)</t>
  </si>
  <si>
    <t>5926 COLE Z   (ED)</t>
  </si>
  <si>
    <t>5927 COLE AA   (ED)</t>
  </si>
  <si>
    <t>5928 COLE BB   (ED)</t>
  </si>
  <si>
    <t>5929 COLE CC   (ED)</t>
  </si>
  <si>
    <t>5930 COLE DD   (ED)</t>
  </si>
  <si>
    <t>5931 COLE EE   (ED)</t>
  </si>
  <si>
    <t>5932 COLE FF   (ED)</t>
  </si>
  <si>
    <t>5933 COLE GG   (ED)</t>
  </si>
  <si>
    <t>5934 COLE HH   (ED)</t>
  </si>
  <si>
    <t>5935 COLE II   (ED)</t>
  </si>
  <si>
    <t>5936 COLE JJ   (ED)</t>
  </si>
  <si>
    <t>5937 COLE KK   (ED)</t>
  </si>
  <si>
    <t>5938 COLE LL   (ED)</t>
  </si>
  <si>
    <t>6201 COLUM A   (ED)</t>
  </si>
  <si>
    <t>6202 COLUM B   (ED)</t>
  </si>
  <si>
    <t>6203 COLUM C   (ED)</t>
  </si>
  <si>
    <t>6204 COLUM D   (ED)</t>
  </si>
  <si>
    <t>6205 COLUM E   (ED)</t>
  </si>
  <si>
    <t>6206 COLUM F   (ED)</t>
  </si>
  <si>
    <t>6207 COLUM G   (ED)</t>
  </si>
  <si>
    <t>6208 COLUM H   (ED)</t>
  </si>
  <si>
    <t>6209 COLUM I   (ED)</t>
  </si>
  <si>
    <t>6401 CROSB A   (ED)</t>
  </si>
  <si>
    <t>6402 CROSB B   (ED)</t>
  </si>
  <si>
    <t>6501 DELHI A   (ED)</t>
  </si>
  <si>
    <t>6502 DELHI B   (ED)</t>
  </si>
  <si>
    <t>6503 DELHI C   (ED)</t>
  </si>
  <si>
    <t>6504 DELHI D   (ED)</t>
  </si>
  <si>
    <t>6505 DELHI E   (ED)</t>
  </si>
  <si>
    <t>6506 DELHI F   (ED)</t>
  </si>
  <si>
    <t>6507 DELHI G   (ED)</t>
  </si>
  <si>
    <t>6508 DELHI H   (ED)</t>
  </si>
  <si>
    <t>6509 DELHI I   (ED)</t>
  </si>
  <si>
    <t>6510 DELHI J   (ED)</t>
  </si>
  <si>
    <t>6511 DELHI K   (ED)</t>
  </si>
  <si>
    <t>6512 DELHI L   (ED)</t>
  </si>
  <si>
    <t>6513 DELHI M   (ED)</t>
  </si>
  <si>
    <t>6514 DELHI N   (ED)</t>
  </si>
  <si>
    <t>6515 DELHI O   (ED)</t>
  </si>
  <si>
    <t>6516 DELHI P   (ED)</t>
  </si>
  <si>
    <t>6517 DELHI Q   (ED)</t>
  </si>
  <si>
    <t>6518 DELHI R   (ED)</t>
  </si>
  <si>
    <t>6519 DELHI S   (ED)</t>
  </si>
  <si>
    <t>6701 ELMW A   (ED)</t>
  </si>
  <si>
    <t>6801 EVEN A   (ED)</t>
  </si>
  <si>
    <t>6802 EVEN B   (ED)</t>
  </si>
  <si>
    <t>6803 EVEN C   (ED)</t>
  </si>
  <si>
    <t>6901 FAIRFX A   (ED)</t>
  </si>
  <si>
    <t>7001 GLEN A   (ED)</t>
  </si>
  <si>
    <t>7002 GLEN B   (ED)</t>
  </si>
  <si>
    <t>7101 GOLF A   (ED)</t>
  </si>
  <si>
    <t>7102 GOLF B   (ED)</t>
  </si>
  <si>
    <t>7301 GREEN A   (ED)</t>
  </si>
  <si>
    <t>7302 GREEN B   (ED)</t>
  </si>
  <si>
    <t>7303 GREEN C   (ED)</t>
  </si>
  <si>
    <t>7304 GREEN D   (ED)</t>
  </si>
  <si>
    <t>7305 GREEN E   (ED)</t>
  </si>
  <si>
    <t>7306 GREEN F   (ED)</t>
  </si>
  <si>
    <t>7307 GREEN G   (ED)</t>
  </si>
  <si>
    <t>7308 GREEN H   (ED)</t>
  </si>
  <si>
    <t>7309 GREEN I   (ED)</t>
  </si>
  <si>
    <t>7310 GREEN J   (ED)</t>
  </si>
  <si>
    <t>7311 GREEN K   (ED)</t>
  </si>
  <si>
    <t>7312 GREEN L   (ED)</t>
  </si>
  <si>
    <t>7313 GREEN M   (ED)</t>
  </si>
  <si>
    <t>7314 GREEN N   (ED)</t>
  </si>
  <si>
    <t>7315 GREEN O   (ED)</t>
  </si>
  <si>
    <t>7316 GREEN P   (ED)</t>
  </si>
  <si>
    <t>7317 GREEN Q   (ED)</t>
  </si>
  <si>
    <t>7318 GREEN R   (ED)</t>
  </si>
  <si>
    <t>7319 GREEN S   (ED)</t>
  </si>
  <si>
    <t>7320 GREEN T   (ED)</t>
  </si>
  <si>
    <t>7321 GREEN U   (ED)</t>
  </si>
  <si>
    <t>7322 GREEN V   (ED)</t>
  </si>
  <si>
    <t>7323 GREEN W   (ED)</t>
  </si>
  <si>
    <t>7324 GREEN X   (ED)</t>
  </si>
  <si>
    <t>7325 GREEN Y   (ED)</t>
  </si>
  <si>
    <t>7326 GREEN Z   (ED)</t>
  </si>
  <si>
    <t>7327 GREEN AA   (ED)</t>
  </si>
  <si>
    <t>7328 GREEN BB   (ED)</t>
  </si>
  <si>
    <t>7329 GREEN CC   (ED)</t>
  </si>
  <si>
    <t>7330 GREEN DD   (ED)</t>
  </si>
  <si>
    <t>7331 GREEN EE   (ED)</t>
  </si>
  <si>
    <t>7332 GREEN FF   (ED)</t>
  </si>
  <si>
    <t>7333 GREEN GG   (ED)</t>
  </si>
  <si>
    <t>7334 GREEN HH   (ED)</t>
  </si>
  <si>
    <t>7335 GREEN II   (ED)</t>
  </si>
  <si>
    <t>7336 GREEN JJ   (ED)</t>
  </si>
  <si>
    <t>7337 GREEN KK   (ED)</t>
  </si>
  <si>
    <t>7338 GREEN LL   (ED)</t>
  </si>
  <si>
    <t>7339 GREEN MM   (ED)</t>
  </si>
  <si>
    <t>7340 GREEN NN   (ED)</t>
  </si>
  <si>
    <t>7341 GREEN OO   (ED)</t>
  </si>
  <si>
    <t>7342 GREEN PP   (ED)</t>
  </si>
  <si>
    <t>7343 GREEN QQ   (ED)</t>
  </si>
  <si>
    <t>7401 GR HL A   (ED)</t>
  </si>
  <si>
    <t>7402 GR HL B   (ED)</t>
  </si>
  <si>
    <t>7403 GR HL C   (ED)</t>
  </si>
  <si>
    <t>7601 HARR AA   (ED)</t>
  </si>
  <si>
    <t>7602 HARR BB   (ED)</t>
  </si>
  <si>
    <t>7603 HARR CC   (ED)</t>
  </si>
  <si>
    <t>7701 LIN HT A   (ED)</t>
  </si>
  <si>
    <t>7702 LIN HT B   (ED)</t>
  </si>
  <si>
    <t>7901 LOCK A   (ED)</t>
  </si>
  <si>
    <t>7902 LOCK B   (ED)</t>
  </si>
  <si>
    <t>8001 MARMT A   (ED)</t>
  </si>
  <si>
    <t>8002 MARMT B   (ED)</t>
  </si>
  <si>
    <t>8211 ADDY A   (ED)</t>
  </si>
  <si>
    <t>8221 CLEVE A   (ED)</t>
  </si>
  <si>
    <t>8222 CLEVE B   (ED)</t>
  </si>
  <si>
    <t>8231 NO BEND A   (ED)</t>
  </si>
  <si>
    <t>8301 MIAMI A   (ED)</t>
  </si>
  <si>
    <t>8302 MIAMI B   (ED)</t>
  </si>
  <si>
    <t>8303 MIAMI C   (ED)</t>
  </si>
  <si>
    <t>8304 MIAMI D   (ED)</t>
  </si>
  <si>
    <t>8305 MIAMI E   (ED)</t>
  </si>
  <si>
    <t>8306 MIAMI F   (ED)</t>
  </si>
  <si>
    <t>8307 MIAMI G   (ED)</t>
  </si>
  <si>
    <t>8308 MIAMI H   (ED)</t>
  </si>
  <si>
    <t>8401 NEWT A   (ED)</t>
  </si>
  <si>
    <t>8402 NEWT B   (ED)</t>
  </si>
  <si>
    <t>8511 ST BN 1-A   (ED)</t>
  </si>
  <si>
    <t>8521 ST BN 2-A   (ED)</t>
  </si>
  <si>
    <t>8531 ST BN 3-A   (ED)</t>
  </si>
  <si>
    <t>8541 ST BN 4-A   (ED)</t>
  </si>
  <si>
    <t>8601 SILVT A   (ED)</t>
  </si>
  <si>
    <t>8602 SILVT B   (ED)</t>
  </si>
  <si>
    <t>8603 SILVT C   (ED)</t>
  </si>
  <si>
    <t>8701 SPFLD A   (ED)</t>
  </si>
  <si>
    <t>8702 SPFLD B   (ED)</t>
  </si>
  <si>
    <t>8703 SPFLD C   (ED)</t>
  </si>
  <si>
    <t>8704 SPFLD D   (ED)</t>
  </si>
  <si>
    <t>8705 SPFLD E   (ED)</t>
  </si>
  <si>
    <t>8706 SPFLD F   (ED)</t>
  </si>
  <si>
    <t>8707 SPFLD G   (ED)</t>
  </si>
  <si>
    <t>8708 SPFLD H   (ED)</t>
  </si>
  <si>
    <t>8709 SPFLD I   (ED)</t>
  </si>
  <si>
    <t>8710 SPFLD J   (ED)</t>
  </si>
  <si>
    <t>8711 SPFLD K   (ED)</t>
  </si>
  <si>
    <t>8712 SPFLD L   (ED)</t>
  </si>
  <si>
    <t>8713 SPFLD M   (ED)</t>
  </si>
  <si>
    <t>8714 SPFLD N   (ED)</t>
  </si>
  <si>
    <t>8715 SPFLD O   (ED)</t>
  </si>
  <si>
    <t>8716 SPFLD P   (ED)</t>
  </si>
  <si>
    <t>8717 SPFLD Q   (ED)</t>
  </si>
  <si>
    <t>8718 SPFLD R   (ED)</t>
  </si>
  <si>
    <t>8719 SPFLD S   (ED)</t>
  </si>
  <si>
    <t>8720 SPFLD T   (ED)</t>
  </si>
  <si>
    <t>8721 SPFLD U   (ED)</t>
  </si>
  <si>
    <t>8722 SPFLD V   (ED)</t>
  </si>
  <si>
    <t>8723 SPFLD W   (ED)</t>
  </si>
  <si>
    <t>8724 SPFLD X   (ED)</t>
  </si>
  <si>
    <t>8725 SPFLD Y   (ED)</t>
  </si>
  <si>
    <t>8726 SPFLD Z   (ED)</t>
  </si>
  <si>
    <t>8727 SPFLD AA   (ED)</t>
  </si>
  <si>
    <t>8728 SPFLD BB   (ED)</t>
  </si>
  <si>
    <t>8901 SYCAM A   (ED)</t>
  </si>
  <si>
    <t>8902 SYCAM B   (ED)</t>
  </si>
  <si>
    <t>8903 SYCAM C   (ED)</t>
  </si>
  <si>
    <t>8904 SYCAM D   (ED)</t>
  </si>
  <si>
    <t>8905 SYCAM E   (ED)</t>
  </si>
  <si>
    <t>8906 SYCAM F   (ED)</t>
  </si>
  <si>
    <t>8907 SYCAM G   (ED)</t>
  </si>
  <si>
    <t>8908 SYCAM H   (ED)</t>
  </si>
  <si>
    <t>8909 SYCAM I   (ED)</t>
  </si>
  <si>
    <t>8910 SYCAM J   (ED)</t>
  </si>
  <si>
    <t>8911 SYCAM K   (ED)</t>
  </si>
  <si>
    <t>8912 SYCAM L   (ED)</t>
  </si>
  <si>
    <t>8913 SYCAM M   (ED)</t>
  </si>
  <si>
    <t>8914 SYCAM N   (ED)</t>
  </si>
  <si>
    <t>9101 SYMM A   (ED)</t>
  </si>
  <si>
    <t>9102 SYMM B   (ED)</t>
  </si>
  <si>
    <t>9103 SYMM C   (ED)</t>
  </si>
  <si>
    <t>9104 SYMM D   (ED)</t>
  </si>
  <si>
    <t>9105 SYMM E   (ED)</t>
  </si>
  <si>
    <t>9106 SYMM F   (ED)</t>
  </si>
  <si>
    <t>9107 SYMM G   (ED)</t>
  </si>
  <si>
    <t>9108 SYMM H   (ED)</t>
  </si>
  <si>
    <t>9109 SYMM I   (ED)</t>
  </si>
  <si>
    <t>9110 SYMM J   (ED)</t>
  </si>
  <si>
    <t>9111 SYMM K   (ED)</t>
  </si>
  <si>
    <t>9112 SYMM L   (ED)</t>
  </si>
  <si>
    <t>9301 TER PK A   (ED)</t>
  </si>
  <si>
    <t>9302 TER PK B   (ED)</t>
  </si>
  <si>
    <t>9501 WHWTR A   (ED)</t>
  </si>
  <si>
    <t>9502 WHWTR B   (ED)</t>
  </si>
  <si>
    <t>9503 WHWTR C   (ED)</t>
  </si>
  <si>
    <t>9701 WOOD A   (ED)</t>
  </si>
  <si>
    <t>9702 WOOD B   (ED)</t>
  </si>
  <si>
    <t>Rich Moore</t>
  </si>
  <si>
    <t>Robert A. Goering</t>
  </si>
  <si>
    <t>Electronic results = 1 overvote. Hand count = 1 vote for Candidate Goering. Scanner log shows voter elected to Cast ballot as an overvote.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</si>
</sst>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0000"/>
    <numFmt numFmtId="166" formatCode="_(* #,##0_);_(* \(#,##0\);_(* &quot;-&quot;??_);_(@_)"/>
    <numFmt numFmtId="167" formatCode="0.0000%"/>
  </numFmts>
  <fonts count="3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theme="0"/>
      <name val="Calibri"/>
      <family val="2"/>
      <scheme val="minor"/>
    </font>
    <font>
      <sz val="11"/>
      <color indexed="8"/>
      <name val="Calibri"/>
      <family val="2"/>
    </font>
    <font>
      <b/>
      <sz val="18"/>
      <color theme="0"/>
      <name val="Calibri"/>
      <family val="2"/>
      <scheme val="minor"/>
    </font>
    <font>
      <sz val="11"/>
      <name val="Calibri"/>
      <family val="2"/>
      <scheme val="minor"/>
    </font>
    <font>
      <b/>
      <sz val="11"/>
      <name val="Calibri"/>
      <family val="2"/>
    </font>
    <font>
      <b/>
      <sz val="10"/>
      <name val="Arial"/>
      <family val="2"/>
    </font>
    <font>
      <b/>
      <i/>
      <vertAlign val="subscript"/>
      <sz val="11"/>
      <color theme="0"/>
      <name val="Calibri"/>
      <family val="2"/>
      <scheme val="minor"/>
    </font>
    <font>
      <b/>
      <i/>
      <sz val="11"/>
      <color theme="0"/>
      <name val="Calibri"/>
      <family val="2"/>
      <scheme val="minor"/>
    </font>
    <font>
      <b/>
      <vertAlign val="subscript"/>
      <sz val="11"/>
      <color theme="0"/>
      <name val="Calibri"/>
      <family val="2"/>
      <scheme val="minor"/>
    </font>
    <font>
      <b/>
      <sz val="11"/>
      <name val="Calibri"/>
      <family val="2"/>
      <scheme val="minor"/>
    </font>
    <font>
      <sz val="11"/>
      <color theme="6" tint="-0.499984740745262"/>
      <name val="Calibri"/>
      <family val="2"/>
      <scheme val="minor"/>
    </font>
    <font>
      <sz val="11"/>
      <color theme="3" tint="-0.249977111117893"/>
      <name val="Calibri"/>
      <family val="2"/>
      <scheme val="minor"/>
    </font>
    <font>
      <sz val="11"/>
      <color theme="4" tint="-0.249977111117893"/>
      <name val="Calibri"/>
      <family val="2"/>
      <scheme val="minor"/>
    </font>
    <font>
      <b/>
      <i/>
      <sz val="11"/>
      <name val="Calibri"/>
      <family val="2"/>
      <scheme val="minor"/>
    </font>
    <font>
      <i/>
      <vertAlign val="subscript"/>
      <sz val="11"/>
      <color theme="3" tint="-0.249977111117893"/>
      <name val="Calibri"/>
      <family val="2"/>
      <scheme val="minor"/>
    </font>
    <font>
      <i/>
      <sz val="11"/>
      <color theme="3" tint="-0.249977111117893"/>
      <name val="Calibri"/>
      <family val="2"/>
      <scheme val="minor"/>
    </font>
    <font>
      <vertAlign val="subscript"/>
      <sz val="11"/>
      <color theme="3" tint="-0.249977111117893"/>
      <name val="Calibri"/>
      <family val="2"/>
      <scheme val="minor"/>
    </font>
    <font>
      <b/>
      <sz val="11"/>
      <color theme="3" tint="-0.249977111117893"/>
      <name val="Calibri"/>
      <family val="2"/>
      <scheme val="minor"/>
    </font>
    <font>
      <b/>
      <i/>
      <sz val="10"/>
      <color theme="0"/>
      <name val="Calibri"/>
      <family val="2"/>
      <scheme val="minor"/>
    </font>
    <font>
      <sz val="10"/>
      <color theme="3" tint="-0.249977111117893"/>
      <name val="Calibri"/>
      <family val="2"/>
      <scheme val="minor"/>
    </font>
    <font>
      <b/>
      <i/>
      <sz val="11"/>
      <color theme="1"/>
      <name val="Calibri"/>
      <family val="2"/>
      <scheme val="minor"/>
    </font>
    <font>
      <b/>
      <u/>
      <sz val="11"/>
      <name val="Calibri"/>
      <family val="2"/>
      <scheme val="minor"/>
    </font>
    <font>
      <sz val="14"/>
      <color theme="1"/>
      <name val="Calibri"/>
      <family val="2"/>
      <scheme val="minor"/>
    </font>
    <font>
      <sz val="14"/>
      <name val="Calibri"/>
      <family val="2"/>
      <scheme val="minor"/>
    </font>
    <font>
      <sz val="11"/>
      <color rgb="FFFF0000"/>
      <name val="Calibri"/>
      <family val="2"/>
      <scheme val="minor"/>
    </font>
    <font>
      <sz val="11"/>
      <color theme="6" tint="-0.499984740745262"/>
      <name val="Calibri"/>
      <family val="2"/>
      <scheme val="minor"/>
    </font>
    <font>
      <sz val="11"/>
      <name val="Calibri"/>
      <family val="2"/>
      <scheme val="minor"/>
    </font>
    <font>
      <b/>
      <sz val="11"/>
      <color theme="1"/>
      <name val="Calibri"/>
      <family val="2"/>
      <scheme val="minor"/>
    </font>
    <font>
      <sz val="11"/>
      <name val="Calibri"/>
      <family val="2"/>
    </font>
    <font>
      <b/>
      <sz val="11"/>
      <color rgb="FFC00000"/>
      <name val="Calibri"/>
      <family val="2"/>
      <scheme val="minor"/>
    </font>
  </fonts>
  <fills count="9">
    <fill>
      <patternFill patternType="none"/>
    </fill>
    <fill>
      <patternFill patternType="gray125"/>
    </fill>
    <fill>
      <patternFill patternType="solid">
        <fgColor theme="3" tint="-0.249977111117893"/>
        <bgColor indexed="64"/>
      </patternFill>
    </fill>
    <fill>
      <patternFill patternType="solid">
        <fgColor theme="0"/>
        <bgColor theme="4" tint="0.79998168889431442"/>
      </patternFill>
    </fill>
    <fill>
      <patternFill patternType="solid">
        <fgColor theme="4" tint="0.79998168889431442"/>
        <bgColor theme="4" tint="0.79998168889431442"/>
      </patternFill>
    </fill>
    <fill>
      <patternFill patternType="solid">
        <fgColor rgb="FF538DD5"/>
        <bgColor rgb="FF000000"/>
      </patternFill>
    </fill>
    <fill>
      <patternFill patternType="solid">
        <fgColor theme="4" tint="-0.249977111117893"/>
        <bgColor indexed="64"/>
      </patternFill>
    </fill>
    <fill>
      <patternFill patternType="solid">
        <fgColor theme="0"/>
        <bgColor indexed="64"/>
      </patternFill>
    </fill>
    <fill>
      <patternFill patternType="solid">
        <fgColor theme="0" tint="-4.9989318521683403E-2"/>
        <bgColor indexed="64"/>
      </patternFill>
    </fill>
  </fills>
  <borders count="53">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right>
      <top/>
      <bottom style="thin">
        <color theme="4"/>
      </bottom>
      <diagonal/>
    </border>
    <border>
      <left style="thin">
        <color theme="4" tint="0.59999389629810485"/>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style="thin">
        <color theme="4"/>
      </left>
      <right style="thin">
        <color theme="4"/>
      </right>
      <top style="double">
        <color theme="4"/>
      </top>
      <bottom style="thin">
        <color theme="4"/>
      </bottom>
      <diagonal/>
    </border>
    <border>
      <left/>
      <right style="thin">
        <color theme="4"/>
      </right>
      <top style="double">
        <color theme="4"/>
      </top>
      <bottom style="thin">
        <color theme="4"/>
      </bottom>
      <diagonal/>
    </border>
    <border>
      <left/>
      <right style="thin">
        <color theme="4"/>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59999389629810485"/>
      </left>
      <right/>
      <top style="thin">
        <color theme="4" tint="0.59999389629810485"/>
      </top>
      <bottom style="thin">
        <color theme="0"/>
      </bottom>
      <diagonal/>
    </border>
    <border>
      <left/>
      <right/>
      <top style="thin">
        <color theme="4" tint="0.59999389629810485"/>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4" tint="-0.24994659260841701"/>
      </bottom>
      <diagonal/>
    </border>
    <border>
      <left style="thin">
        <color theme="0"/>
      </left>
      <right style="thin">
        <color theme="0"/>
      </right>
      <top style="thin">
        <color theme="4" tint="-0.2499465926084170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theme="4" tint="-0.24994659260841701"/>
      </bottom>
      <diagonal/>
    </border>
    <border>
      <left style="thin">
        <color theme="0"/>
      </left>
      <right/>
      <top style="thin">
        <color theme="4" tint="-0.24994659260841701"/>
      </top>
      <bottom style="thin">
        <color theme="0"/>
      </bottom>
      <diagonal/>
    </border>
    <border>
      <left style="thin">
        <color theme="0"/>
      </left>
      <right style="thin">
        <color theme="0"/>
      </right>
      <top style="thin">
        <color theme="0"/>
      </top>
      <bottom style="thin">
        <color theme="3" tint="-0.24994659260841701"/>
      </bottom>
      <diagonal/>
    </border>
    <border>
      <left style="thin">
        <color theme="0"/>
      </left>
      <right style="thin">
        <color theme="0"/>
      </right>
      <top style="thin">
        <color theme="3" tint="-0.24994659260841701"/>
      </top>
      <bottom style="thin">
        <color theme="0"/>
      </bottom>
      <diagonal/>
    </border>
    <border>
      <left/>
      <right style="thin">
        <color theme="4" tint="0.59999389629810485"/>
      </right>
      <top/>
      <bottom style="thin">
        <color theme="4" tint="0.59999389629810485"/>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59999389629810485"/>
      </right>
      <top style="thin">
        <color theme="4" tint="0.59999389629810485"/>
      </top>
      <bottom style="thin">
        <color theme="0"/>
      </bottom>
      <diagonal/>
    </border>
    <border>
      <left style="thin">
        <color theme="4" tint="0.59999389629810485"/>
      </left>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diagonal/>
    </border>
    <border>
      <left style="thin">
        <color theme="4" tint="0.39997558519241921"/>
      </left>
      <right style="thin">
        <color theme="4" tint="0.59999389629810485"/>
      </right>
      <top/>
      <bottom style="thin">
        <color theme="4" tint="0.39997558519241921"/>
      </bottom>
      <diagonal/>
    </border>
  </borders>
  <cellStyleXfs count="4">
    <xf numFmtId="0" fontId="0" fillId="0" borderId="0"/>
    <xf numFmtId="0" fontId="5" fillId="0" borderId="0"/>
    <xf numFmtId="43" fontId="1" fillId="0" borderId="0" applyFont="0" applyFill="0" applyBorder="0" applyAlignment="0" applyProtection="0"/>
    <xf numFmtId="44" fontId="1" fillId="0" borderId="0" applyFont="0" applyFill="0" applyBorder="0" applyAlignment="0" applyProtection="0"/>
  </cellStyleXfs>
  <cellXfs count="176">
    <xf numFmtId="0" fontId="0" fillId="0" borderId="0" xfId="0"/>
    <xf numFmtId="0" fontId="3" fillId="0" borderId="0" xfId="0" applyFont="1" applyAlignment="1">
      <alignment horizontal="center" vertical="center" wrapText="1"/>
    </xf>
    <xf numFmtId="0" fontId="4" fillId="2" borderId="1" xfId="0" applyFont="1" applyFill="1" applyBorder="1" applyAlignment="1">
      <alignment horizontal="center"/>
    </xf>
    <xf numFmtId="0" fontId="2" fillId="0" borderId="1" xfId="0" applyFont="1" applyBorder="1" applyAlignment="1">
      <alignment horizontal="left"/>
    </xf>
    <xf numFmtId="9" fontId="2" fillId="0" borderId="1" xfId="0" applyNumberFormat="1" applyFont="1" applyBorder="1" applyAlignment="1">
      <alignment horizontal="center"/>
    </xf>
    <xf numFmtId="0" fontId="2" fillId="0" borderId="1" xfId="0" applyFont="1" applyBorder="1" applyAlignment="1">
      <alignment horizontal="left" vertical="center"/>
    </xf>
    <xf numFmtId="164" fontId="2" fillId="0" borderId="1" xfId="3" applyNumberFormat="1" applyFont="1" applyFill="1" applyBorder="1" applyAlignment="1">
      <alignment horizontal="center"/>
    </xf>
    <xf numFmtId="0" fontId="2" fillId="4" borderId="3" xfId="0" applyFont="1" applyFill="1" applyBorder="1" applyAlignment="1">
      <alignment horizontal="left"/>
    </xf>
    <xf numFmtId="0" fontId="2" fillId="0" borderId="3" xfId="0" applyFont="1" applyBorder="1" applyAlignment="1">
      <alignment horizontal="left"/>
    </xf>
    <xf numFmtId="0" fontId="8" fillId="5" borderId="5" xfId="0" applyFont="1" applyFill="1" applyBorder="1" applyAlignment="1">
      <alignment horizontal="center" vertical="center" wrapText="1"/>
    </xf>
    <xf numFmtId="0" fontId="9" fillId="5" borderId="5" xfId="0" applyFont="1" applyFill="1" applyBorder="1" applyAlignment="1">
      <alignment horizontal="center"/>
    </xf>
    <xf numFmtId="3" fontId="2" fillId="0" borderId="1" xfId="0" applyNumberFormat="1" applyFont="1" applyBorder="1" applyAlignment="1">
      <alignment horizontal="center"/>
    </xf>
    <xf numFmtId="3" fontId="2" fillId="0" borderId="1" xfId="2" applyNumberFormat="1" applyFont="1" applyFill="1" applyBorder="1" applyAlignment="1" applyProtection="1">
      <alignment horizontal="center"/>
    </xf>
    <xf numFmtId="0" fontId="2" fillId="0" borderId="1" xfId="0" applyFont="1" applyBorder="1" applyAlignment="1">
      <alignment horizontal="center"/>
    </xf>
    <xf numFmtId="0" fontId="0" fillId="0" borderId="0" xfId="0" applyProtection="1">
      <protection locked="0"/>
    </xf>
    <xf numFmtId="0" fontId="0" fillId="0" borderId="0" xfId="0" applyAlignment="1">
      <alignment horizontal="left"/>
    </xf>
    <xf numFmtId="0" fontId="14" fillId="0" borderId="0" xfId="0" applyFont="1" applyAlignment="1">
      <alignment horizontal="right"/>
    </xf>
    <xf numFmtId="0" fontId="14" fillId="0" borderId="0" xfId="0" applyFont="1"/>
    <xf numFmtId="3" fontId="14" fillId="0" borderId="0" xfId="0" applyNumberFormat="1" applyFont="1"/>
    <xf numFmtId="10" fontId="14" fillId="0" borderId="2" xfId="0" applyNumberFormat="1" applyFont="1" applyBorder="1"/>
    <xf numFmtId="0" fontId="14" fillId="0" borderId="8" xfId="0" applyFont="1" applyBorder="1"/>
    <xf numFmtId="10" fontId="14" fillId="0" borderId="8" xfId="0" applyNumberFormat="1" applyFont="1" applyBorder="1"/>
    <xf numFmtId="0" fontId="14" fillId="0" borderId="2" xfId="0" applyFont="1" applyBorder="1"/>
    <xf numFmtId="0" fontId="14" fillId="0" borderId="0" xfId="0" applyFont="1" applyAlignment="1">
      <alignment horizontal="center"/>
    </xf>
    <xf numFmtId="0" fontId="14"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4" fillId="6" borderId="13"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3" fontId="4" fillId="2" borderId="20" xfId="0" applyNumberFormat="1" applyFont="1" applyFill="1" applyBorder="1" applyAlignment="1">
      <alignment horizontal="center" vertical="center" wrapText="1"/>
    </xf>
    <xf numFmtId="3" fontId="15" fillId="2" borderId="21" xfId="0" applyNumberFormat="1" applyFont="1" applyFill="1" applyBorder="1" applyAlignment="1">
      <alignment horizontal="center" vertical="center" wrapText="1"/>
    </xf>
    <xf numFmtId="3" fontId="16" fillId="6" borderId="13" xfId="0" applyNumberFormat="1" applyFont="1" applyFill="1" applyBorder="1" applyAlignment="1">
      <alignment horizontal="center" vertical="center" wrapText="1"/>
    </xf>
    <xf numFmtId="0" fontId="21" fillId="2" borderId="13" xfId="0" applyFont="1" applyFill="1" applyBorder="1" applyAlignment="1">
      <alignment horizontal="center" vertical="center" wrapText="1"/>
    </xf>
    <xf numFmtId="3" fontId="21" fillId="2" borderId="13" xfId="0" applyNumberFormat="1" applyFont="1" applyFill="1" applyBorder="1" applyAlignment="1">
      <alignment horizontal="center" vertical="center" wrapText="1"/>
    </xf>
    <xf numFmtId="10" fontId="15" fillId="2" borderId="13" xfId="0" applyNumberFormat="1" applyFont="1" applyFill="1" applyBorder="1" applyAlignment="1">
      <alignment horizontal="center" vertical="center" wrapText="1"/>
    </xf>
    <xf numFmtId="0" fontId="16" fillId="6" borderId="22" xfId="0" applyFont="1" applyFill="1" applyBorder="1" applyAlignment="1">
      <alignment horizontal="center" vertical="center" wrapText="1"/>
    </xf>
    <xf numFmtId="0" fontId="4" fillId="2" borderId="14" xfId="0" applyFont="1" applyFill="1" applyBorder="1" applyAlignment="1">
      <alignment horizontal="center" vertical="center" wrapText="1"/>
    </xf>
    <xf numFmtId="3" fontId="4" fillId="2" borderId="14" xfId="0" applyNumberFormat="1" applyFont="1" applyFill="1" applyBorder="1" applyAlignment="1">
      <alignment horizontal="center" vertical="center" wrapText="1"/>
    </xf>
    <xf numFmtId="10" fontId="4" fillId="2" borderId="14" xfId="0" applyNumberFormat="1" applyFont="1" applyFill="1" applyBorder="1" applyAlignment="1">
      <alignment horizontal="center" vertical="center" wrapText="1"/>
    </xf>
    <xf numFmtId="0" fontId="4" fillId="6" borderId="22" xfId="0" applyFont="1" applyFill="1" applyBorder="1" applyAlignment="1">
      <alignment horizontal="center" vertical="center" wrapText="1"/>
    </xf>
    <xf numFmtId="9" fontId="0" fillId="0" borderId="0" xfId="0" applyNumberFormat="1"/>
    <xf numFmtId="165" fontId="0" fillId="0" borderId="0" xfId="0" applyNumberFormat="1" applyAlignment="1">
      <alignment horizontal="center"/>
    </xf>
    <xf numFmtId="165" fontId="1" fillId="0" borderId="0" xfId="0" applyNumberFormat="1" applyFont="1" applyAlignment="1">
      <alignment horizontal="center"/>
    </xf>
    <xf numFmtId="3" fontId="2" fillId="4" borderId="4" xfId="0" applyNumberFormat="1" applyFont="1" applyFill="1" applyBorder="1" applyAlignment="1">
      <alignment horizontal="center" wrapText="1"/>
    </xf>
    <xf numFmtId="0" fontId="7" fillId="7" borderId="32" xfId="0" applyFont="1" applyFill="1" applyBorder="1" applyAlignment="1">
      <alignment horizontal="left" vertical="top" wrapText="1"/>
    </xf>
    <xf numFmtId="0" fontId="13" fillId="7" borderId="32" xfId="0" applyFont="1" applyFill="1" applyBorder="1" applyAlignment="1">
      <alignment horizontal="left" vertical="top" wrapText="1"/>
    </xf>
    <xf numFmtId="0" fontId="7" fillId="7" borderId="35" xfId="0" applyFont="1" applyFill="1" applyBorder="1" applyAlignment="1">
      <alignment horizontal="left" vertical="top" wrapText="1"/>
    </xf>
    <xf numFmtId="0" fontId="7" fillId="7" borderId="0" xfId="0" applyFont="1" applyFill="1" applyAlignment="1">
      <alignment horizontal="center" vertical="top" wrapText="1"/>
    </xf>
    <xf numFmtId="0" fontId="7" fillId="7" borderId="32" xfId="0" applyFont="1" applyFill="1" applyBorder="1" applyAlignment="1">
      <alignment vertical="top" wrapText="1"/>
    </xf>
    <xf numFmtId="0" fontId="7" fillId="7" borderId="35" xfId="0" applyFont="1" applyFill="1" applyBorder="1" applyAlignment="1">
      <alignment vertical="top" wrapText="1"/>
    </xf>
    <xf numFmtId="0" fontId="7" fillId="7" borderId="34" xfId="0" applyFont="1" applyFill="1" applyBorder="1" applyAlignment="1">
      <alignment horizontal="center" vertical="top" wrapText="1"/>
    </xf>
    <xf numFmtId="0" fontId="7" fillId="7" borderId="37" xfId="0" applyFont="1" applyFill="1" applyBorder="1" applyAlignment="1">
      <alignment horizontal="center" vertical="top" wrapText="1"/>
    </xf>
    <xf numFmtId="0" fontId="7" fillId="7" borderId="39" xfId="0" applyFont="1" applyFill="1" applyBorder="1" applyAlignment="1">
      <alignment horizontal="center" vertical="top" wrapText="1"/>
    </xf>
    <xf numFmtId="0" fontId="27" fillId="7" borderId="25" xfId="0" applyFont="1" applyFill="1" applyBorder="1" applyAlignment="1">
      <alignment horizontal="center" vertical="center" wrapText="1"/>
    </xf>
    <xf numFmtId="0" fontId="7" fillId="8" borderId="0" xfId="0" applyFont="1" applyFill="1" applyAlignment="1">
      <alignment horizontal="center" vertical="top" wrapText="1"/>
    </xf>
    <xf numFmtId="0" fontId="7" fillId="8" borderId="32" xfId="0" applyFont="1" applyFill="1" applyBorder="1" applyAlignment="1">
      <alignment horizontal="left" vertical="top" wrapText="1"/>
    </xf>
    <xf numFmtId="0" fontId="13" fillId="8" borderId="32" xfId="0" applyFont="1" applyFill="1" applyBorder="1" applyAlignment="1">
      <alignment horizontal="left" vertical="top" wrapText="1"/>
    </xf>
    <xf numFmtId="0" fontId="7" fillId="8" borderId="34" xfId="0" applyFont="1" applyFill="1" applyBorder="1" applyAlignment="1">
      <alignment horizontal="center" vertical="top" wrapText="1"/>
    </xf>
    <xf numFmtId="0" fontId="7" fillId="8" borderId="35" xfId="0" applyFont="1" applyFill="1" applyBorder="1" applyAlignment="1">
      <alignment horizontal="left" vertical="top" wrapText="1"/>
    </xf>
    <xf numFmtId="0" fontId="27" fillId="8" borderId="33" xfId="0" applyFont="1" applyFill="1" applyBorder="1" applyAlignment="1">
      <alignment horizontal="center" vertical="center" wrapText="1"/>
    </xf>
    <xf numFmtId="0" fontId="7" fillId="8" borderId="37" xfId="0" applyFont="1" applyFill="1" applyBorder="1" applyAlignment="1">
      <alignment horizontal="center" vertical="top" wrapText="1"/>
    </xf>
    <xf numFmtId="0" fontId="7" fillId="8" borderId="39" xfId="0" applyFont="1" applyFill="1" applyBorder="1" applyAlignment="1">
      <alignment horizontal="center" vertical="top" wrapText="1"/>
    </xf>
    <xf numFmtId="0" fontId="7" fillId="8" borderId="32" xfId="0" applyFont="1" applyFill="1" applyBorder="1" applyAlignment="1">
      <alignment vertical="top" wrapText="1"/>
    </xf>
    <xf numFmtId="0" fontId="7" fillId="8" borderId="35" xfId="0" applyFont="1" applyFill="1" applyBorder="1" applyAlignment="1">
      <alignment vertical="top" wrapText="1"/>
    </xf>
    <xf numFmtId="0" fontId="26" fillId="8" borderId="36" xfId="0" applyFont="1" applyFill="1" applyBorder="1" applyAlignment="1">
      <alignment horizontal="center" vertical="top" wrapText="1"/>
    </xf>
    <xf numFmtId="0" fontId="0" fillId="0" borderId="44" xfId="0" applyBorder="1"/>
    <xf numFmtId="0" fontId="0" fillId="0" borderId="45" xfId="0" applyBorder="1"/>
    <xf numFmtId="0" fontId="2" fillId="0" borderId="46" xfId="0" applyFont="1" applyBorder="1"/>
    <xf numFmtId="0" fontId="28" fillId="0" borderId="0" xfId="0" applyFont="1"/>
    <xf numFmtId="10" fontId="29" fillId="0" borderId="2" xfId="0" applyNumberFormat="1" applyFont="1" applyBorder="1"/>
    <xf numFmtId="0" fontId="29" fillId="0" borderId="2" xfId="0" applyFont="1" applyBorder="1"/>
    <xf numFmtId="0" fontId="29" fillId="0" borderId="0" xfId="0" applyFont="1"/>
    <xf numFmtId="3" fontId="29" fillId="0" borderId="0" xfId="0" applyNumberFormat="1" applyFont="1"/>
    <xf numFmtId="0" fontId="30" fillId="0" borderId="0" xfId="0" applyFont="1" applyProtection="1">
      <protection locked="0"/>
    </xf>
    <xf numFmtId="3" fontId="30" fillId="0" borderId="0" xfId="0" applyNumberFormat="1" applyFont="1" applyProtection="1">
      <protection locked="0"/>
    </xf>
    <xf numFmtId="0" fontId="29" fillId="0" borderId="8" xfId="0" applyFont="1" applyBorder="1"/>
    <xf numFmtId="0" fontId="4" fillId="2" borderId="13" xfId="0" applyFont="1" applyFill="1" applyBorder="1" applyAlignment="1">
      <alignment horizontal="center" vertical="center" wrapText="1"/>
    </xf>
    <xf numFmtId="0" fontId="31" fillId="0" borderId="0" xfId="0" applyFont="1" applyAlignment="1">
      <alignment horizontal="left"/>
    </xf>
    <xf numFmtId="0" fontId="31" fillId="0" borderId="0" xfId="0" applyFont="1" applyAlignment="1">
      <alignment horizontal="center"/>
    </xf>
    <xf numFmtId="3" fontId="15" fillId="2" borderId="14" xfId="0" applyNumberFormat="1" applyFont="1" applyFill="1" applyBorder="1" applyAlignment="1">
      <alignment horizontal="center" vertical="center" wrapText="1"/>
    </xf>
    <xf numFmtId="166" fontId="0" fillId="0" borderId="0" xfId="2" applyNumberFormat="1" applyFont="1"/>
    <xf numFmtId="0" fontId="2" fillId="4" borderId="50" xfId="0" applyFont="1" applyFill="1" applyBorder="1" applyAlignment="1">
      <alignment horizontal="left"/>
    </xf>
    <xf numFmtId="3" fontId="2" fillId="0" borderId="51" xfId="0" applyNumberFormat="1" applyFont="1" applyBorder="1" applyAlignment="1">
      <alignment horizontal="center"/>
    </xf>
    <xf numFmtId="3" fontId="2" fillId="0" borderId="52" xfId="0" applyNumberFormat="1" applyFont="1" applyBorder="1" applyAlignment="1">
      <alignment horizontal="center"/>
    </xf>
    <xf numFmtId="0" fontId="2" fillId="4" borderId="50" xfId="0" applyFont="1" applyFill="1" applyBorder="1" applyAlignment="1">
      <alignment horizontal="center"/>
    </xf>
    <xf numFmtId="0" fontId="4" fillId="6" borderId="23" xfId="0" applyFont="1" applyFill="1" applyBorder="1" applyAlignment="1">
      <alignment horizontal="center" vertical="center" wrapText="1"/>
    </xf>
    <xf numFmtId="0" fontId="0" fillId="0" borderId="0" xfId="2" applyNumberFormat="1" applyFont="1" applyProtection="1">
      <protection locked="0"/>
    </xf>
    <xf numFmtId="0" fontId="29" fillId="0" borderId="0" xfId="2" applyNumberFormat="1" applyFont="1" applyAlignment="1" applyProtection="1">
      <alignment horizontal="right"/>
    </xf>
    <xf numFmtId="0" fontId="29" fillId="0" borderId="0" xfId="2" applyNumberFormat="1" applyFont="1"/>
    <xf numFmtId="0" fontId="29" fillId="0" borderId="0" xfId="2" applyNumberFormat="1" applyFont="1" applyAlignment="1">
      <alignment horizontal="right"/>
    </xf>
    <xf numFmtId="0" fontId="0" fillId="0" borderId="0" xfId="2" applyNumberFormat="1" applyFont="1"/>
    <xf numFmtId="0" fontId="32" fillId="0" borderId="0" xfId="2" applyNumberFormat="1" applyFont="1" applyProtection="1">
      <protection locked="0"/>
    </xf>
    <xf numFmtId="0" fontId="14" fillId="0" borderId="0" xfId="2" applyNumberFormat="1" applyFont="1" applyAlignment="1" applyProtection="1">
      <alignment horizontal="right"/>
    </xf>
    <xf numFmtId="0" fontId="14" fillId="0" borderId="0" xfId="2" applyNumberFormat="1" applyFont="1"/>
    <xf numFmtId="0" fontId="14" fillId="0" borderId="0" xfId="2" applyNumberFormat="1" applyFont="1" applyAlignment="1">
      <alignment horizontal="right"/>
    </xf>
    <xf numFmtId="0" fontId="33" fillId="7" borderId="32" xfId="0" applyFont="1" applyFill="1" applyBorder="1" applyAlignment="1">
      <alignment horizontal="left" vertical="top" wrapText="1"/>
    </xf>
    <xf numFmtId="0" fontId="33" fillId="8" borderId="32" xfId="0" applyFont="1" applyFill="1" applyBorder="1" applyAlignment="1">
      <alignment horizontal="left" vertical="top" wrapText="1"/>
    </xf>
    <xf numFmtId="43" fontId="14" fillId="0" borderId="0" xfId="2" applyFont="1"/>
    <xf numFmtId="166" fontId="14" fillId="0" borderId="0" xfId="0" applyNumberFormat="1" applyFont="1"/>
    <xf numFmtId="166" fontId="14" fillId="0" borderId="0" xfId="0" applyNumberFormat="1" applyFont="1" applyAlignment="1">
      <alignment horizontal="right"/>
    </xf>
    <xf numFmtId="0" fontId="14" fillId="3" borderId="6" xfId="0" applyFont="1" applyFill="1" applyBorder="1"/>
    <xf numFmtId="0" fontId="14" fillId="3" borderId="7" xfId="0" applyFont="1" applyFill="1" applyBorder="1"/>
    <xf numFmtId="3" fontId="14" fillId="3" borderId="7" xfId="0" applyNumberFormat="1" applyFont="1" applyFill="1" applyBorder="1"/>
    <xf numFmtId="10" fontId="14" fillId="3" borderId="7" xfId="0" applyNumberFormat="1" applyFont="1" applyFill="1" applyBorder="1"/>
    <xf numFmtId="9" fontId="14" fillId="3" borderId="7" xfId="0" applyNumberFormat="1" applyFont="1" applyFill="1" applyBorder="1"/>
    <xf numFmtId="0" fontId="7" fillId="0" borderId="0" xfId="0" applyFont="1" applyProtection="1">
      <protection locked="0"/>
    </xf>
    <xf numFmtId="3" fontId="7" fillId="0" borderId="0" xfId="0" applyNumberFormat="1" applyFont="1" applyProtection="1">
      <protection locked="0"/>
    </xf>
    <xf numFmtId="0" fontId="14" fillId="0" borderId="0" xfId="0" applyFont="1" applyProtection="1">
      <protection locked="0"/>
    </xf>
    <xf numFmtId="0" fontId="6" fillId="2" borderId="0" xfId="0" applyFont="1" applyFill="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48" xfId="0" applyFont="1" applyFill="1" applyBorder="1" applyAlignment="1">
      <alignment horizontal="center" vertical="center"/>
    </xf>
    <xf numFmtId="0" fontId="0" fillId="0" borderId="10" xfId="0" applyBorder="1" applyAlignment="1">
      <alignment vertical="center"/>
    </xf>
    <xf numFmtId="0" fontId="4" fillId="2" borderId="45" xfId="0" applyFont="1" applyFill="1" applyBorder="1" applyAlignment="1">
      <alignment horizontal="center" vertical="center"/>
    </xf>
    <xf numFmtId="0" fontId="4" fillId="2" borderId="17"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4" fillId="2" borderId="49" xfId="0" applyFont="1" applyFill="1" applyBorder="1" applyAlignment="1">
      <alignment horizontal="center" vertical="center" wrapText="1"/>
    </xf>
    <xf numFmtId="0" fontId="27" fillId="7" borderId="40" xfId="0" applyFont="1" applyFill="1" applyBorder="1" applyAlignment="1">
      <alignment horizontal="center" vertical="top" wrapText="1"/>
    </xf>
    <xf numFmtId="0" fontId="27" fillId="7" borderId="41" xfId="0" applyFont="1" applyFill="1" applyBorder="1" applyAlignment="1">
      <alignment horizontal="center" vertical="top" wrapText="1"/>
    </xf>
    <xf numFmtId="0" fontId="27" fillId="7" borderId="42" xfId="0" applyFont="1" applyFill="1" applyBorder="1" applyAlignment="1">
      <alignment horizontal="center" vertical="top" wrapText="1"/>
    </xf>
    <xf numFmtId="0" fontId="7" fillId="7" borderId="38" xfId="0" applyFont="1" applyFill="1" applyBorder="1" applyAlignment="1">
      <alignment horizontal="left" vertical="center" wrapText="1"/>
    </xf>
    <xf numFmtId="0" fontId="7" fillId="7" borderId="30" xfId="0" applyFont="1" applyFill="1" applyBorder="1" applyAlignment="1">
      <alignment horizontal="left" vertical="center" wrapText="1"/>
    </xf>
    <xf numFmtId="0" fontId="27" fillId="8" borderId="40" xfId="0" applyFont="1" applyFill="1" applyBorder="1" applyAlignment="1">
      <alignment horizontal="center" vertical="top" wrapText="1"/>
    </xf>
    <xf numFmtId="0" fontId="27" fillId="8" borderId="41" xfId="0" applyFont="1" applyFill="1" applyBorder="1" applyAlignment="1">
      <alignment horizontal="center" vertical="top" wrapText="1"/>
    </xf>
    <xf numFmtId="0" fontId="27" fillId="8" borderId="42" xfId="0" applyFont="1" applyFill="1" applyBorder="1" applyAlignment="1">
      <alignment horizontal="center" vertical="top" wrapText="1"/>
    </xf>
    <xf numFmtId="0" fontId="7" fillId="8" borderId="38" xfId="0" applyFont="1" applyFill="1" applyBorder="1" applyAlignment="1">
      <alignment horizontal="left" vertical="center" wrapText="1"/>
    </xf>
    <xf numFmtId="0" fontId="7" fillId="8" borderId="30" xfId="0" applyFont="1" applyFill="1" applyBorder="1" applyAlignment="1">
      <alignment horizontal="left" vertical="center" wrapText="1"/>
    </xf>
    <xf numFmtId="0" fontId="13" fillId="7" borderId="34" xfId="0" applyFont="1" applyFill="1" applyBorder="1" applyAlignment="1">
      <alignment horizontal="left" vertical="top" wrapText="1"/>
    </xf>
    <xf numFmtId="0" fontId="13" fillId="7" borderId="35" xfId="0" applyFont="1" applyFill="1" applyBorder="1" applyAlignment="1">
      <alignment horizontal="left" vertical="top" wrapText="1"/>
    </xf>
    <xf numFmtId="0" fontId="26" fillId="7" borderId="40" xfId="0" applyFont="1" applyFill="1" applyBorder="1" applyAlignment="1">
      <alignment horizontal="center" vertical="top" wrapText="1"/>
    </xf>
    <xf numFmtId="0" fontId="26" fillId="7" borderId="41" xfId="0" applyFont="1" applyFill="1" applyBorder="1" applyAlignment="1">
      <alignment horizontal="center" vertical="top" wrapText="1"/>
    </xf>
    <xf numFmtId="0" fontId="26" fillId="7" borderId="42" xfId="0" applyFont="1" applyFill="1" applyBorder="1" applyAlignment="1">
      <alignment horizontal="center" vertical="top" wrapText="1"/>
    </xf>
    <xf numFmtId="0" fontId="7" fillId="7" borderId="43" xfId="0" applyFont="1" applyFill="1" applyBorder="1" applyAlignment="1">
      <alignment horizontal="left" vertical="center" wrapText="1"/>
    </xf>
    <xf numFmtId="0" fontId="7" fillId="7" borderId="26" xfId="0" applyFont="1" applyFill="1" applyBorder="1" applyAlignment="1">
      <alignment horizontal="left" vertical="center" wrapText="1"/>
    </xf>
    <xf numFmtId="0" fontId="4" fillId="2" borderId="25"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27" fillId="8" borderId="28" xfId="0" applyFont="1" applyFill="1" applyBorder="1" applyAlignment="1">
      <alignment horizontal="center" vertical="top" wrapText="1"/>
    </xf>
    <xf numFmtId="0" fontId="27" fillId="8" borderId="31" xfId="0" applyFont="1" applyFill="1" applyBorder="1" applyAlignment="1">
      <alignment horizontal="center" vertical="top" wrapText="1"/>
    </xf>
    <xf numFmtId="0" fontId="27" fillId="8" borderId="33" xfId="0" applyFont="1" applyFill="1" applyBorder="1" applyAlignment="1">
      <alignment horizontal="center" vertical="top" wrapText="1"/>
    </xf>
    <xf numFmtId="0" fontId="13" fillId="7" borderId="25"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7" fillId="8" borderId="43" xfId="0" applyFont="1" applyFill="1" applyBorder="1" applyAlignment="1">
      <alignment vertical="center" wrapText="1"/>
    </xf>
    <xf numFmtId="0" fontId="7" fillId="8" borderId="26" xfId="0" applyFont="1" applyFill="1" applyBorder="1" applyAlignment="1">
      <alignment vertical="center" wrapText="1"/>
    </xf>
    <xf numFmtId="0" fontId="13" fillId="7" borderId="28" xfId="0" applyFont="1" applyFill="1" applyBorder="1" applyAlignment="1">
      <alignment horizontal="left" vertical="center" wrapText="1"/>
    </xf>
    <xf numFmtId="0" fontId="13" fillId="7" borderId="29" xfId="0" applyFont="1" applyFill="1" applyBorder="1" applyAlignment="1">
      <alignment horizontal="left" vertical="center" wrapText="1"/>
    </xf>
    <xf numFmtId="0" fontId="13" fillId="7" borderId="30" xfId="0" applyFont="1" applyFill="1" applyBorder="1" applyAlignment="1">
      <alignment horizontal="left" vertical="center" wrapText="1"/>
    </xf>
    <xf numFmtId="0" fontId="13" fillId="7" borderId="31" xfId="0" applyFont="1" applyFill="1" applyBorder="1" applyAlignment="1">
      <alignment horizontal="left" vertical="center" wrapText="1"/>
    </xf>
    <xf numFmtId="0" fontId="13" fillId="7" borderId="0" xfId="0" applyFont="1" applyFill="1" applyAlignment="1">
      <alignment horizontal="left" vertical="center" wrapText="1"/>
    </xf>
    <xf numFmtId="0" fontId="13" fillId="7" borderId="32" xfId="0" applyFont="1" applyFill="1" applyBorder="1" applyAlignment="1">
      <alignment horizontal="left" vertical="center" wrapText="1"/>
    </xf>
    <xf numFmtId="0" fontId="13" fillId="7" borderId="33" xfId="0" applyFont="1" applyFill="1" applyBorder="1" applyAlignment="1">
      <alignment horizontal="left" vertical="center" wrapText="1"/>
    </xf>
    <xf numFmtId="0" fontId="13" fillId="7" borderId="34" xfId="0" applyFont="1" applyFill="1" applyBorder="1" applyAlignment="1">
      <alignment horizontal="left" vertical="center" wrapText="1"/>
    </xf>
    <xf numFmtId="0" fontId="13" fillId="7" borderId="35" xfId="0" applyFont="1" applyFill="1" applyBorder="1" applyAlignment="1">
      <alignment horizontal="left" vertical="center" wrapText="1"/>
    </xf>
    <xf numFmtId="0" fontId="0" fillId="8" borderId="27" xfId="0" applyFill="1" applyBorder="1" applyAlignment="1">
      <alignment horizontal="left" vertical="center" wrapText="1"/>
    </xf>
    <xf numFmtId="0" fontId="0" fillId="8" borderId="26" xfId="0" applyFill="1" applyBorder="1" applyAlignment="1">
      <alignment horizontal="left" vertical="center" wrapText="1"/>
    </xf>
    <xf numFmtId="0" fontId="0" fillId="7" borderId="38" xfId="0" applyFill="1" applyBorder="1" applyAlignment="1">
      <alignment horizontal="left" vertical="center" wrapText="1"/>
    </xf>
    <xf numFmtId="0" fontId="0" fillId="7" borderId="30" xfId="0" applyFill="1" applyBorder="1" applyAlignment="1">
      <alignment horizontal="left" vertical="center" wrapText="1"/>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164" fontId="2" fillId="0" borderId="1" xfId="0" applyNumberFormat="1" applyFont="1" applyBorder="1" applyAlignment="1">
      <alignment horizontal="center"/>
    </xf>
    <xf numFmtId="167" fontId="2" fillId="0" borderId="1" xfId="0" applyNumberFormat="1" applyFont="1" applyBorder="1" applyAlignment="1">
      <alignment horizontal="center" vertical="center"/>
    </xf>
  </cellXfs>
  <cellStyles count="4">
    <cellStyle name="Comma" xfId="2" builtinId="3"/>
    <cellStyle name="Currency" xfId="3" builtinId="4"/>
    <cellStyle name="Normal" xfId="0" builtinId="0"/>
    <cellStyle name="Normal 2" xfId="1" xr:uid="{00000000-0005-0000-0000-000003000000}"/>
  </cellStyles>
  <dxfs count="239">
    <dxf>
      <numFmt numFmtId="0" formatCode="General"/>
      <alignment horizontal="general" vertical="center" textRotation="0" wrapText="1" indent="0" justifyLastLine="0" shrinkToFit="0" readingOrder="0"/>
    </dxf>
    <dxf>
      <numFmt numFmtId="0" formatCode="General"/>
      <alignment horizontal="general" vertical="center" textRotation="0" wrapText="0" indent="0" justifyLastLine="0" shrinkToFit="0" readingOrder="0"/>
    </dxf>
    <dxf>
      <fill>
        <patternFill>
          <bgColor rgb="FF92D050"/>
        </patternFill>
      </fill>
    </dxf>
    <dxf>
      <fill>
        <patternFill>
          <bgColor rgb="FFFFFF00"/>
        </patternFill>
      </fill>
    </dxf>
    <dxf>
      <font>
        <color theme="0"/>
      </font>
      <fill>
        <patternFill patternType="solid">
          <fgColor auto="1"/>
          <bgColor rgb="FFFF0000"/>
        </patternFill>
      </fill>
    </dxf>
    <dxf>
      <font>
        <b/>
        <i val="0"/>
        <color rgb="FFFF0000"/>
      </font>
    </dxf>
    <dxf>
      <font>
        <b val="0"/>
        <i val="0"/>
        <strike val="0"/>
        <condense val="0"/>
        <extend val="0"/>
        <outline val="0"/>
        <shadow val="0"/>
        <u val="none"/>
        <vertAlign val="baseline"/>
        <sz val="11"/>
        <color theme="6" tint="-0.499984740745262"/>
        <name val="Calibri"/>
        <family val="2"/>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protection locked="1"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strike val="0"/>
        <outline val="0"/>
        <shadow val="0"/>
        <u val="none"/>
        <vertAlign val="baseline"/>
        <sz val="11"/>
        <color theme="6" tint="-0.499984740745262"/>
        <name val="Calibri"/>
        <scheme val="minor"/>
      </font>
      <numFmt numFmtId="166" formatCode="_(* #,##0_);_(* \(#,##0\);_(* &quot;-&quot;??_);_(@_)"/>
    </dxf>
    <dxf>
      <border>
        <bottom style="thin">
          <color theme="4" tint="0.59999389629810485"/>
        </bottom>
        <vertical/>
        <horizontal/>
      </border>
    </dxf>
    <dxf>
      <font>
        <b val="0"/>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family val="2"/>
        <scheme val="minor"/>
      </font>
      <numFmt numFmtId="1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14" formatCode="0.0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14" formatCode="0.00%"/>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style="thin">
          <color theme="4"/>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border>
        <top style="double">
          <color theme="4"/>
        </top>
        <vertical/>
        <horizontal/>
      </border>
    </dxf>
    <dxf>
      <font>
        <strike val="0"/>
        <outline val="0"/>
        <shadow val="0"/>
        <u val="none"/>
        <vertAlign val="baseline"/>
        <color auto="1"/>
        <name val="Calibri"/>
      </font>
      <border diagonalUp="0" diagonalDown="0">
        <left style="thin">
          <color auto="1"/>
        </left>
        <right style="thin">
          <color auto="1"/>
        </right>
        <top/>
        <bottom/>
      </border>
    </dxf>
    <dxf>
      <border outline="0">
        <top style="thin">
          <color theme="4" tint="0.59999389629810485"/>
        </top>
      </border>
    </dxf>
    <dxf>
      <fill>
        <patternFill patternType="none">
          <bgColor auto="1"/>
        </patternFill>
      </fill>
    </dxf>
    <dxf>
      <border>
        <bottom style="thin">
          <color theme="4" tint="0.59999389629810485"/>
        </bottom>
        <vertical/>
        <horizontal/>
      </border>
    </dxf>
    <dxf>
      <font>
        <b/>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00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color theme="6" tint="-0.499984740745262"/>
        <name val="Calibri"/>
        <scheme val="minor"/>
      </font>
    </dxf>
    <dxf>
      <border>
        <bottom style="thin">
          <color theme="4" tint="0.39997558519241921"/>
        </bottom>
        <vertical/>
        <horizontal/>
      </border>
    </dxf>
    <dxf>
      <font>
        <b/>
        <i val="0"/>
        <strike val="0"/>
        <condense val="0"/>
        <extend val="0"/>
        <outline val="0"/>
        <shadow val="0"/>
        <u val="none"/>
        <vertAlign val="baseline"/>
        <sz val="11"/>
        <color theme="0"/>
        <name val="Calibri"/>
        <scheme val="minor"/>
      </font>
      <fill>
        <patternFill patternType="none">
          <fgColor indexed="64"/>
          <bgColor theme="3" tint="-0.249977111117893"/>
        </patternFill>
      </fill>
      <alignment horizontal="center" vertical="bottom" textRotation="0" wrapText="0" indent="0" justifyLastLine="0" shrinkToFit="0" readingOrder="0"/>
      <border diagonalUp="0" diagonalDown="0">
        <left style="thin">
          <color theme="4" tint="0.39997558519241921"/>
        </left>
        <right style="thin">
          <color theme="4" tint="0.39997558519241921"/>
        </right>
        <top/>
        <bottom/>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border diagonalUp="0" diagonalDown="0" outline="0">
        <left/>
        <right/>
        <top/>
        <bottom/>
      </border>
    </dxf>
    <dxf>
      <border outline="0">
        <bottom style="thin">
          <color theme="4" tint="0.39997558519241921"/>
        </bottom>
      </border>
    </dxf>
    <dxf>
      <border outline="0">
        <top style="thin">
          <color indexed="64"/>
        </top>
      </border>
    </dxf>
    <dxf>
      <border outline="0">
        <bottom style="thin">
          <color indexed="64"/>
        </bottom>
      </border>
    </dxf>
    <dxf>
      <font>
        <b/>
      </font>
      <fill>
        <patternFill patternType="none">
          <fgColor indexed="64"/>
          <bgColor indexed="65"/>
        </patternFill>
      </fill>
      <border diagonalUp="0" diagonalDown="0" outline="0">
        <left style="thin">
          <color theme="4" tint="0.39997558519241921"/>
        </left>
        <right/>
        <top style="thin">
          <color theme="4" tint="0.39997558519241921"/>
        </top>
        <bottom style="thin">
          <color theme="4" tint="0.39997558519241921"/>
        </bottom>
      </border>
    </dxf>
    <dxf>
      <font>
        <b/>
      </font>
      <fill>
        <patternFill patternType="none">
          <fgColor indexed="64"/>
          <bgColor indexed="65"/>
        </patternFill>
      </fill>
      <border diagonalUp="0" diagonalDown="0" outline="0">
        <left/>
        <right style="thin">
          <color theme="4" tint="0.39997558519241921"/>
        </right>
        <top style="thin">
          <color theme="4" tint="0.39997558519241921"/>
        </top>
        <bottom style="thin">
          <color theme="4" tint="0.39997558519241921"/>
        </bottom>
      </border>
    </dxf>
    <dxf>
      <border outline="0">
        <top style="thin">
          <color theme="4" tint="0.59999389629810485"/>
        </top>
      </border>
    </dxf>
    <dxf>
      <border outline="0">
        <left style="thin">
          <color theme="4" tint="0.59999389629810485"/>
        </left>
        <right style="thin">
          <color theme="4" tint="0.59999389629810485"/>
        </right>
        <top style="thin">
          <color theme="4" tint="0.59999389629810485"/>
        </top>
        <bottom style="thin">
          <color theme="4" tint="0.59999389629810485"/>
        </bottom>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border>
        <bottom style="thin">
          <color theme="4" tint="0.39997558519241921"/>
        </bottom>
        <vertical/>
        <horizontal/>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GeneralInfo" displayName="GeneralInfo" ref="A5:B24" totalsRowShown="0" headerRowDxfId="238" dataDxfId="236" headerRowBorderDxfId="237" tableBorderDxfId="235" totalsRowBorderDxfId="234">
  <tableColumns count="2">
    <tableColumn id="1" xr3:uid="{00000000-0010-0000-0000-000001000000}" name="Contest Audited" dataDxfId="233"/>
    <tableColumn id="2" xr3:uid="{00000000-0010-0000-0000-000002000000}" name="Judge of Court of Appeals (2-12-25)" dataDxfId="232"/>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le7" displayName="Table7" ref="A47:B48" totalsRowShown="0" headerRowBorderDxfId="231" tableBorderDxfId="230">
  <autoFilter ref="A47:B48" xr:uid="{00000000-0009-0000-0100-000007000000}"/>
  <tableColumns count="2">
    <tableColumn id="1" xr3:uid="{00000000-0010-0000-0100-000001000000}" name="Precinct Name" dataDxfId="1">
      <calculatedColumnFormula array="1">IF(COUNTIF(Audit[Total Differences], "&lt;&gt;0")&gt;=ROW()-ROW($A$47),INDEX(Audit[Precinct (p) - Batched by Type],SMALL(IF(Audit[Total Differences]&lt;&gt;0,ROW(Audit[Total Differences])-ROW(Audit[#Headers]),""),ROW() - ROW(Table7[#Headers]))),"END")</calculatedColumnFormula>
    </tableColumn>
    <tableColumn id="2" xr3:uid="{00000000-0010-0000-0100-000002000000}" name="Explanation" dataDxfId="0">
      <calculatedColumnFormula array="1">IF(COUNTIF(Audit[Total Differences], "&lt;&gt;0")&gt;=ROW()-ROW($A$47),INDEX(Audit[Reason For Differences],SMALL(IF(Audit[Total Differences]&lt;&gt;0,ROW(Audit[Total Differences])-ROW(Audit[#Headers]),""),ROW() - ROW(Table7[#Headers]))),"END")</calculatedColumnFormula>
    </tableColumn>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10" displayName="Table10" ref="A27:B38" headerRowCount="0" totalsRowShown="0" tableBorderDxfId="229">
  <tableColumns count="2">
    <tableColumn id="1" xr3:uid="{00000000-0010-0000-0200-000001000000}" name="Column1" headerRowDxfId="228" dataDxfId="227"/>
    <tableColumn id="2" xr3:uid="{00000000-0010-0000-0200-000002000000}" name="Column2" headerRowDxfId="226" dataDxfId="22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electedPrecincts" displayName="SelectedPrecincts" ref="A2:C44" totalsRowShown="0" headerRowDxfId="224" dataDxfId="222" headerRowBorderDxfId="223">
  <tableColumns count="3">
    <tableColumn id="1" xr3:uid="{00000000-0010-0000-0300-000001000000}" name="Draw" dataDxfId="221">
      <calculatedColumnFormula>ROW() -2</calculatedColumnFormula>
    </tableColumn>
    <tableColumn id="2" xr3:uid="{00000000-0010-0000-0300-000002000000}" name="Batch Number" dataDxfId="220"/>
    <tableColumn id="3" xr3:uid="{00000000-0010-0000-0300-000003000000}" name="Batch Name" dataDxfId="219">
      <calculatedColumnFormula array="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calculatedColumnFormula>
    </tableColumn>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Audit" displayName="Audit" ref="A4:BN1129" totalsRowCount="1" headerRowDxfId="218" dataDxfId="216" totalsRowDxfId="214" headerRowBorderDxfId="217" tableBorderDxfId="215" totalsRowBorderDxfId="213">
  <autoFilter ref="A4:BN1128" xr:uid="{00000000-0009-0000-0100-000002000000}">
    <filterColumn colId="0">
      <customFilters>
        <customFilter operator="notEqual" val=" "/>
      </customFilters>
    </filterColumn>
  </autoFilter>
  <sortState xmlns:xlrd2="http://schemas.microsoft.com/office/spreadsheetml/2017/richdata2" ref="A5:AX3272">
    <sortCondition ref="B4:B3272"/>
  </sortState>
  <tableColumns count="66">
    <tableColumn id="1" xr3:uid="{00000000-0010-0000-0400-000001000000}" name="Selection - Batch picked for audit" totalsRowLabel="Total" dataDxfId="212" totalsRowDxfId="211">
      <calculatedColumnFormula>'Sampling Data'!AI5</calculatedColumnFormula>
    </tableColumn>
    <tableColumn id="2" xr3:uid="{00000000-0010-0000-0400-000002000000}" name="Precinct (p) - Batched by Type" totalsRowFunction="count" dataDxfId="210" totalsRowDxfId="209">
      <calculatedColumnFormula>'Sampling Data'!A5</calculatedColumnFormula>
    </tableColumn>
    <tableColumn id="4" xr3:uid="{00000000-0010-0000-0400-000004000000}" name="Winning Candidate" totalsRowFunction="custom" dataDxfId="208" totalsRowDxfId="207">
      <calculatedColumnFormula>'Sampling Data'!B5</calculatedColumnFormula>
      <totalsRowFormula>SUM(Audit[Winning Candidate])</totalsRowFormula>
    </tableColumn>
    <tableColumn id="3" xr3:uid="{00000000-0010-0000-0400-000003000000}" name="Losing Candidate" totalsRowFunction="custom" dataDxfId="206" totalsRowDxfId="205">
      <calculatedColumnFormula>'Sampling Data'!C5</calculatedColumnFormula>
      <totalsRowFormula>SUM(Audit[Losing Candidate])</totalsRowFormula>
    </tableColumn>
    <tableColumn id="12" xr3:uid="{00000000-0010-0000-0400-00000C000000}" name="Candidate 3" totalsRowFunction="custom" dataDxfId="204" totalsRowDxfId="203">
      <calculatedColumnFormula>'Sampling Data'!D5</calculatedColumnFormula>
      <totalsRowFormula>SUM(Audit[Candidate 3])</totalsRowFormula>
    </tableColumn>
    <tableColumn id="11" xr3:uid="{00000000-0010-0000-0400-00000B000000}" name="Candidate 4" totalsRowFunction="custom" dataDxfId="202" totalsRowDxfId="201">
      <calculatedColumnFormula>'Sampling Data'!E5</calculatedColumnFormula>
      <totalsRowFormula>SUM(Audit[Candidate 4])</totalsRowFormula>
    </tableColumn>
    <tableColumn id="10" xr3:uid="{00000000-0010-0000-0400-00000A000000}" name="Candidate 5" totalsRowFunction="custom" dataDxfId="200" totalsRowDxfId="199">
      <calculatedColumnFormula>'Sampling Data'!F5</calculatedColumnFormula>
      <totalsRowFormula>SUM(Audit[Candidate 5])</totalsRowFormula>
    </tableColumn>
    <tableColumn id="43" xr3:uid="{00000000-0010-0000-0400-00002B000000}" name="Candidate 6" totalsRowFunction="custom" dataDxfId="198" totalsRowDxfId="197">
      <calculatedColumnFormula>'Sampling Data'!G5</calculatedColumnFormula>
      <totalsRowFormula>SUM(Audit[Candidate 6])</totalsRowFormula>
    </tableColumn>
    <tableColumn id="42" xr3:uid="{00000000-0010-0000-0400-00002A000000}" name="Candidate 7" totalsRowFunction="custom" dataDxfId="196" totalsRowDxfId="195">
      <calculatedColumnFormula>'Sampling Data'!H5</calculatedColumnFormula>
      <totalsRowFormula>SUM(Audit[Candidate 7])</totalsRowFormula>
    </tableColumn>
    <tableColumn id="9" xr3:uid="{00000000-0010-0000-0400-000009000000}" name="Candidate 8" totalsRowFunction="custom" dataDxfId="194" totalsRowDxfId="193">
      <calculatedColumnFormula>'Sampling Data'!I5</calculatedColumnFormula>
      <totalsRowFormula>SUM(Audit[Candidate 8])</totalsRowFormula>
    </tableColumn>
    <tableColumn id="55" xr3:uid="{00000000-0010-0000-0400-000037000000}" name="Candidate 9" totalsRowFunction="custom" dataDxfId="192" totalsRowDxfId="191">
      <calculatedColumnFormula>'Sampling Data'!J5</calculatedColumnFormula>
      <totalsRowFormula>SUM(Audit[Candidate 9])</totalsRowFormula>
    </tableColumn>
    <tableColumn id="54" xr3:uid="{00000000-0010-0000-0400-000036000000}" name="Candidate 10" totalsRowFunction="custom" dataDxfId="190" totalsRowDxfId="189">
      <calculatedColumnFormula>'Sampling Data'!K5</calculatedColumnFormula>
      <totalsRowFormula>SUM(Audit[Candidate 10])</totalsRowFormula>
    </tableColumn>
    <tableColumn id="53" xr3:uid="{00000000-0010-0000-0400-000035000000}" name="Candidate 11" totalsRowFunction="custom" dataDxfId="188" totalsRowDxfId="187">
      <calculatedColumnFormula>'Sampling Data'!L5</calculatedColumnFormula>
      <totalsRowFormula>SUM(Audit[Candidate 11])</totalsRowFormula>
    </tableColumn>
    <tableColumn id="52" xr3:uid="{00000000-0010-0000-0400-000034000000}" name="Candidate 12" totalsRowFunction="custom" dataDxfId="186" totalsRowDxfId="185">
      <calculatedColumnFormula>'Sampling Data'!M5</calculatedColumnFormula>
      <totalsRowFormula>SUM(Audit[Candidate 12])</totalsRowFormula>
    </tableColumn>
    <tableColumn id="5" xr3:uid="{00000000-0010-0000-0400-000005000000}" name="Over Votes" totalsRowFunction="custom" dataDxfId="184" totalsRowDxfId="183">
      <calculatedColumnFormula>'Sampling Data'!N5</calculatedColumnFormula>
      <totalsRowFormula>SUM(Audit[Over Votes])</totalsRowFormula>
    </tableColumn>
    <tableColumn id="6" xr3:uid="{00000000-0010-0000-0400-000006000000}" name="Under Votes" totalsRowFunction="custom" dataDxfId="182" totalsRowDxfId="181">
      <calculatedColumnFormula>'Sampling Data'!O5</calculatedColumnFormula>
      <totalsRowFormula>SUM(Audit[Under Votes])</totalsRowFormula>
    </tableColumn>
    <tableColumn id="7" xr3:uid="{00000000-0010-0000-0400-000007000000}" name="Total" totalsRowFunction="custom" dataDxfId="180" totalsRowDxfId="179">
      <calculatedColumnFormula>'Sampling Data'!P5</calculatedColumnFormula>
      <totalsRowFormula>SUM(Audit[Total])</totalsRowFormula>
    </tableColumn>
    <tableColumn id="15" xr3:uid="{00000000-0010-0000-0400-00000F000000}" name="Times p Drawn - With Replacement" totalsRowFunction="custom" dataDxfId="178" totalsRowDxfId="177">
      <calculatedColumnFormula>'Sampling Data'!AJ5</calculatedColumnFormula>
      <totalsRowFormula>SUM(Audit[Times p Drawn - With Replacement])</totalsRowFormula>
    </tableColumn>
    <tableColumn id="17" xr3:uid="{00000000-0010-0000-0400-000011000000}" name="Audit Winning Candidate" totalsRowFunction="custom" dataDxfId="176" totalsRowDxfId="175">
      <totalsRowFormula>SUM(Audit[Audit Winning Candidate])</totalsRowFormula>
    </tableColumn>
    <tableColumn id="16" xr3:uid="{00000000-0010-0000-0400-000010000000}" name="Audit Losing Candidate" totalsRowFunction="custom" dataDxfId="174" totalsRowDxfId="173">
      <totalsRowFormula>SUM(Audit[Audit Losing Candidate])</totalsRowFormula>
    </tableColumn>
    <tableColumn id="33" xr3:uid="{00000000-0010-0000-0400-000021000000}" name="Audit Candidate 3" totalsRowFunction="custom" dataDxfId="172" totalsRowDxfId="171">
      <totalsRowFormula>SUM(Audit[Audit Candidate 3])</totalsRowFormula>
    </tableColumn>
    <tableColumn id="32" xr3:uid="{00000000-0010-0000-0400-000020000000}" name="Audit Candidate 4" totalsRowFunction="custom" dataDxfId="170" totalsRowDxfId="169">
      <totalsRowFormula>SUM(Audit[Audit Candidate 4])</totalsRowFormula>
    </tableColumn>
    <tableColumn id="14" xr3:uid="{00000000-0010-0000-0400-00000E000000}" name="Audit Candidate 5" totalsRowFunction="custom" dataDxfId="168" totalsRowDxfId="167">
      <totalsRowFormula>SUM(Audit[Audit Candidate 5])</totalsRowFormula>
    </tableColumn>
    <tableColumn id="45" xr3:uid="{00000000-0010-0000-0400-00002D000000}" name="Audit Candidate 6" totalsRowFunction="custom" dataDxfId="166" totalsRowDxfId="165">
      <totalsRowFormula>SUM(Audit[Audit Candidate 6])</totalsRowFormula>
    </tableColumn>
    <tableColumn id="44" xr3:uid="{00000000-0010-0000-0400-00002C000000}" name="Audit Candidate 7" totalsRowFunction="custom" dataDxfId="164" totalsRowDxfId="163">
      <totalsRowFormula>SUM(Audit[Audit Candidate 7])</totalsRowFormula>
    </tableColumn>
    <tableColumn id="13" xr3:uid="{00000000-0010-0000-0400-00000D000000}" name="Audit Candidate 8" totalsRowFunction="custom" dataDxfId="162" totalsRowDxfId="161">
      <totalsRowFormula>SUM(Audit[Audit Candidate 8])</totalsRowFormula>
    </tableColumn>
    <tableColumn id="59" xr3:uid="{00000000-0010-0000-0400-00003B000000}" name="Audit Candidate 9" totalsRowFunction="custom" dataDxfId="160" totalsRowDxfId="159">
      <totalsRowFormula>SUM(Audit[Audit Candidate 9])</totalsRowFormula>
    </tableColumn>
    <tableColumn id="58" xr3:uid="{00000000-0010-0000-0400-00003A000000}" name="Audit Candidate 10" totalsRowFunction="custom" dataDxfId="158" totalsRowDxfId="157">
      <totalsRowFormula>SUM(Audit[Audit Candidate 10])</totalsRowFormula>
    </tableColumn>
    <tableColumn id="57" xr3:uid="{00000000-0010-0000-0400-000039000000}" name="Audit Candidate 11" totalsRowFunction="custom" dataDxfId="156" totalsRowDxfId="155">
      <totalsRowFormula>SUM(Audit[Audit Candidate 11])</totalsRowFormula>
    </tableColumn>
    <tableColumn id="56" xr3:uid="{00000000-0010-0000-0400-000038000000}" name="Audit Candidate 12" totalsRowFunction="custom" dataDxfId="154" totalsRowDxfId="153">
      <totalsRowFormula>SUM(Audit[Audit Candidate 12])</totalsRowFormula>
    </tableColumn>
    <tableColumn id="19" xr3:uid="{00000000-0010-0000-0400-000013000000}" name="Difference Winner" totalsRowFunction="custom" dataDxfId="152" totalsRowDxfId="151">
      <calculatedColumnFormula>IF(NOT(ISBLANK(Audit[[#This Row],[Audit Winning Candidate]])), Audit[[#This Row],[Audit Winning Candidate]]-Audit[[#This Row],[Winning Candidate]], "")</calculatedColumnFormula>
      <totalsRowFormula>SUM(Audit[Difference Winner])</totalsRowFormula>
    </tableColumn>
    <tableColumn id="18" xr3:uid="{00000000-0010-0000-0400-000012000000}" name="Difference Loser" totalsRowFunction="custom" dataDxfId="150" totalsRowDxfId="149">
      <calculatedColumnFormula>IF(NOT(ISBLANK(Audit[[#This Row],[Audit Losing Candidate]])), Audit[[#This Row],[Audit Losing Candidate]]-Audit[[#This Row],[Losing Candidate]], "")</calculatedColumnFormula>
      <totalsRowFormula>SUM(Audit[Difference Loser])</totalsRowFormula>
    </tableColumn>
    <tableColumn id="41" xr3:uid="{00000000-0010-0000-0400-000029000000}" name="Difference Candidate 3" totalsRowFunction="custom" dataDxfId="148" totalsRowDxfId="147">
      <calculatedColumnFormula>IF(NOT(ISBLANK(Audit[[#This Row],[Audit Candidate 3]])), Audit[[#This Row],[Audit Candidate 3]]-Audit[[#This Row],[Candidate 3]], "")</calculatedColumnFormula>
      <totalsRowFormula>SUM(Audit[Difference Candidate 3])</totalsRowFormula>
    </tableColumn>
    <tableColumn id="40" xr3:uid="{00000000-0010-0000-0400-000028000000}" name="Difference Candidate 4" totalsRowFunction="custom" dataDxfId="146" totalsRowDxfId="145">
      <calculatedColumnFormula>IF(NOT(ISBLANK(Audit[[#This Row],[Audit Candidate 4]])),Audit[[#This Row],[Audit Candidate 4]]-Audit[[#This Row],[Candidate 4]], "")</calculatedColumnFormula>
      <totalsRowFormula>SUM(Audit[Difference Candidate 4])</totalsRowFormula>
    </tableColumn>
    <tableColumn id="39" xr3:uid="{00000000-0010-0000-0400-000027000000}" name="Difference Candidate 5" totalsRowFunction="custom" dataDxfId="144" totalsRowDxfId="143">
      <calculatedColumnFormula>IF(NOT(ISBLANK(Audit[[#This Row],[Audit Candidate 5]])), Audit[[#This Row],[Audit Candidate 5]]-Audit[[#This Row],[Candidate 5]], "")</calculatedColumnFormula>
      <totalsRowFormula>SUM(Audit[Difference Candidate 5])</totalsRowFormula>
    </tableColumn>
    <tableColumn id="49" xr3:uid="{00000000-0010-0000-0400-000031000000}" name="Difference Candidate 6" totalsRowFunction="custom" dataDxfId="142" totalsRowDxfId="141">
      <calculatedColumnFormula>IF(NOT(ISBLANK(Audit[[#This Row],[Audit Candidate 6]])), Audit[[#This Row],[Audit Candidate 6]]-Audit[[#This Row],[Candidate 6]], "")</calculatedColumnFormula>
      <totalsRowFormula>SUM(Audit[Difference Candidate 6])</totalsRowFormula>
    </tableColumn>
    <tableColumn id="48" xr3:uid="{00000000-0010-0000-0400-000030000000}" name="Difference Candidate 7" totalsRowFunction="custom" dataDxfId="140" totalsRowDxfId="139">
      <calculatedColumnFormula>IF(NOT(ISBLANK(Audit[[#This Row],[Audit Candidate 7]])), Audit[[#This Row],[Audit Candidate 7]]-Audit[[#This Row],[Candidate 7]], "")</calculatedColumnFormula>
      <totalsRowFormula>SUM(Audit[Difference Candidate 7])</totalsRowFormula>
    </tableColumn>
    <tableColumn id="38" xr3:uid="{00000000-0010-0000-0400-000026000000}" name="Difference Candidate 8" totalsRowFunction="custom" dataDxfId="138" totalsRowDxfId="137">
      <calculatedColumnFormula>IF(NOT(ISBLANK(Audit[[#This Row],[Audit Candidate 8]])), Audit[[#This Row],[Audit Candidate 8]]-Audit[[#This Row],[Candidate 8]], "")</calculatedColumnFormula>
      <totalsRowFormula>SUM(Audit[Difference Candidate 8])</totalsRowFormula>
    </tableColumn>
    <tableColumn id="64" xr3:uid="{00000000-0010-0000-0400-000040000000}" name="Difference Candidate 9" totalsRowFunction="custom" dataDxfId="136" totalsRowDxfId="135">
      <calculatedColumnFormula>IF(NOT(ISBLANK(Audit[[#This Row],[Audit Candidate 9]])), Audit[[#This Row],[Audit Candidate 9]]-Audit[[#This Row],[Candidate 9]], "")</calculatedColumnFormula>
      <totalsRowFormula>SUM(Audit[Difference Candidate 9])</totalsRowFormula>
    </tableColumn>
    <tableColumn id="63" xr3:uid="{00000000-0010-0000-0400-00003F000000}" name="Difference Candidate 10" totalsRowFunction="custom" dataDxfId="134" totalsRowDxfId="133">
      <calculatedColumnFormula>IF(NOT(ISBLANK(Audit[[#This Row],[Audit Candidate 10]])), Audit[[#This Row],[Audit Candidate 10]]-Audit[[#This Row],[Candidate 10]], "")</calculatedColumnFormula>
      <totalsRowFormula>SUM(Audit[Difference Candidate 10])</totalsRowFormula>
    </tableColumn>
    <tableColumn id="62" xr3:uid="{00000000-0010-0000-0400-00003E000000}" name="Difference Candidate 11" totalsRowFunction="custom" dataDxfId="132" totalsRowDxfId="131">
      <calculatedColumnFormula>IF(NOT(ISBLANK(Audit[[#This Row],[Audit Candidate 11]])), Audit[[#This Row],[Audit Candidate 11]]-Audit[[#This Row],[Candidate 11]], "")</calculatedColumnFormula>
      <totalsRowFormula>SUM(Audit[Difference Candidate 11])</totalsRowFormula>
    </tableColumn>
    <tableColumn id="61" xr3:uid="{00000000-0010-0000-0400-00003D000000}" name="Difference Candidate 12" totalsRowFunction="custom" dataDxfId="130" totalsRowDxfId="129">
      <calculatedColumnFormula>IF(NOT(ISBLANK(Audit[[#This Row],[Audit Candidate 12]])), Audit[[#This Row],[Audit Candidate 12]]-Audit[[#This Row],[Candidate 12]], "")</calculatedColumnFormula>
      <totalsRowFormula>SUM(Audit[Difference Candidate 12])</totalsRowFormula>
    </tableColumn>
    <tableColumn id="20" xr3:uid="{00000000-0010-0000-0400-000014000000}" name="Max Differences" totalsRowFunction="custom" dataDxfId="128" totalsRowDxfId="127">
      <calculatedColumnFormula>SUMIF(Audit[[#This Row],[Difference Winner]:[Difference Candidate 12]], "&gt;0")</calculatedColumnFormula>
      <totalsRowFormula>SUM(Audit[Max Differences])</totalsRowFormula>
    </tableColumn>
    <tableColumn id="21" xr3:uid="{00000000-0010-0000-0400-000015000000}" name="Canceled Differences" totalsRowFunction="custom" dataDxfId="126" totalsRowDxfId="125">
      <calculatedColumnFormula>SUM(Audit[[#This Row],[Difference Winner]:[Difference Candidate 12]])</calculatedColumnFormula>
      <totalsRowFormula>SUM(Audit[Canceled Differences])</totalsRowFormula>
    </tableColumn>
    <tableColumn id="22" xr3:uid="{00000000-0010-0000-0400-000016000000}" name="Total Differences" totalsRowFunction="custom" dataDxfId="124" totalsRowDxfId="123">
      <calculatedColumnFormula>IF(Audit[[#This Row],[Times p Drawn - With Replacement]]&gt;0, IF(Audit[[#This Row],[Canceled Differences]]&lt;0, Audit[[#This Row],[Max Differences]]+ABS(Audit[[#This Row],[Canceled Differences]]), Audit[[#This Row],[Max Differences]]), 0)</calculatedColumnFormula>
      <totalsRowFormula>SUM(Audit[Total Differences])</totalsRowFormula>
    </tableColumn>
    <tableColumn id="8" xr3:uid="{00000000-0010-0000-0400-000008000000}" name="Error Bound (up) - Max. possible relative overstatement" totalsRowFunction="custom" dataDxfId="122" totalsRowDxfId="121">
      <calculatedColumnFormula>'Sampling Data'!AB5</calculatedColumnFormula>
      <totalsRowFormula>SUM(Audit[Error Bound (up) - Max. possible relative overstatement])</totalsRowFormula>
    </tableColumn>
    <tableColumn id="23" xr3:uid="{00000000-0010-0000-0400-000017000000}" name="Relative Error (ep) - Error Rate as a proportion of the margin of victory for Winning Candidate" totalsRowFunction="custom" dataDxfId="120" totalsRowDxfId="119">
      <calculatedColumnFormula>IF(
      SUM(Audit[[#This Row],[Audit Losing Candidate]:[Audit Candidate 12]])
      &lt;&gt;0,
      (Audit[[#This Row],[Winning Candidate]]-Audit[[#This Row],[Losing Candidate]]-(Audit[[#This Row],[Audit Winning Candidate]]-Audit[[#This Row],[Audit Losing Candidate]]))/(Audit[[#Totals],[Winning Candidate]]-Audit[[#Totals],[Losing Candidate]]),
      0
)</calculatedColumnFormula>
      <totalsRowFormula>SUM(Audit[Relative Error (ep) - Error Rate as a proportion of the margin of victory for Winning Candidate])</totalsRowFormula>
    </tableColumn>
    <tableColumn id="37" xr3:uid="{00000000-0010-0000-0400-000025000000}" name="Relative Error (ep) - Error Rate as a proportion of the margin of victory for  Candidate 3" totalsRowFunction="custom" dataDxfId="118" totalsRowDxfId="117">
      <calculatedColumnFormula>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calculatedColumnFormula>
      <totalsRowFormula>SUM(Audit[Relative Error (ep) - Error Rate as a proportion of the margin of victory for  Candidate 3])</totalsRowFormula>
    </tableColumn>
    <tableColumn id="36" xr3:uid="{00000000-0010-0000-0400-000024000000}" name="Relative Error (ep) - Error Rate as a proportion of the margin of victory for  Candidate 4" totalsRowFunction="custom" dataDxfId="116" totalsRowDxfId="115">
      <calculatedColumnFormula>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calculatedColumnFormula>
      <totalsRowFormula>SUM(Audit[Relative Error (ep) - Error Rate as a proportion of the margin of victory for  Candidate 4])</totalsRowFormula>
    </tableColumn>
    <tableColumn id="35" xr3:uid="{00000000-0010-0000-0400-000023000000}" name="Relative Error (ep) - Error Rate as a proportion of the margin of victory for  Candidate 5" totalsRowFunction="custom" dataDxfId="114" totalsRowDxfId="113">
      <calculatedColumnFormula>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calculatedColumnFormula>
      <totalsRowFormula>SUM(Audit[Relative Error (ep) - Error Rate as a proportion of the margin of victory for  Candidate 5])</totalsRowFormula>
    </tableColumn>
    <tableColumn id="51" xr3:uid="{00000000-0010-0000-0400-000033000000}" name="Relative Error (ep) - Error Rate as a proportion of the margin of victory for  Candidate 6" totalsRowFunction="custom" dataDxfId="112" totalsRowDxfId="111">
      <calculatedColumnFormula>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calculatedColumnFormula>
      <totalsRowFormula>SUM(Audit[Relative Error (ep) - Error Rate as a proportion of the margin of victory for  Candidate 6])</totalsRowFormula>
    </tableColumn>
    <tableColumn id="50" xr3:uid="{00000000-0010-0000-0400-000032000000}" name="Relative Error (ep) - Error Rate as a proportion of the margin of victory for  Candidate 7" totalsRowFunction="custom" dataDxfId="110" totalsRowDxfId="109">
      <calculatedColumnFormula>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calculatedColumnFormula>
      <totalsRowFormula>SUM(Audit[Relative Error (ep) - Error Rate as a proportion of the margin of victory for  Candidate 7])</totalsRowFormula>
    </tableColumn>
    <tableColumn id="34" xr3:uid="{00000000-0010-0000-0400-000022000000}" name="Relative Error (ep) - Error Rate as a proportion of the margin of victory for  Candidate 8" totalsRowFunction="custom" dataDxfId="108" totalsRowDxfId="107">
      <calculatedColumnFormula>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calculatedColumnFormula>
      <totalsRowFormula>SUM(Audit[Relative Error (ep) - Error Rate as a proportion of the margin of victory for  Candidate 8])</totalsRowFormula>
    </tableColumn>
    <tableColumn id="66" xr3:uid="{00000000-0010-0000-0400-000042000000}" name="Relative Error (ep) - Error Rate as a proportion of the margin of victory for  Candidate 9" totalsRowFunction="custom" dataDxfId="106" totalsRowDxfId="105">
      <calculatedColumnFormula>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calculatedColumnFormula>
      <totalsRowFormula>SUM(Audit[Relative Error (ep) - Error Rate as a proportion of the margin of victory for  Candidate 9])</totalsRowFormula>
    </tableColumn>
    <tableColumn id="65" xr3:uid="{00000000-0010-0000-0400-000041000000}" name="Relative Error (ep) - Error Rate as a proportion of the margin of victory for  Candidate 10" totalsRowFunction="custom" dataDxfId="104" totalsRowDxfId="103">
      <calculatedColumnFormula>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calculatedColumnFormula>
      <totalsRowFormula>SUM(Audit[Relative Error (ep) - Error Rate as a proportion of the margin of victory for  Candidate 10])</totalsRowFormula>
    </tableColumn>
    <tableColumn id="60" xr3:uid="{00000000-0010-0000-0400-00003C000000}" name="Relative Error (ep) - Error Rate as a proportion of the margin of victory for  Candidate 11" totalsRowFunction="custom" dataDxfId="102" totalsRowDxfId="101">
      <calculatedColumnFormula>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calculatedColumnFormula>
      <totalsRowFormula>SUM(Audit[Relative Error (ep) - Error Rate as a proportion of the margin of victory for  Candidate 11])</totalsRowFormula>
    </tableColumn>
    <tableColumn id="47" xr3:uid="{00000000-0010-0000-0400-00002F000000}" name="Relative Error (ep) - Error Rate as a proportion of the margin of victory for  Candidate 12" totalsRowFunction="custom" dataDxfId="100" totalsRowDxfId="99">
      <calculatedColumnFormula>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calculatedColumnFormula>
      <totalsRowFormula>SUM(Audit[Relative Error (ep) - Error Rate as a proportion of the margin of victory for  Candidate 12])</totalsRowFormula>
    </tableColumn>
    <tableColumn id="46" xr3:uid="{00000000-0010-0000-0400-00002E000000}" name="Max Relative Error (ep)" totalsRowFunction="custom" dataDxfId="98" totalsRowDxfId="97">
      <calculatedColumnFormula>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calculatedColumnFormula>
      <totalsRowFormula>SUM(Audit[Max Relative Error (ep)])</totalsRowFormula>
    </tableColumn>
    <tableColumn id="24" xr3:uid="{00000000-0010-0000-0400-000018000000}" name="Taint (t) - Error rate as a proportion of the max possible relative overstatement" totalsRowFunction="custom" dataDxfId="96" totalsRowDxfId="95">
      <calculatedColumnFormula>IF(Audit[[#This Row],[Max Relative Error (ep)]] = 0, 0, Audit[[#This Row],[Max Relative Error (ep)]]/Audit[[#This Row],[Error Bound (up) - Max. possible relative overstatement]])</calculatedColumnFormula>
      <totalsRowFormula>SUM(Audit[Taint (t) - Error rate as a proportion of the max possible relative overstatement])</totalsRowFormula>
    </tableColumn>
    <tableColumn id="25" xr3:uid="{00000000-0010-0000-0400-000019000000}" name="KM Factor" totalsRowFunction="custom" dataDxfId="94" totalsRowDxfId="93">
      <calculatedColumnFormula>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calculatedColumnFormula>
      <totalsRowFormula>SUM(Audit[KM Factor])</totalsRowFormula>
    </tableColumn>
    <tableColumn id="26" xr3:uid="{00000000-0010-0000-0400-00001A000000}" name="Net KM Factor - KM Factor taking into account pcts audited multiple times" totalsRowFunction="custom" dataDxfId="92" totalsRowDxfId="91">
      <calculatedColumnFormula>IF(ISERR(POWER(BH5,R5)), 0, POWER(BH5,R5))</calculatedColumnFormula>
      <totalsRowFormula>SUM(Audit[Net KM Factor - KM Factor taking into account pcts audited multiple times])</totalsRowFormula>
    </tableColumn>
    <tableColumn id="27" xr3:uid="{00000000-0010-0000-0400-00001B000000}" name="K-M P Value" totalsRowFunction="custom" dataDxfId="90" totalsRowDxfId="89">
      <calculatedColumnFormula>PRODUCT($BI$5:BI5)</calculatedColumnFormula>
      <totalsRowFormula>SUM(Audit[K-M P Value])</totalsRowFormula>
    </tableColumn>
    <tableColumn id="30" xr3:uid="{00000000-0010-0000-0400-00001E000000}" name="Confidence Level" totalsRowFunction="max" dataDxfId="88" totalsRowDxfId="87">
      <calculatedColumnFormula>1 - Audit[[#This Row],[K-M P Value]]</calculatedColumnFormula>
    </tableColumn>
    <tableColumn id="28" xr3:uid="{00000000-0010-0000-0400-00001C000000}" name="Status - Continue or stop audit" dataDxfId="86" totalsRowDxfId="85">
      <calculatedColumnFormula>IF(Audit[[#This Row],[K-M P Value]]&gt;1-'General Info'!$B$12,"Continue", "Stop")</calculatedColumnFormula>
    </tableColumn>
    <tableColumn id="29" xr3:uid="{00000000-0010-0000-0400-00001D000000}" name="Process Batch" totalsRowFunction="count" dataDxfId="84" totalsRowDxfId="83">
      <calculatedColumnFormula>IF(Audit[[#This Row],[Status - Continue or stop audit]] = "Continue", TRUE, IF(BL4 = "Continue", TRUE, FALSE))</calculatedColumnFormula>
    </tableColumn>
    <tableColumn id="31" xr3:uid="{00000000-0010-0000-0400-00001F000000}" name="Reason For Differences" dataDxfId="82" totalsRowDxfId="81"/>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SamplingData" displayName="SamplingData" ref="A4:AJ1129" totalsRowCount="1" headerRowDxfId="80" totalsRowDxfId="78" headerRowBorderDxfId="79" totalsRowCellStyle="Comma">
  <autoFilter ref="A4:AJ1128" xr:uid="{00000000-0009-0000-0100-000001000000}"/>
  <sortState xmlns:xlrd2="http://schemas.microsoft.com/office/spreadsheetml/2017/richdata2" ref="A2:W2153">
    <sortCondition ref="A1:A2153"/>
  </sortState>
  <tableColumns count="36">
    <tableColumn id="2" xr3:uid="{00000000-0010-0000-0500-000002000000}" name="Batch by Type (p)" totalsRowFunction="count" dataDxfId="77" totalsRowDxfId="76" dataCellStyle="Comma"/>
    <tableColumn id="6" xr3:uid="{00000000-0010-0000-0500-000006000000}" name="Winning Candidate" totalsRowFunction="custom" dataDxfId="75" totalsRowDxfId="74" dataCellStyle="Comma">
      <totalsRowFormula>SUM(SamplingData[Winning Candidate])</totalsRowFormula>
    </tableColumn>
    <tableColumn id="5" xr3:uid="{00000000-0010-0000-0500-000005000000}" name="Losing Candidate" totalsRowFunction="custom" dataDxfId="73" totalsRowDxfId="72" dataCellStyle="Comma">
      <totalsRowFormula>SUM(SamplingData[Losing Candidate])</totalsRowFormula>
    </tableColumn>
    <tableColumn id="18" xr3:uid="{00000000-0010-0000-0500-000012000000}" name="Candidate 3" totalsRowFunction="custom" dataDxfId="71" totalsRowDxfId="70" dataCellStyle="Comma">
      <totalsRowFormula>SUM(SamplingData[Candidate 3])</totalsRowFormula>
    </tableColumn>
    <tableColumn id="17" xr3:uid="{00000000-0010-0000-0500-000011000000}" name="Candidate 4" totalsRowFunction="custom" dataDxfId="69" totalsRowDxfId="68" dataCellStyle="Comma">
      <totalsRowFormula>SUM(SamplingData[Candidate 4])</totalsRowFormula>
    </tableColumn>
    <tableColumn id="16" xr3:uid="{00000000-0010-0000-0500-000010000000}" name="Candidate 5" totalsRowFunction="custom" dataDxfId="67" totalsRowDxfId="66" dataCellStyle="Comma">
      <totalsRowFormula>SUM(SamplingData[Candidate 5])</totalsRowFormula>
    </tableColumn>
    <tableColumn id="25" xr3:uid="{00000000-0010-0000-0500-000019000000}" name="Candidate 6" totalsRowFunction="sum" dataDxfId="65" totalsRowDxfId="64" dataCellStyle="Comma"/>
    <tableColumn id="1" xr3:uid="{00000000-0010-0000-0500-000001000000}" name="Candidate 7" totalsRowFunction="sum" dataDxfId="63" totalsRowDxfId="62" dataCellStyle="Comma"/>
    <tableColumn id="3" xr3:uid="{00000000-0010-0000-0500-000003000000}" name="Candidate 8" totalsRowFunction="custom" dataDxfId="61" totalsRowDxfId="60" dataCellStyle="Comma">
      <totalsRowFormula>SUM(SamplingData[Candidate 8])</totalsRowFormula>
    </tableColumn>
    <tableColumn id="32" xr3:uid="{00000000-0010-0000-0500-000020000000}" name="Candidate 9" dataDxfId="59" totalsRowDxfId="58" dataCellStyle="Comma"/>
    <tableColumn id="31" xr3:uid="{00000000-0010-0000-0500-00001F000000}" name="Candidate 10" dataDxfId="57" totalsRowDxfId="56" dataCellStyle="Comma"/>
    <tableColumn id="30" xr3:uid="{00000000-0010-0000-0500-00001E000000}" name="Candidate 11" dataDxfId="55" totalsRowDxfId="54" dataCellStyle="Comma"/>
    <tableColumn id="29" xr3:uid="{00000000-0010-0000-0500-00001D000000}" name="Candidate 12" dataDxfId="53" totalsRowDxfId="52" dataCellStyle="Comma"/>
    <tableColumn id="7" xr3:uid="{00000000-0010-0000-0500-000007000000}" name="Over Votes" totalsRowFunction="custom" dataDxfId="51" totalsRowDxfId="50" dataCellStyle="Comma">
      <totalsRowFormula>SUM(SamplingData[Over Votes])</totalsRowFormula>
    </tableColumn>
    <tableColumn id="8" xr3:uid="{00000000-0010-0000-0500-000008000000}" name="Under Votes" totalsRowFunction="custom" dataDxfId="49" totalsRowDxfId="48" dataCellStyle="Comma">
      <totalsRowFormula>SUM(SamplingData[Under Votes])</totalsRowFormula>
    </tableColumn>
    <tableColumn id="9" xr3:uid="{00000000-0010-0000-0500-000009000000}" name="Total" totalsRowFunction="custom" dataDxfId="47" totalsRowDxfId="46" dataCellStyle="Comma">
      <calculatedColumnFormula>SUM(SamplingData[[#This Row],[Winning Candidate]:[Under Votes]])</calculatedColumnFormula>
      <totalsRowFormula>SUM(SamplingData[Total])</totalsRowFormula>
    </tableColumn>
    <tableColumn id="10" xr3:uid="{00000000-0010-0000-0500-00000A000000}" name="Error Bound (up) - Max. possible relative overstatement - Losing Candidate" totalsRowFunction="custom" dataDxfId="45" totalsRowDxfId="44" dataCellStyle="Comma">
      <calculatedColumnFormula>IF(AND(SamplingData[[#This Row],[Total]]&lt;&gt; 0, NOT(ISBLANK(SamplingData[[#This Row],[Losing Candidate]]))),(SamplingData[[#This Row],[Total]]+SamplingData[[#This Row],[Winning Candidate]]-SamplingData[[#This Row],[Losing Candidate]])/(SamplingData[[#Totals],[Winning Candidate]]-SamplingData[[#Totals],[Losing Candidate]]), 0)</calculatedColumnFormula>
      <totalsRowFormula>SUM(SamplingData[Error Bound (up) - Max. possible relative overstatement - Losing Candidate])</totalsRowFormula>
    </tableColumn>
    <tableColumn id="22" xr3:uid="{00000000-0010-0000-0500-000016000000}" name="Error Bound (up) - Max. possible relative overstatement - Candidate 3" totalsRowFunction="custom" dataDxfId="43" totalsRowDxfId="42" dataCellStyle="Comma">
      <calculatedColumnFormula>IF(AND(SamplingData[[#This Row],[Total]]&lt;&gt; 0, NOT(ISBLANK(SamplingData[[#This Row],[Candidate 3]]))),(SamplingData[[#This Row],[Total]]+SamplingData[[#This Row],[Winning Candidate]]-SamplingData[[#This Row],[Candidate 3]])/(SamplingData[[#Totals],[Winning Candidate]]-SamplingData[[#Totals],[Candidate 3]]), 0)</calculatedColumnFormula>
      <totalsRowFormula>SUM(SamplingData[Error Bound (up) - Max. possible relative overstatement - Candidate 3])</totalsRowFormula>
    </tableColumn>
    <tableColumn id="21" xr3:uid="{00000000-0010-0000-0500-000015000000}" name="Error Bound (up) - Max. possible relative overstatement - Candidate 4" totalsRowFunction="custom" dataDxfId="41" totalsRowDxfId="40" dataCellStyle="Comma">
      <calculatedColumnFormula>IF(AND(SamplingData[[#This Row],[Total]]&lt;&gt; 0, NOT(ISBLANK(SamplingData[[#This Row],[Candidate 4]]))),(SamplingData[[#This Row],[Total]]+SamplingData[[#This Row],[Winning Candidate]]-SamplingData[[#This Row],[Candidate 4]])/(SamplingData[[#Totals],[Winning Candidate]]-SamplingData[[#Totals],[Candidate 4]]), 0)</calculatedColumnFormula>
      <totalsRowFormula>SUM(SamplingData[Error Bound (up) - Max. possible relative overstatement - Candidate 4])</totalsRowFormula>
    </tableColumn>
    <tableColumn id="20" xr3:uid="{00000000-0010-0000-0500-000014000000}" name="Error Bound (up) - Max. possible relative overstatement - Candidate 5" totalsRowFunction="custom" dataDxfId="39" totalsRowDxfId="38" dataCellStyle="Comma">
      <calculatedColumnFormula>IF(AND(SamplingData[[#This Row],[Total]]&lt;&gt; 0, NOT(ISBLANK(SamplingData[[#This Row],[Candidate 5]]))),(SamplingData[[#This Row],[Total]]+SamplingData[[#This Row],[Winning Candidate]]-SamplingData[[#This Row],[Candidate 5]])/(SamplingData[[#Totals],[Winning Candidate]]-SamplingData[[#Totals],[Candidate 5]]), 0)</calculatedColumnFormula>
      <totalsRowFormula>SUM(SamplingData[Error Bound (up) - Max. possible relative overstatement - Candidate 5])</totalsRowFormula>
    </tableColumn>
    <tableColumn id="28" xr3:uid="{00000000-0010-0000-0500-00001C000000}" name="Error Bound (up) - Max. possible relative overstatement - Candidate 6" totalsRowFunction="sum" dataDxfId="37" totalsRowDxfId="36" dataCellStyle="Comma">
      <calculatedColumnFormula>IF(AND(SamplingData[[#This Row],[Total]]&lt;&gt; 0, NOT(ISBLANK(SamplingData[[#This Row],[Candidate 6]]))),(SamplingData[[#This Row],[Total]]+SamplingData[[#This Row],[Losing Candidate]]-SamplingData[[#This Row],[Candidate 6]])/(SamplingData[[#Totals],[Winning Candidate]]-SamplingData[[#Totals],[Candidate 6]]), 0)</calculatedColumnFormula>
    </tableColumn>
    <tableColumn id="27" xr3:uid="{00000000-0010-0000-0500-00001B000000}" name="Error Bound (up) - Max. possible relative overstatement - Candidate 7" totalsRowFunction="sum" dataDxfId="35" totalsRowDxfId="34" dataCellStyle="Comma">
      <calculatedColumnFormula>IF(AND(SamplingData[[#This Row],[Total]]&lt;&gt; 0, NOT(ISBLANK(SamplingData[[#This Row],[Candidate 7]]))),(SamplingData[[#This Row],[Total]]+SamplingData[[#This Row],[Winning Candidate]]-SamplingData[[#This Row],[Candidate 7]])/(SamplingData[[#Totals],[Winning Candidate]]-SamplingData[[#Totals],[Candidate 7]]), 0)</calculatedColumnFormula>
    </tableColumn>
    <tableColumn id="19" xr3:uid="{00000000-0010-0000-0500-000013000000}" name="Error Bound (up) - Max. possible relative overstatement - Candidate 8" totalsRowFunction="custom" dataDxfId="33" totalsRowDxfId="32" dataCellStyle="Comma">
      <calculatedColumnFormula>IF(AND(SamplingData[[#This Row],[Total]]&lt;&gt; 0, NOT(ISBLANK(SamplingData[[#This Row],[Candidate 8]]))),(SamplingData[[#This Row],[Total]]+SamplingData[[#This Row],[Winning Candidate]]-SamplingData[[#This Row],[Candidate 8]])/(SamplingData[[#Totals],[Winning Candidate]]-SamplingData[[#Totals],[Candidate 8]]), 0)</calculatedColumnFormula>
      <totalsRowFormula>SUM(SamplingData[Error Bound (up) - Max. possible relative overstatement - Candidate 8])</totalsRowFormula>
    </tableColumn>
    <tableColumn id="36" xr3:uid="{00000000-0010-0000-0500-000024000000}" name="Error Bound (up) - Max. possible relative overstatement - Candidate 9" totalsRowFunction="custom" dataDxfId="31" totalsRowDxfId="30" dataCellStyle="Comma">
      <calculatedColumnFormula>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calculatedColumnFormula>
      <totalsRowFormula>SUM(SamplingData[Error Bound (up) - Max. possible relative overstatement - Candidate 9])</totalsRowFormula>
    </tableColumn>
    <tableColumn id="35" xr3:uid="{00000000-0010-0000-0500-000023000000}" name="Error Bound (up) - Max. possible relative overstatement - Candidate 10" totalsRowFunction="custom" dataDxfId="29" totalsRowDxfId="28" dataCellStyle="Comma">
      <calculatedColumnFormula>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calculatedColumnFormula>
      <totalsRowFormula>SUM(SamplingData[Error Bound (up) - Max. possible relative overstatement - Candidate 10])</totalsRowFormula>
    </tableColumn>
    <tableColumn id="34" xr3:uid="{00000000-0010-0000-0500-000022000000}" name="Error Bound (up) - Max. possible relative overstatement - Candidate 11" totalsRowFunction="custom" dataDxfId="27" totalsRowDxfId="26" dataCellStyle="Comma">
      <calculatedColumnFormula>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calculatedColumnFormula>
      <totalsRowFormula>SUM(SamplingData[Error Bound (up) - Max. possible relative overstatement - Candidate 11])</totalsRowFormula>
    </tableColumn>
    <tableColumn id="33" xr3:uid="{00000000-0010-0000-0500-000021000000}" name="Error Bound (up) - Max. possible relative overstatement - Candidate 12" totalsRowFunction="custom" dataDxfId="25" totalsRowDxfId="24" dataCellStyle="Comma">
      <calculatedColumnFormula>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calculatedColumnFormula>
      <totalsRowFormula>SUM(SamplingData[Error Bound (up) - Max. possible relative overstatement - Candidate 12])</totalsRowFormula>
    </tableColumn>
    <tableColumn id="23" xr3:uid="{00000000-0010-0000-0500-000017000000}" name="Max Error Bound (up)" totalsRowFunction="custom" dataDxfId="23" totalsRowDxfId="22" dataCellStyle="Comma">
      <calculatedColumnFormula>MAX(SamplingData[[#This Row],[Error Bound (up) - Max. possible relative overstatement - Losing Candidate]:[Error Bound (up) - Max. possible relative overstatement - Candidate 12]])</calculatedColumnFormula>
      <totalsRowFormula>SUM(SamplingData[Max Error Bound (up)])</totalsRowFormula>
    </tableColumn>
    <tableColumn id="11" xr3:uid="{00000000-0010-0000-0500-00000B000000}" name="up/U Selection Probability" totalsRowFunction="custom" dataDxfId="21" totalsRowDxfId="20" dataCellStyle="Comma">
      <calculatedColumnFormula>IF(SamplingData[[#This Row],[Max Error Bound (up)]] = 0,0,SamplingData[[#This Row],[Max Error Bound (up)]]/SamplingData[[#Totals],[Max Error Bound (up)]])</calculatedColumnFormula>
      <totalsRowFormula>SUM(SamplingData[up/U Selection Probability])</totalsRowFormula>
    </tableColumn>
    <tableColumn id="12" xr3:uid="{00000000-0010-0000-0500-00000C000000}" name="Running (cumulative) sum" totalsRowFunction="custom" dataDxfId="19" totalsRowDxfId="18" dataCellStyle="Comma">
      <calculatedColumnFormula>SUM($AC$5:AC5)</calculatedColumnFormula>
      <totalsRowFormula>SUM(SamplingData[Running (cumulative) sum])</totalsRowFormula>
    </tableColumn>
    <tableColumn id="24" xr3:uid="{00000000-0010-0000-0500-000018000000}" name="Selection Range" totalsRowFunction="custom" dataDxfId="17" totalsRowDxfId="16" dataCellStyle="Comma">
      <calculatedColumnFormula array="1">IF(SamplingData[[#This Row],[up/U Selection Probability]] = 0, "Zero", TEXT(SamplingData[[#This Row],[Lower Range]], REPT("0",LEN('General Info'!$B$42))) &amp; " - " &amp; TEXT(SamplingData[[#This Row],[Upper Range]], REPT("0",LEN('General Info'!$B$42))))</calculatedColumnFormula>
      <totalsRowFormula>IF(OR(NOT(ISNUMBER('General Info'!$B$42)), NOT(ISNUMBER('General Info'!$B$43))), "UNDEFINED", TEXT(MIN(SamplingData[Lower Range]), REPT("0",LEN('General Info'!$B$42))) &amp; " - " &amp; TEXT(MAX(SamplingData[Upper Range]), REPT("0",LEN('General Info'!$B$42))))</totalsRowFormula>
    </tableColumn>
    <tableColumn id="14" xr3:uid="{00000000-0010-0000-0500-00000E000000}" name="Lower Range" totalsRowFunction="custom" dataDxfId="15" totalsRowDxfId="14" dataCellStyle="Comma">
      <calculatedColumnFormula>SamplingData[[#This Row],[Upper Range]]-SamplingData[[#This Row],[Span]]</calculatedColumnFormula>
      <totalsRowFormula>SUM(SamplingData[Lower Range])</totalsRowFormula>
    </tableColumn>
    <tableColumn id="15" xr3:uid="{00000000-0010-0000-0500-00000F000000}" name="Span" totalsRowFunction="custom" dataDxfId="13" totalsRowDxfId="12" dataCellStyle="Comma">
      <calculatedColumnFormula>IF(ISNUMBER('General Info'!$B$42), ((SamplingData[[#This Row],[up/U Selection Probability]]) * 'General Info'!$B$44) - 1, 0)</calculatedColumnFormula>
      <totalsRowFormula>SUM(SamplingData[Span])</totalsRowFormula>
    </tableColumn>
    <tableColumn id="4" xr3:uid="{00000000-0010-0000-0500-000004000000}" name="Upper Range" totalsRowFunction="custom" dataDxfId="11" totalsRowDxfId="10" dataCellStyle="Comma">
      <calculatedColumnFormula>IF(ISNUMBER('General Info'!$B$42), (SamplingData[[#This Row],[Running (cumulative) sum]] * ('General Info'!$B$42 -'General Info'!$B$43 + 1)) + 'General Info'!$B$43 - 1, 0)</calculatedColumnFormula>
      <totalsRowFormula>SUM(SamplingData[Upper Range])</totalsRowFormula>
    </tableColumn>
    <tableColumn id="26" xr3:uid="{00000000-0010-0000-0500-00001A000000}" name="Selection - Batch picked for audit" totalsRowLabel="Total" dataDxfId="9" totalsRowDxfId="8" dataCellStyle="Comma">
      <calculatedColumnFormula>IF(ISERROR(MATCH(SamplingData[[#This Row],[Batch by Type (p)]],SelectedPrecincts[Batch Name], 0)), "", INDEX(SelectedPrecincts[Draw], MATCH(SamplingData[[#This Row],[Batch by Type (p)]],SelectedPrecincts[Batch Name], 0)))</calculatedColumnFormula>
    </tableColumn>
    <tableColumn id="13" xr3:uid="{00000000-0010-0000-0500-00000D000000}" name="Times p Drawn - With Replacement" totalsRowFunction="custom" dataDxfId="7" totalsRowDxfId="6" dataCellStyle="Comma">
      <calculatedColumnFormula>IF(COUNTIF(SelectedPrecincts[Batch Name],SamplingData[[#This Row],[Batch by Type (p)]]) &lt;&gt; 0, COUNTIF(SelectedPrecincts[Batch Name],SamplingData[[#This Row],[Batch by Type (p)]]), 0)</calculatedColumnFormula>
      <totalsRowFormula>COUNTIF(SamplingData[Times p Drawn - With Replacement], "&lt;&gt;0")</totalsRowFormula>
    </tableColumn>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49"/>
  <sheetViews>
    <sheetView tabSelected="1" zoomScaleNormal="100" workbookViewId="0">
      <selection activeCell="B19" sqref="B19"/>
    </sheetView>
  </sheetViews>
  <sheetFormatPr defaultRowHeight="15" customHeight="1" x14ac:dyDescent="0.35"/>
  <cols>
    <col min="1" max="1" width="51.54296875" bestFit="1" customWidth="1"/>
    <col min="2" max="2" width="33.7265625" customWidth="1"/>
    <col min="4" max="4" width="9.1796875" customWidth="1"/>
  </cols>
  <sheetData>
    <row r="1" spans="1:2" ht="23.5" x14ac:dyDescent="0.35">
      <c r="A1" s="114" t="s">
        <v>10</v>
      </c>
      <c r="B1" s="114"/>
    </row>
    <row r="2" spans="1:2" ht="23.5" x14ac:dyDescent="0.35">
      <c r="A2" s="114" t="s">
        <v>216</v>
      </c>
      <c r="B2" s="114"/>
    </row>
    <row r="3" spans="1:2" ht="14.5" x14ac:dyDescent="0.35">
      <c r="A3" s="71"/>
      <c r="B3" s="71"/>
    </row>
    <row r="4" spans="1:2" ht="14.5" x14ac:dyDescent="0.35">
      <c r="A4" s="115" t="s">
        <v>11</v>
      </c>
      <c r="B4" s="116"/>
    </row>
    <row r="5" spans="1:2" ht="14.5" x14ac:dyDescent="0.35">
      <c r="A5" s="3" t="s">
        <v>12</v>
      </c>
      <c r="B5" s="13" t="s">
        <v>217</v>
      </c>
    </row>
    <row r="6" spans="1:2" ht="14.5" x14ac:dyDescent="0.35">
      <c r="A6" s="3" t="s">
        <v>13</v>
      </c>
      <c r="B6" s="11">
        <f>IF(ISERR($B$7/$B$8), 0, $B$7/$B$8)</f>
        <v>562</v>
      </c>
    </row>
    <row r="7" spans="1:2" ht="14.5" x14ac:dyDescent="0.35">
      <c r="A7" s="3" t="s">
        <v>14</v>
      </c>
      <c r="B7" s="11">
        <f>COUNTA(SamplingData[Batch by Type (p)])</f>
        <v>1124</v>
      </c>
    </row>
    <row r="8" spans="1:2" ht="14.5" x14ac:dyDescent="0.35">
      <c r="A8" s="3" t="s">
        <v>100</v>
      </c>
      <c r="B8" s="11">
        <v>2</v>
      </c>
    </row>
    <row r="9" spans="1:2" ht="14.5" x14ac:dyDescent="0.35">
      <c r="A9" s="3" t="s">
        <v>29</v>
      </c>
      <c r="B9" s="11">
        <v>2</v>
      </c>
    </row>
    <row r="10" spans="1:2" ht="14.5" x14ac:dyDescent="0.35">
      <c r="A10" s="3" t="s">
        <v>15</v>
      </c>
      <c r="B10" s="12">
        <f>SamplingData[[#Totals],[Total]]</f>
        <v>416548</v>
      </c>
    </row>
    <row r="11" spans="1:2" ht="14.5" x14ac:dyDescent="0.35">
      <c r="A11" s="3" t="s">
        <v>16</v>
      </c>
      <c r="B11" s="11">
        <v>416548</v>
      </c>
    </row>
    <row r="12" spans="1:2" ht="14.5" x14ac:dyDescent="0.35">
      <c r="A12" s="3" t="s">
        <v>17</v>
      </c>
      <c r="B12" s="4">
        <v>0.9</v>
      </c>
    </row>
    <row r="13" spans="1:2" ht="14.5" x14ac:dyDescent="0.35">
      <c r="A13" s="3" t="s">
        <v>124</v>
      </c>
      <c r="B13" s="11">
        <f>IF(ISERR(LN(1-$B$12)/LN(1-1/SamplingData[[#Totals],[Max Error Bound (up)]])), 0, ROUNDUP(LN(1-$B$12)/LN(1-1/SamplingData[[#Totals],[Max Error Bound (up)]]), 0))</f>
        <v>42</v>
      </c>
    </row>
    <row r="14" spans="1:2" ht="14.5" x14ac:dyDescent="0.35">
      <c r="A14" s="3" t="s">
        <v>125</v>
      </c>
      <c r="B14" s="11">
        <f>COUNT(SelectedPrecincts[Batch Number])</f>
        <v>42</v>
      </c>
    </row>
    <row r="15" spans="1:2" ht="14.5" x14ac:dyDescent="0.35">
      <c r="A15" s="3" t="s">
        <v>18</v>
      </c>
      <c r="B15" s="11">
        <f>SUMIF(Audit[Process Batch],TRUE,Audit[Times p Drawn - With Replacement])</f>
        <v>42</v>
      </c>
    </row>
    <row r="16" spans="1:2" ht="14.5" x14ac:dyDescent="0.35">
      <c r="A16" s="3" t="s">
        <v>19</v>
      </c>
      <c r="B16" s="11">
        <v>40</v>
      </c>
    </row>
    <row r="17" spans="1:2" ht="14.5" x14ac:dyDescent="0.35">
      <c r="A17" s="3" t="s">
        <v>20</v>
      </c>
      <c r="B17" s="11">
        <v>16810</v>
      </c>
    </row>
    <row r="18" spans="1:2" ht="14.5" x14ac:dyDescent="0.35">
      <c r="A18" s="3" t="s">
        <v>21</v>
      </c>
      <c r="B18" s="11">
        <f>Audit[[#Totals],[Total Differences]]</f>
        <v>1</v>
      </c>
    </row>
    <row r="19" spans="1:2" ht="14.5" x14ac:dyDescent="0.35">
      <c r="A19" s="5" t="s">
        <v>22</v>
      </c>
      <c r="B19" s="175">
        <f>IF($B$17 = 0, 0, $B$18/$B$17)</f>
        <v>5.94883997620464E-5</v>
      </c>
    </row>
    <row r="20" spans="1:2" ht="14.5" x14ac:dyDescent="0.35">
      <c r="A20" s="5" t="s">
        <v>23</v>
      </c>
      <c r="B20" s="11">
        <v>40</v>
      </c>
    </row>
    <row r="21" spans="1:2" ht="14.5" x14ac:dyDescent="0.35">
      <c r="A21" s="5" t="s">
        <v>24</v>
      </c>
      <c r="B21" s="11">
        <v>40</v>
      </c>
    </row>
    <row r="22" spans="1:2" ht="14.5" x14ac:dyDescent="0.35">
      <c r="A22" s="3" t="s">
        <v>25</v>
      </c>
      <c r="B22" s="174">
        <v>0</v>
      </c>
    </row>
    <row r="23" spans="1:2" ht="14.5" x14ac:dyDescent="0.35">
      <c r="A23" s="5" t="s">
        <v>26</v>
      </c>
      <c r="B23" s="6">
        <f>IF($B$10 = 0,0, IF(ISNUMBER($B$22), ($B$22/$B$10), 0))</f>
        <v>0</v>
      </c>
    </row>
    <row r="24" spans="1:2" ht="14.5" x14ac:dyDescent="0.35">
      <c r="A24" s="5" t="s">
        <v>27</v>
      </c>
      <c r="B24" s="6">
        <f>IF(ISERR($B$22/$B$11), 0, $B$22/$B$11)</f>
        <v>0</v>
      </c>
    </row>
    <row r="25" spans="1:2" ht="15" customHeight="1" x14ac:dyDescent="0.35">
      <c r="A25" s="72"/>
      <c r="B25" s="72"/>
    </row>
    <row r="26" spans="1:2" ht="14.5" x14ac:dyDescent="0.35">
      <c r="A26" s="115" t="s">
        <v>113</v>
      </c>
      <c r="B26" s="119"/>
    </row>
    <row r="27" spans="1:2" ht="14.5" x14ac:dyDescent="0.35">
      <c r="A27" s="25" t="s">
        <v>103</v>
      </c>
      <c r="B27" s="26" t="s">
        <v>1342</v>
      </c>
    </row>
    <row r="28" spans="1:2" ht="14.5" x14ac:dyDescent="0.35">
      <c r="A28" s="25" t="s">
        <v>104</v>
      </c>
      <c r="B28" s="26" t="s">
        <v>1343</v>
      </c>
    </row>
    <row r="29" spans="1:2" ht="14.5" hidden="1" x14ac:dyDescent="0.35">
      <c r="A29" s="25" t="s">
        <v>48</v>
      </c>
      <c r="B29" s="26"/>
    </row>
    <row r="30" spans="1:2" ht="14.5" hidden="1" x14ac:dyDescent="0.35">
      <c r="A30" s="25" t="s">
        <v>49</v>
      </c>
      <c r="B30" s="26"/>
    </row>
    <row r="31" spans="1:2" ht="14.5" hidden="1" x14ac:dyDescent="0.35">
      <c r="A31" s="25" t="s">
        <v>50</v>
      </c>
      <c r="B31" s="84"/>
    </row>
    <row r="32" spans="1:2" ht="14.5" hidden="1" x14ac:dyDescent="0.35">
      <c r="A32" s="25" t="s">
        <v>51</v>
      </c>
      <c r="B32" s="26"/>
    </row>
    <row r="33" spans="1:2" ht="14.5" hidden="1" x14ac:dyDescent="0.35">
      <c r="A33" s="83" t="s">
        <v>168</v>
      </c>
      <c r="B33" s="84"/>
    </row>
    <row r="34" spans="1:2" ht="14.5" hidden="1" x14ac:dyDescent="0.35">
      <c r="A34" s="83" t="s">
        <v>169</v>
      </c>
      <c r="B34" s="26"/>
    </row>
    <row r="35" spans="1:2" ht="14.5" hidden="1" x14ac:dyDescent="0.35">
      <c r="A35" s="83" t="s">
        <v>184</v>
      </c>
      <c r="B35" s="84"/>
    </row>
    <row r="36" spans="1:2" ht="14.5" hidden="1" x14ac:dyDescent="0.35">
      <c r="A36" s="83" t="s">
        <v>185</v>
      </c>
      <c r="B36" s="84"/>
    </row>
    <row r="37" spans="1:2" ht="14.5" hidden="1" x14ac:dyDescent="0.35">
      <c r="A37" s="83" t="s">
        <v>186</v>
      </c>
      <c r="B37" s="84"/>
    </row>
    <row r="38" spans="1:2" ht="14.5" hidden="1" x14ac:dyDescent="0.35">
      <c r="A38" s="83" t="s">
        <v>187</v>
      </c>
      <c r="B38" s="84"/>
    </row>
    <row r="39" spans="1:2" ht="15" customHeight="1" x14ac:dyDescent="0.35">
      <c r="A39" s="71"/>
      <c r="B39" s="71"/>
    </row>
    <row r="40" spans="1:2" ht="15" customHeight="1" x14ac:dyDescent="0.35">
      <c r="A40" s="115" t="s">
        <v>44</v>
      </c>
      <c r="B40" s="116"/>
    </row>
    <row r="41" spans="1:2" ht="15" customHeight="1" x14ac:dyDescent="0.35">
      <c r="A41" s="7" t="s">
        <v>42</v>
      </c>
      <c r="B41" s="49">
        <f t="array" ref="B41">IF(ISERR(ROUNDUP(SamplingData[[#Totals],[Max Error Bound (up)]]/MIN(IF(SamplingData[Max Error Bound (up)] &lt;&gt; 0,SamplingData[Max Error Bound (up)], "")) / 2, 0)), 0,VALUE( REPT("9", LEN(ROUNDUP(SamplingData[[#Totals],[Max Error Bound (up)]]/MIN(IF(SamplingData[Max Error Bound (up)] &lt;&gt; 0, SamplingData[Max Error Bound (up)], "")) / 2, 0)))))</f>
        <v>999999</v>
      </c>
    </row>
    <row r="42" spans="1:2" ht="15" customHeight="1" x14ac:dyDescent="0.35">
      <c r="A42" s="8" t="s">
        <v>40</v>
      </c>
      <c r="B42" s="88">
        <v>999999</v>
      </c>
    </row>
    <row r="43" spans="1:2" ht="15" customHeight="1" x14ac:dyDescent="0.35">
      <c r="A43" s="87" t="s">
        <v>41</v>
      </c>
      <c r="B43" s="90">
        <v>0</v>
      </c>
    </row>
    <row r="44" spans="1:2" ht="15" customHeight="1" x14ac:dyDescent="0.35">
      <c r="A44" s="8" t="s">
        <v>39</v>
      </c>
      <c r="B44" s="89">
        <f>IF(ISERR(B42-B43 + 1), 0, B42-B43 + 1)</f>
        <v>1000000</v>
      </c>
    </row>
    <row r="45" spans="1:2" ht="15" customHeight="1" x14ac:dyDescent="0.35">
      <c r="A45" s="73"/>
      <c r="B45" s="73"/>
    </row>
    <row r="46" spans="1:2" ht="14.5" x14ac:dyDescent="0.35">
      <c r="A46" s="117" t="s">
        <v>161</v>
      </c>
      <c r="B46" s="118"/>
    </row>
    <row r="47" spans="1:2" ht="14.5" x14ac:dyDescent="0.35">
      <c r="A47" s="9" t="s">
        <v>45</v>
      </c>
      <c r="B47" s="10" t="s">
        <v>46</v>
      </c>
    </row>
    <row r="48" spans="1:2" ht="58" x14ac:dyDescent="0.35">
      <c r="A48" s="172" t="str">
        <f t="array" ref="A48">IF(COUNTIF(Audit[Total Differences], "&lt;&gt;0")&gt;=ROW()-ROW($A$47),INDEX(Audit[Precinct (p) - Batched by Type],SMALL(IF(Audit[Total Differences]&lt;&gt;0,ROW(Audit[Total Differences])-ROW(Audit[#Headers]),""),ROW() - ROW(Table7[#Headers]))),"END")</f>
        <v>8903 SYCAM C   (ED)</v>
      </c>
      <c r="B48" s="173" t="str">
        <f t="array" ref="B48">IF(COUNTIF(Audit[Total Differences], "&lt;&gt;0")&gt;=ROW()-ROW($A$47),INDEX(Audit[Reason For Differences],SMALL(IF(Audit[Total Differences]&lt;&gt;0,ROW(Audit[Total Differences])-ROW(Audit[#Headers]),""),ROW() - ROW(Table7[#Headers]))),"END")</f>
        <v>Electronic results = 1 overvote. Hand count = 1 vote for Candidate Goering. Scanner log shows voter elected to Cast ballot as an overvote.</v>
      </c>
    </row>
    <row r="49" spans="2:2" ht="15" customHeight="1" x14ac:dyDescent="0.35">
      <c r="B49" s="171"/>
    </row>
  </sheetData>
  <mergeCells count="6">
    <mergeCell ref="A1:B1"/>
    <mergeCell ref="A2:B2"/>
    <mergeCell ref="A4:B4"/>
    <mergeCell ref="A40:B40"/>
    <mergeCell ref="A46:B46"/>
    <mergeCell ref="A26:B26"/>
  </mergeCells>
  <conditionalFormatting sqref="B44">
    <cfRule type="expression" dxfId="5" priority="3">
      <formula>$B$44 &lt; $B$41</formula>
    </cfRule>
  </conditionalFormatting>
  <printOptions horizontalCentered="1" gridLines="1"/>
  <pageMargins left="0.7" right="0.7" top="0.75" bottom="0.75" header="0.3" footer="0.3"/>
  <pageSetup fitToHeight="0" orientation="portrait" r:id="rId1"/>
  <headerFooter>
    <oddFooter>&amp;C&amp;P of &amp;N</oddFooter>
  </headerFooter>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44"/>
  <sheetViews>
    <sheetView topLeftCell="A22" zoomScale="80" zoomScaleNormal="80" workbookViewId="0">
      <selection activeCell="B45" sqref="B45"/>
    </sheetView>
  </sheetViews>
  <sheetFormatPr defaultRowHeight="15" customHeight="1" x14ac:dyDescent="0.35"/>
  <cols>
    <col min="1" max="1" width="14.26953125" customWidth="1"/>
    <col min="2" max="2" width="18.7265625" customWidth="1"/>
    <col min="3" max="3" width="42.7265625" bestFit="1" customWidth="1"/>
  </cols>
  <sheetData>
    <row r="1" spans="1:3" ht="14.5" x14ac:dyDescent="0.35">
      <c r="A1" s="115" t="str">
        <f ca="1">MID(CELL("filename",$A$2), FIND("]", CELL("filename",$A$2)) + 1, 255)</f>
        <v>Selected Batches</v>
      </c>
      <c r="B1" s="120"/>
      <c r="C1" s="116"/>
    </row>
    <row r="2" spans="1:3" ht="14.5" x14ac:dyDescent="0.35">
      <c r="A2" s="2" t="s">
        <v>28</v>
      </c>
      <c r="B2" s="2" t="s">
        <v>8</v>
      </c>
      <c r="C2" s="2" t="s">
        <v>9</v>
      </c>
    </row>
    <row r="3" spans="1:3" ht="14.5" x14ac:dyDescent="0.35">
      <c r="A3" s="23">
        <f t="shared" ref="A3:A12" si="0">ROW() -2</f>
        <v>1</v>
      </c>
      <c r="B3" s="47">
        <v>970382</v>
      </c>
      <c r="C3" s="24" t="str">
        <f t="array" ref="C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8727 SPFLD AA   (ED)</v>
      </c>
    </row>
    <row r="4" spans="1:3" ht="14.5" x14ac:dyDescent="0.35">
      <c r="A4" s="23">
        <f t="shared" si="0"/>
        <v>2</v>
      </c>
      <c r="B4" s="48">
        <v>546676</v>
      </c>
      <c r="C4" s="24" t="str">
        <f t="array" ref="C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1201 CIN 12-A   (ED)</v>
      </c>
    </row>
    <row r="5" spans="1:3" ht="14.5" x14ac:dyDescent="0.35">
      <c r="A5" s="23">
        <f t="shared" si="0"/>
        <v>3</v>
      </c>
      <c r="B5" s="48">
        <v>131093</v>
      </c>
      <c r="C5" s="24" t="str">
        <f t="array" ref="C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1504 CIN 15-D   (AV)</v>
      </c>
    </row>
    <row r="6" spans="1:3" ht="14.5" x14ac:dyDescent="0.35">
      <c r="A6" s="23">
        <f t="shared" si="0"/>
        <v>4</v>
      </c>
      <c r="B6" s="48">
        <v>293955</v>
      </c>
      <c r="C6" s="24" t="str">
        <f t="array" ref="C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5304 WYOM D   (AV)</v>
      </c>
    </row>
    <row r="7" spans="1:3" ht="14.5" x14ac:dyDescent="0.35">
      <c r="A7" s="23">
        <f t="shared" si="0"/>
        <v>5</v>
      </c>
      <c r="B7" s="48">
        <v>332868</v>
      </c>
      <c r="C7" s="24" t="str">
        <f t="array" ref="C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5914 COLE N   (AV)</v>
      </c>
    </row>
    <row r="8" spans="1:3" ht="14.5" x14ac:dyDescent="0.35">
      <c r="A8" s="23">
        <f t="shared" si="0"/>
        <v>6</v>
      </c>
      <c r="B8" s="48">
        <v>679481</v>
      </c>
      <c r="C8" s="24" t="str">
        <f t="array" ref="C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2823 BLUE 2-C   (ED)</v>
      </c>
    </row>
    <row r="9" spans="1:3" ht="14.5" x14ac:dyDescent="0.35">
      <c r="A9" s="23">
        <f t="shared" si="0"/>
        <v>7</v>
      </c>
      <c r="B9" s="48">
        <v>520128</v>
      </c>
      <c r="C9" s="24" t="str">
        <f t="array" ref="C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0704 CIN 7-D   (ED)</v>
      </c>
    </row>
    <row r="10" spans="1:3" ht="14.5" x14ac:dyDescent="0.35">
      <c r="A10" s="23">
        <f t="shared" si="0"/>
        <v>8</v>
      </c>
      <c r="B10" s="48">
        <v>232818</v>
      </c>
      <c r="C10" s="24" t="str">
        <f t="array" ref="C1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3504 IND HLL D   (AV)</v>
      </c>
    </row>
    <row r="11" spans="1:3" ht="14.5" x14ac:dyDescent="0.35">
      <c r="A11" s="23">
        <f t="shared" si="0"/>
        <v>9</v>
      </c>
      <c r="B11" s="48">
        <v>86718</v>
      </c>
      <c r="C11" s="24" t="str">
        <f t="array" ref="C1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0804 CIN 8-D   (AV)</v>
      </c>
    </row>
    <row r="12" spans="1:3" ht="14.5" x14ac:dyDescent="0.35">
      <c r="A12" s="23">
        <f t="shared" si="0"/>
        <v>10</v>
      </c>
      <c r="B12" s="48">
        <v>132934</v>
      </c>
      <c r="C12" s="24" t="str">
        <f t="array" ref="C1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1505 CIN 15-E   (AV)</v>
      </c>
    </row>
    <row r="13" spans="1:3" ht="15" customHeight="1" x14ac:dyDescent="0.35">
      <c r="A13" s="23">
        <f t="shared" ref="A13:A43" si="1">ROW() -2</f>
        <v>11</v>
      </c>
      <c r="B13" s="47">
        <v>771125</v>
      </c>
      <c r="C13" s="24" t="str" cm="1">
        <f t="array" ref="C1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4932 SHAR 3-B   (ED)</v>
      </c>
    </row>
    <row r="14" spans="1:3" ht="15" customHeight="1" x14ac:dyDescent="0.35">
      <c r="A14" s="23">
        <f t="shared" si="1"/>
        <v>12</v>
      </c>
      <c r="B14" s="47">
        <v>781842</v>
      </c>
      <c r="C14" s="24" t="str" cm="1">
        <f t="array" ref="C1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5208 SPDALE H   (ED)</v>
      </c>
    </row>
    <row r="15" spans="1:3" ht="15" customHeight="1" x14ac:dyDescent="0.35">
      <c r="A15" s="23">
        <f t="shared" si="1"/>
        <v>13</v>
      </c>
      <c r="B15" s="47">
        <v>777568</v>
      </c>
      <c r="C15" s="24" t="str" cm="1">
        <f t="array" ref="C1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5204 SPDALE D   (ED)</v>
      </c>
    </row>
    <row r="16" spans="1:3" ht="15" customHeight="1" x14ac:dyDescent="0.35">
      <c r="A16" s="23">
        <f t="shared" si="1"/>
        <v>14</v>
      </c>
      <c r="B16" s="47">
        <v>745415</v>
      </c>
      <c r="C16" s="24" t="str" cm="1">
        <f t="array" ref="C1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4311 NCH 1-A   (ED)</v>
      </c>
    </row>
    <row r="17" spans="1:3" ht="15" customHeight="1" x14ac:dyDescent="0.35">
      <c r="A17" s="23">
        <f t="shared" si="1"/>
        <v>15</v>
      </c>
      <c r="B17" s="47">
        <v>674832</v>
      </c>
      <c r="C17" s="24" t="str" cm="1">
        <f t="array" ref="C1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2619 CIN 26-S   (ED)</v>
      </c>
    </row>
    <row r="18" spans="1:3" ht="15" customHeight="1" x14ac:dyDescent="0.35">
      <c r="A18" s="23">
        <f t="shared" si="1"/>
        <v>16</v>
      </c>
      <c r="B18" s="47">
        <v>417652</v>
      </c>
      <c r="C18" s="24" t="str" cm="1">
        <f t="array" ref="C1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8716 SPFLD P   (AV)</v>
      </c>
    </row>
    <row r="19" spans="1:3" ht="15" customHeight="1" x14ac:dyDescent="0.35">
      <c r="A19" s="23">
        <f t="shared" si="1"/>
        <v>17</v>
      </c>
      <c r="B19" s="47">
        <v>251300</v>
      </c>
      <c r="C19" s="24" t="str" cm="1">
        <f t="array" ref="C1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4007 MONT G   (AV)</v>
      </c>
    </row>
    <row r="20" spans="1:3" ht="15" customHeight="1" x14ac:dyDescent="0.35">
      <c r="A20" s="23">
        <f t="shared" si="1"/>
        <v>18</v>
      </c>
      <c r="B20" s="47">
        <v>889852</v>
      </c>
      <c r="C20" s="24" t="str" cm="1">
        <f t="array" ref="C2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7304 GREEN D   (ED)</v>
      </c>
    </row>
    <row r="21" spans="1:3" ht="15" customHeight="1" x14ac:dyDescent="0.35">
      <c r="A21" s="23">
        <f t="shared" si="1"/>
        <v>19</v>
      </c>
      <c r="B21" s="47">
        <v>612254</v>
      </c>
      <c r="C21" s="24" t="str" cm="1">
        <f t="array" ref="C2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2304 CIN 23-D   (ED)</v>
      </c>
    </row>
    <row r="22" spans="1:3" ht="15" customHeight="1" x14ac:dyDescent="0.35">
      <c r="A22" s="23">
        <f t="shared" si="1"/>
        <v>20</v>
      </c>
      <c r="B22" s="47">
        <v>517814</v>
      </c>
      <c r="C22" s="24" t="str" cm="1">
        <f t="array" ref="C2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0703 CIN 7-C   (ED)</v>
      </c>
    </row>
    <row r="23" spans="1:3" ht="15" customHeight="1" x14ac:dyDescent="0.35">
      <c r="A23" s="23">
        <f t="shared" si="1"/>
        <v>21</v>
      </c>
      <c r="B23" s="47">
        <v>141557</v>
      </c>
      <c r="C23" s="24" t="str" cm="1">
        <f t="array" ref="C2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1702 CIN 17-B   (AV)</v>
      </c>
    </row>
    <row r="24" spans="1:3" ht="15" customHeight="1" x14ac:dyDescent="0.35">
      <c r="A24" s="23">
        <f t="shared" si="1"/>
        <v>22</v>
      </c>
      <c r="B24" s="47">
        <v>938862</v>
      </c>
      <c r="C24" s="24" t="str" cm="1">
        <f t="array" ref="C2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8602 SILVT B   (ED)</v>
      </c>
    </row>
    <row r="25" spans="1:3" ht="15" customHeight="1" x14ac:dyDescent="0.35">
      <c r="A25" s="23">
        <f t="shared" si="1"/>
        <v>23</v>
      </c>
      <c r="B25" s="47">
        <v>811229</v>
      </c>
      <c r="C25" s="24" t="str" cm="1">
        <f t="array" ref="C2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5618 AND R   (ED)</v>
      </c>
    </row>
    <row r="26" spans="1:3" ht="15" customHeight="1" x14ac:dyDescent="0.35">
      <c r="A26" s="23">
        <f t="shared" si="1"/>
        <v>24</v>
      </c>
      <c r="B26" s="47">
        <v>155790</v>
      </c>
      <c r="C26" s="24" t="str" cm="1">
        <f t="array" ref="C2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2303 CIN 23-C   (AV)</v>
      </c>
    </row>
    <row r="27" spans="1:3" ht="15" customHeight="1" x14ac:dyDescent="0.35">
      <c r="A27" s="23">
        <f t="shared" si="1"/>
        <v>25</v>
      </c>
      <c r="B27" s="47">
        <v>268761</v>
      </c>
      <c r="C27" s="24" t="str" cm="1">
        <f t="array" ref="C2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4431 NORW 3-A   (AV)</v>
      </c>
    </row>
    <row r="28" spans="1:3" ht="15" customHeight="1" x14ac:dyDescent="0.35">
      <c r="A28" s="23">
        <f t="shared" si="1"/>
        <v>26</v>
      </c>
      <c r="B28" s="47">
        <v>850443</v>
      </c>
      <c r="C28" s="24" t="str" cm="1">
        <f t="array" ref="C2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5930 COLE DD   (ED)</v>
      </c>
    </row>
    <row r="29" spans="1:3" ht="15" customHeight="1" x14ac:dyDescent="0.35">
      <c r="A29" s="23">
        <f t="shared" si="1"/>
        <v>27</v>
      </c>
      <c r="B29" s="47">
        <v>455447</v>
      </c>
      <c r="C29" s="24" t="str" cm="1">
        <f t="array" ref="C2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0102 CIN 1-B   (ED)</v>
      </c>
    </row>
    <row r="30" spans="1:3" ht="15" customHeight="1" x14ac:dyDescent="0.35">
      <c r="A30" s="23">
        <f t="shared" si="1"/>
        <v>28</v>
      </c>
      <c r="B30" s="47">
        <v>941278</v>
      </c>
      <c r="C30" s="24" t="str" cm="1">
        <f t="array" ref="C3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8701 SPFLD A   (ED)</v>
      </c>
    </row>
    <row r="31" spans="1:3" ht="15" customHeight="1" x14ac:dyDescent="0.35">
      <c r="A31" s="23">
        <f t="shared" si="1"/>
        <v>29</v>
      </c>
      <c r="B31" s="47">
        <v>647066</v>
      </c>
      <c r="C31" s="24" t="str" cm="1">
        <f t="array" ref="C3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2505 CIN 25-E   (ED)</v>
      </c>
    </row>
    <row r="32" spans="1:3" ht="15" customHeight="1" x14ac:dyDescent="0.35">
      <c r="A32" s="23">
        <f t="shared" si="1"/>
        <v>30</v>
      </c>
      <c r="B32" s="47">
        <v>161404</v>
      </c>
      <c r="C32" s="24" t="str" cm="1">
        <f t="array" ref="C3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2308 CIN 23-H   (AV)</v>
      </c>
    </row>
    <row r="33" spans="1:3" ht="15" customHeight="1" x14ac:dyDescent="0.35">
      <c r="A33" s="23">
        <f t="shared" si="1"/>
        <v>31</v>
      </c>
      <c r="B33" s="47">
        <v>476570</v>
      </c>
      <c r="C33" s="24" t="str" cm="1">
        <f t="array" ref="C3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0206 CIN 2-F   (ED)</v>
      </c>
    </row>
    <row r="34" spans="1:3" ht="15" customHeight="1" x14ac:dyDescent="0.35">
      <c r="A34" s="23">
        <f t="shared" si="1"/>
        <v>32</v>
      </c>
      <c r="B34" s="47">
        <v>438690</v>
      </c>
      <c r="C34" s="24" t="str" cm="1">
        <f t="array" ref="C3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8911 SYCAM K   (AV)</v>
      </c>
    </row>
    <row r="35" spans="1:3" ht="15" customHeight="1" x14ac:dyDescent="0.35">
      <c r="A35" s="23">
        <f t="shared" si="1"/>
        <v>33</v>
      </c>
      <c r="B35" s="47">
        <v>475916</v>
      </c>
      <c r="C35" s="24" t="str" cm="1">
        <f t="array" ref="C3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0206 CIN 2-F   (ED)</v>
      </c>
    </row>
    <row r="36" spans="1:3" ht="15" customHeight="1" x14ac:dyDescent="0.35">
      <c r="A36" s="23">
        <f t="shared" si="1"/>
        <v>34</v>
      </c>
      <c r="B36" s="47">
        <v>275981</v>
      </c>
      <c r="C36" s="24" t="str" cm="1">
        <f t="array" ref="C3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4631 READ 3-A   (AV)</v>
      </c>
    </row>
    <row r="37" spans="1:3" ht="15" customHeight="1" x14ac:dyDescent="0.35">
      <c r="A37" s="23">
        <f t="shared" si="1"/>
        <v>35</v>
      </c>
      <c r="B37" s="47">
        <v>477187</v>
      </c>
      <c r="C37" s="24" t="str" cm="1">
        <f t="array" ref="C3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0206 CIN 2-F   (ED)</v>
      </c>
    </row>
    <row r="38" spans="1:3" ht="15" customHeight="1" x14ac:dyDescent="0.35">
      <c r="A38" s="23">
        <f t="shared" si="1"/>
        <v>36</v>
      </c>
      <c r="B38" s="47">
        <v>580133</v>
      </c>
      <c r="C38" s="24" t="str" cm="1">
        <f t="array" ref="C3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1508 CIN 15-H   (ED)</v>
      </c>
    </row>
    <row r="39" spans="1:3" ht="15" customHeight="1" x14ac:dyDescent="0.35">
      <c r="A39" s="23">
        <f t="shared" si="1"/>
        <v>37</v>
      </c>
      <c r="B39" s="47">
        <v>979879</v>
      </c>
      <c r="C39" s="24" t="str" cm="1">
        <f t="array" ref="C3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8911 SYCAM K   (ED)</v>
      </c>
    </row>
    <row r="40" spans="1:3" ht="15" customHeight="1" x14ac:dyDescent="0.35">
      <c r="A40" s="23">
        <f t="shared" si="1"/>
        <v>38</v>
      </c>
      <c r="B40" s="47">
        <v>997353</v>
      </c>
      <c r="C40" s="24" t="str" cm="1">
        <f t="array" ref="C4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9701 WOOD A   (ED)</v>
      </c>
    </row>
    <row r="41" spans="1:3" ht="15" customHeight="1" x14ac:dyDescent="0.35">
      <c r="A41" s="23">
        <f t="shared" si="1"/>
        <v>39</v>
      </c>
      <c r="B41" s="47">
        <v>974225</v>
      </c>
      <c r="C41" s="24" t="str" cm="1">
        <f t="array" ref="C4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8903 SYCAM C   (ED)</v>
      </c>
    </row>
    <row r="42" spans="1:3" ht="15" customHeight="1" x14ac:dyDescent="0.35">
      <c r="A42" s="23">
        <f t="shared" si="1"/>
        <v>40</v>
      </c>
      <c r="B42" s="47">
        <v>28403</v>
      </c>
      <c r="C42" s="24" t="str" cm="1">
        <f t="array" ref="C4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0211 CIN 2-K   (AV)</v>
      </c>
    </row>
    <row r="43" spans="1:3" ht="15" customHeight="1" x14ac:dyDescent="0.35">
      <c r="A43" s="23">
        <f t="shared" si="1"/>
        <v>41</v>
      </c>
      <c r="B43" s="47">
        <v>204569</v>
      </c>
      <c r="C43" s="24" t="str" cm="1">
        <f t="array" ref="C4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2823 BLUE 2-C   (AV)</v>
      </c>
    </row>
    <row r="44" spans="1:3" ht="15" customHeight="1" x14ac:dyDescent="0.35">
      <c r="A44" s="23">
        <f>ROW() -2</f>
        <v>42</v>
      </c>
      <c r="B44" s="47">
        <v>397518</v>
      </c>
      <c r="C44" s="24" t="str" cm="1">
        <f t="array" ref="C4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8307 MIAMI G   (AV)</v>
      </c>
    </row>
  </sheetData>
  <mergeCells count="1">
    <mergeCell ref="A1:C1"/>
  </mergeCells>
  <printOptions horizontalCentered="1"/>
  <pageMargins left="0.7" right="0.7" top="0.75" bottom="0.75" header="0.3" footer="0.3"/>
  <pageSetup fitToHeight="0" orientation="portrait" r:id="rId1"/>
  <headerFooter>
    <oddFooter>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BO1129"/>
  <sheetViews>
    <sheetView zoomScaleNormal="100" zoomScalePageLayoutView="80" workbookViewId="0">
      <pane ySplit="4" topLeftCell="A28" activePane="bottomLeft" state="frozen"/>
      <selection pane="bottomLeft" activeCell="Q28" sqref="Q28:Q1127"/>
    </sheetView>
  </sheetViews>
  <sheetFormatPr defaultRowHeight="15" customHeight="1" x14ac:dyDescent="0.35"/>
  <cols>
    <col min="1" max="1" width="12.81640625" customWidth="1"/>
    <col min="2" max="2" width="39.453125" bestFit="1" customWidth="1"/>
    <col min="3" max="3" width="14.26953125" customWidth="1"/>
    <col min="4" max="4" width="17.54296875" customWidth="1"/>
    <col min="5" max="6" width="15.7265625" hidden="1" customWidth="1"/>
    <col min="7" max="7" width="14.54296875" hidden="1" customWidth="1"/>
    <col min="8" max="8" width="15.453125" hidden="1" customWidth="1"/>
    <col min="9" max="9" width="17.26953125" hidden="1" customWidth="1"/>
    <col min="10" max="10" width="16.26953125" hidden="1" customWidth="1"/>
    <col min="11" max="11" width="16.1796875" hidden="1" customWidth="1"/>
    <col min="12" max="12" width="16.54296875" hidden="1" customWidth="1"/>
    <col min="13" max="13" width="15.54296875" hidden="1" customWidth="1"/>
    <col min="14" max="14" width="15.81640625" hidden="1" customWidth="1"/>
    <col min="15" max="15" width="13.1796875" customWidth="1"/>
    <col min="16" max="16" width="12.7265625" customWidth="1"/>
    <col min="17" max="17" width="13" customWidth="1"/>
    <col min="18" max="18" width="12.453125" customWidth="1"/>
    <col min="19" max="19" width="14.26953125" customWidth="1"/>
    <col min="20" max="20" width="17.54296875" customWidth="1"/>
    <col min="21" max="21" width="15.26953125" hidden="1" customWidth="1"/>
    <col min="22" max="22" width="16.1796875" hidden="1" customWidth="1"/>
    <col min="23" max="23" width="15.7265625" hidden="1" customWidth="1"/>
    <col min="24" max="24" width="15.26953125" hidden="1" customWidth="1"/>
    <col min="25" max="25" width="15.7265625" hidden="1" customWidth="1"/>
    <col min="26" max="26" width="15.54296875" hidden="1" customWidth="1"/>
    <col min="27" max="28" width="14.453125" hidden="1" customWidth="1"/>
    <col min="29" max="30" width="15.1796875" hidden="1" customWidth="1"/>
    <col min="31" max="31" width="14.81640625" hidden="1" customWidth="1"/>
    <col min="32" max="32" width="14.26953125" hidden="1" customWidth="1"/>
    <col min="33" max="34" width="15.453125" hidden="1" customWidth="1"/>
    <col min="35" max="35" width="14.81640625" hidden="1" customWidth="1"/>
    <col min="36" max="37" width="14.54296875" hidden="1" customWidth="1"/>
    <col min="38" max="42" width="14.7265625" hidden="1" customWidth="1"/>
    <col min="43" max="44" width="16.1796875" hidden="1" customWidth="1"/>
    <col min="45" max="45" width="15.453125" customWidth="1"/>
    <col min="46" max="47" width="20.453125" hidden="1" customWidth="1"/>
    <col min="48" max="48" width="18.1796875" hidden="1" customWidth="1"/>
    <col min="49" max="49" width="20.7265625" hidden="1" customWidth="1"/>
    <col min="50" max="52" width="21" hidden="1" customWidth="1"/>
    <col min="53" max="57" width="20.453125" hidden="1" customWidth="1"/>
    <col min="58" max="58" width="14.54296875" hidden="1" customWidth="1"/>
    <col min="59" max="59" width="21.54296875" hidden="1" customWidth="1"/>
    <col min="60" max="60" width="15.1796875" hidden="1" customWidth="1"/>
    <col min="61" max="61" width="18.453125" hidden="1" customWidth="1"/>
    <col min="62" max="62" width="16.7265625" hidden="1" customWidth="1"/>
    <col min="63" max="63" width="15.1796875" customWidth="1"/>
    <col min="64" max="64" width="12.7265625" customWidth="1"/>
    <col min="65" max="65" width="11" hidden="1" customWidth="1"/>
    <col min="66" max="66" width="34.54296875" customWidth="1"/>
    <col min="67" max="67" width="12.7265625" customWidth="1"/>
    <col min="68" max="68" width="18" customWidth="1"/>
    <col min="69" max="69" width="26.453125" bestFit="1" customWidth="1"/>
    <col min="70" max="70" width="4.7265625" bestFit="1" customWidth="1"/>
  </cols>
  <sheetData>
    <row r="1" spans="1:67" ht="15" customHeight="1" x14ac:dyDescent="0.35">
      <c r="A1" s="124" t="str">
        <f ca="1">MID(CELL("filename",$A$4), FIND("]", CELL("filename",$A$4)) + 1, 255)</f>
        <v>Audit</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46">
        <f>'General Info'!$B$12</f>
        <v>0.9</v>
      </c>
    </row>
    <row r="2" spans="1:67" ht="15" customHeight="1" x14ac:dyDescent="0.35">
      <c r="A2" s="121" t="s">
        <v>99</v>
      </c>
      <c r="B2" s="122"/>
      <c r="C2" s="122"/>
      <c r="D2" s="122"/>
      <c r="E2" s="122"/>
      <c r="F2" s="122"/>
      <c r="G2" s="122"/>
      <c r="H2" s="122"/>
      <c r="I2" s="122"/>
      <c r="J2" s="122"/>
      <c r="K2" s="122"/>
      <c r="L2" s="122"/>
      <c r="M2" s="122"/>
      <c r="N2" s="122"/>
      <c r="O2" s="122"/>
      <c r="P2" s="122"/>
      <c r="Q2" s="122"/>
      <c r="R2" s="123"/>
      <c r="S2" s="126" t="s">
        <v>98</v>
      </c>
      <c r="T2" s="127"/>
      <c r="U2" s="127"/>
      <c r="V2" s="127"/>
      <c r="W2" s="127"/>
      <c r="X2" s="127"/>
      <c r="Y2" s="127"/>
      <c r="Z2" s="128"/>
      <c r="AA2" s="91"/>
      <c r="AB2" s="91"/>
      <c r="AC2" s="91"/>
      <c r="AD2" s="91"/>
      <c r="AE2" s="121" t="s">
        <v>99</v>
      </c>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3"/>
      <c r="BN2" s="27" t="s">
        <v>98</v>
      </c>
    </row>
    <row r="3" spans="1:67" ht="87" x14ac:dyDescent="0.35">
      <c r="A3" s="33" t="s">
        <v>97</v>
      </c>
      <c r="B3" s="33" t="s">
        <v>64</v>
      </c>
      <c r="C3" s="33" t="str">
        <f>IF(ISBLANK('General Info'!$B$27), "UNDEFINED", 'General Info'!$B$27 &amp; "
(Declared Winner)")</f>
        <v>Rich Moore
(Declared Winner)</v>
      </c>
      <c r="D3" s="33" t="str">
        <f>IF(ISBLANK('General Info'!$B$28),"UNDEFINED",'General Info'!$B$28&amp;"
(Declared Loser)")</f>
        <v>Robert A. Goering
(Declared Loser)</v>
      </c>
      <c r="E3" s="33" t="str">
        <f>IF(ISBLANK('General Info'!$B$29), "UNDEFINED", 'General Info'!$B$29)</f>
        <v>UNDEFINED</v>
      </c>
      <c r="F3" s="33" t="str">
        <f>IF(ISBLANK('General Info'!$B$30), "UNDEFINED",'General Info'!$B$30)</f>
        <v>UNDEFINED</v>
      </c>
      <c r="G3" s="33" t="str">
        <f>IF(ISBLANK('General Info'!$B$31), "UNDEFINED",'General Info'!$B$31)</f>
        <v>UNDEFINED</v>
      </c>
      <c r="H3" s="82" t="str">
        <f>IF(ISBLANK('General Info'!$B$31), "UNDEFINED",'General Info'!$B$32)</f>
        <v>UNDEFINED</v>
      </c>
      <c r="I3" s="33" t="str">
        <f>IF(ISBLANK('General Info'!$B$31), "UNDEFINED",'General Info'!$B$33)</f>
        <v>UNDEFINED</v>
      </c>
      <c r="J3" s="33" t="str">
        <f>IF(ISBLANK('General Info'!$B$34), "UNDEFINED",'General Info'!$B$34)</f>
        <v>UNDEFINED</v>
      </c>
      <c r="K3" s="33" t="str">
        <f>IF(ISBLANK('General Info'!$B$35), "UNDEFINED",'General Info'!$B$35)</f>
        <v>UNDEFINED</v>
      </c>
      <c r="L3" s="33" t="str">
        <f>IF(ISBLANK('General Info'!$B$36), "UNDEFINED",'General Info'!$B$36)</f>
        <v>UNDEFINED</v>
      </c>
      <c r="M3" s="33" t="str">
        <f>IF(ISBLANK('General Info'!$B$37), "UNDEFINED",'General Info'!$B$37)</f>
        <v>UNDEFINED</v>
      </c>
      <c r="N3" s="33" t="str">
        <f>IF(ISBLANK('General Info'!$B$38), "UNDEFINED",'General Info'!$B$38)</f>
        <v>UNDEFINED</v>
      </c>
      <c r="O3" s="35" t="s">
        <v>6</v>
      </c>
      <c r="P3" s="35" t="s">
        <v>7</v>
      </c>
      <c r="Q3" s="35" t="s">
        <v>0</v>
      </c>
      <c r="R3" s="35" t="s">
        <v>66</v>
      </c>
      <c r="S3" s="27" t="str">
        <f>"Audit
" &amp; IF(ISBLANK('General Info'!$B$27), "UNDEFINED", 'General Info'!$B$27 &amp; "
(Winner)")</f>
        <v>Audit
Rich Moore
(Winner)</v>
      </c>
      <c r="T3" s="27" t="str">
        <f>"Audit
" &amp; IF(ISBLANK('General Info'!$B$28),"UNDEFINED",'General Info'!$B$28&amp;"
(Loser)")</f>
        <v>Audit
Robert A. Goering
(Loser)</v>
      </c>
      <c r="U3" s="27" t="str">
        <f>"Audit
" &amp; IF(ISBLANK('General Info'!$B$29), "UNDEFINED", 'General Info'!$B$29)</f>
        <v>Audit
UNDEFINED</v>
      </c>
      <c r="V3" s="27" t="str">
        <f>"Audit
" &amp; IF(ISBLANK('General Info'!$B$30), "UNDEFINED",'General Info'!$B$30)</f>
        <v>Audit
UNDEFINED</v>
      </c>
      <c r="W3" s="27" t="str">
        <f>"Audit
" &amp; IF(ISBLANK('General Info'!$B$31), "UNDEFINED",'General Info'!$B$31)</f>
        <v>Audit
UNDEFINED</v>
      </c>
      <c r="X3" s="27" t="str">
        <f>"Audit
" &amp; IF(ISBLANK('General Info'!$B$32), "UNDEFINED",'General Info'!$B$32)</f>
        <v>Audit
UNDEFINED</v>
      </c>
      <c r="Y3" s="27" t="str">
        <f>"Audit
" &amp; IF(ISBLANK('General Info'!$B$33), "UNDEFINED",'General Info'!$B$33)</f>
        <v>Audit
UNDEFINED</v>
      </c>
      <c r="Z3" s="27" t="str">
        <f>"Audit
" &amp; IF(ISBLANK('General Info'!$B$34), "UNDEFINED",'General Info'!$B$34)</f>
        <v>Audit
UNDEFINED</v>
      </c>
      <c r="AA3" s="27" t="str">
        <f>"Audit
" &amp; IF(ISBLANK('General Info'!$B$35), "UNDEFINED",'General Info'!$B$35)</f>
        <v>Audit
UNDEFINED</v>
      </c>
      <c r="AB3" s="27" t="str">
        <f>"Audit
" &amp; IF(ISBLANK('General Info'!$B$36), "UNDEFINED",'General Info'!$B$36)</f>
        <v>Audit
UNDEFINED</v>
      </c>
      <c r="AC3" s="27" t="str">
        <f>"Audit
" &amp; IF(ISBLANK('General Info'!$B$37), "UNDEFINED",'General Info'!$B$37)</f>
        <v>Audit
UNDEFINED</v>
      </c>
      <c r="AD3" s="27" t="str">
        <f>"Audit
" &amp; IF(ISBLANK('General Info'!$B$38), "UNDEFINED",'General Info'!$B$38)</f>
        <v>Audit
UNDEFINED</v>
      </c>
      <c r="AE3" s="42" t="str">
        <f>"Difference
" &amp; IF(ISBLANK('General Info'!$B$27), "UNDEFINED", 'General Info'!$B$27 &amp; "
(Winner)")</f>
        <v>Difference
Rich Moore
(Winner)</v>
      </c>
      <c r="AF3" s="42" t="str">
        <f>"Difference
" &amp; IF(ISBLANK('General Info'!$B$28),"UNDEFINED",'General Info'!$B$28&amp;"
(Loser)")</f>
        <v>Difference
Robert A. Goering
(Loser)</v>
      </c>
      <c r="AG3" s="42" t="str">
        <f>"Difference
" &amp; IF(ISBLANK('General Info'!$B$29), "UNDEFINED", 'General Info'!$B$29)</f>
        <v>Difference
UNDEFINED</v>
      </c>
      <c r="AH3" s="42" t="str">
        <f>"Difference
" &amp; IF(ISBLANK('General Info'!$B$30), "UNDEFINED",'General Info'!$B$30)</f>
        <v>Difference
UNDEFINED</v>
      </c>
      <c r="AI3" s="42" t="str">
        <f>"Difference
" &amp; IF(ISBLANK('General Info'!$B$31), "UNDEFINED",'General Info'!$B$31)</f>
        <v>Difference
UNDEFINED</v>
      </c>
      <c r="AJ3" s="42" t="str">
        <f>"Difference
" &amp; IF(ISBLANK('General Info'!$B$32), "UNDEFINED",'General Info'!$B$32)</f>
        <v>Difference
UNDEFINED</v>
      </c>
      <c r="AK3" s="42" t="str">
        <f>"Difference
" &amp; IF(ISBLANK('General Info'!$B$33), "UNDEFINED",'General Info'!$B$33)</f>
        <v>Difference
UNDEFINED</v>
      </c>
      <c r="AL3" s="42" t="str">
        <f>"Difference
" &amp; IF(ISBLANK('General Info'!$B$34), "UNDEFINED",'General Info'!$B$34)</f>
        <v>Difference
UNDEFINED</v>
      </c>
      <c r="AM3" s="42" t="str">
        <f>"Difference
" &amp; IF(ISBLANK('General Info'!$B$35), "UNDEFINED",'General Info'!$B$35)</f>
        <v>Difference
UNDEFINED</v>
      </c>
      <c r="AN3" s="42" t="str">
        <f>"Difference
" &amp; IF(ISBLANK('General Info'!$B$36), "UNDEFINED",'General Info'!$B$36)</f>
        <v>Difference
UNDEFINED</v>
      </c>
      <c r="AO3" s="42" t="str">
        <f>"Difference
" &amp; IF(ISBLANK('General Info'!$B$37), "UNDEFINED",'General Info'!$B$37)</f>
        <v>Difference
UNDEFINED</v>
      </c>
      <c r="AP3" s="42" t="str">
        <f>"Difference
" &amp; IF(ISBLANK('General Info'!$B$38), "UNDEFINED",'General Info'!$B$38)</f>
        <v>Difference
UNDEFINED</v>
      </c>
      <c r="AQ3" s="42" t="s">
        <v>35</v>
      </c>
      <c r="AR3" s="42" t="s">
        <v>36</v>
      </c>
      <c r="AS3" s="43" t="s">
        <v>37</v>
      </c>
      <c r="AT3" s="33" t="s">
        <v>65</v>
      </c>
      <c r="AU3" s="42" t="str">
        <f>IF(ISBLANK('General Info'!$B$28),"UNDEFINED","Relative Error (ep) - 
Error Rate as a proportion of the margin of victory for "&amp;'General Info'!$B$28&amp;" (Loser)")</f>
        <v>Relative Error (ep) - 
Error Rate as a proportion of the margin of victory for Robert A. Goering (Loser)</v>
      </c>
      <c r="AV3" s="42" t="str">
        <f>"Relative Error (ep) - " &amp; IF(ISBLANK('General Info'!$B$29),"UNDEFINED","Error Rate as a proportion of the margin of victory for " &amp; 'General Info'!$B$29)</f>
        <v>Relative Error (ep) - UNDEFINED</v>
      </c>
      <c r="AW3" s="42" t="str">
        <f>"Relative Error (ep) - " &amp; IF(ISBLANK('General Info'!$B$30),"UNDEFINED","Error Rate as a proportion of the margin of victory for " &amp; 'General Info'!$B$30)</f>
        <v>Relative Error (ep) - UNDEFINED</v>
      </c>
      <c r="AX3" s="42" t="str">
        <f>"Relative Error (ep) - " &amp; IF(ISBLANK('General Info'!$B$31),"UNDEFINED","Error Rate as a proportion of the margin of victory for " &amp; 'General Info'!$B$31)</f>
        <v>Relative Error (ep) - UNDEFINED</v>
      </c>
      <c r="AY3" s="42" t="str">
        <f>"Relative Error (ep) - " &amp; IF(ISBLANK('General Info'!$B$32),"UNDEFINED","Error Rate as a proportion of the margin of victory for " &amp; 'General Info'!$B$32)</f>
        <v>Relative Error (ep) - UNDEFINED</v>
      </c>
      <c r="AZ3" s="42" t="str">
        <f>"Relative Error (ep) - " &amp; IF(ISBLANK('General Info'!$B$33),"UNDEFINED","Error Rate as a proportion of the margin of victory for " &amp; 'General Info'!$B$33)</f>
        <v>Relative Error (ep) - UNDEFINED</v>
      </c>
      <c r="BA3" s="42" t="str">
        <f>"Relative Error (ep) - " &amp; IF(ISBLANK('General Info'!$B$34),"UNDEFINED","Error Rate as a proportion of the margin of victory for " &amp; 'General Info'!$B$34)</f>
        <v>Relative Error (ep) - UNDEFINED</v>
      </c>
      <c r="BB3" s="42" t="str">
        <f>"Relative Error (ep) - " &amp; IF(ISBLANK('General Info'!$B$35),"UNDEFINED","Error Rate as a proportion of the margin of victory for " &amp; 'General Info'!$B$35)</f>
        <v>Relative Error (ep) - UNDEFINED</v>
      </c>
      <c r="BC3" s="42" t="str">
        <f>"Relative Error (ep) - " &amp; IF(ISBLANK('General Info'!$B$36),"UNDEFINED","Error Rate as a proportion of the margin of victory for " &amp; 'General Info'!$B$36)</f>
        <v>Relative Error (ep) - UNDEFINED</v>
      </c>
      <c r="BD3" s="42" t="str">
        <f>"Relative Error (ep) - " &amp; IF(ISBLANK('General Info'!$B$37),"UNDEFINED","Error Rate as a proportion of the margin of victory for " &amp; 'General Info'!$B$37)</f>
        <v>Relative Error (ep) - UNDEFINED</v>
      </c>
      <c r="BE3" s="42" t="str">
        <f>"Relative Error (ep) - " &amp; IF(ISBLANK('General Info'!$B$38),"UNDEFINED","Error Rate as a proportion of the margin of victory for " &amp; 'General Info'!$B$38)</f>
        <v>Relative Error (ep) - UNDEFINED</v>
      </c>
      <c r="BF3" s="42" t="s">
        <v>92</v>
      </c>
      <c r="BG3" s="42" t="s">
        <v>67</v>
      </c>
      <c r="BH3" s="42" t="s">
        <v>1</v>
      </c>
      <c r="BI3" s="42" t="s">
        <v>3</v>
      </c>
      <c r="BJ3" s="42" t="s">
        <v>2</v>
      </c>
      <c r="BK3" s="44" t="s">
        <v>17</v>
      </c>
      <c r="BL3" s="42" t="s">
        <v>4</v>
      </c>
      <c r="BM3" s="42" t="s">
        <v>38</v>
      </c>
      <c r="BN3" s="45" t="s">
        <v>43</v>
      </c>
    </row>
    <row r="4" spans="1:67" s="1" customFormat="1" ht="18.75" customHeight="1" x14ac:dyDescent="0.35">
      <c r="A4" s="34" t="s">
        <v>96</v>
      </c>
      <c r="B4" s="34" t="s">
        <v>55</v>
      </c>
      <c r="C4" s="36" t="s">
        <v>47</v>
      </c>
      <c r="D4" s="36" t="s">
        <v>61</v>
      </c>
      <c r="E4" s="36" t="s">
        <v>62</v>
      </c>
      <c r="F4" s="36" t="s">
        <v>63</v>
      </c>
      <c r="G4" s="36" t="s">
        <v>52</v>
      </c>
      <c r="H4" s="85" t="s">
        <v>53</v>
      </c>
      <c r="I4" s="36" t="s">
        <v>167</v>
      </c>
      <c r="J4" s="36" t="s">
        <v>166</v>
      </c>
      <c r="K4" s="36" t="s">
        <v>188</v>
      </c>
      <c r="L4" s="36" t="s">
        <v>189</v>
      </c>
      <c r="M4" s="36" t="s">
        <v>190</v>
      </c>
      <c r="N4" s="36" t="s">
        <v>191</v>
      </c>
      <c r="O4" s="36" t="s">
        <v>6</v>
      </c>
      <c r="P4" s="36" t="s">
        <v>7</v>
      </c>
      <c r="Q4" s="36" t="s">
        <v>0</v>
      </c>
      <c r="R4" s="36" t="s">
        <v>58</v>
      </c>
      <c r="S4" s="37" t="s">
        <v>69</v>
      </c>
      <c r="T4" s="37" t="s">
        <v>68</v>
      </c>
      <c r="U4" s="37" t="s">
        <v>70</v>
      </c>
      <c r="V4" s="37" t="s">
        <v>71</v>
      </c>
      <c r="W4" s="37" t="s">
        <v>72</v>
      </c>
      <c r="X4" s="37" t="s">
        <v>73</v>
      </c>
      <c r="Y4" s="37" t="s">
        <v>171</v>
      </c>
      <c r="Z4" s="37" t="s">
        <v>170</v>
      </c>
      <c r="AA4" s="37" t="s">
        <v>196</v>
      </c>
      <c r="AB4" s="37" t="s">
        <v>197</v>
      </c>
      <c r="AC4" s="37" t="s">
        <v>198</v>
      </c>
      <c r="AD4" s="37" t="s">
        <v>199</v>
      </c>
      <c r="AE4" s="38" t="s">
        <v>34</v>
      </c>
      <c r="AF4" s="38" t="s">
        <v>33</v>
      </c>
      <c r="AG4" s="38" t="s">
        <v>76</v>
      </c>
      <c r="AH4" s="38" t="s">
        <v>77</v>
      </c>
      <c r="AI4" s="38" t="s">
        <v>78</v>
      </c>
      <c r="AJ4" s="38" t="s">
        <v>79</v>
      </c>
      <c r="AK4" s="38" t="s">
        <v>175</v>
      </c>
      <c r="AL4" s="38" t="s">
        <v>174</v>
      </c>
      <c r="AM4" s="38" t="s">
        <v>200</v>
      </c>
      <c r="AN4" s="38" t="s">
        <v>201</v>
      </c>
      <c r="AO4" s="38" t="s">
        <v>202</v>
      </c>
      <c r="AP4" s="38" t="s">
        <v>203</v>
      </c>
      <c r="AQ4" s="38" t="s">
        <v>35</v>
      </c>
      <c r="AR4" s="38" t="s">
        <v>36</v>
      </c>
      <c r="AS4" s="39" t="s">
        <v>37</v>
      </c>
      <c r="AT4" s="34" t="s">
        <v>56</v>
      </c>
      <c r="AU4" s="32" t="s">
        <v>80</v>
      </c>
      <c r="AV4" s="32" t="s">
        <v>81</v>
      </c>
      <c r="AW4" s="32" t="s">
        <v>82</v>
      </c>
      <c r="AX4" s="32" t="s">
        <v>83</v>
      </c>
      <c r="AY4" s="32" t="s">
        <v>178</v>
      </c>
      <c r="AZ4" s="32" t="s">
        <v>177</v>
      </c>
      <c r="BA4" s="32" t="s">
        <v>176</v>
      </c>
      <c r="BB4" s="32" t="s">
        <v>204</v>
      </c>
      <c r="BC4" s="32" t="s">
        <v>205</v>
      </c>
      <c r="BD4" s="32" t="s">
        <v>206</v>
      </c>
      <c r="BE4" s="32" t="s">
        <v>207</v>
      </c>
      <c r="BF4" s="32" t="s">
        <v>92</v>
      </c>
      <c r="BG4" s="32" t="s">
        <v>84</v>
      </c>
      <c r="BH4" s="32" t="s">
        <v>1</v>
      </c>
      <c r="BI4" s="32" t="s">
        <v>74</v>
      </c>
      <c r="BJ4" s="32" t="s">
        <v>2</v>
      </c>
      <c r="BK4" s="40" t="s">
        <v>17</v>
      </c>
      <c r="BL4" s="32" t="s">
        <v>75</v>
      </c>
      <c r="BM4" s="32" t="s">
        <v>38</v>
      </c>
      <c r="BN4" s="41" t="s">
        <v>43</v>
      </c>
    </row>
    <row r="5" spans="1:67" ht="14.5" hidden="1" x14ac:dyDescent="0.35">
      <c r="A5" s="77" t="str">
        <f>'Sampling Data'!AI5</f>
        <v/>
      </c>
      <c r="B5" s="77" t="str">
        <f>'Sampling Data'!A5</f>
        <v>0101 CIN 1-A   (AV)</v>
      </c>
      <c r="C5" s="77">
        <f>'Sampling Data'!B5</f>
        <v>30</v>
      </c>
      <c r="D5" s="77">
        <f>'Sampling Data'!C5</f>
        <v>46</v>
      </c>
      <c r="E5" s="78">
        <f>'Sampling Data'!D5</f>
        <v>0</v>
      </c>
      <c r="F5" s="78">
        <f>'Sampling Data'!E5</f>
        <v>0</v>
      </c>
      <c r="G5" s="78">
        <f>'Sampling Data'!F5</f>
        <v>0</v>
      </c>
      <c r="H5" s="18">
        <f>'Sampling Data'!G5</f>
        <v>0</v>
      </c>
      <c r="I5" s="18">
        <f>'Sampling Data'!H5</f>
        <v>0</v>
      </c>
      <c r="J5" s="78">
        <f>'Sampling Data'!I5</f>
        <v>0</v>
      </c>
      <c r="K5" s="78">
        <f>'Sampling Data'!J5</f>
        <v>0</v>
      </c>
      <c r="L5" s="78">
        <f>'Sampling Data'!K5</f>
        <v>0</v>
      </c>
      <c r="M5" s="78">
        <f>'Sampling Data'!L5</f>
        <v>0</v>
      </c>
      <c r="N5" s="78">
        <f>'Sampling Data'!M5</f>
        <v>0</v>
      </c>
      <c r="O5" s="77">
        <f>'Sampling Data'!N5</f>
        <v>0</v>
      </c>
      <c r="P5" s="77">
        <f>'Sampling Data'!O5</f>
        <v>2</v>
      </c>
      <c r="Q5" s="77">
        <f>'Sampling Data'!P5</f>
        <v>78</v>
      </c>
      <c r="R5" s="77">
        <f>'Sampling Data'!AJ5</f>
        <v>0</v>
      </c>
      <c r="S5" s="79"/>
      <c r="T5" s="79"/>
      <c r="U5" s="80"/>
      <c r="V5" s="80"/>
      <c r="W5" s="79"/>
      <c r="X5" s="79"/>
      <c r="Y5" s="79"/>
      <c r="Z5" s="79"/>
      <c r="AA5" s="79"/>
      <c r="AB5" s="79"/>
      <c r="AC5" s="79"/>
      <c r="AD5" s="79"/>
      <c r="AE5" s="77" t="str">
        <f>IF(NOT(ISBLANK(Audit[[#This Row],[Audit Winning Candidate]])), Audit[[#This Row],[Audit Winning Candidate]]-Audit[[#This Row],[Winning Candidate]], "")</f>
        <v/>
      </c>
      <c r="AF5" s="77" t="str">
        <f>IF(NOT(ISBLANK(Audit[[#This Row],[Audit Losing Candidate]])), Audit[[#This Row],[Audit Losing Candidate]]-Audit[[#This Row],[Losing Candidate]], "")</f>
        <v/>
      </c>
      <c r="AG5" s="77" t="str">
        <f>IF(NOT(ISBLANK(Audit[[#This Row],[Audit Candidate 3]])), Audit[[#This Row],[Audit Candidate 3]]-Audit[[#This Row],[Candidate 3]], "")</f>
        <v/>
      </c>
      <c r="AH5" s="77" t="str">
        <f>IF(NOT(ISBLANK(Audit[[#This Row],[Audit Candidate 4]])),Audit[[#This Row],[Audit Candidate 4]]-Audit[[#This Row],[Candidate 4]], "")</f>
        <v/>
      </c>
      <c r="AI5" s="77" t="str">
        <f>IF(NOT(ISBLANK(Audit[[#This Row],[Audit Candidate 5]])), Audit[[#This Row],[Audit Candidate 5]]-Audit[[#This Row],[Candidate 5]], "")</f>
        <v/>
      </c>
      <c r="AJ5" s="17" t="str">
        <f>IF(NOT(ISBLANK(Audit[[#This Row],[Audit Candidate 6]])), Audit[[#This Row],[Audit Candidate 6]]-Audit[[#This Row],[Candidate 6]], "")</f>
        <v/>
      </c>
      <c r="AK5" s="17" t="str">
        <f>IF(NOT(ISBLANK(Audit[[#This Row],[Audit Candidate 7]])), Audit[[#This Row],[Audit Candidate 7]]-Audit[[#This Row],[Candidate 7]], "")</f>
        <v/>
      </c>
      <c r="AL5" s="77" t="str">
        <f>IF(NOT(ISBLANK(Audit[[#This Row],[Audit Candidate 8]])), Audit[[#This Row],[Audit Candidate 8]]-Audit[[#This Row],[Candidate 8]], "")</f>
        <v/>
      </c>
      <c r="AM5" s="77" t="str">
        <f>IF(NOT(ISBLANK(Audit[[#This Row],[Audit Candidate 9]])), Audit[[#This Row],[Audit Candidate 9]]-Audit[[#This Row],[Candidate 9]], "")</f>
        <v/>
      </c>
      <c r="AN5" s="77" t="str">
        <f>IF(NOT(ISBLANK(Audit[[#This Row],[Audit Candidate 10]])), Audit[[#This Row],[Audit Candidate 10]]-Audit[[#This Row],[Candidate 10]], "")</f>
        <v/>
      </c>
      <c r="AO5" s="77" t="str">
        <f>IF(NOT(ISBLANK(Audit[[#This Row],[Audit Candidate 11]])), Audit[[#This Row],[Audit Candidate 11]]-Audit[[#This Row],[Candidate 11]], "")</f>
        <v/>
      </c>
      <c r="AP5" s="77" t="str">
        <f>IF(NOT(ISBLANK(Audit[[#This Row],[Audit Candidate 12]])), Audit[[#This Row],[Audit Candidate 12]]-Audit[[#This Row],[Candidate 12]], "")</f>
        <v/>
      </c>
      <c r="AQ5" s="77">
        <f>SUMIF(Audit[[#This Row],[Difference Winner]:[Difference Candidate 12]], "&gt;0")</f>
        <v>0</v>
      </c>
      <c r="AR5" s="77">
        <f>SUM(Audit[[#This Row],[Difference Winner]:[Difference Candidate 12]])</f>
        <v>0</v>
      </c>
      <c r="AS5" s="77">
        <f>IF(Audit[[#This Row],[Times p Drawn - With Replacement]]&gt;0, IF(Audit[[#This Row],[Canceled Differences]]&lt;0, Audit[[#This Row],[Max Differences]]+ABS(Audit[[#This Row],[Canceled Differences]]), Audit[[#This Row],[Max Differences]]), 0)</f>
        <v>0</v>
      </c>
      <c r="AT5" s="77">
        <f>'Sampling Data'!AB5</f>
        <v>2.631132235613648E-3</v>
      </c>
      <c r="AU5" s="77">
        <f>IF(
      SUM(Audit[[#This Row],[Audit Losing Candidate]:[Audit Candidate 12]])
      &lt;&gt;0,
      (Audit[[#This Row],[Winning Candidate]]-Audit[[#This Row],[Losing Candidate]]-(Audit[[#This Row],[Audit Winning Candidate]]-Audit[[#This Row],[Audit Losing Candidate]]))/(Audit[[#Totals],[Winning Candidate]]-Audit[[#Totals],[Losing Candidate]]),
      0
)</f>
        <v>0</v>
      </c>
      <c r="AV5" s="7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 s="7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 s="7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 s="7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 s="7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 s="7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 s="7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 s="7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 s="7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 s="7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 s="7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 s="77">
        <f>IF(Audit[[#This Row],[Max Relative Error (ep)]] = 0, 0, Audit[[#This Row],[Max Relative Error (ep)]]/Audit[[#This Row],[Error Bound (up) - Max. possible relative overstatement]])</f>
        <v>0</v>
      </c>
      <c r="BH5" s="7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 s="77">
        <f t="shared" ref="BI5:BI14" si="0">IF(ISERR(POWER(BH5,R5)), 0, POWER(BH5,R5))</f>
        <v>1</v>
      </c>
      <c r="BJ5" s="77">
        <f>PRODUCT($BI$5:BI5)</f>
        <v>1</v>
      </c>
      <c r="BK5" s="75">
        <f>1 - Audit[[#This Row],[K-M P Value]]</f>
        <v>0</v>
      </c>
      <c r="BL5" s="77" t="str">
        <f>IF(Audit[[#This Row],[K-M P Value]]&gt;1-'General Info'!$B$12,"Continue", "Stop")</f>
        <v>Continue</v>
      </c>
      <c r="BM5" s="81" t="b">
        <f>IF(Audit[[#This Row],[Status - Continue or stop audit]] = "Continue", TRUE, IF(BL4 = "Continue", TRUE, FALSE))</f>
        <v>1</v>
      </c>
      <c r="BN5" s="81"/>
    </row>
    <row r="6" spans="1:67" ht="14.5" hidden="1" x14ac:dyDescent="0.35">
      <c r="A6" s="17" t="str">
        <f>'Sampling Data'!AI6</f>
        <v/>
      </c>
      <c r="B6" s="17" t="str">
        <f>'Sampling Data'!A6</f>
        <v>0102 CIN 1-B   (AV)</v>
      </c>
      <c r="C6" s="18">
        <f>'Sampling Data'!B6</f>
        <v>250</v>
      </c>
      <c r="D6" s="18">
        <f>'Sampling Data'!C6</f>
        <v>135</v>
      </c>
      <c r="E6" s="18">
        <f>'Sampling Data'!D6</f>
        <v>0</v>
      </c>
      <c r="F6" s="18">
        <f>'Sampling Data'!E6</f>
        <v>0</v>
      </c>
      <c r="G6" s="18">
        <f>'Sampling Data'!F6</f>
        <v>0</v>
      </c>
      <c r="H6" s="18">
        <f>'Sampling Data'!G6</f>
        <v>0</v>
      </c>
      <c r="I6" s="18">
        <f>'Sampling Data'!H6</f>
        <v>0</v>
      </c>
      <c r="J6" s="18">
        <f>'Sampling Data'!I6</f>
        <v>0</v>
      </c>
      <c r="K6" s="18">
        <f>'Sampling Data'!J6</f>
        <v>0</v>
      </c>
      <c r="L6" s="18">
        <f>'Sampling Data'!K6</f>
        <v>0</v>
      </c>
      <c r="M6" s="18">
        <f>'Sampling Data'!L6</f>
        <v>0</v>
      </c>
      <c r="N6" s="18">
        <f>'Sampling Data'!M6</f>
        <v>0</v>
      </c>
      <c r="O6" s="18">
        <f>'Sampling Data'!N6</f>
        <v>0</v>
      </c>
      <c r="P6" s="18">
        <f>'Sampling Data'!O6</f>
        <v>25</v>
      </c>
      <c r="Q6" s="18">
        <f>'Sampling Data'!P6</f>
        <v>410</v>
      </c>
      <c r="R6" s="17">
        <f>'Sampling Data'!AJ6</f>
        <v>0</v>
      </c>
      <c r="S6" s="14"/>
      <c r="T6" s="14"/>
      <c r="U6" s="14"/>
      <c r="V6" s="14"/>
      <c r="W6" s="14"/>
      <c r="X6" s="14"/>
      <c r="Y6" s="14"/>
      <c r="Z6" s="14"/>
      <c r="AA6" s="14"/>
      <c r="AB6" s="14"/>
      <c r="AC6" s="14"/>
      <c r="AD6" s="14"/>
      <c r="AE6" s="17" t="str">
        <f>IF(NOT(ISBLANK(Audit[[#This Row],[Audit Winning Candidate]])), Audit[[#This Row],[Audit Winning Candidate]]-Audit[[#This Row],[Winning Candidate]], "")</f>
        <v/>
      </c>
      <c r="AF6" s="17" t="str">
        <f>IF(NOT(ISBLANK(Audit[[#This Row],[Audit Losing Candidate]])), Audit[[#This Row],[Audit Losing Candidate]]-Audit[[#This Row],[Losing Candidate]], "")</f>
        <v/>
      </c>
      <c r="AG6" s="17" t="str">
        <f>IF(NOT(ISBLANK(Audit[[#This Row],[Audit Candidate 3]])), Audit[[#This Row],[Audit Candidate 3]]-Audit[[#This Row],[Candidate 3]], "")</f>
        <v/>
      </c>
      <c r="AH6" s="17" t="str">
        <f>IF(NOT(ISBLANK(Audit[[#This Row],[Audit Candidate 4]])),Audit[[#This Row],[Audit Candidate 4]]-Audit[[#This Row],[Candidate 4]], "")</f>
        <v/>
      </c>
      <c r="AI6" s="17" t="str">
        <f>IF(NOT(ISBLANK(Audit[[#This Row],[Audit Candidate 5]])), Audit[[#This Row],[Audit Candidate 5]]-Audit[[#This Row],[Candidate 5]], "")</f>
        <v/>
      </c>
      <c r="AJ6" s="17" t="str">
        <f>IF(NOT(ISBLANK(Audit[[#This Row],[Audit Candidate 6]])), Audit[[#This Row],[Audit Candidate 6]]-Audit[[#This Row],[Candidate 6]], "")</f>
        <v/>
      </c>
      <c r="AK6" s="17" t="str">
        <f>IF(NOT(ISBLANK(Audit[[#This Row],[Audit Candidate 7]])), Audit[[#This Row],[Audit Candidate 7]]-Audit[[#This Row],[Candidate 7]], "")</f>
        <v/>
      </c>
      <c r="AL6" s="17" t="str">
        <f>IF(NOT(ISBLANK(Audit[[#This Row],[Audit Candidate 8]])), Audit[[#This Row],[Audit Candidate 8]]-Audit[[#This Row],[Candidate 8]], "")</f>
        <v/>
      </c>
      <c r="AM6" s="17" t="str">
        <f>IF(NOT(ISBLANK(Audit[[#This Row],[Audit Candidate 9]])), Audit[[#This Row],[Audit Candidate 9]]-Audit[[#This Row],[Candidate 9]], "")</f>
        <v/>
      </c>
      <c r="AN6" s="17" t="str">
        <f>IF(NOT(ISBLANK(Audit[[#This Row],[Audit Candidate 10]])), Audit[[#This Row],[Audit Candidate 10]]-Audit[[#This Row],[Candidate 10]], "")</f>
        <v/>
      </c>
      <c r="AO6" s="17" t="str">
        <f>IF(NOT(ISBLANK(Audit[[#This Row],[Audit Candidate 11]])), Audit[[#This Row],[Audit Candidate 11]]-Audit[[#This Row],[Candidate 11]], "")</f>
        <v/>
      </c>
      <c r="AP6" s="17" t="str">
        <f>IF(NOT(ISBLANK(Audit[[#This Row],[Audit Candidate 12]])), Audit[[#This Row],[Audit Candidate 12]]-Audit[[#This Row],[Candidate 12]], "")</f>
        <v/>
      </c>
      <c r="AQ6" s="17">
        <f>SUMIF(Audit[[#This Row],[Difference Winner]:[Difference Candidate 12]], "&gt;0")</f>
        <v>0</v>
      </c>
      <c r="AR6" s="17">
        <f>SUM(Audit[[#This Row],[Difference Winner]:[Difference Candidate 12]])</f>
        <v>0</v>
      </c>
      <c r="AS6" s="17">
        <f>IF(Audit[[#This Row],[Times p Drawn - With Replacement]]&gt;0, IF(Audit[[#This Row],[Canceled Differences]]&lt;0, Audit[[#This Row],[Max Differences]]+ABS(Audit[[#This Row],[Canceled Differences]]), Audit[[#This Row],[Max Differences]]), 0)</f>
        <v>0</v>
      </c>
      <c r="AT6" s="17">
        <f>'Sampling Data'!AB6</f>
        <v>2.2279748769309115E-2</v>
      </c>
      <c r="AU6" s="17">
        <f>IF(
      SUM(Audit[[#This Row],[Audit Losing Candidate]:[Audit Candidate 12]])
      &lt;&gt;0,
      (Audit[[#This Row],[Winning Candidate]]-Audit[[#This Row],[Losing Candidate]]-(Audit[[#This Row],[Audit Winning Candidate]]-Audit[[#This Row],[Audit Losing Candidate]]))/(Audit[[#Totals],[Winning Candidate]]-Audit[[#Totals],[Losing Candidate]]),
      0
)</f>
        <v>0</v>
      </c>
      <c r="AV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 s="17">
        <f>IF(Audit[[#This Row],[Max Relative Error (ep)]] = 0, 0, Audit[[#This Row],[Max Relative Error (ep)]]/Audit[[#This Row],[Error Bound (up) - Max. possible relative overstatement]])</f>
        <v>0</v>
      </c>
      <c r="BH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 s="17">
        <f t="shared" si="0"/>
        <v>1</v>
      </c>
      <c r="BJ6" s="17">
        <f>PRODUCT($BI$5:BI6)</f>
        <v>1</v>
      </c>
      <c r="BK6" s="19">
        <f>1 - Audit[[#This Row],[K-M P Value]]</f>
        <v>0</v>
      </c>
      <c r="BL6" s="17" t="str">
        <f>IF(Audit[[#This Row],[K-M P Value]]&gt;1-'General Info'!$B$12,"Continue", "Stop")</f>
        <v>Continue</v>
      </c>
      <c r="BM6" s="20" t="b">
        <f>IF(Audit[[#This Row],[Status - Continue or stop audit]] = "Continue", TRUE, IF(BL5 = "Continue", TRUE, FALSE))</f>
        <v>1</v>
      </c>
      <c r="BN6" s="20"/>
    </row>
    <row r="7" spans="1:67" ht="14.5" hidden="1" x14ac:dyDescent="0.35">
      <c r="A7" s="77" t="str">
        <f>'Sampling Data'!AI7</f>
        <v/>
      </c>
      <c r="B7" s="77" t="str">
        <f>'Sampling Data'!A7</f>
        <v>0103 CIN 1-C   (AV)</v>
      </c>
      <c r="C7" s="77">
        <f>'Sampling Data'!B7</f>
        <v>201</v>
      </c>
      <c r="D7" s="77">
        <f>'Sampling Data'!C7</f>
        <v>89</v>
      </c>
      <c r="E7" s="78">
        <f>'Sampling Data'!D7</f>
        <v>0</v>
      </c>
      <c r="F7" s="78">
        <f>'Sampling Data'!E7</f>
        <v>0</v>
      </c>
      <c r="G7" s="78">
        <f>'Sampling Data'!F7</f>
        <v>0</v>
      </c>
      <c r="H7" s="18">
        <f>'Sampling Data'!G7</f>
        <v>0</v>
      </c>
      <c r="I7" s="18">
        <f>'Sampling Data'!H7</f>
        <v>0</v>
      </c>
      <c r="J7" s="78">
        <f>'Sampling Data'!I7</f>
        <v>0</v>
      </c>
      <c r="K7" s="78">
        <f>'Sampling Data'!J7</f>
        <v>0</v>
      </c>
      <c r="L7" s="78">
        <f>'Sampling Data'!K7</f>
        <v>0</v>
      </c>
      <c r="M7" s="78">
        <f>'Sampling Data'!L7</f>
        <v>0</v>
      </c>
      <c r="N7" s="78">
        <f>'Sampling Data'!M7</f>
        <v>0</v>
      </c>
      <c r="O7" s="77">
        <f>'Sampling Data'!N7</f>
        <v>0</v>
      </c>
      <c r="P7" s="77">
        <f>'Sampling Data'!O7</f>
        <v>18</v>
      </c>
      <c r="Q7" s="77">
        <f>'Sampling Data'!P7</f>
        <v>308</v>
      </c>
      <c r="R7" s="77">
        <f>'Sampling Data'!AJ7</f>
        <v>0</v>
      </c>
      <c r="S7" s="79"/>
      <c r="T7" s="79"/>
      <c r="U7" s="80"/>
      <c r="V7" s="80"/>
      <c r="W7" s="79"/>
      <c r="X7" s="79"/>
      <c r="Y7" s="79"/>
      <c r="Z7" s="79"/>
      <c r="AA7" s="79"/>
      <c r="AB7" s="79"/>
      <c r="AC7" s="79"/>
      <c r="AD7" s="79"/>
      <c r="AE7" s="77" t="str">
        <f>IF(NOT(ISBLANK(Audit[[#This Row],[Audit Winning Candidate]])), Audit[[#This Row],[Audit Winning Candidate]]-Audit[[#This Row],[Winning Candidate]], "")</f>
        <v/>
      </c>
      <c r="AF7" s="77" t="str">
        <f>IF(NOT(ISBLANK(Audit[[#This Row],[Audit Losing Candidate]])), Audit[[#This Row],[Audit Losing Candidate]]-Audit[[#This Row],[Losing Candidate]], "")</f>
        <v/>
      </c>
      <c r="AG7" s="77" t="str">
        <f>IF(NOT(ISBLANK(Audit[[#This Row],[Audit Candidate 3]])), Audit[[#This Row],[Audit Candidate 3]]-Audit[[#This Row],[Candidate 3]], "")</f>
        <v/>
      </c>
      <c r="AH7" s="77" t="str">
        <f>IF(NOT(ISBLANK(Audit[[#This Row],[Audit Candidate 4]])),Audit[[#This Row],[Audit Candidate 4]]-Audit[[#This Row],[Candidate 4]], "")</f>
        <v/>
      </c>
      <c r="AI7" s="77" t="str">
        <f>IF(NOT(ISBLANK(Audit[[#This Row],[Audit Candidate 5]])), Audit[[#This Row],[Audit Candidate 5]]-Audit[[#This Row],[Candidate 5]], "")</f>
        <v/>
      </c>
      <c r="AJ7" s="17" t="str">
        <f>IF(NOT(ISBLANK(Audit[[#This Row],[Audit Candidate 6]])), Audit[[#This Row],[Audit Candidate 6]]-Audit[[#This Row],[Candidate 6]], "")</f>
        <v/>
      </c>
      <c r="AK7" s="17" t="str">
        <f>IF(NOT(ISBLANK(Audit[[#This Row],[Audit Candidate 7]])), Audit[[#This Row],[Audit Candidate 7]]-Audit[[#This Row],[Candidate 7]], "")</f>
        <v/>
      </c>
      <c r="AL7" s="77" t="str">
        <f>IF(NOT(ISBLANK(Audit[[#This Row],[Audit Candidate 8]])), Audit[[#This Row],[Audit Candidate 8]]-Audit[[#This Row],[Candidate 8]], "")</f>
        <v/>
      </c>
      <c r="AM7" s="77" t="str">
        <f>IF(NOT(ISBLANK(Audit[[#This Row],[Audit Candidate 9]])), Audit[[#This Row],[Audit Candidate 9]]-Audit[[#This Row],[Candidate 9]], "")</f>
        <v/>
      </c>
      <c r="AN7" s="77" t="str">
        <f>IF(NOT(ISBLANK(Audit[[#This Row],[Audit Candidate 10]])), Audit[[#This Row],[Audit Candidate 10]]-Audit[[#This Row],[Candidate 10]], "")</f>
        <v/>
      </c>
      <c r="AO7" s="77" t="str">
        <f>IF(NOT(ISBLANK(Audit[[#This Row],[Audit Candidate 11]])), Audit[[#This Row],[Audit Candidate 11]]-Audit[[#This Row],[Candidate 11]], "")</f>
        <v/>
      </c>
      <c r="AP7" s="77" t="str">
        <f>IF(NOT(ISBLANK(Audit[[#This Row],[Audit Candidate 12]])), Audit[[#This Row],[Audit Candidate 12]]-Audit[[#This Row],[Candidate 12]], "")</f>
        <v/>
      </c>
      <c r="AQ7" s="77">
        <f>SUMIF(Audit[[#This Row],[Difference Winner]:[Difference Candidate 12]], "&gt;0")</f>
        <v>0</v>
      </c>
      <c r="AR7" s="77">
        <f>SUM(Audit[[#This Row],[Difference Winner]:[Difference Candidate 12]])</f>
        <v>0</v>
      </c>
      <c r="AS7" s="77">
        <f>IF(Audit[[#This Row],[Times p Drawn - With Replacement]]&gt;0, IF(Audit[[#This Row],[Canceled Differences]]&lt;0, Audit[[#This Row],[Max Differences]]+ABS(Audit[[#This Row],[Canceled Differences]]), Audit[[#This Row],[Max Differences]]), 0)</f>
        <v>0</v>
      </c>
      <c r="AT7" s="77">
        <f>'Sampling Data'!AB7</f>
        <v>1.7823799015447294E-2</v>
      </c>
      <c r="AU7" s="77">
        <f>IF(
      SUM(Audit[[#This Row],[Audit Losing Candidate]:[Audit Candidate 12]])
      &lt;&gt;0,
      (Audit[[#This Row],[Winning Candidate]]-Audit[[#This Row],[Losing Candidate]]-(Audit[[#This Row],[Audit Winning Candidate]]-Audit[[#This Row],[Audit Losing Candidate]]))/(Audit[[#Totals],[Winning Candidate]]-Audit[[#Totals],[Losing Candidate]]),
      0
)</f>
        <v>0</v>
      </c>
      <c r="AV7" s="7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 s="7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 s="7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 s="7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 s="7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 s="7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 s="7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 s="7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 s="7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 s="7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 s="7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 s="77">
        <f>IF(Audit[[#This Row],[Max Relative Error (ep)]] = 0, 0, Audit[[#This Row],[Max Relative Error (ep)]]/Audit[[#This Row],[Error Bound (up) - Max. possible relative overstatement]])</f>
        <v>0</v>
      </c>
      <c r="BH7" s="7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 s="77">
        <f t="shared" si="0"/>
        <v>1</v>
      </c>
      <c r="BJ7" s="77">
        <f>PRODUCT($BI$5:BI7)</f>
        <v>1</v>
      </c>
      <c r="BK7" s="75">
        <f>1 - Audit[[#This Row],[K-M P Value]]</f>
        <v>0</v>
      </c>
      <c r="BL7" s="77" t="str">
        <f>IF(Audit[[#This Row],[K-M P Value]]&gt;1-'General Info'!$B$12,"Continue", "Stop")</f>
        <v>Continue</v>
      </c>
      <c r="BM7" s="81" t="b">
        <f>IF(Audit[[#This Row],[Status - Continue or stop audit]] = "Continue", TRUE, IF(BL6 = "Continue", TRUE, FALSE))</f>
        <v>1</v>
      </c>
      <c r="BN7" s="81"/>
    </row>
    <row r="8" spans="1:67" ht="14.5" hidden="1" x14ac:dyDescent="0.35">
      <c r="A8" s="17" t="str">
        <f>'Sampling Data'!AI8</f>
        <v/>
      </c>
      <c r="B8" s="17" t="str">
        <f>'Sampling Data'!A8</f>
        <v>0104 CIN 1-D   (AV)</v>
      </c>
      <c r="C8" s="18">
        <f>'Sampling Data'!B8</f>
        <v>197</v>
      </c>
      <c r="D8" s="18">
        <f>'Sampling Data'!C8</f>
        <v>111</v>
      </c>
      <c r="E8" s="18">
        <f>'Sampling Data'!D8</f>
        <v>0</v>
      </c>
      <c r="F8" s="18">
        <f>'Sampling Data'!E8</f>
        <v>0</v>
      </c>
      <c r="G8" s="18">
        <f>'Sampling Data'!F8</f>
        <v>0</v>
      </c>
      <c r="H8" s="18">
        <f>'Sampling Data'!G8</f>
        <v>0</v>
      </c>
      <c r="I8" s="18">
        <f>'Sampling Data'!H8</f>
        <v>0</v>
      </c>
      <c r="J8" s="18">
        <f>'Sampling Data'!I8</f>
        <v>0</v>
      </c>
      <c r="K8" s="18">
        <f>'Sampling Data'!J8</f>
        <v>0</v>
      </c>
      <c r="L8" s="18">
        <f>'Sampling Data'!K8</f>
        <v>0</v>
      </c>
      <c r="M8" s="18">
        <f>'Sampling Data'!L8</f>
        <v>0</v>
      </c>
      <c r="N8" s="18">
        <f>'Sampling Data'!M8</f>
        <v>0</v>
      </c>
      <c r="O8" s="18">
        <f>'Sampling Data'!N8</f>
        <v>0</v>
      </c>
      <c r="P8" s="18">
        <f>'Sampling Data'!O8</f>
        <v>14</v>
      </c>
      <c r="Q8" s="18">
        <f>'Sampling Data'!P8</f>
        <v>322</v>
      </c>
      <c r="R8" s="17">
        <f>'Sampling Data'!AJ8</f>
        <v>0</v>
      </c>
      <c r="S8" s="14"/>
      <c r="T8" s="14"/>
      <c r="U8" s="14"/>
      <c r="V8" s="14"/>
      <c r="W8" s="14"/>
      <c r="X8" s="14"/>
      <c r="Y8" s="14"/>
      <c r="Z8" s="14"/>
      <c r="AA8" s="14"/>
      <c r="AB8" s="14"/>
      <c r="AC8" s="14"/>
      <c r="AD8" s="14"/>
      <c r="AE8" s="17" t="str">
        <f>IF(NOT(ISBLANK(Audit[[#This Row],[Audit Winning Candidate]])), Audit[[#This Row],[Audit Winning Candidate]]-Audit[[#This Row],[Winning Candidate]], "")</f>
        <v/>
      </c>
      <c r="AF8" s="17" t="str">
        <f>IF(NOT(ISBLANK(Audit[[#This Row],[Audit Losing Candidate]])), Audit[[#This Row],[Audit Losing Candidate]]-Audit[[#This Row],[Losing Candidate]], "")</f>
        <v/>
      </c>
      <c r="AG8" s="17" t="str">
        <f>IF(NOT(ISBLANK(Audit[[#This Row],[Audit Candidate 3]])), Audit[[#This Row],[Audit Candidate 3]]-Audit[[#This Row],[Candidate 3]], "")</f>
        <v/>
      </c>
      <c r="AH8" s="17" t="str">
        <f>IF(NOT(ISBLANK(Audit[[#This Row],[Audit Candidate 4]])),Audit[[#This Row],[Audit Candidate 4]]-Audit[[#This Row],[Candidate 4]], "")</f>
        <v/>
      </c>
      <c r="AI8" s="17" t="str">
        <f>IF(NOT(ISBLANK(Audit[[#This Row],[Audit Candidate 5]])), Audit[[#This Row],[Audit Candidate 5]]-Audit[[#This Row],[Candidate 5]], "")</f>
        <v/>
      </c>
      <c r="AJ8" s="17" t="str">
        <f>IF(NOT(ISBLANK(Audit[[#This Row],[Audit Candidate 6]])), Audit[[#This Row],[Audit Candidate 6]]-Audit[[#This Row],[Candidate 6]], "")</f>
        <v/>
      </c>
      <c r="AK8" s="17" t="str">
        <f>IF(NOT(ISBLANK(Audit[[#This Row],[Audit Candidate 7]])), Audit[[#This Row],[Audit Candidate 7]]-Audit[[#This Row],[Candidate 7]], "")</f>
        <v/>
      </c>
      <c r="AL8" s="17" t="str">
        <f>IF(NOT(ISBLANK(Audit[[#This Row],[Audit Candidate 8]])), Audit[[#This Row],[Audit Candidate 8]]-Audit[[#This Row],[Candidate 8]], "")</f>
        <v/>
      </c>
      <c r="AM8" s="17" t="str">
        <f>IF(NOT(ISBLANK(Audit[[#This Row],[Audit Candidate 9]])), Audit[[#This Row],[Audit Candidate 9]]-Audit[[#This Row],[Candidate 9]], "")</f>
        <v/>
      </c>
      <c r="AN8" s="17" t="str">
        <f>IF(NOT(ISBLANK(Audit[[#This Row],[Audit Candidate 10]])), Audit[[#This Row],[Audit Candidate 10]]-Audit[[#This Row],[Candidate 10]], "")</f>
        <v/>
      </c>
      <c r="AO8" s="17" t="str">
        <f>IF(NOT(ISBLANK(Audit[[#This Row],[Audit Candidate 11]])), Audit[[#This Row],[Audit Candidate 11]]-Audit[[#This Row],[Candidate 11]], "")</f>
        <v/>
      </c>
      <c r="AP8" s="17" t="str">
        <f>IF(NOT(ISBLANK(Audit[[#This Row],[Audit Candidate 12]])), Audit[[#This Row],[Audit Candidate 12]]-Audit[[#This Row],[Candidate 12]], "")</f>
        <v/>
      </c>
      <c r="AQ8" s="17">
        <f>SUMIF(Audit[[#This Row],[Difference Winner]:[Difference Candidate 12]], "&gt;0")</f>
        <v>0</v>
      </c>
      <c r="AR8" s="17">
        <f>SUM(Audit[[#This Row],[Difference Winner]:[Difference Candidate 12]])</f>
        <v>0</v>
      </c>
      <c r="AS8" s="17">
        <f>IF(Audit[[#This Row],[Times p Drawn - With Replacement]]&gt;0, IF(Audit[[#This Row],[Canceled Differences]]&lt;0, Audit[[#This Row],[Max Differences]]+ABS(Audit[[#This Row],[Canceled Differences]]), Audit[[#This Row],[Max Differences]]), 0)</f>
        <v>0</v>
      </c>
      <c r="AT8" s="17">
        <f>'Sampling Data'!AB8</f>
        <v>1.7314547615005942E-2</v>
      </c>
      <c r="AU8" s="17">
        <f>IF(
      SUM(Audit[[#This Row],[Audit Losing Candidate]:[Audit Candidate 12]])
      &lt;&gt;0,
      (Audit[[#This Row],[Winning Candidate]]-Audit[[#This Row],[Losing Candidate]]-(Audit[[#This Row],[Audit Winning Candidate]]-Audit[[#This Row],[Audit Losing Candidate]]))/(Audit[[#Totals],[Winning Candidate]]-Audit[[#Totals],[Losing Candidate]]),
      0
)</f>
        <v>0</v>
      </c>
      <c r="AV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 s="17">
        <f>IF(Audit[[#This Row],[Max Relative Error (ep)]] = 0, 0, Audit[[#This Row],[Max Relative Error (ep)]]/Audit[[#This Row],[Error Bound (up) - Max. possible relative overstatement]])</f>
        <v>0</v>
      </c>
      <c r="BH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 s="17">
        <f t="shared" si="0"/>
        <v>1</v>
      </c>
      <c r="BJ8" s="17">
        <f>PRODUCT($BI$5:BI8)</f>
        <v>1</v>
      </c>
      <c r="BK8" s="21">
        <f>1 - Audit[[#This Row],[K-M P Value]]</f>
        <v>0</v>
      </c>
      <c r="BL8" s="17" t="str">
        <f>IF(Audit[[#This Row],[K-M P Value]]&gt;1-'General Info'!$B$12,"Continue", "Stop")</f>
        <v>Continue</v>
      </c>
      <c r="BM8" s="20" t="b">
        <f>IF(Audit[[#This Row],[Status - Continue or stop audit]] = "Continue", TRUE, IF(BL7 = "Continue", TRUE, FALSE))</f>
        <v>1</v>
      </c>
      <c r="BN8" s="20"/>
    </row>
    <row r="9" spans="1:67" ht="14.5" hidden="1" x14ac:dyDescent="0.35">
      <c r="A9" s="77" t="str">
        <f>'Sampling Data'!AI9</f>
        <v/>
      </c>
      <c r="B9" s="77" t="str">
        <f>'Sampling Data'!A9</f>
        <v>0105 CIN 1-E   (AV)</v>
      </c>
      <c r="C9" s="77">
        <f>'Sampling Data'!B9</f>
        <v>244</v>
      </c>
      <c r="D9" s="77">
        <f>'Sampling Data'!C9</f>
        <v>111</v>
      </c>
      <c r="E9" s="78">
        <f>'Sampling Data'!D9</f>
        <v>0</v>
      </c>
      <c r="F9" s="78">
        <f>'Sampling Data'!E9</f>
        <v>0</v>
      </c>
      <c r="G9" s="78">
        <f>'Sampling Data'!F9</f>
        <v>0</v>
      </c>
      <c r="H9" s="18">
        <f>'Sampling Data'!G9</f>
        <v>0</v>
      </c>
      <c r="I9" s="18">
        <f>'Sampling Data'!H9</f>
        <v>0</v>
      </c>
      <c r="J9" s="78">
        <f>'Sampling Data'!I9</f>
        <v>0</v>
      </c>
      <c r="K9" s="78">
        <f>'Sampling Data'!J9</f>
        <v>0</v>
      </c>
      <c r="L9" s="78">
        <f>'Sampling Data'!K9</f>
        <v>0</v>
      </c>
      <c r="M9" s="78">
        <f>'Sampling Data'!L9</f>
        <v>0</v>
      </c>
      <c r="N9" s="78">
        <f>'Sampling Data'!M9</f>
        <v>0</v>
      </c>
      <c r="O9" s="77">
        <f>'Sampling Data'!N9</f>
        <v>0</v>
      </c>
      <c r="P9" s="77">
        <f>'Sampling Data'!O9</f>
        <v>13</v>
      </c>
      <c r="Q9" s="77">
        <f>'Sampling Data'!P9</f>
        <v>368</v>
      </c>
      <c r="R9" s="77">
        <f>'Sampling Data'!AJ9</f>
        <v>0</v>
      </c>
      <c r="S9" s="79"/>
      <c r="T9" s="79"/>
      <c r="U9" s="80"/>
      <c r="V9" s="80"/>
      <c r="W9" s="79"/>
      <c r="X9" s="79"/>
      <c r="Y9" s="79"/>
      <c r="Z9" s="79"/>
      <c r="AA9" s="79"/>
      <c r="AB9" s="79"/>
      <c r="AC9" s="79"/>
      <c r="AD9" s="79"/>
      <c r="AE9" s="77" t="str">
        <f>IF(NOT(ISBLANK(Audit[[#This Row],[Audit Winning Candidate]])), Audit[[#This Row],[Audit Winning Candidate]]-Audit[[#This Row],[Winning Candidate]], "")</f>
        <v/>
      </c>
      <c r="AF9" s="77" t="str">
        <f>IF(NOT(ISBLANK(Audit[[#This Row],[Audit Losing Candidate]])), Audit[[#This Row],[Audit Losing Candidate]]-Audit[[#This Row],[Losing Candidate]], "")</f>
        <v/>
      </c>
      <c r="AG9" s="77" t="str">
        <f>IF(NOT(ISBLANK(Audit[[#This Row],[Audit Candidate 3]])), Audit[[#This Row],[Audit Candidate 3]]-Audit[[#This Row],[Candidate 3]], "")</f>
        <v/>
      </c>
      <c r="AH9" s="77" t="str">
        <f>IF(NOT(ISBLANK(Audit[[#This Row],[Audit Candidate 4]])),Audit[[#This Row],[Audit Candidate 4]]-Audit[[#This Row],[Candidate 4]], "")</f>
        <v/>
      </c>
      <c r="AI9" s="77" t="str">
        <f>IF(NOT(ISBLANK(Audit[[#This Row],[Audit Candidate 5]])), Audit[[#This Row],[Audit Candidate 5]]-Audit[[#This Row],[Candidate 5]], "")</f>
        <v/>
      </c>
      <c r="AJ9" s="17" t="str">
        <f>IF(NOT(ISBLANK(Audit[[#This Row],[Audit Candidate 6]])), Audit[[#This Row],[Audit Candidate 6]]-Audit[[#This Row],[Candidate 6]], "")</f>
        <v/>
      </c>
      <c r="AK9" s="17" t="str">
        <f>IF(NOT(ISBLANK(Audit[[#This Row],[Audit Candidate 7]])), Audit[[#This Row],[Audit Candidate 7]]-Audit[[#This Row],[Candidate 7]], "")</f>
        <v/>
      </c>
      <c r="AL9" s="77" t="str">
        <f>IF(NOT(ISBLANK(Audit[[#This Row],[Audit Candidate 8]])), Audit[[#This Row],[Audit Candidate 8]]-Audit[[#This Row],[Candidate 8]], "")</f>
        <v/>
      </c>
      <c r="AM9" s="77" t="str">
        <f>IF(NOT(ISBLANK(Audit[[#This Row],[Audit Candidate 9]])), Audit[[#This Row],[Audit Candidate 9]]-Audit[[#This Row],[Candidate 9]], "")</f>
        <v/>
      </c>
      <c r="AN9" s="77" t="str">
        <f>IF(NOT(ISBLANK(Audit[[#This Row],[Audit Candidate 10]])), Audit[[#This Row],[Audit Candidate 10]]-Audit[[#This Row],[Candidate 10]], "")</f>
        <v/>
      </c>
      <c r="AO9" s="77" t="str">
        <f>IF(NOT(ISBLANK(Audit[[#This Row],[Audit Candidate 11]])), Audit[[#This Row],[Audit Candidate 11]]-Audit[[#This Row],[Candidate 11]], "")</f>
        <v/>
      </c>
      <c r="AP9" s="77" t="str">
        <f>IF(NOT(ISBLANK(Audit[[#This Row],[Audit Candidate 12]])), Audit[[#This Row],[Audit Candidate 12]]-Audit[[#This Row],[Candidate 12]], "")</f>
        <v/>
      </c>
      <c r="AQ9" s="77">
        <f>SUMIF(Audit[[#This Row],[Difference Winner]:[Difference Candidate 12]], "&gt;0")</f>
        <v>0</v>
      </c>
      <c r="AR9" s="77">
        <f>SUM(Audit[[#This Row],[Difference Winner]:[Difference Candidate 12]])</f>
        <v>0</v>
      </c>
      <c r="AS9" s="77">
        <f>IF(Audit[[#This Row],[Times p Drawn - With Replacement]]&gt;0, IF(Audit[[#This Row],[Canceled Differences]]&lt;0, Audit[[#This Row],[Max Differences]]+ABS(Audit[[#This Row],[Canceled Differences]]), Audit[[#This Row],[Max Differences]]), 0)</f>
        <v>0</v>
      </c>
      <c r="AT9" s="77">
        <f>'Sampling Data'!AB9</f>
        <v>2.1261245968426414E-2</v>
      </c>
      <c r="AU9" s="77">
        <f>IF(
      SUM(Audit[[#This Row],[Audit Losing Candidate]:[Audit Candidate 12]])
      &lt;&gt;0,
      (Audit[[#This Row],[Winning Candidate]]-Audit[[#This Row],[Losing Candidate]]-(Audit[[#This Row],[Audit Winning Candidate]]-Audit[[#This Row],[Audit Losing Candidate]]))/(Audit[[#Totals],[Winning Candidate]]-Audit[[#Totals],[Losing Candidate]]),
      0
)</f>
        <v>0</v>
      </c>
      <c r="AV9" s="7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 s="7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 s="7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 s="7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 s="7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 s="7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 s="7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 s="7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 s="7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 s="7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 s="7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 s="77">
        <f>IF(Audit[[#This Row],[Max Relative Error (ep)]] = 0, 0, Audit[[#This Row],[Max Relative Error (ep)]]/Audit[[#This Row],[Error Bound (up) - Max. possible relative overstatement]])</f>
        <v>0</v>
      </c>
      <c r="BH9" s="7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 s="77">
        <f t="shared" si="0"/>
        <v>1</v>
      </c>
      <c r="BJ9" s="77">
        <f>PRODUCT($BI$5:BI9)</f>
        <v>1</v>
      </c>
      <c r="BK9" s="75">
        <f>1 - Audit[[#This Row],[K-M P Value]]</f>
        <v>0</v>
      </c>
      <c r="BL9" s="77" t="str">
        <f>IF(Audit[[#This Row],[K-M P Value]]&gt;1-'General Info'!$B$12,"Continue", "Stop")</f>
        <v>Continue</v>
      </c>
      <c r="BM9" s="76" t="b">
        <f>IF(Audit[[#This Row],[Status - Continue or stop audit]] = "Continue", TRUE, IF(BL8 = "Continue", TRUE, FALSE))</f>
        <v>1</v>
      </c>
      <c r="BN9" s="76"/>
    </row>
    <row r="10" spans="1:67" ht="14.5" hidden="1" x14ac:dyDescent="0.35">
      <c r="A10" s="17" t="str">
        <f>'Sampling Data'!AI10</f>
        <v/>
      </c>
      <c r="B10" s="17" t="str">
        <f>'Sampling Data'!A10</f>
        <v>0106 CIN 1-F   (AV)</v>
      </c>
      <c r="C10" s="18">
        <f>'Sampling Data'!B10</f>
        <v>216</v>
      </c>
      <c r="D10" s="18">
        <f>'Sampling Data'!C10</f>
        <v>120</v>
      </c>
      <c r="E10" s="18">
        <f>'Sampling Data'!D10</f>
        <v>0</v>
      </c>
      <c r="F10" s="18">
        <f>'Sampling Data'!E10</f>
        <v>0</v>
      </c>
      <c r="G10" s="18">
        <f>'Sampling Data'!F10</f>
        <v>0</v>
      </c>
      <c r="H10" s="18">
        <f>'Sampling Data'!G10</f>
        <v>0</v>
      </c>
      <c r="I10" s="18">
        <f>'Sampling Data'!H10</f>
        <v>0</v>
      </c>
      <c r="J10" s="18">
        <f>'Sampling Data'!I10</f>
        <v>0</v>
      </c>
      <c r="K10" s="18">
        <f>'Sampling Data'!J10</f>
        <v>0</v>
      </c>
      <c r="L10" s="18">
        <f>'Sampling Data'!K10</f>
        <v>0</v>
      </c>
      <c r="M10" s="18">
        <f>'Sampling Data'!L10</f>
        <v>0</v>
      </c>
      <c r="N10" s="18">
        <f>'Sampling Data'!M10</f>
        <v>0</v>
      </c>
      <c r="O10" s="18">
        <f>'Sampling Data'!N10</f>
        <v>1</v>
      </c>
      <c r="P10" s="18">
        <f>'Sampling Data'!O10</f>
        <v>17</v>
      </c>
      <c r="Q10" s="18">
        <f>'Sampling Data'!P10</f>
        <v>354</v>
      </c>
      <c r="R10" s="17">
        <f>'Sampling Data'!AJ10</f>
        <v>0</v>
      </c>
      <c r="S10" s="14"/>
      <c r="T10" s="14"/>
      <c r="U10" s="14"/>
      <c r="V10" s="14"/>
      <c r="W10" s="14"/>
      <c r="X10" s="14"/>
      <c r="Y10" s="14"/>
      <c r="Z10" s="14"/>
      <c r="AA10" s="14"/>
      <c r="AB10" s="14"/>
      <c r="AC10" s="14"/>
      <c r="AD10" s="14"/>
      <c r="AE10" s="17" t="str">
        <f>IF(NOT(ISBLANK(Audit[[#This Row],[Audit Winning Candidate]])), Audit[[#This Row],[Audit Winning Candidate]]-Audit[[#This Row],[Winning Candidate]], "")</f>
        <v/>
      </c>
      <c r="AF10" s="17" t="str">
        <f>IF(NOT(ISBLANK(Audit[[#This Row],[Audit Losing Candidate]])), Audit[[#This Row],[Audit Losing Candidate]]-Audit[[#This Row],[Losing Candidate]], "")</f>
        <v/>
      </c>
      <c r="AG10" s="17" t="str">
        <f>IF(NOT(ISBLANK(Audit[[#This Row],[Audit Candidate 3]])), Audit[[#This Row],[Audit Candidate 3]]-Audit[[#This Row],[Candidate 3]], "")</f>
        <v/>
      </c>
      <c r="AH10" s="17" t="str">
        <f>IF(NOT(ISBLANK(Audit[[#This Row],[Audit Candidate 4]])),Audit[[#This Row],[Audit Candidate 4]]-Audit[[#This Row],[Candidate 4]], "")</f>
        <v/>
      </c>
      <c r="AI10" s="17" t="str">
        <f>IF(NOT(ISBLANK(Audit[[#This Row],[Audit Candidate 5]])), Audit[[#This Row],[Audit Candidate 5]]-Audit[[#This Row],[Candidate 5]], "")</f>
        <v/>
      </c>
      <c r="AJ10" s="17" t="str">
        <f>IF(NOT(ISBLANK(Audit[[#This Row],[Audit Candidate 6]])), Audit[[#This Row],[Audit Candidate 6]]-Audit[[#This Row],[Candidate 6]], "")</f>
        <v/>
      </c>
      <c r="AK10" s="17" t="str">
        <f>IF(NOT(ISBLANK(Audit[[#This Row],[Audit Candidate 7]])), Audit[[#This Row],[Audit Candidate 7]]-Audit[[#This Row],[Candidate 7]], "")</f>
        <v/>
      </c>
      <c r="AL10" s="17" t="str">
        <f>IF(NOT(ISBLANK(Audit[[#This Row],[Audit Candidate 8]])), Audit[[#This Row],[Audit Candidate 8]]-Audit[[#This Row],[Candidate 8]], "")</f>
        <v/>
      </c>
      <c r="AM10" s="17" t="str">
        <f>IF(NOT(ISBLANK(Audit[[#This Row],[Audit Candidate 9]])), Audit[[#This Row],[Audit Candidate 9]]-Audit[[#This Row],[Candidate 9]], "")</f>
        <v/>
      </c>
      <c r="AN10" s="17" t="str">
        <f>IF(NOT(ISBLANK(Audit[[#This Row],[Audit Candidate 10]])), Audit[[#This Row],[Audit Candidate 10]]-Audit[[#This Row],[Candidate 10]], "")</f>
        <v/>
      </c>
      <c r="AO10" s="17" t="str">
        <f>IF(NOT(ISBLANK(Audit[[#This Row],[Audit Candidate 11]])), Audit[[#This Row],[Audit Candidate 11]]-Audit[[#This Row],[Candidate 11]], "")</f>
        <v/>
      </c>
      <c r="AP10" s="17" t="str">
        <f>IF(NOT(ISBLANK(Audit[[#This Row],[Audit Candidate 12]])), Audit[[#This Row],[Audit Candidate 12]]-Audit[[#This Row],[Candidate 12]], "")</f>
        <v/>
      </c>
      <c r="AQ10" s="17">
        <f>SUMIF(Audit[[#This Row],[Difference Winner]:[Difference Candidate 12]], "&gt;0")</f>
        <v>0</v>
      </c>
      <c r="AR10" s="17">
        <f>SUM(Audit[[#This Row],[Difference Winner]:[Difference Candidate 12]])</f>
        <v>0</v>
      </c>
      <c r="AS10" s="17">
        <f>IF(Audit[[#This Row],[Times p Drawn - With Replacement]]&gt;0, IF(Audit[[#This Row],[Canceled Differences]]&lt;0, Audit[[#This Row],[Max Differences]]+ABS(Audit[[#This Row],[Canceled Differences]]), Audit[[#This Row],[Max Differences]]), 0)</f>
        <v>0</v>
      </c>
      <c r="AT10" s="17">
        <f>'Sampling Data'!AB10</f>
        <v>1.909692751655067E-2</v>
      </c>
      <c r="AU10" s="17">
        <f>IF(
      SUM(Audit[[#This Row],[Audit Losing Candidate]:[Audit Candidate 12]])
      &lt;&gt;0,
      (Audit[[#This Row],[Winning Candidate]]-Audit[[#This Row],[Losing Candidate]]-(Audit[[#This Row],[Audit Winning Candidate]]-Audit[[#This Row],[Audit Losing Candidate]]))/(Audit[[#Totals],[Winning Candidate]]-Audit[[#Totals],[Losing Candidate]]),
      0
)</f>
        <v>0</v>
      </c>
      <c r="AV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 s="17">
        <f>IF(Audit[[#This Row],[Max Relative Error (ep)]] = 0, 0, Audit[[#This Row],[Max Relative Error (ep)]]/Audit[[#This Row],[Error Bound (up) - Max. possible relative overstatement]])</f>
        <v>0</v>
      </c>
      <c r="BH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 s="17">
        <f t="shared" si="0"/>
        <v>1</v>
      </c>
      <c r="BJ10" s="17">
        <f>PRODUCT($BI$5:BI10)</f>
        <v>1</v>
      </c>
      <c r="BK10" s="19">
        <f>1 - Audit[[#This Row],[K-M P Value]]</f>
        <v>0</v>
      </c>
      <c r="BL10" s="17" t="str">
        <f>IF(Audit[[#This Row],[K-M P Value]]&gt;1-'General Info'!$B$12,"Continue", "Stop")</f>
        <v>Continue</v>
      </c>
      <c r="BM10" s="22" t="b">
        <f>IF(Audit[[#This Row],[Status - Continue or stop audit]] = "Continue", TRUE, IF(BL9 = "Continue", TRUE, FALSE))</f>
        <v>1</v>
      </c>
      <c r="BN10" s="22"/>
    </row>
    <row r="11" spans="1:67" ht="14.5" hidden="1" x14ac:dyDescent="0.35">
      <c r="A11" s="77" t="str">
        <f>'Sampling Data'!AI11</f>
        <v/>
      </c>
      <c r="B11" s="77" t="str">
        <f>'Sampling Data'!A11</f>
        <v>0107 CIN 1-G   (AV)</v>
      </c>
      <c r="C11" s="77">
        <f>'Sampling Data'!B11</f>
        <v>154</v>
      </c>
      <c r="D11" s="77">
        <f>'Sampling Data'!C11</f>
        <v>123</v>
      </c>
      <c r="E11" s="78">
        <f>'Sampling Data'!D11</f>
        <v>0</v>
      </c>
      <c r="F11" s="78">
        <f>'Sampling Data'!E11</f>
        <v>0</v>
      </c>
      <c r="G11" s="78">
        <f>'Sampling Data'!F11</f>
        <v>0</v>
      </c>
      <c r="H11" s="18">
        <f>'Sampling Data'!G11</f>
        <v>0</v>
      </c>
      <c r="I11" s="18">
        <f>'Sampling Data'!H11</f>
        <v>0</v>
      </c>
      <c r="J11" s="78">
        <f>'Sampling Data'!I11</f>
        <v>0</v>
      </c>
      <c r="K11" s="78">
        <f>'Sampling Data'!J11</f>
        <v>0</v>
      </c>
      <c r="L11" s="78">
        <f>'Sampling Data'!K11</f>
        <v>0</v>
      </c>
      <c r="M11" s="78">
        <f>'Sampling Data'!L11</f>
        <v>0</v>
      </c>
      <c r="N11" s="78">
        <f>'Sampling Data'!M11</f>
        <v>0</v>
      </c>
      <c r="O11" s="77">
        <f>'Sampling Data'!N11</f>
        <v>1</v>
      </c>
      <c r="P11" s="77">
        <f>'Sampling Data'!O11</f>
        <v>12</v>
      </c>
      <c r="Q11" s="77">
        <f>'Sampling Data'!P11</f>
        <v>290</v>
      </c>
      <c r="R11" s="77">
        <f>'Sampling Data'!AJ11</f>
        <v>0</v>
      </c>
      <c r="S11" s="79"/>
      <c r="T11" s="79"/>
      <c r="U11" s="80"/>
      <c r="V11" s="80"/>
      <c r="W11" s="79"/>
      <c r="X11" s="79"/>
      <c r="Y11" s="79"/>
      <c r="Z11" s="79"/>
      <c r="AA11" s="79"/>
      <c r="AB11" s="79"/>
      <c r="AC11" s="79"/>
      <c r="AD11" s="79"/>
      <c r="AE11" s="77" t="str">
        <f>IF(NOT(ISBLANK(Audit[[#This Row],[Audit Winning Candidate]])), Audit[[#This Row],[Audit Winning Candidate]]-Audit[[#This Row],[Winning Candidate]], "")</f>
        <v/>
      </c>
      <c r="AF11" s="77" t="str">
        <f>IF(NOT(ISBLANK(Audit[[#This Row],[Audit Losing Candidate]])), Audit[[#This Row],[Audit Losing Candidate]]-Audit[[#This Row],[Losing Candidate]], "")</f>
        <v/>
      </c>
      <c r="AG11" s="77" t="str">
        <f>IF(NOT(ISBLANK(Audit[[#This Row],[Audit Candidate 3]])), Audit[[#This Row],[Audit Candidate 3]]-Audit[[#This Row],[Candidate 3]], "")</f>
        <v/>
      </c>
      <c r="AH11" s="77" t="str">
        <f>IF(NOT(ISBLANK(Audit[[#This Row],[Audit Candidate 4]])),Audit[[#This Row],[Audit Candidate 4]]-Audit[[#This Row],[Candidate 4]], "")</f>
        <v/>
      </c>
      <c r="AI11" s="77" t="str">
        <f>IF(NOT(ISBLANK(Audit[[#This Row],[Audit Candidate 5]])), Audit[[#This Row],[Audit Candidate 5]]-Audit[[#This Row],[Candidate 5]], "")</f>
        <v/>
      </c>
      <c r="AJ11" s="17" t="str">
        <f>IF(NOT(ISBLANK(Audit[[#This Row],[Audit Candidate 6]])), Audit[[#This Row],[Audit Candidate 6]]-Audit[[#This Row],[Candidate 6]], "")</f>
        <v/>
      </c>
      <c r="AK11" s="17" t="str">
        <f>IF(NOT(ISBLANK(Audit[[#This Row],[Audit Candidate 7]])), Audit[[#This Row],[Audit Candidate 7]]-Audit[[#This Row],[Candidate 7]], "")</f>
        <v/>
      </c>
      <c r="AL11" s="77" t="str">
        <f>IF(NOT(ISBLANK(Audit[[#This Row],[Audit Candidate 8]])), Audit[[#This Row],[Audit Candidate 8]]-Audit[[#This Row],[Candidate 8]], "")</f>
        <v/>
      </c>
      <c r="AM11" s="77" t="str">
        <f>IF(NOT(ISBLANK(Audit[[#This Row],[Audit Candidate 9]])), Audit[[#This Row],[Audit Candidate 9]]-Audit[[#This Row],[Candidate 9]], "")</f>
        <v/>
      </c>
      <c r="AN11" s="77" t="str">
        <f>IF(NOT(ISBLANK(Audit[[#This Row],[Audit Candidate 10]])), Audit[[#This Row],[Audit Candidate 10]]-Audit[[#This Row],[Candidate 10]], "")</f>
        <v/>
      </c>
      <c r="AO11" s="77" t="str">
        <f>IF(NOT(ISBLANK(Audit[[#This Row],[Audit Candidate 11]])), Audit[[#This Row],[Audit Candidate 11]]-Audit[[#This Row],[Candidate 11]], "")</f>
        <v/>
      </c>
      <c r="AP11" s="77" t="str">
        <f>IF(NOT(ISBLANK(Audit[[#This Row],[Audit Candidate 12]])), Audit[[#This Row],[Audit Candidate 12]]-Audit[[#This Row],[Candidate 12]], "")</f>
        <v/>
      </c>
      <c r="AQ11" s="77">
        <f>SUMIF(Audit[[#This Row],[Difference Winner]:[Difference Candidate 12]], "&gt;0")</f>
        <v>0</v>
      </c>
      <c r="AR11" s="77">
        <f>SUM(Audit[[#This Row],[Difference Winner]:[Difference Candidate 12]])</f>
        <v>0</v>
      </c>
      <c r="AS11" s="77">
        <f>IF(Audit[[#This Row],[Times p Drawn - With Replacement]]&gt;0, IF(Audit[[#This Row],[Canceled Differences]]&lt;0, Audit[[#This Row],[Max Differences]]+ABS(Audit[[#This Row],[Canceled Differences]]), Audit[[#This Row],[Max Differences]]), 0)</f>
        <v>0</v>
      </c>
      <c r="AT11" s="77">
        <f>'Sampling Data'!AB11</f>
        <v>1.3622474961806144E-2</v>
      </c>
      <c r="AU11" s="77">
        <f>IF(
      SUM(Audit[[#This Row],[Audit Losing Candidate]:[Audit Candidate 12]])
      &lt;&gt;0,
      (Audit[[#This Row],[Winning Candidate]]-Audit[[#This Row],[Losing Candidate]]-(Audit[[#This Row],[Audit Winning Candidate]]-Audit[[#This Row],[Audit Losing Candidate]]))/(Audit[[#Totals],[Winning Candidate]]-Audit[[#Totals],[Losing Candidate]]),
      0
)</f>
        <v>0</v>
      </c>
      <c r="AV11" s="7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 s="7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 s="7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 s="7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 s="7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 s="7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 s="7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 s="7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 s="7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 s="7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 s="7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 s="77">
        <f>IF(Audit[[#This Row],[Max Relative Error (ep)]] = 0, 0, Audit[[#This Row],[Max Relative Error (ep)]]/Audit[[#This Row],[Error Bound (up) - Max. possible relative overstatement]])</f>
        <v>0</v>
      </c>
      <c r="BH11" s="7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 s="77">
        <f t="shared" si="0"/>
        <v>1</v>
      </c>
      <c r="BJ11" s="77">
        <f>PRODUCT($BI$5:BI11)</f>
        <v>1</v>
      </c>
      <c r="BK11" s="75">
        <f>1 - Audit[[#This Row],[K-M P Value]]</f>
        <v>0</v>
      </c>
      <c r="BL11" s="77" t="str">
        <f>IF(Audit[[#This Row],[K-M P Value]]&gt;1-'General Info'!$B$12,"Continue", "Stop")</f>
        <v>Continue</v>
      </c>
      <c r="BM11" s="76" t="b">
        <f>IF(Audit[[#This Row],[Status - Continue or stop audit]] = "Continue", TRUE, IF(BL10 = "Continue", TRUE, FALSE))</f>
        <v>1</v>
      </c>
      <c r="BN11" s="76"/>
    </row>
    <row r="12" spans="1:67" ht="14.5" hidden="1" x14ac:dyDescent="0.35">
      <c r="A12" s="17" t="str">
        <f>'Sampling Data'!AI12</f>
        <v/>
      </c>
      <c r="B12" s="17" t="str">
        <f>'Sampling Data'!A12</f>
        <v>0108 CIN 1-H   (AV)</v>
      </c>
      <c r="C12" s="18">
        <f>'Sampling Data'!B12</f>
        <v>183</v>
      </c>
      <c r="D12" s="18">
        <f>'Sampling Data'!C12</f>
        <v>105</v>
      </c>
      <c r="E12" s="18">
        <f>'Sampling Data'!D12</f>
        <v>0</v>
      </c>
      <c r="F12" s="18">
        <f>'Sampling Data'!E12</f>
        <v>0</v>
      </c>
      <c r="G12" s="18">
        <f>'Sampling Data'!F12</f>
        <v>0</v>
      </c>
      <c r="H12" s="18">
        <f>'Sampling Data'!G12</f>
        <v>0</v>
      </c>
      <c r="I12" s="18">
        <f>'Sampling Data'!H12</f>
        <v>0</v>
      </c>
      <c r="J12" s="18">
        <f>'Sampling Data'!I12</f>
        <v>0</v>
      </c>
      <c r="K12" s="18">
        <f>'Sampling Data'!J12</f>
        <v>0</v>
      </c>
      <c r="L12" s="18">
        <f>'Sampling Data'!K12</f>
        <v>0</v>
      </c>
      <c r="M12" s="18">
        <f>'Sampling Data'!L12</f>
        <v>0</v>
      </c>
      <c r="N12" s="18">
        <f>'Sampling Data'!M12</f>
        <v>0</v>
      </c>
      <c r="O12" s="18">
        <f>'Sampling Data'!N12</f>
        <v>0</v>
      </c>
      <c r="P12" s="18">
        <f>'Sampling Data'!O12</f>
        <v>11</v>
      </c>
      <c r="Q12" s="18">
        <f>'Sampling Data'!P12</f>
        <v>299</v>
      </c>
      <c r="R12" s="17">
        <f>'Sampling Data'!AJ12</f>
        <v>0</v>
      </c>
      <c r="S12" s="14"/>
      <c r="T12" s="14"/>
      <c r="U12" s="14"/>
      <c r="V12" s="14"/>
      <c r="W12" s="14"/>
      <c r="X12" s="14"/>
      <c r="Y12" s="14"/>
      <c r="Z12" s="14"/>
      <c r="AA12" s="14"/>
      <c r="AB12" s="14"/>
      <c r="AC12" s="14"/>
      <c r="AD12" s="14"/>
      <c r="AE12" s="17" t="str">
        <f>IF(NOT(ISBLANK(Audit[[#This Row],[Audit Winning Candidate]])), Audit[[#This Row],[Audit Winning Candidate]]-Audit[[#This Row],[Winning Candidate]], "")</f>
        <v/>
      </c>
      <c r="AF12" s="17" t="str">
        <f>IF(NOT(ISBLANK(Audit[[#This Row],[Audit Losing Candidate]])), Audit[[#This Row],[Audit Losing Candidate]]-Audit[[#This Row],[Losing Candidate]], "")</f>
        <v/>
      </c>
      <c r="AG12" s="17" t="str">
        <f>IF(NOT(ISBLANK(Audit[[#This Row],[Audit Candidate 3]])), Audit[[#This Row],[Audit Candidate 3]]-Audit[[#This Row],[Candidate 3]], "")</f>
        <v/>
      </c>
      <c r="AH12" s="17" t="str">
        <f>IF(NOT(ISBLANK(Audit[[#This Row],[Audit Candidate 4]])),Audit[[#This Row],[Audit Candidate 4]]-Audit[[#This Row],[Candidate 4]], "")</f>
        <v/>
      </c>
      <c r="AI12" s="17" t="str">
        <f>IF(NOT(ISBLANK(Audit[[#This Row],[Audit Candidate 5]])), Audit[[#This Row],[Audit Candidate 5]]-Audit[[#This Row],[Candidate 5]], "")</f>
        <v/>
      </c>
      <c r="AJ12" s="17" t="str">
        <f>IF(NOT(ISBLANK(Audit[[#This Row],[Audit Candidate 6]])), Audit[[#This Row],[Audit Candidate 6]]-Audit[[#This Row],[Candidate 6]], "")</f>
        <v/>
      </c>
      <c r="AK12" s="17" t="str">
        <f>IF(NOT(ISBLANK(Audit[[#This Row],[Audit Candidate 7]])), Audit[[#This Row],[Audit Candidate 7]]-Audit[[#This Row],[Candidate 7]], "")</f>
        <v/>
      </c>
      <c r="AL12" s="17" t="str">
        <f>IF(NOT(ISBLANK(Audit[[#This Row],[Audit Candidate 8]])), Audit[[#This Row],[Audit Candidate 8]]-Audit[[#This Row],[Candidate 8]], "")</f>
        <v/>
      </c>
      <c r="AM12" s="17" t="str">
        <f>IF(NOT(ISBLANK(Audit[[#This Row],[Audit Candidate 9]])), Audit[[#This Row],[Audit Candidate 9]]-Audit[[#This Row],[Candidate 9]], "")</f>
        <v/>
      </c>
      <c r="AN12" s="17" t="str">
        <f>IF(NOT(ISBLANK(Audit[[#This Row],[Audit Candidate 10]])), Audit[[#This Row],[Audit Candidate 10]]-Audit[[#This Row],[Candidate 10]], "")</f>
        <v/>
      </c>
      <c r="AO12" s="17" t="str">
        <f>IF(NOT(ISBLANK(Audit[[#This Row],[Audit Candidate 11]])), Audit[[#This Row],[Audit Candidate 11]]-Audit[[#This Row],[Candidate 11]], "")</f>
        <v/>
      </c>
      <c r="AP12" s="17" t="str">
        <f>IF(NOT(ISBLANK(Audit[[#This Row],[Audit Candidate 12]])), Audit[[#This Row],[Audit Candidate 12]]-Audit[[#This Row],[Candidate 12]], "")</f>
        <v/>
      </c>
      <c r="AQ12" s="17">
        <f>SUMIF(Audit[[#This Row],[Difference Winner]:[Difference Candidate 12]], "&gt;0")</f>
        <v>0</v>
      </c>
      <c r="AR12" s="17">
        <f>SUM(Audit[[#This Row],[Difference Winner]:[Difference Candidate 12]])</f>
        <v>0</v>
      </c>
      <c r="AS12" s="17">
        <f>IF(Audit[[#This Row],[Times p Drawn - With Replacement]]&gt;0, IF(Audit[[#This Row],[Canceled Differences]]&lt;0, Audit[[#This Row],[Max Differences]]+ABS(Audit[[#This Row],[Canceled Differences]]), Audit[[#This Row],[Max Differences]]), 0)</f>
        <v>0</v>
      </c>
      <c r="AT12" s="17">
        <f>'Sampling Data'!AB12</f>
        <v>1.5998981497199118E-2</v>
      </c>
      <c r="AU12" s="17">
        <f>IF(
      SUM(Audit[[#This Row],[Audit Losing Candidate]:[Audit Candidate 12]])
      &lt;&gt;0,
      (Audit[[#This Row],[Winning Candidate]]-Audit[[#This Row],[Losing Candidate]]-(Audit[[#This Row],[Audit Winning Candidate]]-Audit[[#This Row],[Audit Losing Candidate]]))/(Audit[[#Totals],[Winning Candidate]]-Audit[[#Totals],[Losing Candidate]]),
      0
)</f>
        <v>0</v>
      </c>
      <c r="AV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 s="17">
        <f>IF(Audit[[#This Row],[Max Relative Error (ep)]] = 0, 0, Audit[[#This Row],[Max Relative Error (ep)]]/Audit[[#This Row],[Error Bound (up) - Max. possible relative overstatement]])</f>
        <v>0</v>
      </c>
      <c r="BH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2" s="17">
        <f t="shared" si="0"/>
        <v>1</v>
      </c>
      <c r="BJ12" s="17">
        <f>PRODUCT($BI$5:BI12)</f>
        <v>1</v>
      </c>
      <c r="BK12" s="19">
        <f>1 - Audit[[#This Row],[K-M P Value]]</f>
        <v>0</v>
      </c>
      <c r="BL12" s="17" t="str">
        <f>IF(Audit[[#This Row],[K-M P Value]]&gt;1-'General Info'!$B$12,"Continue", "Stop")</f>
        <v>Continue</v>
      </c>
      <c r="BM12" s="22" t="b">
        <f>IF(Audit[[#This Row],[Status - Continue or stop audit]] = "Continue", TRUE, IF(BL11 = "Continue", TRUE, FALSE))</f>
        <v>1</v>
      </c>
      <c r="BN12" s="22"/>
    </row>
    <row r="13" spans="1:67" ht="14.5" hidden="1" x14ac:dyDescent="0.35">
      <c r="A13" s="77" t="str">
        <f>'Sampling Data'!AI13</f>
        <v/>
      </c>
      <c r="B13" s="77" t="str">
        <f>'Sampling Data'!A13</f>
        <v>0109 CIN 1-I   (AV)</v>
      </c>
      <c r="C13" s="77">
        <f>'Sampling Data'!B13</f>
        <v>171</v>
      </c>
      <c r="D13" s="77">
        <f>'Sampling Data'!C13</f>
        <v>112</v>
      </c>
      <c r="E13" s="78">
        <f>'Sampling Data'!D13</f>
        <v>0</v>
      </c>
      <c r="F13" s="78">
        <f>'Sampling Data'!E13</f>
        <v>0</v>
      </c>
      <c r="G13" s="78">
        <f>'Sampling Data'!F13</f>
        <v>0</v>
      </c>
      <c r="H13" s="18">
        <f>'Sampling Data'!G13</f>
        <v>0</v>
      </c>
      <c r="I13" s="18">
        <f>'Sampling Data'!H13</f>
        <v>0</v>
      </c>
      <c r="J13" s="78">
        <f>'Sampling Data'!I13</f>
        <v>0</v>
      </c>
      <c r="K13" s="78">
        <f>'Sampling Data'!J13</f>
        <v>0</v>
      </c>
      <c r="L13" s="78">
        <f>'Sampling Data'!K13</f>
        <v>0</v>
      </c>
      <c r="M13" s="78">
        <f>'Sampling Data'!L13</f>
        <v>0</v>
      </c>
      <c r="N13" s="78">
        <f>'Sampling Data'!M13</f>
        <v>0</v>
      </c>
      <c r="O13" s="77">
        <f>'Sampling Data'!N13</f>
        <v>0</v>
      </c>
      <c r="P13" s="77">
        <f>'Sampling Data'!O13</f>
        <v>10</v>
      </c>
      <c r="Q13" s="77">
        <f>'Sampling Data'!P13</f>
        <v>293</v>
      </c>
      <c r="R13" s="77">
        <f>'Sampling Data'!AJ13</f>
        <v>0</v>
      </c>
      <c r="S13" s="79"/>
      <c r="T13" s="79"/>
      <c r="U13" s="80"/>
      <c r="V13" s="80"/>
      <c r="W13" s="79"/>
      <c r="X13" s="79"/>
      <c r="Y13" s="79"/>
      <c r="Z13" s="79"/>
      <c r="AA13" s="79"/>
      <c r="AB13" s="79"/>
      <c r="AC13" s="79"/>
      <c r="AD13" s="79"/>
      <c r="AE13" s="77" t="str">
        <f>IF(NOT(ISBLANK(Audit[[#This Row],[Audit Winning Candidate]])), Audit[[#This Row],[Audit Winning Candidate]]-Audit[[#This Row],[Winning Candidate]], "")</f>
        <v/>
      </c>
      <c r="AF13" s="77" t="str">
        <f>IF(NOT(ISBLANK(Audit[[#This Row],[Audit Losing Candidate]])), Audit[[#This Row],[Audit Losing Candidate]]-Audit[[#This Row],[Losing Candidate]], "")</f>
        <v/>
      </c>
      <c r="AG13" s="77" t="str">
        <f>IF(NOT(ISBLANK(Audit[[#This Row],[Audit Candidate 3]])), Audit[[#This Row],[Audit Candidate 3]]-Audit[[#This Row],[Candidate 3]], "")</f>
        <v/>
      </c>
      <c r="AH13" s="77" t="str">
        <f>IF(NOT(ISBLANK(Audit[[#This Row],[Audit Candidate 4]])),Audit[[#This Row],[Audit Candidate 4]]-Audit[[#This Row],[Candidate 4]], "")</f>
        <v/>
      </c>
      <c r="AI13" s="77" t="str">
        <f>IF(NOT(ISBLANK(Audit[[#This Row],[Audit Candidate 5]])), Audit[[#This Row],[Audit Candidate 5]]-Audit[[#This Row],[Candidate 5]], "")</f>
        <v/>
      </c>
      <c r="AJ13" s="17" t="str">
        <f>IF(NOT(ISBLANK(Audit[[#This Row],[Audit Candidate 6]])), Audit[[#This Row],[Audit Candidate 6]]-Audit[[#This Row],[Candidate 6]], "")</f>
        <v/>
      </c>
      <c r="AK13" s="17" t="str">
        <f>IF(NOT(ISBLANK(Audit[[#This Row],[Audit Candidate 7]])), Audit[[#This Row],[Audit Candidate 7]]-Audit[[#This Row],[Candidate 7]], "")</f>
        <v/>
      </c>
      <c r="AL13" s="77" t="str">
        <f>IF(NOT(ISBLANK(Audit[[#This Row],[Audit Candidate 8]])), Audit[[#This Row],[Audit Candidate 8]]-Audit[[#This Row],[Candidate 8]], "")</f>
        <v/>
      </c>
      <c r="AM13" s="77" t="str">
        <f>IF(NOT(ISBLANK(Audit[[#This Row],[Audit Candidate 9]])), Audit[[#This Row],[Audit Candidate 9]]-Audit[[#This Row],[Candidate 9]], "")</f>
        <v/>
      </c>
      <c r="AN13" s="77" t="str">
        <f>IF(NOT(ISBLANK(Audit[[#This Row],[Audit Candidate 10]])), Audit[[#This Row],[Audit Candidate 10]]-Audit[[#This Row],[Candidate 10]], "")</f>
        <v/>
      </c>
      <c r="AO13" s="77" t="str">
        <f>IF(NOT(ISBLANK(Audit[[#This Row],[Audit Candidate 11]])), Audit[[#This Row],[Audit Candidate 11]]-Audit[[#This Row],[Candidate 11]], "")</f>
        <v/>
      </c>
      <c r="AP13" s="77" t="str">
        <f>IF(NOT(ISBLANK(Audit[[#This Row],[Audit Candidate 12]])), Audit[[#This Row],[Audit Candidate 12]]-Audit[[#This Row],[Candidate 12]], "")</f>
        <v/>
      </c>
      <c r="AQ13" s="77">
        <f>SUMIF(Audit[[#This Row],[Difference Winner]:[Difference Candidate 12]], "&gt;0")</f>
        <v>0</v>
      </c>
      <c r="AR13" s="77">
        <f>SUM(Audit[[#This Row],[Difference Winner]:[Difference Candidate 12]])</f>
        <v>0</v>
      </c>
      <c r="AS13" s="77">
        <f>IF(Audit[[#This Row],[Times p Drawn - With Replacement]]&gt;0, IF(Audit[[#This Row],[Canceled Differences]]&lt;0, Audit[[#This Row],[Max Differences]]+ABS(Audit[[#This Row],[Canceled Differences]]), Audit[[#This Row],[Max Differences]]), 0)</f>
        <v>0</v>
      </c>
      <c r="AT13" s="77">
        <f>'Sampling Data'!AB13</f>
        <v>1.4938041079612968E-2</v>
      </c>
      <c r="AU13" s="77">
        <f>IF(
      SUM(Audit[[#This Row],[Audit Losing Candidate]:[Audit Candidate 12]])
      &lt;&gt;0,
      (Audit[[#This Row],[Winning Candidate]]-Audit[[#This Row],[Losing Candidate]]-(Audit[[#This Row],[Audit Winning Candidate]]-Audit[[#This Row],[Audit Losing Candidate]]))/(Audit[[#Totals],[Winning Candidate]]-Audit[[#Totals],[Losing Candidate]]),
      0
)</f>
        <v>0</v>
      </c>
      <c r="AV13" s="7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 s="7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 s="7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 s="7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 s="7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 s="7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 s="7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 s="7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 s="7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 s="7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 s="7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 s="77">
        <f>IF(Audit[[#This Row],[Max Relative Error (ep)]] = 0, 0, Audit[[#This Row],[Max Relative Error (ep)]]/Audit[[#This Row],[Error Bound (up) - Max. possible relative overstatement]])</f>
        <v>0</v>
      </c>
      <c r="BH13" s="7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3" s="77">
        <f t="shared" si="0"/>
        <v>1</v>
      </c>
      <c r="BJ13" s="77">
        <f>PRODUCT($BI$5:BI13)</f>
        <v>1</v>
      </c>
      <c r="BK13" s="75">
        <f>1 - Audit[[#This Row],[K-M P Value]]</f>
        <v>0</v>
      </c>
      <c r="BL13" s="77" t="str">
        <f>IF(Audit[[#This Row],[K-M P Value]]&gt;1-'General Info'!$B$12,"Continue", "Stop")</f>
        <v>Continue</v>
      </c>
      <c r="BM13" s="76" t="b">
        <f>IF(Audit[[#This Row],[Status - Continue or stop audit]] = "Continue", TRUE, IF(BL12 = "Continue", TRUE, FALSE))</f>
        <v>1</v>
      </c>
      <c r="BN13" s="76"/>
    </row>
    <row r="14" spans="1:67" ht="14.5" hidden="1" x14ac:dyDescent="0.35">
      <c r="A14" s="17" t="str">
        <f>'Sampling Data'!AI14</f>
        <v/>
      </c>
      <c r="B14" s="17" t="str">
        <f>'Sampling Data'!A14</f>
        <v>0110 CIN 1-J   (AV)</v>
      </c>
      <c r="C14" s="18">
        <f>'Sampling Data'!B14</f>
        <v>204</v>
      </c>
      <c r="D14" s="18">
        <f>'Sampling Data'!C14</f>
        <v>143</v>
      </c>
      <c r="E14" s="18">
        <f>'Sampling Data'!D14</f>
        <v>0</v>
      </c>
      <c r="F14" s="18">
        <f>'Sampling Data'!E14</f>
        <v>0</v>
      </c>
      <c r="G14" s="18">
        <f>'Sampling Data'!F14</f>
        <v>0</v>
      </c>
      <c r="H14" s="18">
        <f>'Sampling Data'!G14</f>
        <v>0</v>
      </c>
      <c r="I14" s="18">
        <f>'Sampling Data'!H14</f>
        <v>0</v>
      </c>
      <c r="J14" s="18">
        <f>'Sampling Data'!I14</f>
        <v>0</v>
      </c>
      <c r="K14" s="18">
        <f>'Sampling Data'!J14</f>
        <v>0</v>
      </c>
      <c r="L14" s="18">
        <f>'Sampling Data'!K14</f>
        <v>0</v>
      </c>
      <c r="M14" s="18">
        <f>'Sampling Data'!L14</f>
        <v>0</v>
      </c>
      <c r="N14" s="18">
        <f>'Sampling Data'!M14</f>
        <v>0</v>
      </c>
      <c r="O14" s="18">
        <f>'Sampling Data'!N14</f>
        <v>0</v>
      </c>
      <c r="P14" s="18">
        <f>'Sampling Data'!O14</f>
        <v>17</v>
      </c>
      <c r="Q14" s="18">
        <f>'Sampling Data'!P14</f>
        <v>364</v>
      </c>
      <c r="R14" s="17">
        <f>'Sampling Data'!AJ14</f>
        <v>0</v>
      </c>
      <c r="S14" s="14"/>
      <c r="T14" s="14"/>
      <c r="U14" s="14"/>
      <c r="V14" s="14"/>
      <c r="W14" s="14"/>
      <c r="X14" s="14"/>
      <c r="Y14" s="14"/>
      <c r="Z14" s="14"/>
      <c r="AA14" s="14"/>
      <c r="AB14" s="14"/>
      <c r="AC14" s="14"/>
      <c r="AD14" s="14"/>
      <c r="AE14" s="17" t="str">
        <f>IF(NOT(ISBLANK(Audit[[#This Row],[Audit Winning Candidate]])), Audit[[#This Row],[Audit Winning Candidate]]-Audit[[#This Row],[Winning Candidate]], "")</f>
        <v/>
      </c>
      <c r="AF14" s="17" t="str">
        <f>IF(NOT(ISBLANK(Audit[[#This Row],[Audit Losing Candidate]])), Audit[[#This Row],[Audit Losing Candidate]]-Audit[[#This Row],[Losing Candidate]], "")</f>
        <v/>
      </c>
      <c r="AG14" s="17" t="str">
        <f>IF(NOT(ISBLANK(Audit[[#This Row],[Audit Candidate 3]])), Audit[[#This Row],[Audit Candidate 3]]-Audit[[#This Row],[Candidate 3]], "")</f>
        <v/>
      </c>
      <c r="AH14" s="17" t="str">
        <f>IF(NOT(ISBLANK(Audit[[#This Row],[Audit Candidate 4]])),Audit[[#This Row],[Audit Candidate 4]]-Audit[[#This Row],[Candidate 4]], "")</f>
        <v/>
      </c>
      <c r="AI14" s="17" t="str">
        <f>IF(NOT(ISBLANK(Audit[[#This Row],[Audit Candidate 5]])), Audit[[#This Row],[Audit Candidate 5]]-Audit[[#This Row],[Candidate 5]], "")</f>
        <v/>
      </c>
      <c r="AJ14" s="17" t="str">
        <f>IF(NOT(ISBLANK(Audit[[#This Row],[Audit Candidate 6]])), Audit[[#This Row],[Audit Candidate 6]]-Audit[[#This Row],[Candidate 6]], "")</f>
        <v/>
      </c>
      <c r="AK14" s="17" t="str">
        <f>IF(NOT(ISBLANK(Audit[[#This Row],[Audit Candidate 7]])), Audit[[#This Row],[Audit Candidate 7]]-Audit[[#This Row],[Candidate 7]], "")</f>
        <v/>
      </c>
      <c r="AL14" s="17" t="str">
        <f>IF(NOT(ISBLANK(Audit[[#This Row],[Audit Candidate 8]])), Audit[[#This Row],[Audit Candidate 8]]-Audit[[#This Row],[Candidate 8]], "")</f>
        <v/>
      </c>
      <c r="AM14" s="17" t="str">
        <f>IF(NOT(ISBLANK(Audit[[#This Row],[Audit Candidate 9]])), Audit[[#This Row],[Audit Candidate 9]]-Audit[[#This Row],[Candidate 9]], "")</f>
        <v/>
      </c>
      <c r="AN14" s="17" t="str">
        <f>IF(NOT(ISBLANK(Audit[[#This Row],[Audit Candidate 10]])), Audit[[#This Row],[Audit Candidate 10]]-Audit[[#This Row],[Candidate 10]], "")</f>
        <v/>
      </c>
      <c r="AO14" s="17" t="str">
        <f>IF(NOT(ISBLANK(Audit[[#This Row],[Audit Candidate 11]])), Audit[[#This Row],[Audit Candidate 11]]-Audit[[#This Row],[Candidate 11]], "")</f>
        <v/>
      </c>
      <c r="AP14" s="17" t="str">
        <f>IF(NOT(ISBLANK(Audit[[#This Row],[Audit Candidate 12]])), Audit[[#This Row],[Audit Candidate 12]]-Audit[[#This Row],[Candidate 12]], "")</f>
        <v/>
      </c>
      <c r="AQ14" s="17">
        <f>SUMIF(Audit[[#This Row],[Difference Winner]:[Difference Candidate 12]], "&gt;0")</f>
        <v>0</v>
      </c>
      <c r="AR14" s="17">
        <f>SUM(Audit[[#This Row],[Difference Winner]:[Difference Candidate 12]])</f>
        <v>0</v>
      </c>
      <c r="AS14" s="17">
        <f>IF(Audit[[#This Row],[Times p Drawn - With Replacement]]&gt;0, IF(Audit[[#This Row],[Canceled Differences]]&lt;0, Audit[[#This Row],[Max Differences]]+ABS(Audit[[#This Row],[Canceled Differences]]), Audit[[#This Row],[Max Differences]]), 0)</f>
        <v>0</v>
      </c>
      <c r="AT14" s="17">
        <f>'Sampling Data'!AB14</f>
        <v>1.803598709896452E-2</v>
      </c>
      <c r="AU14" s="17">
        <f>IF(
      SUM(Audit[[#This Row],[Audit Losing Candidate]:[Audit Candidate 12]])
      &lt;&gt;0,
      (Audit[[#This Row],[Winning Candidate]]-Audit[[#This Row],[Losing Candidate]]-(Audit[[#This Row],[Audit Winning Candidate]]-Audit[[#This Row],[Audit Losing Candidate]]))/(Audit[[#Totals],[Winning Candidate]]-Audit[[#Totals],[Losing Candidate]]),
      0
)</f>
        <v>0</v>
      </c>
      <c r="AV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 s="17">
        <f>IF(Audit[[#This Row],[Max Relative Error (ep)]] = 0, 0, Audit[[#This Row],[Max Relative Error (ep)]]/Audit[[#This Row],[Error Bound (up) - Max. possible relative overstatement]])</f>
        <v>0</v>
      </c>
      <c r="BH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4" s="17">
        <f t="shared" si="0"/>
        <v>1</v>
      </c>
      <c r="BJ14">
        <f>PRODUCT($BI$5:BI1128)</f>
        <v>9.9360648295326648E-2</v>
      </c>
      <c r="BK14" s="19">
        <f>1 - Audit[[#This Row],[K-M P Value]]</f>
        <v>0.90063935170467335</v>
      </c>
      <c r="BL14" s="17" t="str">
        <f>IF(Audit[[#This Row],[K-M P Value]]&gt;1-'General Info'!$B$12,"Continue", "Stop")</f>
        <v>Stop</v>
      </c>
      <c r="BM14" s="22" t="b">
        <f>IF(Audit[[#This Row],[Status - Continue or stop audit]] = "Continue", TRUE, IF(BL13 = "Continue", TRUE, FALSE))</f>
        <v>1</v>
      </c>
      <c r="BN14" s="22"/>
    </row>
    <row r="15" spans="1:67" ht="15" hidden="1" customHeight="1" x14ac:dyDescent="0.35">
      <c r="A15" s="17" t="str">
        <f>'Sampling Data'!AI15</f>
        <v/>
      </c>
      <c r="B15" s="17" t="str">
        <f>'Sampling Data'!A15</f>
        <v>0111 CIN 1-K   (AV)</v>
      </c>
      <c r="C15" s="17">
        <f>'Sampling Data'!B15</f>
        <v>223</v>
      </c>
      <c r="D15" s="17">
        <f>'Sampling Data'!C15</f>
        <v>94</v>
      </c>
      <c r="E15" s="18">
        <f>'Sampling Data'!D15</f>
        <v>0</v>
      </c>
      <c r="F15" s="18">
        <f>'Sampling Data'!E15</f>
        <v>0</v>
      </c>
      <c r="G15" s="18">
        <f>'Sampling Data'!F15</f>
        <v>0</v>
      </c>
      <c r="H15" s="18">
        <f>'Sampling Data'!G15</f>
        <v>0</v>
      </c>
      <c r="I15" s="18">
        <f>'Sampling Data'!H15</f>
        <v>0</v>
      </c>
      <c r="J15" s="18">
        <f>'Sampling Data'!I15</f>
        <v>0</v>
      </c>
      <c r="K15" s="18">
        <f>'Sampling Data'!J15</f>
        <v>0</v>
      </c>
      <c r="L15" s="18">
        <f>'Sampling Data'!K15</f>
        <v>0</v>
      </c>
      <c r="M15" s="18">
        <f>'Sampling Data'!L15</f>
        <v>0</v>
      </c>
      <c r="N15" s="18">
        <f>'Sampling Data'!M15</f>
        <v>0</v>
      </c>
      <c r="O15" s="17">
        <f>'Sampling Data'!N15</f>
        <v>0</v>
      </c>
      <c r="P15" s="17">
        <f>'Sampling Data'!O15</f>
        <v>11</v>
      </c>
      <c r="Q15" s="17">
        <f>'Sampling Data'!P15</f>
        <v>328</v>
      </c>
      <c r="R15" s="17">
        <f>'Sampling Data'!AJ15</f>
        <v>0</v>
      </c>
      <c r="S15" s="111"/>
      <c r="T15" s="111"/>
      <c r="U15" s="112"/>
      <c r="V15" s="112"/>
      <c r="W15" s="111"/>
      <c r="X15" s="111"/>
      <c r="Y15" s="111"/>
      <c r="Z15" s="111"/>
      <c r="AA15" s="14"/>
      <c r="AB15" s="14"/>
      <c r="AC15" s="14"/>
      <c r="AD15" s="14"/>
      <c r="AE15" s="113" t="str">
        <f>IF(NOT(ISBLANK(Audit[[#This Row],[Audit Winning Candidate]])), Audit[[#This Row],[Audit Winning Candidate]]-Audit[[#This Row],[Winning Candidate]], "")</f>
        <v/>
      </c>
      <c r="AF15" s="17" t="str">
        <f>IF(NOT(ISBLANK(Audit[[#This Row],[Audit Losing Candidate]])), Audit[[#This Row],[Audit Losing Candidate]]-Audit[[#This Row],[Losing Candidate]], "")</f>
        <v/>
      </c>
      <c r="AG15" s="17" t="str">
        <f>IF(NOT(ISBLANK(Audit[[#This Row],[Audit Candidate 3]])), Audit[[#This Row],[Audit Candidate 3]]-Audit[[#This Row],[Candidate 3]], "")</f>
        <v/>
      </c>
      <c r="AH15" s="17" t="str">
        <f>IF(NOT(ISBLANK(Audit[[#This Row],[Audit Candidate 4]])),Audit[[#This Row],[Audit Candidate 4]]-Audit[[#This Row],[Candidate 4]], "")</f>
        <v/>
      </c>
      <c r="AI15" s="17" t="str">
        <f>IF(NOT(ISBLANK(Audit[[#This Row],[Audit Candidate 5]])), Audit[[#This Row],[Audit Candidate 5]]-Audit[[#This Row],[Candidate 5]], "")</f>
        <v/>
      </c>
      <c r="AJ15" s="17" t="str">
        <f>IF(NOT(ISBLANK(Audit[[#This Row],[Audit Candidate 6]])), Audit[[#This Row],[Audit Candidate 6]]-Audit[[#This Row],[Candidate 6]], "")</f>
        <v/>
      </c>
      <c r="AK15" s="17" t="str">
        <f>IF(NOT(ISBLANK(Audit[[#This Row],[Audit Candidate 7]])), Audit[[#This Row],[Audit Candidate 7]]-Audit[[#This Row],[Candidate 7]], "")</f>
        <v/>
      </c>
      <c r="AL15" s="17" t="str">
        <f>IF(NOT(ISBLANK(Audit[[#This Row],[Audit Candidate 8]])), Audit[[#This Row],[Audit Candidate 8]]-Audit[[#This Row],[Candidate 8]], "")</f>
        <v/>
      </c>
      <c r="AM15" s="17" t="str">
        <f>IF(NOT(ISBLANK(Audit[[#This Row],[Audit Candidate 9]])), Audit[[#This Row],[Audit Candidate 9]]-Audit[[#This Row],[Candidate 9]], "")</f>
        <v/>
      </c>
      <c r="AN15" s="17" t="str">
        <f>IF(NOT(ISBLANK(Audit[[#This Row],[Audit Candidate 10]])), Audit[[#This Row],[Audit Candidate 10]]-Audit[[#This Row],[Candidate 10]], "")</f>
        <v/>
      </c>
      <c r="AO15" s="17" t="str">
        <f>IF(NOT(ISBLANK(Audit[[#This Row],[Audit Candidate 11]])), Audit[[#This Row],[Audit Candidate 11]]-Audit[[#This Row],[Candidate 11]], "")</f>
        <v/>
      </c>
      <c r="AP15" s="17" t="str">
        <f>IF(NOT(ISBLANK(Audit[[#This Row],[Audit Candidate 12]])), Audit[[#This Row],[Audit Candidate 12]]-Audit[[#This Row],[Candidate 12]], "")</f>
        <v/>
      </c>
      <c r="AQ15" s="17">
        <f>SUMIF(Audit[[#This Row],[Difference Winner]:[Difference Candidate 12]], "&gt;0")</f>
        <v>0</v>
      </c>
      <c r="AR15" s="17">
        <f>SUM(Audit[[#This Row],[Difference Winner]:[Difference Candidate 12]])</f>
        <v>0</v>
      </c>
      <c r="AS15" s="17">
        <f>IF(Audit[[#This Row],[Times p Drawn - With Replacement]]&gt;0, IF(Audit[[#This Row],[Canceled Differences]]&lt;0, Audit[[#This Row],[Max Differences]]+ABS(Audit[[#This Row],[Canceled Differences]]), Audit[[#This Row],[Max Differences]]), 0)</f>
        <v>0</v>
      </c>
      <c r="AT15" s="17">
        <f>'Sampling Data'!AB15</f>
        <v>1.9393990833474792E-2</v>
      </c>
      <c r="AU15" s="17">
        <f>IF(
      SUM(Audit[[#This Row],[Audit Losing Candidate]:[Audit Candidate 12]])
      &lt;&gt;0,
      (Audit[[#This Row],[Winning Candidate]]-Audit[[#This Row],[Losing Candidate]]-(Audit[[#This Row],[Audit Winning Candidate]]-Audit[[#This Row],[Audit Losing Candidate]]))/(Audit[[#Totals],[Winning Candidate]]-Audit[[#Totals],[Losing Candidate]]),
      0
)</f>
        <v>0</v>
      </c>
      <c r="AV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 s="17">
        <f>IF(Audit[[#This Row],[Max Relative Error (ep)]] = 0, 0, Audit[[#This Row],[Max Relative Error (ep)]]/Audit[[#This Row],[Error Bound (up) - Max. possible relative overstatement]])</f>
        <v>0</v>
      </c>
      <c r="BH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5" s="17">
        <f t="shared" ref="BI15:BI78" si="1">IF(ISERR(POWER(BH15,R15)), 0, POWER(BH15,R15))</f>
        <v>1</v>
      </c>
      <c r="BJ15" s="17">
        <f>PRODUCT($BI$5:BI15)</f>
        <v>1</v>
      </c>
      <c r="BK15" s="19">
        <f>1 - Audit[[#This Row],[K-M P Value]]</f>
        <v>0</v>
      </c>
      <c r="BL15" s="17" t="str">
        <f>IF(Audit[[#This Row],[K-M P Value]]&gt;1-'General Info'!$B$12,"Continue", "Stop")</f>
        <v>Continue</v>
      </c>
      <c r="BM15" s="22" t="b">
        <f>IF(Audit[[#This Row],[Status - Continue or stop audit]] = "Continue", TRUE, IF(BL14 = "Continue", TRUE, FALSE))</f>
        <v>1</v>
      </c>
      <c r="BN15" s="22"/>
    </row>
    <row r="16" spans="1:67" ht="15" hidden="1" customHeight="1" x14ac:dyDescent="0.35">
      <c r="A16" s="17" t="str">
        <f>'Sampling Data'!AI16</f>
        <v/>
      </c>
      <c r="B16" s="17" t="str">
        <f>'Sampling Data'!A16</f>
        <v>0112 CIN 1-L   (AV)</v>
      </c>
      <c r="C16" s="17">
        <f>'Sampling Data'!B16</f>
        <v>133</v>
      </c>
      <c r="D16" s="17">
        <f>'Sampling Data'!C16</f>
        <v>114</v>
      </c>
      <c r="E16" s="18">
        <f>'Sampling Data'!D16</f>
        <v>0</v>
      </c>
      <c r="F16" s="18">
        <f>'Sampling Data'!E16</f>
        <v>0</v>
      </c>
      <c r="G16" s="18">
        <f>'Sampling Data'!F16</f>
        <v>0</v>
      </c>
      <c r="H16" s="18">
        <f>'Sampling Data'!G16</f>
        <v>0</v>
      </c>
      <c r="I16" s="18">
        <f>'Sampling Data'!H16</f>
        <v>0</v>
      </c>
      <c r="J16" s="18">
        <f>'Sampling Data'!I16</f>
        <v>0</v>
      </c>
      <c r="K16" s="18">
        <f>'Sampling Data'!J16</f>
        <v>0</v>
      </c>
      <c r="L16" s="18">
        <f>'Sampling Data'!K16</f>
        <v>0</v>
      </c>
      <c r="M16" s="18">
        <f>'Sampling Data'!L16</f>
        <v>0</v>
      </c>
      <c r="N16" s="18">
        <f>'Sampling Data'!M16</f>
        <v>0</v>
      </c>
      <c r="O16" s="17">
        <f>'Sampling Data'!N16</f>
        <v>0</v>
      </c>
      <c r="P16" s="17">
        <f>'Sampling Data'!O16</f>
        <v>15</v>
      </c>
      <c r="Q16" s="17">
        <f>'Sampling Data'!P16</f>
        <v>262</v>
      </c>
      <c r="R16" s="17">
        <f>'Sampling Data'!AJ16</f>
        <v>0</v>
      </c>
      <c r="S16" s="111"/>
      <c r="T16" s="111"/>
      <c r="U16" s="112"/>
      <c r="V16" s="112"/>
      <c r="W16" s="111"/>
      <c r="X16" s="111"/>
      <c r="Y16" s="111"/>
      <c r="Z16" s="111"/>
      <c r="AA16" s="14"/>
      <c r="AB16" s="14"/>
      <c r="AC16" s="14"/>
      <c r="AD16" s="14"/>
      <c r="AE16" s="113" t="str">
        <f>IF(NOT(ISBLANK(Audit[[#This Row],[Audit Winning Candidate]])), Audit[[#This Row],[Audit Winning Candidate]]-Audit[[#This Row],[Winning Candidate]], "")</f>
        <v/>
      </c>
      <c r="AF16" s="17" t="str">
        <f>IF(NOT(ISBLANK(Audit[[#This Row],[Audit Losing Candidate]])), Audit[[#This Row],[Audit Losing Candidate]]-Audit[[#This Row],[Losing Candidate]], "")</f>
        <v/>
      </c>
      <c r="AG16" s="17" t="str">
        <f>IF(NOT(ISBLANK(Audit[[#This Row],[Audit Candidate 3]])), Audit[[#This Row],[Audit Candidate 3]]-Audit[[#This Row],[Candidate 3]], "")</f>
        <v/>
      </c>
      <c r="AH16" s="17" t="str">
        <f>IF(NOT(ISBLANK(Audit[[#This Row],[Audit Candidate 4]])),Audit[[#This Row],[Audit Candidate 4]]-Audit[[#This Row],[Candidate 4]], "")</f>
        <v/>
      </c>
      <c r="AI16" s="17" t="str">
        <f>IF(NOT(ISBLANK(Audit[[#This Row],[Audit Candidate 5]])), Audit[[#This Row],[Audit Candidate 5]]-Audit[[#This Row],[Candidate 5]], "")</f>
        <v/>
      </c>
      <c r="AJ16" s="17" t="str">
        <f>IF(NOT(ISBLANK(Audit[[#This Row],[Audit Candidate 6]])), Audit[[#This Row],[Audit Candidate 6]]-Audit[[#This Row],[Candidate 6]], "")</f>
        <v/>
      </c>
      <c r="AK16" s="17" t="str">
        <f>IF(NOT(ISBLANK(Audit[[#This Row],[Audit Candidate 7]])), Audit[[#This Row],[Audit Candidate 7]]-Audit[[#This Row],[Candidate 7]], "")</f>
        <v/>
      </c>
      <c r="AL16" s="17" t="str">
        <f>IF(NOT(ISBLANK(Audit[[#This Row],[Audit Candidate 8]])), Audit[[#This Row],[Audit Candidate 8]]-Audit[[#This Row],[Candidate 8]], "")</f>
        <v/>
      </c>
      <c r="AM16" s="17" t="str">
        <f>IF(NOT(ISBLANK(Audit[[#This Row],[Audit Candidate 9]])), Audit[[#This Row],[Audit Candidate 9]]-Audit[[#This Row],[Candidate 9]], "")</f>
        <v/>
      </c>
      <c r="AN16" s="17" t="str">
        <f>IF(NOT(ISBLANK(Audit[[#This Row],[Audit Candidate 10]])), Audit[[#This Row],[Audit Candidate 10]]-Audit[[#This Row],[Candidate 10]], "")</f>
        <v/>
      </c>
      <c r="AO16" s="17" t="str">
        <f>IF(NOT(ISBLANK(Audit[[#This Row],[Audit Candidate 11]])), Audit[[#This Row],[Audit Candidate 11]]-Audit[[#This Row],[Candidate 11]], "")</f>
        <v/>
      </c>
      <c r="AP16" s="17" t="str">
        <f>IF(NOT(ISBLANK(Audit[[#This Row],[Audit Candidate 12]])), Audit[[#This Row],[Audit Candidate 12]]-Audit[[#This Row],[Candidate 12]], "")</f>
        <v/>
      </c>
      <c r="AQ16" s="17">
        <f>SUMIF(Audit[[#This Row],[Difference Winner]:[Difference Candidate 12]], "&gt;0")</f>
        <v>0</v>
      </c>
      <c r="AR16" s="17">
        <f>SUM(Audit[[#This Row],[Difference Winner]:[Difference Candidate 12]])</f>
        <v>0</v>
      </c>
      <c r="AS16" s="17">
        <f>IF(Audit[[#This Row],[Times p Drawn - With Replacement]]&gt;0, IF(Audit[[#This Row],[Canceled Differences]]&lt;0, Audit[[#This Row],[Max Differences]]+ABS(Audit[[#This Row],[Canceled Differences]]), Audit[[#This Row],[Max Differences]]), 0)</f>
        <v>0</v>
      </c>
      <c r="AT16" s="17">
        <f>'Sampling Data'!AB16</f>
        <v>1.1924970293668308E-2</v>
      </c>
      <c r="AU16" s="17">
        <f>IF(
      SUM(Audit[[#This Row],[Audit Losing Candidate]:[Audit Candidate 12]])
      &lt;&gt;0,
      (Audit[[#This Row],[Winning Candidate]]-Audit[[#This Row],[Losing Candidate]]-(Audit[[#This Row],[Audit Winning Candidate]]-Audit[[#This Row],[Audit Losing Candidate]]))/(Audit[[#Totals],[Winning Candidate]]-Audit[[#Totals],[Losing Candidate]]),
      0
)</f>
        <v>0</v>
      </c>
      <c r="AV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 s="17">
        <f>IF(Audit[[#This Row],[Max Relative Error (ep)]] = 0, 0, Audit[[#This Row],[Max Relative Error (ep)]]/Audit[[#This Row],[Error Bound (up) - Max. possible relative overstatement]])</f>
        <v>0</v>
      </c>
      <c r="BH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6" s="17">
        <f t="shared" si="1"/>
        <v>1</v>
      </c>
      <c r="BJ16" s="17">
        <f>PRODUCT($BI$5:BI16)</f>
        <v>1</v>
      </c>
      <c r="BK16" s="19">
        <f>1 - Audit[[#This Row],[K-M P Value]]</f>
        <v>0</v>
      </c>
      <c r="BL16" s="17" t="str">
        <f>IF(Audit[[#This Row],[K-M P Value]]&gt;1-'General Info'!$B$12,"Continue", "Stop")</f>
        <v>Continue</v>
      </c>
      <c r="BM16" s="22" t="b">
        <f>IF(Audit[[#This Row],[Status - Continue or stop audit]] = "Continue", TRUE, IF(BL15 = "Continue", TRUE, FALSE))</f>
        <v>1</v>
      </c>
      <c r="BN16" s="22"/>
    </row>
    <row r="17" spans="1:66" ht="15" hidden="1" customHeight="1" x14ac:dyDescent="0.35">
      <c r="A17" s="17" t="str">
        <f>'Sampling Data'!AI17</f>
        <v/>
      </c>
      <c r="B17" s="17" t="str">
        <f>'Sampling Data'!A17</f>
        <v>0113 CIN 1-M   (AV)</v>
      </c>
      <c r="C17" s="17">
        <f>'Sampling Data'!B17</f>
        <v>214</v>
      </c>
      <c r="D17" s="17">
        <f>'Sampling Data'!C17</f>
        <v>167</v>
      </c>
      <c r="E17" s="18">
        <f>'Sampling Data'!D17</f>
        <v>0</v>
      </c>
      <c r="F17" s="18">
        <f>'Sampling Data'!E17</f>
        <v>0</v>
      </c>
      <c r="G17" s="18">
        <f>'Sampling Data'!F17</f>
        <v>0</v>
      </c>
      <c r="H17" s="18">
        <f>'Sampling Data'!G17</f>
        <v>0</v>
      </c>
      <c r="I17" s="18">
        <f>'Sampling Data'!H17</f>
        <v>0</v>
      </c>
      <c r="J17" s="18">
        <f>'Sampling Data'!I17</f>
        <v>0</v>
      </c>
      <c r="K17" s="18">
        <f>'Sampling Data'!J17</f>
        <v>0</v>
      </c>
      <c r="L17" s="18">
        <f>'Sampling Data'!K17</f>
        <v>0</v>
      </c>
      <c r="M17" s="18">
        <f>'Sampling Data'!L17</f>
        <v>0</v>
      </c>
      <c r="N17" s="18">
        <f>'Sampling Data'!M17</f>
        <v>0</v>
      </c>
      <c r="O17" s="17">
        <f>'Sampling Data'!N17</f>
        <v>0</v>
      </c>
      <c r="P17" s="17">
        <f>'Sampling Data'!O17</f>
        <v>24</v>
      </c>
      <c r="Q17" s="17">
        <f>'Sampling Data'!P17</f>
        <v>405</v>
      </c>
      <c r="R17" s="17">
        <f>'Sampling Data'!AJ17</f>
        <v>0</v>
      </c>
      <c r="S17" s="111"/>
      <c r="T17" s="111"/>
      <c r="U17" s="112"/>
      <c r="V17" s="112"/>
      <c r="W17" s="111"/>
      <c r="X17" s="111"/>
      <c r="Y17" s="111"/>
      <c r="Z17" s="111"/>
      <c r="AA17" s="14"/>
      <c r="AB17" s="14"/>
      <c r="AC17" s="14"/>
      <c r="AD17" s="14"/>
      <c r="AE17" s="113" t="str">
        <f>IF(NOT(ISBLANK(Audit[[#This Row],[Audit Winning Candidate]])), Audit[[#This Row],[Audit Winning Candidate]]-Audit[[#This Row],[Winning Candidate]], "")</f>
        <v/>
      </c>
      <c r="AF17" s="17" t="str">
        <f>IF(NOT(ISBLANK(Audit[[#This Row],[Audit Losing Candidate]])), Audit[[#This Row],[Audit Losing Candidate]]-Audit[[#This Row],[Losing Candidate]], "")</f>
        <v/>
      </c>
      <c r="AG17" s="17" t="str">
        <f>IF(NOT(ISBLANK(Audit[[#This Row],[Audit Candidate 3]])), Audit[[#This Row],[Audit Candidate 3]]-Audit[[#This Row],[Candidate 3]], "")</f>
        <v/>
      </c>
      <c r="AH17" s="17" t="str">
        <f>IF(NOT(ISBLANK(Audit[[#This Row],[Audit Candidate 4]])),Audit[[#This Row],[Audit Candidate 4]]-Audit[[#This Row],[Candidate 4]], "")</f>
        <v/>
      </c>
      <c r="AI17" s="17" t="str">
        <f>IF(NOT(ISBLANK(Audit[[#This Row],[Audit Candidate 5]])), Audit[[#This Row],[Audit Candidate 5]]-Audit[[#This Row],[Candidate 5]], "")</f>
        <v/>
      </c>
      <c r="AJ17" s="17" t="str">
        <f>IF(NOT(ISBLANK(Audit[[#This Row],[Audit Candidate 6]])), Audit[[#This Row],[Audit Candidate 6]]-Audit[[#This Row],[Candidate 6]], "")</f>
        <v/>
      </c>
      <c r="AK17" s="17" t="str">
        <f>IF(NOT(ISBLANK(Audit[[#This Row],[Audit Candidate 7]])), Audit[[#This Row],[Audit Candidate 7]]-Audit[[#This Row],[Candidate 7]], "")</f>
        <v/>
      </c>
      <c r="AL17" s="17" t="str">
        <f>IF(NOT(ISBLANK(Audit[[#This Row],[Audit Candidate 8]])), Audit[[#This Row],[Audit Candidate 8]]-Audit[[#This Row],[Candidate 8]], "")</f>
        <v/>
      </c>
      <c r="AM17" s="17" t="str">
        <f>IF(NOT(ISBLANK(Audit[[#This Row],[Audit Candidate 9]])), Audit[[#This Row],[Audit Candidate 9]]-Audit[[#This Row],[Candidate 9]], "")</f>
        <v/>
      </c>
      <c r="AN17" s="17" t="str">
        <f>IF(NOT(ISBLANK(Audit[[#This Row],[Audit Candidate 10]])), Audit[[#This Row],[Audit Candidate 10]]-Audit[[#This Row],[Candidate 10]], "")</f>
        <v/>
      </c>
      <c r="AO17" s="17" t="str">
        <f>IF(NOT(ISBLANK(Audit[[#This Row],[Audit Candidate 11]])), Audit[[#This Row],[Audit Candidate 11]]-Audit[[#This Row],[Candidate 11]], "")</f>
        <v/>
      </c>
      <c r="AP17" s="17" t="str">
        <f>IF(NOT(ISBLANK(Audit[[#This Row],[Audit Candidate 12]])), Audit[[#This Row],[Audit Candidate 12]]-Audit[[#This Row],[Candidate 12]], "")</f>
        <v/>
      </c>
      <c r="AQ17" s="17">
        <f>SUMIF(Audit[[#This Row],[Difference Winner]:[Difference Candidate 12]], "&gt;0")</f>
        <v>0</v>
      </c>
      <c r="AR17" s="17">
        <f>SUM(Audit[[#This Row],[Difference Winner]:[Difference Candidate 12]])</f>
        <v>0</v>
      </c>
      <c r="AS17" s="17">
        <f>IF(Audit[[#This Row],[Times p Drawn - With Replacement]]&gt;0, IF(Audit[[#This Row],[Canceled Differences]]&lt;0, Audit[[#This Row],[Max Differences]]+ABS(Audit[[#This Row],[Canceled Differences]]), Audit[[#This Row],[Max Differences]]), 0)</f>
        <v>0</v>
      </c>
      <c r="AT17" s="17">
        <f>'Sampling Data'!AB17</f>
        <v>1.9181802749957563E-2</v>
      </c>
      <c r="AU17" s="17">
        <f>IF(
      SUM(Audit[[#This Row],[Audit Losing Candidate]:[Audit Candidate 12]])
      &lt;&gt;0,
      (Audit[[#This Row],[Winning Candidate]]-Audit[[#This Row],[Losing Candidate]]-(Audit[[#This Row],[Audit Winning Candidate]]-Audit[[#This Row],[Audit Losing Candidate]]))/(Audit[[#Totals],[Winning Candidate]]-Audit[[#Totals],[Losing Candidate]]),
      0
)</f>
        <v>0</v>
      </c>
      <c r="AV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 s="17">
        <f>IF(Audit[[#This Row],[Max Relative Error (ep)]] = 0, 0, Audit[[#This Row],[Max Relative Error (ep)]]/Audit[[#This Row],[Error Bound (up) - Max. possible relative overstatement]])</f>
        <v>0</v>
      </c>
      <c r="BH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7" s="17">
        <f t="shared" si="1"/>
        <v>1</v>
      </c>
      <c r="BJ17" s="17">
        <f>PRODUCT($BI$5:BI17)</f>
        <v>1</v>
      </c>
      <c r="BK17" s="19">
        <f>1 - Audit[[#This Row],[K-M P Value]]</f>
        <v>0</v>
      </c>
      <c r="BL17" s="17" t="str">
        <f>IF(Audit[[#This Row],[K-M P Value]]&gt;1-'General Info'!$B$12,"Continue", "Stop")</f>
        <v>Continue</v>
      </c>
      <c r="BM17" s="22" t="b">
        <f>IF(Audit[[#This Row],[Status - Continue or stop audit]] = "Continue", TRUE, IF(BL16 = "Continue", TRUE, FALSE))</f>
        <v>1</v>
      </c>
      <c r="BN17" s="22"/>
    </row>
    <row r="18" spans="1:66" ht="15" hidden="1" customHeight="1" x14ac:dyDescent="0.35">
      <c r="A18" s="17" t="str">
        <f>'Sampling Data'!AI18</f>
        <v/>
      </c>
      <c r="B18" s="17" t="str">
        <f>'Sampling Data'!A18</f>
        <v>0201 CIN 2-A   (AV)</v>
      </c>
      <c r="C18" s="17">
        <f>'Sampling Data'!B18</f>
        <v>416</v>
      </c>
      <c r="D18" s="17">
        <f>'Sampling Data'!C18</f>
        <v>118</v>
      </c>
      <c r="E18" s="18">
        <f>'Sampling Data'!D18</f>
        <v>0</v>
      </c>
      <c r="F18" s="18">
        <f>'Sampling Data'!E18</f>
        <v>0</v>
      </c>
      <c r="G18" s="18">
        <f>'Sampling Data'!F18</f>
        <v>0</v>
      </c>
      <c r="H18" s="18">
        <f>'Sampling Data'!G18</f>
        <v>0</v>
      </c>
      <c r="I18" s="18">
        <f>'Sampling Data'!H18</f>
        <v>0</v>
      </c>
      <c r="J18" s="18">
        <f>'Sampling Data'!I18</f>
        <v>0</v>
      </c>
      <c r="K18" s="18">
        <f>'Sampling Data'!J18</f>
        <v>0</v>
      </c>
      <c r="L18" s="18">
        <f>'Sampling Data'!K18</f>
        <v>0</v>
      </c>
      <c r="M18" s="18">
        <f>'Sampling Data'!L18</f>
        <v>0</v>
      </c>
      <c r="N18" s="18">
        <f>'Sampling Data'!M18</f>
        <v>0</v>
      </c>
      <c r="O18" s="17">
        <f>'Sampling Data'!N18</f>
        <v>0</v>
      </c>
      <c r="P18" s="17">
        <f>'Sampling Data'!O18</f>
        <v>42</v>
      </c>
      <c r="Q18" s="17">
        <f>'Sampling Data'!P18</f>
        <v>576</v>
      </c>
      <c r="R18" s="17">
        <f>'Sampling Data'!AJ18</f>
        <v>0</v>
      </c>
      <c r="S18" s="111"/>
      <c r="T18" s="111"/>
      <c r="U18" s="112"/>
      <c r="V18" s="112"/>
      <c r="W18" s="111"/>
      <c r="X18" s="111"/>
      <c r="Y18" s="111"/>
      <c r="Z18" s="111"/>
      <c r="AA18" s="14"/>
      <c r="AB18" s="14"/>
      <c r="AC18" s="14"/>
      <c r="AD18" s="14"/>
      <c r="AE18" s="113" t="str">
        <f>IF(NOT(ISBLANK(Audit[[#This Row],[Audit Winning Candidate]])), Audit[[#This Row],[Audit Winning Candidate]]-Audit[[#This Row],[Winning Candidate]], "")</f>
        <v/>
      </c>
      <c r="AF18" s="17" t="str">
        <f>IF(NOT(ISBLANK(Audit[[#This Row],[Audit Losing Candidate]])), Audit[[#This Row],[Audit Losing Candidate]]-Audit[[#This Row],[Losing Candidate]], "")</f>
        <v/>
      </c>
      <c r="AG18" s="17" t="str">
        <f>IF(NOT(ISBLANK(Audit[[#This Row],[Audit Candidate 3]])), Audit[[#This Row],[Audit Candidate 3]]-Audit[[#This Row],[Candidate 3]], "")</f>
        <v/>
      </c>
      <c r="AH18" s="17" t="str">
        <f>IF(NOT(ISBLANK(Audit[[#This Row],[Audit Candidate 4]])),Audit[[#This Row],[Audit Candidate 4]]-Audit[[#This Row],[Candidate 4]], "")</f>
        <v/>
      </c>
      <c r="AI18" s="17" t="str">
        <f>IF(NOT(ISBLANK(Audit[[#This Row],[Audit Candidate 5]])), Audit[[#This Row],[Audit Candidate 5]]-Audit[[#This Row],[Candidate 5]], "")</f>
        <v/>
      </c>
      <c r="AJ18" s="17" t="str">
        <f>IF(NOT(ISBLANK(Audit[[#This Row],[Audit Candidate 6]])), Audit[[#This Row],[Audit Candidate 6]]-Audit[[#This Row],[Candidate 6]], "")</f>
        <v/>
      </c>
      <c r="AK18" s="17" t="str">
        <f>IF(NOT(ISBLANK(Audit[[#This Row],[Audit Candidate 7]])), Audit[[#This Row],[Audit Candidate 7]]-Audit[[#This Row],[Candidate 7]], "")</f>
        <v/>
      </c>
      <c r="AL18" s="17" t="str">
        <f>IF(NOT(ISBLANK(Audit[[#This Row],[Audit Candidate 8]])), Audit[[#This Row],[Audit Candidate 8]]-Audit[[#This Row],[Candidate 8]], "")</f>
        <v/>
      </c>
      <c r="AM18" s="17" t="str">
        <f>IF(NOT(ISBLANK(Audit[[#This Row],[Audit Candidate 9]])), Audit[[#This Row],[Audit Candidate 9]]-Audit[[#This Row],[Candidate 9]], "")</f>
        <v/>
      </c>
      <c r="AN18" s="17" t="str">
        <f>IF(NOT(ISBLANK(Audit[[#This Row],[Audit Candidate 10]])), Audit[[#This Row],[Audit Candidate 10]]-Audit[[#This Row],[Candidate 10]], "")</f>
        <v/>
      </c>
      <c r="AO18" s="17" t="str">
        <f>IF(NOT(ISBLANK(Audit[[#This Row],[Audit Candidate 11]])), Audit[[#This Row],[Audit Candidate 11]]-Audit[[#This Row],[Candidate 11]], "")</f>
        <v/>
      </c>
      <c r="AP18" s="17" t="str">
        <f>IF(NOT(ISBLANK(Audit[[#This Row],[Audit Candidate 12]])), Audit[[#This Row],[Audit Candidate 12]]-Audit[[#This Row],[Candidate 12]], "")</f>
        <v/>
      </c>
      <c r="AQ18" s="17">
        <f>SUMIF(Audit[[#This Row],[Difference Winner]:[Difference Candidate 12]], "&gt;0")</f>
        <v>0</v>
      </c>
      <c r="AR18" s="17">
        <f>SUM(Audit[[#This Row],[Difference Winner]:[Difference Candidate 12]])</f>
        <v>0</v>
      </c>
      <c r="AS18" s="17">
        <f>IF(Audit[[#This Row],[Times p Drawn - With Replacement]]&gt;0, IF(Audit[[#This Row],[Canceled Differences]]&lt;0, Audit[[#This Row],[Max Differences]]+ABS(Audit[[#This Row],[Canceled Differences]]), Audit[[#This Row],[Max Differences]]), 0)</f>
        <v>0</v>
      </c>
      <c r="AT18" s="17">
        <f>'Sampling Data'!AB18</f>
        <v>3.7090476998811746E-2</v>
      </c>
      <c r="AU18" s="17">
        <f>IF(
      SUM(Audit[[#This Row],[Audit Losing Candidate]:[Audit Candidate 12]])
      &lt;&gt;0,
      (Audit[[#This Row],[Winning Candidate]]-Audit[[#This Row],[Losing Candidate]]-(Audit[[#This Row],[Audit Winning Candidate]]-Audit[[#This Row],[Audit Losing Candidate]]))/(Audit[[#Totals],[Winning Candidate]]-Audit[[#Totals],[Losing Candidate]]),
      0
)</f>
        <v>0</v>
      </c>
      <c r="AV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 s="17">
        <f>IF(Audit[[#This Row],[Max Relative Error (ep)]] = 0, 0, Audit[[#This Row],[Max Relative Error (ep)]]/Audit[[#This Row],[Error Bound (up) - Max. possible relative overstatement]])</f>
        <v>0</v>
      </c>
      <c r="BH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8" s="17">
        <f t="shared" si="1"/>
        <v>1</v>
      </c>
      <c r="BJ18" s="17">
        <f>PRODUCT($BI$5:BI18)</f>
        <v>1</v>
      </c>
      <c r="BK18" s="19">
        <f>1 - Audit[[#This Row],[K-M P Value]]</f>
        <v>0</v>
      </c>
      <c r="BL18" s="17" t="str">
        <f>IF(Audit[[#This Row],[K-M P Value]]&gt;1-'General Info'!$B$12,"Continue", "Stop")</f>
        <v>Continue</v>
      </c>
      <c r="BM18" s="22" t="b">
        <f>IF(Audit[[#This Row],[Status - Continue or stop audit]] = "Continue", TRUE, IF(BL17 = "Continue", TRUE, FALSE))</f>
        <v>1</v>
      </c>
      <c r="BN18" s="22"/>
    </row>
    <row r="19" spans="1:66" ht="15" hidden="1" customHeight="1" x14ac:dyDescent="0.35">
      <c r="A19" s="17" t="str">
        <f>'Sampling Data'!AI19</f>
        <v/>
      </c>
      <c r="B19" s="17" t="str">
        <f>'Sampling Data'!A19</f>
        <v>0202 CIN 2-B   (AV)</v>
      </c>
      <c r="C19" s="17">
        <f>'Sampling Data'!B19</f>
        <v>373</v>
      </c>
      <c r="D19" s="17">
        <f>'Sampling Data'!C19</f>
        <v>155</v>
      </c>
      <c r="E19" s="18">
        <f>'Sampling Data'!D19</f>
        <v>0</v>
      </c>
      <c r="F19" s="18">
        <f>'Sampling Data'!E19</f>
        <v>0</v>
      </c>
      <c r="G19" s="18">
        <f>'Sampling Data'!F19</f>
        <v>0</v>
      </c>
      <c r="H19" s="18">
        <f>'Sampling Data'!G19</f>
        <v>0</v>
      </c>
      <c r="I19" s="18">
        <f>'Sampling Data'!H19</f>
        <v>0</v>
      </c>
      <c r="J19" s="18">
        <f>'Sampling Data'!I19</f>
        <v>0</v>
      </c>
      <c r="K19" s="18">
        <f>'Sampling Data'!J19</f>
        <v>0</v>
      </c>
      <c r="L19" s="18">
        <f>'Sampling Data'!K19</f>
        <v>0</v>
      </c>
      <c r="M19" s="18">
        <f>'Sampling Data'!L19</f>
        <v>0</v>
      </c>
      <c r="N19" s="18">
        <f>'Sampling Data'!M19</f>
        <v>0</v>
      </c>
      <c r="O19" s="17">
        <f>'Sampling Data'!N19</f>
        <v>1</v>
      </c>
      <c r="P19" s="17">
        <f>'Sampling Data'!O19</f>
        <v>35</v>
      </c>
      <c r="Q19" s="17">
        <f>'Sampling Data'!P19</f>
        <v>564</v>
      </c>
      <c r="R19" s="17">
        <f>'Sampling Data'!AJ19</f>
        <v>0</v>
      </c>
      <c r="S19" s="111"/>
      <c r="T19" s="111"/>
      <c r="U19" s="112"/>
      <c r="V19" s="112"/>
      <c r="W19" s="111"/>
      <c r="X19" s="111"/>
      <c r="Y19" s="111"/>
      <c r="Z19" s="111"/>
      <c r="AA19" s="14"/>
      <c r="AB19" s="14"/>
      <c r="AC19" s="14"/>
      <c r="AD19" s="14"/>
      <c r="AE19" s="113" t="str">
        <f>IF(NOT(ISBLANK(Audit[[#This Row],[Audit Winning Candidate]])), Audit[[#This Row],[Audit Winning Candidate]]-Audit[[#This Row],[Winning Candidate]], "")</f>
        <v/>
      </c>
      <c r="AF19" s="17" t="str">
        <f>IF(NOT(ISBLANK(Audit[[#This Row],[Audit Losing Candidate]])), Audit[[#This Row],[Audit Losing Candidate]]-Audit[[#This Row],[Losing Candidate]], "")</f>
        <v/>
      </c>
      <c r="AG19" s="17" t="str">
        <f>IF(NOT(ISBLANK(Audit[[#This Row],[Audit Candidate 3]])), Audit[[#This Row],[Audit Candidate 3]]-Audit[[#This Row],[Candidate 3]], "")</f>
        <v/>
      </c>
      <c r="AH19" s="17" t="str">
        <f>IF(NOT(ISBLANK(Audit[[#This Row],[Audit Candidate 4]])),Audit[[#This Row],[Audit Candidate 4]]-Audit[[#This Row],[Candidate 4]], "")</f>
        <v/>
      </c>
      <c r="AI19" s="17" t="str">
        <f>IF(NOT(ISBLANK(Audit[[#This Row],[Audit Candidate 5]])), Audit[[#This Row],[Audit Candidate 5]]-Audit[[#This Row],[Candidate 5]], "")</f>
        <v/>
      </c>
      <c r="AJ19" s="17" t="str">
        <f>IF(NOT(ISBLANK(Audit[[#This Row],[Audit Candidate 6]])), Audit[[#This Row],[Audit Candidate 6]]-Audit[[#This Row],[Candidate 6]], "")</f>
        <v/>
      </c>
      <c r="AK19" s="17" t="str">
        <f>IF(NOT(ISBLANK(Audit[[#This Row],[Audit Candidate 7]])), Audit[[#This Row],[Audit Candidate 7]]-Audit[[#This Row],[Candidate 7]], "")</f>
        <v/>
      </c>
      <c r="AL19" s="17" t="str">
        <f>IF(NOT(ISBLANK(Audit[[#This Row],[Audit Candidate 8]])), Audit[[#This Row],[Audit Candidate 8]]-Audit[[#This Row],[Candidate 8]], "")</f>
        <v/>
      </c>
      <c r="AM19" s="17" t="str">
        <f>IF(NOT(ISBLANK(Audit[[#This Row],[Audit Candidate 9]])), Audit[[#This Row],[Audit Candidate 9]]-Audit[[#This Row],[Candidate 9]], "")</f>
        <v/>
      </c>
      <c r="AN19" s="17" t="str">
        <f>IF(NOT(ISBLANK(Audit[[#This Row],[Audit Candidate 10]])), Audit[[#This Row],[Audit Candidate 10]]-Audit[[#This Row],[Candidate 10]], "")</f>
        <v/>
      </c>
      <c r="AO19" s="17" t="str">
        <f>IF(NOT(ISBLANK(Audit[[#This Row],[Audit Candidate 11]])), Audit[[#This Row],[Audit Candidate 11]]-Audit[[#This Row],[Candidate 11]], "")</f>
        <v/>
      </c>
      <c r="AP19" s="17" t="str">
        <f>IF(NOT(ISBLANK(Audit[[#This Row],[Audit Candidate 12]])), Audit[[#This Row],[Audit Candidate 12]]-Audit[[#This Row],[Candidate 12]], "")</f>
        <v/>
      </c>
      <c r="AQ19" s="17">
        <f>SUMIF(Audit[[#This Row],[Difference Winner]:[Difference Candidate 12]], "&gt;0")</f>
        <v>0</v>
      </c>
      <c r="AR19" s="17">
        <f>SUM(Audit[[#This Row],[Difference Winner]:[Difference Candidate 12]])</f>
        <v>0</v>
      </c>
      <c r="AS19" s="17">
        <f>IF(Audit[[#This Row],[Times p Drawn - With Replacement]]&gt;0, IF(Audit[[#This Row],[Canceled Differences]]&lt;0, Audit[[#This Row],[Max Differences]]+ABS(Audit[[#This Row],[Canceled Differences]]), Audit[[#This Row],[Max Differences]]), 0)</f>
        <v>0</v>
      </c>
      <c r="AT19" s="17">
        <f>'Sampling Data'!AB19</f>
        <v>3.3186216262094718E-2</v>
      </c>
      <c r="AU19" s="17">
        <f>IF(
      SUM(Audit[[#This Row],[Audit Losing Candidate]:[Audit Candidate 12]])
      &lt;&gt;0,
      (Audit[[#This Row],[Winning Candidate]]-Audit[[#This Row],[Losing Candidate]]-(Audit[[#This Row],[Audit Winning Candidate]]-Audit[[#This Row],[Audit Losing Candidate]]))/(Audit[[#Totals],[Winning Candidate]]-Audit[[#Totals],[Losing Candidate]]),
      0
)</f>
        <v>0</v>
      </c>
      <c r="AV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 s="17">
        <f>IF(Audit[[#This Row],[Max Relative Error (ep)]] = 0, 0, Audit[[#This Row],[Max Relative Error (ep)]]/Audit[[#This Row],[Error Bound (up) - Max. possible relative overstatement]])</f>
        <v>0</v>
      </c>
      <c r="BH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9" s="17">
        <f t="shared" si="1"/>
        <v>1</v>
      </c>
      <c r="BJ19" s="17">
        <f>PRODUCT($BI$5:BI19)</f>
        <v>1</v>
      </c>
      <c r="BK19" s="19">
        <f>1 - Audit[[#This Row],[K-M P Value]]</f>
        <v>0</v>
      </c>
      <c r="BL19" s="17" t="str">
        <f>IF(Audit[[#This Row],[K-M P Value]]&gt;1-'General Info'!$B$12,"Continue", "Stop")</f>
        <v>Continue</v>
      </c>
      <c r="BM19" s="22" t="b">
        <f>IF(Audit[[#This Row],[Status - Continue or stop audit]] = "Continue", TRUE, IF(BL18 = "Continue", TRUE, FALSE))</f>
        <v>1</v>
      </c>
      <c r="BN19" s="22"/>
    </row>
    <row r="20" spans="1:66" ht="15" hidden="1" customHeight="1" x14ac:dyDescent="0.35">
      <c r="A20" s="17" t="str">
        <f>'Sampling Data'!AI20</f>
        <v/>
      </c>
      <c r="B20" s="17" t="str">
        <f>'Sampling Data'!A20</f>
        <v>0203 CIN 2-C   (AV)</v>
      </c>
      <c r="C20" s="17">
        <f>'Sampling Data'!B20</f>
        <v>331</v>
      </c>
      <c r="D20" s="17">
        <f>'Sampling Data'!C20</f>
        <v>121</v>
      </c>
      <c r="E20" s="18">
        <f>'Sampling Data'!D20</f>
        <v>0</v>
      </c>
      <c r="F20" s="18">
        <f>'Sampling Data'!E20</f>
        <v>0</v>
      </c>
      <c r="G20" s="18">
        <f>'Sampling Data'!F20</f>
        <v>0</v>
      </c>
      <c r="H20" s="18">
        <f>'Sampling Data'!G20</f>
        <v>0</v>
      </c>
      <c r="I20" s="18">
        <f>'Sampling Data'!H20</f>
        <v>0</v>
      </c>
      <c r="J20" s="18">
        <f>'Sampling Data'!I20</f>
        <v>0</v>
      </c>
      <c r="K20" s="18">
        <f>'Sampling Data'!J20</f>
        <v>0</v>
      </c>
      <c r="L20" s="18">
        <f>'Sampling Data'!K20</f>
        <v>0</v>
      </c>
      <c r="M20" s="18">
        <f>'Sampling Data'!L20</f>
        <v>0</v>
      </c>
      <c r="N20" s="18">
        <f>'Sampling Data'!M20</f>
        <v>0</v>
      </c>
      <c r="O20" s="17">
        <f>'Sampling Data'!N20</f>
        <v>0</v>
      </c>
      <c r="P20" s="17">
        <f>'Sampling Data'!O20</f>
        <v>31</v>
      </c>
      <c r="Q20" s="17">
        <f>'Sampling Data'!P20</f>
        <v>483</v>
      </c>
      <c r="R20" s="17">
        <f>'Sampling Data'!AJ20</f>
        <v>0</v>
      </c>
      <c r="S20" s="111"/>
      <c r="T20" s="111"/>
      <c r="U20" s="112"/>
      <c r="V20" s="112"/>
      <c r="W20" s="111"/>
      <c r="X20" s="111"/>
      <c r="Y20" s="111"/>
      <c r="Z20" s="111"/>
      <c r="AA20" s="14"/>
      <c r="AB20" s="14"/>
      <c r="AC20" s="14"/>
      <c r="AD20" s="14"/>
      <c r="AE20" s="113" t="str">
        <f>IF(NOT(ISBLANK(Audit[[#This Row],[Audit Winning Candidate]])), Audit[[#This Row],[Audit Winning Candidate]]-Audit[[#This Row],[Winning Candidate]], "")</f>
        <v/>
      </c>
      <c r="AF20" s="17" t="str">
        <f>IF(NOT(ISBLANK(Audit[[#This Row],[Audit Losing Candidate]])), Audit[[#This Row],[Audit Losing Candidate]]-Audit[[#This Row],[Losing Candidate]], "")</f>
        <v/>
      </c>
      <c r="AG20" s="17" t="str">
        <f>IF(NOT(ISBLANK(Audit[[#This Row],[Audit Candidate 3]])), Audit[[#This Row],[Audit Candidate 3]]-Audit[[#This Row],[Candidate 3]], "")</f>
        <v/>
      </c>
      <c r="AH20" s="17" t="str">
        <f>IF(NOT(ISBLANK(Audit[[#This Row],[Audit Candidate 4]])),Audit[[#This Row],[Audit Candidate 4]]-Audit[[#This Row],[Candidate 4]], "")</f>
        <v/>
      </c>
      <c r="AI20" s="17" t="str">
        <f>IF(NOT(ISBLANK(Audit[[#This Row],[Audit Candidate 5]])), Audit[[#This Row],[Audit Candidate 5]]-Audit[[#This Row],[Candidate 5]], "")</f>
        <v/>
      </c>
      <c r="AJ20" s="17" t="str">
        <f>IF(NOT(ISBLANK(Audit[[#This Row],[Audit Candidate 6]])), Audit[[#This Row],[Audit Candidate 6]]-Audit[[#This Row],[Candidate 6]], "")</f>
        <v/>
      </c>
      <c r="AK20" s="17" t="str">
        <f>IF(NOT(ISBLANK(Audit[[#This Row],[Audit Candidate 7]])), Audit[[#This Row],[Audit Candidate 7]]-Audit[[#This Row],[Candidate 7]], "")</f>
        <v/>
      </c>
      <c r="AL20" s="17" t="str">
        <f>IF(NOT(ISBLANK(Audit[[#This Row],[Audit Candidate 8]])), Audit[[#This Row],[Audit Candidate 8]]-Audit[[#This Row],[Candidate 8]], "")</f>
        <v/>
      </c>
      <c r="AM20" s="17" t="str">
        <f>IF(NOT(ISBLANK(Audit[[#This Row],[Audit Candidate 9]])), Audit[[#This Row],[Audit Candidate 9]]-Audit[[#This Row],[Candidate 9]], "")</f>
        <v/>
      </c>
      <c r="AN20" s="17" t="str">
        <f>IF(NOT(ISBLANK(Audit[[#This Row],[Audit Candidate 10]])), Audit[[#This Row],[Audit Candidate 10]]-Audit[[#This Row],[Candidate 10]], "")</f>
        <v/>
      </c>
      <c r="AO20" s="17" t="str">
        <f>IF(NOT(ISBLANK(Audit[[#This Row],[Audit Candidate 11]])), Audit[[#This Row],[Audit Candidate 11]]-Audit[[#This Row],[Candidate 11]], "")</f>
        <v/>
      </c>
      <c r="AP20" s="17" t="str">
        <f>IF(NOT(ISBLANK(Audit[[#This Row],[Audit Candidate 12]])), Audit[[#This Row],[Audit Candidate 12]]-Audit[[#This Row],[Candidate 12]], "")</f>
        <v/>
      </c>
      <c r="AQ20" s="17">
        <f>SUMIF(Audit[[#This Row],[Difference Winner]:[Difference Candidate 12]], "&gt;0")</f>
        <v>0</v>
      </c>
      <c r="AR20" s="17">
        <f>SUM(Audit[[#This Row],[Difference Winner]:[Difference Candidate 12]])</f>
        <v>0</v>
      </c>
      <c r="AS20" s="17">
        <f>IF(Audit[[#This Row],[Times p Drawn - With Replacement]]&gt;0, IF(Audit[[#This Row],[Canceled Differences]]&lt;0, Audit[[#This Row],[Max Differences]]+ABS(Audit[[#This Row],[Canceled Differences]]), Audit[[#This Row],[Max Differences]]), 0)</f>
        <v>0</v>
      </c>
      <c r="AT20" s="17">
        <f>'Sampling Data'!AB20</f>
        <v>2.9409268375488032E-2</v>
      </c>
      <c r="AU20" s="17">
        <f>IF(
      SUM(Audit[[#This Row],[Audit Losing Candidate]:[Audit Candidate 12]])
      &lt;&gt;0,
      (Audit[[#This Row],[Winning Candidate]]-Audit[[#This Row],[Losing Candidate]]-(Audit[[#This Row],[Audit Winning Candidate]]-Audit[[#This Row],[Audit Losing Candidate]]))/(Audit[[#Totals],[Winning Candidate]]-Audit[[#Totals],[Losing Candidate]]),
      0
)</f>
        <v>0</v>
      </c>
      <c r="AV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 s="17">
        <f>IF(Audit[[#This Row],[Max Relative Error (ep)]] = 0, 0, Audit[[#This Row],[Max Relative Error (ep)]]/Audit[[#This Row],[Error Bound (up) - Max. possible relative overstatement]])</f>
        <v>0</v>
      </c>
      <c r="BH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0" s="17">
        <f t="shared" si="1"/>
        <v>1</v>
      </c>
      <c r="BJ20" s="17">
        <f>PRODUCT($BI$5:BI20)</f>
        <v>1</v>
      </c>
      <c r="BK20" s="19">
        <f>1 - Audit[[#This Row],[K-M P Value]]</f>
        <v>0</v>
      </c>
      <c r="BL20" s="17" t="str">
        <f>IF(Audit[[#This Row],[K-M P Value]]&gt;1-'General Info'!$B$12,"Continue", "Stop")</f>
        <v>Continue</v>
      </c>
      <c r="BM20" s="22" t="b">
        <f>IF(Audit[[#This Row],[Status - Continue or stop audit]] = "Continue", TRUE, IF(BL19 = "Continue", TRUE, FALSE))</f>
        <v>1</v>
      </c>
      <c r="BN20" s="22"/>
    </row>
    <row r="21" spans="1:66" ht="15" hidden="1" customHeight="1" x14ac:dyDescent="0.35">
      <c r="A21" s="17" t="str">
        <f>'Sampling Data'!AI21</f>
        <v/>
      </c>
      <c r="B21" s="17" t="str">
        <f>'Sampling Data'!A21</f>
        <v>0204 CIN 2-D   (AV)</v>
      </c>
      <c r="C21" s="17">
        <f>'Sampling Data'!B21</f>
        <v>313</v>
      </c>
      <c r="D21" s="17">
        <f>'Sampling Data'!C21</f>
        <v>131</v>
      </c>
      <c r="E21" s="18">
        <f>'Sampling Data'!D21</f>
        <v>0</v>
      </c>
      <c r="F21" s="18">
        <f>'Sampling Data'!E21</f>
        <v>0</v>
      </c>
      <c r="G21" s="18">
        <f>'Sampling Data'!F21</f>
        <v>0</v>
      </c>
      <c r="H21" s="18">
        <f>'Sampling Data'!G21</f>
        <v>0</v>
      </c>
      <c r="I21" s="18">
        <f>'Sampling Data'!H21</f>
        <v>0</v>
      </c>
      <c r="J21" s="18">
        <f>'Sampling Data'!I21</f>
        <v>0</v>
      </c>
      <c r="K21" s="18">
        <f>'Sampling Data'!J21</f>
        <v>0</v>
      </c>
      <c r="L21" s="18">
        <f>'Sampling Data'!K21</f>
        <v>0</v>
      </c>
      <c r="M21" s="18">
        <f>'Sampling Data'!L21</f>
        <v>0</v>
      </c>
      <c r="N21" s="18">
        <f>'Sampling Data'!M21</f>
        <v>0</v>
      </c>
      <c r="O21" s="17">
        <f>'Sampling Data'!N21</f>
        <v>0</v>
      </c>
      <c r="P21" s="17">
        <f>'Sampling Data'!O21</f>
        <v>22</v>
      </c>
      <c r="Q21" s="17">
        <f>'Sampling Data'!P21</f>
        <v>466</v>
      </c>
      <c r="R21" s="17">
        <f>'Sampling Data'!AJ21</f>
        <v>0</v>
      </c>
      <c r="S21" s="111"/>
      <c r="T21" s="111"/>
      <c r="U21" s="112"/>
      <c r="V21" s="112"/>
      <c r="W21" s="111"/>
      <c r="X21" s="111"/>
      <c r="Y21" s="111"/>
      <c r="Z21" s="111"/>
      <c r="AA21" s="14"/>
      <c r="AB21" s="14"/>
      <c r="AC21" s="14"/>
      <c r="AD21" s="14"/>
      <c r="AE21" s="113" t="str">
        <f>IF(NOT(ISBLANK(Audit[[#This Row],[Audit Winning Candidate]])), Audit[[#This Row],[Audit Winning Candidate]]-Audit[[#This Row],[Winning Candidate]], "")</f>
        <v/>
      </c>
      <c r="AF21" s="17" t="str">
        <f>IF(NOT(ISBLANK(Audit[[#This Row],[Audit Losing Candidate]])), Audit[[#This Row],[Audit Losing Candidate]]-Audit[[#This Row],[Losing Candidate]], "")</f>
        <v/>
      </c>
      <c r="AG21" s="17" t="str">
        <f>IF(NOT(ISBLANK(Audit[[#This Row],[Audit Candidate 3]])), Audit[[#This Row],[Audit Candidate 3]]-Audit[[#This Row],[Candidate 3]], "")</f>
        <v/>
      </c>
      <c r="AH21" s="17" t="str">
        <f>IF(NOT(ISBLANK(Audit[[#This Row],[Audit Candidate 4]])),Audit[[#This Row],[Audit Candidate 4]]-Audit[[#This Row],[Candidate 4]], "")</f>
        <v/>
      </c>
      <c r="AI21" s="17" t="str">
        <f>IF(NOT(ISBLANK(Audit[[#This Row],[Audit Candidate 5]])), Audit[[#This Row],[Audit Candidate 5]]-Audit[[#This Row],[Candidate 5]], "")</f>
        <v/>
      </c>
      <c r="AJ21" s="17" t="str">
        <f>IF(NOT(ISBLANK(Audit[[#This Row],[Audit Candidate 6]])), Audit[[#This Row],[Audit Candidate 6]]-Audit[[#This Row],[Candidate 6]], "")</f>
        <v/>
      </c>
      <c r="AK21" s="17" t="str">
        <f>IF(NOT(ISBLANK(Audit[[#This Row],[Audit Candidate 7]])), Audit[[#This Row],[Audit Candidate 7]]-Audit[[#This Row],[Candidate 7]], "")</f>
        <v/>
      </c>
      <c r="AL21" s="17" t="str">
        <f>IF(NOT(ISBLANK(Audit[[#This Row],[Audit Candidate 8]])), Audit[[#This Row],[Audit Candidate 8]]-Audit[[#This Row],[Candidate 8]], "")</f>
        <v/>
      </c>
      <c r="AM21" s="17" t="str">
        <f>IF(NOT(ISBLANK(Audit[[#This Row],[Audit Candidate 9]])), Audit[[#This Row],[Audit Candidate 9]]-Audit[[#This Row],[Candidate 9]], "")</f>
        <v/>
      </c>
      <c r="AN21" s="17" t="str">
        <f>IF(NOT(ISBLANK(Audit[[#This Row],[Audit Candidate 10]])), Audit[[#This Row],[Audit Candidate 10]]-Audit[[#This Row],[Candidate 10]], "")</f>
        <v/>
      </c>
      <c r="AO21" s="17" t="str">
        <f>IF(NOT(ISBLANK(Audit[[#This Row],[Audit Candidate 11]])), Audit[[#This Row],[Audit Candidate 11]]-Audit[[#This Row],[Candidate 11]], "")</f>
        <v/>
      </c>
      <c r="AP21" s="17" t="str">
        <f>IF(NOT(ISBLANK(Audit[[#This Row],[Audit Candidate 12]])), Audit[[#This Row],[Audit Candidate 12]]-Audit[[#This Row],[Candidate 12]], "")</f>
        <v/>
      </c>
      <c r="AQ21" s="17">
        <f>SUMIF(Audit[[#This Row],[Difference Winner]:[Difference Candidate 12]], "&gt;0")</f>
        <v>0</v>
      </c>
      <c r="AR21" s="17">
        <f>SUM(Audit[[#This Row],[Difference Winner]:[Difference Candidate 12]])</f>
        <v>0</v>
      </c>
      <c r="AS21" s="17">
        <f>IF(Audit[[#This Row],[Times p Drawn - With Replacement]]&gt;0, IF(Audit[[#This Row],[Canceled Differences]]&lt;0, Audit[[#This Row],[Max Differences]]+ABS(Audit[[#This Row],[Canceled Differences]]), Audit[[#This Row],[Max Differences]]), 0)</f>
        <v>0</v>
      </c>
      <c r="AT21" s="17">
        <f>'Sampling Data'!AB21</f>
        <v>2.7499575623832966E-2</v>
      </c>
      <c r="AU21" s="17">
        <f>IF(
      SUM(Audit[[#This Row],[Audit Losing Candidate]:[Audit Candidate 12]])
      &lt;&gt;0,
      (Audit[[#This Row],[Winning Candidate]]-Audit[[#This Row],[Losing Candidate]]-(Audit[[#This Row],[Audit Winning Candidate]]-Audit[[#This Row],[Audit Losing Candidate]]))/(Audit[[#Totals],[Winning Candidate]]-Audit[[#Totals],[Losing Candidate]]),
      0
)</f>
        <v>0</v>
      </c>
      <c r="AV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 s="17">
        <f>IF(Audit[[#This Row],[Max Relative Error (ep)]] = 0, 0, Audit[[#This Row],[Max Relative Error (ep)]]/Audit[[#This Row],[Error Bound (up) - Max. possible relative overstatement]])</f>
        <v>0</v>
      </c>
      <c r="BH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1" s="17">
        <f t="shared" si="1"/>
        <v>1</v>
      </c>
      <c r="BJ21" s="17">
        <f>PRODUCT($BI$5:BI21)</f>
        <v>1</v>
      </c>
      <c r="BK21" s="19">
        <f>1 - Audit[[#This Row],[K-M P Value]]</f>
        <v>0</v>
      </c>
      <c r="BL21" s="17" t="str">
        <f>IF(Audit[[#This Row],[K-M P Value]]&gt;1-'General Info'!$B$12,"Continue", "Stop")</f>
        <v>Continue</v>
      </c>
      <c r="BM21" s="22" t="b">
        <f>IF(Audit[[#This Row],[Status - Continue or stop audit]] = "Continue", TRUE, IF(BL20 = "Continue", TRUE, FALSE))</f>
        <v>1</v>
      </c>
      <c r="BN21" s="22"/>
    </row>
    <row r="22" spans="1:66" ht="15" hidden="1" customHeight="1" x14ac:dyDescent="0.35">
      <c r="A22" s="17" t="str">
        <f>'Sampling Data'!AI22</f>
        <v/>
      </c>
      <c r="B22" s="17" t="str">
        <f>'Sampling Data'!A22</f>
        <v>0205 CIN 2-E   (AV)</v>
      </c>
      <c r="C22" s="17">
        <f>'Sampling Data'!B22</f>
        <v>339</v>
      </c>
      <c r="D22" s="17">
        <f>'Sampling Data'!C22</f>
        <v>249</v>
      </c>
      <c r="E22" s="18">
        <f>'Sampling Data'!D22</f>
        <v>0</v>
      </c>
      <c r="F22" s="18">
        <f>'Sampling Data'!E22</f>
        <v>0</v>
      </c>
      <c r="G22" s="18">
        <f>'Sampling Data'!F22</f>
        <v>0</v>
      </c>
      <c r="H22" s="18">
        <f>'Sampling Data'!G22</f>
        <v>0</v>
      </c>
      <c r="I22" s="18">
        <f>'Sampling Data'!H22</f>
        <v>0</v>
      </c>
      <c r="J22" s="18">
        <f>'Sampling Data'!I22</f>
        <v>0</v>
      </c>
      <c r="K22" s="18">
        <f>'Sampling Data'!J22</f>
        <v>0</v>
      </c>
      <c r="L22" s="18">
        <f>'Sampling Data'!K22</f>
        <v>0</v>
      </c>
      <c r="M22" s="18">
        <f>'Sampling Data'!L22</f>
        <v>0</v>
      </c>
      <c r="N22" s="18">
        <f>'Sampling Data'!M22</f>
        <v>0</v>
      </c>
      <c r="O22" s="17">
        <f>'Sampling Data'!N22</f>
        <v>0</v>
      </c>
      <c r="P22" s="17">
        <f>'Sampling Data'!O22</f>
        <v>44</v>
      </c>
      <c r="Q22" s="17">
        <f>'Sampling Data'!P22</f>
        <v>632</v>
      </c>
      <c r="R22" s="17">
        <f>'Sampling Data'!AJ22</f>
        <v>0</v>
      </c>
      <c r="S22" s="111"/>
      <c r="T22" s="111"/>
      <c r="U22" s="112"/>
      <c r="V22" s="112"/>
      <c r="W22" s="111"/>
      <c r="X22" s="111"/>
      <c r="Y22" s="111"/>
      <c r="Z22" s="111"/>
      <c r="AA22" s="14"/>
      <c r="AB22" s="14"/>
      <c r="AC22" s="14"/>
      <c r="AD22" s="14"/>
      <c r="AE22" s="113" t="str">
        <f>IF(NOT(ISBLANK(Audit[[#This Row],[Audit Winning Candidate]])), Audit[[#This Row],[Audit Winning Candidate]]-Audit[[#This Row],[Winning Candidate]], "")</f>
        <v/>
      </c>
      <c r="AF22" s="17" t="str">
        <f>IF(NOT(ISBLANK(Audit[[#This Row],[Audit Losing Candidate]])), Audit[[#This Row],[Audit Losing Candidate]]-Audit[[#This Row],[Losing Candidate]], "")</f>
        <v/>
      </c>
      <c r="AG22" s="17" t="str">
        <f>IF(NOT(ISBLANK(Audit[[#This Row],[Audit Candidate 3]])), Audit[[#This Row],[Audit Candidate 3]]-Audit[[#This Row],[Candidate 3]], "")</f>
        <v/>
      </c>
      <c r="AH22" s="17" t="str">
        <f>IF(NOT(ISBLANK(Audit[[#This Row],[Audit Candidate 4]])),Audit[[#This Row],[Audit Candidate 4]]-Audit[[#This Row],[Candidate 4]], "")</f>
        <v/>
      </c>
      <c r="AI22" s="17" t="str">
        <f>IF(NOT(ISBLANK(Audit[[#This Row],[Audit Candidate 5]])), Audit[[#This Row],[Audit Candidate 5]]-Audit[[#This Row],[Candidate 5]], "")</f>
        <v/>
      </c>
      <c r="AJ22" s="17" t="str">
        <f>IF(NOT(ISBLANK(Audit[[#This Row],[Audit Candidate 6]])), Audit[[#This Row],[Audit Candidate 6]]-Audit[[#This Row],[Candidate 6]], "")</f>
        <v/>
      </c>
      <c r="AK22" s="17" t="str">
        <f>IF(NOT(ISBLANK(Audit[[#This Row],[Audit Candidate 7]])), Audit[[#This Row],[Audit Candidate 7]]-Audit[[#This Row],[Candidate 7]], "")</f>
        <v/>
      </c>
      <c r="AL22" s="17" t="str">
        <f>IF(NOT(ISBLANK(Audit[[#This Row],[Audit Candidate 8]])), Audit[[#This Row],[Audit Candidate 8]]-Audit[[#This Row],[Candidate 8]], "")</f>
        <v/>
      </c>
      <c r="AM22" s="17" t="str">
        <f>IF(NOT(ISBLANK(Audit[[#This Row],[Audit Candidate 9]])), Audit[[#This Row],[Audit Candidate 9]]-Audit[[#This Row],[Candidate 9]], "")</f>
        <v/>
      </c>
      <c r="AN22" s="17" t="str">
        <f>IF(NOT(ISBLANK(Audit[[#This Row],[Audit Candidate 10]])), Audit[[#This Row],[Audit Candidate 10]]-Audit[[#This Row],[Candidate 10]], "")</f>
        <v/>
      </c>
      <c r="AO22" s="17" t="str">
        <f>IF(NOT(ISBLANK(Audit[[#This Row],[Audit Candidate 11]])), Audit[[#This Row],[Audit Candidate 11]]-Audit[[#This Row],[Candidate 11]], "")</f>
        <v/>
      </c>
      <c r="AP22" s="17" t="str">
        <f>IF(NOT(ISBLANK(Audit[[#This Row],[Audit Candidate 12]])), Audit[[#This Row],[Audit Candidate 12]]-Audit[[#This Row],[Candidate 12]], "")</f>
        <v/>
      </c>
      <c r="AQ22" s="17">
        <f>SUMIF(Audit[[#This Row],[Difference Winner]:[Difference Candidate 12]], "&gt;0")</f>
        <v>0</v>
      </c>
      <c r="AR22" s="17">
        <f>SUM(Audit[[#This Row],[Difference Winner]:[Difference Candidate 12]])</f>
        <v>0</v>
      </c>
      <c r="AS22" s="17">
        <f>IF(Audit[[#This Row],[Times p Drawn - With Replacement]]&gt;0, IF(Audit[[#This Row],[Canceled Differences]]&lt;0, Audit[[#This Row],[Max Differences]]+ABS(Audit[[#This Row],[Canceled Differences]]), Audit[[#This Row],[Max Differences]]), 0)</f>
        <v>0</v>
      </c>
      <c r="AT22" s="17">
        <f>'Sampling Data'!AB22</f>
        <v>3.0639959259887963E-2</v>
      </c>
      <c r="AU22" s="17">
        <f>IF(
      SUM(Audit[[#This Row],[Audit Losing Candidate]:[Audit Candidate 12]])
      &lt;&gt;0,
      (Audit[[#This Row],[Winning Candidate]]-Audit[[#This Row],[Losing Candidate]]-(Audit[[#This Row],[Audit Winning Candidate]]-Audit[[#This Row],[Audit Losing Candidate]]))/(Audit[[#Totals],[Winning Candidate]]-Audit[[#Totals],[Losing Candidate]]),
      0
)</f>
        <v>0</v>
      </c>
      <c r="AV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 s="17">
        <f>IF(Audit[[#This Row],[Max Relative Error (ep)]] = 0, 0, Audit[[#This Row],[Max Relative Error (ep)]]/Audit[[#This Row],[Error Bound (up) - Max. possible relative overstatement]])</f>
        <v>0</v>
      </c>
      <c r="BH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2" s="17">
        <f t="shared" si="1"/>
        <v>1</v>
      </c>
      <c r="BJ22" s="17">
        <f>PRODUCT($BI$5:BI22)</f>
        <v>1</v>
      </c>
      <c r="BK22" s="19">
        <f>1 - Audit[[#This Row],[K-M P Value]]</f>
        <v>0</v>
      </c>
      <c r="BL22" s="17" t="str">
        <f>IF(Audit[[#This Row],[K-M P Value]]&gt;1-'General Info'!$B$12,"Continue", "Stop")</f>
        <v>Continue</v>
      </c>
      <c r="BM22" s="22" t="b">
        <f>IF(Audit[[#This Row],[Status - Continue or stop audit]] = "Continue", TRUE, IF(BL21 = "Continue", TRUE, FALSE))</f>
        <v>1</v>
      </c>
      <c r="BN22" s="22"/>
    </row>
    <row r="23" spans="1:66" ht="15" hidden="1" customHeight="1" x14ac:dyDescent="0.35">
      <c r="A23" s="17" t="str">
        <f>'Sampling Data'!AI23</f>
        <v/>
      </c>
      <c r="B23" s="17" t="str">
        <f>'Sampling Data'!A23</f>
        <v>0206 CIN 2-F   (AV)</v>
      </c>
      <c r="C23" s="17">
        <f>'Sampling Data'!B23</f>
        <v>363</v>
      </c>
      <c r="D23" s="17">
        <f>'Sampling Data'!C23</f>
        <v>66</v>
      </c>
      <c r="E23" s="18">
        <f>'Sampling Data'!D23</f>
        <v>0</v>
      </c>
      <c r="F23" s="18">
        <f>'Sampling Data'!E23</f>
        <v>0</v>
      </c>
      <c r="G23" s="18">
        <f>'Sampling Data'!F23</f>
        <v>0</v>
      </c>
      <c r="H23" s="18">
        <f>'Sampling Data'!G23</f>
        <v>0</v>
      </c>
      <c r="I23" s="18">
        <f>'Sampling Data'!H23</f>
        <v>0</v>
      </c>
      <c r="J23" s="18">
        <f>'Sampling Data'!I23</f>
        <v>0</v>
      </c>
      <c r="K23" s="18">
        <f>'Sampling Data'!J23</f>
        <v>0</v>
      </c>
      <c r="L23" s="18">
        <f>'Sampling Data'!K23</f>
        <v>0</v>
      </c>
      <c r="M23" s="18">
        <f>'Sampling Data'!L23</f>
        <v>0</v>
      </c>
      <c r="N23" s="18">
        <f>'Sampling Data'!M23</f>
        <v>0</v>
      </c>
      <c r="O23" s="17">
        <f>'Sampling Data'!N23</f>
        <v>1</v>
      </c>
      <c r="P23" s="17">
        <f>'Sampling Data'!O23</f>
        <v>16</v>
      </c>
      <c r="Q23" s="17">
        <f>'Sampling Data'!P23</f>
        <v>446</v>
      </c>
      <c r="R23" s="17">
        <f>'Sampling Data'!AJ23</f>
        <v>0</v>
      </c>
      <c r="S23" s="111"/>
      <c r="T23" s="111"/>
      <c r="U23" s="112"/>
      <c r="V23" s="112"/>
      <c r="W23" s="111"/>
      <c r="X23" s="111"/>
      <c r="Y23" s="111"/>
      <c r="Z23" s="111"/>
      <c r="AA23" s="14"/>
      <c r="AB23" s="14"/>
      <c r="AC23" s="14"/>
      <c r="AD23" s="14"/>
      <c r="AE23" s="113" t="str">
        <f>IF(NOT(ISBLANK(Audit[[#This Row],[Audit Winning Candidate]])), Audit[[#This Row],[Audit Winning Candidate]]-Audit[[#This Row],[Winning Candidate]], "")</f>
        <v/>
      </c>
      <c r="AF23" s="17" t="str">
        <f>IF(NOT(ISBLANK(Audit[[#This Row],[Audit Losing Candidate]])), Audit[[#This Row],[Audit Losing Candidate]]-Audit[[#This Row],[Losing Candidate]], "")</f>
        <v/>
      </c>
      <c r="AG23" s="17" t="str">
        <f>IF(NOT(ISBLANK(Audit[[#This Row],[Audit Candidate 3]])), Audit[[#This Row],[Audit Candidate 3]]-Audit[[#This Row],[Candidate 3]], "")</f>
        <v/>
      </c>
      <c r="AH23" s="17" t="str">
        <f>IF(NOT(ISBLANK(Audit[[#This Row],[Audit Candidate 4]])),Audit[[#This Row],[Audit Candidate 4]]-Audit[[#This Row],[Candidate 4]], "")</f>
        <v/>
      </c>
      <c r="AI23" s="17" t="str">
        <f>IF(NOT(ISBLANK(Audit[[#This Row],[Audit Candidate 5]])), Audit[[#This Row],[Audit Candidate 5]]-Audit[[#This Row],[Candidate 5]], "")</f>
        <v/>
      </c>
      <c r="AJ23" s="17" t="str">
        <f>IF(NOT(ISBLANK(Audit[[#This Row],[Audit Candidate 6]])), Audit[[#This Row],[Audit Candidate 6]]-Audit[[#This Row],[Candidate 6]], "")</f>
        <v/>
      </c>
      <c r="AK23" s="17" t="str">
        <f>IF(NOT(ISBLANK(Audit[[#This Row],[Audit Candidate 7]])), Audit[[#This Row],[Audit Candidate 7]]-Audit[[#This Row],[Candidate 7]], "")</f>
        <v/>
      </c>
      <c r="AL23" s="17" t="str">
        <f>IF(NOT(ISBLANK(Audit[[#This Row],[Audit Candidate 8]])), Audit[[#This Row],[Audit Candidate 8]]-Audit[[#This Row],[Candidate 8]], "")</f>
        <v/>
      </c>
      <c r="AM23" s="17" t="str">
        <f>IF(NOT(ISBLANK(Audit[[#This Row],[Audit Candidate 9]])), Audit[[#This Row],[Audit Candidate 9]]-Audit[[#This Row],[Candidate 9]], "")</f>
        <v/>
      </c>
      <c r="AN23" s="17" t="str">
        <f>IF(NOT(ISBLANK(Audit[[#This Row],[Audit Candidate 10]])), Audit[[#This Row],[Audit Candidate 10]]-Audit[[#This Row],[Candidate 10]], "")</f>
        <v/>
      </c>
      <c r="AO23" s="17" t="str">
        <f>IF(NOT(ISBLANK(Audit[[#This Row],[Audit Candidate 11]])), Audit[[#This Row],[Audit Candidate 11]]-Audit[[#This Row],[Candidate 11]], "")</f>
        <v/>
      </c>
      <c r="AP23" s="17" t="str">
        <f>IF(NOT(ISBLANK(Audit[[#This Row],[Audit Candidate 12]])), Audit[[#This Row],[Audit Candidate 12]]-Audit[[#This Row],[Candidate 12]], "")</f>
        <v/>
      </c>
      <c r="AQ23" s="17">
        <f>SUMIF(Audit[[#This Row],[Difference Winner]:[Difference Candidate 12]], "&gt;0")</f>
        <v>0</v>
      </c>
      <c r="AR23" s="17">
        <f>SUM(Audit[[#This Row],[Difference Winner]:[Difference Candidate 12]])</f>
        <v>0</v>
      </c>
      <c r="AS23" s="17">
        <f>IF(Audit[[#This Row],[Times p Drawn - With Replacement]]&gt;0, IF(Audit[[#This Row],[Canceled Differences]]&lt;0, Audit[[#This Row],[Max Differences]]+ABS(Audit[[#This Row],[Canceled Differences]]), Audit[[#This Row],[Max Differences]]), 0)</f>
        <v>0</v>
      </c>
      <c r="AT23" s="17">
        <f>'Sampling Data'!AB23</f>
        <v>3.1531149210660331E-2</v>
      </c>
      <c r="AU23" s="17">
        <f>IF(
      SUM(Audit[[#This Row],[Audit Losing Candidate]:[Audit Candidate 12]])
      &lt;&gt;0,
      (Audit[[#This Row],[Winning Candidate]]-Audit[[#This Row],[Losing Candidate]]-(Audit[[#This Row],[Audit Winning Candidate]]-Audit[[#This Row],[Audit Losing Candidate]]))/(Audit[[#Totals],[Winning Candidate]]-Audit[[#Totals],[Losing Candidate]]),
      0
)</f>
        <v>0</v>
      </c>
      <c r="AV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 s="17">
        <f>IF(Audit[[#This Row],[Max Relative Error (ep)]] = 0, 0, Audit[[#This Row],[Max Relative Error (ep)]]/Audit[[#This Row],[Error Bound (up) - Max. possible relative overstatement]])</f>
        <v>0</v>
      </c>
      <c r="BH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3" s="17">
        <f t="shared" si="1"/>
        <v>1</v>
      </c>
      <c r="BJ23" s="17">
        <f>PRODUCT($BI$5:BI23)</f>
        <v>1</v>
      </c>
      <c r="BK23" s="19">
        <f>1 - Audit[[#This Row],[K-M P Value]]</f>
        <v>0</v>
      </c>
      <c r="BL23" s="17" t="str">
        <f>IF(Audit[[#This Row],[K-M P Value]]&gt;1-'General Info'!$B$12,"Continue", "Stop")</f>
        <v>Continue</v>
      </c>
      <c r="BM23" s="22" t="b">
        <f>IF(Audit[[#This Row],[Status - Continue or stop audit]] = "Continue", TRUE, IF(BL22 = "Continue", TRUE, FALSE))</f>
        <v>1</v>
      </c>
      <c r="BN23" s="22"/>
    </row>
    <row r="24" spans="1:66" ht="15" hidden="1" customHeight="1" x14ac:dyDescent="0.35">
      <c r="A24" s="17" t="str">
        <f>'Sampling Data'!AI24</f>
        <v/>
      </c>
      <c r="B24" s="17" t="str">
        <f>'Sampling Data'!A24</f>
        <v>0207 CIN 2-G   (AV)</v>
      </c>
      <c r="C24" s="17">
        <f>'Sampling Data'!B24</f>
        <v>341</v>
      </c>
      <c r="D24" s="17">
        <f>'Sampling Data'!C24</f>
        <v>259</v>
      </c>
      <c r="E24" s="18">
        <f>'Sampling Data'!D24</f>
        <v>0</v>
      </c>
      <c r="F24" s="18">
        <f>'Sampling Data'!E24</f>
        <v>0</v>
      </c>
      <c r="G24" s="18">
        <f>'Sampling Data'!F24</f>
        <v>0</v>
      </c>
      <c r="H24" s="18">
        <f>'Sampling Data'!G24</f>
        <v>0</v>
      </c>
      <c r="I24" s="18">
        <f>'Sampling Data'!H24</f>
        <v>0</v>
      </c>
      <c r="J24" s="18">
        <f>'Sampling Data'!I24</f>
        <v>0</v>
      </c>
      <c r="K24" s="18">
        <f>'Sampling Data'!J24</f>
        <v>0</v>
      </c>
      <c r="L24" s="18">
        <f>'Sampling Data'!K24</f>
        <v>0</v>
      </c>
      <c r="M24" s="18">
        <f>'Sampling Data'!L24</f>
        <v>0</v>
      </c>
      <c r="N24" s="18">
        <f>'Sampling Data'!M24</f>
        <v>0</v>
      </c>
      <c r="O24" s="17">
        <f>'Sampling Data'!N24</f>
        <v>1</v>
      </c>
      <c r="P24" s="17">
        <f>'Sampling Data'!O24</f>
        <v>24</v>
      </c>
      <c r="Q24" s="17">
        <f>'Sampling Data'!P24</f>
        <v>625</v>
      </c>
      <c r="R24" s="17">
        <f>'Sampling Data'!AJ24</f>
        <v>0</v>
      </c>
      <c r="S24" s="111"/>
      <c r="T24" s="111"/>
      <c r="U24" s="112"/>
      <c r="V24" s="112"/>
      <c r="W24" s="111"/>
      <c r="X24" s="111"/>
      <c r="Y24" s="111"/>
      <c r="Z24" s="111"/>
      <c r="AA24" s="14"/>
      <c r="AB24" s="14"/>
      <c r="AC24" s="14"/>
      <c r="AD24" s="14"/>
      <c r="AE24" s="113" t="str">
        <f>IF(NOT(ISBLANK(Audit[[#This Row],[Audit Winning Candidate]])), Audit[[#This Row],[Audit Winning Candidate]]-Audit[[#This Row],[Winning Candidate]], "")</f>
        <v/>
      </c>
      <c r="AF24" s="17" t="str">
        <f>IF(NOT(ISBLANK(Audit[[#This Row],[Audit Losing Candidate]])), Audit[[#This Row],[Audit Losing Candidate]]-Audit[[#This Row],[Losing Candidate]], "")</f>
        <v/>
      </c>
      <c r="AG24" s="17" t="str">
        <f>IF(NOT(ISBLANK(Audit[[#This Row],[Audit Candidate 3]])), Audit[[#This Row],[Audit Candidate 3]]-Audit[[#This Row],[Candidate 3]], "")</f>
        <v/>
      </c>
      <c r="AH24" s="17" t="str">
        <f>IF(NOT(ISBLANK(Audit[[#This Row],[Audit Candidate 4]])),Audit[[#This Row],[Audit Candidate 4]]-Audit[[#This Row],[Candidate 4]], "")</f>
        <v/>
      </c>
      <c r="AI24" s="17" t="str">
        <f>IF(NOT(ISBLANK(Audit[[#This Row],[Audit Candidate 5]])), Audit[[#This Row],[Audit Candidate 5]]-Audit[[#This Row],[Candidate 5]], "")</f>
        <v/>
      </c>
      <c r="AJ24" s="17" t="str">
        <f>IF(NOT(ISBLANK(Audit[[#This Row],[Audit Candidate 6]])), Audit[[#This Row],[Audit Candidate 6]]-Audit[[#This Row],[Candidate 6]], "")</f>
        <v/>
      </c>
      <c r="AK24" s="17" t="str">
        <f>IF(NOT(ISBLANK(Audit[[#This Row],[Audit Candidate 7]])), Audit[[#This Row],[Audit Candidate 7]]-Audit[[#This Row],[Candidate 7]], "")</f>
        <v/>
      </c>
      <c r="AL24" s="17" t="str">
        <f>IF(NOT(ISBLANK(Audit[[#This Row],[Audit Candidate 8]])), Audit[[#This Row],[Audit Candidate 8]]-Audit[[#This Row],[Candidate 8]], "")</f>
        <v/>
      </c>
      <c r="AM24" s="17" t="str">
        <f>IF(NOT(ISBLANK(Audit[[#This Row],[Audit Candidate 9]])), Audit[[#This Row],[Audit Candidate 9]]-Audit[[#This Row],[Candidate 9]], "")</f>
        <v/>
      </c>
      <c r="AN24" s="17" t="str">
        <f>IF(NOT(ISBLANK(Audit[[#This Row],[Audit Candidate 10]])), Audit[[#This Row],[Audit Candidate 10]]-Audit[[#This Row],[Candidate 10]], "")</f>
        <v/>
      </c>
      <c r="AO24" s="17" t="str">
        <f>IF(NOT(ISBLANK(Audit[[#This Row],[Audit Candidate 11]])), Audit[[#This Row],[Audit Candidate 11]]-Audit[[#This Row],[Candidate 11]], "")</f>
        <v/>
      </c>
      <c r="AP24" s="17" t="str">
        <f>IF(NOT(ISBLANK(Audit[[#This Row],[Audit Candidate 12]])), Audit[[#This Row],[Audit Candidate 12]]-Audit[[#This Row],[Candidate 12]], "")</f>
        <v/>
      </c>
      <c r="AQ24" s="17">
        <f>SUMIF(Audit[[#This Row],[Difference Winner]:[Difference Candidate 12]], "&gt;0")</f>
        <v>0</v>
      </c>
      <c r="AR24" s="17">
        <f>SUM(Audit[[#This Row],[Difference Winner]:[Difference Candidate 12]])</f>
        <v>0</v>
      </c>
      <c r="AS24" s="17">
        <f>IF(Audit[[#This Row],[Times p Drawn - With Replacement]]&gt;0, IF(Audit[[#This Row],[Canceled Differences]]&lt;0, Audit[[#This Row],[Max Differences]]+ABS(Audit[[#This Row],[Canceled Differences]]), Audit[[#This Row],[Max Differences]]), 0)</f>
        <v>0</v>
      </c>
      <c r="AT24" s="17">
        <f>'Sampling Data'!AB24</f>
        <v>3.0003395009336277E-2</v>
      </c>
      <c r="AU24" s="17">
        <f>IF(
      SUM(Audit[[#This Row],[Audit Losing Candidate]:[Audit Candidate 12]])
      &lt;&gt;0,
      (Audit[[#This Row],[Winning Candidate]]-Audit[[#This Row],[Losing Candidate]]-(Audit[[#This Row],[Audit Winning Candidate]]-Audit[[#This Row],[Audit Losing Candidate]]))/(Audit[[#Totals],[Winning Candidate]]-Audit[[#Totals],[Losing Candidate]]),
      0
)</f>
        <v>0</v>
      </c>
      <c r="AV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 s="17">
        <f>IF(Audit[[#This Row],[Max Relative Error (ep)]] = 0, 0, Audit[[#This Row],[Max Relative Error (ep)]]/Audit[[#This Row],[Error Bound (up) - Max. possible relative overstatement]])</f>
        <v>0</v>
      </c>
      <c r="BH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4" s="17">
        <f t="shared" si="1"/>
        <v>1</v>
      </c>
      <c r="BJ24" s="17">
        <f>PRODUCT($BI$5:BI24)</f>
        <v>1</v>
      </c>
      <c r="BK24" s="19">
        <f>1 - Audit[[#This Row],[K-M P Value]]</f>
        <v>0</v>
      </c>
      <c r="BL24" s="17" t="str">
        <f>IF(Audit[[#This Row],[K-M P Value]]&gt;1-'General Info'!$B$12,"Continue", "Stop")</f>
        <v>Continue</v>
      </c>
      <c r="BM24" s="22" t="b">
        <f>IF(Audit[[#This Row],[Status - Continue or stop audit]] = "Continue", TRUE, IF(BL23 = "Continue", TRUE, FALSE))</f>
        <v>1</v>
      </c>
      <c r="BN24" s="22"/>
    </row>
    <row r="25" spans="1:66" ht="15" hidden="1" customHeight="1" x14ac:dyDescent="0.35">
      <c r="A25" s="17" t="str">
        <f>'Sampling Data'!AI25</f>
        <v/>
      </c>
      <c r="B25" s="17" t="str">
        <f>'Sampling Data'!A25</f>
        <v>0208 CIN 2-H   (AV)</v>
      </c>
      <c r="C25" s="17">
        <f>'Sampling Data'!B25</f>
        <v>222</v>
      </c>
      <c r="D25" s="17">
        <f>'Sampling Data'!C25</f>
        <v>62</v>
      </c>
      <c r="E25" s="18">
        <f>'Sampling Data'!D25</f>
        <v>0</v>
      </c>
      <c r="F25" s="18">
        <f>'Sampling Data'!E25</f>
        <v>0</v>
      </c>
      <c r="G25" s="18">
        <f>'Sampling Data'!F25</f>
        <v>0</v>
      </c>
      <c r="H25" s="18">
        <f>'Sampling Data'!G25</f>
        <v>0</v>
      </c>
      <c r="I25" s="18">
        <f>'Sampling Data'!H25</f>
        <v>0</v>
      </c>
      <c r="J25" s="18">
        <f>'Sampling Data'!I25</f>
        <v>0</v>
      </c>
      <c r="K25" s="18">
        <f>'Sampling Data'!J25</f>
        <v>0</v>
      </c>
      <c r="L25" s="18">
        <f>'Sampling Data'!K25</f>
        <v>0</v>
      </c>
      <c r="M25" s="18">
        <f>'Sampling Data'!L25</f>
        <v>0</v>
      </c>
      <c r="N25" s="18">
        <f>'Sampling Data'!M25</f>
        <v>0</v>
      </c>
      <c r="O25" s="17">
        <f>'Sampling Data'!N25</f>
        <v>1</v>
      </c>
      <c r="P25" s="17">
        <f>'Sampling Data'!O25</f>
        <v>18</v>
      </c>
      <c r="Q25" s="17">
        <f>'Sampling Data'!P25</f>
        <v>303</v>
      </c>
      <c r="R25" s="17">
        <f>'Sampling Data'!AJ25</f>
        <v>0</v>
      </c>
      <c r="S25" s="111"/>
      <c r="T25" s="111"/>
      <c r="U25" s="112"/>
      <c r="V25" s="112"/>
      <c r="W25" s="111"/>
      <c r="X25" s="111"/>
      <c r="Y25" s="111"/>
      <c r="Z25" s="111"/>
      <c r="AA25" s="14"/>
      <c r="AB25" s="14"/>
      <c r="AC25" s="14"/>
      <c r="AD25" s="14"/>
      <c r="AE25" s="113" t="str">
        <f>IF(NOT(ISBLANK(Audit[[#This Row],[Audit Winning Candidate]])), Audit[[#This Row],[Audit Winning Candidate]]-Audit[[#This Row],[Winning Candidate]], "")</f>
        <v/>
      </c>
      <c r="AF25" s="17" t="str">
        <f>IF(NOT(ISBLANK(Audit[[#This Row],[Audit Losing Candidate]])), Audit[[#This Row],[Audit Losing Candidate]]-Audit[[#This Row],[Losing Candidate]], "")</f>
        <v/>
      </c>
      <c r="AG25" s="17" t="str">
        <f>IF(NOT(ISBLANK(Audit[[#This Row],[Audit Candidate 3]])), Audit[[#This Row],[Audit Candidate 3]]-Audit[[#This Row],[Candidate 3]], "")</f>
        <v/>
      </c>
      <c r="AH25" s="17" t="str">
        <f>IF(NOT(ISBLANK(Audit[[#This Row],[Audit Candidate 4]])),Audit[[#This Row],[Audit Candidate 4]]-Audit[[#This Row],[Candidate 4]], "")</f>
        <v/>
      </c>
      <c r="AI25" s="17" t="str">
        <f>IF(NOT(ISBLANK(Audit[[#This Row],[Audit Candidate 5]])), Audit[[#This Row],[Audit Candidate 5]]-Audit[[#This Row],[Candidate 5]], "")</f>
        <v/>
      </c>
      <c r="AJ25" s="17" t="str">
        <f>IF(NOT(ISBLANK(Audit[[#This Row],[Audit Candidate 6]])), Audit[[#This Row],[Audit Candidate 6]]-Audit[[#This Row],[Candidate 6]], "")</f>
        <v/>
      </c>
      <c r="AK25" s="17" t="str">
        <f>IF(NOT(ISBLANK(Audit[[#This Row],[Audit Candidate 7]])), Audit[[#This Row],[Audit Candidate 7]]-Audit[[#This Row],[Candidate 7]], "")</f>
        <v/>
      </c>
      <c r="AL25" s="17" t="str">
        <f>IF(NOT(ISBLANK(Audit[[#This Row],[Audit Candidate 8]])), Audit[[#This Row],[Audit Candidate 8]]-Audit[[#This Row],[Candidate 8]], "")</f>
        <v/>
      </c>
      <c r="AM25" s="17" t="str">
        <f>IF(NOT(ISBLANK(Audit[[#This Row],[Audit Candidate 9]])), Audit[[#This Row],[Audit Candidate 9]]-Audit[[#This Row],[Candidate 9]], "")</f>
        <v/>
      </c>
      <c r="AN25" s="17" t="str">
        <f>IF(NOT(ISBLANK(Audit[[#This Row],[Audit Candidate 10]])), Audit[[#This Row],[Audit Candidate 10]]-Audit[[#This Row],[Candidate 10]], "")</f>
        <v/>
      </c>
      <c r="AO25" s="17" t="str">
        <f>IF(NOT(ISBLANK(Audit[[#This Row],[Audit Candidate 11]])), Audit[[#This Row],[Audit Candidate 11]]-Audit[[#This Row],[Candidate 11]], "")</f>
        <v/>
      </c>
      <c r="AP25" s="17" t="str">
        <f>IF(NOT(ISBLANK(Audit[[#This Row],[Audit Candidate 12]])), Audit[[#This Row],[Audit Candidate 12]]-Audit[[#This Row],[Candidate 12]], "")</f>
        <v/>
      </c>
      <c r="AQ25" s="17">
        <f>SUMIF(Audit[[#This Row],[Difference Winner]:[Difference Candidate 12]], "&gt;0")</f>
        <v>0</v>
      </c>
      <c r="AR25" s="17">
        <f>SUM(Audit[[#This Row],[Difference Winner]:[Difference Candidate 12]])</f>
        <v>0</v>
      </c>
      <c r="AS25" s="17">
        <f>IF(Audit[[#This Row],[Times p Drawn - With Replacement]]&gt;0, IF(Audit[[#This Row],[Canceled Differences]]&lt;0, Audit[[#This Row],[Max Differences]]+ABS(Audit[[#This Row],[Canceled Differences]]), Audit[[#This Row],[Max Differences]]), 0)</f>
        <v>0</v>
      </c>
      <c r="AT25" s="17">
        <f>'Sampling Data'!AB25</f>
        <v>1.9648616533695467E-2</v>
      </c>
      <c r="AU25" s="17">
        <f>IF(
      SUM(Audit[[#This Row],[Audit Losing Candidate]:[Audit Candidate 12]])
      &lt;&gt;0,
      (Audit[[#This Row],[Winning Candidate]]-Audit[[#This Row],[Losing Candidate]]-(Audit[[#This Row],[Audit Winning Candidate]]-Audit[[#This Row],[Audit Losing Candidate]]))/(Audit[[#Totals],[Winning Candidate]]-Audit[[#Totals],[Losing Candidate]]),
      0
)</f>
        <v>0</v>
      </c>
      <c r="AV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 s="17">
        <f>IF(Audit[[#This Row],[Max Relative Error (ep)]] = 0, 0, Audit[[#This Row],[Max Relative Error (ep)]]/Audit[[#This Row],[Error Bound (up) - Max. possible relative overstatement]])</f>
        <v>0</v>
      </c>
      <c r="BH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5" s="17">
        <f t="shared" si="1"/>
        <v>1</v>
      </c>
      <c r="BJ25" s="17">
        <f>PRODUCT($BI$5:BI25)</f>
        <v>1</v>
      </c>
      <c r="BK25" s="19">
        <f>1 - Audit[[#This Row],[K-M P Value]]</f>
        <v>0</v>
      </c>
      <c r="BL25" s="17" t="str">
        <f>IF(Audit[[#This Row],[K-M P Value]]&gt;1-'General Info'!$B$12,"Continue", "Stop")</f>
        <v>Continue</v>
      </c>
      <c r="BM25" s="22" t="b">
        <f>IF(Audit[[#This Row],[Status - Continue or stop audit]] = "Continue", TRUE, IF(BL24 = "Continue", TRUE, FALSE))</f>
        <v>1</v>
      </c>
      <c r="BN25" s="22"/>
    </row>
    <row r="26" spans="1:66" ht="15" hidden="1" customHeight="1" x14ac:dyDescent="0.35">
      <c r="A26" s="17" t="str">
        <f>'Sampling Data'!AI26</f>
        <v/>
      </c>
      <c r="B26" s="17" t="str">
        <f>'Sampling Data'!A26</f>
        <v>0209 CIN 2-I   (AV)</v>
      </c>
      <c r="C26" s="17">
        <f>'Sampling Data'!B26</f>
        <v>332</v>
      </c>
      <c r="D26" s="17">
        <f>'Sampling Data'!C26</f>
        <v>93</v>
      </c>
      <c r="E26" s="18">
        <f>'Sampling Data'!D26</f>
        <v>0</v>
      </c>
      <c r="F26" s="18">
        <f>'Sampling Data'!E26</f>
        <v>0</v>
      </c>
      <c r="G26" s="18">
        <f>'Sampling Data'!F26</f>
        <v>0</v>
      </c>
      <c r="H26" s="18">
        <f>'Sampling Data'!G26</f>
        <v>0</v>
      </c>
      <c r="I26" s="18">
        <f>'Sampling Data'!H26</f>
        <v>0</v>
      </c>
      <c r="J26" s="18">
        <f>'Sampling Data'!I26</f>
        <v>0</v>
      </c>
      <c r="K26" s="18">
        <f>'Sampling Data'!J26</f>
        <v>0</v>
      </c>
      <c r="L26" s="18">
        <f>'Sampling Data'!K26</f>
        <v>0</v>
      </c>
      <c r="M26" s="18">
        <f>'Sampling Data'!L26</f>
        <v>0</v>
      </c>
      <c r="N26" s="18">
        <f>'Sampling Data'!M26</f>
        <v>0</v>
      </c>
      <c r="O26" s="17">
        <f>'Sampling Data'!N26</f>
        <v>0</v>
      </c>
      <c r="P26" s="17">
        <f>'Sampling Data'!O26</f>
        <v>17</v>
      </c>
      <c r="Q26" s="17">
        <f>'Sampling Data'!P26</f>
        <v>442</v>
      </c>
      <c r="R26" s="17">
        <f>'Sampling Data'!AJ26</f>
        <v>0</v>
      </c>
      <c r="S26" s="111"/>
      <c r="T26" s="111"/>
      <c r="U26" s="112"/>
      <c r="V26" s="112"/>
      <c r="W26" s="111"/>
      <c r="X26" s="111"/>
      <c r="Y26" s="111"/>
      <c r="Z26" s="111"/>
      <c r="AA26" s="14"/>
      <c r="AB26" s="14"/>
      <c r="AC26" s="14"/>
      <c r="AD26" s="14"/>
      <c r="AE26" s="113" t="str">
        <f>IF(NOT(ISBLANK(Audit[[#This Row],[Audit Winning Candidate]])), Audit[[#This Row],[Audit Winning Candidate]]-Audit[[#This Row],[Winning Candidate]], "")</f>
        <v/>
      </c>
      <c r="AF26" s="17" t="str">
        <f>IF(NOT(ISBLANK(Audit[[#This Row],[Audit Losing Candidate]])), Audit[[#This Row],[Audit Losing Candidate]]-Audit[[#This Row],[Losing Candidate]], "")</f>
        <v/>
      </c>
      <c r="AG26" s="17" t="str">
        <f>IF(NOT(ISBLANK(Audit[[#This Row],[Audit Candidate 3]])), Audit[[#This Row],[Audit Candidate 3]]-Audit[[#This Row],[Candidate 3]], "")</f>
        <v/>
      </c>
      <c r="AH26" s="17" t="str">
        <f>IF(NOT(ISBLANK(Audit[[#This Row],[Audit Candidate 4]])),Audit[[#This Row],[Audit Candidate 4]]-Audit[[#This Row],[Candidate 4]], "")</f>
        <v/>
      </c>
      <c r="AI26" s="17" t="str">
        <f>IF(NOT(ISBLANK(Audit[[#This Row],[Audit Candidate 5]])), Audit[[#This Row],[Audit Candidate 5]]-Audit[[#This Row],[Candidate 5]], "")</f>
        <v/>
      </c>
      <c r="AJ26" s="17" t="str">
        <f>IF(NOT(ISBLANK(Audit[[#This Row],[Audit Candidate 6]])), Audit[[#This Row],[Audit Candidate 6]]-Audit[[#This Row],[Candidate 6]], "")</f>
        <v/>
      </c>
      <c r="AK26" s="17" t="str">
        <f>IF(NOT(ISBLANK(Audit[[#This Row],[Audit Candidate 7]])), Audit[[#This Row],[Audit Candidate 7]]-Audit[[#This Row],[Candidate 7]], "")</f>
        <v/>
      </c>
      <c r="AL26" s="17" t="str">
        <f>IF(NOT(ISBLANK(Audit[[#This Row],[Audit Candidate 8]])), Audit[[#This Row],[Audit Candidate 8]]-Audit[[#This Row],[Candidate 8]], "")</f>
        <v/>
      </c>
      <c r="AM26" s="17" t="str">
        <f>IF(NOT(ISBLANK(Audit[[#This Row],[Audit Candidate 9]])), Audit[[#This Row],[Audit Candidate 9]]-Audit[[#This Row],[Candidate 9]], "")</f>
        <v/>
      </c>
      <c r="AN26" s="17" t="str">
        <f>IF(NOT(ISBLANK(Audit[[#This Row],[Audit Candidate 10]])), Audit[[#This Row],[Audit Candidate 10]]-Audit[[#This Row],[Candidate 10]], "")</f>
        <v/>
      </c>
      <c r="AO26" s="17" t="str">
        <f>IF(NOT(ISBLANK(Audit[[#This Row],[Audit Candidate 11]])), Audit[[#This Row],[Audit Candidate 11]]-Audit[[#This Row],[Candidate 11]], "")</f>
        <v/>
      </c>
      <c r="AP26" s="17" t="str">
        <f>IF(NOT(ISBLANK(Audit[[#This Row],[Audit Candidate 12]])), Audit[[#This Row],[Audit Candidate 12]]-Audit[[#This Row],[Candidate 12]], "")</f>
        <v/>
      </c>
      <c r="AQ26" s="17">
        <f>SUMIF(Audit[[#This Row],[Difference Winner]:[Difference Candidate 12]], "&gt;0")</f>
        <v>0</v>
      </c>
      <c r="AR26" s="17">
        <f>SUM(Audit[[#This Row],[Difference Winner]:[Difference Candidate 12]])</f>
        <v>0</v>
      </c>
      <c r="AS26" s="17">
        <f>IF(Audit[[#This Row],[Times p Drawn - With Replacement]]&gt;0, IF(Audit[[#This Row],[Canceled Differences]]&lt;0, Audit[[#This Row],[Max Differences]]+ABS(Audit[[#This Row],[Canceled Differences]]), Audit[[#This Row],[Max Differences]]), 0)</f>
        <v>0</v>
      </c>
      <c r="AT26" s="17">
        <f>'Sampling Data'!AB26</f>
        <v>2.8900016975046683E-2</v>
      </c>
      <c r="AU26" s="17">
        <f>IF(
      SUM(Audit[[#This Row],[Audit Losing Candidate]:[Audit Candidate 12]])
      &lt;&gt;0,
      (Audit[[#This Row],[Winning Candidate]]-Audit[[#This Row],[Losing Candidate]]-(Audit[[#This Row],[Audit Winning Candidate]]-Audit[[#This Row],[Audit Losing Candidate]]))/(Audit[[#Totals],[Winning Candidate]]-Audit[[#Totals],[Losing Candidate]]),
      0
)</f>
        <v>0</v>
      </c>
      <c r="AV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 s="17">
        <f>IF(Audit[[#This Row],[Max Relative Error (ep)]] = 0, 0, Audit[[#This Row],[Max Relative Error (ep)]]/Audit[[#This Row],[Error Bound (up) - Max. possible relative overstatement]])</f>
        <v>0</v>
      </c>
      <c r="BH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6" s="17">
        <f t="shared" si="1"/>
        <v>1</v>
      </c>
      <c r="BJ26" s="17">
        <f>PRODUCT($BI$5:BI26)</f>
        <v>1</v>
      </c>
      <c r="BK26" s="19">
        <f>1 - Audit[[#This Row],[K-M P Value]]</f>
        <v>0</v>
      </c>
      <c r="BL26" s="17" t="str">
        <f>IF(Audit[[#This Row],[K-M P Value]]&gt;1-'General Info'!$B$12,"Continue", "Stop")</f>
        <v>Continue</v>
      </c>
      <c r="BM26" s="22" t="b">
        <f>IF(Audit[[#This Row],[Status - Continue or stop audit]] = "Continue", TRUE, IF(BL25 = "Continue", TRUE, FALSE))</f>
        <v>1</v>
      </c>
      <c r="BN26" s="22"/>
    </row>
    <row r="27" spans="1:66" ht="15" hidden="1" customHeight="1" x14ac:dyDescent="0.35">
      <c r="A27" s="17" t="str">
        <f>'Sampling Data'!AI27</f>
        <v/>
      </c>
      <c r="B27" s="17" t="str">
        <f>'Sampling Data'!A27</f>
        <v>0210 CIN 2-J   (AV)</v>
      </c>
      <c r="C27" s="17">
        <f>'Sampling Data'!B27</f>
        <v>308</v>
      </c>
      <c r="D27" s="17">
        <f>'Sampling Data'!C27</f>
        <v>116</v>
      </c>
      <c r="E27" s="18">
        <f>'Sampling Data'!D27</f>
        <v>0</v>
      </c>
      <c r="F27" s="18">
        <f>'Sampling Data'!E27</f>
        <v>0</v>
      </c>
      <c r="G27" s="18">
        <f>'Sampling Data'!F27</f>
        <v>0</v>
      </c>
      <c r="H27" s="18">
        <f>'Sampling Data'!G27</f>
        <v>0</v>
      </c>
      <c r="I27" s="18">
        <f>'Sampling Data'!H27</f>
        <v>0</v>
      </c>
      <c r="J27" s="18">
        <f>'Sampling Data'!I27</f>
        <v>0</v>
      </c>
      <c r="K27" s="18">
        <f>'Sampling Data'!J27</f>
        <v>0</v>
      </c>
      <c r="L27" s="18">
        <f>'Sampling Data'!K27</f>
        <v>0</v>
      </c>
      <c r="M27" s="18">
        <f>'Sampling Data'!L27</f>
        <v>0</v>
      </c>
      <c r="N27" s="18">
        <f>'Sampling Data'!M27</f>
        <v>0</v>
      </c>
      <c r="O27" s="17">
        <f>'Sampling Data'!N27</f>
        <v>0</v>
      </c>
      <c r="P27" s="17">
        <f>'Sampling Data'!O27</f>
        <v>26</v>
      </c>
      <c r="Q27" s="17">
        <f>'Sampling Data'!P27</f>
        <v>450</v>
      </c>
      <c r="R27" s="17">
        <f>'Sampling Data'!AJ27</f>
        <v>0</v>
      </c>
      <c r="S27" s="111"/>
      <c r="T27" s="111"/>
      <c r="U27" s="112"/>
      <c r="V27" s="112"/>
      <c r="W27" s="111"/>
      <c r="X27" s="111"/>
      <c r="Y27" s="111"/>
      <c r="Z27" s="111"/>
      <c r="AA27" s="14"/>
      <c r="AB27" s="14"/>
      <c r="AC27" s="14"/>
      <c r="AD27" s="14"/>
      <c r="AE27" s="113" t="str">
        <f>IF(NOT(ISBLANK(Audit[[#This Row],[Audit Winning Candidate]])), Audit[[#This Row],[Audit Winning Candidate]]-Audit[[#This Row],[Winning Candidate]], "")</f>
        <v/>
      </c>
      <c r="AF27" s="17" t="str">
        <f>IF(NOT(ISBLANK(Audit[[#This Row],[Audit Losing Candidate]])), Audit[[#This Row],[Audit Losing Candidate]]-Audit[[#This Row],[Losing Candidate]], "")</f>
        <v/>
      </c>
      <c r="AG27" s="17" t="str">
        <f>IF(NOT(ISBLANK(Audit[[#This Row],[Audit Candidate 3]])), Audit[[#This Row],[Audit Candidate 3]]-Audit[[#This Row],[Candidate 3]], "")</f>
        <v/>
      </c>
      <c r="AH27" s="17" t="str">
        <f>IF(NOT(ISBLANK(Audit[[#This Row],[Audit Candidate 4]])),Audit[[#This Row],[Audit Candidate 4]]-Audit[[#This Row],[Candidate 4]], "")</f>
        <v/>
      </c>
      <c r="AI27" s="17" t="str">
        <f>IF(NOT(ISBLANK(Audit[[#This Row],[Audit Candidate 5]])), Audit[[#This Row],[Audit Candidate 5]]-Audit[[#This Row],[Candidate 5]], "")</f>
        <v/>
      </c>
      <c r="AJ27" s="17" t="str">
        <f>IF(NOT(ISBLANK(Audit[[#This Row],[Audit Candidate 6]])), Audit[[#This Row],[Audit Candidate 6]]-Audit[[#This Row],[Candidate 6]], "")</f>
        <v/>
      </c>
      <c r="AK27" s="17" t="str">
        <f>IF(NOT(ISBLANK(Audit[[#This Row],[Audit Candidate 7]])), Audit[[#This Row],[Audit Candidate 7]]-Audit[[#This Row],[Candidate 7]], "")</f>
        <v/>
      </c>
      <c r="AL27" s="17" t="str">
        <f>IF(NOT(ISBLANK(Audit[[#This Row],[Audit Candidate 8]])), Audit[[#This Row],[Audit Candidate 8]]-Audit[[#This Row],[Candidate 8]], "")</f>
        <v/>
      </c>
      <c r="AM27" s="17" t="str">
        <f>IF(NOT(ISBLANK(Audit[[#This Row],[Audit Candidate 9]])), Audit[[#This Row],[Audit Candidate 9]]-Audit[[#This Row],[Candidate 9]], "")</f>
        <v/>
      </c>
      <c r="AN27" s="17" t="str">
        <f>IF(NOT(ISBLANK(Audit[[#This Row],[Audit Candidate 10]])), Audit[[#This Row],[Audit Candidate 10]]-Audit[[#This Row],[Candidate 10]], "")</f>
        <v/>
      </c>
      <c r="AO27" s="17" t="str">
        <f>IF(NOT(ISBLANK(Audit[[#This Row],[Audit Candidate 11]])), Audit[[#This Row],[Audit Candidate 11]]-Audit[[#This Row],[Candidate 11]], "")</f>
        <v/>
      </c>
      <c r="AP27" s="17" t="str">
        <f>IF(NOT(ISBLANK(Audit[[#This Row],[Audit Candidate 12]])), Audit[[#This Row],[Audit Candidate 12]]-Audit[[#This Row],[Candidate 12]], "")</f>
        <v/>
      </c>
      <c r="AQ27" s="17">
        <f>SUMIF(Audit[[#This Row],[Difference Winner]:[Difference Candidate 12]], "&gt;0")</f>
        <v>0</v>
      </c>
      <c r="AR27" s="17">
        <f>SUM(Audit[[#This Row],[Difference Winner]:[Difference Candidate 12]])</f>
        <v>0</v>
      </c>
      <c r="AS27" s="17">
        <f>IF(Audit[[#This Row],[Times p Drawn - With Replacement]]&gt;0, IF(Audit[[#This Row],[Canceled Differences]]&lt;0, Audit[[#This Row],[Max Differences]]+ABS(Audit[[#This Row],[Canceled Differences]]), Audit[[#This Row],[Max Differences]]), 0)</f>
        <v>0</v>
      </c>
      <c r="AT27" s="17">
        <f>'Sampling Data'!AB27</f>
        <v>2.7244949923612288E-2</v>
      </c>
      <c r="AU27" s="17">
        <f>IF(
      SUM(Audit[[#This Row],[Audit Losing Candidate]:[Audit Candidate 12]])
      &lt;&gt;0,
      (Audit[[#This Row],[Winning Candidate]]-Audit[[#This Row],[Losing Candidate]]-(Audit[[#This Row],[Audit Winning Candidate]]-Audit[[#This Row],[Audit Losing Candidate]]))/(Audit[[#Totals],[Winning Candidate]]-Audit[[#Totals],[Losing Candidate]]),
      0
)</f>
        <v>0</v>
      </c>
      <c r="AV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 s="17">
        <f>IF(Audit[[#This Row],[Max Relative Error (ep)]] = 0, 0, Audit[[#This Row],[Max Relative Error (ep)]]/Audit[[#This Row],[Error Bound (up) - Max. possible relative overstatement]])</f>
        <v>0</v>
      </c>
      <c r="BH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7" s="17">
        <f t="shared" si="1"/>
        <v>1</v>
      </c>
      <c r="BJ27" s="17">
        <f>PRODUCT($BI$5:BI27)</f>
        <v>1</v>
      </c>
      <c r="BK27" s="19">
        <f>1 - Audit[[#This Row],[K-M P Value]]</f>
        <v>0</v>
      </c>
      <c r="BL27" s="17" t="str">
        <f>IF(Audit[[#This Row],[K-M P Value]]&gt;1-'General Info'!$B$12,"Continue", "Stop")</f>
        <v>Continue</v>
      </c>
      <c r="BM27" s="22" t="b">
        <f>IF(Audit[[#This Row],[Status - Continue or stop audit]] = "Continue", TRUE, IF(BL26 = "Continue", TRUE, FALSE))</f>
        <v>1</v>
      </c>
      <c r="BN27" s="22"/>
    </row>
    <row r="28" spans="1:66" ht="15" customHeight="1" x14ac:dyDescent="0.35">
      <c r="A28" s="17">
        <f>'Sampling Data'!AI28</f>
        <v>40</v>
      </c>
      <c r="B28" s="17" t="str">
        <f>'Sampling Data'!A28</f>
        <v>0211 CIN 2-K   (AV)</v>
      </c>
      <c r="C28" s="17">
        <f>'Sampling Data'!B28</f>
        <v>381</v>
      </c>
      <c r="D28" s="17">
        <f>'Sampling Data'!C28</f>
        <v>135</v>
      </c>
      <c r="E28" s="18">
        <f>'Sampling Data'!D28</f>
        <v>0</v>
      </c>
      <c r="F28" s="18">
        <f>'Sampling Data'!E28</f>
        <v>0</v>
      </c>
      <c r="G28" s="18">
        <f>'Sampling Data'!F28</f>
        <v>0</v>
      </c>
      <c r="H28" s="18">
        <f>'Sampling Data'!G28</f>
        <v>0</v>
      </c>
      <c r="I28" s="18">
        <f>'Sampling Data'!H28</f>
        <v>0</v>
      </c>
      <c r="J28" s="18">
        <f>'Sampling Data'!I28</f>
        <v>0</v>
      </c>
      <c r="K28" s="18">
        <f>'Sampling Data'!J28</f>
        <v>0</v>
      </c>
      <c r="L28" s="18">
        <f>'Sampling Data'!K28</f>
        <v>0</v>
      </c>
      <c r="M28" s="18">
        <f>'Sampling Data'!L28</f>
        <v>0</v>
      </c>
      <c r="N28" s="18">
        <f>'Sampling Data'!M28</f>
        <v>0</v>
      </c>
      <c r="O28" s="17">
        <f>'Sampling Data'!N28</f>
        <v>0</v>
      </c>
      <c r="P28" s="17">
        <f>'Sampling Data'!O28</f>
        <v>25</v>
      </c>
      <c r="Q28" s="17">
        <f>'Sampling Data'!P28</f>
        <v>541</v>
      </c>
      <c r="R28" s="17">
        <f>'Sampling Data'!AJ28</f>
        <v>1</v>
      </c>
      <c r="S28" s="111">
        <v>381</v>
      </c>
      <c r="T28" s="111">
        <v>135</v>
      </c>
      <c r="U28" s="112"/>
      <c r="V28" s="112"/>
      <c r="W28" s="111"/>
      <c r="X28" s="111"/>
      <c r="Y28" s="111"/>
      <c r="Z28" s="111"/>
      <c r="AA28" s="14"/>
      <c r="AB28" s="14"/>
      <c r="AC28" s="14"/>
      <c r="AD28" s="14"/>
      <c r="AE28" s="113">
        <f>IF(NOT(ISBLANK(Audit[[#This Row],[Audit Winning Candidate]])), Audit[[#This Row],[Audit Winning Candidate]]-Audit[[#This Row],[Winning Candidate]], "")</f>
        <v>0</v>
      </c>
      <c r="AF28" s="17">
        <f>IF(NOT(ISBLANK(Audit[[#This Row],[Audit Losing Candidate]])), Audit[[#This Row],[Audit Losing Candidate]]-Audit[[#This Row],[Losing Candidate]], "")</f>
        <v>0</v>
      </c>
      <c r="AG28" s="17" t="str">
        <f>IF(NOT(ISBLANK(Audit[[#This Row],[Audit Candidate 3]])), Audit[[#This Row],[Audit Candidate 3]]-Audit[[#This Row],[Candidate 3]], "")</f>
        <v/>
      </c>
      <c r="AH28" s="17" t="str">
        <f>IF(NOT(ISBLANK(Audit[[#This Row],[Audit Candidate 4]])),Audit[[#This Row],[Audit Candidate 4]]-Audit[[#This Row],[Candidate 4]], "")</f>
        <v/>
      </c>
      <c r="AI28" s="17" t="str">
        <f>IF(NOT(ISBLANK(Audit[[#This Row],[Audit Candidate 5]])), Audit[[#This Row],[Audit Candidate 5]]-Audit[[#This Row],[Candidate 5]], "")</f>
        <v/>
      </c>
      <c r="AJ28" s="17" t="str">
        <f>IF(NOT(ISBLANK(Audit[[#This Row],[Audit Candidate 6]])), Audit[[#This Row],[Audit Candidate 6]]-Audit[[#This Row],[Candidate 6]], "")</f>
        <v/>
      </c>
      <c r="AK28" s="17" t="str">
        <f>IF(NOT(ISBLANK(Audit[[#This Row],[Audit Candidate 7]])), Audit[[#This Row],[Audit Candidate 7]]-Audit[[#This Row],[Candidate 7]], "")</f>
        <v/>
      </c>
      <c r="AL28" s="17" t="str">
        <f>IF(NOT(ISBLANK(Audit[[#This Row],[Audit Candidate 8]])), Audit[[#This Row],[Audit Candidate 8]]-Audit[[#This Row],[Candidate 8]], "")</f>
        <v/>
      </c>
      <c r="AM28" s="17" t="str">
        <f>IF(NOT(ISBLANK(Audit[[#This Row],[Audit Candidate 9]])), Audit[[#This Row],[Audit Candidate 9]]-Audit[[#This Row],[Candidate 9]], "")</f>
        <v/>
      </c>
      <c r="AN28" s="17" t="str">
        <f>IF(NOT(ISBLANK(Audit[[#This Row],[Audit Candidate 10]])), Audit[[#This Row],[Audit Candidate 10]]-Audit[[#This Row],[Candidate 10]], "")</f>
        <v/>
      </c>
      <c r="AO28" s="17" t="str">
        <f>IF(NOT(ISBLANK(Audit[[#This Row],[Audit Candidate 11]])), Audit[[#This Row],[Audit Candidate 11]]-Audit[[#This Row],[Candidate 11]], "")</f>
        <v/>
      </c>
      <c r="AP28" s="17" t="str">
        <f>IF(NOT(ISBLANK(Audit[[#This Row],[Audit Candidate 12]])), Audit[[#This Row],[Audit Candidate 12]]-Audit[[#This Row],[Candidate 12]], "")</f>
        <v/>
      </c>
      <c r="AQ28" s="17">
        <f>SUMIF(Audit[[#This Row],[Difference Winner]:[Difference Candidate 12]], "&gt;0")</f>
        <v>0</v>
      </c>
      <c r="AR28" s="17">
        <f>SUM(Audit[[#This Row],[Difference Winner]:[Difference Candidate 12]])</f>
        <v>0</v>
      </c>
      <c r="AS28" s="17">
        <f>IF(Audit[[#This Row],[Times p Drawn - With Replacement]]&gt;0, IF(Audit[[#This Row],[Canceled Differences]]&lt;0, Audit[[#This Row],[Max Differences]]+ABS(Audit[[#This Row],[Canceled Differences]]), Audit[[#This Row],[Max Differences]]), 0)</f>
        <v>0</v>
      </c>
      <c r="AT28" s="17">
        <f>'Sampling Data'!AB28</f>
        <v>3.3398404345611948E-2</v>
      </c>
      <c r="AU28" s="17">
        <f>IF(
      SUM(Audit[[#This Row],[Audit Losing Candidate]:[Audit Candidate 12]])
      &lt;&gt;0,
      (Audit[[#This Row],[Winning Candidate]]-Audit[[#This Row],[Losing Candidate]]-(Audit[[#This Row],[Audit Winning Candidate]]-Audit[[#This Row],[Audit Losing Candidate]]))/(Audit[[#Totals],[Winning Candidate]]-Audit[[#Totals],[Losing Candidate]]),
      0
)</f>
        <v>0</v>
      </c>
      <c r="AV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 s="17">
        <f>IF(Audit[[#This Row],[Max Relative Error (ep)]] = 0, 0, Audit[[#This Row],[Max Relative Error (ep)]]/Audit[[#This Row],[Error Bound (up) - Max. possible relative overstatement]])</f>
        <v>0</v>
      </c>
      <c r="BH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8" s="17">
        <f t="shared" si="1"/>
        <v>0.94645908314247273</v>
      </c>
      <c r="BJ28" s="17">
        <f>PRODUCT($BI$5:BI28)</f>
        <v>0.94645908314247273</v>
      </c>
      <c r="BK28" s="19">
        <f>1 - Audit[[#This Row],[K-M P Value]]</f>
        <v>5.3540916857527265E-2</v>
      </c>
      <c r="BL28" s="17" t="str">
        <f>IF(Audit[[#This Row],[K-M P Value]]&gt;1-'General Info'!$B$12,"Continue", "Stop")</f>
        <v>Continue</v>
      </c>
      <c r="BM28" s="22" t="b">
        <f>IF(Audit[[#This Row],[Status - Continue or stop audit]] = "Continue", TRUE, IF(BL27 = "Continue", TRUE, FALSE))</f>
        <v>1</v>
      </c>
      <c r="BN28" s="22"/>
    </row>
    <row r="29" spans="1:66" ht="15" hidden="1" customHeight="1" x14ac:dyDescent="0.35">
      <c r="A29" s="17" t="str">
        <f>'Sampling Data'!AI29</f>
        <v/>
      </c>
      <c r="B29" s="17" t="str">
        <f>'Sampling Data'!A29</f>
        <v>0301 CIN 3-A   (AV)</v>
      </c>
      <c r="C29" s="17">
        <f>'Sampling Data'!B29</f>
        <v>281</v>
      </c>
      <c r="D29" s="17">
        <f>'Sampling Data'!C29</f>
        <v>22</v>
      </c>
      <c r="E29" s="18">
        <f>'Sampling Data'!D29</f>
        <v>0</v>
      </c>
      <c r="F29" s="18">
        <f>'Sampling Data'!E29</f>
        <v>0</v>
      </c>
      <c r="G29" s="18">
        <f>'Sampling Data'!F29</f>
        <v>0</v>
      </c>
      <c r="H29" s="18">
        <f>'Sampling Data'!G29</f>
        <v>0</v>
      </c>
      <c r="I29" s="18">
        <f>'Sampling Data'!H29</f>
        <v>0</v>
      </c>
      <c r="J29" s="18">
        <f>'Sampling Data'!I29</f>
        <v>0</v>
      </c>
      <c r="K29" s="18">
        <f>'Sampling Data'!J29</f>
        <v>0</v>
      </c>
      <c r="L29" s="18">
        <f>'Sampling Data'!K29</f>
        <v>0</v>
      </c>
      <c r="M29" s="18">
        <f>'Sampling Data'!L29</f>
        <v>0</v>
      </c>
      <c r="N29" s="18">
        <f>'Sampling Data'!M29</f>
        <v>0</v>
      </c>
      <c r="O29" s="17">
        <f>'Sampling Data'!N29</f>
        <v>0</v>
      </c>
      <c r="P29" s="17">
        <f>'Sampling Data'!O29</f>
        <v>15</v>
      </c>
      <c r="Q29" s="17">
        <f>'Sampling Data'!P29</f>
        <v>318</v>
      </c>
      <c r="R29" s="17">
        <f>'Sampling Data'!AJ29</f>
        <v>0</v>
      </c>
      <c r="S29" s="111"/>
      <c r="T29" s="111"/>
      <c r="U29" s="112"/>
      <c r="V29" s="112"/>
      <c r="W29" s="111"/>
      <c r="X29" s="111"/>
      <c r="Y29" s="111"/>
      <c r="Z29" s="111"/>
      <c r="AA29" s="14"/>
      <c r="AB29" s="14"/>
      <c r="AC29" s="14"/>
      <c r="AD29" s="14"/>
      <c r="AE29" s="113" t="str">
        <f>IF(NOT(ISBLANK(Audit[[#This Row],[Audit Winning Candidate]])), Audit[[#This Row],[Audit Winning Candidate]]-Audit[[#This Row],[Winning Candidate]], "")</f>
        <v/>
      </c>
      <c r="AF29" s="17" t="str">
        <f>IF(NOT(ISBLANK(Audit[[#This Row],[Audit Losing Candidate]])), Audit[[#This Row],[Audit Losing Candidate]]-Audit[[#This Row],[Losing Candidate]], "")</f>
        <v/>
      </c>
      <c r="AG29" s="17" t="str">
        <f>IF(NOT(ISBLANK(Audit[[#This Row],[Audit Candidate 3]])), Audit[[#This Row],[Audit Candidate 3]]-Audit[[#This Row],[Candidate 3]], "")</f>
        <v/>
      </c>
      <c r="AH29" s="17" t="str">
        <f>IF(NOT(ISBLANK(Audit[[#This Row],[Audit Candidate 4]])),Audit[[#This Row],[Audit Candidate 4]]-Audit[[#This Row],[Candidate 4]], "")</f>
        <v/>
      </c>
      <c r="AI29" s="17" t="str">
        <f>IF(NOT(ISBLANK(Audit[[#This Row],[Audit Candidate 5]])), Audit[[#This Row],[Audit Candidate 5]]-Audit[[#This Row],[Candidate 5]], "")</f>
        <v/>
      </c>
      <c r="AJ29" s="17" t="str">
        <f>IF(NOT(ISBLANK(Audit[[#This Row],[Audit Candidate 6]])), Audit[[#This Row],[Audit Candidate 6]]-Audit[[#This Row],[Candidate 6]], "")</f>
        <v/>
      </c>
      <c r="AK29" s="17" t="str">
        <f>IF(NOT(ISBLANK(Audit[[#This Row],[Audit Candidate 7]])), Audit[[#This Row],[Audit Candidate 7]]-Audit[[#This Row],[Candidate 7]], "")</f>
        <v/>
      </c>
      <c r="AL29" s="17" t="str">
        <f>IF(NOT(ISBLANK(Audit[[#This Row],[Audit Candidate 8]])), Audit[[#This Row],[Audit Candidate 8]]-Audit[[#This Row],[Candidate 8]], "")</f>
        <v/>
      </c>
      <c r="AM29" s="17" t="str">
        <f>IF(NOT(ISBLANK(Audit[[#This Row],[Audit Candidate 9]])), Audit[[#This Row],[Audit Candidate 9]]-Audit[[#This Row],[Candidate 9]], "")</f>
        <v/>
      </c>
      <c r="AN29" s="17" t="str">
        <f>IF(NOT(ISBLANK(Audit[[#This Row],[Audit Candidate 10]])), Audit[[#This Row],[Audit Candidate 10]]-Audit[[#This Row],[Candidate 10]], "")</f>
        <v/>
      </c>
      <c r="AO29" s="17" t="str">
        <f>IF(NOT(ISBLANK(Audit[[#This Row],[Audit Candidate 11]])), Audit[[#This Row],[Audit Candidate 11]]-Audit[[#This Row],[Candidate 11]], "")</f>
        <v/>
      </c>
      <c r="AP29" s="17" t="str">
        <f>IF(NOT(ISBLANK(Audit[[#This Row],[Audit Candidate 12]])), Audit[[#This Row],[Audit Candidate 12]]-Audit[[#This Row],[Candidate 12]], "")</f>
        <v/>
      </c>
      <c r="AQ29" s="17">
        <f>SUMIF(Audit[[#This Row],[Difference Winner]:[Difference Candidate 12]], "&gt;0")</f>
        <v>0</v>
      </c>
      <c r="AR29" s="17">
        <f>SUM(Audit[[#This Row],[Difference Winner]:[Difference Candidate 12]])</f>
        <v>0</v>
      </c>
      <c r="AS29" s="17">
        <f>IF(Audit[[#This Row],[Times p Drawn - With Replacement]]&gt;0, IF(Audit[[#This Row],[Canceled Differences]]&lt;0, Audit[[#This Row],[Max Differences]]+ABS(Audit[[#This Row],[Canceled Differences]]), Audit[[#This Row],[Max Differences]]), 0)</f>
        <v>0</v>
      </c>
      <c r="AT29" s="17">
        <f>'Sampling Data'!AB29</f>
        <v>2.4486504837888303E-2</v>
      </c>
      <c r="AU29" s="17">
        <f>IF(
      SUM(Audit[[#This Row],[Audit Losing Candidate]:[Audit Candidate 12]])
      &lt;&gt;0,
      (Audit[[#This Row],[Winning Candidate]]-Audit[[#This Row],[Losing Candidate]]-(Audit[[#This Row],[Audit Winning Candidate]]-Audit[[#This Row],[Audit Losing Candidate]]))/(Audit[[#Totals],[Winning Candidate]]-Audit[[#Totals],[Losing Candidate]]),
      0
)</f>
        <v>0</v>
      </c>
      <c r="AV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 s="17">
        <f>IF(Audit[[#This Row],[Max Relative Error (ep)]] = 0, 0, Audit[[#This Row],[Max Relative Error (ep)]]/Audit[[#This Row],[Error Bound (up) - Max. possible relative overstatement]])</f>
        <v>0</v>
      </c>
      <c r="BH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9" s="17">
        <f t="shared" si="1"/>
        <v>1</v>
      </c>
      <c r="BJ29" s="17">
        <f>PRODUCT($BI$5:BI29)</f>
        <v>0.94645908314247273</v>
      </c>
      <c r="BK29" s="19">
        <f>1 - Audit[[#This Row],[K-M P Value]]</f>
        <v>5.3540916857527265E-2</v>
      </c>
      <c r="BL29" s="17" t="str">
        <f>IF(Audit[[#This Row],[K-M P Value]]&gt;1-'General Info'!$B$12,"Continue", "Stop")</f>
        <v>Continue</v>
      </c>
      <c r="BM29" s="22" t="b">
        <f>IF(Audit[[#This Row],[Status - Continue or stop audit]] = "Continue", TRUE, IF(BL28 = "Continue", TRUE, FALSE))</f>
        <v>1</v>
      </c>
      <c r="BN29" s="22"/>
    </row>
    <row r="30" spans="1:66" ht="15" hidden="1" customHeight="1" x14ac:dyDescent="0.35">
      <c r="A30" s="17" t="str">
        <f>'Sampling Data'!AI30</f>
        <v/>
      </c>
      <c r="B30" s="17" t="str">
        <f>'Sampling Data'!A30</f>
        <v>0302 CIN 3-B   (AV)</v>
      </c>
      <c r="C30" s="17">
        <f>'Sampling Data'!B30</f>
        <v>250</v>
      </c>
      <c r="D30" s="17">
        <f>'Sampling Data'!C30</f>
        <v>66</v>
      </c>
      <c r="E30" s="18">
        <f>'Sampling Data'!D30</f>
        <v>0</v>
      </c>
      <c r="F30" s="18">
        <f>'Sampling Data'!E30</f>
        <v>0</v>
      </c>
      <c r="G30" s="18">
        <f>'Sampling Data'!F30</f>
        <v>0</v>
      </c>
      <c r="H30" s="18">
        <f>'Sampling Data'!G30</f>
        <v>0</v>
      </c>
      <c r="I30" s="18">
        <f>'Sampling Data'!H30</f>
        <v>0</v>
      </c>
      <c r="J30" s="18">
        <f>'Sampling Data'!I30</f>
        <v>0</v>
      </c>
      <c r="K30" s="18">
        <f>'Sampling Data'!J30</f>
        <v>0</v>
      </c>
      <c r="L30" s="18">
        <f>'Sampling Data'!K30</f>
        <v>0</v>
      </c>
      <c r="M30" s="18">
        <f>'Sampling Data'!L30</f>
        <v>0</v>
      </c>
      <c r="N30" s="18">
        <f>'Sampling Data'!M30</f>
        <v>0</v>
      </c>
      <c r="O30" s="17">
        <f>'Sampling Data'!N30</f>
        <v>0</v>
      </c>
      <c r="P30" s="17">
        <f>'Sampling Data'!O30</f>
        <v>13</v>
      </c>
      <c r="Q30" s="17">
        <f>'Sampling Data'!P30</f>
        <v>329</v>
      </c>
      <c r="R30" s="17">
        <f>'Sampling Data'!AJ30</f>
        <v>0</v>
      </c>
      <c r="S30" s="111"/>
      <c r="T30" s="111"/>
      <c r="U30" s="112"/>
      <c r="V30" s="112"/>
      <c r="W30" s="111"/>
      <c r="X30" s="111"/>
      <c r="Y30" s="111"/>
      <c r="Z30" s="111"/>
      <c r="AA30" s="14"/>
      <c r="AB30" s="14"/>
      <c r="AC30" s="14"/>
      <c r="AD30" s="14"/>
      <c r="AE30" s="113" t="str">
        <f>IF(NOT(ISBLANK(Audit[[#This Row],[Audit Winning Candidate]])), Audit[[#This Row],[Audit Winning Candidate]]-Audit[[#This Row],[Winning Candidate]], "")</f>
        <v/>
      </c>
      <c r="AF30" s="17" t="str">
        <f>IF(NOT(ISBLANK(Audit[[#This Row],[Audit Losing Candidate]])), Audit[[#This Row],[Audit Losing Candidate]]-Audit[[#This Row],[Losing Candidate]], "")</f>
        <v/>
      </c>
      <c r="AG30" s="17" t="str">
        <f>IF(NOT(ISBLANK(Audit[[#This Row],[Audit Candidate 3]])), Audit[[#This Row],[Audit Candidate 3]]-Audit[[#This Row],[Candidate 3]], "")</f>
        <v/>
      </c>
      <c r="AH30" s="17" t="str">
        <f>IF(NOT(ISBLANK(Audit[[#This Row],[Audit Candidate 4]])),Audit[[#This Row],[Audit Candidate 4]]-Audit[[#This Row],[Candidate 4]], "")</f>
        <v/>
      </c>
      <c r="AI30" s="17" t="str">
        <f>IF(NOT(ISBLANK(Audit[[#This Row],[Audit Candidate 5]])), Audit[[#This Row],[Audit Candidate 5]]-Audit[[#This Row],[Candidate 5]], "")</f>
        <v/>
      </c>
      <c r="AJ30" s="17" t="str">
        <f>IF(NOT(ISBLANK(Audit[[#This Row],[Audit Candidate 6]])), Audit[[#This Row],[Audit Candidate 6]]-Audit[[#This Row],[Candidate 6]], "")</f>
        <v/>
      </c>
      <c r="AK30" s="17" t="str">
        <f>IF(NOT(ISBLANK(Audit[[#This Row],[Audit Candidate 7]])), Audit[[#This Row],[Audit Candidate 7]]-Audit[[#This Row],[Candidate 7]], "")</f>
        <v/>
      </c>
      <c r="AL30" s="17" t="str">
        <f>IF(NOT(ISBLANK(Audit[[#This Row],[Audit Candidate 8]])), Audit[[#This Row],[Audit Candidate 8]]-Audit[[#This Row],[Candidate 8]], "")</f>
        <v/>
      </c>
      <c r="AM30" s="17" t="str">
        <f>IF(NOT(ISBLANK(Audit[[#This Row],[Audit Candidate 9]])), Audit[[#This Row],[Audit Candidate 9]]-Audit[[#This Row],[Candidate 9]], "")</f>
        <v/>
      </c>
      <c r="AN30" s="17" t="str">
        <f>IF(NOT(ISBLANK(Audit[[#This Row],[Audit Candidate 10]])), Audit[[#This Row],[Audit Candidate 10]]-Audit[[#This Row],[Candidate 10]], "")</f>
        <v/>
      </c>
      <c r="AO30" s="17" t="str">
        <f>IF(NOT(ISBLANK(Audit[[#This Row],[Audit Candidate 11]])), Audit[[#This Row],[Audit Candidate 11]]-Audit[[#This Row],[Candidate 11]], "")</f>
        <v/>
      </c>
      <c r="AP30" s="17" t="str">
        <f>IF(NOT(ISBLANK(Audit[[#This Row],[Audit Candidate 12]])), Audit[[#This Row],[Audit Candidate 12]]-Audit[[#This Row],[Candidate 12]], "")</f>
        <v/>
      </c>
      <c r="AQ30" s="17">
        <f>SUMIF(Audit[[#This Row],[Difference Winner]:[Difference Candidate 12]], "&gt;0")</f>
        <v>0</v>
      </c>
      <c r="AR30" s="17">
        <f>SUM(Audit[[#This Row],[Difference Winner]:[Difference Candidate 12]])</f>
        <v>0</v>
      </c>
      <c r="AS30" s="17">
        <f>IF(Audit[[#This Row],[Times p Drawn - With Replacement]]&gt;0, IF(Audit[[#This Row],[Canceled Differences]]&lt;0, Audit[[#This Row],[Max Differences]]+ABS(Audit[[#This Row],[Canceled Differences]]), Audit[[#This Row],[Max Differences]]), 0)</f>
        <v>0</v>
      </c>
      <c r="AT30" s="17">
        <f>'Sampling Data'!AB30</f>
        <v>2.1770497368867766E-2</v>
      </c>
      <c r="AU30" s="17">
        <f>IF(
      SUM(Audit[[#This Row],[Audit Losing Candidate]:[Audit Candidate 12]])
      &lt;&gt;0,
      (Audit[[#This Row],[Winning Candidate]]-Audit[[#This Row],[Losing Candidate]]-(Audit[[#This Row],[Audit Winning Candidate]]-Audit[[#This Row],[Audit Losing Candidate]]))/(Audit[[#Totals],[Winning Candidate]]-Audit[[#Totals],[Losing Candidate]]),
      0
)</f>
        <v>0</v>
      </c>
      <c r="AV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 s="17">
        <f>IF(Audit[[#This Row],[Max Relative Error (ep)]] = 0, 0, Audit[[#This Row],[Max Relative Error (ep)]]/Audit[[#This Row],[Error Bound (up) - Max. possible relative overstatement]])</f>
        <v>0</v>
      </c>
      <c r="BH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0" s="17">
        <f t="shared" si="1"/>
        <v>1</v>
      </c>
      <c r="BJ30" s="17">
        <f>PRODUCT($BI$5:BI30)</f>
        <v>0.94645908314247273</v>
      </c>
      <c r="BK30" s="19">
        <f>1 - Audit[[#This Row],[K-M P Value]]</f>
        <v>5.3540916857527265E-2</v>
      </c>
      <c r="BL30" s="17" t="str">
        <f>IF(Audit[[#This Row],[K-M P Value]]&gt;1-'General Info'!$B$12,"Continue", "Stop")</f>
        <v>Continue</v>
      </c>
      <c r="BM30" s="22" t="b">
        <f>IF(Audit[[#This Row],[Status - Continue or stop audit]] = "Continue", TRUE, IF(BL29 = "Continue", TRUE, FALSE))</f>
        <v>1</v>
      </c>
      <c r="BN30" s="22"/>
    </row>
    <row r="31" spans="1:66" ht="15" hidden="1" customHeight="1" x14ac:dyDescent="0.35">
      <c r="A31" s="17" t="str">
        <f>'Sampling Data'!AI31</f>
        <v/>
      </c>
      <c r="B31" s="17" t="str">
        <f>'Sampling Data'!A31</f>
        <v>0303 CIN 3-C   (AV)</v>
      </c>
      <c r="C31" s="17">
        <f>'Sampling Data'!B31</f>
        <v>363</v>
      </c>
      <c r="D31" s="17">
        <f>'Sampling Data'!C31</f>
        <v>162</v>
      </c>
      <c r="E31" s="18">
        <f>'Sampling Data'!D31</f>
        <v>0</v>
      </c>
      <c r="F31" s="18">
        <f>'Sampling Data'!E31</f>
        <v>0</v>
      </c>
      <c r="G31" s="18">
        <f>'Sampling Data'!F31</f>
        <v>0</v>
      </c>
      <c r="H31" s="18">
        <f>'Sampling Data'!G31</f>
        <v>0</v>
      </c>
      <c r="I31" s="18">
        <f>'Sampling Data'!H31</f>
        <v>0</v>
      </c>
      <c r="J31" s="18">
        <f>'Sampling Data'!I31</f>
        <v>0</v>
      </c>
      <c r="K31" s="18">
        <f>'Sampling Data'!J31</f>
        <v>0</v>
      </c>
      <c r="L31" s="18">
        <f>'Sampling Data'!K31</f>
        <v>0</v>
      </c>
      <c r="M31" s="18">
        <f>'Sampling Data'!L31</f>
        <v>0</v>
      </c>
      <c r="N31" s="18">
        <f>'Sampling Data'!M31</f>
        <v>0</v>
      </c>
      <c r="O31" s="17">
        <f>'Sampling Data'!N31</f>
        <v>0</v>
      </c>
      <c r="P31" s="17">
        <f>'Sampling Data'!O31</f>
        <v>36</v>
      </c>
      <c r="Q31" s="17">
        <f>'Sampling Data'!P31</f>
        <v>561</v>
      </c>
      <c r="R31" s="17">
        <f>'Sampling Data'!AJ31</f>
        <v>0</v>
      </c>
      <c r="S31" s="111"/>
      <c r="T31" s="111"/>
      <c r="U31" s="112"/>
      <c r="V31" s="112"/>
      <c r="W31" s="111"/>
      <c r="X31" s="111"/>
      <c r="Y31" s="111"/>
      <c r="Z31" s="111"/>
      <c r="AA31" s="14"/>
      <c r="AB31" s="14"/>
      <c r="AC31" s="14"/>
      <c r="AD31" s="14"/>
      <c r="AE31" s="113" t="str">
        <f>IF(NOT(ISBLANK(Audit[[#This Row],[Audit Winning Candidate]])), Audit[[#This Row],[Audit Winning Candidate]]-Audit[[#This Row],[Winning Candidate]], "")</f>
        <v/>
      </c>
      <c r="AF31" s="17" t="str">
        <f>IF(NOT(ISBLANK(Audit[[#This Row],[Audit Losing Candidate]])), Audit[[#This Row],[Audit Losing Candidate]]-Audit[[#This Row],[Losing Candidate]], "")</f>
        <v/>
      </c>
      <c r="AG31" s="17" t="str">
        <f>IF(NOT(ISBLANK(Audit[[#This Row],[Audit Candidate 3]])), Audit[[#This Row],[Audit Candidate 3]]-Audit[[#This Row],[Candidate 3]], "")</f>
        <v/>
      </c>
      <c r="AH31" s="17" t="str">
        <f>IF(NOT(ISBLANK(Audit[[#This Row],[Audit Candidate 4]])),Audit[[#This Row],[Audit Candidate 4]]-Audit[[#This Row],[Candidate 4]], "")</f>
        <v/>
      </c>
      <c r="AI31" s="17" t="str">
        <f>IF(NOT(ISBLANK(Audit[[#This Row],[Audit Candidate 5]])), Audit[[#This Row],[Audit Candidate 5]]-Audit[[#This Row],[Candidate 5]], "")</f>
        <v/>
      </c>
      <c r="AJ31" s="17" t="str">
        <f>IF(NOT(ISBLANK(Audit[[#This Row],[Audit Candidate 6]])), Audit[[#This Row],[Audit Candidate 6]]-Audit[[#This Row],[Candidate 6]], "")</f>
        <v/>
      </c>
      <c r="AK31" s="17" t="str">
        <f>IF(NOT(ISBLANK(Audit[[#This Row],[Audit Candidate 7]])), Audit[[#This Row],[Audit Candidate 7]]-Audit[[#This Row],[Candidate 7]], "")</f>
        <v/>
      </c>
      <c r="AL31" s="17" t="str">
        <f>IF(NOT(ISBLANK(Audit[[#This Row],[Audit Candidate 8]])), Audit[[#This Row],[Audit Candidate 8]]-Audit[[#This Row],[Candidate 8]], "")</f>
        <v/>
      </c>
      <c r="AM31" s="17" t="str">
        <f>IF(NOT(ISBLANK(Audit[[#This Row],[Audit Candidate 9]])), Audit[[#This Row],[Audit Candidate 9]]-Audit[[#This Row],[Candidate 9]], "")</f>
        <v/>
      </c>
      <c r="AN31" s="17" t="str">
        <f>IF(NOT(ISBLANK(Audit[[#This Row],[Audit Candidate 10]])), Audit[[#This Row],[Audit Candidate 10]]-Audit[[#This Row],[Candidate 10]], "")</f>
        <v/>
      </c>
      <c r="AO31" s="17" t="str">
        <f>IF(NOT(ISBLANK(Audit[[#This Row],[Audit Candidate 11]])), Audit[[#This Row],[Audit Candidate 11]]-Audit[[#This Row],[Candidate 11]], "")</f>
        <v/>
      </c>
      <c r="AP31" s="17" t="str">
        <f>IF(NOT(ISBLANK(Audit[[#This Row],[Audit Candidate 12]])), Audit[[#This Row],[Audit Candidate 12]]-Audit[[#This Row],[Candidate 12]], "")</f>
        <v/>
      </c>
      <c r="AQ31" s="17">
        <f>SUMIF(Audit[[#This Row],[Difference Winner]:[Difference Candidate 12]], "&gt;0")</f>
        <v>0</v>
      </c>
      <c r="AR31" s="17">
        <f>SUM(Audit[[#This Row],[Difference Winner]:[Difference Candidate 12]])</f>
        <v>0</v>
      </c>
      <c r="AS31" s="17">
        <f>IF(Audit[[#This Row],[Times p Drawn - With Replacement]]&gt;0, IF(Audit[[#This Row],[Canceled Differences]]&lt;0, Audit[[#This Row],[Max Differences]]+ABS(Audit[[#This Row],[Canceled Differences]]), Audit[[#This Row],[Max Differences]]), 0)</f>
        <v>0</v>
      </c>
      <c r="AT31" s="17">
        <f>'Sampling Data'!AB31</f>
        <v>3.2337463928025799E-2</v>
      </c>
      <c r="AU31" s="17">
        <f>IF(
      SUM(Audit[[#This Row],[Audit Losing Candidate]:[Audit Candidate 12]])
      &lt;&gt;0,
      (Audit[[#This Row],[Winning Candidate]]-Audit[[#This Row],[Losing Candidate]]-(Audit[[#This Row],[Audit Winning Candidate]]-Audit[[#This Row],[Audit Losing Candidate]]))/(Audit[[#Totals],[Winning Candidate]]-Audit[[#Totals],[Losing Candidate]]),
      0
)</f>
        <v>0</v>
      </c>
      <c r="AV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 s="17">
        <f>IF(Audit[[#This Row],[Max Relative Error (ep)]] = 0, 0, Audit[[#This Row],[Max Relative Error (ep)]]/Audit[[#This Row],[Error Bound (up) - Max. possible relative overstatement]])</f>
        <v>0</v>
      </c>
      <c r="BH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1" s="17">
        <f t="shared" si="1"/>
        <v>1</v>
      </c>
      <c r="BJ31" s="17">
        <f>PRODUCT($BI$5:BI31)</f>
        <v>0.94645908314247273</v>
      </c>
      <c r="BK31" s="19">
        <f>1 - Audit[[#This Row],[K-M P Value]]</f>
        <v>5.3540916857527265E-2</v>
      </c>
      <c r="BL31" s="17" t="str">
        <f>IF(Audit[[#This Row],[K-M P Value]]&gt;1-'General Info'!$B$12,"Continue", "Stop")</f>
        <v>Continue</v>
      </c>
      <c r="BM31" s="22" t="b">
        <f>IF(Audit[[#This Row],[Status - Continue or stop audit]] = "Continue", TRUE, IF(BL30 = "Continue", TRUE, FALSE))</f>
        <v>1</v>
      </c>
      <c r="BN31" s="22"/>
    </row>
    <row r="32" spans="1:66" ht="15" hidden="1" customHeight="1" x14ac:dyDescent="0.35">
      <c r="A32" s="17" t="str">
        <f>'Sampling Data'!AI32</f>
        <v/>
      </c>
      <c r="B32" s="17" t="str">
        <f>'Sampling Data'!A32</f>
        <v>0304 CIN 3-D   (AV)</v>
      </c>
      <c r="C32" s="17">
        <f>'Sampling Data'!B32</f>
        <v>303</v>
      </c>
      <c r="D32" s="17">
        <f>'Sampling Data'!C32</f>
        <v>32</v>
      </c>
      <c r="E32" s="18">
        <f>'Sampling Data'!D32</f>
        <v>0</v>
      </c>
      <c r="F32" s="18">
        <f>'Sampling Data'!E32</f>
        <v>0</v>
      </c>
      <c r="G32" s="18">
        <f>'Sampling Data'!F32</f>
        <v>0</v>
      </c>
      <c r="H32" s="18">
        <f>'Sampling Data'!G32</f>
        <v>0</v>
      </c>
      <c r="I32" s="18">
        <f>'Sampling Data'!H32</f>
        <v>0</v>
      </c>
      <c r="J32" s="18">
        <f>'Sampling Data'!I32</f>
        <v>0</v>
      </c>
      <c r="K32" s="18">
        <f>'Sampling Data'!J32</f>
        <v>0</v>
      </c>
      <c r="L32" s="18">
        <f>'Sampling Data'!K32</f>
        <v>0</v>
      </c>
      <c r="M32" s="18">
        <f>'Sampling Data'!L32</f>
        <v>0</v>
      </c>
      <c r="N32" s="18">
        <f>'Sampling Data'!M32</f>
        <v>0</v>
      </c>
      <c r="O32" s="17">
        <f>'Sampling Data'!N32</f>
        <v>1</v>
      </c>
      <c r="P32" s="17">
        <f>'Sampling Data'!O32</f>
        <v>23</v>
      </c>
      <c r="Q32" s="17">
        <f>'Sampling Data'!P32</f>
        <v>359</v>
      </c>
      <c r="R32" s="17">
        <f>'Sampling Data'!AJ32</f>
        <v>0</v>
      </c>
      <c r="S32" s="111"/>
      <c r="T32" s="111"/>
      <c r="U32" s="112"/>
      <c r="V32" s="112"/>
      <c r="W32" s="111"/>
      <c r="X32" s="111"/>
      <c r="Y32" s="111"/>
      <c r="Z32" s="111"/>
      <c r="AA32" s="14"/>
      <c r="AB32" s="14"/>
      <c r="AC32" s="14"/>
      <c r="AD32" s="14"/>
      <c r="AE32" s="113" t="str">
        <f>IF(NOT(ISBLANK(Audit[[#This Row],[Audit Winning Candidate]])), Audit[[#This Row],[Audit Winning Candidate]]-Audit[[#This Row],[Winning Candidate]], "")</f>
        <v/>
      </c>
      <c r="AF32" s="17" t="str">
        <f>IF(NOT(ISBLANK(Audit[[#This Row],[Audit Losing Candidate]])), Audit[[#This Row],[Audit Losing Candidate]]-Audit[[#This Row],[Losing Candidate]], "")</f>
        <v/>
      </c>
      <c r="AG32" s="17" t="str">
        <f>IF(NOT(ISBLANK(Audit[[#This Row],[Audit Candidate 3]])), Audit[[#This Row],[Audit Candidate 3]]-Audit[[#This Row],[Candidate 3]], "")</f>
        <v/>
      </c>
      <c r="AH32" s="17" t="str">
        <f>IF(NOT(ISBLANK(Audit[[#This Row],[Audit Candidate 4]])),Audit[[#This Row],[Audit Candidate 4]]-Audit[[#This Row],[Candidate 4]], "")</f>
        <v/>
      </c>
      <c r="AI32" s="17" t="str">
        <f>IF(NOT(ISBLANK(Audit[[#This Row],[Audit Candidate 5]])), Audit[[#This Row],[Audit Candidate 5]]-Audit[[#This Row],[Candidate 5]], "")</f>
        <v/>
      </c>
      <c r="AJ32" s="17" t="str">
        <f>IF(NOT(ISBLANK(Audit[[#This Row],[Audit Candidate 6]])), Audit[[#This Row],[Audit Candidate 6]]-Audit[[#This Row],[Candidate 6]], "")</f>
        <v/>
      </c>
      <c r="AK32" s="17" t="str">
        <f>IF(NOT(ISBLANK(Audit[[#This Row],[Audit Candidate 7]])), Audit[[#This Row],[Audit Candidate 7]]-Audit[[#This Row],[Candidate 7]], "")</f>
        <v/>
      </c>
      <c r="AL32" s="17" t="str">
        <f>IF(NOT(ISBLANK(Audit[[#This Row],[Audit Candidate 8]])), Audit[[#This Row],[Audit Candidate 8]]-Audit[[#This Row],[Candidate 8]], "")</f>
        <v/>
      </c>
      <c r="AM32" s="17" t="str">
        <f>IF(NOT(ISBLANK(Audit[[#This Row],[Audit Candidate 9]])), Audit[[#This Row],[Audit Candidate 9]]-Audit[[#This Row],[Candidate 9]], "")</f>
        <v/>
      </c>
      <c r="AN32" s="17" t="str">
        <f>IF(NOT(ISBLANK(Audit[[#This Row],[Audit Candidate 10]])), Audit[[#This Row],[Audit Candidate 10]]-Audit[[#This Row],[Candidate 10]], "")</f>
        <v/>
      </c>
      <c r="AO32" s="17" t="str">
        <f>IF(NOT(ISBLANK(Audit[[#This Row],[Audit Candidate 11]])), Audit[[#This Row],[Audit Candidate 11]]-Audit[[#This Row],[Candidate 11]], "")</f>
        <v/>
      </c>
      <c r="AP32" s="17" t="str">
        <f>IF(NOT(ISBLANK(Audit[[#This Row],[Audit Candidate 12]])), Audit[[#This Row],[Audit Candidate 12]]-Audit[[#This Row],[Candidate 12]], "")</f>
        <v/>
      </c>
      <c r="AQ32" s="17">
        <f>SUMIF(Audit[[#This Row],[Difference Winner]:[Difference Candidate 12]], "&gt;0")</f>
        <v>0</v>
      </c>
      <c r="AR32" s="17">
        <f>SUM(Audit[[#This Row],[Difference Winner]:[Difference Candidate 12]])</f>
        <v>0</v>
      </c>
      <c r="AS32" s="17">
        <f>IF(Audit[[#This Row],[Times p Drawn - With Replacement]]&gt;0, IF(Audit[[#This Row],[Canceled Differences]]&lt;0, Audit[[#This Row],[Max Differences]]+ABS(Audit[[#This Row],[Canceled Differences]]), Audit[[#This Row],[Max Differences]]), 0)</f>
        <v>0</v>
      </c>
      <c r="AT32" s="17">
        <f>'Sampling Data'!AB32</f>
        <v>2.6735698523170939E-2</v>
      </c>
      <c r="AU32" s="17">
        <f>IF(
      SUM(Audit[[#This Row],[Audit Losing Candidate]:[Audit Candidate 12]])
      &lt;&gt;0,
      (Audit[[#This Row],[Winning Candidate]]-Audit[[#This Row],[Losing Candidate]]-(Audit[[#This Row],[Audit Winning Candidate]]-Audit[[#This Row],[Audit Losing Candidate]]))/(Audit[[#Totals],[Winning Candidate]]-Audit[[#Totals],[Losing Candidate]]),
      0
)</f>
        <v>0</v>
      </c>
      <c r="AV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 s="17">
        <f>IF(Audit[[#This Row],[Max Relative Error (ep)]] = 0, 0, Audit[[#This Row],[Max Relative Error (ep)]]/Audit[[#This Row],[Error Bound (up) - Max. possible relative overstatement]])</f>
        <v>0</v>
      </c>
      <c r="BH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2" s="17">
        <f t="shared" si="1"/>
        <v>1</v>
      </c>
      <c r="BJ32" s="17">
        <f>PRODUCT($BI$5:BI32)</f>
        <v>0.94645908314247273</v>
      </c>
      <c r="BK32" s="19">
        <f>1 - Audit[[#This Row],[K-M P Value]]</f>
        <v>5.3540916857527265E-2</v>
      </c>
      <c r="BL32" s="17" t="str">
        <f>IF(Audit[[#This Row],[K-M P Value]]&gt;1-'General Info'!$B$12,"Continue", "Stop")</f>
        <v>Continue</v>
      </c>
      <c r="BM32" s="22" t="b">
        <f>IF(Audit[[#This Row],[Status - Continue or stop audit]] = "Continue", TRUE, IF(BL31 = "Continue", TRUE, FALSE))</f>
        <v>1</v>
      </c>
      <c r="BN32" s="22"/>
    </row>
    <row r="33" spans="1:66" ht="15" hidden="1" customHeight="1" x14ac:dyDescent="0.35">
      <c r="A33" s="17" t="str">
        <f>'Sampling Data'!AI33</f>
        <v/>
      </c>
      <c r="B33" s="17" t="str">
        <f>'Sampling Data'!A33</f>
        <v>0305 CIN 3-E   (AV)</v>
      </c>
      <c r="C33" s="17">
        <f>'Sampling Data'!B33</f>
        <v>301</v>
      </c>
      <c r="D33" s="17">
        <f>'Sampling Data'!C33</f>
        <v>29</v>
      </c>
      <c r="E33" s="18">
        <f>'Sampling Data'!D33</f>
        <v>0</v>
      </c>
      <c r="F33" s="18">
        <f>'Sampling Data'!E33</f>
        <v>0</v>
      </c>
      <c r="G33" s="18">
        <f>'Sampling Data'!F33</f>
        <v>0</v>
      </c>
      <c r="H33" s="18">
        <f>'Sampling Data'!G33</f>
        <v>0</v>
      </c>
      <c r="I33" s="18">
        <f>'Sampling Data'!H33</f>
        <v>0</v>
      </c>
      <c r="J33" s="18">
        <f>'Sampling Data'!I33</f>
        <v>0</v>
      </c>
      <c r="K33" s="18">
        <f>'Sampling Data'!J33</f>
        <v>0</v>
      </c>
      <c r="L33" s="18">
        <f>'Sampling Data'!K33</f>
        <v>0</v>
      </c>
      <c r="M33" s="18">
        <f>'Sampling Data'!L33</f>
        <v>0</v>
      </c>
      <c r="N33" s="18">
        <f>'Sampling Data'!M33</f>
        <v>0</v>
      </c>
      <c r="O33" s="17">
        <f>'Sampling Data'!N33</f>
        <v>0</v>
      </c>
      <c r="P33" s="17">
        <f>'Sampling Data'!O33</f>
        <v>23</v>
      </c>
      <c r="Q33" s="17">
        <f>'Sampling Data'!P33</f>
        <v>353</v>
      </c>
      <c r="R33" s="17">
        <f>'Sampling Data'!AJ33</f>
        <v>0</v>
      </c>
      <c r="S33" s="111"/>
      <c r="T33" s="111"/>
      <c r="U33" s="112"/>
      <c r="V33" s="112"/>
      <c r="W33" s="111"/>
      <c r="X33" s="111"/>
      <c r="Y33" s="111"/>
      <c r="Z33" s="111"/>
      <c r="AA33" s="14"/>
      <c r="AB33" s="14"/>
      <c r="AC33" s="14"/>
      <c r="AD33" s="14"/>
      <c r="AE33" s="113" t="str">
        <f>IF(NOT(ISBLANK(Audit[[#This Row],[Audit Winning Candidate]])), Audit[[#This Row],[Audit Winning Candidate]]-Audit[[#This Row],[Winning Candidate]], "")</f>
        <v/>
      </c>
      <c r="AF33" s="17" t="str">
        <f>IF(NOT(ISBLANK(Audit[[#This Row],[Audit Losing Candidate]])), Audit[[#This Row],[Audit Losing Candidate]]-Audit[[#This Row],[Losing Candidate]], "")</f>
        <v/>
      </c>
      <c r="AG33" s="17" t="str">
        <f>IF(NOT(ISBLANK(Audit[[#This Row],[Audit Candidate 3]])), Audit[[#This Row],[Audit Candidate 3]]-Audit[[#This Row],[Candidate 3]], "")</f>
        <v/>
      </c>
      <c r="AH33" s="17" t="str">
        <f>IF(NOT(ISBLANK(Audit[[#This Row],[Audit Candidate 4]])),Audit[[#This Row],[Audit Candidate 4]]-Audit[[#This Row],[Candidate 4]], "")</f>
        <v/>
      </c>
      <c r="AI33" s="17" t="str">
        <f>IF(NOT(ISBLANK(Audit[[#This Row],[Audit Candidate 5]])), Audit[[#This Row],[Audit Candidate 5]]-Audit[[#This Row],[Candidate 5]], "")</f>
        <v/>
      </c>
      <c r="AJ33" s="17" t="str">
        <f>IF(NOT(ISBLANK(Audit[[#This Row],[Audit Candidate 6]])), Audit[[#This Row],[Audit Candidate 6]]-Audit[[#This Row],[Candidate 6]], "")</f>
        <v/>
      </c>
      <c r="AK33" s="17" t="str">
        <f>IF(NOT(ISBLANK(Audit[[#This Row],[Audit Candidate 7]])), Audit[[#This Row],[Audit Candidate 7]]-Audit[[#This Row],[Candidate 7]], "")</f>
        <v/>
      </c>
      <c r="AL33" s="17" t="str">
        <f>IF(NOT(ISBLANK(Audit[[#This Row],[Audit Candidate 8]])), Audit[[#This Row],[Audit Candidate 8]]-Audit[[#This Row],[Candidate 8]], "")</f>
        <v/>
      </c>
      <c r="AM33" s="17" t="str">
        <f>IF(NOT(ISBLANK(Audit[[#This Row],[Audit Candidate 9]])), Audit[[#This Row],[Audit Candidate 9]]-Audit[[#This Row],[Candidate 9]], "")</f>
        <v/>
      </c>
      <c r="AN33" s="17" t="str">
        <f>IF(NOT(ISBLANK(Audit[[#This Row],[Audit Candidate 10]])), Audit[[#This Row],[Audit Candidate 10]]-Audit[[#This Row],[Candidate 10]], "")</f>
        <v/>
      </c>
      <c r="AO33" s="17" t="str">
        <f>IF(NOT(ISBLANK(Audit[[#This Row],[Audit Candidate 11]])), Audit[[#This Row],[Audit Candidate 11]]-Audit[[#This Row],[Candidate 11]], "")</f>
        <v/>
      </c>
      <c r="AP33" s="17" t="str">
        <f>IF(NOT(ISBLANK(Audit[[#This Row],[Audit Candidate 12]])), Audit[[#This Row],[Audit Candidate 12]]-Audit[[#This Row],[Candidate 12]], "")</f>
        <v/>
      </c>
      <c r="AQ33" s="17">
        <f>SUMIF(Audit[[#This Row],[Difference Winner]:[Difference Candidate 12]], "&gt;0")</f>
        <v>0</v>
      </c>
      <c r="AR33" s="17">
        <f>SUM(Audit[[#This Row],[Difference Winner]:[Difference Candidate 12]])</f>
        <v>0</v>
      </c>
      <c r="AS33" s="17">
        <f>IF(Audit[[#This Row],[Times p Drawn - With Replacement]]&gt;0, IF(Audit[[#This Row],[Canceled Differences]]&lt;0, Audit[[#This Row],[Max Differences]]+ABS(Audit[[#This Row],[Canceled Differences]]), Audit[[#This Row],[Max Differences]]), 0)</f>
        <v>0</v>
      </c>
      <c r="AT33" s="17">
        <f>'Sampling Data'!AB33</f>
        <v>2.6523510439653709E-2</v>
      </c>
      <c r="AU33" s="17">
        <f>IF(
      SUM(Audit[[#This Row],[Audit Losing Candidate]:[Audit Candidate 12]])
      &lt;&gt;0,
      (Audit[[#This Row],[Winning Candidate]]-Audit[[#This Row],[Losing Candidate]]-(Audit[[#This Row],[Audit Winning Candidate]]-Audit[[#This Row],[Audit Losing Candidate]]))/(Audit[[#Totals],[Winning Candidate]]-Audit[[#Totals],[Losing Candidate]]),
      0
)</f>
        <v>0</v>
      </c>
      <c r="AV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 s="17">
        <f>IF(Audit[[#This Row],[Max Relative Error (ep)]] = 0, 0, Audit[[#This Row],[Max Relative Error (ep)]]/Audit[[#This Row],[Error Bound (up) - Max. possible relative overstatement]])</f>
        <v>0</v>
      </c>
      <c r="BH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3" s="17">
        <f t="shared" si="1"/>
        <v>1</v>
      </c>
      <c r="BJ33" s="17">
        <f>PRODUCT($BI$5:BI33)</f>
        <v>0.94645908314247273</v>
      </c>
      <c r="BK33" s="19">
        <f>1 - Audit[[#This Row],[K-M P Value]]</f>
        <v>5.3540916857527265E-2</v>
      </c>
      <c r="BL33" s="17" t="str">
        <f>IF(Audit[[#This Row],[K-M P Value]]&gt;1-'General Info'!$B$12,"Continue", "Stop")</f>
        <v>Continue</v>
      </c>
      <c r="BM33" s="22" t="b">
        <f>IF(Audit[[#This Row],[Status - Continue or stop audit]] = "Continue", TRUE, IF(BL32 = "Continue", TRUE, FALSE))</f>
        <v>1</v>
      </c>
      <c r="BN33" s="22"/>
    </row>
    <row r="34" spans="1:66" ht="15" hidden="1" customHeight="1" x14ac:dyDescent="0.35">
      <c r="A34" s="17" t="str">
        <f>'Sampling Data'!AI34</f>
        <v/>
      </c>
      <c r="B34" s="17" t="str">
        <f>'Sampling Data'!A34</f>
        <v>0401 CIN 4-A   (AV)</v>
      </c>
      <c r="C34" s="17">
        <f>'Sampling Data'!B34</f>
        <v>257</v>
      </c>
      <c r="D34" s="17">
        <f>'Sampling Data'!C34</f>
        <v>84</v>
      </c>
      <c r="E34" s="18">
        <f>'Sampling Data'!D34</f>
        <v>0</v>
      </c>
      <c r="F34" s="18">
        <f>'Sampling Data'!E34</f>
        <v>0</v>
      </c>
      <c r="G34" s="18">
        <f>'Sampling Data'!F34</f>
        <v>0</v>
      </c>
      <c r="H34" s="18">
        <f>'Sampling Data'!G34</f>
        <v>0</v>
      </c>
      <c r="I34" s="18">
        <f>'Sampling Data'!H34</f>
        <v>0</v>
      </c>
      <c r="J34" s="18">
        <f>'Sampling Data'!I34</f>
        <v>0</v>
      </c>
      <c r="K34" s="18">
        <f>'Sampling Data'!J34</f>
        <v>0</v>
      </c>
      <c r="L34" s="18">
        <f>'Sampling Data'!K34</f>
        <v>0</v>
      </c>
      <c r="M34" s="18">
        <f>'Sampling Data'!L34</f>
        <v>0</v>
      </c>
      <c r="N34" s="18">
        <f>'Sampling Data'!M34</f>
        <v>0</v>
      </c>
      <c r="O34" s="17">
        <f>'Sampling Data'!N34</f>
        <v>0</v>
      </c>
      <c r="P34" s="17">
        <f>'Sampling Data'!O34</f>
        <v>24</v>
      </c>
      <c r="Q34" s="17">
        <f>'Sampling Data'!P34</f>
        <v>365</v>
      </c>
      <c r="R34" s="17">
        <f>'Sampling Data'!AJ34</f>
        <v>0</v>
      </c>
      <c r="S34" s="111"/>
      <c r="T34" s="111"/>
      <c r="U34" s="112"/>
      <c r="V34" s="112"/>
      <c r="W34" s="111"/>
      <c r="X34" s="111"/>
      <c r="Y34" s="111"/>
      <c r="Z34" s="111"/>
      <c r="AA34" s="14"/>
      <c r="AB34" s="14"/>
      <c r="AC34" s="14"/>
      <c r="AD34" s="14"/>
      <c r="AE34" s="113" t="str">
        <f>IF(NOT(ISBLANK(Audit[[#This Row],[Audit Winning Candidate]])), Audit[[#This Row],[Audit Winning Candidate]]-Audit[[#This Row],[Winning Candidate]], "")</f>
        <v/>
      </c>
      <c r="AF34" s="17" t="str">
        <f>IF(NOT(ISBLANK(Audit[[#This Row],[Audit Losing Candidate]])), Audit[[#This Row],[Audit Losing Candidate]]-Audit[[#This Row],[Losing Candidate]], "")</f>
        <v/>
      </c>
      <c r="AG34" s="17" t="str">
        <f>IF(NOT(ISBLANK(Audit[[#This Row],[Audit Candidate 3]])), Audit[[#This Row],[Audit Candidate 3]]-Audit[[#This Row],[Candidate 3]], "")</f>
        <v/>
      </c>
      <c r="AH34" s="17" t="str">
        <f>IF(NOT(ISBLANK(Audit[[#This Row],[Audit Candidate 4]])),Audit[[#This Row],[Audit Candidate 4]]-Audit[[#This Row],[Candidate 4]], "")</f>
        <v/>
      </c>
      <c r="AI34" s="17" t="str">
        <f>IF(NOT(ISBLANK(Audit[[#This Row],[Audit Candidate 5]])), Audit[[#This Row],[Audit Candidate 5]]-Audit[[#This Row],[Candidate 5]], "")</f>
        <v/>
      </c>
      <c r="AJ34" s="17" t="str">
        <f>IF(NOT(ISBLANK(Audit[[#This Row],[Audit Candidate 6]])), Audit[[#This Row],[Audit Candidate 6]]-Audit[[#This Row],[Candidate 6]], "")</f>
        <v/>
      </c>
      <c r="AK34" s="17" t="str">
        <f>IF(NOT(ISBLANK(Audit[[#This Row],[Audit Candidate 7]])), Audit[[#This Row],[Audit Candidate 7]]-Audit[[#This Row],[Candidate 7]], "")</f>
        <v/>
      </c>
      <c r="AL34" s="17" t="str">
        <f>IF(NOT(ISBLANK(Audit[[#This Row],[Audit Candidate 8]])), Audit[[#This Row],[Audit Candidate 8]]-Audit[[#This Row],[Candidate 8]], "")</f>
        <v/>
      </c>
      <c r="AM34" s="17" t="str">
        <f>IF(NOT(ISBLANK(Audit[[#This Row],[Audit Candidate 9]])), Audit[[#This Row],[Audit Candidate 9]]-Audit[[#This Row],[Candidate 9]], "")</f>
        <v/>
      </c>
      <c r="AN34" s="17" t="str">
        <f>IF(NOT(ISBLANK(Audit[[#This Row],[Audit Candidate 10]])), Audit[[#This Row],[Audit Candidate 10]]-Audit[[#This Row],[Candidate 10]], "")</f>
        <v/>
      </c>
      <c r="AO34" s="17" t="str">
        <f>IF(NOT(ISBLANK(Audit[[#This Row],[Audit Candidate 11]])), Audit[[#This Row],[Audit Candidate 11]]-Audit[[#This Row],[Candidate 11]], "")</f>
        <v/>
      </c>
      <c r="AP34" s="17" t="str">
        <f>IF(NOT(ISBLANK(Audit[[#This Row],[Audit Candidate 12]])), Audit[[#This Row],[Audit Candidate 12]]-Audit[[#This Row],[Candidate 12]], "")</f>
        <v/>
      </c>
      <c r="AQ34" s="17">
        <f>SUMIF(Audit[[#This Row],[Difference Winner]:[Difference Candidate 12]], "&gt;0")</f>
        <v>0</v>
      </c>
      <c r="AR34" s="17">
        <f>SUM(Audit[[#This Row],[Difference Winner]:[Difference Candidate 12]])</f>
        <v>0</v>
      </c>
      <c r="AS34" s="17">
        <f>IF(Audit[[#This Row],[Times p Drawn - With Replacement]]&gt;0, IF(Audit[[#This Row],[Canceled Differences]]&lt;0, Audit[[#This Row],[Max Differences]]+ABS(Audit[[#This Row],[Canceled Differences]]), Audit[[#This Row],[Max Differences]]), 0)</f>
        <v>0</v>
      </c>
      <c r="AT34" s="17">
        <f>'Sampling Data'!AB34</f>
        <v>2.2831437786453912E-2</v>
      </c>
      <c r="AU34" s="17">
        <f>IF(
      SUM(Audit[[#This Row],[Audit Losing Candidate]:[Audit Candidate 12]])
      &lt;&gt;0,
      (Audit[[#This Row],[Winning Candidate]]-Audit[[#This Row],[Losing Candidate]]-(Audit[[#This Row],[Audit Winning Candidate]]-Audit[[#This Row],[Audit Losing Candidate]]))/(Audit[[#Totals],[Winning Candidate]]-Audit[[#Totals],[Losing Candidate]]),
      0
)</f>
        <v>0</v>
      </c>
      <c r="AV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 s="17">
        <f>IF(Audit[[#This Row],[Max Relative Error (ep)]] = 0, 0, Audit[[#This Row],[Max Relative Error (ep)]]/Audit[[#This Row],[Error Bound (up) - Max. possible relative overstatement]])</f>
        <v>0</v>
      </c>
      <c r="BH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4" s="17">
        <f t="shared" si="1"/>
        <v>1</v>
      </c>
      <c r="BJ34" s="17">
        <f>PRODUCT($BI$5:BI34)</f>
        <v>0.94645908314247273</v>
      </c>
      <c r="BK34" s="19">
        <f>1 - Audit[[#This Row],[K-M P Value]]</f>
        <v>5.3540916857527265E-2</v>
      </c>
      <c r="BL34" s="17" t="str">
        <f>IF(Audit[[#This Row],[K-M P Value]]&gt;1-'General Info'!$B$12,"Continue", "Stop")</f>
        <v>Continue</v>
      </c>
      <c r="BM34" s="22" t="b">
        <f>IF(Audit[[#This Row],[Status - Continue or stop audit]] = "Continue", TRUE, IF(BL33 = "Continue", TRUE, FALSE))</f>
        <v>1</v>
      </c>
      <c r="BN34" s="22"/>
    </row>
    <row r="35" spans="1:66" ht="15" hidden="1" customHeight="1" x14ac:dyDescent="0.35">
      <c r="A35" s="17" t="str">
        <f>'Sampling Data'!AI35</f>
        <v/>
      </c>
      <c r="B35" s="17" t="str">
        <f>'Sampling Data'!A35</f>
        <v>0402 CIN 4-B   (AV)</v>
      </c>
      <c r="C35" s="17">
        <f>'Sampling Data'!B35</f>
        <v>345</v>
      </c>
      <c r="D35" s="17">
        <f>'Sampling Data'!C35</f>
        <v>127</v>
      </c>
      <c r="E35" s="18">
        <f>'Sampling Data'!D35</f>
        <v>0</v>
      </c>
      <c r="F35" s="18">
        <f>'Sampling Data'!E35</f>
        <v>0</v>
      </c>
      <c r="G35" s="18">
        <f>'Sampling Data'!F35</f>
        <v>0</v>
      </c>
      <c r="H35" s="18">
        <f>'Sampling Data'!G35</f>
        <v>0</v>
      </c>
      <c r="I35" s="18">
        <f>'Sampling Data'!H35</f>
        <v>0</v>
      </c>
      <c r="J35" s="18">
        <f>'Sampling Data'!I35</f>
        <v>0</v>
      </c>
      <c r="K35" s="18">
        <f>'Sampling Data'!J35</f>
        <v>0</v>
      </c>
      <c r="L35" s="18">
        <f>'Sampling Data'!K35</f>
        <v>0</v>
      </c>
      <c r="M35" s="18">
        <f>'Sampling Data'!L35</f>
        <v>0</v>
      </c>
      <c r="N35" s="18">
        <f>'Sampling Data'!M35</f>
        <v>0</v>
      </c>
      <c r="O35" s="17">
        <f>'Sampling Data'!N35</f>
        <v>0</v>
      </c>
      <c r="P35" s="17">
        <f>'Sampling Data'!O35</f>
        <v>24</v>
      </c>
      <c r="Q35" s="17">
        <f>'Sampling Data'!P35</f>
        <v>496</v>
      </c>
      <c r="R35" s="17">
        <f>'Sampling Data'!AJ35</f>
        <v>0</v>
      </c>
      <c r="S35" s="111"/>
      <c r="T35" s="111"/>
      <c r="U35" s="112"/>
      <c r="V35" s="112"/>
      <c r="W35" s="111"/>
      <c r="X35" s="111"/>
      <c r="Y35" s="111"/>
      <c r="Z35" s="111"/>
      <c r="AA35" s="14"/>
      <c r="AB35" s="14"/>
      <c r="AC35" s="14"/>
      <c r="AD35" s="14"/>
      <c r="AE35" s="113" t="str">
        <f>IF(NOT(ISBLANK(Audit[[#This Row],[Audit Winning Candidate]])), Audit[[#This Row],[Audit Winning Candidate]]-Audit[[#This Row],[Winning Candidate]], "")</f>
        <v/>
      </c>
      <c r="AF35" s="17" t="str">
        <f>IF(NOT(ISBLANK(Audit[[#This Row],[Audit Losing Candidate]])), Audit[[#This Row],[Audit Losing Candidate]]-Audit[[#This Row],[Losing Candidate]], "")</f>
        <v/>
      </c>
      <c r="AG35" s="17" t="str">
        <f>IF(NOT(ISBLANK(Audit[[#This Row],[Audit Candidate 3]])), Audit[[#This Row],[Audit Candidate 3]]-Audit[[#This Row],[Candidate 3]], "")</f>
        <v/>
      </c>
      <c r="AH35" s="17" t="str">
        <f>IF(NOT(ISBLANK(Audit[[#This Row],[Audit Candidate 4]])),Audit[[#This Row],[Audit Candidate 4]]-Audit[[#This Row],[Candidate 4]], "")</f>
        <v/>
      </c>
      <c r="AI35" s="17" t="str">
        <f>IF(NOT(ISBLANK(Audit[[#This Row],[Audit Candidate 5]])), Audit[[#This Row],[Audit Candidate 5]]-Audit[[#This Row],[Candidate 5]], "")</f>
        <v/>
      </c>
      <c r="AJ35" s="17" t="str">
        <f>IF(NOT(ISBLANK(Audit[[#This Row],[Audit Candidate 6]])), Audit[[#This Row],[Audit Candidate 6]]-Audit[[#This Row],[Candidate 6]], "")</f>
        <v/>
      </c>
      <c r="AK35" s="17" t="str">
        <f>IF(NOT(ISBLANK(Audit[[#This Row],[Audit Candidate 7]])), Audit[[#This Row],[Audit Candidate 7]]-Audit[[#This Row],[Candidate 7]], "")</f>
        <v/>
      </c>
      <c r="AL35" s="17" t="str">
        <f>IF(NOT(ISBLANK(Audit[[#This Row],[Audit Candidate 8]])), Audit[[#This Row],[Audit Candidate 8]]-Audit[[#This Row],[Candidate 8]], "")</f>
        <v/>
      </c>
      <c r="AM35" s="17" t="str">
        <f>IF(NOT(ISBLANK(Audit[[#This Row],[Audit Candidate 9]])), Audit[[#This Row],[Audit Candidate 9]]-Audit[[#This Row],[Candidate 9]], "")</f>
        <v/>
      </c>
      <c r="AN35" s="17" t="str">
        <f>IF(NOT(ISBLANK(Audit[[#This Row],[Audit Candidate 10]])), Audit[[#This Row],[Audit Candidate 10]]-Audit[[#This Row],[Candidate 10]], "")</f>
        <v/>
      </c>
      <c r="AO35" s="17" t="str">
        <f>IF(NOT(ISBLANK(Audit[[#This Row],[Audit Candidate 11]])), Audit[[#This Row],[Audit Candidate 11]]-Audit[[#This Row],[Candidate 11]], "")</f>
        <v/>
      </c>
      <c r="AP35" s="17" t="str">
        <f>IF(NOT(ISBLANK(Audit[[#This Row],[Audit Candidate 12]])), Audit[[#This Row],[Audit Candidate 12]]-Audit[[#This Row],[Candidate 12]], "")</f>
        <v/>
      </c>
      <c r="AQ35" s="17">
        <f>SUMIF(Audit[[#This Row],[Difference Winner]:[Difference Candidate 12]], "&gt;0")</f>
        <v>0</v>
      </c>
      <c r="AR35" s="17">
        <f>SUM(Audit[[#This Row],[Difference Winner]:[Difference Candidate 12]])</f>
        <v>0</v>
      </c>
      <c r="AS35" s="17">
        <f>IF(Audit[[#This Row],[Times p Drawn - With Replacement]]&gt;0, IF(Audit[[#This Row],[Canceled Differences]]&lt;0, Audit[[#This Row],[Max Differences]]+ABS(Audit[[#This Row],[Canceled Differences]]), Audit[[#This Row],[Max Differences]]), 0)</f>
        <v>0</v>
      </c>
      <c r="AT35" s="17">
        <f>'Sampling Data'!AB35</f>
        <v>3.0300458326260396E-2</v>
      </c>
      <c r="AU35" s="17">
        <f>IF(
      SUM(Audit[[#This Row],[Audit Losing Candidate]:[Audit Candidate 12]])
      &lt;&gt;0,
      (Audit[[#This Row],[Winning Candidate]]-Audit[[#This Row],[Losing Candidate]]-(Audit[[#This Row],[Audit Winning Candidate]]-Audit[[#This Row],[Audit Losing Candidate]]))/(Audit[[#Totals],[Winning Candidate]]-Audit[[#Totals],[Losing Candidate]]),
      0
)</f>
        <v>0</v>
      </c>
      <c r="AV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 s="17">
        <f>IF(Audit[[#This Row],[Max Relative Error (ep)]] = 0, 0, Audit[[#This Row],[Max Relative Error (ep)]]/Audit[[#This Row],[Error Bound (up) - Max. possible relative overstatement]])</f>
        <v>0</v>
      </c>
      <c r="BH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5" s="17">
        <f t="shared" si="1"/>
        <v>1</v>
      </c>
      <c r="BJ35" s="17">
        <f>PRODUCT($BI$5:BI35)</f>
        <v>0.94645908314247273</v>
      </c>
      <c r="BK35" s="19">
        <f>1 - Audit[[#This Row],[K-M P Value]]</f>
        <v>5.3540916857527265E-2</v>
      </c>
      <c r="BL35" s="17" t="str">
        <f>IF(Audit[[#This Row],[K-M P Value]]&gt;1-'General Info'!$B$12,"Continue", "Stop")</f>
        <v>Continue</v>
      </c>
      <c r="BM35" s="22" t="b">
        <f>IF(Audit[[#This Row],[Status - Continue or stop audit]] = "Continue", TRUE, IF(BL34 = "Continue", TRUE, FALSE))</f>
        <v>1</v>
      </c>
      <c r="BN35" s="22"/>
    </row>
    <row r="36" spans="1:66" ht="15" hidden="1" customHeight="1" x14ac:dyDescent="0.35">
      <c r="A36" s="17" t="str">
        <f>'Sampling Data'!AI36</f>
        <v/>
      </c>
      <c r="B36" s="17" t="str">
        <f>'Sampling Data'!A36</f>
        <v>0403 CIN 4-C   (AV)</v>
      </c>
      <c r="C36" s="17">
        <f>'Sampling Data'!B36</f>
        <v>268</v>
      </c>
      <c r="D36" s="17">
        <f>'Sampling Data'!C36</f>
        <v>95</v>
      </c>
      <c r="E36" s="18">
        <f>'Sampling Data'!D36</f>
        <v>0</v>
      </c>
      <c r="F36" s="18">
        <f>'Sampling Data'!E36</f>
        <v>0</v>
      </c>
      <c r="G36" s="18">
        <f>'Sampling Data'!F36</f>
        <v>0</v>
      </c>
      <c r="H36" s="18">
        <f>'Sampling Data'!G36</f>
        <v>0</v>
      </c>
      <c r="I36" s="18">
        <f>'Sampling Data'!H36</f>
        <v>0</v>
      </c>
      <c r="J36" s="18">
        <f>'Sampling Data'!I36</f>
        <v>0</v>
      </c>
      <c r="K36" s="18">
        <f>'Sampling Data'!J36</f>
        <v>0</v>
      </c>
      <c r="L36" s="18">
        <f>'Sampling Data'!K36</f>
        <v>0</v>
      </c>
      <c r="M36" s="18">
        <f>'Sampling Data'!L36</f>
        <v>0</v>
      </c>
      <c r="N36" s="18">
        <f>'Sampling Data'!M36</f>
        <v>0</v>
      </c>
      <c r="O36" s="17">
        <f>'Sampling Data'!N36</f>
        <v>0</v>
      </c>
      <c r="P36" s="17">
        <f>'Sampling Data'!O36</f>
        <v>18</v>
      </c>
      <c r="Q36" s="17">
        <f>'Sampling Data'!P36</f>
        <v>381</v>
      </c>
      <c r="R36" s="17">
        <f>'Sampling Data'!AJ36</f>
        <v>0</v>
      </c>
      <c r="S36" s="111"/>
      <c r="T36" s="111"/>
      <c r="U36" s="112"/>
      <c r="V36" s="112"/>
      <c r="W36" s="111"/>
      <c r="X36" s="111"/>
      <c r="Y36" s="111"/>
      <c r="Z36" s="111"/>
      <c r="AA36" s="14"/>
      <c r="AB36" s="14"/>
      <c r="AC36" s="14"/>
      <c r="AD36" s="14"/>
      <c r="AE36" s="113" t="str">
        <f>IF(NOT(ISBLANK(Audit[[#This Row],[Audit Winning Candidate]])), Audit[[#This Row],[Audit Winning Candidate]]-Audit[[#This Row],[Winning Candidate]], "")</f>
        <v/>
      </c>
      <c r="AF36" s="17" t="str">
        <f>IF(NOT(ISBLANK(Audit[[#This Row],[Audit Losing Candidate]])), Audit[[#This Row],[Audit Losing Candidate]]-Audit[[#This Row],[Losing Candidate]], "")</f>
        <v/>
      </c>
      <c r="AG36" s="17" t="str">
        <f>IF(NOT(ISBLANK(Audit[[#This Row],[Audit Candidate 3]])), Audit[[#This Row],[Audit Candidate 3]]-Audit[[#This Row],[Candidate 3]], "")</f>
        <v/>
      </c>
      <c r="AH36" s="17" t="str">
        <f>IF(NOT(ISBLANK(Audit[[#This Row],[Audit Candidate 4]])),Audit[[#This Row],[Audit Candidate 4]]-Audit[[#This Row],[Candidate 4]], "")</f>
        <v/>
      </c>
      <c r="AI36" s="17" t="str">
        <f>IF(NOT(ISBLANK(Audit[[#This Row],[Audit Candidate 5]])), Audit[[#This Row],[Audit Candidate 5]]-Audit[[#This Row],[Candidate 5]], "")</f>
        <v/>
      </c>
      <c r="AJ36" s="17" t="str">
        <f>IF(NOT(ISBLANK(Audit[[#This Row],[Audit Candidate 6]])), Audit[[#This Row],[Audit Candidate 6]]-Audit[[#This Row],[Candidate 6]], "")</f>
        <v/>
      </c>
      <c r="AK36" s="17" t="str">
        <f>IF(NOT(ISBLANK(Audit[[#This Row],[Audit Candidate 7]])), Audit[[#This Row],[Audit Candidate 7]]-Audit[[#This Row],[Candidate 7]], "")</f>
        <v/>
      </c>
      <c r="AL36" s="17" t="str">
        <f>IF(NOT(ISBLANK(Audit[[#This Row],[Audit Candidate 8]])), Audit[[#This Row],[Audit Candidate 8]]-Audit[[#This Row],[Candidate 8]], "")</f>
        <v/>
      </c>
      <c r="AM36" s="17" t="str">
        <f>IF(NOT(ISBLANK(Audit[[#This Row],[Audit Candidate 9]])), Audit[[#This Row],[Audit Candidate 9]]-Audit[[#This Row],[Candidate 9]], "")</f>
        <v/>
      </c>
      <c r="AN36" s="17" t="str">
        <f>IF(NOT(ISBLANK(Audit[[#This Row],[Audit Candidate 10]])), Audit[[#This Row],[Audit Candidate 10]]-Audit[[#This Row],[Candidate 10]], "")</f>
        <v/>
      </c>
      <c r="AO36" s="17" t="str">
        <f>IF(NOT(ISBLANK(Audit[[#This Row],[Audit Candidate 11]])), Audit[[#This Row],[Audit Candidate 11]]-Audit[[#This Row],[Candidate 11]], "")</f>
        <v/>
      </c>
      <c r="AP36" s="17" t="str">
        <f>IF(NOT(ISBLANK(Audit[[#This Row],[Audit Candidate 12]])), Audit[[#This Row],[Audit Candidate 12]]-Audit[[#This Row],[Candidate 12]], "")</f>
        <v/>
      </c>
      <c r="AQ36" s="17">
        <f>SUMIF(Audit[[#This Row],[Difference Winner]:[Difference Candidate 12]], "&gt;0")</f>
        <v>0</v>
      </c>
      <c r="AR36" s="17">
        <f>SUM(Audit[[#This Row],[Difference Winner]:[Difference Candidate 12]])</f>
        <v>0</v>
      </c>
      <c r="AS36" s="17">
        <f>IF(Audit[[#This Row],[Times p Drawn - With Replacement]]&gt;0, IF(Audit[[#This Row],[Canceled Differences]]&lt;0, Audit[[#This Row],[Max Differences]]+ABS(Audit[[#This Row],[Canceled Differences]]), Audit[[#This Row],[Max Differences]]), 0)</f>
        <v>0</v>
      </c>
      <c r="AT36" s="17">
        <f>'Sampling Data'!AB36</f>
        <v>2.3510439653709046E-2</v>
      </c>
      <c r="AU36" s="17">
        <f>IF(
      SUM(Audit[[#This Row],[Audit Losing Candidate]:[Audit Candidate 12]])
      &lt;&gt;0,
      (Audit[[#This Row],[Winning Candidate]]-Audit[[#This Row],[Losing Candidate]]-(Audit[[#This Row],[Audit Winning Candidate]]-Audit[[#This Row],[Audit Losing Candidate]]))/(Audit[[#Totals],[Winning Candidate]]-Audit[[#Totals],[Losing Candidate]]),
      0
)</f>
        <v>0</v>
      </c>
      <c r="AV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 s="17">
        <f>IF(Audit[[#This Row],[Max Relative Error (ep)]] = 0, 0, Audit[[#This Row],[Max Relative Error (ep)]]/Audit[[#This Row],[Error Bound (up) - Max. possible relative overstatement]])</f>
        <v>0</v>
      </c>
      <c r="BH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6" s="17">
        <f t="shared" si="1"/>
        <v>1</v>
      </c>
      <c r="BJ36" s="17">
        <f>PRODUCT($BI$5:BI36)</f>
        <v>0.94645908314247273</v>
      </c>
      <c r="BK36" s="19">
        <f>1 - Audit[[#This Row],[K-M P Value]]</f>
        <v>5.3540916857527265E-2</v>
      </c>
      <c r="BL36" s="17" t="str">
        <f>IF(Audit[[#This Row],[K-M P Value]]&gt;1-'General Info'!$B$12,"Continue", "Stop")</f>
        <v>Continue</v>
      </c>
      <c r="BM36" s="22" t="b">
        <f>IF(Audit[[#This Row],[Status - Continue or stop audit]] = "Continue", TRUE, IF(BL35 = "Continue", TRUE, FALSE))</f>
        <v>1</v>
      </c>
      <c r="BN36" s="22"/>
    </row>
    <row r="37" spans="1:66" ht="15" hidden="1" customHeight="1" x14ac:dyDescent="0.35">
      <c r="A37" s="17" t="str">
        <f>'Sampling Data'!AI37</f>
        <v/>
      </c>
      <c r="B37" s="17" t="str">
        <f>'Sampling Data'!A37</f>
        <v>0404 CIN 4-D   (AV)</v>
      </c>
      <c r="C37" s="17">
        <f>'Sampling Data'!B37</f>
        <v>329</v>
      </c>
      <c r="D37" s="17">
        <f>'Sampling Data'!C37</f>
        <v>135</v>
      </c>
      <c r="E37" s="18">
        <f>'Sampling Data'!D37</f>
        <v>0</v>
      </c>
      <c r="F37" s="18">
        <f>'Sampling Data'!E37</f>
        <v>0</v>
      </c>
      <c r="G37" s="18">
        <f>'Sampling Data'!F37</f>
        <v>0</v>
      </c>
      <c r="H37" s="18">
        <f>'Sampling Data'!G37</f>
        <v>0</v>
      </c>
      <c r="I37" s="18">
        <f>'Sampling Data'!H37</f>
        <v>0</v>
      </c>
      <c r="J37" s="18">
        <f>'Sampling Data'!I37</f>
        <v>0</v>
      </c>
      <c r="K37" s="18">
        <f>'Sampling Data'!J37</f>
        <v>0</v>
      </c>
      <c r="L37" s="18">
        <f>'Sampling Data'!K37</f>
        <v>0</v>
      </c>
      <c r="M37" s="18">
        <f>'Sampling Data'!L37</f>
        <v>0</v>
      </c>
      <c r="N37" s="18">
        <f>'Sampling Data'!M37</f>
        <v>0</v>
      </c>
      <c r="O37" s="17">
        <f>'Sampling Data'!N37</f>
        <v>0</v>
      </c>
      <c r="P37" s="17">
        <f>'Sampling Data'!O37</f>
        <v>24</v>
      </c>
      <c r="Q37" s="17">
        <f>'Sampling Data'!P37</f>
        <v>488</v>
      </c>
      <c r="R37" s="17">
        <f>'Sampling Data'!AJ37</f>
        <v>0</v>
      </c>
      <c r="S37" s="111"/>
      <c r="T37" s="111"/>
      <c r="U37" s="112"/>
      <c r="V37" s="112"/>
      <c r="W37" s="111"/>
      <c r="X37" s="111"/>
      <c r="Y37" s="111"/>
      <c r="Z37" s="111"/>
      <c r="AA37" s="14"/>
      <c r="AB37" s="14"/>
      <c r="AC37" s="14"/>
      <c r="AD37" s="14"/>
      <c r="AE37" s="113" t="str">
        <f>IF(NOT(ISBLANK(Audit[[#This Row],[Audit Winning Candidate]])), Audit[[#This Row],[Audit Winning Candidate]]-Audit[[#This Row],[Winning Candidate]], "")</f>
        <v/>
      </c>
      <c r="AF37" s="17" t="str">
        <f>IF(NOT(ISBLANK(Audit[[#This Row],[Audit Losing Candidate]])), Audit[[#This Row],[Audit Losing Candidate]]-Audit[[#This Row],[Losing Candidate]], "")</f>
        <v/>
      </c>
      <c r="AG37" s="17" t="str">
        <f>IF(NOT(ISBLANK(Audit[[#This Row],[Audit Candidate 3]])), Audit[[#This Row],[Audit Candidate 3]]-Audit[[#This Row],[Candidate 3]], "")</f>
        <v/>
      </c>
      <c r="AH37" s="17" t="str">
        <f>IF(NOT(ISBLANK(Audit[[#This Row],[Audit Candidate 4]])),Audit[[#This Row],[Audit Candidate 4]]-Audit[[#This Row],[Candidate 4]], "")</f>
        <v/>
      </c>
      <c r="AI37" s="17" t="str">
        <f>IF(NOT(ISBLANK(Audit[[#This Row],[Audit Candidate 5]])), Audit[[#This Row],[Audit Candidate 5]]-Audit[[#This Row],[Candidate 5]], "")</f>
        <v/>
      </c>
      <c r="AJ37" s="17" t="str">
        <f>IF(NOT(ISBLANK(Audit[[#This Row],[Audit Candidate 6]])), Audit[[#This Row],[Audit Candidate 6]]-Audit[[#This Row],[Candidate 6]], "")</f>
        <v/>
      </c>
      <c r="AK37" s="17" t="str">
        <f>IF(NOT(ISBLANK(Audit[[#This Row],[Audit Candidate 7]])), Audit[[#This Row],[Audit Candidate 7]]-Audit[[#This Row],[Candidate 7]], "")</f>
        <v/>
      </c>
      <c r="AL37" s="17" t="str">
        <f>IF(NOT(ISBLANK(Audit[[#This Row],[Audit Candidate 8]])), Audit[[#This Row],[Audit Candidate 8]]-Audit[[#This Row],[Candidate 8]], "")</f>
        <v/>
      </c>
      <c r="AM37" s="17" t="str">
        <f>IF(NOT(ISBLANK(Audit[[#This Row],[Audit Candidate 9]])), Audit[[#This Row],[Audit Candidate 9]]-Audit[[#This Row],[Candidate 9]], "")</f>
        <v/>
      </c>
      <c r="AN37" s="17" t="str">
        <f>IF(NOT(ISBLANK(Audit[[#This Row],[Audit Candidate 10]])), Audit[[#This Row],[Audit Candidate 10]]-Audit[[#This Row],[Candidate 10]], "")</f>
        <v/>
      </c>
      <c r="AO37" s="17" t="str">
        <f>IF(NOT(ISBLANK(Audit[[#This Row],[Audit Candidate 11]])), Audit[[#This Row],[Audit Candidate 11]]-Audit[[#This Row],[Candidate 11]], "")</f>
        <v/>
      </c>
      <c r="AP37" s="17" t="str">
        <f>IF(NOT(ISBLANK(Audit[[#This Row],[Audit Candidate 12]])), Audit[[#This Row],[Audit Candidate 12]]-Audit[[#This Row],[Candidate 12]], "")</f>
        <v/>
      </c>
      <c r="AQ37" s="17">
        <f>SUMIF(Audit[[#This Row],[Difference Winner]:[Difference Candidate 12]], "&gt;0")</f>
        <v>0</v>
      </c>
      <c r="AR37" s="17">
        <f>SUM(Audit[[#This Row],[Difference Winner]:[Difference Candidate 12]])</f>
        <v>0</v>
      </c>
      <c r="AS37" s="17">
        <f>IF(Audit[[#This Row],[Times p Drawn - With Replacement]]&gt;0, IF(Audit[[#This Row],[Canceled Differences]]&lt;0, Audit[[#This Row],[Max Differences]]+ABS(Audit[[#This Row],[Canceled Differences]]), Audit[[#This Row],[Max Differences]]), 0)</f>
        <v>0</v>
      </c>
      <c r="AT37" s="17">
        <f>'Sampling Data'!AB37</f>
        <v>2.8942454591750127E-2</v>
      </c>
      <c r="AU37" s="17">
        <f>IF(
      SUM(Audit[[#This Row],[Audit Losing Candidate]:[Audit Candidate 12]])
      &lt;&gt;0,
      (Audit[[#This Row],[Winning Candidate]]-Audit[[#This Row],[Losing Candidate]]-(Audit[[#This Row],[Audit Winning Candidate]]-Audit[[#This Row],[Audit Losing Candidate]]))/(Audit[[#Totals],[Winning Candidate]]-Audit[[#Totals],[Losing Candidate]]),
      0
)</f>
        <v>0</v>
      </c>
      <c r="AV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 s="17">
        <f>IF(Audit[[#This Row],[Max Relative Error (ep)]] = 0, 0, Audit[[#This Row],[Max Relative Error (ep)]]/Audit[[#This Row],[Error Bound (up) - Max. possible relative overstatement]])</f>
        <v>0</v>
      </c>
      <c r="BH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7" s="17">
        <f t="shared" si="1"/>
        <v>1</v>
      </c>
      <c r="BJ37" s="17">
        <f>PRODUCT($BI$5:BI37)</f>
        <v>0.94645908314247273</v>
      </c>
      <c r="BK37" s="19">
        <f>1 - Audit[[#This Row],[K-M P Value]]</f>
        <v>5.3540916857527265E-2</v>
      </c>
      <c r="BL37" s="17" t="str">
        <f>IF(Audit[[#This Row],[K-M P Value]]&gt;1-'General Info'!$B$12,"Continue", "Stop")</f>
        <v>Continue</v>
      </c>
      <c r="BM37" s="22" t="b">
        <f>IF(Audit[[#This Row],[Status - Continue or stop audit]] = "Continue", TRUE, IF(BL36 = "Continue", TRUE, FALSE))</f>
        <v>1</v>
      </c>
      <c r="BN37" s="22"/>
    </row>
    <row r="38" spans="1:66" ht="15" hidden="1" customHeight="1" x14ac:dyDescent="0.35">
      <c r="A38" s="17" t="str">
        <f>'Sampling Data'!AI38</f>
        <v/>
      </c>
      <c r="B38" s="17" t="str">
        <f>'Sampling Data'!A38</f>
        <v>0405 CIN 4-E   (AV)</v>
      </c>
      <c r="C38" s="17">
        <f>'Sampling Data'!B38</f>
        <v>272</v>
      </c>
      <c r="D38" s="17">
        <f>'Sampling Data'!C38</f>
        <v>119</v>
      </c>
      <c r="E38" s="18">
        <f>'Sampling Data'!D38</f>
        <v>0</v>
      </c>
      <c r="F38" s="18">
        <f>'Sampling Data'!E38</f>
        <v>0</v>
      </c>
      <c r="G38" s="18">
        <f>'Sampling Data'!F38</f>
        <v>0</v>
      </c>
      <c r="H38" s="18">
        <f>'Sampling Data'!G38</f>
        <v>0</v>
      </c>
      <c r="I38" s="18">
        <f>'Sampling Data'!H38</f>
        <v>0</v>
      </c>
      <c r="J38" s="18">
        <f>'Sampling Data'!I38</f>
        <v>0</v>
      </c>
      <c r="K38" s="18">
        <f>'Sampling Data'!J38</f>
        <v>0</v>
      </c>
      <c r="L38" s="18">
        <f>'Sampling Data'!K38</f>
        <v>0</v>
      </c>
      <c r="M38" s="18">
        <f>'Sampling Data'!L38</f>
        <v>0</v>
      </c>
      <c r="N38" s="18">
        <f>'Sampling Data'!M38</f>
        <v>0</v>
      </c>
      <c r="O38" s="17">
        <f>'Sampling Data'!N38</f>
        <v>1</v>
      </c>
      <c r="P38" s="17">
        <f>'Sampling Data'!O38</f>
        <v>23</v>
      </c>
      <c r="Q38" s="17">
        <f>'Sampling Data'!P38</f>
        <v>415</v>
      </c>
      <c r="R38" s="17">
        <f>'Sampling Data'!AJ38</f>
        <v>0</v>
      </c>
      <c r="S38" s="111"/>
      <c r="T38" s="111"/>
      <c r="U38" s="112"/>
      <c r="V38" s="112"/>
      <c r="W38" s="111"/>
      <c r="X38" s="111"/>
      <c r="Y38" s="111"/>
      <c r="Z38" s="111"/>
      <c r="AA38" s="14"/>
      <c r="AB38" s="14"/>
      <c r="AC38" s="14"/>
      <c r="AD38" s="14"/>
      <c r="AE38" s="113" t="str">
        <f>IF(NOT(ISBLANK(Audit[[#This Row],[Audit Winning Candidate]])), Audit[[#This Row],[Audit Winning Candidate]]-Audit[[#This Row],[Winning Candidate]], "")</f>
        <v/>
      </c>
      <c r="AF38" s="17" t="str">
        <f>IF(NOT(ISBLANK(Audit[[#This Row],[Audit Losing Candidate]])), Audit[[#This Row],[Audit Losing Candidate]]-Audit[[#This Row],[Losing Candidate]], "")</f>
        <v/>
      </c>
      <c r="AG38" s="17" t="str">
        <f>IF(NOT(ISBLANK(Audit[[#This Row],[Audit Candidate 3]])), Audit[[#This Row],[Audit Candidate 3]]-Audit[[#This Row],[Candidate 3]], "")</f>
        <v/>
      </c>
      <c r="AH38" s="17" t="str">
        <f>IF(NOT(ISBLANK(Audit[[#This Row],[Audit Candidate 4]])),Audit[[#This Row],[Audit Candidate 4]]-Audit[[#This Row],[Candidate 4]], "")</f>
        <v/>
      </c>
      <c r="AI38" s="17" t="str">
        <f>IF(NOT(ISBLANK(Audit[[#This Row],[Audit Candidate 5]])), Audit[[#This Row],[Audit Candidate 5]]-Audit[[#This Row],[Candidate 5]], "")</f>
        <v/>
      </c>
      <c r="AJ38" s="17" t="str">
        <f>IF(NOT(ISBLANK(Audit[[#This Row],[Audit Candidate 6]])), Audit[[#This Row],[Audit Candidate 6]]-Audit[[#This Row],[Candidate 6]], "")</f>
        <v/>
      </c>
      <c r="AK38" s="17" t="str">
        <f>IF(NOT(ISBLANK(Audit[[#This Row],[Audit Candidate 7]])), Audit[[#This Row],[Audit Candidate 7]]-Audit[[#This Row],[Candidate 7]], "")</f>
        <v/>
      </c>
      <c r="AL38" s="17" t="str">
        <f>IF(NOT(ISBLANK(Audit[[#This Row],[Audit Candidate 8]])), Audit[[#This Row],[Audit Candidate 8]]-Audit[[#This Row],[Candidate 8]], "")</f>
        <v/>
      </c>
      <c r="AM38" s="17" t="str">
        <f>IF(NOT(ISBLANK(Audit[[#This Row],[Audit Candidate 9]])), Audit[[#This Row],[Audit Candidate 9]]-Audit[[#This Row],[Candidate 9]], "")</f>
        <v/>
      </c>
      <c r="AN38" s="17" t="str">
        <f>IF(NOT(ISBLANK(Audit[[#This Row],[Audit Candidate 10]])), Audit[[#This Row],[Audit Candidate 10]]-Audit[[#This Row],[Candidate 10]], "")</f>
        <v/>
      </c>
      <c r="AO38" s="17" t="str">
        <f>IF(NOT(ISBLANK(Audit[[#This Row],[Audit Candidate 11]])), Audit[[#This Row],[Audit Candidate 11]]-Audit[[#This Row],[Candidate 11]], "")</f>
        <v/>
      </c>
      <c r="AP38" s="17" t="str">
        <f>IF(NOT(ISBLANK(Audit[[#This Row],[Audit Candidate 12]])), Audit[[#This Row],[Audit Candidate 12]]-Audit[[#This Row],[Candidate 12]], "")</f>
        <v/>
      </c>
      <c r="AQ38" s="17">
        <f>SUMIF(Audit[[#This Row],[Difference Winner]:[Difference Candidate 12]], "&gt;0")</f>
        <v>0</v>
      </c>
      <c r="AR38" s="17">
        <f>SUM(Audit[[#This Row],[Difference Winner]:[Difference Candidate 12]])</f>
        <v>0</v>
      </c>
      <c r="AS38" s="17">
        <f>IF(Audit[[#This Row],[Times p Drawn - With Replacement]]&gt;0, IF(Audit[[#This Row],[Canceled Differences]]&lt;0, Audit[[#This Row],[Max Differences]]+ABS(Audit[[#This Row],[Canceled Differences]]), Audit[[#This Row],[Max Differences]]), 0)</f>
        <v>0</v>
      </c>
      <c r="AT38" s="17">
        <f>'Sampling Data'!AB38</f>
        <v>2.4104566287557291E-2</v>
      </c>
      <c r="AU38" s="17">
        <f>IF(
      SUM(Audit[[#This Row],[Audit Losing Candidate]:[Audit Candidate 12]])
      &lt;&gt;0,
      (Audit[[#This Row],[Winning Candidate]]-Audit[[#This Row],[Losing Candidate]]-(Audit[[#This Row],[Audit Winning Candidate]]-Audit[[#This Row],[Audit Losing Candidate]]))/(Audit[[#Totals],[Winning Candidate]]-Audit[[#Totals],[Losing Candidate]]),
      0
)</f>
        <v>0</v>
      </c>
      <c r="AV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 s="17">
        <f>IF(Audit[[#This Row],[Max Relative Error (ep)]] = 0, 0, Audit[[#This Row],[Max Relative Error (ep)]]/Audit[[#This Row],[Error Bound (up) - Max. possible relative overstatement]])</f>
        <v>0</v>
      </c>
      <c r="BH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8" s="17">
        <f t="shared" si="1"/>
        <v>1</v>
      </c>
      <c r="BJ38" s="17">
        <f>PRODUCT($BI$5:BI38)</f>
        <v>0.94645908314247273</v>
      </c>
      <c r="BK38" s="19">
        <f>1 - Audit[[#This Row],[K-M P Value]]</f>
        <v>5.3540916857527265E-2</v>
      </c>
      <c r="BL38" s="17" t="str">
        <f>IF(Audit[[#This Row],[K-M P Value]]&gt;1-'General Info'!$B$12,"Continue", "Stop")</f>
        <v>Continue</v>
      </c>
      <c r="BM38" s="22" t="b">
        <f>IF(Audit[[#This Row],[Status - Continue or stop audit]] = "Continue", TRUE, IF(BL37 = "Continue", TRUE, FALSE))</f>
        <v>1</v>
      </c>
      <c r="BN38" s="22"/>
    </row>
    <row r="39" spans="1:66" ht="15" hidden="1" customHeight="1" x14ac:dyDescent="0.35">
      <c r="A39" s="17" t="str">
        <f>'Sampling Data'!AI39</f>
        <v/>
      </c>
      <c r="B39" s="17" t="str">
        <f>'Sampling Data'!A39</f>
        <v>0406 CIN 4-F   (AV)</v>
      </c>
      <c r="C39" s="17">
        <f>'Sampling Data'!B39</f>
        <v>270</v>
      </c>
      <c r="D39" s="17">
        <f>'Sampling Data'!C39</f>
        <v>158</v>
      </c>
      <c r="E39" s="18">
        <f>'Sampling Data'!D39</f>
        <v>0</v>
      </c>
      <c r="F39" s="18">
        <f>'Sampling Data'!E39</f>
        <v>0</v>
      </c>
      <c r="G39" s="18">
        <f>'Sampling Data'!F39</f>
        <v>0</v>
      </c>
      <c r="H39" s="18">
        <f>'Sampling Data'!G39</f>
        <v>0</v>
      </c>
      <c r="I39" s="18">
        <f>'Sampling Data'!H39</f>
        <v>0</v>
      </c>
      <c r="J39" s="18">
        <f>'Sampling Data'!I39</f>
        <v>0</v>
      </c>
      <c r="K39" s="18">
        <f>'Sampling Data'!J39</f>
        <v>0</v>
      </c>
      <c r="L39" s="18">
        <f>'Sampling Data'!K39</f>
        <v>0</v>
      </c>
      <c r="M39" s="18">
        <f>'Sampling Data'!L39</f>
        <v>0</v>
      </c>
      <c r="N39" s="18">
        <f>'Sampling Data'!M39</f>
        <v>0</v>
      </c>
      <c r="O39" s="17">
        <f>'Sampling Data'!N39</f>
        <v>0</v>
      </c>
      <c r="P39" s="17">
        <f>'Sampling Data'!O39</f>
        <v>37</v>
      </c>
      <c r="Q39" s="17">
        <f>'Sampling Data'!P39</f>
        <v>465</v>
      </c>
      <c r="R39" s="17">
        <f>'Sampling Data'!AJ39</f>
        <v>0</v>
      </c>
      <c r="S39" s="111"/>
      <c r="T39" s="111"/>
      <c r="U39" s="112"/>
      <c r="V39" s="112"/>
      <c r="W39" s="111"/>
      <c r="X39" s="111"/>
      <c r="Y39" s="111"/>
      <c r="Z39" s="111"/>
      <c r="AA39" s="14"/>
      <c r="AB39" s="14"/>
      <c r="AC39" s="14"/>
      <c r="AD39" s="14"/>
      <c r="AE39" s="113" t="str">
        <f>IF(NOT(ISBLANK(Audit[[#This Row],[Audit Winning Candidate]])), Audit[[#This Row],[Audit Winning Candidate]]-Audit[[#This Row],[Winning Candidate]], "")</f>
        <v/>
      </c>
      <c r="AF39" s="17" t="str">
        <f>IF(NOT(ISBLANK(Audit[[#This Row],[Audit Losing Candidate]])), Audit[[#This Row],[Audit Losing Candidate]]-Audit[[#This Row],[Losing Candidate]], "")</f>
        <v/>
      </c>
      <c r="AG39" s="17" t="str">
        <f>IF(NOT(ISBLANK(Audit[[#This Row],[Audit Candidate 3]])), Audit[[#This Row],[Audit Candidate 3]]-Audit[[#This Row],[Candidate 3]], "")</f>
        <v/>
      </c>
      <c r="AH39" s="17" t="str">
        <f>IF(NOT(ISBLANK(Audit[[#This Row],[Audit Candidate 4]])),Audit[[#This Row],[Audit Candidate 4]]-Audit[[#This Row],[Candidate 4]], "")</f>
        <v/>
      </c>
      <c r="AI39" s="17" t="str">
        <f>IF(NOT(ISBLANK(Audit[[#This Row],[Audit Candidate 5]])), Audit[[#This Row],[Audit Candidate 5]]-Audit[[#This Row],[Candidate 5]], "")</f>
        <v/>
      </c>
      <c r="AJ39" s="17" t="str">
        <f>IF(NOT(ISBLANK(Audit[[#This Row],[Audit Candidate 6]])), Audit[[#This Row],[Audit Candidate 6]]-Audit[[#This Row],[Candidate 6]], "")</f>
        <v/>
      </c>
      <c r="AK39" s="17" t="str">
        <f>IF(NOT(ISBLANK(Audit[[#This Row],[Audit Candidate 7]])), Audit[[#This Row],[Audit Candidate 7]]-Audit[[#This Row],[Candidate 7]], "")</f>
        <v/>
      </c>
      <c r="AL39" s="17" t="str">
        <f>IF(NOT(ISBLANK(Audit[[#This Row],[Audit Candidate 8]])), Audit[[#This Row],[Audit Candidate 8]]-Audit[[#This Row],[Candidate 8]], "")</f>
        <v/>
      </c>
      <c r="AM39" s="17" t="str">
        <f>IF(NOT(ISBLANK(Audit[[#This Row],[Audit Candidate 9]])), Audit[[#This Row],[Audit Candidate 9]]-Audit[[#This Row],[Candidate 9]], "")</f>
        <v/>
      </c>
      <c r="AN39" s="17" t="str">
        <f>IF(NOT(ISBLANK(Audit[[#This Row],[Audit Candidate 10]])), Audit[[#This Row],[Audit Candidate 10]]-Audit[[#This Row],[Candidate 10]], "")</f>
        <v/>
      </c>
      <c r="AO39" s="17" t="str">
        <f>IF(NOT(ISBLANK(Audit[[#This Row],[Audit Candidate 11]])), Audit[[#This Row],[Audit Candidate 11]]-Audit[[#This Row],[Candidate 11]], "")</f>
        <v/>
      </c>
      <c r="AP39" s="17" t="str">
        <f>IF(NOT(ISBLANK(Audit[[#This Row],[Audit Candidate 12]])), Audit[[#This Row],[Audit Candidate 12]]-Audit[[#This Row],[Candidate 12]], "")</f>
        <v/>
      </c>
      <c r="AQ39" s="17">
        <f>SUMIF(Audit[[#This Row],[Difference Winner]:[Difference Candidate 12]], "&gt;0")</f>
        <v>0</v>
      </c>
      <c r="AR39" s="17">
        <f>SUM(Audit[[#This Row],[Difference Winner]:[Difference Candidate 12]])</f>
        <v>0</v>
      </c>
      <c r="AS39" s="17">
        <f>IF(Audit[[#This Row],[Times p Drawn - With Replacement]]&gt;0, IF(Audit[[#This Row],[Canceled Differences]]&lt;0, Audit[[#This Row],[Max Differences]]+ABS(Audit[[#This Row],[Canceled Differences]]), Audit[[#This Row],[Max Differences]]), 0)</f>
        <v>0</v>
      </c>
      <c r="AT39" s="17">
        <f>'Sampling Data'!AB39</f>
        <v>2.4486504837888303E-2</v>
      </c>
      <c r="AU39" s="17">
        <f>IF(
      SUM(Audit[[#This Row],[Audit Losing Candidate]:[Audit Candidate 12]])
      &lt;&gt;0,
      (Audit[[#This Row],[Winning Candidate]]-Audit[[#This Row],[Losing Candidate]]-(Audit[[#This Row],[Audit Winning Candidate]]-Audit[[#This Row],[Audit Losing Candidate]]))/(Audit[[#Totals],[Winning Candidate]]-Audit[[#Totals],[Losing Candidate]]),
      0
)</f>
        <v>0</v>
      </c>
      <c r="AV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 s="17">
        <f>IF(Audit[[#This Row],[Max Relative Error (ep)]] = 0, 0, Audit[[#This Row],[Max Relative Error (ep)]]/Audit[[#This Row],[Error Bound (up) - Max. possible relative overstatement]])</f>
        <v>0</v>
      </c>
      <c r="BH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9" s="17">
        <f t="shared" si="1"/>
        <v>1</v>
      </c>
      <c r="BJ39" s="17">
        <f>PRODUCT($BI$5:BI39)</f>
        <v>0.94645908314247273</v>
      </c>
      <c r="BK39" s="19">
        <f>1 - Audit[[#This Row],[K-M P Value]]</f>
        <v>5.3540916857527265E-2</v>
      </c>
      <c r="BL39" s="17" t="str">
        <f>IF(Audit[[#This Row],[K-M P Value]]&gt;1-'General Info'!$B$12,"Continue", "Stop")</f>
        <v>Continue</v>
      </c>
      <c r="BM39" s="22" t="b">
        <f>IF(Audit[[#This Row],[Status - Continue or stop audit]] = "Continue", TRUE, IF(BL38 = "Continue", TRUE, FALSE))</f>
        <v>1</v>
      </c>
      <c r="BN39" s="22"/>
    </row>
    <row r="40" spans="1:66" ht="15" hidden="1" customHeight="1" x14ac:dyDescent="0.35">
      <c r="A40" s="17" t="str">
        <f>'Sampling Data'!AI40</f>
        <v/>
      </c>
      <c r="B40" s="17" t="str">
        <f>'Sampling Data'!A40</f>
        <v>0407 CIN 4-G   (AV)</v>
      </c>
      <c r="C40" s="17">
        <f>'Sampling Data'!B40</f>
        <v>330</v>
      </c>
      <c r="D40" s="17">
        <f>'Sampling Data'!C40</f>
        <v>224</v>
      </c>
      <c r="E40" s="18">
        <f>'Sampling Data'!D40</f>
        <v>0</v>
      </c>
      <c r="F40" s="18">
        <f>'Sampling Data'!E40</f>
        <v>0</v>
      </c>
      <c r="G40" s="18">
        <f>'Sampling Data'!F40</f>
        <v>0</v>
      </c>
      <c r="H40" s="18">
        <f>'Sampling Data'!G40</f>
        <v>0</v>
      </c>
      <c r="I40" s="18">
        <f>'Sampling Data'!H40</f>
        <v>0</v>
      </c>
      <c r="J40" s="18">
        <f>'Sampling Data'!I40</f>
        <v>0</v>
      </c>
      <c r="K40" s="18">
        <f>'Sampling Data'!J40</f>
        <v>0</v>
      </c>
      <c r="L40" s="18">
        <f>'Sampling Data'!K40</f>
        <v>0</v>
      </c>
      <c r="M40" s="18">
        <f>'Sampling Data'!L40</f>
        <v>0</v>
      </c>
      <c r="N40" s="18">
        <f>'Sampling Data'!M40</f>
        <v>0</v>
      </c>
      <c r="O40" s="17">
        <f>'Sampling Data'!N40</f>
        <v>0</v>
      </c>
      <c r="P40" s="17">
        <f>'Sampling Data'!O40</f>
        <v>25</v>
      </c>
      <c r="Q40" s="17">
        <f>'Sampling Data'!P40</f>
        <v>579</v>
      </c>
      <c r="R40" s="17">
        <f>'Sampling Data'!AJ40</f>
        <v>0</v>
      </c>
      <c r="S40" s="111"/>
      <c r="T40" s="111"/>
      <c r="U40" s="112"/>
      <c r="V40" s="112"/>
      <c r="W40" s="111"/>
      <c r="X40" s="111"/>
      <c r="Y40" s="111"/>
      <c r="Z40" s="111"/>
      <c r="AA40" s="14"/>
      <c r="AB40" s="14"/>
      <c r="AC40" s="14"/>
      <c r="AD40" s="14"/>
      <c r="AE40" s="113" t="str">
        <f>IF(NOT(ISBLANK(Audit[[#This Row],[Audit Winning Candidate]])), Audit[[#This Row],[Audit Winning Candidate]]-Audit[[#This Row],[Winning Candidate]], "")</f>
        <v/>
      </c>
      <c r="AF40" s="17" t="str">
        <f>IF(NOT(ISBLANK(Audit[[#This Row],[Audit Losing Candidate]])), Audit[[#This Row],[Audit Losing Candidate]]-Audit[[#This Row],[Losing Candidate]], "")</f>
        <v/>
      </c>
      <c r="AG40" s="17" t="str">
        <f>IF(NOT(ISBLANK(Audit[[#This Row],[Audit Candidate 3]])), Audit[[#This Row],[Audit Candidate 3]]-Audit[[#This Row],[Candidate 3]], "")</f>
        <v/>
      </c>
      <c r="AH40" s="17" t="str">
        <f>IF(NOT(ISBLANK(Audit[[#This Row],[Audit Candidate 4]])),Audit[[#This Row],[Audit Candidate 4]]-Audit[[#This Row],[Candidate 4]], "")</f>
        <v/>
      </c>
      <c r="AI40" s="17" t="str">
        <f>IF(NOT(ISBLANK(Audit[[#This Row],[Audit Candidate 5]])), Audit[[#This Row],[Audit Candidate 5]]-Audit[[#This Row],[Candidate 5]], "")</f>
        <v/>
      </c>
      <c r="AJ40" s="17" t="str">
        <f>IF(NOT(ISBLANK(Audit[[#This Row],[Audit Candidate 6]])), Audit[[#This Row],[Audit Candidate 6]]-Audit[[#This Row],[Candidate 6]], "")</f>
        <v/>
      </c>
      <c r="AK40" s="17" t="str">
        <f>IF(NOT(ISBLANK(Audit[[#This Row],[Audit Candidate 7]])), Audit[[#This Row],[Audit Candidate 7]]-Audit[[#This Row],[Candidate 7]], "")</f>
        <v/>
      </c>
      <c r="AL40" s="17" t="str">
        <f>IF(NOT(ISBLANK(Audit[[#This Row],[Audit Candidate 8]])), Audit[[#This Row],[Audit Candidate 8]]-Audit[[#This Row],[Candidate 8]], "")</f>
        <v/>
      </c>
      <c r="AM40" s="17" t="str">
        <f>IF(NOT(ISBLANK(Audit[[#This Row],[Audit Candidate 9]])), Audit[[#This Row],[Audit Candidate 9]]-Audit[[#This Row],[Candidate 9]], "")</f>
        <v/>
      </c>
      <c r="AN40" s="17" t="str">
        <f>IF(NOT(ISBLANK(Audit[[#This Row],[Audit Candidate 10]])), Audit[[#This Row],[Audit Candidate 10]]-Audit[[#This Row],[Candidate 10]], "")</f>
        <v/>
      </c>
      <c r="AO40" s="17" t="str">
        <f>IF(NOT(ISBLANK(Audit[[#This Row],[Audit Candidate 11]])), Audit[[#This Row],[Audit Candidate 11]]-Audit[[#This Row],[Candidate 11]], "")</f>
        <v/>
      </c>
      <c r="AP40" s="17" t="str">
        <f>IF(NOT(ISBLANK(Audit[[#This Row],[Audit Candidate 12]])), Audit[[#This Row],[Audit Candidate 12]]-Audit[[#This Row],[Candidate 12]], "")</f>
        <v/>
      </c>
      <c r="AQ40" s="17">
        <f>SUMIF(Audit[[#This Row],[Difference Winner]:[Difference Candidate 12]], "&gt;0")</f>
        <v>0</v>
      </c>
      <c r="AR40" s="17">
        <f>SUM(Audit[[#This Row],[Difference Winner]:[Difference Candidate 12]])</f>
        <v>0</v>
      </c>
      <c r="AS40" s="17">
        <f>IF(Audit[[#This Row],[Times p Drawn - With Replacement]]&gt;0, IF(Audit[[#This Row],[Canceled Differences]]&lt;0, Audit[[#This Row],[Max Differences]]+ABS(Audit[[#This Row],[Canceled Differences]]), Audit[[#This Row],[Max Differences]]), 0)</f>
        <v>0</v>
      </c>
      <c r="AT40" s="17">
        <f>'Sampling Data'!AB40</f>
        <v>2.9069767441860465E-2</v>
      </c>
      <c r="AU40" s="17">
        <f>IF(
      SUM(Audit[[#This Row],[Audit Losing Candidate]:[Audit Candidate 12]])
      &lt;&gt;0,
      (Audit[[#This Row],[Winning Candidate]]-Audit[[#This Row],[Losing Candidate]]-(Audit[[#This Row],[Audit Winning Candidate]]-Audit[[#This Row],[Audit Losing Candidate]]))/(Audit[[#Totals],[Winning Candidate]]-Audit[[#Totals],[Losing Candidate]]),
      0
)</f>
        <v>0</v>
      </c>
      <c r="AV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 s="17">
        <f>IF(Audit[[#This Row],[Max Relative Error (ep)]] = 0, 0, Audit[[#This Row],[Max Relative Error (ep)]]/Audit[[#This Row],[Error Bound (up) - Max. possible relative overstatement]])</f>
        <v>0</v>
      </c>
      <c r="BH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0" s="17">
        <f t="shared" si="1"/>
        <v>1</v>
      </c>
      <c r="BJ40" s="17">
        <f>PRODUCT($BI$5:BI40)</f>
        <v>0.94645908314247273</v>
      </c>
      <c r="BK40" s="19">
        <f>1 - Audit[[#This Row],[K-M P Value]]</f>
        <v>5.3540916857527265E-2</v>
      </c>
      <c r="BL40" s="17" t="str">
        <f>IF(Audit[[#This Row],[K-M P Value]]&gt;1-'General Info'!$B$12,"Continue", "Stop")</f>
        <v>Continue</v>
      </c>
      <c r="BM40" s="22" t="b">
        <f>IF(Audit[[#This Row],[Status - Continue or stop audit]] = "Continue", TRUE, IF(BL39 = "Continue", TRUE, FALSE))</f>
        <v>1</v>
      </c>
      <c r="BN40" s="22"/>
    </row>
    <row r="41" spans="1:66" ht="15" hidden="1" customHeight="1" x14ac:dyDescent="0.35">
      <c r="A41" s="17" t="str">
        <f>'Sampling Data'!AI41</f>
        <v/>
      </c>
      <c r="B41" s="17" t="str">
        <f>'Sampling Data'!A41</f>
        <v>0408 CIN 4-H   (AV)</v>
      </c>
      <c r="C41" s="17">
        <f>'Sampling Data'!B41</f>
        <v>388</v>
      </c>
      <c r="D41" s="17">
        <f>'Sampling Data'!C41</f>
        <v>200</v>
      </c>
      <c r="E41" s="18">
        <f>'Sampling Data'!D41</f>
        <v>0</v>
      </c>
      <c r="F41" s="18">
        <f>'Sampling Data'!E41</f>
        <v>0</v>
      </c>
      <c r="G41" s="18">
        <f>'Sampling Data'!F41</f>
        <v>0</v>
      </c>
      <c r="H41" s="18">
        <f>'Sampling Data'!G41</f>
        <v>0</v>
      </c>
      <c r="I41" s="18">
        <f>'Sampling Data'!H41</f>
        <v>0</v>
      </c>
      <c r="J41" s="18">
        <f>'Sampling Data'!I41</f>
        <v>0</v>
      </c>
      <c r="K41" s="18">
        <f>'Sampling Data'!J41</f>
        <v>0</v>
      </c>
      <c r="L41" s="18">
        <f>'Sampling Data'!K41</f>
        <v>0</v>
      </c>
      <c r="M41" s="18">
        <f>'Sampling Data'!L41</f>
        <v>0</v>
      </c>
      <c r="N41" s="18">
        <f>'Sampling Data'!M41</f>
        <v>0</v>
      </c>
      <c r="O41" s="17">
        <f>'Sampling Data'!N41</f>
        <v>1</v>
      </c>
      <c r="P41" s="17">
        <f>'Sampling Data'!O41</f>
        <v>31</v>
      </c>
      <c r="Q41" s="17">
        <f>'Sampling Data'!P41</f>
        <v>620</v>
      </c>
      <c r="R41" s="17">
        <f>'Sampling Data'!AJ41</f>
        <v>0</v>
      </c>
      <c r="S41" s="111"/>
      <c r="T41" s="111"/>
      <c r="U41" s="112"/>
      <c r="V41" s="112"/>
      <c r="W41" s="111"/>
      <c r="X41" s="111"/>
      <c r="Y41" s="111"/>
      <c r="Z41" s="111"/>
      <c r="AA41" s="14"/>
      <c r="AB41" s="14"/>
      <c r="AC41" s="14"/>
      <c r="AD41" s="14"/>
      <c r="AE41" s="113" t="str">
        <f>IF(NOT(ISBLANK(Audit[[#This Row],[Audit Winning Candidate]])), Audit[[#This Row],[Audit Winning Candidate]]-Audit[[#This Row],[Winning Candidate]], "")</f>
        <v/>
      </c>
      <c r="AF41" s="17" t="str">
        <f>IF(NOT(ISBLANK(Audit[[#This Row],[Audit Losing Candidate]])), Audit[[#This Row],[Audit Losing Candidate]]-Audit[[#This Row],[Losing Candidate]], "")</f>
        <v/>
      </c>
      <c r="AG41" s="17" t="str">
        <f>IF(NOT(ISBLANK(Audit[[#This Row],[Audit Candidate 3]])), Audit[[#This Row],[Audit Candidate 3]]-Audit[[#This Row],[Candidate 3]], "")</f>
        <v/>
      </c>
      <c r="AH41" s="17" t="str">
        <f>IF(NOT(ISBLANK(Audit[[#This Row],[Audit Candidate 4]])),Audit[[#This Row],[Audit Candidate 4]]-Audit[[#This Row],[Candidate 4]], "")</f>
        <v/>
      </c>
      <c r="AI41" s="17" t="str">
        <f>IF(NOT(ISBLANK(Audit[[#This Row],[Audit Candidate 5]])), Audit[[#This Row],[Audit Candidate 5]]-Audit[[#This Row],[Candidate 5]], "")</f>
        <v/>
      </c>
      <c r="AJ41" s="17" t="str">
        <f>IF(NOT(ISBLANK(Audit[[#This Row],[Audit Candidate 6]])), Audit[[#This Row],[Audit Candidate 6]]-Audit[[#This Row],[Candidate 6]], "")</f>
        <v/>
      </c>
      <c r="AK41" s="17" t="str">
        <f>IF(NOT(ISBLANK(Audit[[#This Row],[Audit Candidate 7]])), Audit[[#This Row],[Audit Candidate 7]]-Audit[[#This Row],[Candidate 7]], "")</f>
        <v/>
      </c>
      <c r="AL41" s="17" t="str">
        <f>IF(NOT(ISBLANK(Audit[[#This Row],[Audit Candidate 8]])), Audit[[#This Row],[Audit Candidate 8]]-Audit[[#This Row],[Candidate 8]], "")</f>
        <v/>
      </c>
      <c r="AM41" s="17" t="str">
        <f>IF(NOT(ISBLANK(Audit[[#This Row],[Audit Candidate 9]])), Audit[[#This Row],[Audit Candidate 9]]-Audit[[#This Row],[Candidate 9]], "")</f>
        <v/>
      </c>
      <c r="AN41" s="17" t="str">
        <f>IF(NOT(ISBLANK(Audit[[#This Row],[Audit Candidate 10]])), Audit[[#This Row],[Audit Candidate 10]]-Audit[[#This Row],[Candidate 10]], "")</f>
        <v/>
      </c>
      <c r="AO41" s="17" t="str">
        <f>IF(NOT(ISBLANK(Audit[[#This Row],[Audit Candidate 11]])), Audit[[#This Row],[Audit Candidate 11]]-Audit[[#This Row],[Candidate 11]], "")</f>
        <v/>
      </c>
      <c r="AP41" s="17" t="str">
        <f>IF(NOT(ISBLANK(Audit[[#This Row],[Audit Candidate 12]])), Audit[[#This Row],[Audit Candidate 12]]-Audit[[#This Row],[Candidate 12]], "")</f>
        <v/>
      </c>
      <c r="AQ41" s="17">
        <f>SUMIF(Audit[[#This Row],[Difference Winner]:[Difference Candidate 12]], "&gt;0")</f>
        <v>0</v>
      </c>
      <c r="AR41" s="17">
        <f>SUM(Audit[[#This Row],[Difference Winner]:[Difference Candidate 12]])</f>
        <v>0</v>
      </c>
      <c r="AS41" s="17">
        <f>IF(Audit[[#This Row],[Times p Drawn - With Replacement]]&gt;0, IF(Audit[[#This Row],[Canceled Differences]]&lt;0, Audit[[#This Row],[Max Differences]]+ABS(Audit[[#This Row],[Canceled Differences]]), Audit[[#This Row],[Max Differences]]), 0)</f>
        <v>0</v>
      </c>
      <c r="AT41" s="17">
        <f>'Sampling Data'!AB41</f>
        <v>3.4289594296384313E-2</v>
      </c>
      <c r="AU41" s="17">
        <f>IF(
      SUM(Audit[[#This Row],[Audit Losing Candidate]:[Audit Candidate 12]])
      &lt;&gt;0,
      (Audit[[#This Row],[Winning Candidate]]-Audit[[#This Row],[Losing Candidate]]-(Audit[[#This Row],[Audit Winning Candidate]]-Audit[[#This Row],[Audit Losing Candidate]]))/(Audit[[#Totals],[Winning Candidate]]-Audit[[#Totals],[Losing Candidate]]),
      0
)</f>
        <v>0</v>
      </c>
      <c r="AV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 s="17">
        <f>IF(Audit[[#This Row],[Max Relative Error (ep)]] = 0, 0, Audit[[#This Row],[Max Relative Error (ep)]]/Audit[[#This Row],[Error Bound (up) - Max. possible relative overstatement]])</f>
        <v>0</v>
      </c>
      <c r="BH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1" s="17">
        <f t="shared" si="1"/>
        <v>1</v>
      </c>
      <c r="BJ41" s="17">
        <f>PRODUCT($BI$5:BI41)</f>
        <v>0.94645908314247273</v>
      </c>
      <c r="BK41" s="19">
        <f>1 - Audit[[#This Row],[K-M P Value]]</f>
        <v>5.3540916857527265E-2</v>
      </c>
      <c r="BL41" s="17" t="str">
        <f>IF(Audit[[#This Row],[K-M P Value]]&gt;1-'General Info'!$B$12,"Continue", "Stop")</f>
        <v>Continue</v>
      </c>
      <c r="BM41" s="22" t="b">
        <f>IF(Audit[[#This Row],[Status - Continue or stop audit]] = "Continue", TRUE, IF(BL40 = "Continue", TRUE, FALSE))</f>
        <v>1</v>
      </c>
      <c r="BN41" s="22"/>
    </row>
    <row r="42" spans="1:66" ht="15" hidden="1" customHeight="1" x14ac:dyDescent="0.35">
      <c r="A42" s="17" t="str">
        <f>'Sampling Data'!AI42</f>
        <v/>
      </c>
      <c r="B42" s="17" t="str">
        <f>'Sampling Data'!A42</f>
        <v>0501 CIN 5-A   (AV)</v>
      </c>
      <c r="C42" s="17">
        <f>'Sampling Data'!B42</f>
        <v>296</v>
      </c>
      <c r="D42" s="17">
        <f>'Sampling Data'!C42</f>
        <v>238</v>
      </c>
      <c r="E42" s="18">
        <f>'Sampling Data'!D42</f>
        <v>0</v>
      </c>
      <c r="F42" s="18">
        <f>'Sampling Data'!E42</f>
        <v>0</v>
      </c>
      <c r="G42" s="18">
        <f>'Sampling Data'!F42</f>
        <v>0</v>
      </c>
      <c r="H42" s="18">
        <f>'Sampling Data'!G42</f>
        <v>0</v>
      </c>
      <c r="I42" s="18">
        <f>'Sampling Data'!H42</f>
        <v>0</v>
      </c>
      <c r="J42" s="18">
        <f>'Sampling Data'!I42</f>
        <v>0</v>
      </c>
      <c r="K42" s="18">
        <f>'Sampling Data'!J42</f>
        <v>0</v>
      </c>
      <c r="L42" s="18">
        <f>'Sampling Data'!K42</f>
        <v>0</v>
      </c>
      <c r="M42" s="18">
        <f>'Sampling Data'!L42</f>
        <v>0</v>
      </c>
      <c r="N42" s="18">
        <f>'Sampling Data'!M42</f>
        <v>0</v>
      </c>
      <c r="O42" s="17">
        <f>'Sampling Data'!N42</f>
        <v>0</v>
      </c>
      <c r="P42" s="17">
        <f>'Sampling Data'!O42</f>
        <v>21</v>
      </c>
      <c r="Q42" s="17">
        <f>'Sampling Data'!P42</f>
        <v>555</v>
      </c>
      <c r="R42" s="17">
        <f>'Sampling Data'!AJ42</f>
        <v>0</v>
      </c>
      <c r="S42" s="111"/>
      <c r="T42" s="111"/>
      <c r="U42" s="112"/>
      <c r="V42" s="112"/>
      <c r="W42" s="111"/>
      <c r="X42" s="111"/>
      <c r="Y42" s="111"/>
      <c r="Z42" s="111"/>
      <c r="AA42" s="14"/>
      <c r="AB42" s="14"/>
      <c r="AC42" s="14"/>
      <c r="AD42" s="14"/>
      <c r="AE42" s="113" t="str">
        <f>IF(NOT(ISBLANK(Audit[[#This Row],[Audit Winning Candidate]])), Audit[[#This Row],[Audit Winning Candidate]]-Audit[[#This Row],[Winning Candidate]], "")</f>
        <v/>
      </c>
      <c r="AF42" s="17" t="str">
        <f>IF(NOT(ISBLANK(Audit[[#This Row],[Audit Losing Candidate]])), Audit[[#This Row],[Audit Losing Candidate]]-Audit[[#This Row],[Losing Candidate]], "")</f>
        <v/>
      </c>
      <c r="AG42" s="17" t="str">
        <f>IF(NOT(ISBLANK(Audit[[#This Row],[Audit Candidate 3]])), Audit[[#This Row],[Audit Candidate 3]]-Audit[[#This Row],[Candidate 3]], "")</f>
        <v/>
      </c>
      <c r="AH42" s="17" t="str">
        <f>IF(NOT(ISBLANK(Audit[[#This Row],[Audit Candidate 4]])),Audit[[#This Row],[Audit Candidate 4]]-Audit[[#This Row],[Candidate 4]], "")</f>
        <v/>
      </c>
      <c r="AI42" s="17" t="str">
        <f>IF(NOT(ISBLANK(Audit[[#This Row],[Audit Candidate 5]])), Audit[[#This Row],[Audit Candidate 5]]-Audit[[#This Row],[Candidate 5]], "")</f>
        <v/>
      </c>
      <c r="AJ42" s="17" t="str">
        <f>IF(NOT(ISBLANK(Audit[[#This Row],[Audit Candidate 6]])), Audit[[#This Row],[Audit Candidate 6]]-Audit[[#This Row],[Candidate 6]], "")</f>
        <v/>
      </c>
      <c r="AK42" s="17" t="str">
        <f>IF(NOT(ISBLANK(Audit[[#This Row],[Audit Candidate 7]])), Audit[[#This Row],[Audit Candidate 7]]-Audit[[#This Row],[Candidate 7]], "")</f>
        <v/>
      </c>
      <c r="AL42" s="17" t="str">
        <f>IF(NOT(ISBLANK(Audit[[#This Row],[Audit Candidate 8]])), Audit[[#This Row],[Audit Candidate 8]]-Audit[[#This Row],[Candidate 8]], "")</f>
        <v/>
      </c>
      <c r="AM42" s="17" t="str">
        <f>IF(NOT(ISBLANK(Audit[[#This Row],[Audit Candidate 9]])), Audit[[#This Row],[Audit Candidate 9]]-Audit[[#This Row],[Candidate 9]], "")</f>
        <v/>
      </c>
      <c r="AN42" s="17" t="str">
        <f>IF(NOT(ISBLANK(Audit[[#This Row],[Audit Candidate 10]])), Audit[[#This Row],[Audit Candidate 10]]-Audit[[#This Row],[Candidate 10]], "")</f>
        <v/>
      </c>
      <c r="AO42" s="17" t="str">
        <f>IF(NOT(ISBLANK(Audit[[#This Row],[Audit Candidate 11]])), Audit[[#This Row],[Audit Candidate 11]]-Audit[[#This Row],[Candidate 11]], "")</f>
        <v/>
      </c>
      <c r="AP42" s="17" t="str">
        <f>IF(NOT(ISBLANK(Audit[[#This Row],[Audit Candidate 12]])), Audit[[#This Row],[Audit Candidate 12]]-Audit[[#This Row],[Candidate 12]], "")</f>
        <v/>
      </c>
      <c r="AQ42" s="17">
        <f>SUMIF(Audit[[#This Row],[Difference Winner]:[Difference Candidate 12]], "&gt;0")</f>
        <v>0</v>
      </c>
      <c r="AR42" s="17">
        <f>SUM(Audit[[#This Row],[Difference Winner]:[Difference Candidate 12]])</f>
        <v>0</v>
      </c>
      <c r="AS42" s="17">
        <f>IF(Audit[[#This Row],[Times p Drawn - With Replacement]]&gt;0, IF(Audit[[#This Row],[Canceled Differences]]&lt;0, Audit[[#This Row],[Max Differences]]+ABS(Audit[[#This Row],[Canceled Differences]]), Audit[[#This Row],[Max Differences]]), 0)</f>
        <v>0</v>
      </c>
      <c r="AT42" s="17">
        <f>'Sampling Data'!AB42</f>
        <v>2.6014259039212357E-2</v>
      </c>
      <c r="AU42" s="17">
        <f>IF(
      SUM(Audit[[#This Row],[Audit Losing Candidate]:[Audit Candidate 12]])
      &lt;&gt;0,
      (Audit[[#This Row],[Winning Candidate]]-Audit[[#This Row],[Losing Candidate]]-(Audit[[#This Row],[Audit Winning Candidate]]-Audit[[#This Row],[Audit Losing Candidate]]))/(Audit[[#Totals],[Winning Candidate]]-Audit[[#Totals],[Losing Candidate]]),
      0
)</f>
        <v>0</v>
      </c>
      <c r="AV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 s="17">
        <f>IF(Audit[[#This Row],[Max Relative Error (ep)]] = 0, 0, Audit[[#This Row],[Max Relative Error (ep)]]/Audit[[#This Row],[Error Bound (up) - Max. possible relative overstatement]])</f>
        <v>0</v>
      </c>
      <c r="BH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2" s="17">
        <f t="shared" si="1"/>
        <v>1</v>
      </c>
      <c r="BJ42" s="17">
        <f>PRODUCT($BI$5:BI42)</f>
        <v>0.94645908314247273</v>
      </c>
      <c r="BK42" s="19">
        <f>1 - Audit[[#This Row],[K-M P Value]]</f>
        <v>5.3540916857527265E-2</v>
      </c>
      <c r="BL42" s="17" t="str">
        <f>IF(Audit[[#This Row],[K-M P Value]]&gt;1-'General Info'!$B$12,"Continue", "Stop")</f>
        <v>Continue</v>
      </c>
      <c r="BM42" s="22" t="b">
        <f>IF(Audit[[#This Row],[Status - Continue or stop audit]] = "Continue", TRUE, IF(BL41 = "Continue", TRUE, FALSE))</f>
        <v>1</v>
      </c>
      <c r="BN42" s="22"/>
    </row>
    <row r="43" spans="1:66" ht="15" hidden="1" customHeight="1" x14ac:dyDescent="0.35">
      <c r="A43" s="17" t="str">
        <f>'Sampling Data'!AI43</f>
        <v/>
      </c>
      <c r="B43" s="17" t="str">
        <f>'Sampling Data'!A43</f>
        <v>0502 CIN 5-B   (AV)</v>
      </c>
      <c r="C43" s="17">
        <f>'Sampling Data'!B43</f>
        <v>289</v>
      </c>
      <c r="D43" s="17">
        <f>'Sampling Data'!C43</f>
        <v>131</v>
      </c>
      <c r="E43" s="18">
        <f>'Sampling Data'!D43</f>
        <v>0</v>
      </c>
      <c r="F43" s="18">
        <f>'Sampling Data'!E43</f>
        <v>0</v>
      </c>
      <c r="G43" s="18">
        <f>'Sampling Data'!F43</f>
        <v>0</v>
      </c>
      <c r="H43" s="18">
        <f>'Sampling Data'!G43</f>
        <v>0</v>
      </c>
      <c r="I43" s="18">
        <f>'Sampling Data'!H43</f>
        <v>0</v>
      </c>
      <c r="J43" s="18">
        <f>'Sampling Data'!I43</f>
        <v>0</v>
      </c>
      <c r="K43" s="18">
        <f>'Sampling Data'!J43</f>
        <v>0</v>
      </c>
      <c r="L43" s="18">
        <f>'Sampling Data'!K43</f>
        <v>0</v>
      </c>
      <c r="M43" s="18">
        <f>'Sampling Data'!L43</f>
        <v>0</v>
      </c>
      <c r="N43" s="18">
        <f>'Sampling Data'!M43</f>
        <v>0</v>
      </c>
      <c r="O43" s="17">
        <f>'Sampling Data'!N43</f>
        <v>0</v>
      </c>
      <c r="P43" s="17">
        <f>'Sampling Data'!O43</f>
        <v>26</v>
      </c>
      <c r="Q43" s="17">
        <f>'Sampling Data'!P43</f>
        <v>446</v>
      </c>
      <c r="R43" s="17">
        <f>'Sampling Data'!AJ43</f>
        <v>0</v>
      </c>
      <c r="S43" s="111"/>
      <c r="T43" s="111"/>
      <c r="U43" s="112"/>
      <c r="V43" s="112"/>
      <c r="W43" s="111"/>
      <c r="X43" s="111"/>
      <c r="Y43" s="111"/>
      <c r="Z43" s="111"/>
      <c r="AA43" s="14"/>
      <c r="AB43" s="14"/>
      <c r="AC43" s="14"/>
      <c r="AD43" s="14"/>
      <c r="AE43" s="113" t="str">
        <f>IF(NOT(ISBLANK(Audit[[#This Row],[Audit Winning Candidate]])), Audit[[#This Row],[Audit Winning Candidate]]-Audit[[#This Row],[Winning Candidate]], "")</f>
        <v/>
      </c>
      <c r="AF43" s="17" t="str">
        <f>IF(NOT(ISBLANK(Audit[[#This Row],[Audit Losing Candidate]])), Audit[[#This Row],[Audit Losing Candidate]]-Audit[[#This Row],[Losing Candidate]], "")</f>
        <v/>
      </c>
      <c r="AG43" s="17" t="str">
        <f>IF(NOT(ISBLANK(Audit[[#This Row],[Audit Candidate 3]])), Audit[[#This Row],[Audit Candidate 3]]-Audit[[#This Row],[Candidate 3]], "")</f>
        <v/>
      </c>
      <c r="AH43" s="17" t="str">
        <f>IF(NOT(ISBLANK(Audit[[#This Row],[Audit Candidate 4]])),Audit[[#This Row],[Audit Candidate 4]]-Audit[[#This Row],[Candidate 4]], "")</f>
        <v/>
      </c>
      <c r="AI43" s="17" t="str">
        <f>IF(NOT(ISBLANK(Audit[[#This Row],[Audit Candidate 5]])), Audit[[#This Row],[Audit Candidate 5]]-Audit[[#This Row],[Candidate 5]], "")</f>
        <v/>
      </c>
      <c r="AJ43" s="17" t="str">
        <f>IF(NOT(ISBLANK(Audit[[#This Row],[Audit Candidate 6]])), Audit[[#This Row],[Audit Candidate 6]]-Audit[[#This Row],[Candidate 6]], "")</f>
        <v/>
      </c>
      <c r="AK43" s="17" t="str">
        <f>IF(NOT(ISBLANK(Audit[[#This Row],[Audit Candidate 7]])), Audit[[#This Row],[Audit Candidate 7]]-Audit[[#This Row],[Candidate 7]], "")</f>
        <v/>
      </c>
      <c r="AL43" s="17" t="str">
        <f>IF(NOT(ISBLANK(Audit[[#This Row],[Audit Candidate 8]])), Audit[[#This Row],[Audit Candidate 8]]-Audit[[#This Row],[Candidate 8]], "")</f>
        <v/>
      </c>
      <c r="AM43" s="17" t="str">
        <f>IF(NOT(ISBLANK(Audit[[#This Row],[Audit Candidate 9]])), Audit[[#This Row],[Audit Candidate 9]]-Audit[[#This Row],[Candidate 9]], "")</f>
        <v/>
      </c>
      <c r="AN43" s="17" t="str">
        <f>IF(NOT(ISBLANK(Audit[[#This Row],[Audit Candidate 10]])), Audit[[#This Row],[Audit Candidate 10]]-Audit[[#This Row],[Candidate 10]], "")</f>
        <v/>
      </c>
      <c r="AO43" s="17" t="str">
        <f>IF(NOT(ISBLANK(Audit[[#This Row],[Audit Candidate 11]])), Audit[[#This Row],[Audit Candidate 11]]-Audit[[#This Row],[Candidate 11]], "")</f>
        <v/>
      </c>
      <c r="AP43" s="17" t="str">
        <f>IF(NOT(ISBLANK(Audit[[#This Row],[Audit Candidate 12]])), Audit[[#This Row],[Audit Candidate 12]]-Audit[[#This Row],[Candidate 12]], "")</f>
        <v/>
      </c>
      <c r="AQ43" s="17">
        <f>SUMIF(Audit[[#This Row],[Difference Winner]:[Difference Candidate 12]], "&gt;0")</f>
        <v>0</v>
      </c>
      <c r="AR43" s="17">
        <f>SUM(Audit[[#This Row],[Difference Winner]:[Difference Candidate 12]])</f>
        <v>0</v>
      </c>
      <c r="AS43" s="17">
        <f>IF(Audit[[#This Row],[Times p Drawn - With Replacement]]&gt;0, IF(Audit[[#This Row],[Canceled Differences]]&lt;0, Audit[[#This Row],[Max Differences]]+ABS(Audit[[#This Row],[Canceled Differences]]), Audit[[#This Row],[Max Differences]]), 0)</f>
        <v>0</v>
      </c>
      <c r="AT43" s="17">
        <f>'Sampling Data'!AB43</f>
        <v>2.5632320488881345E-2</v>
      </c>
      <c r="AU43" s="17">
        <f>IF(
      SUM(Audit[[#This Row],[Audit Losing Candidate]:[Audit Candidate 12]])
      &lt;&gt;0,
      (Audit[[#This Row],[Winning Candidate]]-Audit[[#This Row],[Losing Candidate]]-(Audit[[#This Row],[Audit Winning Candidate]]-Audit[[#This Row],[Audit Losing Candidate]]))/(Audit[[#Totals],[Winning Candidate]]-Audit[[#Totals],[Losing Candidate]]),
      0
)</f>
        <v>0</v>
      </c>
      <c r="AV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 s="17">
        <f>IF(Audit[[#This Row],[Max Relative Error (ep)]] = 0, 0, Audit[[#This Row],[Max Relative Error (ep)]]/Audit[[#This Row],[Error Bound (up) - Max. possible relative overstatement]])</f>
        <v>0</v>
      </c>
      <c r="BH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3" s="17">
        <f t="shared" si="1"/>
        <v>1</v>
      </c>
      <c r="BJ43" s="17">
        <f>PRODUCT($BI$5:BI43)</f>
        <v>0.94645908314247273</v>
      </c>
      <c r="BK43" s="19">
        <f>1 - Audit[[#This Row],[K-M P Value]]</f>
        <v>5.3540916857527265E-2</v>
      </c>
      <c r="BL43" s="17" t="str">
        <f>IF(Audit[[#This Row],[K-M P Value]]&gt;1-'General Info'!$B$12,"Continue", "Stop")</f>
        <v>Continue</v>
      </c>
      <c r="BM43" s="22" t="b">
        <f>IF(Audit[[#This Row],[Status - Continue or stop audit]] = "Continue", TRUE, IF(BL42 = "Continue", TRUE, FALSE))</f>
        <v>1</v>
      </c>
      <c r="BN43" s="22"/>
    </row>
    <row r="44" spans="1:66" ht="15" hidden="1" customHeight="1" x14ac:dyDescent="0.35">
      <c r="A44" s="17" t="str">
        <f>'Sampling Data'!AI44</f>
        <v/>
      </c>
      <c r="B44" s="17" t="str">
        <f>'Sampling Data'!A44</f>
        <v>0503 CIN 5-C   (AV)</v>
      </c>
      <c r="C44" s="17">
        <f>'Sampling Data'!B44</f>
        <v>279</v>
      </c>
      <c r="D44" s="17">
        <f>'Sampling Data'!C44</f>
        <v>130</v>
      </c>
      <c r="E44" s="18">
        <f>'Sampling Data'!D44</f>
        <v>0</v>
      </c>
      <c r="F44" s="18">
        <f>'Sampling Data'!E44</f>
        <v>0</v>
      </c>
      <c r="G44" s="18">
        <f>'Sampling Data'!F44</f>
        <v>0</v>
      </c>
      <c r="H44" s="18">
        <f>'Sampling Data'!G44</f>
        <v>0</v>
      </c>
      <c r="I44" s="18">
        <f>'Sampling Data'!H44</f>
        <v>0</v>
      </c>
      <c r="J44" s="18">
        <f>'Sampling Data'!I44</f>
        <v>0</v>
      </c>
      <c r="K44" s="18">
        <f>'Sampling Data'!J44</f>
        <v>0</v>
      </c>
      <c r="L44" s="18">
        <f>'Sampling Data'!K44</f>
        <v>0</v>
      </c>
      <c r="M44" s="18">
        <f>'Sampling Data'!L44</f>
        <v>0</v>
      </c>
      <c r="N44" s="18">
        <f>'Sampling Data'!M44</f>
        <v>0</v>
      </c>
      <c r="O44" s="17">
        <f>'Sampling Data'!N44</f>
        <v>0</v>
      </c>
      <c r="P44" s="17">
        <f>'Sampling Data'!O44</f>
        <v>16</v>
      </c>
      <c r="Q44" s="17">
        <f>'Sampling Data'!P44</f>
        <v>425</v>
      </c>
      <c r="R44" s="17">
        <f>'Sampling Data'!AJ44</f>
        <v>0</v>
      </c>
      <c r="S44" s="111"/>
      <c r="T44" s="111"/>
      <c r="U44" s="112"/>
      <c r="V44" s="112"/>
      <c r="W44" s="111"/>
      <c r="X44" s="111"/>
      <c r="Y44" s="111"/>
      <c r="Z44" s="111"/>
      <c r="AA44" s="14"/>
      <c r="AB44" s="14"/>
      <c r="AC44" s="14"/>
      <c r="AD44" s="14"/>
      <c r="AE44" s="113" t="str">
        <f>IF(NOT(ISBLANK(Audit[[#This Row],[Audit Winning Candidate]])), Audit[[#This Row],[Audit Winning Candidate]]-Audit[[#This Row],[Winning Candidate]], "")</f>
        <v/>
      </c>
      <c r="AF44" s="17" t="str">
        <f>IF(NOT(ISBLANK(Audit[[#This Row],[Audit Losing Candidate]])), Audit[[#This Row],[Audit Losing Candidate]]-Audit[[#This Row],[Losing Candidate]], "")</f>
        <v/>
      </c>
      <c r="AG44" s="17" t="str">
        <f>IF(NOT(ISBLANK(Audit[[#This Row],[Audit Candidate 3]])), Audit[[#This Row],[Audit Candidate 3]]-Audit[[#This Row],[Candidate 3]], "")</f>
        <v/>
      </c>
      <c r="AH44" s="17" t="str">
        <f>IF(NOT(ISBLANK(Audit[[#This Row],[Audit Candidate 4]])),Audit[[#This Row],[Audit Candidate 4]]-Audit[[#This Row],[Candidate 4]], "")</f>
        <v/>
      </c>
      <c r="AI44" s="17" t="str">
        <f>IF(NOT(ISBLANK(Audit[[#This Row],[Audit Candidate 5]])), Audit[[#This Row],[Audit Candidate 5]]-Audit[[#This Row],[Candidate 5]], "")</f>
        <v/>
      </c>
      <c r="AJ44" s="17" t="str">
        <f>IF(NOT(ISBLANK(Audit[[#This Row],[Audit Candidate 6]])), Audit[[#This Row],[Audit Candidate 6]]-Audit[[#This Row],[Candidate 6]], "")</f>
        <v/>
      </c>
      <c r="AK44" s="17" t="str">
        <f>IF(NOT(ISBLANK(Audit[[#This Row],[Audit Candidate 7]])), Audit[[#This Row],[Audit Candidate 7]]-Audit[[#This Row],[Candidate 7]], "")</f>
        <v/>
      </c>
      <c r="AL44" s="17" t="str">
        <f>IF(NOT(ISBLANK(Audit[[#This Row],[Audit Candidate 8]])), Audit[[#This Row],[Audit Candidate 8]]-Audit[[#This Row],[Candidate 8]], "")</f>
        <v/>
      </c>
      <c r="AM44" s="17" t="str">
        <f>IF(NOT(ISBLANK(Audit[[#This Row],[Audit Candidate 9]])), Audit[[#This Row],[Audit Candidate 9]]-Audit[[#This Row],[Candidate 9]], "")</f>
        <v/>
      </c>
      <c r="AN44" s="17" t="str">
        <f>IF(NOT(ISBLANK(Audit[[#This Row],[Audit Candidate 10]])), Audit[[#This Row],[Audit Candidate 10]]-Audit[[#This Row],[Candidate 10]], "")</f>
        <v/>
      </c>
      <c r="AO44" s="17" t="str">
        <f>IF(NOT(ISBLANK(Audit[[#This Row],[Audit Candidate 11]])), Audit[[#This Row],[Audit Candidate 11]]-Audit[[#This Row],[Candidate 11]], "")</f>
        <v/>
      </c>
      <c r="AP44" s="17" t="str">
        <f>IF(NOT(ISBLANK(Audit[[#This Row],[Audit Candidate 12]])), Audit[[#This Row],[Audit Candidate 12]]-Audit[[#This Row],[Candidate 12]], "")</f>
        <v/>
      </c>
      <c r="AQ44" s="17">
        <f>SUMIF(Audit[[#This Row],[Difference Winner]:[Difference Candidate 12]], "&gt;0")</f>
        <v>0</v>
      </c>
      <c r="AR44" s="17">
        <f>SUM(Audit[[#This Row],[Difference Winner]:[Difference Candidate 12]])</f>
        <v>0</v>
      </c>
      <c r="AS44" s="17">
        <f>IF(Audit[[#This Row],[Times p Drawn - With Replacement]]&gt;0, IF(Audit[[#This Row],[Canceled Differences]]&lt;0, Audit[[#This Row],[Max Differences]]+ABS(Audit[[#This Row],[Canceled Differences]]), Audit[[#This Row],[Max Differences]]), 0)</f>
        <v>0</v>
      </c>
      <c r="AT44" s="17">
        <f>'Sampling Data'!AB44</f>
        <v>2.4359191987777966E-2</v>
      </c>
      <c r="AU44" s="17">
        <f>IF(
      SUM(Audit[[#This Row],[Audit Losing Candidate]:[Audit Candidate 12]])
      &lt;&gt;0,
      (Audit[[#This Row],[Winning Candidate]]-Audit[[#This Row],[Losing Candidate]]-(Audit[[#This Row],[Audit Winning Candidate]]-Audit[[#This Row],[Audit Losing Candidate]]))/(Audit[[#Totals],[Winning Candidate]]-Audit[[#Totals],[Losing Candidate]]),
      0
)</f>
        <v>0</v>
      </c>
      <c r="AV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 s="17">
        <f>IF(Audit[[#This Row],[Max Relative Error (ep)]] = 0, 0, Audit[[#This Row],[Max Relative Error (ep)]]/Audit[[#This Row],[Error Bound (up) - Max. possible relative overstatement]])</f>
        <v>0</v>
      </c>
      <c r="BH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4" s="17">
        <f t="shared" si="1"/>
        <v>1</v>
      </c>
      <c r="BJ44" s="17">
        <f>PRODUCT($BI$5:BI44)</f>
        <v>0.94645908314247273</v>
      </c>
      <c r="BK44" s="19">
        <f>1 - Audit[[#This Row],[K-M P Value]]</f>
        <v>5.3540916857527265E-2</v>
      </c>
      <c r="BL44" s="17" t="str">
        <f>IF(Audit[[#This Row],[K-M P Value]]&gt;1-'General Info'!$B$12,"Continue", "Stop")</f>
        <v>Continue</v>
      </c>
      <c r="BM44" s="22" t="b">
        <f>IF(Audit[[#This Row],[Status - Continue or stop audit]] = "Continue", TRUE, IF(BL43 = "Continue", TRUE, FALSE))</f>
        <v>1</v>
      </c>
      <c r="BN44" s="22"/>
    </row>
    <row r="45" spans="1:66" ht="15" hidden="1" customHeight="1" x14ac:dyDescent="0.35">
      <c r="A45" s="17" t="str">
        <f>'Sampling Data'!AI45</f>
        <v/>
      </c>
      <c r="B45" s="17" t="str">
        <f>'Sampling Data'!A45</f>
        <v>0504 CIN 5-D   (AV)</v>
      </c>
      <c r="C45" s="17">
        <f>'Sampling Data'!B45</f>
        <v>407</v>
      </c>
      <c r="D45" s="17">
        <f>'Sampling Data'!C45</f>
        <v>206</v>
      </c>
      <c r="E45" s="18">
        <f>'Sampling Data'!D45</f>
        <v>0</v>
      </c>
      <c r="F45" s="18">
        <f>'Sampling Data'!E45</f>
        <v>0</v>
      </c>
      <c r="G45" s="18">
        <f>'Sampling Data'!F45</f>
        <v>0</v>
      </c>
      <c r="H45" s="18">
        <f>'Sampling Data'!G45</f>
        <v>0</v>
      </c>
      <c r="I45" s="18">
        <f>'Sampling Data'!H45</f>
        <v>0</v>
      </c>
      <c r="J45" s="18">
        <f>'Sampling Data'!I45</f>
        <v>0</v>
      </c>
      <c r="K45" s="18">
        <f>'Sampling Data'!J45</f>
        <v>0</v>
      </c>
      <c r="L45" s="18">
        <f>'Sampling Data'!K45</f>
        <v>0</v>
      </c>
      <c r="M45" s="18">
        <f>'Sampling Data'!L45</f>
        <v>0</v>
      </c>
      <c r="N45" s="18">
        <f>'Sampling Data'!M45</f>
        <v>0</v>
      </c>
      <c r="O45" s="17">
        <f>'Sampling Data'!N45</f>
        <v>0</v>
      </c>
      <c r="P45" s="17">
        <f>'Sampling Data'!O45</f>
        <v>40</v>
      </c>
      <c r="Q45" s="17">
        <f>'Sampling Data'!P45</f>
        <v>653</v>
      </c>
      <c r="R45" s="17">
        <f>'Sampling Data'!AJ45</f>
        <v>0</v>
      </c>
      <c r="S45" s="111"/>
      <c r="T45" s="111"/>
      <c r="U45" s="112"/>
      <c r="V45" s="112"/>
      <c r="W45" s="111"/>
      <c r="X45" s="111"/>
      <c r="Y45" s="111"/>
      <c r="Z45" s="111"/>
      <c r="AA45" s="14"/>
      <c r="AB45" s="14"/>
      <c r="AC45" s="14"/>
      <c r="AD45" s="14"/>
      <c r="AE45" s="113" t="str">
        <f>IF(NOT(ISBLANK(Audit[[#This Row],[Audit Winning Candidate]])), Audit[[#This Row],[Audit Winning Candidate]]-Audit[[#This Row],[Winning Candidate]], "")</f>
        <v/>
      </c>
      <c r="AF45" s="17" t="str">
        <f>IF(NOT(ISBLANK(Audit[[#This Row],[Audit Losing Candidate]])), Audit[[#This Row],[Audit Losing Candidate]]-Audit[[#This Row],[Losing Candidate]], "")</f>
        <v/>
      </c>
      <c r="AG45" s="17" t="str">
        <f>IF(NOT(ISBLANK(Audit[[#This Row],[Audit Candidate 3]])), Audit[[#This Row],[Audit Candidate 3]]-Audit[[#This Row],[Candidate 3]], "")</f>
        <v/>
      </c>
      <c r="AH45" s="17" t="str">
        <f>IF(NOT(ISBLANK(Audit[[#This Row],[Audit Candidate 4]])),Audit[[#This Row],[Audit Candidate 4]]-Audit[[#This Row],[Candidate 4]], "")</f>
        <v/>
      </c>
      <c r="AI45" s="17" t="str">
        <f>IF(NOT(ISBLANK(Audit[[#This Row],[Audit Candidate 5]])), Audit[[#This Row],[Audit Candidate 5]]-Audit[[#This Row],[Candidate 5]], "")</f>
        <v/>
      </c>
      <c r="AJ45" s="17" t="str">
        <f>IF(NOT(ISBLANK(Audit[[#This Row],[Audit Candidate 6]])), Audit[[#This Row],[Audit Candidate 6]]-Audit[[#This Row],[Candidate 6]], "")</f>
        <v/>
      </c>
      <c r="AK45" s="17" t="str">
        <f>IF(NOT(ISBLANK(Audit[[#This Row],[Audit Candidate 7]])), Audit[[#This Row],[Audit Candidate 7]]-Audit[[#This Row],[Candidate 7]], "")</f>
        <v/>
      </c>
      <c r="AL45" s="17" t="str">
        <f>IF(NOT(ISBLANK(Audit[[#This Row],[Audit Candidate 8]])), Audit[[#This Row],[Audit Candidate 8]]-Audit[[#This Row],[Candidate 8]], "")</f>
        <v/>
      </c>
      <c r="AM45" s="17" t="str">
        <f>IF(NOT(ISBLANK(Audit[[#This Row],[Audit Candidate 9]])), Audit[[#This Row],[Audit Candidate 9]]-Audit[[#This Row],[Candidate 9]], "")</f>
        <v/>
      </c>
      <c r="AN45" s="17" t="str">
        <f>IF(NOT(ISBLANK(Audit[[#This Row],[Audit Candidate 10]])), Audit[[#This Row],[Audit Candidate 10]]-Audit[[#This Row],[Candidate 10]], "")</f>
        <v/>
      </c>
      <c r="AO45" s="17" t="str">
        <f>IF(NOT(ISBLANK(Audit[[#This Row],[Audit Candidate 11]])), Audit[[#This Row],[Audit Candidate 11]]-Audit[[#This Row],[Candidate 11]], "")</f>
        <v/>
      </c>
      <c r="AP45" s="17" t="str">
        <f>IF(NOT(ISBLANK(Audit[[#This Row],[Audit Candidate 12]])), Audit[[#This Row],[Audit Candidate 12]]-Audit[[#This Row],[Candidate 12]], "")</f>
        <v/>
      </c>
      <c r="AQ45" s="17">
        <f>SUMIF(Audit[[#This Row],[Difference Winner]:[Difference Candidate 12]], "&gt;0")</f>
        <v>0</v>
      </c>
      <c r="AR45" s="17">
        <f>SUM(Audit[[#This Row],[Difference Winner]:[Difference Candidate 12]])</f>
        <v>0</v>
      </c>
      <c r="AS45" s="17">
        <f>IF(Audit[[#This Row],[Times p Drawn - With Replacement]]&gt;0, IF(Audit[[#This Row],[Canceled Differences]]&lt;0, Audit[[#This Row],[Max Differences]]+ABS(Audit[[#This Row],[Canceled Differences]]), Audit[[#This Row],[Max Differences]]), 0)</f>
        <v>0</v>
      </c>
      <c r="AT45" s="17">
        <f>'Sampling Data'!AB45</f>
        <v>3.6241724664742826E-2</v>
      </c>
      <c r="AU45" s="17">
        <f>IF(
      SUM(Audit[[#This Row],[Audit Losing Candidate]:[Audit Candidate 12]])
      &lt;&gt;0,
      (Audit[[#This Row],[Winning Candidate]]-Audit[[#This Row],[Losing Candidate]]-(Audit[[#This Row],[Audit Winning Candidate]]-Audit[[#This Row],[Audit Losing Candidate]]))/(Audit[[#Totals],[Winning Candidate]]-Audit[[#Totals],[Losing Candidate]]),
      0
)</f>
        <v>0</v>
      </c>
      <c r="AV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 s="17">
        <f>IF(Audit[[#This Row],[Max Relative Error (ep)]] = 0, 0, Audit[[#This Row],[Max Relative Error (ep)]]/Audit[[#This Row],[Error Bound (up) - Max. possible relative overstatement]])</f>
        <v>0</v>
      </c>
      <c r="BH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5" s="17">
        <f t="shared" si="1"/>
        <v>1</v>
      </c>
      <c r="BJ45" s="17">
        <f>PRODUCT($BI$5:BI45)</f>
        <v>0.94645908314247273</v>
      </c>
      <c r="BK45" s="19">
        <f>1 - Audit[[#This Row],[K-M P Value]]</f>
        <v>5.3540916857527265E-2</v>
      </c>
      <c r="BL45" s="17" t="str">
        <f>IF(Audit[[#This Row],[K-M P Value]]&gt;1-'General Info'!$B$12,"Continue", "Stop")</f>
        <v>Continue</v>
      </c>
      <c r="BM45" s="22" t="b">
        <f>IF(Audit[[#This Row],[Status - Continue or stop audit]] = "Continue", TRUE, IF(BL44 = "Continue", TRUE, FALSE))</f>
        <v>1</v>
      </c>
      <c r="BN45" s="22"/>
    </row>
    <row r="46" spans="1:66" ht="15" hidden="1" customHeight="1" x14ac:dyDescent="0.35">
      <c r="A46" s="17" t="str">
        <f>'Sampling Data'!AI46</f>
        <v/>
      </c>
      <c r="B46" s="17" t="str">
        <f>'Sampling Data'!A46</f>
        <v>0505 CIN 5-E   (AV)</v>
      </c>
      <c r="C46" s="17">
        <f>'Sampling Data'!B46</f>
        <v>367</v>
      </c>
      <c r="D46" s="17">
        <f>'Sampling Data'!C46</f>
        <v>174</v>
      </c>
      <c r="E46" s="18">
        <f>'Sampling Data'!D46</f>
        <v>0</v>
      </c>
      <c r="F46" s="18">
        <f>'Sampling Data'!E46</f>
        <v>0</v>
      </c>
      <c r="G46" s="18">
        <f>'Sampling Data'!F46</f>
        <v>0</v>
      </c>
      <c r="H46" s="18">
        <f>'Sampling Data'!G46</f>
        <v>0</v>
      </c>
      <c r="I46" s="18">
        <f>'Sampling Data'!H46</f>
        <v>0</v>
      </c>
      <c r="J46" s="18">
        <f>'Sampling Data'!I46</f>
        <v>0</v>
      </c>
      <c r="K46" s="18">
        <f>'Sampling Data'!J46</f>
        <v>0</v>
      </c>
      <c r="L46" s="18">
        <f>'Sampling Data'!K46</f>
        <v>0</v>
      </c>
      <c r="M46" s="18">
        <f>'Sampling Data'!L46</f>
        <v>0</v>
      </c>
      <c r="N46" s="18">
        <f>'Sampling Data'!M46</f>
        <v>0</v>
      </c>
      <c r="O46" s="17">
        <f>'Sampling Data'!N46</f>
        <v>0</v>
      </c>
      <c r="P46" s="17">
        <f>'Sampling Data'!O46</f>
        <v>33</v>
      </c>
      <c r="Q46" s="17">
        <f>'Sampling Data'!P46</f>
        <v>574</v>
      </c>
      <c r="R46" s="17">
        <f>'Sampling Data'!AJ46</f>
        <v>0</v>
      </c>
      <c r="S46" s="111"/>
      <c r="T46" s="111"/>
      <c r="U46" s="112"/>
      <c r="V46" s="112"/>
      <c r="W46" s="111"/>
      <c r="X46" s="111"/>
      <c r="Y46" s="111"/>
      <c r="Z46" s="111"/>
      <c r="AA46" s="14"/>
      <c r="AB46" s="14"/>
      <c r="AC46" s="14"/>
      <c r="AD46" s="14"/>
      <c r="AE46" s="113" t="str">
        <f>IF(NOT(ISBLANK(Audit[[#This Row],[Audit Winning Candidate]])), Audit[[#This Row],[Audit Winning Candidate]]-Audit[[#This Row],[Winning Candidate]], "")</f>
        <v/>
      </c>
      <c r="AF46" s="17" t="str">
        <f>IF(NOT(ISBLANK(Audit[[#This Row],[Audit Losing Candidate]])), Audit[[#This Row],[Audit Losing Candidate]]-Audit[[#This Row],[Losing Candidate]], "")</f>
        <v/>
      </c>
      <c r="AG46" s="17" t="str">
        <f>IF(NOT(ISBLANK(Audit[[#This Row],[Audit Candidate 3]])), Audit[[#This Row],[Audit Candidate 3]]-Audit[[#This Row],[Candidate 3]], "")</f>
        <v/>
      </c>
      <c r="AH46" s="17" t="str">
        <f>IF(NOT(ISBLANK(Audit[[#This Row],[Audit Candidate 4]])),Audit[[#This Row],[Audit Candidate 4]]-Audit[[#This Row],[Candidate 4]], "")</f>
        <v/>
      </c>
      <c r="AI46" s="17" t="str">
        <f>IF(NOT(ISBLANK(Audit[[#This Row],[Audit Candidate 5]])), Audit[[#This Row],[Audit Candidate 5]]-Audit[[#This Row],[Candidate 5]], "")</f>
        <v/>
      </c>
      <c r="AJ46" s="17" t="str">
        <f>IF(NOT(ISBLANK(Audit[[#This Row],[Audit Candidate 6]])), Audit[[#This Row],[Audit Candidate 6]]-Audit[[#This Row],[Candidate 6]], "")</f>
        <v/>
      </c>
      <c r="AK46" s="17" t="str">
        <f>IF(NOT(ISBLANK(Audit[[#This Row],[Audit Candidate 7]])), Audit[[#This Row],[Audit Candidate 7]]-Audit[[#This Row],[Candidate 7]], "")</f>
        <v/>
      </c>
      <c r="AL46" s="17" t="str">
        <f>IF(NOT(ISBLANK(Audit[[#This Row],[Audit Candidate 8]])), Audit[[#This Row],[Audit Candidate 8]]-Audit[[#This Row],[Candidate 8]], "")</f>
        <v/>
      </c>
      <c r="AM46" s="17" t="str">
        <f>IF(NOT(ISBLANK(Audit[[#This Row],[Audit Candidate 9]])), Audit[[#This Row],[Audit Candidate 9]]-Audit[[#This Row],[Candidate 9]], "")</f>
        <v/>
      </c>
      <c r="AN46" s="17" t="str">
        <f>IF(NOT(ISBLANK(Audit[[#This Row],[Audit Candidate 10]])), Audit[[#This Row],[Audit Candidate 10]]-Audit[[#This Row],[Candidate 10]], "")</f>
        <v/>
      </c>
      <c r="AO46" s="17" t="str">
        <f>IF(NOT(ISBLANK(Audit[[#This Row],[Audit Candidate 11]])), Audit[[#This Row],[Audit Candidate 11]]-Audit[[#This Row],[Candidate 11]], "")</f>
        <v/>
      </c>
      <c r="AP46" s="17" t="str">
        <f>IF(NOT(ISBLANK(Audit[[#This Row],[Audit Candidate 12]])), Audit[[#This Row],[Audit Candidate 12]]-Audit[[#This Row],[Candidate 12]], "")</f>
        <v/>
      </c>
      <c r="AQ46" s="17">
        <f>SUMIF(Audit[[#This Row],[Difference Winner]:[Difference Candidate 12]], "&gt;0")</f>
        <v>0</v>
      </c>
      <c r="AR46" s="17">
        <f>SUM(Audit[[#This Row],[Difference Winner]:[Difference Candidate 12]])</f>
        <v>0</v>
      </c>
      <c r="AS46" s="17">
        <f>IF(Audit[[#This Row],[Times p Drawn - With Replacement]]&gt;0, IF(Audit[[#This Row],[Canceled Differences]]&lt;0, Audit[[#This Row],[Max Differences]]+ABS(Audit[[#This Row],[Canceled Differences]]), Audit[[#This Row],[Max Differences]]), 0)</f>
        <v>0</v>
      </c>
      <c r="AT46" s="17">
        <f>'Sampling Data'!AB46</f>
        <v>3.2549652011543029E-2</v>
      </c>
      <c r="AU46" s="17">
        <f>IF(
      SUM(Audit[[#This Row],[Audit Losing Candidate]:[Audit Candidate 12]])
      &lt;&gt;0,
      (Audit[[#This Row],[Winning Candidate]]-Audit[[#This Row],[Losing Candidate]]-(Audit[[#This Row],[Audit Winning Candidate]]-Audit[[#This Row],[Audit Losing Candidate]]))/(Audit[[#Totals],[Winning Candidate]]-Audit[[#Totals],[Losing Candidate]]),
      0
)</f>
        <v>0</v>
      </c>
      <c r="AV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 s="17">
        <f>IF(Audit[[#This Row],[Max Relative Error (ep)]] = 0, 0, Audit[[#This Row],[Max Relative Error (ep)]]/Audit[[#This Row],[Error Bound (up) - Max. possible relative overstatement]])</f>
        <v>0</v>
      </c>
      <c r="BH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6" s="17">
        <f t="shared" si="1"/>
        <v>1</v>
      </c>
      <c r="BJ46" s="17">
        <f>PRODUCT($BI$5:BI46)</f>
        <v>0.94645908314247273</v>
      </c>
      <c r="BK46" s="19">
        <f>1 - Audit[[#This Row],[K-M P Value]]</f>
        <v>5.3540916857527265E-2</v>
      </c>
      <c r="BL46" s="17" t="str">
        <f>IF(Audit[[#This Row],[K-M P Value]]&gt;1-'General Info'!$B$12,"Continue", "Stop")</f>
        <v>Continue</v>
      </c>
      <c r="BM46" s="22" t="b">
        <f>IF(Audit[[#This Row],[Status - Continue or stop audit]] = "Continue", TRUE, IF(BL45 = "Continue", TRUE, FALSE))</f>
        <v>1</v>
      </c>
      <c r="BN46" s="22"/>
    </row>
    <row r="47" spans="1:66" ht="15" hidden="1" customHeight="1" x14ac:dyDescent="0.35">
      <c r="A47" s="17" t="str">
        <f>'Sampling Data'!AI47</f>
        <v/>
      </c>
      <c r="B47" s="17" t="str">
        <f>'Sampling Data'!A47</f>
        <v>0506 CIN 5-F   (AV)</v>
      </c>
      <c r="C47" s="17">
        <f>'Sampling Data'!B47</f>
        <v>221</v>
      </c>
      <c r="D47" s="17">
        <f>'Sampling Data'!C47</f>
        <v>127</v>
      </c>
      <c r="E47" s="18">
        <f>'Sampling Data'!D47</f>
        <v>0</v>
      </c>
      <c r="F47" s="18">
        <f>'Sampling Data'!E47</f>
        <v>0</v>
      </c>
      <c r="G47" s="18">
        <f>'Sampling Data'!F47</f>
        <v>0</v>
      </c>
      <c r="H47" s="18">
        <f>'Sampling Data'!G47</f>
        <v>0</v>
      </c>
      <c r="I47" s="18">
        <f>'Sampling Data'!H47</f>
        <v>0</v>
      </c>
      <c r="J47" s="18">
        <f>'Sampling Data'!I47</f>
        <v>0</v>
      </c>
      <c r="K47" s="18">
        <f>'Sampling Data'!J47</f>
        <v>0</v>
      </c>
      <c r="L47" s="18">
        <f>'Sampling Data'!K47</f>
        <v>0</v>
      </c>
      <c r="M47" s="18">
        <f>'Sampling Data'!L47</f>
        <v>0</v>
      </c>
      <c r="N47" s="18">
        <f>'Sampling Data'!M47</f>
        <v>0</v>
      </c>
      <c r="O47" s="17">
        <f>'Sampling Data'!N47</f>
        <v>0</v>
      </c>
      <c r="P47" s="17">
        <f>'Sampling Data'!O47</f>
        <v>16</v>
      </c>
      <c r="Q47" s="17">
        <f>'Sampling Data'!P47</f>
        <v>364</v>
      </c>
      <c r="R47" s="17">
        <f>'Sampling Data'!AJ47</f>
        <v>0</v>
      </c>
      <c r="S47" s="111"/>
      <c r="T47" s="111"/>
      <c r="U47" s="112"/>
      <c r="V47" s="112"/>
      <c r="W47" s="111"/>
      <c r="X47" s="111"/>
      <c r="Y47" s="111"/>
      <c r="Z47" s="111"/>
      <c r="AA47" s="14"/>
      <c r="AB47" s="14"/>
      <c r="AC47" s="14"/>
      <c r="AD47" s="14"/>
      <c r="AE47" s="113" t="str">
        <f>IF(NOT(ISBLANK(Audit[[#This Row],[Audit Winning Candidate]])), Audit[[#This Row],[Audit Winning Candidate]]-Audit[[#This Row],[Winning Candidate]], "")</f>
        <v/>
      </c>
      <c r="AF47" s="17" t="str">
        <f>IF(NOT(ISBLANK(Audit[[#This Row],[Audit Losing Candidate]])), Audit[[#This Row],[Audit Losing Candidate]]-Audit[[#This Row],[Losing Candidate]], "")</f>
        <v/>
      </c>
      <c r="AG47" s="17" t="str">
        <f>IF(NOT(ISBLANK(Audit[[#This Row],[Audit Candidate 3]])), Audit[[#This Row],[Audit Candidate 3]]-Audit[[#This Row],[Candidate 3]], "")</f>
        <v/>
      </c>
      <c r="AH47" s="17" t="str">
        <f>IF(NOT(ISBLANK(Audit[[#This Row],[Audit Candidate 4]])),Audit[[#This Row],[Audit Candidate 4]]-Audit[[#This Row],[Candidate 4]], "")</f>
        <v/>
      </c>
      <c r="AI47" s="17" t="str">
        <f>IF(NOT(ISBLANK(Audit[[#This Row],[Audit Candidate 5]])), Audit[[#This Row],[Audit Candidate 5]]-Audit[[#This Row],[Candidate 5]], "")</f>
        <v/>
      </c>
      <c r="AJ47" s="17" t="str">
        <f>IF(NOT(ISBLANK(Audit[[#This Row],[Audit Candidate 6]])), Audit[[#This Row],[Audit Candidate 6]]-Audit[[#This Row],[Candidate 6]], "")</f>
        <v/>
      </c>
      <c r="AK47" s="17" t="str">
        <f>IF(NOT(ISBLANK(Audit[[#This Row],[Audit Candidate 7]])), Audit[[#This Row],[Audit Candidate 7]]-Audit[[#This Row],[Candidate 7]], "")</f>
        <v/>
      </c>
      <c r="AL47" s="17" t="str">
        <f>IF(NOT(ISBLANK(Audit[[#This Row],[Audit Candidate 8]])), Audit[[#This Row],[Audit Candidate 8]]-Audit[[#This Row],[Candidate 8]], "")</f>
        <v/>
      </c>
      <c r="AM47" s="17" t="str">
        <f>IF(NOT(ISBLANK(Audit[[#This Row],[Audit Candidate 9]])), Audit[[#This Row],[Audit Candidate 9]]-Audit[[#This Row],[Candidate 9]], "")</f>
        <v/>
      </c>
      <c r="AN47" s="17" t="str">
        <f>IF(NOT(ISBLANK(Audit[[#This Row],[Audit Candidate 10]])), Audit[[#This Row],[Audit Candidate 10]]-Audit[[#This Row],[Candidate 10]], "")</f>
        <v/>
      </c>
      <c r="AO47" s="17" t="str">
        <f>IF(NOT(ISBLANK(Audit[[#This Row],[Audit Candidate 11]])), Audit[[#This Row],[Audit Candidate 11]]-Audit[[#This Row],[Candidate 11]], "")</f>
        <v/>
      </c>
      <c r="AP47" s="17" t="str">
        <f>IF(NOT(ISBLANK(Audit[[#This Row],[Audit Candidate 12]])), Audit[[#This Row],[Audit Candidate 12]]-Audit[[#This Row],[Candidate 12]], "")</f>
        <v/>
      </c>
      <c r="AQ47" s="17">
        <f>SUMIF(Audit[[#This Row],[Difference Winner]:[Difference Candidate 12]], "&gt;0")</f>
        <v>0</v>
      </c>
      <c r="AR47" s="17">
        <f>SUM(Audit[[#This Row],[Difference Winner]:[Difference Candidate 12]])</f>
        <v>0</v>
      </c>
      <c r="AS47" s="17">
        <f>IF(Audit[[#This Row],[Times p Drawn - With Replacement]]&gt;0, IF(Audit[[#This Row],[Canceled Differences]]&lt;0, Audit[[#This Row],[Max Differences]]+ABS(Audit[[#This Row],[Canceled Differences]]), Audit[[#This Row],[Max Differences]]), 0)</f>
        <v>0</v>
      </c>
      <c r="AT47" s="17">
        <f>'Sampling Data'!AB47</f>
        <v>1.9436428450178237E-2</v>
      </c>
      <c r="AU47" s="17">
        <f>IF(
      SUM(Audit[[#This Row],[Audit Losing Candidate]:[Audit Candidate 12]])
      &lt;&gt;0,
      (Audit[[#This Row],[Winning Candidate]]-Audit[[#This Row],[Losing Candidate]]-(Audit[[#This Row],[Audit Winning Candidate]]-Audit[[#This Row],[Audit Losing Candidate]]))/(Audit[[#Totals],[Winning Candidate]]-Audit[[#Totals],[Losing Candidate]]),
      0
)</f>
        <v>0</v>
      </c>
      <c r="AV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 s="17">
        <f>IF(Audit[[#This Row],[Max Relative Error (ep)]] = 0, 0, Audit[[#This Row],[Max Relative Error (ep)]]/Audit[[#This Row],[Error Bound (up) - Max. possible relative overstatement]])</f>
        <v>0</v>
      </c>
      <c r="BH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7" s="17">
        <f t="shared" si="1"/>
        <v>1</v>
      </c>
      <c r="BJ47" s="17">
        <f>PRODUCT($BI$5:BI47)</f>
        <v>0.94645908314247273</v>
      </c>
      <c r="BK47" s="19">
        <f>1 - Audit[[#This Row],[K-M P Value]]</f>
        <v>5.3540916857527265E-2</v>
      </c>
      <c r="BL47" s="17" t="str">
        <f>IF(Audit[[#This Row],[K-M P Value]]&gt;1-'General Info'!$B$12,"Continue", "Stop")</f>
        <v>Continue</v>
      </c>
      <c r="BM47" s="22" t="b">
        <f>IF(Audit[[#This Row],[Status - Continue or stop audit]] = "Continue", TRUE, IF(BL46 = "Continue", TRUE, FALSE))</f>
        <v>1</v>
      </c>
      <c r="BN47" s="22"/>
    </row>
    <row r="48" spans="1:66" ht="15" hidden="1" customHeight="1" x14ac:dyDescent="0.35">
      <c r="A48" s="17" t="str">
        <f>'Sampling Data'!AI48</f>
        <v/>
      </c>
      <c r="B48" s="17" t="str">
        <f>'Sampling Data'!A48</f>
        <v>0507 CIN 5-G   (AV)</v>
      </c>
      <c r="C48" s="17">
        <f>'Sampling Data'!B48</f>
        <v>373</v>
      </c>
      <c r="D48" s="17">
        <f>'Sampling Data'!C48</f>
        <v>236</v>
      </c>
      <c r="E48" s="18">
        <f>'Sampling Data'!D48</f>
        <v>0</v>
      </c>
      <c r="F48" s="18">
        <f>'Sampling Data'!E48</f>
        <v>0</v>
      </c>
      <c r="G48" s="18">
        <f>'Sampling Data'!F48</f>
        <v>0</v>
      </c>
      <c r="H48" s="18">
        <f>'Sampling Data'!G48</f>
        <v>0</v>
      </c>
      <c r="I48" s="18">
        <f>'Sampling Data'!H48</f>
        <v>0</v>
      </c>
      <c r="J48" s="18">
        <f>'Sampling Data'!I48</f>
        <v>0</v>
      </c>
      <c r="K48" s="18">
        <f>'Sampling Data'!J48</f>
        <v>0</v>
      </c>
      <c r="L48" s="18">
        <f>'Sampling Data'!K48</f>
        <v>0</v>
      </c>
      <c r="M48" s="18">
        <f>'Sampling Data'!L48</f>
        <v>0</v>
      </c>
      <c r="N48" s="18">
        <f>'Sampling Data'!M48</f>
        <v>0</v>
      </c>
      <c r="O48" s="17">
        <f>'Sampling Data'!N48</f>
        <v>1</v>
      </c>
      <c r="P48" s="17">
        <f>'Sampling Data'!O48</f>
        <v>44</v>
      </c>
      <c r="Q48" s="17">
        <f>'Sampling Data'!P48</f>
        <v>654</v>
      </c>
      <c r="R48" s="17">
        <f>'Sampling Data'!AJ48</f>
        <v>0</v>
      </c>
      <c r="S48" s="111"/>
      <c r="T48" s="111"/>
      <c r="U48" s="112"/>
      <c r="V48" s="112"/>
      <c r="W48" s="111"/>
      <c r="X48" s="111"/>
      <c r="Y48" s="111"/>
      <c r="Z48" s="111"/>
      <c r="AA48" s="14"/>
      <c r="AB48" s="14"/>
      <c r="AC48" s="14"/>
      <c r="AD48" s="14"/>
      <c r="AE48" s="113" t="str">
        <f>IF(NOT(ISBLANK(Audit[[#This Row],[Audit Winning Candidate]])), Audit[[#This Row],[Audit Winning Candidate]]-Audit[[#This Row],[Winning Candidate]], "")</f>
        <v/>
      </c>
      <c r="AF48" s="17" t="str">
        <f>IF(NOT(ISBLANK(Audit[[#This Row],[Audit Losing Candidate]])), Audit[[#This Row],[Audit Losing Candidate]]-Audit[[#This Row],[Losing Candidate]], "")</f>
        <v/>
      </c>
      <c r="AG48" s="17" t="str">
        <f>IF(NOT(ISBLANK(Audit[[#This Row],[Audit Candidate 3]])), Audit[[#This Row],[Audit Candidate 3]]-Audit[[#This Row],[Candidate 3]], "")</f>
        <v/>
      </c>
      <c r="AH48" s="17" t="str">
        <f>IF(NOT(ISBLANK(Audit[[#This Row],[Audit Candidate 4]])),Audit[[#This Row],[Audit Candidate 4]]-Audit[[#This Row],[Candidate 4]], "")</f>
        <v/>
      </c>
      <c r="AI48" s="17" t="str">
        <f>IF(NOT(ISBLANK(Audit[[#This Row],[Audit Candidate 5]])), Audit[[#This Row],[Audit Candidate 5]]-Audit[[#This Row],[Candidate 5]], "")</f>
        <v/>
      </c>
      <c r="AJ48" s="17" t="str">
        <f>IF(NOT(ISBLANK(Audit[[#This Row],[Audit Candidate 6]])), Audit[[#This Row],[Audit Candidate 6]]-Audit[[#This Row],[Candidate 6]], "")</f>
        <v/>
      </c>
      <c r="AK48" s="17" t="str">
        <f>IF(NOT(ISBLANK(Audit[[#This Row],[Audit Candidate 7]])), Audit[[#This Row],[Audit Candidate 7]]-Audit[[#This Row],[Candidate 7]], "")</f>
        <v/>
      </c>
      <c r="AL48" s="17" t="str">
        <f>IF(NOT(ISBLANK(Audit[[#This Row],[Audit Candidate 8]])), Audit[[#This Row],[Audit Candidate 8]]-Audit[[#This Row],[Candidate 8]], "")</f>
        <v/>
      </c>
      <c r="AM48" s="17" t="str">
        <f>IF(NOT(ISBLANK(Audit[[#This Row],[Audit Candidate 9]])), Audit[[#This Row],[Audit Candidate 9]]-Audit[[#This Row],[Candidate 9]], "")</f>
        <v/>
      </c>
      <c r="AN48" s="17" t="str">
        <f>IF(NOT(ISBLANK(Audit[[#This Row],[Audit Candidate 10]])), Audit[[#This Row],[Audit Candidate 10]]-Audit[[#This Row],[Candidate 10]], "")</f>
        <v/>
      </c>
      <c r="AO48" s="17" t="str">
        <f>IF(NOT(ISBLANK(Audit[[#This Row],[Audit Candidate 11]])), Audit[[#This Row],[Audit Candidate 11]]-Audit[[#This Row],[Candidate 11]], "")</f>
        <v/>
      </c>
      <c r="AP48" s="17" t="str">
        <f>IF(NOT(ISBLANK(Audit[[#This Row],[Audit Candidate 12]])), Audit[[#This Row],[Audit Candidate 12]]-Audit[[#This Row],[Candidate 12]], "")</f>
        <v/>
      </c>
      <c r="AQ48" s="17">
        <f>SUMIF(Audit[[#This Row],[Difference Winner]:[Difference Candidate 12]], "&gt;0")</f>
        <v>0</v>
      </c>
      <c r="AR48" s="17">
        <f>SUM(Audit[[#This Row],[Difference Winner]:[Difference Candidate 12]])</f>
        <v>0</v>
      </c>
      <c r="AS48" s="17">
        <f>IF(Audit[[#This Row],[Times p Drawn - With Replacement]]&gt;0, IF(Audit[[#This Row],[Canceled Differences]]&lt;0, Audit[[#This Row],[Max Differences]]+ABS(Audit[[#This Row],[Canceled Differences]]), Audit[[#This Row],[Max Differences]]), 0)</f>
        <v>0</v>
      </c>
      <c r="AT48" s="17">
        <f>'Sampling Data'!AB48</f>
        <v>3.3568154812425734E-2</v>
      </c>
      <c r="AU48" s="17">
        <f>IF(
      SUM(Audit[[#This Row],[Audit Losing Candidate]:[Audit Candidate 12]])
      &lt;&gt;0,
      (Audit[[#This Row],[Winning Candidate]]-Audit[[#This Row],[Losing Candidate]]-(Audit[[#This Row],[Audit Winning Candidate]]-Audit[[#This Row],[Audit Losing Candidate]]))/(Audit[[#Totals],[Winning Candidate]]-Audit[[#Totals],[Losing Candidate]]),
      0
)</f>
        <v>0</v>
      </c>
      <c r="AV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 s="17">
        <f>IF(Audit[[#This Row],[Max Relative Error (ep)]] = 0, 0, Audit[[#This Row],[Max Relative Error (ep)]]/Audit[[#This Row],[Error Bound (up) - Max. possible relative overstatement]])</f>
        <v>0</v>
      </c>
      <c r="BH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8" s="17">
        <f t="shared" si="1"/>
        <v>1</v>
      </c>
      <c r="BJ48" s="17">
        <f>PRODUCT($BI$5:BI48)</f>
        <v>0.94645908314247273</v>
      </c>
      <c r="BK48" s="19">
        <f>1 - Audit[[#This Row],[K-M P Value]]</f>
        <v>5.3540916857527265E-2</v>
      </c>
      <c r="BL48" s="17" t="str">
        <f>IF(Audit[[#This Row],[K-M P Value]]&gt;1-'General Info'!$B$12,"Continue", "Stop")</f>
        <v>Continue</v>
      </c>
      <c r="BM48" s="22" t="b">
        <f>IF(Audit[[#This Row],[Status - Continue or stop audit]] = "Continue", TRUE, IF(BL47 = "Continue", TRUE, FALSE))</f>
        <v>1</v>
      </c>
      <c r="BN48" s="22"/>
    </row>
    <row r="49" spans="1:66" ht="15" hidden="1" customHeight="1" x14ac:dyDescent="0.35">
      <c r="A49" s="17" t="str">
        <f>'Sampling Data'!AI49</f>
        <v/>
      </c>
      <c r="B49" s="17" t="str">
        <f>'Sampling Data'!A49</f>
        <v>0508 CIN 5-H   (AV)</v>
      </c>
      <c r="C49" s="17">
        <f>'Sampling Data'!B49</f>
        <v>238</v>
      </c>
      <c r="D49" s="17">
        <f>'Sampling Data'!C49</f>
        <v>36</v>
      </c>
      <c r="E49" s="18">
        <f>'Sampling Data'!D49</f>
        <v>0</v>
      </c>
      <c r="F49" s="18">
        <f>'Sampling Data'!E49</f>
        <v>0</v>
      </c>
      <c r="G49" s="18">
        <f>'Sampling Data'!F49</f>
        <v>0</v>
      </c>
      <c r="H49" s="18">
        <f>'Sampling Data'!G49</f>
        <v>0</v>
      </c>
      <c r="I49" s="18">
        <f>'Sampling Data'!H49</f>
        <v>0</v>
      </c>
      <c r="J49" s="18">
        <f>'Sampling Data'!I49</f>
        <v>0</v>
      </c>
      <c r="K49" s="18">
        <f>'Sampling Data'!J49</f>
        <v>0</v>
      </c>
      <c r="L49" s="18">
        <f>'Sampling Data'!K49</f>
        <v>0</v>
      </c>
      <c r="M49" s="18">
        <f>'Sampling Data'!L49</f>
        <v>0</v>
      </c>
      <c r="N49" s="18">
        <f>'Sampling Data'!M49</f>
        <v>0</v>
      </c>
      <c r="O49" s="17">
        <f>'Sampling Data'!N49</f>
        <v>0</v>
      </c>
      <c r="P49" s="17">
        <f>'Sampling Data'!O49</f>
        <v>13</v>
      </c>
      <c r="Q49" s="17">
        <f>'Sampling Data'!P49</f>
        <v>287</v>
      </c>
      <c r="R49" s="17">
        <f>'Sampling Data'!AJ49</f>
        <v>0</v>
      </c>
      <c r="S49" s="111"/>
      <c r="T49" s="111"/>
      <c r="U49" s="112"/>
      <c r="V49" s="112"/>
      <c r="W49" s="111"/>
      <c r="X49" s="111"/>
      <c r="Y49" s="111"/>
      <c r="Z49" s="111"/>
      <c r="AA49" s="14"/>
      <c r="AB49" s="14"/>
      <c r="AC49" s="14"/>
      <c r="AD49" s="14"/>
      <c r="AE49" s="113" t="str">
        <f>IF(NOT(ISBLANK(Audit[[#This Row],[Audit Winning Candidate]])), Audit[[#This Row],[Audit Winning Candidate]]-Audit[[#This Row],[Winning Candidate]], "")</f>
        <v/>
      </c>
      <c r="AF49" s="17" t="str">
        <f>IF(NOT(ISBLANK(Audit[[#This Row],[Audit Losing Candidate]])), Audit[[#This Row],[Audit Losing Candidate]]-Audit[[#This Row],[Losing Candidate]], "")</f>
        <v/>
      </c>
      <c r="AG49" s="17" t="str">
        <f>IF(NOT(ISBLANK(Audit[[#This Row],[Audit Candidate 3]])), Audit[[#This Row],[Audit Candidate 3]]-Audit[[#This Row],[Candidate 3]], "")</f>
        <v/>
      </c>
      <c r="AH49" s="17" t="str">
        <f>IF(NOT(ISBLANK(Audit[[#This Row],[Audit Candidate 4]])),Audit[[#This Row],[Audit Candidate 4]]-Audit[[#This Row],[Candidate 4]], "")</f>
        <v/>
      </c>
      <c r="AI49" s="17" t="str">
        <f>IF(NOT(ISBLANK(Audit[[#This Row],[Audit Candidate 5]])), Audit[[#This Row],[Audit Candidate 5]]-Audit[[#This Row],[Candidate 5]], "")</f>
        <v/>
      </c>
      <c r="AJ49" s="17" t="str">
        <f>IF(NOT(ISBLANK(Audit[[#This Row],[Audit Candidate 6]])), Audit[[#This Row],[Audit Candidate 6]]-Audit[[#This Row],[Candidate 6]], "")</f>
        <v/>
      </c>
      <c r="AK49" s="17" t="str">
        <f>IF(NOT(ISBLANK(Audit[[#This Row],[Audit Candidate 7]])), Audit[[#This Row],[Audit Candidate 7]]-Audit[[#This Row],[Candidate 7]], "")</f>
        <v/>
      </c>
      <c r="AL49" s="17" t="str">
        <f>IF(NOT(ISBLANK(Audit[[#This Row],[Audit Candidate 8]])), Audit[[#This Row],[Audit Candidate 8]]-Audit[[#This Row],[Candidate 8]], "")</f>
        <v/>
      </c>
      <c r="AM49" s="17" t="str">
        <f>IF(NOT(ISBLANK(Audit[[#This Row],[Audit Candidate 9]])), Audit[[#This Row],[Audit Candidate 9]]-Audit[[#This Row],[Candidate 9]], "")</f>
        <v/>
      </c>
      <c r="AN49" s="17" t="str">
        <f>IF(NOT(ISBLANK(Audit[[#This Row],[Audit Candidate 10]])), Audit[[#This Row],[Audit Candidate 10]]-Audit[[#This Row],[Candidate 10]], "")</f>
        <v/>
      </c>
      <c r="AO49" s="17" t="str">
        <f>IF(NOT(ISBLANK(Audit[[#This Row],[Audit Candidate 11]])), Audit[[#This Row],[Audit Candidate 11]]-Audit[[#This Row],[Candidate 11]], "")</f>
        <v/>
      </c>
      <c r="AP49" s="17" t="str">
        <f>IF(NOT(ISBLANK(Audit[[#This Row],[Audit Candidate 12]])), Audit[[#This Row],[Audit Candidate 12]]-Audit[[#This Row],[Candidate 12]], "")</f>
        <v/>
      </c>
      <c r="AQ49" s="17">
        <f>SUMIF(Audit[[#This Row],[Difference Winner]:[Difference Candidate 12]], "&gt;0")</f>
        <v>0</v>
      </c>
      <c r="AR49" s="17">
        <f>SUM(Audit[[#This Row],[Difference Winner]:[Difference Candidate 12]])</f>
        <v>0</v>
      </c>
      <c r="AS49" s="17">
        <f>IF(Audit[[#This Row],[Times p Drawn - With Replacement]]&gt;0, IF(Audit[[#This Row],[Canceled Differences]]&lt;0, Audit[[#This Row],[Max Differences]]+ABS(Audit[[#This Row],[Canceled Differences]]), Audit[[#This Row],[Max Differences]]), 0)</f>
        <v>0</v>
      </c>
      <c r="AT49" s="17">
        <f>'Sampling Data'!AB49</f>
        <v>2.0751994567985061E-2</v>
      </c>
      <c r="AU49" s="17">
        <f>IF(
      SUM(Audit[[#This Row],[Audit Losing Candidate]:[Audit Candidate 12]])
      &lt;&gt;0,
      (Audit[[#This Row],[Winning Candidate]]-Audit[[#This Row],[Losing Candidate]]-(Audit[[#This Row],[Audit Winning Candidate]]-Audit[[#This Row],[Audit Losing Candidate]]))/(Audit[[#Totals],[Winning Candidate]]-Audit[[#Totals],[Losing Candidate]]),
      0
)</f>
        <v>0</v>
      </c>
      <c r="AV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 s="17">
        <f>IF(Audit[[#This Row],[Max Relative Error (ep)]] = 0, 0, Audit[[#This Row],[Max Relative Error (ep)]]/Audit[[#This Row],[Error Bound (up) - Max. possible relative overstatement]])</f>
        <v>0</v>
      </c>
      <c r="BH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9" s="17">
        <f t="shared" si="1"/>
        <v>1</v>
      </c>
      <c r="BJ49" s="17">
        <f>PRODUCT($BI$5:BI49)</f>
        <v>0.94645908314247273</v>
      </c>
      <c r="BK49" s="19">
        <f>1 - Audit[[#This Row],[K-M P Value]]</f>
        <v>5.3540916857527265E-2</v>
      </c>
      <c r="BL49" s="17" t="str">
        <f>IF(Audit[[#This Row],[K-M P Value]]&gt;1-'General Info'!$B$12,"Continue", "Stop")</f>
        <v>Continue</v>
      </c>
      <c r="BM49" s="22" t="b">
        <f>IF(Audit[[#This Row],[Status - Continue or stop audit]] = "Continue", TRUE, IF(BL48 = "Continue", TRUE, FALSE))</f>
        <v>1</v>
      </c>
      <c r="BN49" s="22"/>
    </row>
    <row r="50" spans="1:66" ht="15" hidden="1" customHeight="1" x14ac:dyDescent="0.35">
      <c r="A50" s="17" t="str">
        <f>'Sampling Data'!AI50</f>
        <v/>
      </c>
      <c r="B50" s="17" t="str">
        <f>'Sampling Data'!A50</f>
        <v>0509 CIN 5-I   (AV)</v>
      </c>
      <c r="C50" s="17">
        <f>'Sampling Data'!B50</f>
        <v>263</v>
      </c>
      <c r="D50" s="17">
        <f>'Sampling Data'!C50</f>
        <v>258</v>
      </c>
      <c r="E50" s="18">
        <f>'Sampling Data'!D50</f>
        <v>0</v>
      </c>
      <c r="F50" s="18">
        <f>'Sampling Data'!E50</f>
        <v>0</v>
      </c>
      <c r="G50" s="18">
        <f>'Sampling Data'!F50</f>
        <v>0</v>
      </c>
      <c r="H50" s="18">
        <f>'Sampling Data'!G50</f>
        <v>0</v>
      </c>
      <c r="I50" s="18">
        <f>'Sampling Data'!H50</f>
        <v>0</v>
      </c>
      <c r="J50" s="18">
        <f>'Sampling Data'!I50</f>
        <v>0</v>
      </c>
      <c r="K50" s="18">
        <f>'Sampling Data'!J50</f>
        <v>0</v>
      </c>
      <c r="L50" s="18">
        <f>'Sampling Data'!K50</f>
        <v>0</v>
      </c>
      <c r="M50" s="18">
        <f>'Sampling Data'!L50</f>
        <v>0</v>
      </c>
      <c r="N50" s="18">
        <f>'Sampling Data'!M50</f>
        <v>0</v>
      </c>
      <c r="O50" s="17">
        <f>'Sampling Data'!N50</f>
        <v>0</v>
      </c>
      <c r="P50" s="17">
        <f>'Sampling Data'!O50</f>
        <v>29</v>
      </c>
      <c r="Q50" s="17">
        <f>'Sampling Data'!P50</f>
        <v>550</v>
      </c>
      <c r="R50" s="17">
        <f>'Sampling Data'!AJ50</f>
        <v>0</v>
      </c>
      <c r="S50" s="111"/>
      <c r="T50" s="111"/>
      <c r="U50" s="112"/>
      <c r="V50" s="112"/>
      <c r="W50" s="111"/>
      <c r="X50" s="111"/>
      <c r="Y50" s="111"/>
      <c r="Z50" s="111"/>
      <c r="AA50" s="14"/>
      <c r="AB50" s="14"/>
      <c r="AC50" s="14"/>
      <c r="AD50" s="14"/>
      <c r="AE50" s="113" t="str">
        <f>IF(NOT(ISBLANK(Audit[[#This Row],[Audit Winning Candidate]])), Audit[[#This Row],[Audit Winning Candidate]]-Audit[[#This Row],[Winning Candidate]], "")</f>
        <v/>
      </c>
      <c r="AF50" s="17" t="str">
        <f>IF(NOT(ISBLANK(Audit[[#This Row],[Audit Losing Candidate]])), Audit[[#This Row],[Audit Losing Candidate]]-Audit[[#This Row],[Losing Candidate]], "")</f>
        <v/>
      </c>
      <c r="AG50" s="17" t="str">
        <f>IF(NOT(ISBLANK(Audit[[#This Row],[Audit Candidate 3]])), Audit[[#This Row],[Audit Candidate 3]]-Audit[[#This Row],[Candidate 3]], "")</f>
        <v/>
      </c>
      <c r="AH50" s="17" t="str">
        <f>IF(NOT(ISBLANK(Audit[[#This Row],[Audit Candidate 4]])),Audit[[#This Row],[Audit Candidate 4]]-Audit[[#This Row],[Candidate 4]], "")</f>
        <v/>
      </c>
      <c r="AI50" s="17" t="str">
        <f>IF(NOT(ISBLANK(Audit[[#This Row],[Audit Candidate 5]])), Audit[[#This Row],[Audit Candidate 5]]-Audit[[#This Row],[Candidate 5]], "")</f>
        <v/>
      </c>
      <c r="AJ50" s="17" t="str">
        <f>IF(NOT(ISBLANK(Audit[[#This Row],[Audit Candidate 6]])), Audit[[#This Row],[Audit Candidate 6]]-Audit[[#This Row],[Candidate 6]], "")</f>
        <v/>
      </c>
      <c r="AK50" s="17" t="str">
        <f>IF(NOT(ISBLANK(Audit[[#This Row],[Audit Candidate 7]])), Audit[[#This Row],[Audit Candidate 7]]-Audit[[#This Row],[Candidate 7]], "")</f>
        <v/>
      </c>
      <c r="AL50" s="17" t="str">
        <f>IF(NOT(ISBLANK(Audit[[#This Row],[Audit Candidate 8]])), Audit[[#This Row],[Audit Candidate 8]]-Audit[[#This Row],[Candidate 8]], "")</f>
        <v/>
      </c>
      <c r="AM50" s="17" t="str">
        <f>IF(NOT(ISBLANK(Audit[[#This Row],[Audit Candidate 9]])), Audit[[#This Row],[Audit Candidate 9]]-Audit[[#This Row],[Candidate 9]], "")</f>
        <v/>
      </c>
      <c r="AN50" s="17" t="str">
        <f>IF(NOT(ISBLANK(Audit[[#This Row],[Audit Candidate 10]])), Audit[[#This Row],[Audit Candidate 10]]-Audit[[#This Row],[Candidate 10]], "")</f>
        <v/>
      </c>
      <c r="AO50" s="17" t="str">
        <f>IF(NOT(ISBLANK(Audit[[#This Row],[Audit Candidate 11]])), Audit[[#This Row],[Audit Candidate 11]]-Audit[[#This Row],[Candidate 11]], "")</f>
        <v/>
      </c>
      <c r="AP50" s="17" t="str">
        <f>IF(NOT(ISBLANK(Audit[[#This Row],[Audit Candidate 12]])), Audit[[#This Row],[Audit Candidate 12]]-Audit[[#This Row],[Candidate 12]], "")</f>
        <v/>
      </c>
      <c r="AQ50" s="17">
        <f>SUMIF(Audit[[#This Row],[Difference Winner]:[Difference Candidate 12]], "&gt;0")</f>
        <v>0</v>
      </c>
      <c r="AR50" s="17">
        <f>SUM(Audit[[#This Row],[Difference Winner]:[Difference Candidate 12]])</f>
        <v>0</v>
      </c>
      <c r="AS50" s="17">
        <f>IF(Audit[[#This Row],[Times p Drawn - With Replacement]]&gt;0, IF(Audit[[#This Row],[Canceled Differences]]&lt;0, Audit[[#This Row],[Max Differences]]+ABS(Audit[[#This Row],[Canceled Differences]]), Audit[[#This Row],[Max Differences]]), 0)</f>
        <v>0</v>
      </c>
      <c r="AT50" s="17">
        <f>'Sampling Data'!AB50</f>
        <v>2.3552877270412494E-2</v>
      </c>
      <c r="AU50" s="17">
        <f>IF(
      SUM(Audit[[#This Row],[Audit Losing Candidate]:[Audit Candidate 12]])
      &lt;&gt;0,
      (Audit[[#This Row],[Winning Candidate]]-Audit[[#This Row],[Losing Candidate]]-(Audit[[#This Row],[Audit Winning Candidate]]-Audit[[#This Row],[Audit Losing Candidate]]))/(Audit[[#Totals],[Winning Candidate]]-Audit[[#Totals],[Losing Candidate]]),
      0
)</f>
        <v>0</v>
      </c>
      <c r="AV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 s="17">
        <f>IF(Audit[[#This Row],[Max Relative Error (ep)]] = 0, 0, Audit[[#This Row],[Max Relative Error (ep)]]/Audit[[#This Row],[Error Bound (up) - Max. possible relative overstatement]])</f>
        <v>0</v>
      </c>
      <c r="BH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0" s="17">
        <f t="shared" si="1"/>
        <v>1</v>
      </c>
      <c r="BJ50" s="17">
        <f>PRODUCT($BI$5:BI50)</f>
        <v>0.94645908314247273</v>
      </c>
      <c r="BK50" s="19">
        <f>1 - Audit[[#This Row],[K-M P Value]]</f>
        <v>5.3540916857527265E-2</v>
      </c>
      <c r="BL50" s="17" t="str">
        <f>IF(Audit[[#This Row],[K-M P Value]]&gt;1-'General Info'!$B$12,"Continue", "Stop")</f>
        <v>Continue</v>
      </c>
      <c r="BM50" s="22" t="b">
        <f>IF(Audit[[#This Row],[Status - Continue or stop audit]] = "Continue", TRUE, IF(BL49 = "Continue", TRUE, FALSE))</f>
        <v>1</v>
      </c>
      <c r="BN50" s="22"/>
    </row>
    <row r="51" spans="1:66" ht="15" hidden="1" customHeight="1" x14ac:dyDescent="0.35">
      <c r="A51" s="17" t="str">
        <f>'Sampling Data'!AI51</f>
        <v/>
      </c>
      <c r="B51" s="17" t="str">
        <f>'Sampling Data'!A51</f>
        <v>0601 CIN 6-A   (AV)</v>
      </c>
      <c r="C51" s="17">
        <f>'Sampling Data'!B51</f>
        <v>375</v>
      </c>
      <c r="D51" s="17">
        <f>'Sampling Data'!C51</f>
        <v>119</v>
      </c>
      <c r="E51" s="18">
        <f>'Sampling Data'!D51</f>
        <v>0</v>
      </c>
      <c r="F51" s="18">
        <f>'Sampling Data'!E51</f>
        <v>0</v>
      </c>
      <c r="G51" s="18">
        <f>'Sampling Data'!F51</f>
        <v>0</v>
      </c>
      <c r="H51" s="18">
        <f>'Sampling Data'!G51</f>
        <v>0</v>
      </c>
      <c r="I51" s="18">
        <f>'Sampling Data'!H51</f>
        <v>0</v>
      </c>
      <c r="J51" s="18">
        <f>'Sampling Data'!I51</f>
        <v>0</v>
      </c>
      <c r="K51" s="18">
        <f>'Sampling Data'!J51</f>
        <v>0</v>
      </c>
      <c r="L51" s="18">
        <f>'Sampling Data'!K51</f>
        <v>0</v>
      </c>
      <c r="M51" s="18">
        <f>'Sampling Data'!L51</f>
        <v>0</v>
      </c>
      <c r="N51" s="18">
        <f>'Sampling Data'!M51</f>
        <v>0</v>
      </c>
      <c r="O51" s="17">
        <f>'Sampling Data'!N51</f>
        <v>0</v>
      </c>
      <c r="P51" s="17">
        <f>'Sampling Data'!O51</f>
        <v>25</v>
      </c>
      <c r="Q51" s="17">
        <f>'Sampling Data'!P51</f>
        <v>519</v>
      </c>
      <c r="R51" s="17">
        <f>'Sampling Data'!AJ51</f>
        <v>0</v>
      </c>
      <c r="S51" s="111"/>
      <c r="T51" s="111"/>
      <c r="U51" s="112"/>
      <c r="V51" s="112"/>
      <c r="W51" s="111"/>
      <c r="X51" s="111"/>
      <c r="Y51" s="111"/>
      <c r="Z51" s="111"/>
      <c r="AA51" s="14"/>
      <c r="AB51" s="14"/>
      <c r="AC51" s="14"/>
      <c r="AD51" s="14"/>
      <c r="AE51" s="113" t="str">
        <f>IF(NOT(ISBLANK(Audit[[#This Row],[Audit Winning Candidate]])), Audit[[#This Row],[Audit Winning Candidate]]-Audit[[#This Row],[Winning Candidate]], "")</f>
        <v/>
      </c>
      <c r="AF51" s="17" t="str">
        <f>IF(NOT(ISBLANK(Audit[[#This Row],[Audit Losing Candidate]])), Audit[[#This Row],[Audit Losing Candidate]]-Audit[[#This Row],[Losing Candidate]], "")</f>
        <v/>
      </c>
      <c r="AG51" s="17" t="str">
        <f>IF(NOT(ISBLANK(Audit[[#This Row],[Audit Candidate 3]])), Audit[[#This Row],[Audit Candidate 3]]-Audit[[#This Row],[Candidate 3]], "")</f>
        <v/>
      </c>
      <c r="AH51" s="17" t="str">
        <f>IF(NOT(ISBLANK(Audit[[#This Row],[Audit Candidate 4]])),Audit[[#This Row],[Audit Candidate 4]]-Audit[[#This Row],[Candidate 4]], "")</f>
        <v/>
      </c>
      <c r="AI51" s="17" t="str">
        <f>IF(NOT(ISBLANK(Audit[[#This Row],[Audit Candidate 5]])), Audit[[#This Row],[Audit Candidate 5]]-Audit[[#This Row],[Candidate 5]], "")</f>
        <v/>
      </c>
      <c r="AJ51" s="17" t="str">
        <f>IF(NOT(ISBLANK(Audit[[#This Row],[Audit Candidate 6]])), Audit[[#This Row],[Audit Candidate 6]]-Audit[[#This Row],[Candidate 6]], "")</f>
        <v/>
      </c>
      <c r="AK51" s="17" t="str">
        <f>IF(NOT(ISBLANK(Audit[[#This Row],[Audit Candidate 7]])), Audit[[#This Row],[Audit Candidate 7]]-Audit[[#This Row],[Candidate 7]], "")</f>
        <v/>
      </c>
      <c r="AL51" s="17" t="str">
        <f>IF(NOT(ISBLANK(Audit[[#This Row],[Audit Candidate 8]])), Audit[[#This Row],[Audit Candidate 8]]-Audit[[#This Row],[Candidate 8]], "")</f>
        <v/>
      </c>
      <c r="AM51" s="17" t="str">
        <f>IF(NOT(ISBLANK(Audit[[#This Row],[Audit Candidate 9]])), Audit[[#This Row],[Audit Candidate 9]]-Audit[[#This Row],[Candidate 9]], "")</f>
        <v/>
      </c>
      <c r="AN51" s="17" t="str">
        <f>IF(NOT(ISBLANK(Audit[[#This Row],[Audit Candidate 10]])), Audit[[#This Row],[Audit Candidate 10]]-Audit[[#This Row],[Candidate 10]], "")</f>
        <v/>
      </c>
      <c r="AO51" s="17" t="str">
        <f>IF(NOT(ISBLANK(Audit[[#This Row],[Audit Candidate 11]])), Audit[[#This Row],[Audit Candidate 11]]-Audit[[#This Row],[Candidate 11]], "")</f>
        <v/>
      </c>
      <c r="AP51" s="17" t="str">
        <f>IF(NOT(ISBLANK(Audit[[#This Row],[Audit Candidate 12]])), Audit[[#This Row],[Audit Candidate 12]]-Audit[[#This Row],[Candidate 12]], "")</f>
        <v/>
      </c>
      <c r="AQ51" s="17">
        <f>SUMIF(Audit[[#This Row],[Difference Winner]:[Difference Candidate 12]], "&gt;0")</f>
        <v>0</v>
      </c>
      <c r="AR51" s="17">
        <f>SUM(Audit[[#This Row],[Difference Winner]:[Difference Candidate 12]])</f>
        <v>0</v>
      </c>
      <c r="AS51" s="17">
        <f>IF(Audit[[#This Row],[Times p Drawn - With Replacement]]&gt;0, IF(Audit[[#This Row],[Canceled Differences]]&lt;0, Audit[[#This Row],[Max Differences]]+ABS(Audit[[#This Row],[Canceled Differences]]), Audit[[#This Row],[Max Differences]]), 0)</f>
        <v>0</v>
      </c>
      <c r="AT51" s="17">
        <f>'Sampling Data'!AB51</f>
        <v>3.2889152945170599E-2</v>
      </c>
      <c r="AU51" s="17">
        <f>IF(
      SUM(Audit[[#This Row],[Audit Losing Candidate]:[Audit Candidate 12]])
      &lt;&gt;0,
      (Audit[[#This Row],[Winning Candidate]]-Audit[[#This Row],[Losing Candidate]]-(Audit[[#This Row],[Audit Winning Candidate]]-Audit[[#This Row],[Audit Losing Candidate]]))/(Audit[[#Totals],[Winning Candidate]]-Audit[[#Totals],[Losing Candidate]]),
      0
)</f>
        <v>0</v>
      </c>
      <c r="AV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 s="17">
        <f>IF(Audit[[#This Row],[Max Relative Error (ep)]] = 0, 0, Audit[[#This Row],[Max Relative Error (ep)]]/Audit[[#This Row],[Error Bound (up) - Max. possible relative overstatement]])</f>
        <v>0</v>
      </c>
      <c r="BH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1" s="17">
        <f t="shared" si="1"/>
        <v>1</v>
      </c>
      <c r="BJ51" s="17">
        <f>PRODUCT($BI$5:BI51)</f>
        <v>0.94645908314247273</v>
      </c>
      <c r="BK51" s="19">
        <f>1 - Audit[[#This Row],[K-M P Value]]</f>
        <v>5.3540916857527265E-2</v>
      </c>
      <c r="BL51" s="17" t="str">
        <f>IF(Audit[[#This Row],[K-M P Value]]&gt;1-'General Info'!$B$12,"Continue", "Stop")</f>
        <v>Continue</v>
      </c>
      <c r="BM51" s="22" t="b">
        <f>IF(Audit[[#This Row],[Status - Continue or stop audit]] = "Continue", TRUE, IF(BL50 = "Continue", TRUE, FALSE))</f>
        <v>1</v>
      </c>
      <c r="BN51" s="22"/>
    </row>
    <row r="52" spans="1:66" ht="15" hidden="1" customHeight="1" x14ac:dyDescent="0.35">
      <c r="A52" s="17" t="str">
        <f>'Sampling Data'!AI52</f>
        <v/>
      </c>
      <c r="B52" s="17" t="str">
        <f>'Sampling Data'!A52</f>
        <v>0602 CIN 6-B   (AV)</v>
      </c>
      <c r="C52" s="17">
        <f>'Sampling Data'!B52</f>
        <v>226</v>
      </c>
      <c r="D52" s="17">
        <f>'Sampling Data'!C52</f>
        <v>88</v>
      </c>
      <c r="E52" s="18">
        <f>'Sampling Data'!D52</f>
        <v>0</v>
      </c>
      <c r="F52" s="18">
        <f>'Sampling Data'!E52</f>
        <v>0</v>
      </c>
      <c r="G52" s="18">
        <f>'Sampling Data'!F52</f>
        <v>0</v>
      </c>
      <c r="H52" s="18">
        <f>'Sampling Data'!G52</f>
        <v>0</v>
      </c>
      <c r="I52" s="18">
        <f>'Sampling Data'!H52</f>
        <v>0</v>
      </c>
      <c r="J52" s="18">
        <f>'Sampling Data'!I52</f>
        <v>0</v>
      </c>
      <c r="K52" s="18">
        <f>'Sampling Data'!J52</f>
        <v>0</v>
      </c>
      <c r="L52" s="18">
        <f>'Sampling Data'!K52</f>
        <v>0</v>
      </c>
      <c r="M52" s="18">
        <f>'Sampling Data'!L52</f>
        <v>0</v>
      </c>
      <c r="N52" s="18">
        <f>'Sampling Data'!M52</f>
        <v>0</v>
      </c>
      <c r="O52" s="17">
        <f>'Sampling Data'!N52</f>
        <v>0</v>
      </c>
      <c r="P52" s="17">
        <f>'Sampling Data'!O52</f>
        <v>20</v>
      </c>
      <c r="Q52" s="17">
        <f>'Sampling Data'!P52</f>
        <v>334</v>
      </c>
      <c r="R52" s="17">
        <f>'Sampling Data'!AJ52</f>
        <v>0</v>
      </c>
      <c r="S52" s="111"/>
      <c r="T52" s="111"/>
      <c r="U52" s="112"/>
      <c r="V52" s="112"/>
      <c r="W52" s="111"/>
      <c r="X52" s="111"/>
      <c r="Y52" s="111"/>
      <c r="Z52" s="111"/>
      <c r="AA52" s="14"/>
      <c r="AB52" s="14"/>
      <c r="AC52" s="14"/>
      <c r="AD52" s="14"/>
      <c r="AE52" s="113" t="str">
        <f>IF(NOT(ISBLANK(Audit[[#This Row],[Audit Winning Candidate]])), Audit[[#This Row],[Audit Winning Candidate]]-Audit[[#This Row],[Winning Candidate]], "")</f>
        <v/>
      </c>
      <c r="AF52" s="17" t="str">
        <f>IF(NOT(ISBLANK(Audit[[#This Row],[Audit Losing Candidate]])), Audit[[#This Row],[Audit Losing Candidate]]-Audit[[#This Row],[Losing Candidate]], "")</f>
        <v/>
      </c>
      <c r="AG52" s="17" t="str">
        <f>IF(NOT(ISBLANK(Audit[[#This Row],[Audit Candidate 3]])), Audit[[#This Row],[Audit Candidate 3]]-Audit[[#This Row],[Candidate 3]], "")</f>
        <v/>
      </c>
      <c r="AH52" s="17" t="str">
        <f>IF(NOT(ISBLANK(Audit[[#This Row],[Audit Candidate 4]])),Audit[[#This Row],[Audit Candidate 4]]-Audit[[#This Row],[Candidate 4]], "")</f>
        <v/>
      </c>
      <c r="AI52" s="17" t="str">
        <f>IF(NOT(ISBLANK(Audit[[#This Row],[Audit Candidate 5]])), Audit[[#This Row],[Audit Candidate 5]]-Audit[[#This Row],[Candidate 5]], "")</f>
        <v/>
      </c>
      <c r="AJ52" s="17" t="str">
        <f>IF(NOT(ISBLANK(Audit[[#This Row],[Audit Candidate 6]])), Audit[[#This Row],[Audit Candidate 6]]-Audit[[#This Row],[Candidate 6]], "")</f>
        <v/>
      </c>
      <c r="AK52" s="17" t="str">
        <f>IF(NOT(ISBLANK(Audit[[#This Row],[Audit Candidate 7]])), Audit[[#This Row],[Audit Candidate 7]]-Audit[[#This Row],[Candidate 7]], "")</f>
        <v/>
      </c>
      <c r="AL52" s="17" t="str">
        <f>IF(NOT(ISBLANK(Audit[[#This Row],[Audit Candidate 8]])), Audit[[#This Row],[Audit Candidate 8]]-Audit[[#This Row],[Candidate 8]], "")</f>
        <v/>
      </c>
      <c r="AM52" s="17" t="str">
        <f>IF(NOT(ISBLANK(Audit[[#This Row],[Audit Candidate 9]])), Audit[[#This Row],[Audit Candidate 9]]-Audit[[#This Row],[Candidate 9]], "")</f>
        <v/>
      </c>
      <c r="AN52" s="17" t="str">
        <f>IF(NOT(ISBLANK(Audit[[#This Row],[Audit Candidate 10]])), Audit[[#This Row],[Audit Candidate 10]]-Audit[[#This Row],[Candidate 10]], "")</f>
        <v/>
      </c>
      <c r="AO52" s="17" t="str">
        <f>IF(NOT(ISBLANK(Audit[[#This Row],[Audit Candidate 11]])), Audit[[#This Row],[Audit Candidate 11]]-Audit[[#This Row],[Candidate 11]], "")</f>
        <v/>
      </c>
      <c r="AP52" s="17" t="str">
        <f>IF(NOT(ISBLANK(Audit[[#This Row],[Audit Candidate 12]])), Audit[[#This Row],[Audit Candidate 12]]-Audit[[#This Row],[Candidate 12]], "")</f>
        <v/>
      </c>
      <c r="AQ52" s="17">
        <f>SUMIF(Audit[[#This Row],[Difference Winner]:[Difference Candidate 12]], "&gt;0")</f>
        <v>0</v>
      </c>
      <c r="AR52" s="17">
        <f>SUM(Audit[[#This Row],[Difference Winner]:[Difference Candidate 12]])</f>
        <v>0</v>
      </c>
      <c r="AS52" s="17">
        <f>IF(Audit[[#This Row],[Times p Drawn - With Replacement]]&gt;0, IF(Audit[[#This Row],[Canceled Differences]]&lt;0, Audit[[#This Row],[Max Differences]]+ABS(Audit[[#This Row],[Canceled Differences]]), Audit[[#This Row],[Max Differences]]), 0)</f>
        <v>0</v>
      </c>
      <c r="AT52" s="17">
        <f>'Sampling Data'!AB52</f>
        <v>2.0030555084026482E-2</v>
      </c>
      <c r="AU52" s="17">
        <f>IF(
      SUM(Audit[[#This Row],[Audit Losing Candidate]:[Audit Candidate 12]])
      &lt;&gt;0,
      (Audit[[#This Row],[Winning Candidate]]-Audit[[#This Row],[Losing Candidate]]-(Audit[[#This Row],[Audit Winning Candidate]]-Audit[[#This Row],[Audit Losing Candidate]]))/(Audit[[#Totals],[Winning Candidate]]-Audit[[#Totals],[Losing Candidate]]),
      0
)</f>
        <v>0</v>
      </c>
      <c r="AV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 s="17">
        <f>IF(Audit[[#This Row],[Max Relative Error (ep)]] = 0, 0, Audit[[#This Row],[Max Relative Error (ep)]]/Audit[[#This Row],[Error Bound (up) - Max. possible relative overstatement]])</f>
        <v>0</v>
      </c>
      <c r="BH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2" s="17">
        <f t="shared" si="1"/>
        <v>1</v>
      </c>
      <c r="BJ52" s="17">
        <f>PRODUCT($BI$5:BI52)</f>
        <v>0.94645908314247273</v>
      </c>
      <c r="BK52" s="19">
        <f>1 - Audit[[#This Row],[K-M P Value]]</f>
        <v>5.3540916857527265E-2</v>
      </c>
      <c r="BL52" s="17" t="str">
        <f>IF(Audit[[#This Row],[K-M P Value]]&gt;1-'General Info'!$B$12,"Continue", "Stop")</f>
        <v>Continue</v>
      </c>
      <c r="BM52" s="22" t="b">
        <f>IF(Audit[[#This Row],[Status - Continue or stop audit]] = "Continue", TRUE, IF(BL51 = "Continue", TRUE, FALSE))</f>
        <v>1</v>
      </c>
      <c r="BN52" s="22"/>
    </row>
    <row r="53" spans="1:66" ht="15" hidden="1" customHeight="1" x14ac:dyDescent="0.35">
      <c r="A53" s="17" t="str">
        <f>'Sampling Data'!AI53</f>
        <v/>
      </c>
      <c r="B53" s="17" t="str">
        <f>'Sampling Data'!A53</f>
        <v>0603 CIN 6-C   (AV)</v>
      </c>
      <c r="C53" s="17">
        <f>'Sampling Data'!B53</f>
        <v>257</v>
      </c>
      <c r="D53" s="17">
        <f>'Sampling Data'!C53</f>
        <v>39</v>
      </c>
      <c r="E53" s="18">
        <f>'Sampling Data'!D53</f>
        <v>0</v>
      </c>
      <c r="F53" s="18">
        <f>'Sampling Data'!E53</f>
        <v>0</v>
      </c>
      <c r="G53" s="18">
        <f>'Sampling Data'!F53</f>
        <v>0</v>
      </c>
      <c r="H53" s="18">
        <f>'Sampling Data'!G53</f>
        <v>0</v>
      </c>
      <c r="I53" s="18">
        <f>'Sampling Data'!H53</f>
        <v>0</v>
      </c>
      <c r="J53" s="18">
        <f>'Sampling Data'!I53</f>
        <v>0</v>
      </c>
      <c r="K53" s="18">
        <f>'Sampling Data'!J53</f>
        <v>0</v>
      </c>
      <c r="L53" s="18">
        <f>'Sampling Data'!K53</f>
        <v>0</v>
      </c>
      <c r="M53" s="18">
        <f>'Sampling Data'!L53</f>
        <v>0</v>
      </c>
      <c r="N53" s="18">
        <f>'Sampling Data'!M53</f>
        <v>0</v>
      </c>
      <c r="O53" s="17">
        <f>'Sampling Data'!N53</f>
        <v>0</v>
      </c>
      <c r="P53" s="17">
        <f>'Sampling Data'!O53</f>
        <v>14</v>
      </c>
      <c r="Q53" s="17">
        <f>'Sampling Data'!P53</f>
        <v>310</v>
      </c>
      <c r="R53" s="17">
        <f>'Sampling Data'!AJ53</f>
        <v>0</v>
      </c>
      <c r="S53" s="111"/>
      <c r="T53" s="111"/>
      <c r="U53" s="112"/>
      <c r="V53" s="112"/>
      <c r="W53" s="111"/>
      <c r="X53" s="111"/>
      <c r="Y53" s="111"/>
      <c r="Z53" s="111"/>
      <c r="AA53" s="14"/>
      <c r="AB53" s="14"/>
      <c r="AC53" s="14"/>
      <c r="AD53" s="14"/>
      <c r="AE53" s="113" t="str">
        <f>IF(NOT(ISBLANK(Audit[[#This Row],[Audit Winning Candidate]])), Audit[[#This Row],[Audit Winning Candidate]]-Audit[[#This Row],[Winning Candidate]], "")</f>
        <v/>
      </c>
      <c r="AF53" s="17" t="str">
        <f>IF(NOT(ISBLANK(Audit[[#This Row],[Audit Losing Candidate]])), Audit[[#This Row],[Audit Losing Candidate]]-Audit[[#This Row],[Losing Candidate]], "")</f>
        <v/>
      </c>
      <c r="AG53" s="17" t="str">
        <f>IF(NOT(ISBLANK(Audit[[#This Row],[Audit Candidate 3]])), Audit[[#This Row],[Audit Candidate 3]]-Audit[[#This Row],[Candidate 3]], "")</f>
        <v/>
      </c>
      <c r="AH53" s="17" t="str">
        <f>IF(NOT(ISBLANK(Audit[[#This Row],[Audit Candidate 4]])),Audit[[#This Row],[Audit Candidate 4]]-Audit[[#This Row],[Candidate 4]], "")</f>
        <v/>
      </c>
      <c r="AI53" s="17" t="str">
        <f>IF(NOT(ISBLANK(Audit[[#This Row],[Audit Candidate 5]])), Audit[[#This Row],[Audit Candidate 5]]-Audit[[#This Row],[Candidate 5]], "")</f>
        <v/>
      </c>
      <c r="AJ53" s="17" t="str">
        <f>IF(NOT(ISBLANK(Audit[[#This Row],[Audit Candidate 6]])), Audit[[#This Row],[Audit Candidate 6]]-Audit[[#This Row],[Candidate 6]], "")</f>
        <v/>
      </c>
      <c r="AK53" s="17" t="str">
        <f>IF(NOT(ISBLANK(Audit[[#This Row],[Audit Candidate 7]])), Audit[[#This Row],[Audit Candidate 7]]-Audit[[#This Row],[Candidate 7]], "")</f>
        <v/>
      </c>
      <c r="AL53" s="17" t="str">
        <f>IF(NOT(ISBLANK(Audit[[#This Row],[Audit Candidate 8]])), Audit[[#This Row],[Audit Candidate 8]]-Audit[[#This Row],[Candidate 8]], "")</f>
        <v/>
      </c>
      <c r="AM53" s="17" t="str">
        <f>IF(NOT(ISBLANK(Audit[[#This Row],[Audit Candidate 9]])), Audit[[#This Row],[Audit Candidate 9]]-Audit[[#This Row],[Candidate 9]], "")</f>
        <v/>
      </c>
      <c r="AN53" s="17" t="str">
        <f>IF(NOT(ISBLANK(Audit[[#This Row],[Audit Candidate 10]])), Audit[[#This Row],[Audit Candidate 10]]-Audit[[#This Row],[Candidate 10]], "")</f>
        <v/>
      </c>
      <c r="AO53" s="17" t="str">
        <f>IF(NOT(ISBLANK(Audit[[#This Row],[Audit Candidate 11]])), Audit[[#This Row],[Audit Candidate 11]]-Audit[[#This Row],[Candidate 11]], "")</f>
        <v/>
      </c>
      <c r="AP53" s="17" t="str">
        <f>IF(NOT(ISBLANK(Audit[[#This Row],[Audit Candidate 12]])), Audit[[#This Row],[Audit Candidate 12]]-Audit[[#This Row],[Candidate 12]], "")</f>
        <v/>
      </c>
      <c r="AQ53" s="17">
        <f>SUMIF(Audit[[#This Row],[Difference Winner]:[Difference Candidate 12]], "&gt;0")</f>
        <v>0</v>
      </c>
      <c r="AR53" s="17">
        <f>SUM(Audit[[#This Row],[Difference Winner]:[Difference Candidate 12]])</f>
        <v>0</v>
      </c>
      <c r="AS53" s="17">
        <f>IF(Audit[[#This Row],[Times p Drawn - With Replacement]]&gt;0, IF(Audit[[#This Row],[Canceled Differences]]&lt;0, Audit[[#This Row],[Max Differences]]+ABS(Audit[[#This Row],[Canceled Differences]]), Audit[[#This Row],[Max Differences]]), 0)</f>
        <v>0</v>
      </c>
      <c r="AT53" s="17">
        <f>'Sampling Data'!AB53</f>
        <v>2.2407061619419452E-2</v>
      </c>
      <c r="AU53" s="17">
        <f>IF(
      SUM(Audit[[#This Row],[Audit Losing Candidate]:[Audit Candidate 12]])
      &lt;&gt;0,
      (Audit[[#This Row],[Winning Candidate]]-Audit[[#This Row],[Losing Candidate]]-(Audit[[#This Row],[Audit Winning Candidate]]-Audit[[#This Row],[Audit Losing Candidate]]))/(Audit[[#Totals],[Winning Candidate]]-Audit[[#Totals],[Losing Candidate]]),
      0
)</f>
        <v>0</v>
      </c>
      <c r="AV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 s="17">
        <f>IF(Audit[[#This Row],[Max Relative Error (ep)]] = 0, 0, Audit[[#This Row],[Max Relative Error (ep)]]/Audit[[#This Row],[Error Bound (up) - Max. possible relative overstatement]])</f>
        <v>0</v>
      </c>
      <c r="BH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3" s="17">
        <f t="shared" si="1"/>
        <v>1</v>
      </c>
      <c r="BJ53" s="17">
        <f>PRODUCT($BI$5:BI53)</f>
        <v>0.94645908314247273</v>
      </c>
      <c r="BK53" s="19">
        <f>1 - Audit[[#This Row],[K-M P Value]]</f>
        <v>5.3540916857527265E-2</v>
      </c>
      <c r="BL53" s="17" t="str">
        <f>IF(Audit[[#This Row],[K-M P Value]]&gt;1-'General Info'!$B$12,"Continue", "Stop")</f>
        <v>Continue</v>
      </c>
      <c r="BM53" s="22" t="b">
        <f>IF(Audit[[#This Row],[Status - Continue or stop audit]] = "Continue", TRUE, IF(BL52 = "Continue", TRUE, FALSE))</f>
        <v>1</v>
      </c>
      <c r="BN53" s="22"/>
    </row>
    <row r="54" spans="1:66" ht="15" hidden="1" customHeight="1" x14ac:dyDescent="0.35">
      <c r="A54" s="17" t="str">
        <f>'Sampling Data'!AI54</f>
        <v/>
      </c>
      <c r="B54" s="17" t="str">
        <f>'Sampling Data'!A54</f>
        <v>0604 CIN 6-D   (AV)</v>
      </c>
      <c r="C54" s="17">
        <f>'Sampling Data'!B54</f>
        <v>378</v>
      </c>
      <c r="D54" s="17">
        <f>'Sampling Data'!C54</f>
        <v>48</v>
      </c>
      <c r="E54" s="18">
        <f>'Sampling Data'!D54</f>
        <v>0</v>
      </c>
      <c r="F54" s="18">
        <f>'Sampling Data'!E54</f>
        <v>0</v>
      </c>
      <c r="G54" s="18">
        <f>'Sampling Data'!F54</f>
        <v>0</v>
      </c>
      <c r="H54" s="18">
        <f>'Sampling Data'!G54</f>
        <v>0</v>
      </c>
      <c r="I54" s="18">
        <f>'Sampling Data'!H54</f>
        <v>0</v>
      </c>
      <c r="J54" s="18">
        <f>'Sampling Data'!I54</f>
        <v>0</v>
      </c>
      <c r="K54" s="18">
        <f>'Sampling Data'!J54</f>
        <v>0</v>
      </c>
      <c r="L54" s="18">
        <f>'Sampling Data'!K54</f>
        <v>0</v>
      </c>
      <c r="M54" s="18">
        <f>'Sampling Data'!L54</f>
        <v>0</v>
      </c>
      <c r="N54" s="18">
        <f>'Sampling Data'!M54</f>
        <v>0</v>
      </c>
      <c r="O54" s="17">
        <f>'Sampling Data'!N54</f>
        <v>0</v>
      </c>
      <c r="P54" s="17">
        <f>'Sampling Data'!O54</f>
        <v>22</v>
      </c>
      <c r="Q54" s="17">
        <f>'Sampling Data'!P54</f>
        <v>448</v>
      </c>
      <c r="R54" s="17">
        <f>'Sampling Data'!AJ54</f>
        <v>0</v>
      </c>
      <c r="S54" s="111"/>
      <c r="T54" s="111"/>
      <c r="U54" s="112"/>
      <c r="V54" s="112"/>
      <c r="W54" s="111"/>
      <c r="X54" s="111"/>
      <c r="Y54" s="111"/>
      <c r="Z54" s="111"/>
      <c r="AA54" s="14"/>
      <c r="AB54" s="14"/>
      <c r="AC54" s="14"/>
      <c r="AD54" s="14"/>
      <c r="AE54" s="113" t="str">
        <f>IF(NOT(ISBLANK(Audit[[#This Row],[Audit Winning Candidate]])), Audit[[#This Row],[Audit Winning Candidate]]-Audit[[#This Row],[Winning Candidate]], "")</f>
        <v/>
      </c>
      <c r="AF54" s="17" t="str">
        <f>IF(NOT(ISBLANK(Audit[[#This Row],[Audit Losing Candidate]])), Audit[[#This Row],[Audit Losing Candidate]]-Audit[[#This Row],[Losing Candidate]], "")</f>
        <v/>
      </c>
      <c r="AG54" s="17" t="str">
        <f>IF(NOT(ISBLANK(Audit[[#This Row],[Audit Candidate 3]])), Audit[[#This Row],[Audit Candidate 3]]-Audit[[#This Row],[Candidate 3]], "")</f>
        <v/>
      </c>
      <c r="AH54" s="17" t="str">
        <f>IF(NOT(ISBLANK(Audit[[#This Row],[Audit Candidate 4]])),Audit[[#This Row],[Audit Candidate 4]]-Audit[[#This Row],[Candidate 4]], "")</f>
        <v/>
      </c>
      <c r="AI54" s="17" t="str">
        <f>IF(NOT(ISBLANK(Audit[[#This Row],[Audit Candidate 5]])), Audit[[#This Row],[Audit Candidate 5]]-Audit[[#This Row],[Candidate 5]], "")</f>
        <v/>
      </c>
      <c r="AJ54" s="17" t="str">
        <f>IF(NOT(ISBLANK(Audit[[#This Row],[Audit Candidate 6]])), Audit[[#This Row],[Audit Candidate 6]]-Audit[[#This Row],[Candidate 6]], "")</f>
        <v/>
      </c>
      <c r="AK54" s="17" t="str">
        <f>IF(NOT(ISBLANK(Audit[[#This Row],[Audit Candidate 7]])), Audit[[#This Row],[Audit Candidate 7]]-Audit[[#This Row],[Candidate 7]], "")</f>
        <v/>
      </c>
      <c r="AL54" s="17" t="str">
        <f>IF(NOT(ISBLANK(Audit[[#This Row],[Audit Candidate 8]])), Audit[[#This Row],[Audit Candidate 8]]-Audit[[#This Row],[Candidate 8]], "")</f>
        <v/>
      </c>
      <c r="AM54" s="17" t="str">
        <f>IF(NOT(ISBLANK(Audit[[#This Row],[Audit Candidate 9]])), Audit[[#This Row],[Audit Candidate 9]]-Audit[[#This Row],[Candidate 9]], "")</f>
        <v/>
      </c>
      <c r="AN54" s="17" t="str">
        <f>IF(NOT(ISBLANK(Audit[[#This Row],[Audit Candidate 10]])), Audit[[#This Row],[Audit Candidate 10]]-Audit[[#This Row],[Candidate 10]], "")</f>
        <v/>
      </c>
      <c r="AO54" s="17" t="str">
        <f>IF(NOT(ISBLANK(Audit[[#This Row],[Audit Candidate 11]])), Audit[[#This Row],[Audit Candidate 11]]-Audit[[#This Row],[Candidate 11]], "")</f>
        <v/>
      </c>
      <c r="AP54" s="17" t="str">
        <f>IF(NOT(ISBLANK(Audit[[#This Row],[Audit Candidate 12]])), Audit[[#This Row],[Audit Candidate 12]]-Audit[[#This Row],[Candidate 12]], "")</f>
        <v/>
      </c>
      <c r="AQ54" s="17">
        <f>SUMIF(Audit[[#This Row],[Difference Winner]:[Difference Candidate 12]], "&gt;0")</f>
        <v>0</v>
      </c>
      <c r="AR54" s="17">
        <f>SUM(Audit[[#This Row],[Difference Winner]:[Difference Candidate 12]])</f>
        <v>0</v>
      </c>
      <c r="AS54" s="17">
        <f>IF(Audit[[#This Row],[Times p Drawn - With Replacement]]&gt;0, IF(Audit[[#This Row],[Canceled Differences]]&lt;0, Audit[[#This Row],[Max Differences]]+ABS(Audit[[#This Row],[Canceled Differences]]), Audit[[#This Row],[Max Differences]]), 0)</f>
        <v>0</v>
      </c>
      <c r="AT54" s="17">
        <f>'Sampling Data'!AB54</f>
        <v>3.301646579528094E-2</v>
      </c>
      <c r="AU54" s="17">
        <f>IF(
      SUM(Audit[[#This Row],[Audit Losing Candidate]:[Audit Candidate 12]])
      &lt;&gt;0,
      (Audit[[#This Row],[Winning Candidate]]-Audit[[#This Row],[Losing Candidate]]-(Audit[[#This Row],[Audit Winning Candidate]]-Audit[[#This Row],[Audit Losing Candidate]]))/(Audit[[#Totals],[Winning Candidate]]-Audit[[#Totals],[Losing Candidate]]),
      0
)</f>
        <v>0</v>
      </c>
      <c r="AV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 s="17">
        <f>IF(Audit[[#This Row],[Max Relative Error (ep)]] = 0, 0, Audit[[#This Row],[Max Relative Error (ep)]]/Audit[[#This Row],[Error Bound (up) - Max. possible relative overstatement]])</f>
        <v>0</v>
      </c>
      <c r="BH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4" s="17">
        <f t="shared" si="1"/>
        <v>1</v>
      </c>
      <c r="BJ54" s="17">
        <f>PRODUCT($BI$5:BI54)</f>
        <v>0.94645908314247273</v>
      </c>
      <c r="BK54" s="19">
        <f>1 - Audit[[#This Row],[K-M P Value]]</f>
        <v>5.3540916857527265E-2</v>
      </c>
      <c r="BL54" s="17" t="str">
        <f>IF(Audit[[#This Row],[K-M P Value]]&gt;1-'General Info'!$B$12,"Continue", "Stop")</f>
        <v>Continue</v>
      </c>
      <c r="BM54" s="22" t="b">
        <f>IF(Audit[[#This Row],[Status - Continue or stop audit]] = "Continue", TRUE, IF(BL53 = "Continue", TRUE, FALSE))</f>
        <v>1</v>
      </c>
      <c r="BN54" s="22"/>
    </row>
    <row r="55" spans="1:66" ht="15" hidden="1" customHeight="1" x14ac:dyDescent="0.35">
      <c r="A55" s="17" t="str">
        <f>'Sampling Data'!AI55</f>
        <v/>
      </c>
      <c r="B55" s="17" t="str">
        <f>'Sampling Data'!A55</f>
        <v>0605 CIN 6-E   (AV)</v>
      </c>
      <c r="C55" s="17">
        <f>'Sampling Data'!B55</f>
        <v>316</v>
      </c>
      <c r="D55" s="17">
        <f>'Sampling Data'!C55</f>
        <v>102</v>
      </c>
      <c r="E55" s="18">
        <f>'Sampling Data'!D55</f>
        <v>0</v>
      </c>
      <c r="F55" s="18">
        <f>'Sampling Data'!E55</f>
        <v>0</v>
      </c>
      <c r="G55" s="18">
        <f>'Sampling Data'!F55</f>
        <v>0</v>
      </c>
      <c r="H55" s="18">
        <f>'Sampling Data'!G55</f>
        <v>0</v>
      </c>
      <c r="I55" s="18">
        <f>'Sampling Data'!H55</f>
        <v>0</v>
      </c>
      <c r="J55" s="18">
        <f>'Sampling Data'!I55</f>
        <v>0</v>
      </c>
      <c r="K55" s="18">
        <f>'Sampling Data'!J55</f>
        <v>0</v>
      </c>
      <c r="L55" s="18">
        <f>'Sampling Data'!K55</f>
        <v>0</v>
      </c>
      <c r="M55" s="18">
        <f>'Sampling Data'!L55</f>
        <v>0</v>
      </c>
      <c r="N55" s="18">
        <f>'Sampling Data'!M55</f>
        <v>0</v>
      </c>
      <c r="O55" s="17">
        <f>'Sampling Data'!N55</f>
        <v>0</v>
      </c>
      <c r="P55" s="17">
        <f>'Sampling Data'!O55</f>
        <v>26</v>
      </c>
      <c r="Q55" s="17">
        <f>'Sampling Data'!P55</f>
        <v>444</v>
      </c>
      <c r="R55" s="17">
        <f>'Sampling Data'!AJ55</f>
        <v>0</v>
      </c>
      <c r="S55" s="111"/>
      <c r="T55" s="111"/>
      <c r="U55" s="112"/>
      <c r="V55" s="112"/>
      <c r="W55" s="111"/>
      <c r="X55" s="111"/>
      <c r="Y55" s="111"/>
      <c r="Z55" s="111"/>
      <c r="AA55" s="14"/>
      <c r="AB55" s="14"/>
      <c r="AC55" s="14"/>
      <c r="AD55" s="14"/>
      <c r="AE55" s="113" t="str">
        <f>IF(NOT(ISBLANK(Audit[[#This Row],[Audit Winning Candidate]])), Audit[[#This Row],[Audit Winning Candidate]]-Audit[[#This Row],[Winning Candidate]], "")</f>
        <v/>
      </c>
      <c r="AF55" s="17" t="str">
        <f>IF(NOT(ISBLANK(Audit[[#This Row],[Audit Losing Candidate]])), Audit[[#This Row],[Audit Losing Candidate]]-Audit[[#This Row],[Losing Candidate]], "")</f>
        <v/>
      </c>
      <c r="AG55" s="17" t="str">
        <f>IF(NOT(ISBLANK(Audit[[#This Row],[Audit Candidate 3]])), Audit[[#This Row],[Audit Candidate 3]]-Audit[[#This Row],[Candidate 3]], "")</f>
        <v/>
      </c>
      <c r="AH55" s="17" t="str">
        <f>IF(NOT(ISBLANK(Audit[[#This Row],[Audit Candidate 4]])),Audit[[#This Row],[Audit Candidate 4]]-Audit[[#This Row],[Candidate 4]], "")</f>
        <v/>
      </c>
      <c r="AI55" s="17" t="str">
        <f>IF(NOT(ISBLANK(Audit[[#This Row],[Audit Candidate 5]])), Audit[[#This Row],[Audit Candidate 5]]-Audit[[#This Row],[Candidate 5]], "")</f>
        <v/>
      </c>
      <c r="AJ55" s="17" t="str">
        <f>IF(NOT(ISBLANK(Audit[[#This Row],[Audit Candidate 6]])), Audit[[#This Row],[Audit Candidate 6]]-Audit[[#This Row],[Candidate 6]], "")</f>
        <v/>
      </c>
      <c r="AK55" s="17" t="str">
        <f>IF(NOT(ISBLANK(Audit[[#This Row],[Audit Candidate 7]])), Audit[[#This Row],[Audit Candidate 7]]-Audit[[#This Row],[Candidate 7]], "")</f>
        <v/>
      </c>
      <c r="AL55" s="17" t="str">
        <f>IF(NOT(ISBLANK(Audit[[#This Row],[Audit Candidate 8]])), Audit[[#This Row],[Audit Candidate 8]]-Audit[[#This Row],[Candidate 8]], "")</f>
        <v/>
      </c>
      <c r="AM55" s="17" t="str">
        <f>IF(NOT(ISBLANK(Audit[[#This Row],[Audit Candidate 9]])), Audit[[#This Row],[Audit Candidate 9]]-Audit[[#This Row],[Candidate 9]], "")</f>
        <v/>
      </c>
      <c r="AN55" s="17" t="str">
        <f>IF(NOT(ISBLANK(Audit[[#This Row],[Audit Candidate 10]])), Audit[[#This Row],[Audit Candidate 10]]-Audit[[#This Row],[Candidate 10]], "")</f>
        <v/>
      </c>
      <c r="AO55" s="17" t="str">
        <f>IF(NOT(ISBLANK(Audit[[#This Row],[Audit Candidate 11]])), Audit[[#This Row],[Audit Candidate 11]]-Audit[[#This Row],[Candidate 11]], "")</f>
        <v/>
      </c>
      <c r="AP55" s="17" t="str">
        <f>IF(NOT(ISBLANK(Audit[[#This Row],[Audit Candidate 12]])), Audit[[#This Row],[Audit Candidate 12]]-Audit[[#This Row],[Candidate 12]], "")</f>
        <v/>
      </c>
      <c r="AQ55" s="17">
        <f>SUMIF(Audit[[#This Row],[Difference Winner]:[Difference Candidate 12]], "&gt;0")</f>
        <v>0</v>
      </c>
      <c r="AR55" s="17">
        <f>SUM(Audit[[#This Row],[Difference Winner]:[Difference Candidate 12]])</f>
        <v>0</v>
      </c>
      <c r="AS55" s="17">
        <f>IF(Audit[[#This Row],[Times p Drawn - With Replacement]]&gt;0, IF(Audit[[#This Row],[Canceled Differences]]&lt;0, Audit[[#This Row],[Max Differences]]+ABS(Audit[[#This Row],[Canceled Differences]]), Audit[[#This Row],[Max Differences]]), 0)</f>
        <v>0</v>
      </c>
      <c r="AT55" s="17">
        <f>'Sampling Data'!AB55</f>
        <v>2.7923951790867426E-2</v>
      </c>
      <c r="AU55" s="17">
        <f>IF(
      SUM(Audit[[#This Row],[Audit Losing Candidate]:[Audit Candidate 12]])
      &lt;&gt;0,
      (Audit[[#This Row],[Winning Candidate]]-Audit[[#This Row],[Losing Candidate]]-(Audit[[#This Row],[Audit Winning Candidate]]-Audit[[#This Row],[Audit Losing Candidate]]))/(Audit[[#Totals],[Winning Candidate]]-Audit[[#Totals],[Losing Candidate]]),
      0
)</f>
        <v>0</v>
      </c>
      <c r="AV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 s="17">
        <f>IF(Audit[[#This Row],[Max Relative Error (ep)]] = 0, 0, Audit[[#This Row],[Max Relative Error (ep)]]/Audit[[#This Row],[Error Bound (up) - Max. possible relative overstatement]])</f>
        <v>0</v>
      </c>
      <c r="BH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5" s="17">
        <f t="shared" si="1"/>
        <v>1</v>
      </c>
      <c r="BJ55" s="17">
        <f>PRODUCT($BI$5:BI55)</f>
        <v>0.94645908314247273</v>
      </c>
      <c r="BK55" s="19">
        <f>1 - Audit[[#This Row],[K-M P Value]]</f>
        <v>5.3540916857527265E-2</v>
      </c>
      <c r="BL55" s="17" t="str">
        <f>IF(Audit[[#This Row],[K-M P Value]]&gt;1-'General Info'!$B$12,"Continue", "Stop")</f>
        <v>Continue</v>
      </c>
      <c r="BM55" s="22" t="b">
        <f>IF(Audit[[#This Row],[Status - Continue or stop audit]] = "Continue", TRUE, IF(BL54 = "Continue", TRUE, FALSE))</f>
        <v>1</v>
      </c>
      <c r="BN55" s="22"/>
    </row>
    <row r="56" spans="1:66" ht="15" hidden="1" customHeight="1" x14ac:dyDescent="0.35">
      <c r="A56" s="17" t="str">
        <f>'Sampling Data'!AI56</f>
        <v/>
      </c>
      <c r="B56" s="17" t="str">
        <f>'Sampling Data'!A56</f>
        <v>0701 CIN 7-A   (AV)</v>
      </c>
      <c r="C56" s="17">
        <f>'Sampling Data'!B56</f>
        <v>374</v>
      </c>
      <c r="D56" s="17">
        <f>'Sampling Data'!C56</f>
        <v>42</v>
      </c>
      <c r="E56" s="18">
        <f>'Sampling Data'!D56</f>
        <v>0</v>
      </c>
      <c r="F56" s="18">
        <f>'Sampling Data'!E56</f>
        <v>0</v>
      </c>
      <c r="G56" s="18">
        <f>'Sampling Data'!F56</f>
        <v>0</v>
      </c>
      <c r="H56" s="18">
        <f>'Sampling Data'!G56</f>
        <v>0</v>
      </c>
      <c r="I56" s="18">
        <f>'Sampling Data'!H56</f>
        <v>0</v>
      </c>
      <c r="J56" s="18">
        <f>'Sampling Data'!I56</f>
        <v>0</v>
      </c>
      <c r="K56" s="18">
        <f>'Sampling Data'!J56</f>
        <v>0</v>
      </c>
      <c r="L56" s="18">
        <f>'Sampling Data'!K56</f>
        <v>0</v>
      </c>
      <c r="M56" s="18">
        <f>'Sampling Data'!L56</f>
        <v>0</v>
      </c>
      <c r="N56" s="18">
        <f>'Sampling Data'!M56</f>
        <v>0</v>
      </c>
      <c r="O56" s="17">
        <f>'Sampling Data'!N56</f>
        <v>1</v>
      </c>
      <c r="P56" s="17">
        <f>'Sampling Data'!O56</f>
        <v>25</v>
      </c>
      <c r="Q56" s="17">
        <f>'Sampling Data'!P56</f>
        <v>442</v>
      </c>
      <c r="R56" s="17">
        <f>'Sampling Data'!AJ56</f>
        <v>0</v>
      </c>
      <c r="S56" s="111"/>
      <c r="T56" s="111"/>
      <c r="U56" s="112"/>
      <c r="V56" s="112"/>
      <c r="W56" s="111"/>
      <c r="X56" s="111"/>
      <c r="Y56" s="111"/>
      <c r="Z56" s="111"/>
      <c r="AA56" s="14"/>
      <c r="AB56" s="14"/>
      <c r="AC56" s="14"/>
      <c r="AD56" s="14"/>
      <c r="AE56" s="113" t="str">
        <f>IF(NOT(ISBLANK(Audit[[#This Row],[Audit Winning Candidate]])), Audit[[#This Row],[Audit Winning Candidate]]-Audit[[#This Row],[Winning Candidate]], "")</f>
        <v/>
      </c>
      <c r="AF56" s="17" t="str">
        <f>IF(NOT(ISBLANK(Audit[[#This Row],[Audit Losing Candidate]])), Audit[[#This Row],[Audit Losing Candidate]]-Audit[[#This Row],[Losing Candidate]], "")</f>
        <v/>
      </c>
      <c r="AG56" s="17" t="str">
        <f>IF(NOT(ISBLANK(Audit[[#This Row],[Audit Candidate 3]])), Audit[[#This Row],[Audit Candidate 3]]-Audit[[#This Row],[Candidate 3]], "")</f>
        <v/>
      </c>
      <c r="AH56" s="17" t="str">
        <f>IF(NOT(ISBLANK(Audit[[#This Row],[Audit Candidate 4]])),Audit[[#This Row],[Audit Candidate 4]]-Audit[[#This Row],[Candidate 4]], "")</f>
        <v/>
      </c>
      <c r="AI56" s="17" t="str">
        <f>IF(NOT(ISBLANK(Audit[[#This Row],[Audit Candidate 5]])), Audit[[#This Row],[Audit Candidate 5]]-Audit[[#This Row],[Candidate 5]], "")</f>
        <v/>
      </c>
      <c r="AJ56" s="17" t="str">
        <f>IF(NOT(ISBLANK(Audit[[#This Row],[Audit Candidate 6]])), Audit[[#This Row],[Audit Candidate 6]]-Audit[[#This Row],[Candidate 6]], "")</f>
        <v/>
      </c>
      <c r="AK56" s="17" t="str">
        <f>IF(NOT(ISBLANK(Audit[[#This Row],[Audit Candidate 7]])), Audit[[#This Row],[Audit Candidate 7]]-Audit[[#This Row],[Candidate 7]], "")</f>
        <v/>
      </c>
      <c r="AL56" s="17" t="str">
        <f>IF(NOT(ISBLANK(Audit[[#This Row],[Audit Candidate 8]])), Audit[[#This Row],[Audit Candidate 8]]-Audit[[#This Row],[Candidate 8]], "")</f>
        <v/>
      </c>
      <c r="AM56" s="17" t="str">
        <f>IF(NOT(ISBLANK(Audit[[#This Row],[Audit Candidate 9]])), Audit[[#This Row],[Audit Candidate 9]]-Audit[[#This Row],[Candidate 9]], "")</f>
        <v/>
      </c>
      <c r="AN56" s="17" t="str">
        <f>IF(NOT(ISBLANK(Audit[[#This Row],[Audit Candidate 10]])), Audit[[#This Row],[Audit Candidate 10]]-Audit[[#This Row],[Candidate 10]], "")</f>
        <v/>
      </c>
      <c r="AO56" s="17" t="str">
        <f>IF(NOT(ISBLANK(Audit[[#This Row],[Audit Candidate 11]])), Audit[[#This Row],[Audit Candidate 11]]-Audit[[#This Row],[Candidate 11]], "")</f>
        <v/>
      </c>
      <c r="AP56" s="17" t="str">
        <f>IF(NOT(ISBLANK(Audit[[#This Row],[Audit Candidate 12]])), Audit[[#This Row],[Audit Candidate 12]]-Audit[[#This Row],[Candidate 12]], "")</f>
        <v/>
      </c>
      <c r="AQ56" s="17">
        <f>SUMIF(Audit[[#This Row],[Difference Winner]:[Difference Candidate 12]], "&gt;0")</f>
        <v>0</v>
      </c>
      <c r="AR56" s="17">
        <f>SUM(Audit[[#This Row],[Difference Winner]:[Difference Candidate 12]])</f>
        <v>0</v>
      </c>
      <c r="AS56" s="17">
        <f>IF(Audit[[#This Row],[Times p Drawn - With Replacement]]&gt;0, IF(Audit[[#This Row],[Canceled Differences]]&lt;0, Audit[[#This Row],[Max Differences]]+ABS(Audit[[#This Row],[Canceled Differences]]), Audit[[#This Row],[Max Differences]]), 0)</f>
        <v>0</v>
      </c>
      <c r="AT56" s="17">
        <f>'Sampling Data'!AB56</f>
        <v>3.2846715328467155E-2</v>
      </c>
      <c r="AU56" s="17">
        <f>IF(
      SUM(Audit[[#This Row],[Audit Losing Candidate]:[Audit Candidate 12]])
      &lt;&gt;0,
      (Audit[[#This Row],[Winning Candidate]]-Audit[[#This Row],[Losing Candidate]]-(Audit[[#This Row],[Audit Winning Candidate]]-Audit[[#This Row],[Audit Losing Candidate]]))/(Audit[[#Totals],[Winning Candidate]]-Audit[[#Totals],[Losing Candidate]]),
      0
)</f>
        <v>0</v>
      </c>
      <c r="AV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 s="17">
        <f>IF(Audit[[#This Row],[Max Relative Error (ep)]] = 0, 0, Audit[[#This Row],[Max Relative Error (ep)]]/Audit[[#This Row],[Error Bound (up) - Max. possible relative overstatement]])</f>
        <v>0</v>
      </c>
      <c r="BH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6" s="17">
        <f t="shared" si="1"/>
        <v>1</v>
      </c>
      <c r="BJ56" s="17">
        <f>PRODUCT($BI$5:BI56)</f>
        <v>0.94645908314247273</v>
      </c>
      <c r="BK56" s="19">
        <f>1 - Audit[[#This Row],[K-M P Value]]</f>
        <v>5.3540916857527265E-2</v>
      </c>
      <c r="BL56" s="17" t="str">
        <f>IF(Audit[[#This Row],[K-M P Value]]&gt;1-'General Info'!$B$12,"Continue", "Stop")</f>
        <v>Continue</v>
      </c>
      <c r="BM56" s="22" t="b">
        <f>IF(Audit[[#This Row],[Status - Continue or stop audit]] = "Continue", TRUE, IF(BL55 = "Continue", TRUE, FALSE))</f>
        <v>1</v>
      </c>
      <c r="BN56" s="22"/>
    </row>
    <row r="57" spans="1:66" ht="15" hidden="1" customHeight="1" x14ac:dyDescent="0.35">
      <c r="A57" s="17" t="str">
        <f>'Sampling Data'!AI57</f>
        <v/>
      </c>
      <c r="B57" s="17" t="str">
        <f>'Sampling Data'!A57</f>
        <v>0702 CIN 7-B   (AV)</v>
      </c>
      <c r="C57" s="17">
        <f>'Sampling Data'!B57</f>
        <v>162</v>
      </c>
      <c r="D57" s="17">
        <f>'Sampling Data'!C57</f>
        <v>14</v>
      </c>
      <c r="E57" s="18">
        <f>'Sampling Data'!D57</f>
        <v>0</v>
      </c>
      <c r="F57" s="18">
        <f>'Sampling Data'!E57</f>
        <v>0</v>
      </c>
      <c r="G57" s="18">
        <f>'Sampling Data'!F57</f>
        <v>0</v>
      </c>
      <c r="H57" s="18">
        <f>'Sampling Data'!G57</f>
        <v>0</v>
      </c>
      <c r="I57" s="18">
        <f>'Sampling Data'!H57</f>
        <v>0</v>
      </c>
      <c r="J57" s="18">
        <f>'Sampling Data'!I57</f>
        <v>0</v>
      </c>
      <c r="K57" s="18">
        <f>'Sampling Data'!J57</f>
        <v>0</v>
      </c>
      <c r="L57" s="18">
        <f>'Sampling Data'!K57</f>
        <v>0</v>
      </c>
      <c r="M57" s="18">
        <f>'Sampling Data'!L57</f>
        <v>0</v>
      </c>
      <c r="N57" s="18">
        <f>'Sampling Data'!M57</f>
        <v>0</v>
      </c>
      <c r="O57" s="17">
        <f>'Sampling Data'!N57</f>
        <v>0</v>
      </c>
      <c r="P57" s="17">
        <f>'Sampling Data'!O57</f>
        <v>13</v>
      </c>
      <c r="Q57" s="17">
        <f>'Sampling Data'!P57</f>
        <v>189</v>
      </c>
      <c r="R57" s="17">
        <f>'Sampling Data'!AJ57</f>
        <v>0</v>
      </c>
      <c r="S57" s="111"/>
      <c r="T57" s="111"/>
      <c r="U57" s="112"/>
      <c r="V57" s="112"/>
      <c r="W57" s="111"/>
      <c r="X57" s="111"/>
      <c r="Y57" s="111"/>
      <c r="Z57" s="111"/>
      <c r="AA57" s="14"/>
      <c r="AB57" s="14"/>
      <c r="AC57" s="14"/>
      <c r="AD57" s="14"/>
      <c r="AE57" s="113" t="str">
        <f>IF(NOT(ISBLANK(Audit[[#This Row],[Audit Winning Candidate]])), Audit[[#This Row],[Audit Winning Candidate]]-Audit[[#This Row],[Winning Candidate]], "")</f>
        <v/>
      </c>
      <c r="AF57" s="17" t="str">
        <f>IF(NOT(ISBLANK(Audit[[#This Row],[Audit Losing Candidate]])), Audit[[#This Row],[Audit Losing Candidate]]-Audit[[#This Row],[Losing Candidate]], "")</f>
        <v/>
      </c>
      <c r="AG57" s="17" t="str">
        <f>IF(NOT(ISBLANK(Audit[[#This Row],[Audit Candidate 3]])), Audit[[#This Row],[Audit Candidate 3]]-Audit[[#This Row],[Candidate 3]], "")</f>
        <v/>
      </c>
      <c r="AH57" s="17" t="str">
        <f>IF(NOT(ISBLANK(Audit[[#This Row],[Audit Candidate 4]])),Audit[[#This Row],[Audit Candidate 4]]-Audit[[#This Row],[Candidate 4]], "")</f>
        <v/>
      </c>
      <c r="AI57" s="17" t="str">
        <f>IF(NOT(ISBLANK(Audit[[#This Row],[Audit Candidate 5]])), Audit[[#This Row],[Audit Candidate 5]]-Audit[[#This Row],[Candidate 5]], "")</f>
        <v/>
      </c>
      <c r="AJ57" s="17" t="str">
        <f>IF(NOT(ISBLANK(Audit[[#This Row],[Audit Candidate 6]])), Audit[[#This Row],[Audit Candidate 6]]-Audit[[#This Row],[Candidate 6]], "")</f>
        <v/>
      </c>
      <c r="AK57" s="17" t="str">
        <f>IF(NOT(ISBLANK(Audit[[#This Row],[Audit Candidate 7]])), Audit[[#This Row],[Audit Candidate 7]]-Audit[[#This Row],[Candidate 7]], "")</f>
        <v/>
      </c>
      <c r="AL57" s="17" t="str">
        <f>IF(NOT(ISBLANK(Audit[[#This Row],[Audit Candidate 8]])), Audit[[#This Row],[Audit Candidate 8]]-Audit[[#This Row],[Candidate 8]], "")</f>
        <v/>
      </c>
      <c r="AM57" s="17" t="str">
        <f>IF(NOT(ISBLANK(Audit[[#This Row],[Audit Candidate 9]])), Audit[[#This Row],[Audit Candidate 9]]-Audit[[#This Row],[Candidate 9]], "")</f>
        <v/>
      </c>
      <c r="AN57" s="17" t="str">
        <f>IF(NOT(ISBLANK(Audit[[#This Row],[Audit Candidate 10]])), Audit[[#This Row],[Audit Candidate 10]]-Audit[[#This Row],[Candidate 10]], "")</f>
        <v/>
      </c>
      <c r="AO57" s="17" t="str">
        <f>IF(NOT(ISBLANK(Audit[[#This Row],[Audit Candidate 11]])), Audit[[#This Row],[Audit Candidate 11]]-Audit[[#This Row],[Candidate 11]], "")</f>
        <v/>
      </c>
      <c r="AP57" s="17" t="str">
        <f>IF(NOT(ISBLANK(Audit[[#This Row],[Audit Candidate 12]])), Audit[[#This Row],[Audit Candidate 12]]-Audit[[#This Row],[Candidate 12]], "")</f>
        <v/>
      </c>
      <c r="AQ57" s="17">
        <f>SUMIF(Audit[[#This Row],[Difference Winner]:[Difference Candidate 12]], "&gt;0")</f>
        <v>0</v>
      </c>
      <c r="AR57" s="17">
        <f>SUM(Audit[[#This Row],[Difference Winner]:[Difference Candidate 12]])</f>
        <v>0</v>
      </c>
      <c r="AS57" s="17">
        <f>IF(Audit[[#This Row],[Times p Drawn - With Replacement]]&gt;0, IF(Audit[[#This Row],[Canceled Differences]]&lt;0, Audit[[#This Row],[Max Differences]]+ABS(Audit[[#This Row],[Canceled Differences]]), Audit[[#This Row],[Max Differences]]), 0)</f>
        <v>0</v>
      </c>
      <c r="AT57" s="17">
        <f>'Sampling Data'!AB57</f>
        <v>1.430147682906128E-2</v>
      </c>
      <c r="AU57" s="17">
        <f>IF(
      SUM(Audit[[#This Row],[Audit Losing Candidate]:[Audit Candidate 12]])
      &lt;&gt;0,
      (Audit[[#This Row],[Winning Candidate]]-Audit[[#This Row],[Losing Candidate]]-(Audit[[#This Row],[Audit Winning Candidate]]-Audit[[#This Row],[Audit Losing Candidate]]))/(Audit[[#Totals],[Winning Candidate]]-Audit[[#Totals],[Losing Candidate]]),
      0
)</f>
        <v>0</v>
      </c>
      <c r="AV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 s="17">
        <f>IF(Audit[[#This Row],[Max Relative Error (ep)]] = 0, 0, Audit[[#This Row],[Max Relative Error (ep)]]/Audit[[#This Row],[Error Bound (up) - Max. possible relative overstatement]])</f>
        <v>0</v>
      </c>
      <c r="BH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7" s="17">
        <f t="shared" si="1"/>
        <v>1</v>
      </c>
      <c r="BJ57" s="17">
        <f>PRODUCT($BI$5:BI57)</f>
        <v>0.94645908314247273</v>
      </c>
      <c r="BK57" s="19">
        <f>1 - Audit[[#This Row],[K-M P Value]]</f>
        <v>5.3540916857527265E-2</v>
      </c>
      <c r="BL57" s="17" t="str">
        <f>IF(Audit[[#This Row],[K-M P Value]]&gt;1-'General Info'!$B$12,"Continue", "Stop")</f>
        <v>Continue</v>
      </c>
      <c r="BM57" s="22" t="b">
        <f>IF(Audit[[#This Row],[Status - Continue or stop audit]] = "Continue", TRUE, IF(BL56 = "Continue", TRUE, FALSE))</f>
        <v>1</v>
      </c>
      <c r="BN57" s="22"/>
    </row>
    <row r="58" spans="1:66" ht="15" hidden="1" customHeight="1" x14ac:dyDescent="0.35">
      <c r="A58" s="17" t="str">
        <f>'Sampling Data'!AI58</f>
        <v/>
      </c>
      <c r="B58" s="17" t="str">
        <f>'Sampling Data'!A58</f>
        <v>0703 CIN 7-C   (AV)</v>
      </c>
      <c r="C58" s="17">
        <f>'Sampling Data'!B58</f>
        <v>404</v>
      </c>
      <c r="D58" s="17">
        <f>'Sampling Data'!C58</f>
        <v>26</v>
      </c>
      <c r="E58" s="18">
        <f>'Sampling Data'!D58</f>
        <v>0</v>
      </c>
      <c r="F58" s="18">
        <f>'Sampling Data'!E58</f>
        <v>0</v>
      </c>
      <c r="G58" s="18">
        <f>'Sampling Data'!F58</f>
        <v>0</v>
      </c>
      <c r="H58" s="18">
        <f>'Sampling Data'!G58</f>
        <v>0</v>
      </c>
      <c r="I58" s="18">
        <f>'Sampling Data'!H58</f>
        <v>0</v>
      </c>
      <c r="J58" s="18">
        <f>'Sampling Data'!I58</f>
        <v>0</v>
      </c>
      <c r="K58" s="18">
        <f>'Sampling Data'!J58</f>
        <v>0</v>
      </c>
      <c r="L58" s="18">
        <f>'Sampling Data'!K58</f>
        <v>0</v>
      </c>
      <c r="M58" s="18">
        <f>'Sampling Data'!L58</f>
        <v>0</v>
      </c>
      <c r="N58" s="18">
        <f>'Sampling Data'!M58</f>
        <v>0</v>
      </c>
      <c r="O58" s="17">
        <f>'Sampling Data'!N58</f>
        <v>0</v>
      </c>
      <c r="P58" s="17">
        <f>'Sampling Data'!O58</f>
        <v>21</v>
      </c>
      <c r="Q58" s="17">
        <f>'Sampling Data'!P58</f>
        <v>451</v>
      </c>
      <c r="R58" s="17">
        <f>'Sampling Data'!AJ58</f>
        <v>0</v>
      </c>
      <c r="S58" s="111"/>
      <c r="T58" s="111"/>
      <c r="U58" s="112"/>
      <c r="V58" s="112"/>
      <c r="W58" s="111"/>
      <c r="X58" s="111"/>
      <c r="Y58" s="111"/>
      <c r="Z58" s="111"/>
      <c r="AA58" s="14"/>
      <c r="AB58" s="14"/>
      <c r="AC58" s="14"/>
      <c r="AD58" s="14"/>
      <c r="AE58" s="113" t="str">
        <f>IF(NOT(ISBLANK(Audit[[#This Row],[Audit Winning Candidate]])), Audit[[#This Row],[Audit Winning Candidate]]-Audit[[#This Row],[Winning Candidate]], "")</f>
        <v/>
      </c>
      <c r="AF58" s="17" t="str">
        <f>IF(NOT(ISBLANK(Audit[[#This Row],[Audit Losing Candidate]])), Audit[[#This Row],[Audit Losing Candidate]]-Audit[[#This Row],[Losing Candidate]], "")</f>
        <v/>
      </c>
      <c r="AG58" s="17" t="str">
        <f>IF(NOT(ISBLANK(Audit[[#This Row],[Audit Candidate 3]])), Audit[[#This Row],[Audit Candidate 3]]-Audit[[#This Row],[Candidate 3]], "")</f>
        <v/>
      </c>
      <c r="AH58" s="17" t="str">
        <f>IF(NOT(ISBLANK(Audit[[#This Row],[Audit Candidate 4]])),Audit[[#This Row],[Audit Candidate 4]]-Audit[[#This Row],[Candidate 4]], "")</f>
        <v/>
      </c>
      <c r="AI58" s="17" t="str">
        <f>IF(NOT(ISBLANK(Audit[[#This Row],[Audit Candidate 5]])), Audit[[#This Row],[Audit Candidate 5]]-Audit[[#This Row],[Candidate 5]], "")</f>
        <v/>
      </c>
      <c r="AJ58" s="17" t="str">
        <f>IF(NOT(ISBLANK(Audit[[#This Row],[Audit Candidate 6]])), Audit[[#This Row],[Audit Candidate 6]]-Audit[[#This Row],[Candidate 6]], "")</f>
        <v/>
      </c>
      <c r="AK58" s="17" t="str">
        <f>IF(NOT(ISBLANK(Audit[[#This Row],[Audit Candidate 7]])), Audit[[#This Row],[Audit Candidate 7]]-Audit[[#This Row],[Candidate 7]], "")</f>
        <v/>
      </c>
      <c r="AL58" s="17" t="str">
        <f>IF(NOT(ISBLANK(Audit[[#This Row],[Audit Candidate 8]])), Audit[[#This Row],[Audit Candidate 8]]-Audit[[#This Row],[Candidate 8]], "")</f>
        <v/>
      </c>
      <c r="AM58" s="17" t="str">
        <f>IF(NOT(ISBLANK(Audit[[#This Row],[Audit Candidate 9]])), Audit[[#This Row],[Audit Candidate 9]]-Audit[[#This Row],[Candidate 9]], "")</f>
        <v/>
      </c>
      <c r="AN58" s="17" t="str">
        <f>IF(NOT(ISBLANK(Audit[[#This Row],[Audit Candidate 10]])), Audit[[#This Row],[Audit Candidate 10]]-Audit[[#This Row],[Candidate 10]], "")</f>
        <v/>
      </c>
      <c r="AO58" s="17" t="str">
        <f>IF(NOT(ISBLANK(Audit[[#This Row],[Audit Candidate 11]])), Audit[[#This Row],[Audit Candidate 11]]-Audit[[#This Row],[Candidate 11]], "")</f>
        <v/>
      </c>
      <c r="AP58" s="17" t="str">
        <f>IF(NOT(ISBLANK(Audit[[#This Row],[Audit Candidate 12]])), Audit[[#This Row],[Audit Candidate 12]]-Audit[[#This Row],[Candidate 12]], "")</f>
        <v/>
      </c>
      <c r="AQ58" s="17">
        <f>SUMIF(Audit[[#This Row],[Difference Winner]:[Difference Candidate 12]], "&gt;0")</f>
        <v>0</v>
      </c>
      <c r="AR58" s="17">
        <f>SUM(Audit[[#This Row],[Difference Winner]:[Difference Candidate 12]])</f>
        <v>0</v>
      </c>
      <c r="AS58" s="17">
        <f>IF(Audit[[#This Row],[Times p Drawn - With Replacement]]&gt;0, IF(Audit[[#This Row],[Canceled Differences]]&lt;0, Audit[[#This Row],[Max Differences]]+ABS(Audit[[#This Row],[Canceled Differences]]), Audit[[#This Row],[Max Differences]]), 0)</f>
        <v>0</v>
      </c>
      <c r="AT58" s="17">
        <f>'Sampling Data'!AB58</f>
        <v>3.5180784247156677E-2</v>
      </c>
      <c r="AU58" s="17">
        <f>IF(
      SUM(Audit[[#This Row],[Audit Losing Candidate]:[Audit Candidate 12]])
      &lt;&gt;0,
      (Audit[[#This Row],[Winning Candidate]]-Audit[[#This Row],[Losing Candidate]]-(Audit[[#This Row],[Audit Winning Candidate]]-Audit[[#This Row],[Audit Losing Candidate]]))/(Audit[[#Totals],[Winning Candidate]]-Audit[[#Totals],[Losing Candidate]]),
      0
)</f>
        <v>0</v>
      </c>
      <c r="AV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 s="17">
        <f>IF(Audit[[#This Row],[Max Relative Error (ep)]] = 0, 0, Audit[[#This Row],[Max Relative Error (ep)]]/Audit[[#This Row],[Error Bound (up) - Max. possible relative overstatement]])</f>
        <v>0</v>
      </c>
      <c r="BH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8" s="17">
        <f t="shared" si="1"/>
        <v>1</v>
      </c>
      <c r="BJ58" s="17">
        <f>PRODUCT($BI$5:BI58)</f>
        <v>0.94645908314247273</v>
      </c>
      <c r="BK58" s="19">
        <f>1 - Audit[[#This Row],[K-M P Value]]</f>
        <v>5.3540916857527265E-2</v>
      </c>
      <c r="BL58" s="17" t="str">
        <f>IF(Audit[[#This Row],[K-M P Value]]&gt;1-'General Info'!$B$12,"Continue", "Stop")</f>
        <v>Continue</v>
      </c>
      <c r="BM58" s="22" t="b">
        <f>IF(Audit[[#This Row],[Status - Continue or stop audit]] = "Continue", TRUE, IF(BL57 = "Continue", TRUE, FALSE))</f>
        <v>1</v>
      </c>
      <c r="BN58" s="22"/>
    </row>
    <row r="59" spans="1:66" ht="15" hidden="1" customHeight="1" x14ac:dyDescent="0.35">
      <c r="A59" s="17" t="str">
        <f>'Sampling Data'!AI59</f>
        <v/>
      </c>
      <c r="B59" s="17" t="str">
        <f>'Sampling Data'!A59</f>
        <v>0704 CIN 7-D   (AV)</v>
      </c>
      <c r="C59" s="17">
        <f>'Sampling Data'!B59</f>
        <v>294</v>
      </c>
      <c r="D59" s="17">
        <f>'Sampling Data'!C59</f>
        <v>25</v>
      </c>
      <c r="E59" s="18">
        <f>'Sampling Data'!D59</f>
        <v>0</v>
      </c>
      <c r="F59" s="18">
        <f>'Sampling Data'!E59</f>
        <v>0</v>
      </c>
      <c r="G59" s="18">
        <f>'Sampling Data'!F59</f>
        <v>0</v>
      </c>
      <c r="H59" s="18">
        <f>'Sampling Data'!G59</f>
        <v>0</v>
      </c>
      <c r="I59" s="18">
        <f>'Sampling Data'!H59</f>
        <v>0</v>
      </c>
      <c r="J59" s="18">
        <f>'Sampling Data'!I59</f>
        <v>0</v>
      </c>
      <c r="K59" s="18">
        <f>'Sampling Data'!J59</f>
        <v>0</v>
      </c>
      <c r="L59" s="18">
        <f>'Sampling Data'!K59</f>
        <v>0</v>
      </c>
      <c r="M59" s="18">
        <f>'Sampling Data'!L59</f>
        <v>0</v>
      </c>
      <c r="N59" s="18">
        <f>'Sampling Data'!M59</f>
        <v>0</v>
      </c>
      <c r="O59" s="17">
        <f>'Sampling Data'!N59</f>
        <v>0</v>
      </c>
      <c r="P59" s="17">
        <f>'Sampling Data'!O59</f>
        <v>24</v>
      </c>
      <c r="Q59" s="17">
        <f>'Sampling Data'!P59</f>
        <v>343</v>
      </c>
      <c r="R59" s="17">
        <f>'Sampling Data'!AJ59</f>
        <v>0</v>
      </c>
      <c r="S59" s="111"/>
      <c r="T59" s="111"/>
      <c r="U59" s="112"/>
      <c r="V59" s="112"/>
      <c r="W59" s="111"/>
      <c r="X59" s="111"/>
      <c r="Y59" s="111"/>
      <c r="Z59" s="111"/>
      <c r="AA59" s="14"/>
      <c r="AB59" s="14"/>
      <c r="AC59" s="14"/>
      <c r="AD59" s="14"/>
      <c r="AE59" s="113" t="str">
        <f>IF(NOT(ISBLANK(Audit[[#This Row],[Audit Winning Candidate]])), Audit[[#This Row],[Audit Winning Candidate]]-Audit[[#This Row],[Winning Candidate]], "")</f>
        <v/>
      </c>
      <c r="AF59" s="17" t="str">
        <f>IF(NOT(ISBLANK(Audit[[#This Row],[Audit Losing Candidate]])), Audit[[#This Row],[Audit Losing Candidate]]-Audit[[#This Row],[Losing Candidate]], "")</f>
        <v/>
      </c>
      <c r="AG59" s="17" t="str">
        <f>IF(NOT(ISBLANK(Audit[[#This Row],[Audit Candidate 3]])), Audit[[#This Row],[Audit Candidate 3]]-Audit[[#This Row],[Candidate 3]], "")</f>
        <v/>
      </c>
      <c r="AH59" s="17" t="str">
        <f>IF(NOT(ISBLANK(Audit[[#This Row],[Audit Candidate 4]])),Audit[[#This Row],[Audit Candidate 4]]-Audit[[#This Row],[Candidate 4]], "")</f>
        <v/>
      </c>
      <c r="AI59" s="17" t="str">
        <f>IF(NOT(ISBLANK(Audit[[#This Row],[Audit Candidate 5]])), Audit[[#This Row],[Audit Candidate 5]]-Audit[[#This Row],[Candidate 5]], "")</f>
        <v/>
      </c>
      <c r="AJ59" s="17" t="str">
        <f>IF(NOT(ISBLANK(Audit[[#This Row],[Audit Candidate 6]])), Audit[[#This Row],[Audit Candidate 6]]-Audit[[#This Row],[Candidate 6]], "")</f>
        <v/>
      </c>
      <c r="AK59" s="17" t="str">
        <f>IF(NOT(ISBLANK(Audit[[#This Row],[Audit Candidate 7]])), Audit[[#This Row],[Audit Candidate 7]]-Audit[[#This Row],[Candidate 7]], "")</f>
        <v/>
      </c>
      <c r="AL59" s="17" t="str">
        <f>IF(NOT(ISBLANK(Audit[[#This Row],[Audit Candidate 8]])), Audit[[#This Row],[Audit Candidate 8]]-Audit[[#This Row],[Candidate 8]], "")</f>
        <v/>
      </c>
      <c r="AM59" s="17" t="str">
        <f>IF(NOT(ISBLANK(Audit[[#This Row],[Audit Candidate 9]])), Audit[[#This Row],[Audit Candidate 9]]-Audit[[#This Row],[Candidate 9]], "")</f>
        <v/>
      </c>
      <c r="AN59" s="17" t="str">
        <f>IF(NOT(ISBLANK(Audit[[#This Row],[Audit Candidate 10]])), Audit[[#This Row],[Audit Candidate 10]]-Audit[[#This Row],[Candidate 10]], "")</f>
        <v/>
      </c>
      <c r="AO59" s="17" t="str">
        <f>IF(NOT(ISBLANK(Audit[[#This Row],[Audit Candidate 11]])), Audit[[#This Row],[Audit Candidate 11]]-Audit[[#This Row],[Candidate 11]], "")</f>
        <v/>
      </c>
      <c r="AP59" s="17" t="str">
        <f>IF(NOT(ISBLANK(Audit[[#This Row],[Audit Candidate 12]])), Audit[[#This Row],[Audit Candidate 12]]-Audit[[#This Row],[Candidate 12]], "")</f>
        <v/>
      </c>
      <c r="AQ59" s="17">
        <f>SUMIF(Audit[[#This Row],[Difference Winner]:[Difference Candidate 12]], "&gt;0")</f>
        <v>0</v>
      </c>
      <c r="AR59" s="17">
        <f>SUM(Audit[[#This Row],[Difference Winner]:[Difference Candidate 12]])</f>
        <v>0</v>
      </c>
      <c r="AS59" s="17">
        <f>IF(Audit[[#This Row],[Times p Drawn - With Replacement]]&gt;0, IF(Audit[[#This Row],[Canceled Differences]]&lt;0, Audit[[#This Row],[Max Differences]]+ABS(Audit[[#This Row],[Canceled Differences]]), Audit[[#This Row],[Max Differences]]), 0)</f>
        <v>0</v>
      </c>
      <c r="AT59" s="17">
        <f>'Sampling Data'!AB59</f>
        <v>2.5971821422508912E-2</v>
      </c>
      <c r="AU59" s="17">
        <f>IF(
      SUM(Audit[[#This Row],[Audit Losing Candidate]:[Audit Candidate 12]])
      &lt;&gt;0,
      (Audit[[#This Row],[Winning Candidate]]-Audit[[#This Row],[Losing Candidate]]-(Audit[[#This Row],[Audit Winning Candidate]]-Audit[[#This Row],[Audit Losing Candidate]]))/(Audit[[#Totals],[Winning Candidate]]-Audit[[#Totals],[Losing Candidate]]),
      0
)</f>
        <v>0</v>
      </c>
      <c r="AV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 s="17">
        <f>IF(Audit[[#This Row],[Max Relative Error (ep)]] = 0, 0, Audit[[#This Row],[Max Relative Error (ep)]]/Audit[[#This Row],[Error Bound (up) - Max. possible relative overstatement]])</f>
        <v>0</v>
      </c>
      <c r="BH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9" s="17">
        <f t="shared" si="1"/>
        <v>1</v>
      </c>
      <c r="BJ59" s="17">
        <f>PRODUCT($BI$5:BI59)</f>
        <v>0.94645908314247273</v>
      </c>
      <c r="BK59" s="19">
        <f>1 - Audit[[#This Row],[K-M P Value]]</f>
        <v>5.3540916857527265E-2</v>
      </c>
      <c r="BL59" s="17" t="str">
        <f>IF(Audit[[#This Row],[K-M P Value]]&gt;1-'General Info'!$B$12,"Continue", "Stop")</f>
        <v>Continue</v>
      </c>
      <c r="BM59" s="22" t="b">
        <f>IF(Audit[[#This Row],[Status - Continue or stop audit]] = "Continue", TRUE, IF(BL58 = "Continue", TRUE, FALSE))</f>
        <v>1</v>
      </c>
      <c r="BN59" s="22"/>
    </row>
    <row r="60" spans="1:66" ht="15" hidden="1" customHeight="1" x14ac:dyDescent="0.35">
      <c r="A60" s="17" t="str">
        <f>'Sampling Data'!AI60</f>
        <v/>
      </c>
      <c r="B60" s="17" t="str">
        <f>'Sampling Data'!A60</f>
        <v>0705 CIN 7-E   (AV)</v>
      </c>
      <c r="C60" s="17">
        <f>'Sampling Data'!B60</f>
        <v>199</v>
      </c>
      <c r="D60" s="17">
        <f>'Sampling Data'!C60</f>
        <v>15</v>
      </c>
      <c r="E60" s="18">
        <f>'Sampling Data'!D60</f>
        <v>0</v>
      </c>
      <c r="F60" s="18">
        <f>'Sampling Data'!E60</f>
        <v>0</v>
      </c>
      <c r="G60" s="18">
        <f>'Sampling Data'!F60</f>
        <v>0</v>
      </c>
      <c r="H60" s="18">
        <f>'Sampling Data'!G60</f>
        <v>0</v>
      </c>
      <c r="I60" s="18">
        <f>'Sampling Data'!H60</f>
        <v>0</v>
      </c>
      <c r="J60" s="18">
        <f>'Sampling Data'!I60</f>
        <v>0</v>
      </c>
      <c r="K60" s="18">
        <f>'Sampling Data'!J60</f>
        <v>0</v>
      </c>
      <c r="L60" s="18">
        <f>'Sampling Data'!K60</f>
        <v>0</v>
      </c>
      <c r="M60" s="18">
        <f>'Sampling Data'!L60</f>
        <v>0</v>
      </c>
      <c r="N60" s="18">
        <f>'Sampling Data'!M60</f>
        <v>0</v>
      </c>
      <c r="O60" s="17">
        <f>'Sampling Data'!N60</f>
        <v>0</v>
      </c>
      <c r="P60" s="17">
        <f>'Sampling Data'!O60</f>
        <v>20</v>
      </c>
      <c r="Q60" s="17">
        <f>'Sampling Data'!P60</f>
        <v>234</v>
      </c>
      <c r="R60" s="17">
        <f>'Sampling Data'!AJ60</f>
        <v>0</v>
      </c>
      <c r="S60" s="111"/>
      <c r="T60" s="111"/>
      <c r="U60" s="112"/>
      <c r="V60" s="112"/>
      <c r="W60" s="111"/>
      <c r="X60" s="111"/>
      <c r="Y60" s="111"/>
      <c r="Z60" s="111"/>
      <c r="AA60" s="14"/>
      <c r="AB60" s="14"/>
      <c r="AC60" s="14"/>
      <c r="AD60" s="14"/>
      <c r="AE60" s="113" t="str">
        <f>IF(NOT(ISBLANK(Audit[[#This Row],[Audit Winning Candidate]])), Audit[[#This Row],[Audit Winning Candidate]]-Audit[[#This Row],[Winning Candidate]], "")</f>
        <v/>
      </c>
      <c r="AF60" s="17" t="str">
        <f>IF(NOT(ISBLANK(Audit[[#This Row],[Audit Losing Candidate]])), Audit[[#This Row],[Audit Losing Candidate]]-Audit[[#This Row],[Losing Candidate]], "")</f>
        <v/>
      </c>
      <c r="AG60" s="17" t="str">
        <f>IF(NOT(ISBLANK(Audit[[#This Row],[Audit Candidate 3]])), Audit[[#This Row],[Audit Candidate 3]]-Audit[[#This Row],[Candidate 3]], "")</f>
        <v/>
      </c>
      <c r="AH60" s="17" t="str">
        <f>IF(NOT(ISBLANK(Audit[[#This Row],[Audit Candidate 4]])),Audit[[#This Row],[Audit Candidate 4]]-Audit[[#This Row],[Candidate 4]], "")</f>
        <v/>
      </c>
      <c r="AI60" s="17" t="str">
        <f>IF(NOT(ISBLANK(Audit[[#This Row],[Audit Candidate 5]])), Audit[[#This Row],[Audit Candidate 5]]-Audit[[#This Row],[Candidate 5]], "")</f>
        <v/>
      </c>
      <c r="AJ60" s="17" t="str">
        <f>IF(NOT(ISBLANK(Audit[[#This Row],[Audit Candidate 6]])), Audit[[#This Row],[Audit Candidate 6]]-Audit[[#This Row],[Candidate 6]], "")</f>
        <v/>
      </c>
      <c r="AK60" s="17" t="str">
        <f>IF(NOT(ISBLANK(Audit[[#This Row],[Audit Candidate 7]])), Audit[[#This Row],[Audit Candidate 7]]-Audit[[#This Row],[Candidate 7]], "")</f>
        <v/>
      </c>
      <c r="AL60" s="17" t="str">
        <f>IF(NOT(ISBLANK(Audit[[#This Row],[Audit Candidate 8]])), Audit[[#This Row],[Audit Candidate 8]]-Audit[[#This Row],[Candidate 8]], "")</f>
        <v/>
      </c>
      <c r="AM60" s="17" t="str">
        <f>IF(NOT(ISBLANK(Audit[[#This Row],[Audit Candidate 9]])), Audit[[#This Row],[Audit Candidate 9]]-Audit[[#This Row],[Candidate 9]], "")</f>
        <v/>
      </c>
      <c r="AN60" s="17" t="str">
        <f>IF(NOT(ISBLANK(Audit[[#This Row],[Audit Candidate 10]])), Audit[[#This Row],[Audit Candidate 10]]-Audit[[#This Row],[Candidate 10]], "")</f>
        <v/>
      </c>
      <c r="AO60" s="17" t="str">
        <f>IF(NOT(ISBLANK(Audit[[#This Row],[Audit Candidate 11]])), Audit[[#This Row],[Audit Candidate 11]]-Audit[[#This Row],[Candidate 11]], "")</f>
        <v/>
      </c>
      <c r="AP60" s="17" t="str">
        <f>IF(NOT(ISBLANK(Audit[[#This Row],[Audit Candidate 12]])), Audit[[#This Row],[Audit Candidate 12]]-Audit[[#This Row],[Candidate 12]], "")</f>
        <v/>
      </c>
      <c r="AQ60" s="17">
        <f>SUMIF(Audit[[#This Row],[Difference Winner]:[Difference Candidate 12]], "&gt;0")</f>
        <v>0</v>
      </c>
      <c r="AR60" s="17">
        <f>SUM(Audit[[#This Row],[Difference Winner]:[Difference Candidate 12]])</f>
        <v>0</v>
      </c>
      <c r="AS60" s="17">
        <f>IF(Audit[[#This Row],[Times p Drawn - With Replacement]]&gt;0, IF(Audit[[#This Row],[Canceled Differences]]&lt;0, Audit[[#This Row],[Max Differences]]+ABS(Audit[[#This Row],[Canceled Differences]]), Audit[[#This Row],[Max Differences]]), 0)</f>
        <v>0</v>
      </c>
      <c r="AT60" s="17">
        <f>'Sampling Data'!AB60</f>
        <v>1.7738923782040401E-2</v>
      </c>
      <c r="AU60" s="17">
        <f>IF(
      SUM(Audit[[#This Row],[Audit Losing Candidate]:[Audit Candidate 12]])
      &lt;&gt;0,
      (Audit[[#This Row],[Winning Candidate]]-Audit[[#This Row],[Losing Candidate]]-(Audit[[#This Row],[Audit Winning Candidate]]-Audit[[#This Row],[Audit Losing Candidate]]))/(Audit[[#Totals],[Winning Candidate]]-Audit[[#Totals],[Losing Candidate]]),
      0
)</f>
        <v>0</v>
      </c>
      <c r="AV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 s="17">
        <f>IF(Audit[[#This Row],[Max Relative Error (ep)]] = 0, 0, Audit[[#This Row],[Max Relative Error (ep)]]/Audit[[#This Row],[Error Bound (up) - Max. possible relative overstatement]])</f>
        <v>0</v>
      </c>
      <c r="BH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0" s="17">
        <f t="shared" si="1"/>
        <v>1</v>
      </c>
      <c r="BJ60" s="17">
        <f>PRODUCT($BI$5:BI60)</f>
        <v>0.94645908314247273</v>
      </c>
      <c r="BK60" s="19">
        <f>1 - Audit[[#This Row],[K-M P Value]]</f>
        <v>5.3540916857527265E-2</v>
      </c>
      <c r="BL60" s="17" t="str">
        <f>IF(Audit[[#This Row],[K-M P Value]]&gt;1-'General Info'!$B$12,"Continue", "Stop")</f>
        <v>Continue</v>
      </c>
      <c r="BM60" s="22" t="b">
        <f>IF(Audit[[#This Row],[Status - Continue or stop audit]] = "Continue", TRUE, IF(BL59 = "Continue", TRUE, FALSE))</f>
        <v>1</v>
      </c>
      <c r="BN60" s="22"/>
    </row>
    <row r="61" spans="1:66" ht="15" hidden="1" customHeight="1" x14ac:dyDescent="0.35">
      <c r="A61" s="17" t="str">
        <f>'Sampling Data'!AI61</f>
        <v/>
      </c>
      <c r="B61" s="17" t="str">
        <f>'Sampling Data'!A61</f>
        <v>0706 CIN 7-F   (AV)</v>
      </c>
      <c r="C61" s="17">
        <f>'Sampling Data'!B61</f>
        <v>244</v>
      </c>
      <c r="D61" s="17">
        <f>'Sampling Data'!C61</f>
        <v>20</v>
      </c>
      <c r="E61" s="18">
        <f>'Sampling Data'!D61</f>
        <v>0</v>
      </c>
      <c r="F61" s="18">
        <f>'Sampling Data'!E61</f>
        <v>0</v>
      </c>
      <c r="G61" s="18">
        <f>'Sampling Data'!F61</f>
        <v>0</v>
      </c>
      <c r="H61" s="18">
        <f>'Sampling Data'!G61</f>
        <v>0</v>
      </c>
      <c r="I61" s="18">
        <f>'Sampling Data'!H61</f>
        <v>0</v>
      </c>
      <c r="J61" s="18">
        <f>'Sampling Data'!I61</f>
        <v>0</v>
      </c>
      <c r="K61" s="18">
        <f>'Sampling Data'!J61</f>
        <v>0</v>
      </c>
      <c r="L61" s="18">
        <f>'Sampling Data'!K61</f>
        <v>0</v>
      </c>
      <c r="M61" s="18">
        <f>'Sampling Data'!L61</f>
        <v>0</v>
      </c>
      <c r="N61" s="18">
        <f>'Sampling Data'!M61</f>
        <v>0</v>
      </c>
      <c r="O61" s="17">
        <f>'Sampling Data'!N61</f>
        <v>0</v>
      </c>
      <c r="P61" s="17">
        <f>'Sampling Data'!O61</f>
        <v>14</v>
      </c>
      <c r="Q61" s="17">
        <f>'Sampling Data'!P61</f>
        <v>278</v>
      </c>
      <c r="R61" s="17">
        <f>'Sampling Data'!AJ61</f>
        <v>0</v>
      </c>
      <c r="S61" s="111"/>
      <c r="T61" s="111"/>
      <c r="U61" s="112"/>
      <c r="V61" s="112"/>
      <c r="W61" s="111"/>
      <c r="X61" s="111"/>
      <c r="Y61" s="111"/>
      <c r="Z61" s="111"/>
      <c r="AA61" s="14"/>
      <c r="AB61" s="14"/>
      <c r="AC61" s="14"/>
      <c r="AD61" s="14"/>
      <c r="AE61" s="113" t="str">
        <f>IF(NOT(ISBLANK(Audit[[#This Row],[Audit Winning Candidate]])), Audit[[#This Row],[Audit Winning Candidate]]-Audit[[#This Row],[Winning Candidate]], "")</f>
        <v/>
      </c>
      <c r="AF61" s="17" t="str">
        <f>IF(NOT(ISBLANK(Audit[[#This Row],[Audit Losing Candidate]])), Audit[[#This Row],[Audit Losing Candidate]]-Audit[[#This Row],[Losing Candidate]], "")</f>
        <v/>
      </c>
      <c r="AG61" s="17" t="str">
        <f>IF(NOT(ISBLANK(Audit[[#This Row],[Audit Candidate 3]])), Audit[[#This Row],[Audit Candidate 3]]-Audit[[#This Row],[Candidate 3]], "")</f>
        <v/>
      </c>
      <c r="AH61" s="17" t="str">
        <f>IF(NOT(ISBLANK(Audit[[#This Row],[Audit Candidate 4]])),Audit[[#This Row],[Audit Candidate 4]]-Audit[[#This Row],[Candidate 4]], "")</f>
        <v/>
      </c>
      <c r="AI61" s="17" t="str">
        <f>IF(NOT(ISBLANK(Audit[[#This Row],[Audit Candidate 5]])), Audit[[#This Row],[Audit Candidate 5]]-Audit[[#This Row],[Candidate 5]], "")</f>
        <v/>
      </c>
      <c r="AJ61" s="17" t="str">
        <f>IF(NOT(ISBLANK(Audit[[#This Row],[Audit Candidate 6]])), Audit[[#This Row],[Audit Candidate 6]]-Audit[[#This Row],[Candidate 6]], "")</f>
        <v/>
      </c>
      <c r="AK61" s="17" t="str">
        <f>IF(NOT(ISBLANK(Audit[[#This Row],[Audit Candidate 7]])), Audit[[#This Row],[Audit Candidate 7]]-Audit[[#This Row],[Candidate 7]], "")</f>
        <v/>
      </c>
      <c r="AL61" s="17" t="str">
        <f>IF(NOT(ISBLANK(Audit[[#This Row],[Audit Candidate 8]])), Audit[[#This Row],[Audit Candidate 8]]-Audit[[#This Row],[Candidate 8]], "")</f>
        <v/>
      </c>
      <c r="AM61" s="17" t="str">
        <f>IF(NOT(ISBLANK(Audit[[#This Row],[Audit Candidate 9]])), Audit[[#This Row],[Audit Candidate 9]]-Audit[[#This Row],[Candidate 9]], "")</f>
        <v/>
      </c>
      <c r="AN61" s="17" t="str">
        <f>IF(NOT(ISBLANK(Audit[[#This Row],[Audit Candidate 10]])), Audit[[#This Row],[Audit Candidate 10]]-Audit[[#This Row],[Candidate 10]], "")</f>
        <v/>
      </c>
      <c r="AO61" s="17" t="str">
        <f>IF(NOT(ISBLANK(Audit[[#This Row],[Audit Candidate 11]])), Audit[[#This Row],[Audit Candidate 11]]-Audit[[#This Row],[Candidate 11]], "")</f>
        <v/>
      </c>
      <c r="AP61" s="17" t="str">
        <f>IF(NOT(ISBLANK(Audit[[#This Row],[Audit Candidate 12]])), Audit[[#This Row],[Audit Candidate 12]]-Audit[[#This Row],[Candidate 12]], "")</f>
        <v/>
      </c>
      <c r="AQ61" s="17">
        <f>SUMIF(Audit[[#This Row],[Difference Winner]:[Difference Candidate 12]], "&gt;0")</f>
        <v>0</v>
      </c>
      <c r="AR61" s="17">
        <f>SUM(Audit[[#This Row],[Difference Winner]:[Difference Candidate 12]])</f>
        <v>0</v>
      </c>
      <c r="AS61" s="17">
        <f>IF(Audit[[#This Row],[Times p Drawn - With Replacement]]&gt;0, IF(Audit[[#This Row],[Canceled Differences]]&lt;0, Audit[[#This Row],[Max Differences]]+ABS(Audit[[#This Row],[Canceled Differences]]), Audit[[#This Row],[Max Differences]]), 0)</f>
        <v>0</v>
      </c>
      <c r="AT61" s="17">
        <f>'Sampling Data'!AB61</f>
        <v>2.1303683585129858E-2</v>
      </c>
      <c r="AU61" s="17">
        <f>IF(
      SUM(Audit[[#This Row],[Audit Losing Candidate]:[Audit Candidate 12]])
      &lt;&gt;0,
      (Audit[[#This Row],[Winning Candidate]]-Audit[[#This Row],[Losing Candidate]]-(Audit[[#This Row],[Audit Winning Candidate]]-Audit[[#This Row],[Audit Losing Candidate]]))/(Audit[[#Totals],[Winning Candidate]]-Audit[[#Totals],[Losing Candidate]]),
      0
)</f>
        <v>0</v>
      </c>
      <c r="AV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 s="17">
        <f>IF(Audit[[#This Row],[Max Relative Error (ep)]] = 0, 0, Audit[[#This Row],[Max Relative Error (ep)]]/Audit[[#This Row],[Error Bound (up) - Max. possible relative overstatement]])</f>
        <v>0</v>
      </c>
      <c r="BH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1" s="17">
        <f t="shared" si="1"/>
        <v>1</v>
      </c>
      <c r="BJ61" s="17">
        <f>PRODUCT($BI$5:BI61)</f>
        <v>0.94645908314247273</v>
      </c>
      <c r="BK61" s="19">
        <f>1 - Audit[[#This Row],[K-M P Value]]</f>
        <v>5.3540916857527265E-2</v>
      </c>
      <c r="BL61" s="17" t="str">
        <f>IF(Audit[[#This Row],[K-M P Value]]&gt;1-'General Info'!$B$12,"Continue", "Stop")</f>
        <v>Continue</v>
      </c>
      <c r="BM61" s="22" t="b">
        <f>IF(Audit[[#This Row],[Status - Continue or stop audit]] = "Continue", TRUE, IF(BL60 = "Continue", TRUE, FALSE))</f>
        <v>1</v>
      </c>
      <c r="BN61" s="22"/>
    </row>
    <row r="62" spans="1:66" ht="15" hidden="1" customHeight="1" x14ac:dyDescent="0.35">
      <c r="A62" s="17" t="str">
        <f>'Sampling Data'!AI62</f>
        <v/>
      </c>
      <c r="B62" s="17" t="str">
        <f>'Sampling Data'!A62</f>
        <v>0707 CIN 7-G   (AV)</v>
      </c>
      <c r="C62" s="17">
        <f>'Sampling Data'!B62</f>
        <v>329</v>
      </c>
      <c r="D62" s="17">
        <f>'Sampling Data'!C62</f>
        <v>35</v>
      </c>
      <c r="E62" s="18">
        <f>'Sampling Data'!D62</f>
        <v>0</v>
      </c>
      <c r="F62" s="18">
        <f>'Sampling Data'!E62</f>
        <v>0</v>
      </c>
      <c r="G62" s="18">
        <f>'Sampling Data'!F62</f>
        <v>0</v>
      </c>
      <c r="H62" s="18">
        <f>'Sampling Data'!G62</f>
        <v>0</v>
      </c>
      <c r="I62" s="18">
        <f>'Sampling Data'!H62</f>
        <v>0</v>
      </c>
      <c r="J62" s="18">
        <f>'Sampling Data'!I62</f>
        <v>0</v>
      </c>
      <c r="K62" s="18">
        <f>'Sampling Data'!J62</f>
        <v>0</v>
      </c>
      <c r="L62" s="18">
        <f>'Sampling Data'!K62</f>
        <v>0</v>
      </c>
      <c r="M62" s="18">
        <f>'Sampling Data'!L62</f>
        <v>0</v>
      </c>
      <c r="N62" s="18">
        <f>'Sampling Data'!M62</f>
        <v>0</v>
      </c>
      <c r="O62" s="17">
        <f>'Sampling Data'!N62</f>
        <v>0</v>
      </c>
      <c r="P62" s="17">
        <f>'Sampling Data'!O62</f>
        <v>15</v>
      </c>
      <c r="Q62" s="17">
        <f>'Sampling Data'!P62</f>
        <v>379</v>
      </c>
      <c r="R62" s="17">
        <f>'Sampling Data'!AJ62</f>
        <v>0</v>
      </c>
      <c r="S62" s="111"/>
      <c r="T62" s="111"/>
      <c r="U62" s="112"/>
      <c r="V62" s="112"/>
      <c r="W62" s="111"/>
      <c r="X62" s="111"/>
      <c r="Y62" s="111"/>
      <c r="Z62" s="111"/>
      <c r="AA62" s="14"/>
      <c r="AB62" s="14"/>
      <c r="AC62" s="14"/>
      <c r="AD62" s="14"/>
      <c r="AE62" s="113" t="str">
        <f>IF(NOT(ISBLANK(Audit[[#This Row],[Audit Winning Candidate]])), Audit[[#This Row],[Audit Winning Candidate]]-Audit[[#This Row],[Winning Candidate]], "")</f>
        <v/>
      </c>
      <c r="AF62" s="17" t="str">
        <f>IF(NOT(ISBLANK(Audit[[#This Row],[Audit Losing Candidate]])), Audit[[#This Row],[Audit Losing Candidate]]-Audit[[#This Row],[Losing Candidate]], "")</f>
        <v/>
      </c>
      <c r="AG62" s="17" t="str">
        <f>IF(NOT(ISBLANK(Audit[[#This Row],[Audit Candidate 3]])), Audit[[#This Row],[Audit Candidate 3]]-Audit[[#This Row],[Candidate 3]], "")</f>
        <v/>
      </c>
      <c r="AH62" s="17" t="str">
        <f>IF(NOT(ISBLANK(Audit[[#This Row],[Audit Candidate 4]])),Audit[[#This Row],[Audit Candidate 4]]-Audit[[#This Row],[Candidate 4]], "")</f>
        <v/>
      </c>
      <c r="AI62" s="17" t="str">
        <f>IF(NOT(ISBLANK(Audit[[#This Row],[Audit Candidate 5]])), Audit[[#This Row],[Audit Candidate 5]]-Audit[[#This Row],[Candidate 5]], "")</f>
        <v/>
      </c>
      <c r="AJ62" s="17" t="str">
        <f>IF(NOT(ISBLANK(Audit[[#This Row],[Audit Candidate 6]])), Audit[[#This Row],[Audit Candidate 6]]-Audit[[#This Row],[Candidate 6]], "")</f>
        <v/>
      </c>
      <c r="AK62" s="17" t="str">
        <f>IF(NOT(ISBLANK(Audit[[#This Row],[Audit Candidate 7]])), Audit[[#This Row],[Audit Candidate 7]]-Audit[[#This Row],[Candidate 7]], "")</f>
        <v/>
      </c>
      <c r="AL62" s="17" t="str">
        <f>IF(NOT(ISBLANK(Audit[[#This Row],[Audit Candidate 8]])), Audit[[#This Row],[Audit Candidate 8]]-Audit[[#This Row],[Candidate 8]], "")</f>
        <v/>
      </c>
      <c r="AM62" s="17" t="str">
        <f>IF(NOT(ISBLANK(Audit[[#This Row],[Audit Candidate 9]])), Audit[[#This Row],[Audit Candidate 9]]-Audit[[#This Row],[Candidate 9]], "")</f>
        <v/>
      </c>
      <c r="AN62" s="17" t="str">
        <f>IF(NOT(ISBLANK(Audit[[#This Row],[Audit Candidate 10]])), Audit[[#This Row],[Audit Candidate 10]]-Audit[[#This Row],[Candidate 10]], "")</f>
        <v/>
      </c>
      <c r="AO62" s="17" t="str">
        <f>IF(NOT(ISBLANK(Audit[[#This Row],[Audit Candidate 11]])), Audit[[#This Row],[Audit Candidate 11]]-Audit[[#This Row],[Candidate 11]], "")</f>
        <v/>
      </c>
      <c r="AP62" s="17" t="str">
        <f>IF(NOT(ISBLANK(Audit[[#This Row],[Audit Candidate 12]])), Audit[[#This Row],[Audit Candidate 12]]-Audit[[#This Row],[Candidate 12]], "")</f>
        <v/>
      </c>
      <c r="AQ62" s="17">
        <f>SUMIF(Audit[[#This Row],[Difference Winner]:[Difference Candidate 12]], "&gt;0")</f>
        <v>0</v>
      </c>
      <c r="AR62" s="17">
        <f>SUM(Audit[[#This Row],[Difference Winner]:[Difference Candidate 12]])</f>
        <v>0</v>
      </c>
      <c r="AS62" s="17">
        <f>IF(Audit[[#This Row],[Times p Drawn - With Replacement]]&gt;0, IF(Audit[[#This Row],[Canceled Differences]]&lt;0, Audit[[#This Row],[Max Differences]]+ABS(Audit[[#This Row],[Canceled Differences]]), Audit[[#This Row],[Max Differences]]), 0)</f>
        <v>0</v>
      </c>
      <c r="AT62" s="17">
        <f>'Sampling Data'!AB62</f>
        <v>2.8560516041419112E-2</v>
      </c>
      <c r="AU62" s="17">
        <f>IF(
      SUM(Audit[[#This Row],[Audit Losing Candidate]:[Audit Candidate 12]])
      &lt;&gt;0,
      (Audit[[#This Row],[Winning Candidate]]-Audit[[#This Row],[Losing Candidate]]-(Audit[[#This Row],[Audit Winning Candidate]]-Audit[[#This Row],[Audit Losing Candidate]]))/(Audit[[#Totals],[Winning Candidate]]-Audit[[#Totals],[Losing Candidate]]),
      0
)</f>
        <v>0</v>
      </c>
      <c r="AV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 s="17">
        <f>IF(Audit[[#This Row],[Max Relative Error (ep)]] = 0, 0, Audit[[#This Row],[Max Relative Error (ep)]]/Audit[[#This Row],[Error Bound (up) - Max. possible relative overstatement]])</f>
        <v>0</v>
      </c>
      <c r="BH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2" s="17">
        <f t="shared" si="1"/>
        <v>1</v>
      </c>
      <c r="BJ62" s="17">
        <f>PRODUCT($BI$5:BI62)</f>
        <v>0.94645908314247273</v>
      </c>
      <c r="BK62" s="19">
        <f>1 - Audit[[#This Row],[K-M P Value]]</f>
        <v>5.3540916857527265E-2</v>
      </c>
      <c r="BL62" s="17" t="str">
        <f>IF(Audit[[#This Row],[K-M P Value]]&gt;1-'General Info'!$B$12,"Continue", "Stop")</f>
        <v>Continue</v>
      </c>
      <c r="BM62" s="22" t="b">
        <f>IF(Audit[[#This Row],[Status - Continue or stop audit]] = "Continue", TRUE, IF(BL61 = "Continue", TRUE, FALSE))</f>
        <v>1</v>
      </c>
      <c r="BN62" s="22"/>
    </row>
    <row r="63" spans="1:66" ht="15" hidden="1" customHeight="1" x14ac:dyDescent="0.35">
      <c r="A63" s="17" t="str">
        <f>'Sampling Data'!AI63</f>
        <v/>
      </c>
      <c r="B63" s="17" t="str">
        <f>'Sampling Data'!A63</f>
        <v>0708 CIN 7-H   (AV)</v>
      </c>
      <c r="C63" s="17">
        <f>'Sampling Data'!B63</f>
        <v>265</v>
      </c>
      <c r="D63" s="17">
        <f>'Sampling Data'!C63</f>
        <v>12</v>
      </c>
      <c r="E63" s="18">
        <f>'Sampling Data'!D63</f>
        <v>0</v>
      </c>
      <c r="F63" s="18">
        <f>'Sampling Data'!E63</f>
        <v>0</v>
      </c>
      <c r="G63" s="18">
        <f>'Sampling Data'!F63</f>
        <v>0</v>
      </c>
      <c r="H63" s="18">
        <f>'Sampling Data'!G63</f>
        <v>0</v>
      </c>
      <c r="I63" s="18">
        <f>'Sampling Data'!H63</f>
        <v>0</v>
      </c>
      <c r="J63" s="18">
        <f>'Sampling Data'!I63</f>
        <v>0</v>
      </c>
      <c r="K63" s="18">
        <f>'Sampling Data'!J63</f>
        <v>0</v>
      </c>
      <c r="L63" s="18">
        <f>'Sampling Data'!K63</f>
        <v>0</v>
      </c>
      <c r="M63" s="18">
        <f>'Sampling Data'!L63</f>
        <v>0</v>
      </c>
      <c r="N63" s="18">
        <f>'Sampling Data'!M63</f>
        <v>0</v>
      </c>
      <c r="O63" s="17">
        <f>'Sampling Data'!N63</f>
        <v>0</v>
      </c>
      <c r="P63" s="17">
        <f>'Sampling Data'!O63</f>
        <v>13</v>
      </c>
      <c r="Q63" s="17">
        <f>'Sampling Data'!P63</f>
        <v>290</v>
      </c>
      <c r="R63" s="17">
        <f>'Sampling Data'!AJ63</f>
        <v>0</v>
      </c>
      <c r="S63" s="111"/>
      <c r="T63" s="111"/>
      <c r="U63" s="112"/>
      <c r="V63" s="112"/>
      <c r="W63" s="111"/>
      <c r="X63" s="111"/>
      <c r="Y63" s="111"/>
      <c r="Z63" s="111"/>
      <c r="AA63" s="14"/>
      <c r="AB63" s="14"/>
      <c r="AC63" s="14"/>
      <c r="AD63" s="14"/>
      <c r="AE63" s="113" t="str">
        <f>IF(NOT(ISBLANK(Audit[[#This Row],[Audit Winning Candidate]])), Audit[[#This Row],[Audit Winning Candidate]]-Audit[[#This Row],[Winning Candidate]], "")</f>
        <v/>
      </c>
      <c r="AF63" s="17" t="str">
        <f>IF(NOT(ISBLANK(Audit[[#This Row],[Audit Losing Candidate]])), Audit[[#This Row],[Audit Losing Candidate]]-Audit[[#This Row],[Losing Candidate]], "")</f>
        <v/>
      </c>
      <c r="AG63" s="17" t="str">
        <f>IF(NOT(ISBLANK(Audit[[#This Row],[Audit Candidate 3]])), Audit[[#This Row],[Audit Candidate 3]]-Audit[[#This Row],[Candidate 3]], "")</f>
        <v/>
      </c>
      <c r="AH63" s="17" t="str">
        <f>IF(NOT(ISBLANK(Audit[[#This Row],[Audit Candidate 4]])),Audit[[#This Row],[Audit Candidate 4]]-Audit[[#This Row],[Candidate 4]], "")</f>
        <v/>
      </c>
      <c r="AI63" s="17" t="str">
        <f>IF(NOT(ISBLANK(Audit[[#This Row],[Audit Candidate 5]])), Audit[[#This Row],[Audit Candidate 5]]-Audit[[#This Row],[Candidate 5]], "")</f>
        <v/>
      </c>
      <c r="AJ63" s="17" t="str">
        <f>IF(NOT(ISBLANK(Audit[[#This Row],[Audit Candidate 6]])), Audit[[#This Row],[Audit Candidate 6]]-Audit[[#This Row],[Candidate 6]], "")</f>
        <v/>
      </c>
      <c r="AK63" s="17" t="str">
        <f>IF(NOT(ISBLANK(Audit[[#This Row],[Audit Candidate 7]])), Audit[[#This Row],[Audit Candidate 7]]-Audit[[#This Row],[Candidate 7]], "")</f>
        <v/>
      </c>
      <c r="AL63" s="17" t="str">
        <f>IF(NOT(ISBLANK(Audit[[#This Row],[Audit Candidate 8]])), Audit[[#This Row],[Audit Candidate 8]]-Audit[[#This Row],[Candidate 8]], "")</f>
        <v/>
      </c>
      <c r="AM63" s="17" t="str">
        <f>IF(NOT(ISBLANK(Audit[[#This Row],[Audit Candidate 9]])), Audit[[#This Row],[Audit Candidate 9]]-Audit[[#This Row],[Candidate 9]], "")</f>
        <v/>
      </c>
      <c r="AN63" s="17" t="str">
        <f>IF(NOT(ISBLANK(Audit[[#This Row],[Audit Candidate 10]])), Audit[[#This Row],[Audit Candidate 10]]-Audit[[#This Row],[Candidate 10]], "")</f>
        <v/>
      </c>
      <c r="AO63" s="17" t="str">
        <f>IF(NOT(ISBLANK(Audit[[#This Row],[Audit Candidate 11]])), Audit[[#This Row],[Audit Candidate 11]]-Audit[[#This Row],[Candidate 11]], "")</f>
        <v/>
      </c>
      <c r="AP63" s="17" t="str">
        <f>IF(NOT(ISBLANK(Audit[[#This Row],[Audit Candidate 12]])), Audit[[#This Row],[Audit Candidate 12]]-Audit[[#This Row],[Candidate 12]], "")</f>
        <v/>
      </c>
      <c r="AQ63" s="17">
        <f>SUMIF(Audit[[#This Row],[Difference Winner]:[Difference Candidate 12]], "&gt;0")</f>
        <v>0</v>
      </c>
      <c r="AR63" s="17">
        <f>SUM(Audit[[#This Row],[Difference Winner]:[Difference Candidate 12]])</f>
        <v>0</v>
      </c>
      <c r="AS63" s="17">
        <f>IF(Audit[[#This Row],[Times p Drawn - With Replacement]]&gt;0, IF(Audit[[#This Row],[Canceled Differences]]&lt;0, Audit[[#This Row],[Max Differences]]+ABS(Audit[[#This Row],[Canceled Differences]]), Audit[[#This Row],[Max Differences]]), 0)</f>
        <v>0</v>
      </c>
      <c r="AT63" s="17">
        <f>'Sampling Data'!AB63</f>
        <v>2.3043625869971142E-2</v>
      </c>
      <c r="AU63" s="17">
        <f>IF(
      SUM(Audit[[#This Row],[Audit Losing Candidate]:[Audit Candidate 12]])
      &lt;&gt;0,
      (Audit[[#This Row],[Winning Candidate]]-Audit[[#This Row],[Losing Candidate]]-(Audit[[#This Row],[Audit Winning Candidate]]-Audit[[#This Row],[Audit Losing Candidate]]))/(Audit[[#Totals],[Winning Candidate]]-Audit[[#Totals],[Losing Candidate]]),
      0
)</f>
        <v>0</v>
      </c>
      <c r="AV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 s="17">
        <f>IF(Audit[[#This Row],[Max Relative Error (ep)]] = 0, 0, Audit[[#This Row],[Max Relative Error (ep)]]/Audit[[#This Row],[Error Bound (up) - Max. possible relative overstatement]])</f>
        <v>0</v>
      </c>
      <c r="BH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3" s="17">
        <f t="shared" si="1"/>
        <v>1</v>
      </c>
      <c r="BJ63" s="17">
        <f>PRODUCT($BI$5:BI63)</f>
        <v>0.94645908314247273</v>
      </c>
      <c r="BK63" s="19">
        <f>1 - Audit[[#This Row],[K-M P Value]]</f>
        <v>5.3540916857527265E-2</v>
      </c>
      <c r="BL63" s="17" t="str">
        <f>IF(Audit[[#This Row],[K-M P Value]]&gt;1-'General Info'!$B$12,"Continue", "Stop")</f>
        <v>Continue</v>
      </c>
      <c r="BM63" s="22" t="b">
        <f>IF(Audit[[#This Row],[Status - Continue or stop audit]] = "Continue", TRUE, IF(BL62 = "Continue", TRUE, FALSE))</f>
        <v>1</v>
      </c>
      <c r="BN63" s="22"/>
    </row>
    <row r="64" spans="1:66" ht="15" hidden="1" customHeight="1" x14ac:dyDescent="0.35">
      <c r="A64" s="17" t="str">
        <f>'Sampling Data'!AI64</f>
        <v/>
      </c>
      <c r="B64" s="17" t="str">
        <f>'Sampling Data'!A64</f>
        <v>0709 CIN 7-I   (AV)</v>
      </c>
      <c r="C64" s="17">
        <f>'Sampling Data'!B64</f>
        <v>357</v>
      </c>
      <c r="D64" s="17">
        <f>'Sampling Data'!C64</f>
        <v>38</v>
      </c>
      <c r="E64" s="18">
        <f>'Sampling Data'!D64</f>
        <v>0</v>
      </c>
      <c r="F64" s="18">
        <f>'Sampling Data'!E64</f>
        <v>0</v>
      </c>
      <c r="G64" s="18">
        <f>'Sampling Data'!F64</f>
        <v>0</v>
      </c>
      <c r="H64" s="18">
        <f>'Sampling Data'!G64</f>
        <v>0</v>
      </c>
      <c r="I64" s="18">
        <f>'Sampling Data'!H64</f>
        <v>0</v>
      </c>
      <c r="J64" s="18">
        <f>'Sampling Data'!I64</f>
        <v>0</v>
      </c>
      <c r="K64" s="18">
        <f>'Sampling Data'!J64</f>
        <v>0</v>
      </c>
      <c r="L64" s="18">
        <f>'Sampling Data'!K64</f>
        <v>0</v>
      </c>
      <c r="M64" s="18">
        <f>'Sampling Data'!L64</f>
        <v>0</v>
      </c>
      <c r="N64" s="18">
        <f>'Sampling Data'!M64</f>
        <v>0</v>
      </c>
      <c r="O64" s="17">
        <f>'Sampling Data'!N64</f>
        <v>0</v>
      </c>
      <c r="P64" s="17">
        <f>'Sampling Data'!O64</f>
        <v>19</v>
      </c>
      <c r="Q64" s="17">
        <f>'Sampling Data'!P64</f>
        <v>414</v>
      </c>
      <c r="R64" s="17">
        <f>'Sampling Data'!AJ64</f>
        <v>0</v>
      </c>
      <c r="S64" s="111"/>
      <c r="T64" s="111"/>
      <c r="U64" s="112"/>
      <c r="V64" s="112"/>
      <c r="W64" s="111"/>
      <c r="X64" s="111"/>
      <c r="Y64" s="111"/>
      <c r="Z64" s="111"/>
      <c r="AA64" s="14"/>
      <c r="AB64" s="14"/>
      <c r="AC64" s="14"/>
      <c r="AD64" s="14"/>
      <c r="AE64" s="113" t="str">
        <f>IF(NOT(ISBLANK(Audit[[#This Row],[Audit Winning Candidate]])), Audit[[#This Row],[Audit Winning Candidate]]-Audit[[#This Row],[Winning Candidate]], "")</f>
        <v/>
      </c>
      <c r="AF64" s="17" t="str">
        <f>IF(NOT(ISBLANK(Audit[[#This Row],[Audit Losing Candidate]])), Audit[[#This Row],[Audit Losing Candidate]]-Audit[[#This Row],[Losing Candidate]], "")</f>
        <v/>
      </c>
      <c r="AG64" s="17" t="str">
        <f>IF(NOT(ISBLANK(Audit[[#This Row],[Audit Candidate 3]])), Audit[[#This Row],[Audit Candidate 3]]-Audit[[#This Row],[Candidate 3]], "")</f>
        <v/>
      </c>
      <c r="AH64" s="17" t="str">
        <f>IF(NOT(ISBLANK(Audit[[#This Row],[Audit Candidate 4]])),Audit[[#This Row],[Audit Candidate 4]]-Audit[[#This Row],[Candidate 4]], "")</f>
        <v/>
      </c>
      <c r="AI64" s="17" t="str">
        <f>IF(NOT(ISBLANK(Audit[[#This Row],[Audit Candidate 5]])), Audit[[#This Row],[Audit Candidate 5]]-Audit[[#This Row],[Candidate 5]], "")</f>
        <v/>
      </c>
      <c r="AJ64" s="17" t="str">
        <f>IF(NOT(ISBLANK(Audit[[#This Row],[Audit Candidate 6]])), Audit[[#This Row],[Audit Candidate 6]]-Audit[[#This Row],[Candidate 6]], "")</f>
        <v/>
      </c>
      <c r="AK64" s="17" t="str">
        <f>IF(NOT(ISBLANK(Audit[[#This Row],[Audit Candidate 7]])), Audit[[#This Row],[Audit Candidate 7]]-Audit[[#This Row],[Candidate 7]], "")</f>
        <v/>
      </c>
      <c r="AL64" s="17" t="str">
        <f>IF(NOT(ISBLANK(Audit[[#This Row],[Audit Candidate 8]])), Audit[[#This Row],[Audit Candidate 8]]-Audit[[#This Row],[Candidate 8]], "")</f>
        <v/>
      </c>
      <c r="AM64" s="17" t="str">
        <f>IF(NOT(ISBLANK(Audit[[#This Row],[Audit Candidate 9]])), Audit[[#This Row],[Audit Candidate 9]]-Audit[[#This Row],[Candidate 9]], "")</f>
        <v/>
      </c>
      <c r="AN64" s="17" t="str">
        <f>IF(NOT(ISBLANK(Audit[[#This Row],[Audit Candidate 10]])), Audit[[#This Row],[Audit Candidate 10]]-Audit[[#This Row],[Candidate 10]], "")</f>
        <v/>
      </c>
      <c r="AO64" s="17" t="str">
        <f>IF(NOT(ISBLANK(Audit[[#This Row],[Audit Candidate 11]])), Audit[[#This Row],[Audit Candidate 11]]-Audit[[#This Row],[Candidate 11]], "")</f>
        <v/>
      </c>
      <c r="AP64" s="17" t="str">
        <f>IF(NOT(ISBLANK(Audit[[#This Row],[Audit Candidate 12]])), Audit[[#This Row],[Audit Candidate 12]]-Audit[[#This Row],[Candidate 12]], "")</f>
        <v/>
      </c>
      <c r="AQ64" s="17">
        <f>SUMIF(Audit[[#This Row],[Difference Winner]:[Difference Candidate 12]], "&gt;0")</f>
        <v>0</v>
      </c>
      <c r="AR64" s="17">
        <f>SUM(Audit[[#This Row],[Difference Winner]:[Difference Candidate 12]])</f>
        <v>0</v>
      </c>
      <c r="AS64" s="17">
        <f>IF(Audit[[#This Row],[Times p Drawn - With Replacement]]&gt;0, IF(Audit[[#This Row],[Canceled Differences]]&lt;0, Audit[[#This Row],[Max Differences]]+ABS(Audit[[#This Row],[Canceled Differences]]), Audit[[#This Row],[Max Differences]]), 0)</f>
        <v>0</v>
      </c>
      <c r="AT64" s="17">
        <f>'Sampling Data'!AB64</f>
        <v>3.1106773043625871E-2</v>
      </c>
      <c r="AU64" s="17">
        <f>IF(
      SUM(Audit[[#This Row],[Audit Losing Candidate]:[Audit Candidate 12]])
      &lt;&gt;0,
      (Audit[[#This Row],[Winning Candidate]]-Audit[[#This Row],[Losing Candidate]]-(Audit[[#This Row],[Audit Winning Candidate]]-Audit[[#This Row],[Audit Losing Candidate]]))/(Audit[[#Totals],[Winning Candidate]]-Audit[[#Totals],[Losing Candidate]]),
      0
)</f>
        <v>0</v>
      </c>
      <c r="AV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 s="17">
        <f>IF(Audit[[#This Row],[Max Relative Error (ep)]] = 0, 0, Audit[[#This Row],[Max Relative Error (ep)]]/Audit[[#This Row],[Error Bound (up) - Max. possible relative overstatement]])</f>
        <v>0</v>
      </c>
      <c r="BH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4" s="17">
        <f t="shared" si="1"/>
        <v>1</v>
      </c>
      <c r="BJ64" s="17">
        <f>PRODUCT($BI$5:BI64)</f>
        <v>0.94645908314247273</v>
      </c>
      <c r="BK64" s="19">
        <f>1 - Audit[[#This Row],[K-M P Value]]</f>
        <v>5.3540916857527265E-2</v>
      </c>
      <c r="BL64" s="17" t="str">
        <f>IF(Audit[[#This Row],[K-M P Value]]&gt;1-'General Info'!$B$12,"Continue", "Stop")</f>
        <v>Continue</v>
      </c>
      <c r="BM64" s="22" t="b">
        <f>IF(Audit[[#This Row],[Status - Continue or stop audit]] = "Continue", TRUE, IF(BL63 = "Continue", TRUE, FALSE))</f>
        <v>1</v>
      </c>
      <c r="BN64" s="22"/>
    </row>
    <row r="65" spans="1:66" ht="15" hidden="1" customHeight="1" x14ac:dyDescent="0.35">
      <c r="A65" s="17" t="str">
        <f>'Sampling Data'!AI65</f>
        <v/>
      </c>
      <c r="B65" s="17" t="str">
        <f>'Sampling Data'!A65</f>
        <v>0710 CIN 7-J   (AV)</v>
      </c>
      <c r="C65" s="17">
        <f>'Sampling Data'!B65</f>
        <v>109</v>
      </c>
      <c r="D65" s="17">
        <f>'Sampling Data'!C65</f>
        <v>20</v>
      </c>
      <c r="E65" s="18">
        <f>'Sampling Data'!D65</f>
        <v>0</v>
      </c>
      <c r="F65" s="18">
        <f>'Sampling Data'!E65</f>
        <v>0</v>
      </c>
      <c r="G65" s="18">
        <f>'Sampling Data'!F65</f>
        <v>0</v>
      </c>
      <c r="H65" s="18">
        <f>'Sampling Data'!G65</f>
        <v>0</v>
      </c>
      <c r="I65" s="18">
        <f>'Sampling Data'!H65</f>
        <v>0</v>
      </c>
      <c r="J65" s="18">
        <f>'Sampling Data'!I65</f>
        <v>0</v>
      </c>
      <c r="K65" s="18">
        <f>'Sampling Data'!J65</f>
        <v>0</v>
      </c>
      <c r="L65" s="18">
        <f>'Sampling Data'!K65</f>
        <v>0</v>
      </c>
      <c r="M65" s="18">
        <f>'Sampling Data'!L65</f>
        <v>0</v>
      </c>
      <c r="N65" s="18">
        <f>'Sampling Data'!M65</f>
        <v>0</v>
      </c>
      <c r="O65" s="17">
        <f>'Sampling Data'!N65</f>
        <v>0</v>
      </c>
      <c r="P65" s="17">
        <f>'Sampling Data'!O65</f>
        <v>6</v>
      </c>
      <c r="Q65" s="17">
        <f>'Sampling Data'!P65</f>
        <v>135</v>
      </c>
      <c r="R65" s="17">
        <f>'Sampling Data'!AJ65</f>
        <v>0</v>
      </c>
      <c r="S65" s="111"/>
      <c r="T65" s="111"/>
      <c r="U65" s="112"/>
      <c r="V65" s="112"/>
      <c r="W65" s="111"/>
      <c r="X65" s="111"/>
      <c r="Y65" s="111"/>
      <c r="Z65" s="111"/>
      <c r="AA65" s="14"/>
      <c r="AB65" s="14"/>
      <c r="AC65" s="14"/>
      <c r="AD65" s="14"/>
      <c r="AE65" s="113" t="str">
        <f>IF(NOT(ISBLANK(Audit[[#This Row],[Audit Winning Candidate]])), Audit[[#This Row],[Audit Winning Candidate]]-Audit[[#This Row],[Winning Candidate]], "")</f>
        <v/>
      </c>
      <c r="AF65" s="17" t="str">
        <f>IF(NOT(ISBLANK(Audit[[#This Row],[Audit Losing Candidate]])), Audit[[#This Row],[Audit Losing Candidate]]-Audit[[#This Row],[Losing Candidate]], "")</f>
        <v/>
      </c>
      <c r="AG65" s="17" t="str">
        <f>IF(NOT(ISBLANK(Audit[[#This Row],[Audit Candidate 3]])), Audit[[#This Row],[Audit Candidate 3]]-Audit[[#This Row],[Candidate 3]], "")</f>
        <v/>
      </c>
      <c r="AH65" s="17" t="str">
        <f>IF(NOT(ISBLANK(Audit[[#This Row],[Audit Candidate 4]])),Audit[[#This Row],[Audit Candidate 4]]-Audit[[#This Row],[Candidate 4]], "")</f>
        <v/>
      </c>
      <c r="AI65" s="17" t="str">
        <f>IF(NOT(ISBLANK(Audit[[#This Row],[Audit Candidate 5]])), Audit[[#This Row],[Audit Candidate 5]]-Audit[[#This Row],[Candidate 5]], "")</f>
        <v/>
      </c>
      <c r="AJ65" s="17" t="str">
        <f>IF(NOT(ISBLANK(Audit[[#This Row],[Audit Candidate 6]])), Audit[[#This Row],[Audit Candidate 6]]-Audit[[#This Row],[Candidate 6]], "")</f>
        <v/>
      </c>
      <c r="AK65" s="17" t="str">
        <f>IF(NOT(ISBLANK(Audit[[#This Row],[Audit Candidate 7]])), Audit[[#This Row],[Audit Candidate 7]]-Audit[[#This Row],[Candidate 7]], "")</f>
        <v/>
      </c>
      <c r="AL65" s="17" t="str">
        <f>IF(NOT(ISBLANK(Audit[[#This Row],[Audit Candidate 8]])), Audit[[#This Row],[Audit Candidate 8]]-Audit[[#This Row],[Candidate 8]], "")</f>
        <v/>
      </c>
      <c r="AM65" s="17" t="str">
        <f>IF(NOT(ISBLANK(Audit[[#This Row],[Audit Candidate 9]])), Audit[[#This Row],[Audit Candidate 9]]-Audit[[#This Row],[Candidate 9]], "")</f>
        <v/>
      </c>
      <c r="AN65" s="17" t="str">
        <f>IF(NOT(ISBLANK(Audit[[#This Row],[Audit Candidate 10]])), Audit[[#This Row],[Audit Candidate 10]]-Audit[[#This Row],[Candidate 10]], "")</f>
        <v/>
      </c>
      <c r="AO65" s="17" t="str">
        <f>IF(NOT(ISBLANK(Audit[[#This Row],[Audit Candidate 11]])), Audit[[#This Row],[Audit Candidate 11]]-Audit[[#This Row],[Candidate 11]], "")</f>
        <v/>
      </c>
      <c r="AP65" s="17" t="str">
        <f>IF(NOT(ISBLANK(Audit[[#This Row],[Audit Candidate 12]])), Audit[[#This Row],[Audit Candidate 12]]-Audit[[#This Row],[Candidate 12]], "")</f>
        <v/>
      </c>
      <c r="AQ65" s="17">
        <f>SUMIF(Audit[[#This Row],[Difference Winner]:[Difference Candidate 12]], "&gt;0")</f>
        <v>0</v>
      </c>
      <c r="AR65" s="17">
        <f>SUM(Audit[[#This Row],[Difference Winner]:[Difference Candidate 12]])</f>
        <v>0</v>
      </c>
      <c r="AS65" s="17">
        <f>IF(Audit[[#This Row],[Times p Drawn - With Replacement]]&gt;0, IF(Audit[[#This Row],[Canceled Differences]]&lt;0, Audit[[#This Row],[Max Differences]]+ABS(Audit[[#This Row],[Canceled Differences]]), Audit[[#This Row],[Max Differences]]), 0)</f>
        <v>0</v>
      </c>
      <c r="AT65" s="17">
        <f>'Sampling Data'!AB65</f>
        <v>9.5060261415718886E-3</v>
      </c>
      <c r="AU65" s="17">
        <f>IF(
      SUM(Audit[[#This Row],[Audit Losing Candidate]:[Audit Candidate 12]])
      &lt;&gt;0,
      (Audit[[#This Row],[Winning Candidate]]-Audit[[#This Row],[Losing Candidate]]-(Audit[[#This Row],[Audit Winning Candidate]]-Audit[[#This Row],[Audit Losing Candidate]]))/(Audit[[#Totals],[Winning Candidate]]-Audit[[#Totals],[Losing Candidate]]),
      0
)</f>
        <v>0</v>
      </c>
      <c r="AV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 s="17">
        <f>IF(Audit[[#This Row],[Max Relative Error (ep)]] = 0, 0, Audit[[#This Row],[Max Relative Error (ep)]]/Audit[[#This Row],[Error Bound (up) - Max. possible relative overstatement]])</f>
        <v>0</v>
      </c>
      <c r="BH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5" s="17">
        <f t="shared" si="1"/>
        <v>1</v>
      </c>
      <c r="BJ65" s="17">
        <f>PRODUCT($BI$5:BI65)</f>
        <v>0.94645908314247273</v>
      </c>
      <c r="BK65" s="19">
        <f>1 - Audit[[#This Row],[K-M P Value]]</f>
        <v>5.3540916857527265E-2</v>
      </c>
      <c r="BL65" s="17" t="str">
        <f>IF(Audit[[#This Row],[K-M P Value]]&gt;1-'General Info'!$B$12,"Continue", "Stop")</f>
        <v>Continue</v>
      </c>
      <c r="BM65" s="22" t="b">
        <f>IF(Audit[[#This Row],[Status - Continue or stop audit]] = "Continue", TRUE, IF(BL64 = "Continue", TRUE, FALSE))</f>
        <v>1</v>
      </c>
      <c r="BN65" s="22"/>
    </row>
    <row r="66" spans="1:66" ht="15" hidden="1" customHeight="1" x14ac:dyDescent="0.35">
      <c r="A66" s="17" t="str">
        <f>'Sampling Data'!AI66</f>
        <v/>
      </c>
      <c r="B66" s="17" t="str">
        <f>'Sampling Data'!A66</f>
        <v>0711 CIN 7-K   (AV)</v>
      </c>
      <c r="C66" s="17">
        <f>'Sampling Data'!B66</f>
        <v>252</v>
      </c>
      <c r="D66" s="17">
        <f>'Sampling Data'!C66</f>
        <v>45</v>
      </c>
      <c r="E66" s="18">
        <f>'Sampling Data'!D66</f>
        <v>0</v>
      </c>
      <c r="F66" s="18">
        <f>'Sampling Data'!E66</f>
        <v>0</v>
      </c>
      <c r="G66" s="18">
        <f>'Sampling Data'!F66</f>
        <v>0</v>
      </c>
      <c r="H66" s="18">
        <f>'Sampling Data'!G66</f>
        <v>0</v>
      </c>
      <c r="I66" s="18">
        <f>'Sampling Data'!H66</f>
        <v>0</v>
      </c>
      <c r="J66" s="18">
        <f>'Sampling Data'!I66</f>
        <v>0</v>
      </c>
      <c r="K66" s="18">
        <f>'Sampling Data'!J66</f>
        <v>0</v>
      </c>
      <c r="L66" s="18">
        <f>'Sampling Data'!K66</f>
        <v>0</v>
      </c>
      <c r="M66" s="18">
        <f>'Sampling Data'!L66</f>
        <v>0</v>
      </c>
      <c r="N66" s="18">
        <f>'Sampling Data'!M66</f>
        <v>0</v>
      </c>
      <c r="O66" s="17">
        <f>'Sampling Data'!N66</f>
        <v>0</v>
      </c>
      <c r="P66" s="17">
        <f>'Sampling Data'!O66</f>
        <v>19</v>
      </c>
      <c r="Q66" s="17">
        <f>'Sampling Data'!P66</f>
        <v>316</v>
      </c>
      <c r="R66" s="17">
        <f>'Sampling Data'!AJ66</f>
        <v>0</v>
      </c>
      <c r="S66" s="111"/>
      <c r="T66" s="111"/>
      <c r="U66" s="112"/>
      <c r="V66" s="112"/>
      <c r="W66" s="111"/>
      <c r="X66" s="111"/>
      <c r="Y66" s="111"/>
      <c r="Z66" s="111"/>
      <c r="AA66" s="14"/>
      <c r="AB66" s="14"/>
      <c r="AC66" s="14"/>
      <c r="AD66" s="14"/>
      <c r="AE66" s="113" t="str">
        <f>IF(NOT(ISBLANK(Audit[[#This Row],[Audit Winning Candidate]])), Audit[[#This Row],[Audit Winning Candidate]]-Audit[[#This Row],[Winning Candidate]], "")</f>
        <v/>
      </c>
      <c r="AF66" s="17" t="str">
        <f>IF(NOT(ISBLANK(Audit[[#This Row],[Audit Losing Candidate]])), Audit[[#This Row],[Audit Losing Candidate]]-Audit[[#This Row],[Losing Candidate]], "")</f>
        <v/>
      </c>
      <c r="AG66" s="17" t="str">
        <f>IF(NOT(ISBLANK(Audit[[#This Row],[Audit Candidate 3]])), Audit[[#This Row],[Audit Candidate 3]]-Audit[[#This Row],[Candidate 3]], "")</f>
        <v/>
      </c>
      <c r="AH66" s="17" t="str">
        <f>IF(NOT(ISBLANK(Audit[[#This Row],[Audit Candidate 4]])),Audit[[#This Row],[Audit Candidate 4]]-Audit[[#This Row],[Candidate 4]], "")</f>
        <v/>
      </c>
      <c r="AI66" s="17" t="str">
        <f>IF(NOT(ISBLANK(Audit[[#This Row],[Audit Candidate 5]])), Audit[[#This Row],[Audit Candidate 5]]-Audit[[#This Row],[Candidate 5]], "")</f>
        <v/>
      </c>
      <c r="AJ66" s="17" t="str">
        <f>IF(NOT(ISBLANK(Audit[[#This Row],[Audit Candidate 6]])), Audit[[#This Row],[Audit Candidate 6]]-Audit[[#This Row],[Candidate 6]], "")</f>
        <v/>
      </c>
      <c r="AK66" s="17" t="str">
        <f>IF(NOT(ISBLANK(Audit[[#This Row],[Audit Candidate 7]])), Audit[[#This Row],[Audit Candidate 7]]-Audit[[#This Row],[Candidate 7]], "")</f>
        <v/>
      </c>
      <c r="AL66" s="17" t="str">
        <f>IF(NOT(ISBLANK(Audit[[#This Row],[Audit Candidate 8]])), Audit[[#This Row],[Audit Candidate 8]]-Audit[[#This Row],[Candidate 8]], "")</f>
        <v/>
      </c>
      <c r="AM66" s="17" t="str">
        <f>IF(NOT(ISBLANK(Audit[[#This Row],[Audit Candidate 9]])), Audit[[#This Row],[Audit Candidate 9]]-Audit[[#This Row],[Candidate 9]], "")</f>
        <v/>
      </c>
      <c r="AN66" s="17" t="str">
        <f>IF(NOT(ISBLANK(Audit[[#This Row],[Audit Candidate 10]])), Audit[[#This Row],[Audit Candidate 10]]-Audit[[#This Row],[Candidate 10]], "")</f>
        <v/>
      </c>
      <c r="AO66" s="17" t="str">
        <f>IF(NOT(ISBLANK(Audit[[#This Row],[Audit Candidate 11]])), Audit[[#This Row],[Audit Candidate 11]]-Audit[[#This Row],[Candidate 11]], "")</f>
        <v/>
      </c>
      <c r="AP66" s="17" t="str">
        <f>IF(NOT(ISBLANK(Audit[[#This Row],[Audit Candidate 12]])), Audit[[#This Row],[Audit Candidate 12]]-Audit[[#This Row],[Candidate 12]], "")</f>
        <v/>
      </c>
      <c r="AQ66" s="17">
        <f>SUMIF(Audit[[#This Row],[Difference Winner]:[Difference Candidate 12]], "&gt;0")</f>
        <v>0</v>
      </c>
      <c r="AR66" s="17">
        <f>SUM(Audit[[#This Row],[Difference Winner]:[Difference Candidate 12]])</f>
        <v>0</v>
      </c>
      <c r="AS66" s="17">
        <f>IF(Audit[[#This Row],[Times p Drawn - With Replacement]]&gt;0, IF(Audit[[#This Row],[Canceled Differences]]&lt;0, Audit[[#This Row],[Max Differences]]+ABS(Audit[[#This Row],[Canceled Differences]]), Audit[[#This Row],[Max Differences]]), 0)</f>
        <v>0</v>
      </c>
      <c r="AT66" s="17">
        <f>'Sampling Data'!AB66</f>
        <v>2.2194873535902222E-2</v>
      </c>
      <c r="AU66" s="17">
        <f>IF(
      SUM(Audit[[#This Row],[Audit Losing Candidate]:[Audit Candidate 12]])
      &lt;&gt;0,
      (Audit[[#This Row],[Winning Candidate]]-Audit[[#This Row],[Losing Candidate]]-(Audit[[#This Row],[Audit Winning Candidate]]-Audit[[#This Row],[Audit Losing Candidate]]))/(Audit[[#Totals],[Winning Candidate]]-Audit[[#Totals],[Losing Candidate]]),
      0
)</f>
        <v>0</v>
      </c>
      <c r="AV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 s="17">
        <f>IF(Audit[[#This Row],[Max Relative Error (ep)]] = 0, 0, Audit[[#This Row],[Max Relative Error (ep)]]/Audit[[#This Row],[Error Bound (up) - Max. possible relative overstatement]])</f>
        <v>0</v>
      </c>
      <c r="BH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6" s="17">
        <f t="shared" si="1"/>
        <v>1</v>
      </c>
      <c r="BJ66" s="17">
        <f>PRODUCT($BI$5:BI66)</f>
        <v>0.94645908314247273</v>
      </c>
      <c r="BK66" s="19">
        <f>1 - Audit[[#This Row],[K-M P Value]]</f>
        <v>5.3540916857527265E-2</v>
      </c>
      <c r="BL66" s="17" t="str">
        <f>IF(Audit[[#This Row],[K-M P Value]]&gt;1-'General Info'!$B$12,"Continue", "Stop")</f>
        <v>Continue</v>
      </c>
      <c r="BM66" s="22" t="b">
        <f>IF(Audit[[#This Row],[Status - Continue or stop audit]] = "Continue", TRUE, IF(BL65 = "Continue", TRUE, FALSE))</f>
        <v>1</v>
      </c>
      <c r="BN66" s="22"/>
    </row>
    <row r="67" spans="1:66" ht="15" hidden="1" customHeight="1" x14ac:dyDescent="0.35">
      <c r="A67" s="17" t="str">
        <f>'Sampling Data'!AI67</f>
        <v/>
      </c>
      <c r="B67" s="17" t="str">
        <f>'Sampling Data'!A67</f>
        <v>0801 CIN 8-A   (AV)</v>
      </c>
      <c r="C67" s="17">
        <f>'Sampling Data'!B67</f>
        <v>315</v>
      </c>
      <c r="D67" s="17">
        <f>'Sampling Data'!C67</f>
        <v>23</v>
      </c>
      <c r="E67" s="18">
        <f>'Sampling Data'!D67</f>
        <v>0</v>
      </c>
      <c r="F67" s="18">
        <f>'Sampling Data'!E67</f>
        <v>0</v>
      </c>
      <c r="G67" s="18">
        <f>'Sampling Data'!F67</f>
        <v>0</v>
      </c>
      <c r="H67" s="18">
        <f>'Sampling Data'!G67</f>
        <v>0</v>
      </c>
      <c r="I67" s="18">
        <f>'Sampling Data'!H67</f>
        <v>0</v>
      </c>
      <c r="J67" s="18">
        <f>'Sampling Data'!I67</f>
        <v>0</v>
      </c>
      <c r="K67" s="18">
        <f>'Sampling Data'!J67</f>
        <v>0</v>
      </c>
      <c r="L67" s="18">
        <f>'Sampling Data'!K67</f>
        <v>0</v>
      </c>
      <c r="M67" s="18">
        <f>'Sampling Data'!L67</f>
        <v>0</v>
      </c>
      <c r="N67" s="18">
        <f>'Sampling Data'!M67</f>
        <v>0</v>
      </c>
      <c r="O67" s="17">
        <f>'Sampling Data'!N67</f>
        <v>0</v>
      </c>
      <c r="P67" s="17">
        <f>'Sampling Data'!O67</f>
        <v>14</v>
      </c>
      <c r="Q67" s="17">
        <f>'Sampling Data'!P67</f>
        <v>352</v>
      </c>
      <c r="R67" s="17">
        <f>'Sampling Data'!AJ67</f>
        <v>0</v>
      </c>
      <c r="S67" s="111"/>
      <c r="T67" s="111"/>
      <c r="U67" s="112"/>
      <c r="V67" s="112"/>
      <c r="W67" s="111"/>
      <c r="X67" s="111"/>
      <c r="Y67" s="111"/>
      <c r="Z67" s="111"/>
      <c r="AA67" s="14"/>
      <c r="AB67" s="14"/>
      <c r="AC67" s="14"/>
      <c r="AD67" s="14"/>
      <c r="AE67" s="113" t="str">
        <f>IF(NOT(ISBLANK(Audit[[#This Row],[Audit Winning Candidate]])), Audit[[#This Row],[Audit Winning Candidate]]-Audit[[#This Row],[Winning Candidate]], "")</f>
        <v/>
      </c>
      <c r="AF67" s="17" t="str">
        <f>IF(NOT(ISBLANK(Audit[[#This Row],[Audit Losing Candidate]])), Audit[[#This Row],[Audit Losing Candidate]]-Audit[[#This Row],[Losing Candidate]], "")</f>
        <v/>
      </c>
      <c r="AG67" s="17" t="str">
        <f>IF(NOT(ISBLANK(Audit[[#This Row],[Audit Candidate 3]])), Audit[[#This Row],[Audit Candidate 3]]-Audit[[#This Row],[Candidate 3]], "")</f>
        <v/>
      </c>
      <c r="AH67" s="17" t="str">
        <f>IF(NOT(ISBLANK(Audit[[#This Row],[Audit Candidate 4]])),Audit[[#This Row],[Audit Candidate 4]]-Audit[[#This Row],[Candidate 4]], "")</f>
        <v/>
      </c>
      <c r="AI67" s="17" t="str">
        <f>IF(NOT(ISBLANK(Audit[[#This Row],[Audit Candidate 5]])), Audit[[#This Row],[Audit Candidate 5]]-Audit[[#This Row],[Candidate 5]], "")</f>
        <v/>
      </c>
      <c r="AJ67" s="17" t="str">
        <f>IF(NOT(ISBLANK(Audit[[#This Row],[Audit Candidate 6]])), Audit[[#This Row],[Audit Candidate 6]]-Audit[[#This Row],[Candidate 6]], "")</f>
        <v/>
      </c>
      <c r="AK67" s="17" t="str">
        <f>IF(NOT(ISBLANK(Audit[[#This Row],[Audit Candidate 7]])), Audit[[#This Row],[Audit Candidate 7]]-Audit[[#This Row],[Candidate 7]], "")</f>
        <v/>
      </c>
      <c r="AL67" s="17" t="str">
        <f>IF(NOT(ISBLANK(Audit[[#This Row],[Audit Candidate 8]])), Audit[[#This Row],[Audit Candidate 8]]-Audit[[#This Row],[Candidate 8]], "")</f>
        <v/>
      </c>
      <c r="AM67" s="17" t="str">
        <f>IF(NOT(ISBLANK(Audit[[#This Row],[Audit Candidate 9]])), Audit[[#This Row],[Audit Candidate 9]]-Audit[[#This Row],[Candidate 9]], "")</f>
        <v/>
      </c>
      <c r="AN67" s="17" t="str">
        <f>IF(NOT(ISBLANK(Audit[[#This Row],[Audit Candidate 10]])), Audit[[#This Row],[Audit Candidate 10]]-Audit[[#This Row],[Candidate 10]], "")</f>
        <v/>
      </c>
      <c r="AO67" s="17" t="str">
        <f>IF(NOT(ISBLANK(Audit[[#This Row],[Audit Candidate 11]])), Audit[[#This Row],[Audit Candidate 11]]-Audit[[#This Row],[Candidate 11]], "")</f>
        <v/>
      </c>
      <c r="AP67" s="17" t="str">
        <f>IF(NOT(ISBLANK(Audit[[#This Row],[Audit Candidate 12]])), Audit[[#This Row],[Audit Candidate 12]]-Audit[[#This Row],[Candidate 12]], "")</f>
        <v/>
      </c>
      <c r="AQ67" s="17">
        <f>SUMIF(Audit[[#This Row],[Difference Winner]:[Difference Candidate 12]], "&gt;0")</f>
        <v>0</v>
      </c>
      <c r="AR67" s="17">
        <f>SUM(Audit[[#This Row],[Difference Winner]:[Difference Candidate 12]])</f>
        <v>0</v>
      </c>
      <c r="AS67" s="17">
        <f>IF(Audit[[#This Row],[Times p Drawn - With Replacement]]&gt;0, IF(Audit[[#This Row],[Canceled Differences]]&lt;0, Audit[[#This Row],[Max Differences]]+ABS(Audit[[#This Row],[Canceled Differences]]), Audit[[#This Row],[Max Differences]]), 0)</f>
        <v>0</v>
      </c>
      <c r="AT67" s="17">
        <f>'Sampling Data'!AB67</f>
        <v>2.7329825157019181E-2</v>
      </c>
      <c r="AU67" s="17">
        <f>IF(
      SUM(Audit[[#This Row],[Audit Losing Candidate]:[Audit Candidate 12]])
      &lt;&gt;0,
      (Audit[[#This Row],[Winning Candidate]]-Audit[[#This Row],[Losing Candidate]]-(Audit[[#This Row],[Audit Winning Candidate]]-Audit[[#This Row],[Audit Losing Candidate]]))/(Audit[[#Totals],[Winning Candidate]]-Audit[[#Totals],[Losing Candidate]]),
      0
)</f>
        <v>0</v>
      </c>
      <c r="AV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 s="17">
        <f>IF(Audit[[#This Row],[Max Relative Error (ep)]] = 0, 0, Audit[[#This Row],[Max Relative Error (ep)]]/Audit[[#This Row],[Error Bound (up) - Max. possible relative overstatement]])</f>
        <v>0</v>
      </c>
      <c r="BH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7" s="17">
        <f t="shared" si="1"/>
        <v>1</v>
      </c>
      <c r="BJ67" s="17">
        <f>PRODUCT($BI$5:BI67)</f>
        <v>0.94645908314247273</v>
      </c>
      <c r="BK67" s="19">
        <f>1 - Audit[[#This Row],[K-M P Value]]</f>
        <v>5.3540916857527265E-2</v>
      </c>
      <c r="BL67" s="17" t="str">
        <f>IF(Audit[[#This Row],[K-M P Value]]&gt;1-'General Info'!$B$12,"Continue", "Stop")</f>
        <v>Continue</v>
      </c>
      <c r="BM67" s="22" t="b">
        <f>IF(Audit[[#This Row],[Status - Continue or stop audit]] = "Continue", TRUE, IF(BL66 = "Continue", TRUE, FALSE))</f>
        <v>1</v>
      </c>
      <c r="BN67" s="22"/>
    </row>
    <row r="68" spans="1:66" ht="15" hidden="1" customHeight="1" x14ac:dyDescent="0.35">
      <c r="A68" s="17" t="str">
        <f>'Sampling Data'!AI68</f>
        <v/>
      </c>
      <c r="B68" s="17" t="str">
        <f>'Sampling Data'!A68</f>
        <v>0802 CIN 8-B   (AV)</v>
      </c>
      <c r="C68" s="17">
        <f>'Sampling Data'!B68</f>
        <v>283</v>
      </c>
      <c r="D68" s="17">
        <f>'Sampling Data'!C68</f>
        <v>107</v>
      </c>
      <c r="E68" s="18">
        <f>'Sampling Data'!D68</f>
        <v>0</v>
      </c>
      <c r="F68" s="18">
        <f>'Sampling Data'!E68</f>
        <v>0</v>
      </c>
      <c r="G68" s="18">
        <f>'Sampling Data'!F68</f>
        <v>0</v>
      </c>
      <c r="H68" s="18">
        <f>'Sampling Data'!G68</f>
        <v>0</v>
      </c>
      <c r="I68" s="18">
        <f>'Sampling Data'!H68</f>
        <v>0</v>
      </c>
      <c r="J68" s="18">
        <f>'Sampling Data'!I68</f>
        <v>0</v>
      </c>
      <c r="K68" s="18">
        <f>'Sampling Data'!J68</f>
        <v>0</v>
      </c>
      <c r="L68" s="18">
        <f>'Sampling Data'!K68</f>
        <v>0</v>
      </c>
      <c r="M68" s="18">
        <f>'Sampling Data'!L68</f>
        <v>0</v>
      </c>
      <c r="N68" s="18">
        <f>'Sampling Data'!M68</f>
        <v>0</v>
      </c>
      <c r="O68" s="17">
        <f>'Sampling Data'!N68</f>
        <v>0</v>
      </c>
      <c r="P68" s="17">
        <f>'Sampling Data'!O68</f>
        <v>15</v>
      </c>
      <c r="Q68" s="17">
        <f>'Sampling Data'!P68</f>
        <v>405</v>
      </c>
      <c r="R68" s="17">
        <f>'Sampling Data'!AJ68</f>
        <v>0</v>
      </c>
      <c r="S68" s="111"/>
      <c r="T68" s="111"/>
      <c r="U68" s="112"/>
      <c r="V68" s="112"/>
      <c r="W68" s="111"/>
      <c r="X68" s="111"/>
      <c r="Y68" s="111"/>
      <c r="Z68" s="111"/>
      <c r="AA68" s="14"/>
      <c r="AB68" s="14"/>
      <c r="AC68" s="14"/>
      <c r="AD68" s="14"/>
      <c r="AE68" s="113" t="str">
        <f>IF(NOT(ISBLANK(Audit[[#This Row],[Audit Winning Candidate]])), Audit[[#This Row],[Audit Winning Candidate]]-Audit[[#This Row],[Winning Candidate]], "")</f>
        <v/>
      </c>
      <c r="AF68" s="17" t="str">
        <f>IF(NOT(ISBLANK(Audit[[#This Row],[Audit Losing Candidate]])), Audit[[#This Row],[Audit Losing Candidate]]-Audit[[#This Row],[Losing Candidate]], "")</f>
        <v/>
      </c>
      <c r="AG68" s="17" t="str">
        <f>IF(NOT(ISBLANK(Audit[[#This Row],[Audit Candidate 3]])), Audit[[#This Row],[Audit Candidate 3]]-Audit[[#This Row],[Candidate 3]], "")</f>
        <v/>
      </c>
      <c r="AH68" s="17" t="str">
        <f>IF(NOT(ISBLANK(Audit[[#This Row],[Audit Candidate 4]])),Audit[[#This Row],[Audit Candidate 4]]-Audit[[#This Row],[Candidate 4]], "")</f>
        <v/>
      </c>
      <c r="AI68" s="17" t="str">
        <f>IF(NOT(ISBLANK(Audit[[#This Row],[Audit Candidate 5]])), Audit[[#This Row],[Audit Candidate 5]]-Audit[[#This Row],[Candidate 5]], "")</f>
        <v/>
      </c>
      <c r="AJ68" s="17" t="str">
        <f>IF(NOT(ISBLANK(Audit[[#This Row],[Audit Candidate 6]])), Audit[[#This Row],[Audit Candidate 6]]-Audit[[#This Row],[Candidate 6]], "")</f>
        <v/>
      </c>
      <c r="AK68" s="17" t="str">
        <f>IF(NOT(ISBLANK(Audit[[#This Row],[Audit Candidate 7]])), Audit[[#This Row],[Audit Candidate 7]]-Audit[[#This Row],[Candidate 7]], "")</f>
        <v/>
      </c>
      <c r="AL68" s="17" t="str">
        <f>IF(NOT(ISBLANK(Audit[[#This Row],[Audit Candidate 8]])), Audit[[#This Row],[Audit Candidate 8]]-Audit[[#This Row],[Candidate 8]], "")</f>
        <v/>
      </c>
      <c r="AM68" s="17" t="str">
        <f>IF(NOT(ISBLANK(Audit[[#This Row],[Audit Candidate 9]])), Audit[[#This Row],[Audit Candidate 9]]-Audit[[#This Row],[Candidate 9]], "")</f>
        <v/>
      </c>
      <c r="AN68" s="17" t="str">
        <f>IF(NOT(ISBLANK(Audit[[#This Row],[Audit Candidate 10]])), Audit[[#This Row],[Audit Candidate 10]]-Audit[[#This Row],[Candidate 10]], "")</f>
        <v/>
      </c>
      <c r="AO68" s="17" t="str">
        <f>IF(NOT(ISBLANK(Audit[[#This Row],[Audit Candidate 11]])), Audit[[#This Row],[Audit Candidate 11]]-Audit[[#This Row],[Candidate 11]], "")</f>
        <v/>
      </c>
      <c r="AP68" s="17" t="str">
        <f>IF(NOT(ISBLANK(Audit[[#This Row],[Audit Candidate 12]])), Audit[[#This Row],[Audit Candidate 12]]-Audit[[#This Row],[Candidate 12]], "")</f>
        <v/>
      </c>
      <c r="AQ68" s="17">
        <f>SUMIF(Audit[[#This Row],[Difference Winner]:[Difference Candidate 12]], "&gt;0")</f>
        <v>0</v>
      </c>
      <c r="AR68" s="17">
        <f>SUM(Audit[[#This Row],[Difference Winner]:[Difference Candidate 12]])</f>
        <v>0</v>
      </c>
      <c r="AS68" s="17">
        <f>IF(Audit[[#This Row],[Times p Drawn - With Replacement]]&gt;0, IF(Audit[[#This Row],[Canceled Differences]]&lt;0, Audit[[#This Row],[Max Differences]]+ABS(Audit[[#This Row],[Canceled Differences]]), Audit[[#This Row],[Max Differences]]), 0)</f>
        <v>0</v>
      </c>
      <c r="AT68" s="17">
        <f>'Sampling Data'!AB68</f>
        <v>2.4656255304702088E-2</v>
      </c>
      <c r="AU68" s="17">
        <f>IF(
      SUM(Audit[[#This Row],[Audit Losing Candidate]:[Audit Candidate 12]])
      &lt;&gt;0,
      (Audit[[#This Row],[Winning Candidate]]-Audit[[#This Row],[Losing Candidate]]-(Audit[[#This Row],[Audit Winning Candidate]]-Audit[[#This Row],[Audit Losing Candidate]]))/(Audit[[#Totals],[Winning Candidate]]-Audit[[#Totals],[Losing Candidate]]),
      0
)</f>
        <v>0</v>
      </c>
      <c r="AV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 s="17">
        <f>IF(Audit[[#This Row],[Max Relative Error (ep)]] = 0, 0, Audit[[#This Row],[Max Relative Error (ep)]]/Audit[[#This Row],[Error Bound (up) - Max. possible relative overstatement]])</f>
        <v>0</v>
      </c>
      <c r="BH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8" s="17">
        <f t="shared" si="1"/>
        <v>1</v>
      </c>
      <c r="BJ68" s="17">
        <f>PRODUCT($BI$5:BI68)</f>
        <v>0.94645908314247273</v>
      </c>
      <c r="BK68" s="19">
        <f>1 - Audit[[#This Row],[K-M P Value]]</f>
        <v>5.3540916857527265E-2</v>
      </c>
      <c r="BL68" s="17" t="str">
        <f>IF(Audit[[#This Row],[K-M P Value]]&gt;1-'General Info'!$B$12,"Continue", "Stop")</f>
        <v>Continue</v>
      </c>
      <c r="BM68" s="22" t="b">
        <f>IF(Audit[[#This Row],[Status - Continue or stop audit]] = "Continue", TRUE, IF(BL67 = "Continue", TRUE, FALSE))</f>
        <v>1</v>
      </c>
      <c r="BN68" s="22"/>
    </row>
    <row r="69" spans="1:66" ht="15" hidden="1" customHeight="1" x14ac:dyDescent="0.35">
      <c r="A69" s="17" t="str">
        <f>'Sampling Data'!AI69</f>
        <v/>
      </c>
      <c r="B69" s="17" t="str">
        <f>'Sampling Data'!A69</f>
        <v>0803 CIN 8-C   (AV)</v>
      </c>
      <c r="C69" s="17">
        <f>'Sampling Data'!B69</f>
        <v>362</v>
      </c>
      <c r="D69" s="17">
        <f>'Sampling Data'!C69</f>
        <v>251</v>
      </c>
      <c r="E69" s="18">
        <f>'Sampling Data'!D69</f>
        <v>0</v>
      </c>
      <c r="F69" s="18">
        <f>'Sampling Data'!E69</f>
        <v>0</v>
      </c>
      <c r="G69" s="18">
        <f>'Sampling Data'!F69</f>
        <v>0</v>
      </c>
      <c r="H69" s="18">
        <f>'Sampling Data'!G69</f>
        <v>0</v>
      </c>
      <c r="I69" s="18">
        <f>'Sampling Data'!H69</f>
        <v>0</v>
      </c>
      <c r="J69" s="18">
        <f>'Sampling Data'!I69</f>
        <v>0</v>
      </c>
      <c r="K69" s="18">
        <f>'Sampling Data'!J69</f>
        <v>0</v>
      </c>
      <c r="L69" s="18">
        <f>'Sampling Data'!K69</f>
        <v>0</v>
      </c>
      <c r="M69" s="18">
        <f>'Sampling Data'!L69</f>
        <v>0</v>
      </c>
      <c r="N69" s="18">
        <f>'Sampling Data'!M69</f>
        <v>0</v>
      </c>
      <c r="O69" s="17">
        <f>'Sampling Data'!N69</f>
        <v>0</v>
      </c>
      <c r="P69" s="17">
        <f>'Sampling Data'!O69</f>
        <v>33</v>
      </c>
      <c r="Q69" s="17">
        <f>'Sampling Data'!P69</f>
        <v>646</v>
      </c>
      <c r="R69" s="17">
        <f>'Sampling Data'!AJ69</f>
        <v>0</v>
      </c>
      <c r="S69" s="111"/>
      <c r="T69" s="111"/>
      <c r="U69" s="112"/>
      <c r="V69" s="112"/>
      <c r="W69" s="111"/>
      <c r="X69" s="111"/>
      <c r="Y69" s="111"/>
      <c r="Z69" s="111"/>
      <c r="AA69" s="14"/>
      <c r="AB69" s="14"/>
      <c r="AC69" s="14"/>
      <c r="AD69" s="14"/>
      <c r="AE69" s="113" t="str">
        <f>IF(NOT(ISBLANK(Audit[[#This Row],[Audit Winning Candidate]])), Audit[[#This Row],[Audit Winning Candidate]]-Audit[[#This Row],[Winning Candidate]], "")</f>
        <v/>
      </c>
      <c r="AF69" s="17" t="str">
        <f>IF(NOT(ISBLANK(Audit[[#This Row],[Audit Losing Candidate]])), Audit[[#This Row],[Audit Losing Candidate]]-Audit[[#This Row],[Losing Candidate]], "")</f>
        <v/>
      </c>
      <c r="AG69" s="17" t="str">
        <f>IF(NOT(ISBLANK(Audit[[#This Row],[Audit Candidate 3]])), Audit[[#This Row],[Audit Candidate 3]]-Audit[[#This Row],[Candidate 3]], "")</f>
        <v/>
      </c>
      <c r="AH69" s="17" t="str">
        <f>IF(NOT(ISBLANK(Audit[[#This Row],[Audit Candidate 4]])),Audit[[#This Row],[Audit Candidate 4]]-Audit[[#This Row],[Candidate 4]], "")</f>
        <v/>
      </c>
      <c r="AI69" s="17" t="str">
        <f>IF(NOT(ISBLANK(Audit[[#This Row],[Audit Candidate 5]])), Audit[[#This Row],[Audit Candidate 5]]-Audit[[#This Row],[Candidate 5]], "")</f>
        <v/>
      </c>
      <c r="AJ69" s="17" t="str">
        <f>IF(NOT(ISBLANK(Audit[[#This Row],[Audit Candidate 6]])), Audit[[#This Row],[Audit Candidate 6]]-Audit[[#This Row],[Candidate 6]], "")</f>
        <v/>
      </c>
      <c r="AK69" s="17" t="str">
        <f>IF(NOT(ISBLANK(Audit[[#This Row],[Audit Candidate 7]])), Audit[[#This Row],[Audit Candidate 7]]-Audit[[#This Row],[Candidate 7]], "")</f>
        <v/>
      </c>
      <c r="AL69" s="17" t="str">
        <f>IF(NOT(ISBLANK(Audit[[#This Row],[Audit Candidate 8]])), Audit[[#This Row],[Audit Candidate 8]]-Audit[[#This Row],[Candidate 8]], "")</f>
        <v/>
      </c>
      <c r="AM69" s="17" t="str">
        <f>IF(NOT(ISBLANK(Audit[[#This Row],[Audit Candidate 9]])), Audit[[#This Row],[Audit Candidate 9]]-Audit[[#This Row],[Candidate 9]], "")</f>
        <v/>
      </c>
      <c r="AN69" s="17" t="str">
        <f>IF(NOT(ISBLANK(Audit[[#This Row],[Audit Candidate 10]])), Audit[[#This Row],[Audit Candidate 10]]-Audit[[#This Row],[Candidate 10]], "")</f>
        <v/>
      </c>
      <c r="AO69" s="17" t="str">
        <f>IF(NOT(ISBLANK(Audit[[#This Row],[Audit Candidate 11]])), Audit[[#This Row],[Audit Candidate 11]]-Audit[[#This Row],[Candidate 11]], "")</f>
        <v/>
      </c>
      <c r="AP69" s="17" t="str">
        <f>IF(NOT(ISBLANK(Audit[[#This Row],[Audit Candidate 12]])), Audit[[#This Row],[Audit Candidate 12]]-Audit[[#This Row],[Candidate 12]], "")</f>
        <v/>
      </c>
      <c r="AQ69" s="17">
        <f>SUMIF(Audit[[#This Row],[Difference Winner]:[Difference Candidate 12]], "&gt;0")</f>
        <v>0</v>
      </c>
      <c r="AR69" s="17">
        <f>SUM(Audit[[#This Row],[Difference Winner]:[Difference Candidate 12]])</f>
        <v>0</v>
      </c>
      <c r="AS69" s="17">
        <f>IF(Audit[[#This Row],[Times p Drawn - With Replacement]]&gt;0, IF(Audit[[#This Row],[Canceled Differences]]&lt;0, Audit[[#This Row],[Max Differences]]+ABS(Audit[[#This Row],[Canceled Differences]]), Audit[[#This Row],[Max Differences]]), 0)</f>
        <v>0</v>
      </c>
      <c r="AT69" s="17">
        <f>'Sampling Data'!AB69</f>
        <v>3.2125275844508569E-2</v>
      </c>
      <c r="AU69" s="17">
        <f>IF(
      SUM(Audit[[#This Row],[Audit Losing Candidate]:[Audit Candidate 12]])
      &lt;&gt;0,
      (Audit[[#This Row],[Winning Candidate]]-Audit[[#This Row],[Losing Candidate]]-(Audit[[#This Row],[Audit Winning Candidate]]-Audit[[#This Row],[Audit Losing Candidate]]))/(Audit[[#Totals],[Winning Candidate]]-Audit[[#Totals],[Losing Candidate]]),
      0
)</f>
        <v>0</v>
      </c>
      <c r="AV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 s="17">
        <f>IF(Audit[[#This Row],[Max Relative Error (ep)]] = 0, 0, Audit[[#This Row],[Max Relative Error (ep)]]/Audit[[#This Row],[Error Bound (up) - Max. possible relative overstatement]])</f>
        <v>0</v>
      </c>
      <c r="BH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9" s="17">
        <f t="shared" si="1"/>
        <v>1</v>
      </c>
      <c r="BJ69" s="17">
        <f>PRODUCT($BI$5:BI69)</f>
        <v>0.94645908314247273</v>
      </c>
      <c r="BK69" s="19">
        <f>1 - Audit[[#This Row],[K-M P Value]]</f>
        <v>5.3540916857527265E-2</v>
      </c>
      <c r="BL69" s="17" t="str">
        <f>IF(Audit[[#This Row],[K-M P Value]]&gt;1-'General Info'!$B$12,"Continue", "Stop")</f>
        <v>Continue</v>
      </c>
      <c r="BM69" s="22" t="b">
        <f>IF(Audit[[#This Row],[Status - Continue or stop audit]] = "Continue", TRUE, IF(BL68 = "Continue", TRUE, FALSE))</f>
        <v>1</v>
      </c>
      <c r="BN69" s="22"/>
    </row>
    <row r="70" spans="1:66" ht="15" customHeight="1" x14ac:dyDescent="0.35">
      <c r="A70" s="17">
        <f>'Sampling Data'!AI70</f>
        <v>9</v>
      </c>
      <c r="B70" s="17" t="str">
        <f>'Sampling Data'!A70</f>
        <v>0804 CIN 8-D   (AV)</v>
      </c>
      <c r="C70" s="17">
        <f>'Sampling Data'!B70</f>
        <v>292</v>
      </c>
      <c r="D70" s="17">
        <f>'Sampling Data'!C70</f>
        <v>35</v>
      </c>
      <c r="E70" s="18">
        <f>'Sampling Data'!D70</f>
        <v>0</v>
      </c>
      <c r="F70" s="18">
        <f>'Sampling Data'!E70</f>
        <v>0</v>
      </c>
      <c r="G70" s="18">
        <f>'Sampling Data'!F70</f>
        <v>0</v>
      </c>
      <c r="H70" s="18">
        <f>'Sampling Data'!G70</f>
        <v>0</v>
      </c>
      <c r="I70" s="18">
        <f>'Sampling Data'!H70</f>
        <v>0</v>
      </c>
      <c r="J70" s="18">
        <f>'Sampling Data'!I70</f>
        <v>0</v>
      </c>
      <c r="K70" s="18">
        <f>'Sampling Data'!J70</f>
        <v>0</v>
      </c>
      <c r="L70" s="18">
        <f>'Sampling Data'!K70</f>
        <v>0</v>
      </c>
      <c r="M70" s="18">
        <f>'Sampling Data'!L70</f>
        <v>0</v>
      </c>
      <c r="N70" s="18">
        <f>'Sampling Data'!M70</f>
        <v>0</v>
      </c>
      <c r="O70" s="17">
        <f>'Sampling Data'!N70</f>
        <v>1</v>
      </c>
      <c r="P70" s="17">
        <f>'Sampling Data'!O70</f>
        <v>16</v>
      </c>
      <c r="Q70" s="17">
        <f>'Sampling Data'!P70</f>
        <v>344</v>
      </c>
      <c r="R70" s="17">
        <f>'Sampling Data'!AJ70</f>
        <v>1</v>
      </c>
      <c r="S70" s="111">
        <v>292</v>
      </c>
      <c r="T70" s="111">
        <v>35</v>
      </c>
      <c r="U70" s="112"/>
      <c r="V70" s="112"/>
      <c r="W70" s="111"/>
      <c r="X70" s="111"/>
      <c r="Y70" s="111"/>
      <c r="Z70" s="111"/>
      <c r="AA70" s="14"/>
      <c r="AB70" s="14"/>
      <c r="AC70" s="14"/>
      <c r="AD70" s="14"/>
      <c r="AE70" s="113">
        <f>IF(NOT(ISBLANK(Audit[[#This Row],[Audit Winning Candidate]])), Audit[[#This Row],[Audit Winning Candidate]]-Audit[[#This Row],[Winning Candidate]], "")</f>
        <v>0</v>
      </c>
      <c r="AF70" s="17">
        <f>IF(NOT(ISBLANK(Audit[[#This Row],[Audit Losing Candidate]])), Audit[[#This Row],[Audit Losing Candidate]]-Audit[[#This Row],[Losing Candidate]], "")</f>
        <v>0</v>
      </c>
      <c r="AG70" s="17" t="str">
        <f>IF(NOT(ISBLANK(Audit[[#This Row],[Audit Candidate 3]])), Audit[[#This Row],[Audit Candidate 3]]-Audit[[#This Row],[Candidate 3]], "")</f>
        <v/>
      </c>
      <c r="AH70" s="17" t="str">
        <f>IF(NOT(ISBLANK(Audit[[#This Row],[Audit Candidate 4]])),Audit[[#This Row],[Audit Candidate 4]]-Audit[[#This Row],[Candidate 4]], "")</f>
        <v/>
      </c>
      <c r="AI70" s="17" t="str">
        <f>IF(NOT(ISBLANK(Audit[[#This Row],[Audit Candidate 5]])), Audit[[#This Row],[Audit Candidate 5]]-Audit[[#This Row],[Candidate 5]], "")</f>
        <v/>
      </c>
      <c r="AJ70" s="17" t="str">
        <f>IF(NOT(ISBLANK(Audit[[#This Row],[Audit Candidate 6]])), Audit[[#This Row],[Audit Candidate 6]]-Audit[[#This Row],[Candidate 6]], "")</f>
        <v/>
      </c>
      <c r="AK70" s="17" t="str">
        <f>IF(NOT(ISBLANK(Audit[[#This Row],[Audit Candidate 7]])), Audit[[#This Row],[Audit Candidate 7]]-Audit[[#This Row],[Candidate 7]], "")</f>
        <v/>
      </c>
      <c r="AL70" s="17" t="str">
        <f>IF(NOT(ISBLANK(Audit[[#This Row],[Audit Candidate 8]])), Audit[[#This Row],[Audit Candidate 8]]-Audit[[#This Row],[Candidate 8]], "")</f>
        <v/>
      </c>
      <c r="AM70" s="17" t="str">
        <f>IF(NOT(ISBLANK(Audit[[#This Row],[Audit Candidate 9]])), Audit[[#This Row],[Audit Candidate 9]]-Audit[[#This Row],[Candidate 9]], "")</f>
        <v/>
      </c>
      <c r="AN70" s="17" t="str">
        <f>IF(NOT(ISBLANK(Audit[[#This Row],[Audit Candidate 10]])), Audit[[#This Row],[Audit Candidate 10]]-Audit[[#This Row],[Candidate 10]], "")</f>
        <v/>
      </c>
      <c r="AO70" s="17" t="str">
        <f>IF(NOT(ISBLANK(Audit[[#This Row],[Audit Candidate 11]])), Audit[[#This Row],[Audit Candidate 11]]-Audit[[#This Row],[Candidate 11]], "")</f>
        <v/>
      </c>
      <c r="AP70" s="17" t="str">
        <f>IF(NOT(ISBLANK(Audit[[#This Row],[Audit Candidate 12]])), Audit[[#This Row],[Audit Candidate 12]]-Audit[[#This Row],[Candidate 12]], "")</f>
        <v/>
      </c>
      <c r="AQ70" s="17">
        <f>SUMIF(Audit[[#This Row],[Difference Winner]:[Difference Candidate 12]], "&gt;0")</f>
        <v>0</v>
      </c>
      <c r="AR70" s="17">
        <f>SUM(Audit[[#This Row],[Difference Winner]:[Difference Candidate 12]])</f>
        <v>0</v>
      </c>
      <c r="AS70" s="17">
        <f>IF(Audit[[#This Row],[Times p Drawn - With Replacement]]&gt;0, IF(Audit[[#This Row],[Canceled Differences]]&lt;0, Audit[[#This Row],[Max Differences]]+ABS(Audit[[#This Row],[Canceled Differences]]), Audit[[#This Row],[Max Differences]]), 0)</f>
        <v>0</v>
      </c>
      <c r="AT70" s="17">
        <f>'Sampling Data'!AB70</f>
        <v>2.5505007638771008E-2</v>
      </c>
      <c r="AU70" s="17">
        <f>IF(
      SUM(Audit[[#This Row],[Audit Losing Candidate]:[Audit Candidate 12]])
      &lt;&gt;0,
      (Audit[[#This Row],[Winning Candidate]]-Audit[[#This Row],[Losing Candidate]]-(Audit[[#This Row],[Audit Winning Candidate]]-Audit[[#This Row],[Audit Losing Candidate]]))/(Audit[[#Totals],[Winning Candidate]]-Audit[[#Totals],[Losing Candidate]]),
      0
)</f>
        <v>0</v>
      </c>
      <c r="AV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 s="17">
        <f>IF(Audit[[#This Row],[Max Relative Error (ep)]] = 0, 0, Audit[[#This Row],[Max Relative Error (ep)]]/Audit[[#This Row],[Error Bound (up) - Max. possible relative overstatement]])</f>
        <v>0</v>
      </c>
      <c r="BH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0" s="17">
        <f t="shared" si="1"/>
        <v>0.94645908314247273</v>
      </c>
      <c r="BJ70" s="17">
        <f>PRODUCT($BI$5:BI70)</f>
        <v>0.89578479606289008</v>
      </c>
      <c r="BK70" s="19">
        <f>1 - Audit[[#This Row],[K-M P Value]]</f>
        <v>0.10421520393710992</v>
      </c>
      <c r="BL70" s="17" t="str">
        <f>IF(Audit[[#This Row],[K-M P Value]]&gt;1-'General Info'!$B$12,"Continue", "Stop")</f>
        <v>Continue</v>
      </c>
      <c r="BM70" s="22" t="b">
        <f>IF(Audit[[#This Row],[Status - Continue or stop audit]] = "Continue", TRUE, IF(BL69 = "Continue", TRUE, FALSE))</f>
        <v>1</v>
      </c>
      <c r="BN70" s="22"/>
    </row>
    <row r="71" spans="1:66" ht="15" hidden="1" customHeight="1" x14ac:dyDescent="0.35">
      <c r="A71" s="17" t="str">
        <f>'Sampling Data'!AI71</f>
        <v/>
      </c>
      <c r="B71" s="17" t="str">
        <f>'Sampling Data'!A71</f>
        <v>0901 CIN 9-A   (AV)</v>
      </c>
      <c r="C71" s="17">
        <f>'Sampling Data'!B71</f>
        <v>112</v>
      </c>
      <c r="D71" s="17">
        <f>'Sampling Data'!C71</f>
        <v>9</v>
      </c>
      <c r="E71" s="18">
        <f>'Sampling Data'!D71</f>
        <v>0</v>
      </c>
      <c r="F71" s="18">
        <f>'Sampling Data'!E71</f>
        <v>0</v>
      </c>
      <c r="G71" s="18">
        <f>'Sampling Data'!F71</f>
        <v>0</v>
      </c>
      <c r="H71" s="18">
        <f>'Sampling Data'!G71</f>
        <v>0</v>
      </c>
      <c r="I71" s="18">
        <f>'Sampling Data'!H71</f>
        <v>0</v>
      </c>
      <c r="J71" s="18">
        <f>'Sampling Data'!I71</f>
        <v>0</v>
      </c>
      <c r="K71" s="18">
        <f>'Sampling Data'!J71</f>
        <v>0</v>
      </c>
      <c r="L71" s="18">
        <f>'Sampling Data'!K71</f>
        <v>0</v>
      </c>
      <c r="M71" s="18">
        <f>'Sampling Data'!L71</f>
        <v>0</v>
      </c>
      <c r="N71" s="18">
        <f>'Sampling Data'!M71</f>
        <v>0</v>
      </c>
      <c r="O71" s="17">
        <f>'Sampling Data'!N71</f>
        <v>0</v>
      </c>
      <c r="P71" s="17">
        <f>'Sampling Data'!O71</f>
        <v>10</v>
      </c>
      <c r="Q71" s="17">
        <f>'Sampling Data'!P71</f>
        <v>131</v>
      </c>
      <c r="R71" s="17">
        <f>'Sampling Data'!AJ71</f>
        <v>0</v>
      </c>
      <c r="S71" s="111"/>
      <c r="T71" s="111"/>
      <c r="U71" s="112"/>
      <c r="V71" s="112"/>
      <c r="W71" s="111"/>
      <c r="X71" s="111"/>
      <c r="Y71" s="111"/>
      <c r="Z71" s="111"/>
      <c r="AA71" s="14"/>
      <c r="AB71" s="14"/>
      <c r="AC71" s="14"/>
      <c r="AD71" s="14"/>
      <c r="AE71" s="113" t="str">
        <f>IF(NOT(ISBLANK(Audit[[#This Row],[Audit Winning Candidate]])), Audit[[#This Row],[Audit Winning Candidate]]-Audit[[#This Row],[Winning Candidate]], "")</f>
        <v/>
      </c>
      <c r="AF71" s="17" t="str">
        <f>IF(NOT(ISBLANK(Audit[[#This Row],[Audit Losing Candidate]])), Audit[[#This Row],[Audit Losing Candidate]]-Audit[[#This Row],[Losing Candidate]], "")</f>
        <v/>
      </c>
      <c r="AG71" s="17" t="str">
        <f>IF(NOT(ISBLANK(Audit[[#This Row],[Audit Candidate 3]])), Audit[[#This Row],[Audit Candidate 3]]-Audit[[#This Row],[Candidate 3]], "")</f>
        <v/>
      </c>
      <c r="AH71" s="17" t="str">
        <f>IF(NOT(ISBLANK(Audit[[#This Row],[Audit Candidate 4]])),Audit[[#This Row],[Audit Candidate 4]]-Audit[[#This Row],[Candidate 4]], "")</f>
        <v/>
      </c>
      <c r="AI71" s="17" t="str">
        <f>IF(NOT(ISBLANK(Audit[[#This Row],[Audit Candidate 5]])), Audit[[#This Row],[Audit Candidate 5]]-Audit[[#This Row],[Candidate 5]], "")</f>
        <v/>
      </c>
      <c r="AJ71" s="17" t="str">
        <f>IF(NOT(ISBLANK(Audit[[#This Row],[Audit Candidate 6]])), Audit[[#This Row],[Audit Candidate 6]]-Audit[[#This Row],[Candidate 6]], "")</f>
        <v/>
      </c>
      <c r="AK71" s="17" t="str">
        <f>IF(NOT(ISBLANK(Audit[[#This Row],[Audit Candidate 7]])), Audit[[#This Row],[Audit Candidate 7]]-Audit[[#This Row],[Candidate 7]], "")</f>
        <v/>
      </c>
      <c r="AL71" s="17" t="str">
        <f>IF(NOT(ISBLANK(Audit[[#This Row],[Audit Candidate 8]])), Audit[[#This Row],[Audit Candidate 8]]-Audit[[#This Row],[Candidate 8]], "")</f>
        <v/>
      </c>
      <c r="AM71" s="17" t="str">
        <f>IF(NOT(ISBLANK(Audit[[#This Row],[Audit Candidate 9]])), Audit[[#This Row],[Audit Candidate 9]]-Audit[[#This Row],[Candidate 9]], "")</f>
        <v/>
      </c>
      <c r="AN71" s="17" t="str">
        <f>IF(NOT(ISBLANK(Audit[[#This Row],[Audit Candidate 10]])), Audit[[#This Row],[Audit Candidate 10]]-Audit[[#This Row],[Candidate 10]], "")</f>
        <v/>
      </c>
      <c r="AO71" s="17" t="str">
        <f>IF(NOT(ISBLANK(Audit[[#This Row],[Audit Candidate 11]])), Audit[[#This Row],[Audit Candidate 11]]-Audit[[#This Row],[Candidate 11]], "")</f>
        <v/>
      </c>
      <c r="AP71" s="17" t="str">
        <f>IF(NOT(ISBLANK(Audit[[#This Row],[Audit Candidate 12]])), Audit[[#This Row],[Audit Candidate 12]]-Audit[[#This Row],[Candidate 12]], "")</f>
        <v/>
      </c>
      <c r="AQ71" s="17">
        <f>SUMIF(Audit[[#This Row],[Difference Winner]:[Difference Candidate 12]], "&gt;0")</f>
        <v>0</v>
      </c>
      <c r="AR71" s="17">
        <f>SUM(Audit[[#This Row],[Difference Winner]:[Difference Candidate 12]])</f>
        <v>0</v>
      </c>
      <c r="AS71" s="17">
        <f>IF(Audit[[#This Row],[Times p Drawn - With Replacement]]&gt;0, IF(Audit[[#This Row],[Canceled Differences]]&lt;0, Audit[[#This Row],[Max Differences]]+ABS(Audit[[#This Row],[Canceled Differences]]), Audit[[#This Row],[Max Differences]]), 0)</f>
        <v>0</v>
      </c>
      <c r="AT71" s="17">
        <f>'Sampling Data'!AB71</f>
        <v>9.9304023086063484E-3</v>
      </c>
      <c r="AU71" s="17">
        <f>IF(
      SUM(Audit[[#This Row],[Audit Losing Candidate]:[Audit Candidate 12]])
      &lt;&gt;0,
      (Audit[[#This Row],[Winning Candidate]]-Audit[[#This Row],[Losing Candidate]]-(Audit[[#This Row],[Audit Winning Candidate]]-Audit[[#This Row],[Audit Losing Candidate]]))/(Audit[[#Totals],[Winning Candidate]]-Audit[[#Totals],[Losing Candidate]]),
      0
)</f>
        <v>0</v>
      </c>
      <c r="AV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 s="17">
        <f>IF(Audit[[#This Row],[Max Relative Error (ep)]] = 0, 0, Audit[[#This Row],[Max Relative Error (ep)]]/Audit[[#This Row],[Error Bound (up) - Max. possible relative overstatement]])</f>
        <v>0</v>
      </c>
      <c r="BH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1" s="17">
        <f t="shared" si="1"/>
        <v>1</v>
      </c>
      <c r="BJ71" s="17">
        <f>PRODUCT($BI$5:BI71)</f>
        <v>0.89578479606289008</v>
      </c>
      <c r="BK71" s="19">
        <f>1 - Audit[[#This Row],[K-M P Value]]</f>
        <v>0.10421520393710992</v>
      </c>
      <c r="BL71" s="17" t="str">
        <f>IF(Audit[[#This Row],[K-M P Value]]&gt;1-'General Info'!$B$12,"Continue", "Stop")</f>
        <v>Continue</v>
      </c>
      <c r="BM71" s="22" t="b">
        <f>IF(Audit[[#This Row],[Status - Continue or stop audit]] = "Continue", TRUE, IF(BL70 = "Continue", TRUE, FALSE))</f>
        <v>1</v>
      </c>
      <c r="BN71" s="22"/>
    </row>
    <row r="72" spans="1:66" ht="15" hidden="1" customHeight="1" x14ac:dyDescent="0.35">
      <c r="A72" s="17" t="str">
        <f>'Sampling Data'!AI72</f>
        <v/>
      </c>
      <c r="B72" s="17" t="str">
        <f>'Sampling Data'!A72</f>
        <v>0902 CIN 9-B   (AV)</v>
      </c>
      <c r="C72" s="17">
        <f>'Sampling Data'!B72</f>
        <v>480</v>
      </c>
      <c r="D72" s="17">
        <f>'Sampling Data'!C72</f>
        <v>124</v>
      </c>
      <c r="E72" s="18">
        <f>'Sampling Data'!D72</f>
        <v>0</v>
      </c>
      <c r="F72" s="18">
        <f>'Sampling Data'!E72</f>
        <v>0</v>
      </c>
      <c r="G72" s="18">
        <f>'Sampling Data'!F72</f>
        <v>0</v>
      </c>
      <c r="H72" s="18">
        <f>'Sampling Data'!G72</f>
        <v>0</v>
      </c>
      <c r="I72" s="18">
        <f>'Sampling Data'!H72</f>
        <v>0</v>
      </c>
      <c r="J72" s="18">
        <f>'Sampling Data'!I72</f>
        <v>0</v>
      </c>
      <c r="K72" s="18">
        <f>'Sampling Data'!J72</f>
        <v>0</v>
      </c>
      <c r="L72" s="18">
        <f>'Sampling Data'!K72</f>
        <v>0</v>
      </c>
      <c r="M72" s="18">
        <f>'Sampling Data'!L72</f>
        <v>0</v>
      </c>
      <c r="N72" s="18">
        <f>'Sampling Data'!M72</f>
        <v>0</v>
      </c>
      <c r="O72" s="17">
        <f>'Sampling Data'!N72</f>
        <v>0</v>
      </c>
      <c r="P72" s="17">
        <f>'Sampling Data'!O72</f>
        <v>30</v>
      </c>
      <c r="Q72" s="17">
        <f>'Sampling Data'!P72</f>
        <v>634</v>
      </c>
      <c r="R72" s="17">
        <f>'Sampling Data'!AJ72</f>
        <v>0</v>
      </c>
      <c r="S72" s="111"/>
      <c r="T72" s="111"/>
      <c r="U72" s="112"/>
      <c r="V72" s="112"/>
      <c r="W72" s="111"/>
      <c r="X72" s="111"/>
      <c r="Y72" s="111"/>
      <c r="Z72" s="111"/>
      <c r="AA72" s="14"/>
      <c r="AB72" s="14"/>
      <c r="AC72" s="14"/>
      <c r="AD72" s="14"/>
      <c r="AE72" s="113" t="str">
        <f>IF(NOT(ISBLANK(Audit[[#This Row],[Audit Winning Candidate]])), Audit[[#This Row],[Audit Winning Candidate]]-Audit[[#This Row],[Winning Candidate]], "")</f>
        <v/>
      </c>
      <c r="AF72" s="17" t="str">
        <f>IF(NOT(ISBLANK(Audit[[#This Row],[Audit Losing Candidate]])), Audit[[#This Row],[Audit Losing Candidate]]-Audit[[#This Row],[Losing Candidate]], "")</f>
        <v/>
      </c>
      <c r="AG72" s="17" t="str">
        <f>IF(NOT(ISBLANK(Audit[[#This Row],[Audit Candidate 3]])), Audit[[#This Row],[Audit Candidate 3]]-Audit[[#This Row],[Candidate 3]], "")</f>
        <v/>
      </c>
      <c r="AH72" s="17" t="str">
        <f>IF(NOT(ISBLANK(Audit[[#This Row],[Audit Candidate 4]])),Audit[[#This Row],[Audit Candidate 4]]-Audit[[#This Row],[Candidate 4]], "")</f>
        <v/>
      </c>
      <c r="AI72" s="17" t="str">
        <f>IF(NOT(ISBLANK(Audit[[#This Row],[Audit Candidate 5]])), Audit[[#This Row],[Audit Candidate 5]]-Audit[[#This Row],[Candidate 5]], "")</f>
        <v/>
      </c>
      <c r="AJ72" s="17" t="str">
        <f>IF(NOT(ISBLANK(Audit[[#This Row],[Audit Candidate 6]])), Audit[[#This Row],[Audit Candidate 6]]-Audit[[#This Row],[Candidate 6]], "")</f>
        <v/>
      </c>
      <c r="AK72" s="17" t="str">
        <f>IF(NOT(ISBLANK(Audit[[#This Row],[Audit Candidate 7]])), Audit[[#This Row],[Audit Candidate 7]]-Audit[[#This Row],[Candidate 7]], "")</f>
        <v/>
      </c>
      <c r="AL72" s="17" t="str">
        <f>IF(NOT(ISBLANK(Audit[[#This Row],[Audit Candidate 8]])), Audit[[#This Row],[Audit Candidate 8]]-Audit[[#This Row],[Candidate 8]], "")</f>
        <v/>
      </c>
      <c r="AM72" s="17" t="str">
        <f>IF(NOT(ISBLANK(Audit[[#This Row],[Audit Candidate 9]])), Audit[[#This Row],[Audit Candidate 9]]-Audit[[#This Row],[Candidate 9]], "")</f>
        <v/>
      </c>
      <c r="AN72" s="17" t="str">
        <f>IF(NOT(ISBLANK(Audit[[#This Row],[Audit Candidate 10]])), Audit[[#This Row],[Audit Candidate 10]]-Audit[[#This Row],[Candidate 10]], "")</f>
        <v/>
      </c>
      <c r="AO72" s="17" t="str">
        <f>IF(NOT(ISBLANK(Audit[[#This Row],[Audit Candidate 11]])), Audit[[#This Row],[Audit Candidate 11]]-Audit[[#This Row],[Candidate 11]], "")</f>
        <v/>
      </c>
      <c r="AP72" s="17" t="str">
        <f>IF(NOT(ISBLANK(Audit[[#This Row],[Audit Candidate 12]])), Audit[[#This Row],[Audit Candidate 12]]-Audit[[#This Row],[Candidate 12]], "")</f>
        <v/>
      </c>
      <c r="AQ72" s="17">
        <f>SUMIF(Audit[[#This Row],[Difference Winner]:[Difference Candidate 12]], "&gt;0")</f>
        <v>0</v>
      </c>
      <c r="AR72" s="17">
        <f>SUM(Audit[[#This Row],[Difference Winner]:[Difference Candidate 12]])</f>
        <v>0</v>
      </c>
      <c r="AS72" s="17">
        <f>IF(Audit[[#This Row],[Times p Drawn - With Replacement]]&gt;0, IF(Audit[[#This Row],[Canceled Differences]]&lt;0, Audit[[#This Row],[Max Differences]]+ABS(Audit[[#This Row],[Canceled Differences]]), Audit[[#This Row],[Max Differences]]), 0)</f>
        <v>0</v>
      </c>
      <c r="AT72" s="17">
        <f>'Sampling Data'!AB72</f>
        <v>4.2013240536411478E-2</v>
      </c>
      <c r="AU72" s="17">
        <f>IF(
      SUM(Audit[[#This Row],[Audit Losing Candidate]:[Audit Candidate 12]])
      &lt;&gt;0,
      (Audit[[#This Row],[Winning Candidate]]-Audit[[#This Row],[Losing Candidate]]-(Audit[[#This Row],[Audit Winning Candidate]]-Audit[[#This Row],[Audit Losing Candidate]]))/(Audit[[#Totals],[Winning Candidate]]-Audit[[#Totals],[Losing Candidate]]),
      0
)</f>
        <v>0</v>
      </c>
      <c r="AV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 s="17">
        <f>IF(Audit[[#This Row],[Max Relative Error (ep)]] = 0, 0, Audit[[#This Row],[Max Relative Error (ep)]]/Audit[[#This Row],[Error Bound (up) - Max. possible relative overstatement]])</f>
        <v>0</v>
      </c>
      <c r="BH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2" s="17">
        <f t="shared" si="1"/>
        <v>1</v>
      </c>
      <c r="BJ72" s="17">
        <f>PRODUCT($BI$5:BI72)</f>
        <v>0.89578479606289008</v>
      </c>
      <c r="BK72" s="19">
        <f>1 - Audit[[#This Row],[K-M P Value]]</f>
        <v>0.10421520393710992</v>
      </c>
      <c r="BL72" s="17" t="str">
        <f>IF(Audit[[#This Row],[K-M P Value]]&gt;1-'General Info'!$B$12,"Continue", "Stop")</f>
        <v>Continue</v>
      </c>
      <c r="BM72" s="22" t="b">
        <f>IF(Audit[[#This Row],[Status - Continue or stop audit]] = "Continue", TRUE, IF(BL71 = "Continue", TRUE, FALSE))</f>
        <v>1</v>
      </c>
      <c r="BN72" s="22"/>
    </row>
    <row r="73" spans="1:66" ht="15" hidden="1" customHeight="1" x14ac:dyDescent="0.35">
      <c r="A73" s="17" t="str">
        <f>'Sampling Data'!AI73</f>
        <v/>
      </c>
      <c r="B73" s="17" t="str">
        <f>'Sampling Data'!A73</f>
        <v>0903 CIN 9-C   (AV)</v>
      </c>
      <c r="C73" s="17">
        <f>'Sampling Data'!B73</f>
        <v>232</v>
      </c>
      <c r="D73" s="17">
        <f>'Sampling Data'!C73</f>
        <v>29</v>
      </c>
      <c r="E73" s="18">
        <f>'Sampling Data'!D73</f>
        <v>0</v>
      </c>
      <c r="F73" s="18">
        <f>'Sampling Data'!E73</f>
        <v>0</v>
      </c>
      <c r="G73" s="18">
        <f>'Sampling Data'!F73</f>
        <v>0</v>
      </c>
      <c r="H73" s="18">
        <f>'Sampling Data'!G73</f>
        <v>0</v>
      </c>
      <c r="I73" s="18">
        <f>'Sampling Data'!H73</f>
        <v>0</v>
      </c>
      <c r="J73" s="18">
        <f>'Sampling Data'!I73</f>
        <v>0</v>
      </c>
      <c r="K73" s="18">
        <f>'Sampling Data'!J73</f>
        <v>0</v>
      </c>
      <c r="L73" s="18">
        <f>'Sampling Data'!K73</f>
        <v>0</v>
      </c>
      <c r="M73" s="18">
        <f>'Sampling Data'!L73</f>
        <v>0</v>
      </c>
      <c r="N73" s="18">
        <f>'Sampling Data'!M73</f>
        <v>0</v>
      </c>
      <c r="O73" s="17">
        <f>'Sampling Data'!N73</f>
        <v>0</v>
      </c>
      <c r="P73" s="17">
        <f>'Sampling Data'!O73</f>
        <v>15</v>
      </c>
      <c r="Q73" s="17">
        <f>'Sampling Data'!P73</f>
        <v>276</v>
      </c>
      <c r="R73" s="17">
        <f>'Sampling Data'!AJ73</f>
        <v>0</v>
      </c>
      <c r="S73" s="111"/>
      <c r="T73" s="111"/>
      <c r="U73" s="112"/>
      <c r="V73" s="112"/>
      <c r="W73" s="111"/>
      <c r="X73" s="111"/>
      <c r="Y73" s="111"/>
      <c r="Z73" s="111"/>
      <c r="AA73" s="14"/>
      <c r="AB73" s="14"/>
      <c r="AC73" s="14"/>
      <c r="AD73" s="14"/>
      <c r="AE73" s="113" t="str">
        <f>IF(NOT(ISBLANK(Audit[[#This Row],[Audit Winning Candidate]])), Audit[[#This Row],[Audit Winning Candidate]]-Audit[[#This Row],[Winning Candidate]], "")</f>
        <v/>
      </c>
      <c r="AF73" s="17" t="str">
        <f>IF(NOT(ISBLANK(Audit[[#This Row],[Audit Losing Candidate]])), Audit[[#This Row],[Audit Losing Candidate]]-Audit[[#This Row],[Losing Candidate]], "")</f>
        <v/>
      </c>
      <c r="AG73" s="17" t="str">
        <f>IF(NOT(ISBLANK(Audit[[#This Row],[Audit Candidate 3]])), Audit[[#This Row],[Audit Candidate 3]]-Audit[[#This Row],[Candidate 3]], "")</f>
        <v/>
      </c>
      <c r="AH73" s="17" t="str">
        <f>IF(NOT(ISBLANK(Audit[[#This Row],[Audit Candidate 4]])),Audit[[#This Row],[Audit Candidate 4]]-Audit[[#This Row],[Candidate 4]], "")</f>
        <v/>
      </c>
      <c r="AI73" s="17" t="str">
        <f>IF(NOT(ISBLANK(Audit[[#This Row],[Audit Candidate 5]])), Audit[[#This Row],[Audit Candidate 5]]-Audit[[#This Row],[Candidate 5]], "")</f>
        <v/>
      </c>
      <c r="AJ73" s="17" t="str">
        <f>IF(NOT(ISBLANK(Audit[[#This Row],[Audit Candidate 6]])), Audit[[#This Row],[Audit Candidate 6]]-Audit[[#This Row],[Candidate 6]], "")</f>
        <v/>
      </c>
      <c r="AK73" s="17" t="str">
        <f>IF(NOT(ISBLANK(Audit[[#This Row],[Audit Candidate 7]])), Audit[[#This Row],[Audit Candidate 7]]-Audit[[#This Row],[Candidate 7]], "")</f>
        <v/>
      </c>
      <c r="AL73" s="17" t="str">
        <f>IF(NOT(ISBLANK(Audit[[#This Row],[Audit Candidate 8]])), Audit[[#This Row],[Audit Candidate 8]]-Audit[[#This Row],[Candidate 8]], "")</f>
        <v/>
      </c>
      <c r="AM73" s="17" t="str">
        <f>IF(NOT(ISBLANK(Audit[[#This Row],[Audit Candidate 9]])), Audit[[#This Row],[Audit Candidate 9]]-Audit[[#This Row],[Candidate 9]], "")</f>
        <v/>
      </c>
      <c r="AN73" s="17" t="str">
        <f>IF(NOT(ISBLANK(Audit[[#This Row],[Audit Candidate 10]])), Audit[[#This Row],[Audit Candidate 10]]-Audit[[#This Row],[Candidate 10]], "")</f>
        <v/>
      </c>
      <c r="AO73" s="17" t="str">
        <f>IF(NOT(ISBLANK(Audit[[#This Row],[Audit Candidate 11]])), Audit[[#This Row],[Audit Candidate 11]]-Audit[[#This Row],[Candidate 11]], "")</f>
        <v/>
      </c>
      <c r="AP73" s="17" t="str">
        <f>IF(NOT(ISBLANK(Audit[[#This Row],[Audit Candidate 12]])), Audit[[#This Row],[Audit Candidate 12]]-Audit[[#This Row],[Candidate 12]], "")</f>
        <v/>
      </c>
      <c r="AQ73" s="17">
        <f>SUMIF(Audit[[#This Row],[Difference Winner]:[Difference Candidate 12]], "&gt;0")</f>
        <v>0</v>
      </c>
      <c r="AR73" s="17">
        <f>SUM(Audit[[#This Row],[Difference Winner]:[Difference Candidate 12]])</f>
        <v>0</v>
      </c>
      <c r="AS73" s="17">
        <f>IF(Audit[[#This Row],[Times p Drawn - With Replacement]]&gt;0, IF(Audit[[#This Row],[Canceled Differences]]&lt;0, Audit[[#This Row],[Max Differences]]+ABS(Audit[[#This Row],[Canceled Differences]]), Audit[[#This Row],[Max Differences]]), 0)</f>
        <v>0</v>
      </c>
      <c r="AT73" s="17">
        <f>'Sampling Data'!AB73</f>
        <v>2.0327618400950601E-2</v>
      </c>
      <c r="AU73" s="17">
        <f>IF(
      SUM(Audit[[#This Row],[Audit Losing Candidate]:[Audit Candidate 12]])
      &lt;&gt;0,
      (Audit[[#This Row],[Winning Candidate]]-Audit[[#This Row],[Losing Candidate]]-(Audit[[#This Row],[Audit Winning Candidate]]-Audit[[#This Row],[Audit Losing Candidate]]))/(Audit[[#Totals],[Winning Candidate]]-Audit[[#Totals],[Losing Candidate]]),
      0
)</f>
        <v>0</v>
      </c>
      <c r="AV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 s="17">
        <f>IF(Audit[[#This Row],[Max Relative Error (ep)]] = 0, 0, Audit[[#This Row],[Max Relative Error (ep)]]/Audit[[#This Row],[Error Bound (up) - Max. possible relative overstatement]])</f>
        <v>0</v>
      </c>
      <c r="BH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3" s="17">
        <f t="shared" si="1"/>
        <v>1</v>
      </c>
      <c r="BJ73" s="17">
        <f>PRODUCT($BI$5:BI73)</f>
        <v>0.89578479606289008</v>
      </c>
      <c r="BK73" s="19">
        <f>1 - Audit[[#This Row],[K-M P Value]]</f>
        <v>0.10421520393710992</v>
      </c>
      <c r="BL73" s="17" t="str">
        <f>IF(Audit[[#This Row],[K-M P Value]]&gt;1-'General Info'!$B$12,"Continue", "Stop")</f>
        <v>Continue</v>
      </c>
      <c r="BM73" s="22" t="b">
        <f>IF(Audit[[#This Row],[Status - Continue or stop audit]] = "Continue", TRUE, IF(BL72 = "Continue", TRUE, FALSE))</f>
        <v>1</v>
      </c>
      <c r="BN73" s="22"/>
    </row>
    <row r="74" spans="1:66" ht="15" hidden="1" customHeight="1" x14ac:dyDescent="0.35">
      <c r="A74" s="17" t="str">
        <f>'Sampling Data'!AI74</f>
        <v/>
      </c>
      <c r="B74" s="17" t="str">
        <f>'Sampling Data'!A74</f>
        <v>0904 CIN 9-D   (AV)</v>
      </c>
      <c r="C74" s="17">
        <f>'Sampling Data'!B74</f>
        <v>195</v>
      </c>
      <c r="D74" s="17">
        <f>'Sampling Data'!C74</f>
        <v>12</v>
      </c>
      <c r="E74" s="18">
        <f>'Sampling Data'!D74</f>
        <v>0</v>
      </c>
      <c r="F74" s="18">
        <f>'Sampling Data'!E74</f>
        <v>0</v>
      </c>
      <c r="G74" s="18">
        <f>'Sampling Data'!F74</f>
        <v>0</v>
      </c>
      <c r="H74" s="18">
        <f>'Sampling Data'!G74</f>
        <v>0</v>
      </c>
      <c r="I74" s="18">
        <f>'Sampling Data'!H74</f>
        <v>0</v>
      </c>
      <c r="J74" s="18">
        <f>'Sampling Data'!I74</f>
        <v>0</v>
      </c>
      <c r="K74" s="18">
        <f>'Sampling Data'!J74</f>
        <v>0</v>
      </c>
      <c r="L74" s="18">
        <f>'Sampling Data'!K74</f>
        <v>0</v>
      </c>
      <c r="M74" s="18">
        <f>'Sampling Data'!L74</f>
        <v>0</v>
      </c>
      <c r="N74" s="18">
        <f>'Sampling Data'!M74</f>
        <v>0</v>
      </c>
      <c r="O74" s="17">
        <f>'Sampling Data'!N74</f>
        <v>0</v>
      </c>
      <c r="P74" s="17">
        <f>'Sampling Data'!O74</f>
        <v>12</v>
      </c>
      <c r="Q74" s="17">
        <f>'Sampling Data'!P74</f>
        <v>219</v>
      </c>
      <c r="R74" s="17">
        <f>'Sampling Data'!AJ74</f>
        <v>0</v>
      </c>
      <c r="S74" s="111"/>
      <c r="T74" s="111"/>
      <c r="U74" s="112"/>
      <c r="V74" s="112"/>
      <c r="W74" s="111"/>
      <c r="X74" s="111"/>
      <c r="Y74" s="111"/>
      <c r="Z74" s="111"/>
      <c r="AA74" s="14"/>
      <c r="AB74" s="14"/>
      <c r="AC74" s="14"/>
      <c r="AD74" s="14"/>
      <c r="AE74" s="113" t="str">
        <f>IF(NOT(ISBLANK(Audit[[#This Row],[Audit Winning Candidate]])), Audit[[#This Row],[Audit Winning Candidate]]-Audit[[#This Row],[Winning Candidate]], "")</f>
        <v/>
      </c>
      <c r="AF74" s="17" t="str">
        <f>IF(NOT(ISBLANK(Audit[[#This Row],[Audit Losing Candidate]])), Audit[[#This Row],[Audit Losing Candidate]]-Audit[[#This Row],[Losing Candidate]], "")</f>
        <v/>
      </c>
      <c r="AG74" s="17" t="str">
        <f>IF(NOT(ISBLANK(Audit[[#This Row],[Audit Candidate 3]])), Audit[[#This Row],[Audit Candidate 3]]-Audit[[#This Row],[Candidate 3]], "")</f>
        <v/>
      </c>
      <c r="AH74" s="17" t="str">
        <f>IF(NOT(ISBLANK(Audit[[#This Row],[Audit Candidate 4]])),Audit[[#This Row],[Audit Candidate 4]]-Audit[[#This Row],[Candidate 4]], "")</f>
        <v/>
      </c>
      <c r="AI74" s="17" t="str">
        <f>IF(NOT(ISBLANK(Audit[[#This Row],[Audit Candidate 5]])), Audit[[#This Row],[Audit Candidate 5]]-Audit[[#This Row],[Candidate 5]], "")</f>
        <v/>
      </c>
      <c r="AJ74" s="17" t="str">
        <f>IF(NOT(ISBLANK(Audit[[#This Row],[Audit Candidate 6]])), Audit[[#This Row],[Audit Candidate 6]]-Audit[[#This Row],[Candidate 6]], "")</f>
        <v/>
      </c>
      <c r="AK74" s="17" t="str">
        <f>IF(NOT(ISBLANK(Audit[[#This Row],[Audit Candidate 7]])), Audit[[#This Row],[Audit Candidate 7]]-Audit[[#This Row],[Candidate 7]], "")</f>
        <v/>
      </c>
      <c r="AL74" s="17" t="str">
        <f>IF(NOT(ISBLANK(Audit[[#This Row],[Audit Candidate 8]])), Audit[[#This Row],[Audit Candidate 8]]-Audit[[#This Row],[Candidate 8]], "")</f>
        <v/>
      </c>
      <c r="AM74" s="17" t="str">
        <f>IF(NOT(ISBLANK(Audit[[#This Row],[Audit Candidate 9]])), Audit[[#This Row],[Audit Candidate 9]]-Audit[[#This Row],[Candidate 9]], "")</f>
        <v/>
      </c>
      <c r="AN74" s="17" t="str">
        <f>IF(NOT(ISBLANK(Audit[[#This Row],[Audit Candidate 10]])), Audit[[#This Row],[Audit Candidate 10]]-Audit[[#This Row],[Candidate 10]], "")</f>
        <v/>
      </c>
      <c r="AO74" s="17" t="str">
        <f>IF(NOT(ISBLANK(Audit[[#This Row],[Audit Candidate 11]])), Audit[[#This Row],[Audit Candidate 11]]-Audit[[#This Row],[Candidate 11]], "")</f>
        <v/>
      </c>
      <c r="AP74" s="17" t="str">
        <f>IF(NOT(ISBLANK(Audit[[#This Row],[Audit Candidate 12]])), Audit[[#This Row],[Audit Candidate 12]]-Audit[[#This Row],[Candidate 12]], "")</f>
        <v/>
      </c>
      <c r="AQ74" s="17">
        <f>SUMIF(Audit[[#This Row],[Difference Winner]:[Difference Candidate 12]], "&gt;0")</f>
        <v>0</v>
      </c>
      <c r="AR74" s="17">
        <f>SUM(Audit[[#This Row],[Difference Winner]:[Difference Candidate 12]])</f>
        <v>0</v>
      </c>
      <c r="AS74" s="17">
        <f>IF(Audit[[#This Row],[Times p Drawn - With Replacement]]&gt;0, IF(Audit[[#This Row],[Canceled Differences]]&lt;0, Audit[[#This Row],[Max Differences]]+ABS(Audit[[#This Row],[Canceled Differences]]), Audit[[#This Row],[Max Differences]]), 0)</f>
        <v>0</v>
      </c>
      <c r="AT74" s="17">
        <f>'Sampling Data'!AB74</f>
        <v>1.7059921914785267E-2</v>
      </c>
      <c r="AU74" s="17">
        <f>IF(
      SUM(Audit[[#This Row],[Audit Losing Candidate]:[Audit Candidate 12]])
      &lt;&gt;0,
      (Audit[[#This Row],[Winning Candidate]]-Audit[[#This Row],[Losing Candidate]]-(Audit[[#This Row],[Audit Winning Candidate]]-Audit[[#This Row],[Audit Losing Candidate]]))/(Audit[[#Totals],[Winning Candidate]]-Audit[[#Totals],[Losing Candidate]]),
      0
)</f>
        <v>0</v>
      </c>
      <c r="AV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 s="17">
        <f>IF(Audit[[#This Row],[Max Relative Error (ep)]] = 0, 0, Audit[[#This Row],[Max Relative Error (ep)]]/Audit[[#This Row],[Error Bound (up) - Max. possible relative overstatement]])</f>
        <v>0</v>
      </c>
      <c r="BH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4" s="17">
        <f t="shared" si="1"/>
        <v>1</v>
      </c>
      <c r="BJ74" s="17">
        <f>PRODUCT($BI$5:BI74)</f>
        <v>0.89578479606289008</v>
      </c>
      <c r="BK74" s="19">
        <f>1 - Audit[[#This Row],[K-M P Value]]</f>
        <v>0.10421520393710992</v>
      </c>
      <c r="BL74" s="17" t="str">
        <f>IF(Audit[[#This Row],[K-M P Value]]&gt;1-'General Info'!$B$12,"Continue", "Stop")</f>
        <v>Continue</v>
      </c>
      <c r="BM74" s="22" t="b">
        <f>IF(Audit[[#This Row],[Status - Continue or stop audit]] = "Continue", TRUE, IF(BL73 = "Continue", TRUE, FALSE))</f>
        <v>1</v>
      </c>
      <c r="BN74" s="22"/>
    </row>
    <row r="75" spans="1:66" ht="15" hidden="1" customHeight="1" x14ac:dyDescent="0.35">
      <c r="A75" s="17" t="str">
        <f>'Sampling Data'!AI75</f>
        <v/>
      </c>
      <c r="B75" s="17" t="str">
        <f>'Sampling Data'!A75</f>
        <v>1001 CIN 10-A   (AV)</v>
      </c>
      <c r="C75" s="17">
        <f>'Sampling Data'!B75</f>
        <v>266</v>
      </c>
      <c r="D75" s="17">
        <f>'Sampling Data'!C75</f>
        <v>66</v>
      </c>
      <c r="E75" s="18">
        <f>'Sampling Data'!D75</f>
        <v>0</v>
      </c>
      <c r="F75" s="18">
        <f>'Sampling Data'!E75</f>
        <v>0</v>
      </c>
      <c r="G75" s="18">
        <f>'Sampling Data'!F75</f>
        <v>0</v>
      </c>
      <c r="H75" s="18">
        <f>'Sampling Data'!G75</f>
        <v>0</v>
      </c>
      <c r="I75" s="18">
        <f>'Sampling Data'!H75</f>
        <v>0</v>
      </c>
      <c r="J75" s="18">
        <f>'Sampling Data'!I75</f>
        <v>0</v>
      </c>
      <c r="K75" s="18">
        <f>'Sampling Data'!J75</f>
        <v>0</v>
      </c>
      <c r="L75" s="18">
        <f>'Sampling Data'!K75</f>
        <v>0</v>
      </c>
      <c r="M75" s="18">
        <f>'Sampling Data'!L75</f>
        <v>0</v>
      </c>
      <c r="N75" s="18">
        <f>'Sampling Data'!M75</f>
        <v>0</v>
      </c>
      <c r="O75" s="17">
        <f>'Sampling Data'!N75</f>
        <v>0</v>
      </c>
      <c r="P75" s="17">
        <f>'Sampling Data'!O75</f>
        <v>9</v>
      </c>
      <c r="Q75" s="17">
        <f>'Sampling Data'!P75</f>
        <v>341</v>
      </c>
      <c r="R75" s="17">
        <f>'Sampling Data'!AJ75</f>
        <v>0</v>
      </c>
      <c r="S75" s="111"/>
      <c r="T75" s="111"/>
      <c r="U75" s="112"/>
      <c r="V75" s="112"/>
      <c r="W75" s="111"/>
      <c r="X75" s="111"/>
      <c r="Y75" s="111"/>
      <c r="Z75" s="111"/>
      <c r="AA75" s="14"/>
      <c r="AB75" s="14"/>
      <c r="AC75" s="14"/>
      <c r="AD75" s="14"/>
      <c r="AE75" s="113" t="str">
        <f>IF(NOT(ISBLANK(Audit[[#This Row],[Audit Winning Candidate]])), Audit[[#This Row],[Audit Winning Candidate]]-Audit[[#This Row],[Winning Candidate]], "")</f>
        <v/>
      </c>
      <c r="AF75" s="17" t="str">
        <f>IF(NOT(ISBLANK(Audit[[#This Row],[Audit Losing Candidate]])), Audit[[#This Row],[Audit Losing Candidate]]-Audit[[#This Row],[Losing Candidate]], "")</f>
        <v/>
      </c>
      <c r="AG75" s="17" t="str">
        <f>IF(NOT(ISBLANK(Audit[[#This Row],[Audit Candidate 3]])), Audit[[#This Row],[Audit Candidate 3]]-Audit[[#This Row],[Candidate 3]], "")</f>
        <v/>
      </c>
      <c r="AH75" s="17" t="str">
        <f>IF(NOT(ISBLANK(Audit[[#This Row],[Audit Candidate 4]])),Audit[[#This Row],[Audit Candidate 4]]-Audit[[#This Row],[Candidate 4]], "")</f>
        <v/>
      </c>
      <c r="AI75" s="17" t="str">
        <f>IF(NOT(ISBLANK(Audit[[#This Row],[Audit Candidate 5]])), Audit[[#This Row],[Audit Candidate 5]]-Audit[[#This Row],[Candidate 5]], "")</f>
        <v/>
      </c>
      <c r="AJ75" s="17" t="str">
        <f>IF(NOT(ISBLANK(Audit[[#This Row],[Audit Candidate 6]])), Audit[[#This Row],[Audit Candidate 6]]-Audit[[#This Row],[Candidate 6]], "")</f>
        <v/>
      </c>
      <c r="AK75" s="17" t="str">
        <f>IF(NOT(ISBLANK(Audit[[#This Row],[Audit Candidate 7]])), Audit[[#This Row],[Audit Candidate 7]]-Audit[[#This Row],[Candidate 7]], "")</f>
        <v/>
      </c>
      <c r="AL75" s="17" t="str">
        <f>IF(NOT(ISBLANK(Audit[[#This Row],[Audit Candidate 8]])), Audit[[#This Row],[Audit Candidate 8]]-Audit[[#This Row],[Candidate 8]], "")</f>
        <v/>
      </c>
      <c r="AM75" s="17" t="str">
        <f>IF(NOT(ISBLANK(Audit[[#This Row],[Audit Candidate 9]])), Audit[[#This Row],[Audit Candidate 9]]-Audit[[#This Row],[Candidate 9]], "")</f>
        <v/>
      </c>
      <c r="AN75" s="17" t="str">
        <f>IF(NOT(ISBLANK(Audit[[#This Row],[Audit Candidate 10]])), Audit[[#This Row],[Audit Candidate 10]]-Audit[[#This Row],[Candidate 10]], "")</f>
        <v/>
      </c>
      <c r="AO75" s="17" t="str">
        <f>IF(NOT(ISBLANK(Audit[[#This Row],[Audit Candidate 11]])), Audit[[#This Row],[Audit Candidate 11]]-Audit[[#This Row],[Candidate 11]], "")</f>
        <v/>
      </c>
      <c r="AP75" s="17" t="str">
        <f>IF(NOT(ISBLANK(Audit[[#This Row],[Audit Candidate 12]])), Audit[[#This Row],[Audit Candidate 12]]-Audit[[#This Row],[Candidate 12]], "")</f>
        <v/>
      </c>
      <c r="AQ75" s="17">
        <f>SUMIF(Audit[[#This Row],[Difference Winner]:[Difference Candidate 12]], "&gt;0")</f>
        <v>0</v>
      </c>
      <c r="AR75" s="17">
        <f>SUM(Audit[[#This Row],[Difference Winner]:[Difference Candidate 12]])</f>
        <v>0</v>
      </c>
      <c r="AS75" s="17">
        <f>IF(Audit[[#This Row],[Times p Drawn - With Replacement]]&gt;0, IF(Audit[[#This Row],[Canceled Differences]]&lt;0, Audit[[#This Row],[Max Differences]]+ABS(Audit[[#This Row],[Canceled Differences]]), Audit[[#This Row],[Max Differences]]), 0)</f>
        <v>0</v>
      </c>
      <c r="AT75" s="17">
        <f>'Sampling Data'!AB75</f>
        <v>2.2958750636564249E-2</v>
      </c>
      <c r="AU75" s="17">
        <f>IF(
      SUM(Audit[[#This Row],[Audit Losing Candidate]:[Audit Candidate 12]])
      &lt;&gt;0,
      (Audit[[#This Row],[Winning Candidate]]-Audit[[#This Row],[Losing Candidate]]-(Audit[[#This Row],[Audit Winning Candidate]]-Audit[[#This Row],[Audit Losing Candidate]]))/(Audit[[#Totals],[Winning Candidate]]-Audit[[#Totals],[Losing Candidate]]),
      0
)</f>
        <v>0</v>
      </c>
      <c r="AV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 s="17">
        <f>IF(Audit[[#This Row],[Max Relative Error (ep)]] = 0, 0, Audit[[#This Row],[Max Relative Error (ep)]]/Audit[[#This Row],[Error Bound (up) - Max. possible relative overstatement]])</f>
        <v>0</v>
      </c>
      <c r="BH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5" s="17">
        <f t="shared" si="1"/>
        <v>1</v>
      </c>
      <c r="BJ75" s="17">
        <f>PRODUCT($BI$5:BI75)</f>
        <v>0.89578479606289008</v>
      </c>
      <c r="BK75" s="19">
        <f>1 - Audit[[#This Row],[K-M P Value]]</f>
        <v>0.10421520393710992</v>
      </c>
      <c r="BL75" s="17" t="str">
        <f>IF(Audit[[#This Row],[K-M P Value]]&gt;1-'General Info'!$B$12,"Continue", "Stop")</f>
        <v>Continue</v>
      </c>
      <c r="BM75" s="22" t="b">
        <f>IF(Audit[[#This Row],[Status - Continue or stop audit]] = "Continue", TRUE, IF(BL74 = "Continue", TRUE, FALSE))</f>
        <v>1</v>
      </c>
      <c r="BN75" s="22"/>
    </row>
    <row r="76" spans="1:66" ht="15" hidden="1" customHeight="1" x14ac:dyDescent="0.35">
      <c r="A76" s="17" t="str">
        <f>'Sampling Data'!AI76</f>
        <v/>
      </c>
      <c r="B76" s="17" t="str">
        <f>'Sampling Data'!A76</f>
        <v>1002 CIN 10-B   (AV)</v>
      </c>
      <c r="C76" s="17">
        <f>'Sampling Data'!B76</f>
        <v>161</v>
      </c>
      <c r="D76" s="17">
        <f>'Sampling Data'!C76</f>
        <v>26</v>
      </c>
      <c r="E76" s="18">
        <f>'Sampling Data'!D76</f>
        <v>0</v>
      </c>
      <c r="F76" s="18">
        <f>'Sampling Data'!E76</f>
        <v>0</v>
      </c>
      <c r="G76" s="18">
        <f>'Sampling Data'!F76</f>
        <v>0</v>
      </c>
      <c r="H76" s="18">
        <f>'Sampling Data'!G76</f>
        <v>0</v>
      </c>
      <c r="I76" s="18">
        <f>'Sampling Data'!H76</f>
        <v>0</v>
      </c>
      <c r="J76" s="18">
        <f>'Sampling Data'!I76</f>
        <v>0</v>
      </c>
      <c r="K76" s="18">
        <f>'Sampling Data'!J76</f>
        <v>0</v>
      </c>
      <c r="L76" s="18">
        <f>'Sampling Data'!K76</f>
        <v>0</v>
      </c>
      <c r="M76" s="18">
        <f>'Sampling Data'!L76</f>
        <v>0</v>
      </c>
      <c r="N76" s="18">
        <f>'Sampling Data'!M76</f>
        <v>0</v>
      </c>
      <c r="O76" s="17">
        <f>'Sampling Data'!N76</f>
        <v>0</v>
      </c>
      <c r="P76" s="17">
        <f>'Sampling Data'!O76</f>
        <v>11</v>
      </c>
      <c r="Q76" s="17">
        <f>'Sampling Data'!P76</f>
        <v>198</v>
      </c>
      <c r="R76" s="17">
        <f>'Sampling Data'!AJ76</f>
        <v>0</v>
      </c>
      <c r="S76" s="111"/>
      <c r="T76" s="111"/>
      <c r="U76" s="112"/>
      <c r="V76" s="112"/>
      <c r="W76" s="111"/>
      <c r="X76" s="111"/>
      <c r="Y76" s="111"/>
      <c r="Z76" s="111"/>
      <c r="AA76" s="14"/>
      <c r="AB76" s="14"/>
      <c r="AC76" s="14"/>
      <c r="AD76" s="14"/>
      <c r="AE76" s="113" t="str">
        <f>IF(NOT(ISBLANK(Audit[[#This Row],[Audit Winning Candidate]])), Audit[[#This Row],[Audit Winning Candidate]]-Audit[[#This Row],[Winning Candidate]], "")</f>
        <v/>
      </c>
      <c r="AF76" s="17" t="str">
        <f>IF(NOT(ISBLANK(Audit[[#This Row],[Audit Losing Candidate]])), Audit[[#This Row],[Audit Losing Candidate]]-Audit[[#This Row],[Losing Candidate]], "")</f>
        <v/>
      </c>
      <c r="AG76" s="17" t="str">
        <f>IF(NOT(ISBLANK(Audit[[#This Row],[Audit Candidate 3]])), Audit[[#This Row],[Audit Candidate 3]]-Audit[[#This Row],[Candidate 3]], "")</f>
        <v/>
      </c>
      <c r="AH76" s="17" t="str">
        <f>IF(NOT(ISBLANK(Audit[[#This Row],[Audit Candidate 4]])),Audit[[#This Row],[Audit Candidate 4]]-Audit[[#This Row],[Candidate 4]], "")</f>
        <v/>
      </c>
      <c r="AI76" s="17" t="str">
        <f>IF(NOT(ISBLANK(Audit[[#This Row],[Audit Candidate 5]])), Audit[[#This Row],[Audit Candidate 5]]-Audit[[#This Row],[Candidate 5]], "")</f>
        <v/>
      </c>
      <c r="AJ76" s="17" t="str">
        <f>IF(NOT(ISBLANK(Audit[[#This Row],[Audit Candidate 6]])), Audit[[#This Row],[Audit Candidate 6]]-Audit[[#This Row],[Candidate 6]], "")</f>
        <v/>
      </c>
      <c r="AK76" s="17" t="str">
        <f>IF(NOT(ISBLANK(Audit[[#This Row],[Audit Candidate 7]])), Audit[[#This Row],[Audit Candidate 7]]-Audit[[#This Row],[Candidate 7]], "")</f>
        <v/>
      </c>
      <c r="AL76" s="17" t="str">
        <f>IF(NOT(ISBLANK(Audit[[#This Row],[Audit Candidate 8]])), Audit[[#This Row],[Audit Candidate 8]]-Audit[[#This Row],[Candidate 8]], "")</f>
        <v/>
      </c>
      <c r="AM76" s="17" t="str">
        <f>IF(NOT(ISBLANK(Audit[[#This Row],[Audit Candidate 9]])), Audit[[#This Row],[Audit Candidate 9]]-Audit[[#This Row],[Candidate 9]], "")</f>
        <v/>
      </c>
      <c r="AN76" s="17" t="str">
        <f>IF(NOT(ISBLANK(Audit[[#This Row],[Audit Candidate 10]])), Audit[[#This Row],[Audit Candidate 10]]-Audit[[#This Row],[Candidate 10]], "")</f>
        <v/>
      </c>
      <c r="AO76" s="17" t="str">
        <f>IF(NOT(ISBLANK(Audit[[#This Row],[Audit Candidate 11]])), Audit[[#This Row],[Audit Candidate 11]]-Audit[[#This Row],[Candidate 11]], "")</f>
        <v/>
      </c>
      <c r="AP76" s="17" t="str">
        <f>IF(NOT(ISBLANK(Audit[[#This Row],[Audit Candidate 12]])), Audit[[#This Row],[Audit Candidate 12]]-Audit[[#This Row],[Candidate 12]], "")</f>
        <v/>
      </c>
      <c r="AQ76" s="17">
        <f>SUMIF(Audit[[#This Row],[Difference Winner]:[Difference Candidate 12]], "&gt;0")</f>
        <v>0</v>
      </c>
      <c r="AR76" s="17">
        <f>SUM(Audit[[#This Row],[Difference Winner]:[Difference Candidate 12]])</f>
        <v>0</v>
      </c>
      <c r="AS76" s="17">
        <f>IF(Audit[[#This Row],[Times p Drawn - With Replacement]]&gt;0, IF(Audit[[#This Row],[Canceled Differences]]&lt;0, Audit[[#This Row],[Max Differences]]+ABS(Audit[[#This Row],[Canceled Differences]]), Audit[[#This Row],[Max Differences]]), 0)</f>
        <v>0</v>
      </c>
      <c r="AT76" s="17">
        <f>'Sampling Data'!AB76</f>
        <v>1.4131726362247497E-2</v>
      </c>
      <c r="AU76" s="17">
        <f>IF(
      SUM(Audit[[#This Row],[Audit Losing Candidate]:[Audit Candidate 12]])
      &lt;&gt;0,
      (Audit[[#This Row],[Winning Candidate]]-Audit[[#This Row],[Losing Candidate]]-(Audit[[#This Row],[Audit Winning Candidate]]-Audit[[#This Row],[Audit Losing Candidate]]))/(Audit[[#Totals],[Winning Candidate]]-Audit[[#Totals],[Losing Candidate]]),
      0
)</f>
        <v>0</v>
      </c>
      <c r="AV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 s="17">
        <f>IF(Audit[[#This Row],[Max Relative Error (ep)]] = 0, 0, Audit[[#This Row],[Max Relative Error (ep)]]/Audit[[#This Row],[Error Bound (up) - Max. possible relative overstatement]])</f>
        <v>0</v>
      </c>
      <c r="BH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6" s="17">
        <f t="shared" si="1"/>
        <v>1</v>
      </c>
      <c r="BJ76" s="17">
        <f>PRODUCT($BI$5:BI76)</f>
        <v>0.89578479606289008</v>
      </c>
      <c r="BK76" s="19">
        <f>1 - Audit[[#This Row],[K-M P Value]]</f>
        <v>0.10421520393710992</v>
      </c>
      <c r="BL76" s="17" t="str">
        <f>IF(Audit[[#This Row],[K-M P Value]]&gt;1-'General Info'!$B$12,"Continue", "Stop")</f>
        <v>Continue</v>
      </c>
      <c r="BM76" s="22" t="b">
        <f>IF(Audit[[#This Row],[Status - Continue or stop audit]] = "Continue", TRUE, IF(BL75 = "Continue", TRUE, FALSE))</f>
        <v>1</v>
      </c>
      <c r="BN76" s="22"/>
    </row>
    <row r="77" spans="1:66" ht="15" hidden="1" customHeight="1" x14ac:dyDescent="0.35">
      <c r="A77" s="17" t="str">
        <f>'Sampling Data'!AI77</f>
        <v/>
      </c>
      <c r="B77" s="17" t="str">
        <f>'Sampling Data'!A77</f>
        <v>1003 CIN 10-C   (AV)</v>
      </c>
      <c r="C77" s="17">
        <f>'Sampling Data'!B77</f>
        <v>271</v>
      </c>
      <c r="D77" s="17">
        <f>'Sampling Data'!C77</f>
        <v>44</v>
      </c>
      <c r="E77" s="18">
        <f>'Sampling Data'!D77</f>
        <v>0</v>
      </c>
      <c r="F77" s="18">
        <f>'Sampling Data'!E77</f>
        <v>0</v>
      </c>
      <c r="G77" s="18">
        <f>'Sampling Data'!F77</f>
        <v>0</v>
      </c>
      <c r="H77" s="18">
        <f>'Sampling Data'!G77</f>
        <v>0</v>
      </c>
      <c r="I77" s="18">
        <f>'Sampling Data'!H77</f>
        <v>0</v>
      </c>
      <c r="J77" s="18">
        <f>'Sampling Data'!I77</f>
        <v>0</v>
      </c>
      <c r="K77" s="18">
        <f>'Sampling Data'!J77</f>
        <v>0</v>
      </c>
      <c r="L77" s="18">
        <f>'Sampling Data'!K77</f>
        <v>0</v>
      </c>
      <c r="M77" s="18">
        <f>'Sampling Data'!L77</f>
        <v>0</v>
      </c>
      <c r="N77" s="18">
        <f>'Sampling Data'!M77</f>
        <v>0</v>
      </c>
      <c r="O77" s="17">
        <f>'Sampling Data'!N77</f>
        <v>0</v>
      </c>
      <c r="P77" s="17">
        <f>'Sampling Data'!O77</f>
        <v>11</v>
      </c>
      <c r="Q77" s="17">
        <f>'Sampling Data'!P77</f>
        <v>326</v>
      </c>
      <c r="R77" s="17">
        <f>'Sampling Data'!AJ77</f>
        <v>0</v>
      </c>
      <c r="S77" s="111"/>
      <c r="T77" s="111"/>
      <c r="U77" s="112"/>
      <c r="V77" s="112"/>
      <c r="W77" s="111"/>
      <c r="X77" s="111"/>
      <c r="Y77" s="111"/>
      <c r="Z77" s="111"/>
      <c r="AA77" s="14"/>
      <c r="AB77" s="14"/>
      <c r="AC77" s="14"/>
      <c r="AD77" s="14"/>
      <c r="AE77" s="113" t="str">
        <f>IF(NOT(ISBLANK(Audit[[#This Row],[Audit Winning Candidate]])), Audit[[#This Row],[Audit Winning Candidate]]-Audit[[#This Row],[Winning Candidate]], "")</f>
        <v/>
      </c>
      <c r="AF77" s="17" t="str">
        <f>IF(NOT(ISBLANK(Audit[[#This Row],[Audit Losing Candidate]])), Audit[[#This Row],[Audit Losing Candidate]]-Audit[[#This Row],[Losing Candidate]], "")</f>
        <v/>
      </c>
      <c r="AG77" s="17" t="str">
        <f>IF(NOT(ISBLANK(Audit[[#This Row],[Audit Candidate 3]])), Audit[[#This Row],[Audit Candidate 3]]-Audit[[#This Row],[Candidate 3]], "")</f>
        <v/>
      </c>
      <c r="AH77" s="17" t="str">
        <f>IF(NOT(ISBLANK(Audit[[#This Row],[Audit Candidate 4]])),Audit[[#This Row],[Audit Candidate 4]]-Audit[[#This Row],[Candidate 4]], "")</f>
        <v/>
      </c>
      <c r="AI77" s="17" t="str">
        <f>IF(NOT(ISBLANK(Audit[[#This Row],[Audit Candidate 5]])), Audit[[#This Row],[Audit Candidate 5]]-Audit[[#This Row],[Candidate 5]], "")</f>
        <v/>
      </c>
      <c r="AJ77" s="17" t="str">
        <f>IF(NOT(ISBLANK(Audit[[#This Row],[Audit Candidate 6]])), Audit[[#This Row],[Audit Candidate 6]]-Audit[[#This Row],[Candidate 6]], "")</f>
        <v/>
      </c>
      <c r="AK77" s="17" t="str">
        <f>IF(NOT(ISBLANK(Audit[[#This Row],[Audit Candidate 7]])), Audit[[#This Row],[Audit Candidate 7]]-Audit[[#This Row],[Candidate 7]], "")</f>
        <v/>
      </c>
      <c r="AL77" s="17" t="str">
        <f>IF(NOT(ISBLANK(Audit[[#This Row],[Audit Candidate 8]])), Audit[[#This Row],[Audit Candidate 8]]-Audit[[#This Row],[Candidate 8]], "")</f>
        <v/>
      </c>
      <c r="AM77" s="17" t="str">
        <f>IF(NOT(ISBLANK(Audit[[#This Row],[Audit Candidate 9]])), Audit[[#This Row],[Audit Candidate 9]]-Audit[[#This Row],[Candidate 9]], "")</f>
        <v/>
      </c>
      <c r="AN77" s="17" t="str">
        <f>IF(NOT(ISBLANK(Audit[[#This Row],[Audit Candidate 10]])), Audit[[#This Row],[Audit Candidate 10]]-Audit[[#This Row],[Candidate 10]], "")</f>
        <v/>
      </c>
      <c r="AO77" s="17" t="str">
        <f>IF(NOT(ISBLANK(Audit[[#This Row],[Audit Candidate 11]])), Audit[[#This Row],[Audit Candidate 11]]-Audit[[#This Row],[Candidate 11]], "")</f>
        <v/>
      </c>
      <c r="AP77" s="17" t="str">
        <f>IF(NOT(ISBLANK(Audit[[#This Row],[Audit Candidate 12]])), Audit[[#This Row],[Audit Candidate 12]]-Audit[[#This Row],[Candidate 12]], "")</f>
        <v/>
      </c>
      <c r="AQ77" s="17">
        <f>SUMIF(Audit[[#This Row],[Difference Winner]:[Difference Candidate 12]], "&gt;0")</f>
        <v>0</v>
      </c>
      <c r="AR77" s="17">
        <f>SUM(Audit[[#This Row],[Difference Winner]:[Difference Candidate 12]])</f>
        <v>0</v>
      </c>
      <c r="AS77" s="17">
        <f>IF(Audit[[#This Row],[Times p Drawn - With Replacement]]&gt;0, IF(Audit[[#This Row],[Canceled Differences]]&lt;0, Audit[[#This Row],[Max Differences]]+ABS(Audit[[#This Row],[Canceled Differences]]), Audit[[#This Row],[Max Differences]]), 0)</f>
        <v>0</v>
      </c>
      <c r="AT77" s="17">
        <f>'Sampling Data'!AB77</f>
        <v>2.3468002037005602E-2</v>
      </c>
      <c r="AU77" s="17">
        <f>IF(
      SUM(Audit[[#This Row],[Audit Losing Candidate]:[Audit Candidate 12]])
      &lt;&gt;0,
      (Audit[[#This Row],[Winning Candidate]]-Audit[[#This Row],[Losing Candidate]]-(Audit[[#This Row],[Audit Winning Candidate]]-Audit[[#This Row],[Audit Losing Candidate]]))/(Audit[[#Totals],[Winning Candidate]]-Audit[[#Totals],[Losing Candidate]]),
      0
)</f>
        <v>0</v>
      </c>
      <c r="AV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 s="17">
        <f>IF(Audit[[#This Row],[Max Relative Error (ep)]] = 0, 0, Audit[[#This Row],[Max Relative Error (ep)]]/Audit[[#This Row],[Error Bound (up) - Max. possible relative overstatement]])</f>
        <v>0</v>
      </c>
      <c r="BH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7" s="17">
        <f t="shared" si="1"/>
        <v>1</v>
      </c>
      <c r="BJ77" s="17">
        <f>PRODUCT($BI$5:BI77)</f>
        <v>0.89578479606289008</v>
      </c>
      <c r="BK77" s="19">
        <f>1 - Audit[[#This Row],[K-M P Value]]</f>
        <v>0.10421520393710992</v>
      </c>
      <c r="BL77" s="17" t="str">
        <f>IF(Audit[[#This Row],[K-M P Value]]&gt;1-'General Info'!$B$12,"Continue", "Stop")</f>
        <v>Continue</v>
      </c>
      <c r="BM77" s="22" t="b">
        <f>IF(Audit[[#This Row],[Status - Continue or stop audit]] = "Continue", TRUE, IF(BL76 = "Continue", TRUE, FALSE))</f>
        <v>1</v>
      </c>
      <c r="BN77" s="22"/>
    </row>
    <row r="78" spans="1:66" ht="15" hidden="1" customHeight="1" x14ac:dyDescent="0.35">
      <c r="A78" s="17" t="str">
        <f>'Sampling Data'!AI78</f>
        <v/>
      </c>
      <c r="B78" s="17" t="str">
        <f>'Sampling Data'!A78</f>
        <v>1101 CIN 11-A   (AV)</v>
      </c>
      <c r="C78" s="17">
        <f>'Sampling Data'!B78</f>
        <v>214</v>
      </c>
      <c r="D78" s="17">
        <f>'Sampling Data'!C78</f>
        <v>57</v>
      </c>
      <c r="E78" s="18">
        <f>'Sampling Data'!D78</f>
        <v>0</v>
      </c>
      <c r="F78" s="18">
        <f>'Sampling Data'!E78</f>
        <v>0</v>
      </c>
      <c r="G78" s="18">
        <f>'Sampling Data'!F78</f>
        <v>0</v>
      </c>
      <c r="H78" s="18">
        <f>'Sampling Data'!G78</f>
        <v>0</v>
      </c>
      <c r="I78" s="18">
        <f>'Sampling Data'!H78</f>
        <v>0</v>
      </c>
      <c r="J78" s="18">
        <f>'Sampling Data'!I78</f>
        <v>0</v>
      </c>
      <c r="K78" s="18">
        <f>'Sampling Data'!J78</f>
        <v>0</v>
      </c>
      <c r="L78" s="18">
        <f>'Sampling Data'!K78</f>
        <v>0</v>
      </c>
      <c r="M78" s="18">
        <f>'Sampling Data'!L78</f>
        <v>0</v>
      </c>
      <c r="N78" s="18">
        <f>'Sampling Data'!M78</f>
        <v>0</v>
      </c>
      <c r="O78" s="17">
        <f>'Sampling Data'!N78</f>
        <v>1</v>
      </c>
      <c r="P78" s="17">
        <f>'Sampling Data'!O78</f>
        <v>11</v>
      </c>
      <c r="Q78" s="17">
        <f>'Sampling Data'!P78</f>
        <v>283</v>
      </c>
      <c r="R78" s="17">
        <f>'Sampling Data'!AJ78</f>
        <v>0</v>
      </c>
      <c r="S78" s="111"/>
      <c r="T78" s="111"/>
      <c r="U78" s="112"/>
      <c r="V78" s="112"/>
      <c r="W78" s="111"/>
      <c r="X78" s="111"/>
      <c r="Y78" s="111"/>
      <c r="Z78" s="111"/>
      <c r="AA78" s="14"/>
      <c r="AB78" s="14"/>
      <c r="AC78" s="14"/>
      <c r="AD78" s="14"/>
      <c r="AE78" s="113" t="str">
        <f>IF(NOT(ISBLANK(Audit[[#This Row],[Audit Winning Candidate]])), Audit[[#This Row],[Audit Winning Candidate]]-Audit[[#This Row],[Winning Candidate]], "")</f>
        <v/>
      </c>
      <c r="AF78" s="17" t="str">
        <f>IF(NOT(ISBLANK(Audit[[#This Row],[Audit Losing Candidate]])), Audit[[#This Row],[Audit Losing Candidate]]-Audit[[#This Row],[Losing Candidate]], "")</f>
        <v/>
      </c>
      <c r="AG78" s="17" t="str">
        <f>IF(NOT(ISBLANK(Audit[[#This Row],[Audit Candidate 3]])), Audit[[#This Row],[Audit Candidate 3]]-Audit[[#This Row],[Candidate 3]], "")</f>
        <v/>
      </c>
      <c r="AH78" s="17" t="str">
        <f>IF(NOT(ISBLANK(Audit[[#This Row],[Audit Candidate 4]])),Audit[[#This Row],[Audit Candidate 4]]-Audit[[#This Row],[Candidate 4]], "")</f>
        <v/>
      </c>
      <c r="AI78" s="17" t="str">
        <f>IF(NOT(ISBLANK(Audit[[#This Row],[Audit Candidate 5]])), Audit[[#This Row],[Audit Candidate 5]]-Audit[[#This Row],[Candidate 5]], "")</f>
        <v/>
      </c>
      <c r="AJ78" s="17" t="str">
        <f>IF(NOT(ISBLANK(Audit[[#This Row],[Audit Candidate 6]])), Audit[[#This Row],[Audit Candidate 6]]-Audit[[#This Row],[Candidate 6]], "")</f>
        <v/>
      </c>
      <c r="AK78" s="17" t="str">
        <f>IF(NOT(ISBLANK(Audit[[#This Row],[Audit Candidate 7]])), Audit[[#This Row],[Audit Candidate 7]]-Audit[[#This Row],[Candidate 7]], "")</f>
        <v/>
      </c>
      <c r="AL78" s="17" t="str">
        <f>IF(NOT(ISBLANK(Audit[[#This Row],[Audit Candidate 8]])), Audit[[#This Row],[Audit Candidate 8]]-Audit[[#This Row],[Candidate 8]], "")</f>
        <v/>
      </c>
      <c r="AM78" s="17" t="str">
        <f>IF(NOT(ISBLANK(Audit[[#This Row],[Audit Candidate 9]])), Audit[[#This Row],[Audit Candidate 9]]-Audit[[#This Row],[Candidate 9]], "")</f>
        <v/>
      </c>
      <c r="AN78" s="17" t="str">
        <f>IF(NOT(ISBLANK(Audit[[#This Row],[Audit Candidate 10]])), Audit[[#This Row],[Audit Candidate 10]]-Audit[[#This Row],[Candidate 10]], "")</f>
        <v/>
      </c>
      <c r="AO78" s="17" t="str">
        <f>IF(NOT(ISBLANK(Audit[[#This Row],[Audit Candidate 11]])), Audit[[#This Row],[Audit Candidate 11]]-Audit[[#This Row],[Candidate 11]], "")</f>
        <v/>
      </c>
      <c r="AP78" s="17" t="str">
        <f>IF(NOT(ISBLANK(Audit[[#This Row],[Audit Candidate 12]])), Audit[[#This Row],[Audit Candidate 12]]-Audit[[#This Row],[Candidate 12]], "")</f>
        <v/>
      </c>
      <c r="AQ78" s="17">
        <f>SUMIF(Audit[[#This Row],[Difference Winner]:[Difference Candidate 12]], "&gt;0")</f>
        <v>0</v>
      </c>
      <c r="AR78" s="17">
        <f>SUM(Audit[[#This Row],[Difference Winner]:[Difference Candidate 12]])</f>
        <v>0</v>
      </c>
      <c r="AS78" s="17">
        <f>IF(Audit[[#This Row],[Times p Drawn - With Replacement]]&gt;0, IF(Audit[[#This Row],[Canceled Differences]]&lt;0, Audit[[#This Row],[Max Differences]]+ABS(Audit[[#This Row],[Canceled Differences]]), Audit[[#This Row],[Max Differences]]), 0)</f>
        <v>0</v>
      </c>
      <c r="AT78" s="17">
        <f>'Sampling Data'!AB78</f>
        <v>1.867255134951621E-2</v>
      </c>
      <c r="AU78" s="17">
        <f>IF(
      SUM(Audit[[#This Row],[Audit Losing Candidate]:[Audit Candidate 12]])
      &lt;&gt;0,
      (Audit[[#This Row],[Winning Candidate]]-Audit[[#This Row],[Losing Candidate]]-(Audit[[#This Row],[Audit Winning Candidate]]-Audit[[#This Row],[Audit Losing Candidate]]))/(Audit[[#Totals],[Winning Candidate]]-Audit[[#Totals],[Losing Candidate]]),
      0
)</f>
        <v>0</v>
      </c>
      <c r="AV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 s="17">
        <f>IF(Audit[[#This Row],[Max Relative Error (ep)]] = 0, 0, Audit[[#This Row],[Max Relative Error (ep)]]/Audit[[#This Row],[Error Bound (up) - Max. possible relative overstatement]])</f>
        <v>0</v>
      </c>
      <c r="BH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8" s="17">
        <f t="shared" si="1"/>
        <v>1</v>
      </c>
      <c r="BJ78" s="17">
        <f>PRODUCT($BI$5:BI78)</f>
        <v>0.89578479606289008</v>
      </c>
      <c r="BK78" s="19">
        <f>1 - Audit[[#This Row],[K-M P Value]]</f>
        <v>0.10421520393710992</v>
      </c>
      <c r="BL78" s="17" t="str">
        <f>IF(Audit[[#This Row],[K-M P Value]]&gt;1-'General Info'!$B$12,"Continue", "Stop")</f>
        <v>Continue</v>
      </c>
      <c r="BM78" s="22" t="b">
        <f>IF(Audit[[#This Row],[Status - Continue or stop audit]] = "Continue", TRUE, IF(BL77 = "Continue", TRUE, FALSE))</f>
        <v>1</v>
      </c>
      <c r="BN78" s="22"/>
    </row>
    <row r="79" spans="1:66" ht="15" hidden="1" customHeight="1" x14ac:dyDescent="0.35">
      <c r="A79" s="17" t="str">
        <f>'Sampling Data'!AI79</f>
        <v/>
      </c>
      <c r="B79" s="17" t="str">
        <f>'Sampling Data'!A79</f>
        <v>1102 CIN 11-B   (AV)</v>
      </c>
      <c r="C79" s="17">
        <f>'Sampling Data'!B79</f>
        <v>165</v>
      </c>
      <c r="D79" s="17">
        <f>'Sampling Data'!C79</f>
        <v>31</v>
      </c>
      <c r="E79" s="18">
        <f>'Sampling Data'!D79</f>
        <v>0</v>
      </c>
      <c r="F79" s="18">
        <f>'Sampling Data'!E79</f>
        <v>0</v>
      </c>
      <c r="G79" s="18">
        <f>'Sampling Data'!F79</f>
        <v>0</v>
      </c>
      <c r="H79" s="18">
        <f>'Sampling Data'!G79</f>
        <v>0</v>
      </c>
      <c r="I79" s="18">
        <f>'Sampling Data'!H79</f>
        <v>0</v>
      </c>
      <c r="J79" s="18">
        <f>'Sampling Data'!I79</f>
        <v>0</v>
      </c>
      <c r="K79" s="18">
        <f>'Sampling Data'!J79</f>
        <v>0</v>
      </c>
      <c r="L79" s="18">
        <f>'Sampling Data'!K79</f>
        <v>0</v>
      </c>
      <c r="M79" s="18">
        <f>'Sampling Data'!L79</f>
        <v>0</v>
      </c>
      <c r="N79" s="18">
        <f>'Sampling Data'!M79</f>
        <v>0</v>
      </c>
      <c r="O79" s="17">
        <f>'Sampling Data'!N79</f>
        <v>0</v>
      </c>
      <c r="P79" s="17">
        <f>'Sampling Data'!O79</f>
        <v>9</v>
      </c>
      <c r="Q79" s="17">
        <f>'Sampling Data'!P79</f>
        <v>205</v>
      </c>
      <c r="R79" s="17">
        <f>'Sampling Data'!AJ79</f>
        <v>0</v>
      </c>
      <c r="S79" s="111"/>
      <c r="T79" s="111"/>
      <c r="U79" s="112"/>
      <c r="V79" s="112"/>
      <c r="W79" s="111"/>
      <c r="X79" s="111"/>
      <c r="Y79" s="111"/>
      <c r="Z79" s="111"/>
      <c r="AA79" s="14"/>
      <c r="AB79" s="14"/>
      <c r="AC79" s="14"/>
      <c r="AD79" s="14"/>
      <c r="AE79" s="113" t="str">
        <f>IF(NOT(ISBLANK(Audit[[#This Row],[Audit Winning Candidate]])), Audit[[#This Row],[Audit Winning Candidate]]-Audit[[#This Row],[Winning Candidate]], "")</f>
        <v/>
      </c>
      <c r="AF79" s="17" t="str">
        <f>IF(NOT(ISBLANK(Audit[[#This Row],[Audit Losing Candidate]])), Audit[[#This Row],[Audit Losing Candidate]]-Audit[[#This Row],[Losing Candidate]], "")</f>
        <v/>
      </c>
      <c r="AG79" s="17" t="str">
        <f>IF(NOT(ISBLANK(Audit[[#This Row],[Audit Candidate 3]])), Audit[[#This Row],[Audit Candidate 3]]-Audit[[#This Row],[Candidate 3]], "")</f>
        <v/>
      </c>
      <c r="AH79" s="17" t="str">
        <f>IF(NOT(ISBLANK(Audit[[#This Row],[Audit Candidate 4]])),Audit[[#This Row],[Audit Candidate 4]]-Audit[[#This Row],[Candidate 4]], "")</f>
        <v/>
      </c>
      <c r="AI79" s="17" t="str">
        <f>IF(NOT(ISBLANK(Audit[[#This Row],[Audit Candidate 5]])), Audit[[#This Row],[Audit Candidate 5]]-Audit[[#This Row],[Candidate 5]], "")</f>
        <v/>
      </c>
      <c r="AJ79" s="17" t="str">
        <f>IF(NOT(ISBLANK(Audit[[#This Row],[Audit Candidate 6]])), Audit[[#This Row],[Audit Candidate 6]]-Audit[[#This Row],[Candidate 6]], "")</f>
        <v/>
      </c>
      <c r="AK79" s="17" t="str">
        <f>IF(NOT(ISBLANK(Audit[[#This Row],[Audit Candidate 7]])), Audit[[#This Row],[Audit Candidate 7]]-Audit[[#This Row],[Candidate 7]], "")</f>
        <v/>
      </c>
      <c r="AL79" s="17" t="str">
        <f>IF(NOT(ISBLANK(Audit[[#This Row],[Audit Candidate 8]])), Audit[[#This Row],[Audit Candidate 8]]-Audit[[#This Row],[Candidate 8]], "")</f>
        <v/>
      </c>
      <c r="AM79" s="17" t="str">
        <f>IF(NOT(ISBLANK(Audit[[#This Row],[Audit Candidate 9]])), Audit[[#This Row],[Audit Candidate 9]]-Audit[[#This Row],[Candidate 9]], "")</f>
        <v/>
      </c>
      <c r="AN79" s="17" t="str">
        <f>IF(NOT(ISBLANK(Audit[[#This Row],[Audit Candidate 10]])), Audit[[#This Row],[Audit Candidate 10]]-Audit[[#This Row],[Candidate 10]], "")</f>
        <v/>
      </c>
      <c r="AO79" s="17" t="str">
        <f>IF(NOT(ISBLANK(Audit[[#This Row],[Audit Candidate 11]])), Audit[[#This Row],[Audit Candidate 11]]-Audit[[#This Row],[Candidate 11]], "")</f>
        <v/>
      </c>
      <c r="AP79" s="17" t="str">
        <f>IF(NOT(ISBLANK(Audit[[#This Row],[Audit Candidate 12]])), Audit[[#This Row],[Audit Candidate 12]]-Audit[[#This Row],[Candidate 12]], "")</f>
        <v/>
      </c>
      <c r="AQ79" s="17">
        <f>SUMIF(Audit[[#This Row],[Difference Winner]:[Difference Candidate 12]], "&gt;0")</f>
        <v>0</v>
      </c>
      <c r="AR79" s="17">
        <f>SUM(Audit[[#This Row],[Difference Winner]:[Difference Candidate 12]])</f>
        <v>0</v>
      </c>
      <c r="AS79" s="17">
        <f>IF(Audit[[#This Row],[Times p Drawn - With Replacement]]&gt;0, IF(Audit[[#This Row],[Canceled Differences]]&lt;0, Audit[[#This Row],[Max Differences]]+ABS(Audit[[#This Row],[Canceled Differences]]), Audit[[#This Row],[Max Differences]]), 0)</f>
        <v>0</v>
      </c>
      <c r="AT79" s="17">
        <f>'Sampling Data'!AB79</f>
        <v>1.4386352062468171E-2</v>
      </c>
      <c r="AU79" s="17">
        <f>IF(
      SUM(Audit[[#This Row],[Audit Losing Candidate]:[Audit Candidate 12]])
      &lt;&gt;0,
      (Audit[[#This Row],[Winning Candidate]]-Audit[[#This Row],[Losing Candidate]]-(Audit[[#This Row],[Audit Winning Candidate]]-Audit[[#This Row],[Audit Losing Candidate]]))/(Audit[[#Totals],[Winning Candidate]]-Audit[[#Totals],[Losing Candidate]]),
      0
)</f>
        <v>0</v>
      </c>
      <c r="AV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 s="17">
        <f>IF(Audit[[#This Row],[Max Relative Error (ep)]] = 0, 0, Audit[[#This Row],[Max Relative Error (ep)]]/Audit[[#This Row],[Error Bound (up) - Max. possible relative overstatement]])</f>
        <v>0</v>
      </c>
      <c r="BH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9" s="17">
        <f t="shared" ref="BI79:BI142" si="2">IF(ISERR(POWER(BH79,R79)), 0, POWER(BH79,R79))</f>
        <v>1</v>
      </c>
      <c r="BJ79" s="17">
        <f>PRODUCT($BI$5:BI79)</f>
        <v>0.89578479606289008</v>
      </c>
      <c r="BK79" s="19">
        <f>1 - Audit[[#This Row],[K-M P Value]]</f>
        <v>0.10421520393710992</v>
      </c>
      <c r="BL79" s="17" t="str">
        <f>IF(Audit[[#This Row],[K-M P Value]]&gt;1-'General Info'!$B$12,"Continue", "Stop")</f>
        <v>Continue</v>
      </c>
      <c r="BM79" s="22" t="b">
        <f>IF(Audit[[#This Row],[Status - Continue or stop audit]] = "Continue", TRUE, IF(BL78 = "Continue", TRUE, FALSE))</f>
        <v>1</v>
      </c>
      <c r="BN79" s="22"/>
    </row>
    <row r="80" spans="1:66" ht="15" hidden="1" customHeight="1" x14ac:dyDescent="0.35">
      <c r="A80" s="17" t="str">
        <f>'Sampling Data'!AI80</f>
        <v/>
      </c>
      <c r="B80" s="17" t="str">
        <f>'Sampling Data'!A80</f>
        <v>1103 CIN 11-C   (AV)</v>
      </c>
      <c r="C80" s="17">
        <f>'Sampling Data'!B80</f>
        <v>91</v>
      </c>
      <c r="D80" s="17">
        <f>'Sampling Data'!C80</f>
        <v>27</v>
      </c>
      <c r="E80" s="18">
        <f>'Sampling Data'!D80</f>
        <v>0</v>
      </c>
      <c r="F80" s="18">
        <f>'Sampling Data'!E80</f>
        <v>0</v>
      </c>
      <c r="G80" s="18">
        <f>'Sampling Data'!F80</f>
        <v>0</v>
      </c>
      <c r="H80" s="18">
        <f>'Sampling Data'!G80</f>
        <v>0</v>
      </c>
      <c r="I80" s="18">
        <f>'Sampling Data'!H80</f>
        <v>0</v>
      </c>
      <c r="J80" s="18">
        <f>'Sampling Data'!I80</f>
        <v>0</v>
      </c>
      <c r="K80" s="18">
        <f>'Sampling Data'!J80</f>
        <v>0</v>
      </c>
      <c r="L80" s="18">
        <f>'Sampling Data'!K80</f>
        <v>0</v>
      </c>
      <c r="M80" s="18">
        <f>'Sampling Data'!L80</f>
        <v>0</v>
      </c>
      <c r="N80" s="18">
        <f>'Sampling Data'!M80</f>
        <v>0</v>
      </c>
      <c r="O80" s="17">
        <f>'Sampling Data'!N80</f>
        <v>0</v>
      </c>
      <c r="P80" s="17">
        <f>'Sampling Data'!O80</f>
        <v>6</v>
      </c>
      <c r="Q80" s="17">
        <f>'Sampling Data'!P80</f>
        <v>124</v>
      </c>
      <c r="R80" s="17">
        <f>'Sampling Data'!AJ80</f>
        <v>0</v>
      </c>
      <c r="S80" s="111"/>
      <c r="T80" s="111"/>
      <c r="U80" s="112"/>
      <c r="V80" s="112"/>
      <c r="W80" s="111"/>
      <c r="X80" s="111"/>
      <c r="Y80" s="111"/>
      <c r="Z80" s="111"/>
      <c r="AA80" s="14"/>
      <c r="AB80" s="14"/>
      <c r="AC80" s="14"/>
      <c r="AD80" s="14"/>
      <c r="AE80" s="113" t="str">
        <f>IF(NOT(ISBLANK(Audit[[#This Row],[Audit Winning Candidate]])), Audit[[#This Row],[Audit Winning Candidate]]-Audit[[#This Row],[Winning Candidate]], "")</f>
        <v/>
      </c>
      <c r="AF80" s="17" t="str">
        <f>IF(NOT(ISBLANK(Audit[[#This Row],[Audit Losing Candidate]])), Audit[[#This Row],[Audit Losing Candidate]]-Audit[[#This Row],[Losing Candidate]], "")</f>
        <v/>
      </c>
      <c r="AG80" s="17" t="str">
        <f>IF(NOT(ISBLANK(Audit[[#This Row],[Audit Candidate 3]])), Audit[[#This Row],[Audit Candidate 3]]-Audit[[#This Row],[Candidate 3]], "")</f>
        <v/>
      </c>
      <c r="AH80" s="17" t="str">
        <f>IF(NOT(ISBLANK(Audit[[#This Row],[Audit Candidate 4]])),Audit[[#This Row],[Audit Candidate 4]]-Audit[[#This Row],[Candidate 4]], "")</f>
        <v/>
      </c>
      <c r="AI80" s="17" t="str">
        <f>IF(NOT(ISBLANK(Audit[[#This Row],[Audit Candidate 5]])), Audit[[#This Row],[Audit Candidate 5]]-Audit[[#This Row],[Candidate 5]], "")</f>
        <v/>
      </c>
      <c r="AJ80" s="17" t="str">
        <f>IF(NOT(ISBLANK(Audit[[#This Row],[Audit Candidate 6]])), Audit[[#This Row],[Audit Candidate 6]]-Audit[[#This Row],[Candidate 6]], "")</f>
        <v/>
      </c>
      <c r="AK80" s="17" t="str">
        <f>IF(NOT(ISBLANK(Audit[[#This Row],[Audit Candidate 7]])), Audit[[#This Row],[Audit Candidate 7]]-Audit[[#This Row],[Candidate 7]], "")</f>
        <v/>
      </c>
      <c r="AL80" s="17" t="str">
        <f>IF(NOT(ISBLANK(Audit[[#This Row],[Audit Candidate 8]])), Audit[[#This Row],[Audit Candidate 8]]-Audit[[#This Row],[Candidate 8]], "")</f>
        <v/>
      </c>
      <c r="AM80" s="17" t="str">
        <f>IF(NOT(ISBLANK(Audit[[#This Row],[Audit Candidate 9]])), Audit[[#This Row],[Audit Candidate 9]]-Audit[[#This Row],[Candidate 9]], "")</f>
        <v/>
      </c>
      <c r="AN80" s="17" t="str">
        <f>IF(NOT(ISBLANK(Audit[[#This Row],[Audit Candidate 10]])), Audit[[#This Row],[Audit Candidate 10]]-Audit[[#This Row],[Candidate 10]], "")</f>
        <v/>
      </c>
      <c r="AO80" s="17" t="str">
        <f>IF(NOT(ISBLANK(Audit[[#This Row],[Audit Candidate 11]])), Audit[[#This Row],[Audit Candidate 11]]-Audit[[#This Row],[Candidate 11]], "")</f>
        <v/>
      </c>
      <c r="AP80" s="17" t="str">
        <f>IF(NOT(ISBLANK(Audit[[#This Row],[Audit Candidate 12]])), Audit[[#This Row],[Audit Candidate 12]]-Audit[[#This Row],[Candidate 12]], "")</f>
        <v/>
      </c>
      <c r="AQ80" s="17">
        <f>SUMIF(Audit[[#This Row],[Difference Winner]:[Difference Candidate 12]], "&gt;0")</f>
        <v>0</v>
      </c>
      <c r="AR80" s="17">
        <f>SUM(Audit[[#This Row],[Difference Winner]:[Difference Candidate 12]])</f>
        <v>0</v>
      </c>
      <c r="AS80" s="17">
        <f>IF(Audit[[#This Row],[Times p Drawn - With Replacement]]&gt;0, IF(Audit[[#This Row],[Canceled Differences]]&lt;0, Audit[[#This Row],[Max Differences]]+ABS(Audit[[#This Row],[Canceled Differences]]), Audit[[#This Row],[Max Differences]]), 0)</f>
        <v>0</v>
      </c>
      <c r="AT80" s="17">
        <f>'Sampling Data'!AB80</f>
        <v>7.9782719402478365E-3</v>
      </c>
      <c r="AU80" s="17">
        <f>IF(
      SUM(Audit[[#This Row],[Audit Losing Candidate]:[Audit Candidate 12]])
      &lt;&gt;0,
      (Audit[[#This Row],[Winning Candidate]]-Audit[[#This Row],[Losing Candidate]]-(Audit[[#This Row],[Audit Winning Candidate]]-Audit[[#This Row],[Audit Losing Candidate]]))/(Audit[[#Totals],[Winning Candidate]]-Audit[[#Totals],[Losing Candidate]]),
      0
)</f>
        <v>0</v>
      </c>
      <c r="AV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 s="17">
        <f>IF(Audit[[#This Row],[Max Relative Error (ep)]] = 0, 0, Audit[[#This Row],[Max Relative Error (ep)]]/Audit[[#This Row],[Error Bound (up) - Max. possible relative overstatement]])</f>
        <v>0</v>
      </c>
      <c r="BH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0" s="17">
        <f t="shared" si="2"/>
        <v>1</v>
      </c>
      <c r="BJ80" s="17">
        <f>PRODUCT($BI$5:BI80)</f>
        <v>0.89578479606289008</v>
      </c>
      <c r="BK80" s="19">
        <f>1 - Audit[[#This Row],[K-M P Value]]</f>
        <v>0.10421520393710992</v>
      </c>
      <c r="BL80" s="17" t="str">
        <f>IF(Audit[[#This Row],[K-M P Value]]&gt;1-'General Info'!$B$12,"Continue", "Stop")</f>
        <v>Continue</v>
      </c>
      <c r="BM80" s="22" t="b">
        <f>IF(Audit[[#This Row],[Status - Continue or stop audit]] = "Continue", TRUE, IF(BL79 = "Continue", TRUE, FALSE))</f>
        <v>1</v>
      </c>
      <c r="BN80" s="22"/>
    </row>
    <row r="81" spans="1:66" ht="15" hidden="1" customHeight="1" x14ac:dyDescent="0.35">
      <c r="A81" s="17" t="str">
        <f>'Sampling Data'!AI81</f>
        <v/>
      </c>
      <c r="B81" s="17" t="str">
        <f>'Sampling Data'!A81</f>
        <v>1104 CIN 11-D   (AV)</v>
      </c>
      <c r="C81" s="17">
        <f>'Sampling Data'!B81</f>
        <v>161</v>
      </c>
      <c r="D81" s="17">
        <f>'Sampling Data'!C81</f>
        <v>37</v>
      </c>
      <c r="E81" s="18">
        <f>'Sampling Data'!D81</f>
        <v>0</v>
      </c>
      <c r="F81" s="18">
        <f>'Sampling Data'!E81</f>
        <v>0</v>
      </c>
      <c r="G81" s="18">
        <f>'Sampling Data'!F81</f>
        <v>0</v>
      </c>
      <c r="H81" s="18">
        <f>'Sampling Data'!G81</f>
        <v>0</v>
      </c>
      <c r="I81" s="18">
        <f>'Sampling Data'!H81</f>
        <v>0</v>
      </c>
      <c r="J81" s="18">
        <f>'Sampling Data'!I81</f>
        <v>0</v>
      </c>
      <c r="K81" s="18">
        <f>'Sampling Data'!J81</f>
        <v>0</v>
      </c>
      <c r="L81" s="18">
        <f>'Sampling Data'!K81</f>
        <v>0</v>
      </c>
      <c r="M81" s="18">
        <f>'Sampling Data'!L81</f>
        <v>0</v>
      </c>
      <c r="N81" s="18">
        <f>'Sampling Data'!M81</f>
        <v>0</v>
      </c>
      <c r="O81" s="17">
        <f>'Sampling Data'!N81</f>
        <v>0</v>
      </c>
      <c r="P81" s="17">
        <f>'Sampling Data'!O81</f>
        <v>8</v>
      </c>
      <c r="Q81" s="17">
        <f>'Sampling Data'!P81</f>
        <v>206</v>
      </c>
      <c r="R81" s="17">
        <f>'Sampling Data'!AJ81</f>
        <v>0</v>
      </c>
      <c r="S81" s="111"/>
      <c r="T81" s="111"/>
      <c r="U81" s="112"/>
      <c r="V81" s="112"/>
      <c r="W81" s="111"/>
      <c r="X81" s="111"/>
      <c r="Y81" s="111"/>
      <c r="Z81" s="111"/>
      <c r="AA81" s="14"/>
      <c r="AB81" s="14"/>
      <c r="AC81" s="14"/>
      <c r="AD81" s="14"/>
      <c r="AE81" s="113" t="str">
        <f>IF(NOT(ISBLANK(Audit[[#This Row],[Audit Winning Candidate]])), Audit[[#This Row],[Audit Winning Candidate]]-Audit[[#This Row],[Winning Candidate]], "")</f>
        <v/>
      </c>
      <c r="AF81" s="17" t="str">
        <f>IF(NOT(ISBLANK(Audit[[#This Row],[Audit Losing Candidate]])), Audit[[#This Row],[Audit Losing Candidate]]-Audit[[#This Row],[Losing Candidate]], "")</f>
        <v/>
      </c>
      <c r="AG81" s="17" t="str">
        <f>IF(NOT(ISBLANK(Audit[[#This Row],[Audit Candidate 3]])), Audit[[#This Row],[Audit Candidate 3]]-Audit[[#This Row],[Candidate 3]], "")</f>
        <v/>
      </c>
      <c r="AH81" s="17" t="str">
        <f>IF(NOT(ISBLANK(Audit[[#This Row],[Audit Candidate 4]])),Audit[[#This Row],[Audit Candidate 4]]-Audit[[#This Row],[Candidate 4]], "")</f>
        <v/>
      </c>
      <c r="AI81" s="17" t="str">
        <f>IF(NOT(ISBLANK(Audit[[#This Row],[Audit Candidate 5]])), Audit[[#This Row],[Audit Candidate 5]]-Audit[[#This Row],[Candidate 5]], "")</f>
        <v/>
      </c>
      <c r="AJ81" s="17" t="str">
        <f>IF(NOT(ISBLANK(Audit[[#This Row],[Audit Candidate 6]])), Audit[[#This Row],[Audit Candidate 6]]-Audit[[#This Row],[Candidate 6]], "")</f>
        <v/>
      </c>
      <c r="AK81" s="17" t="str">
        <f>IF(NOT(ISBLANK(Audit[[#This Row],[Audit Candidate 7]])), Audit[[#This Row],[Audit Candidate 7]]-Audit[[#This Row],[Candidate 7]], "")</f>
        <v/>
      </c>
      <c r="AL81" s="17" t="str">
        <f>IF(NOT(ISBLANK(Audit[[#This Row],[Audit Candidate 8]])), Audit[[#This Row],[Audit Candidate 8]]-Audit[[#This Row],[Candidate 8]], "")</f>
        <v/>
      </c>
      <c r="AM81" s="17" t="str">
        <f>IF(NOT(ISBLANK(Audit[[#This Row],[Audit Candidate 9]])), Audit[[#This Row],[Audit Candidate 9]]-Audit[[#This Row],[Candidate 9]], "")</f>
        <v/>
      </c>
      <c r="AN81" s="17" t="str">
        <f>IF(NOT(ISBLANK(Audit[[#This Row],[Audit Candidate 10]])), Audit[[#This Row],[Audit Candidate 10]]-Audit[[#This Row],[Candidate 10]], "")</f>
        <v/>
      </c>
      <c r="AO81" s="17" t="str">
        <f>IF(NOT(ISBLANK(Audit[[#This Row],[Audit Candidate 11]])), Audit[[#This Row],[Audit Candidate 11]]-Audit[[#This Row],[Candidate 11]], "")</f>
        <v/>
      </c>
      <c r="AP81" s="17" t="str">
        <f>IF(NOT(ISBLANK(Audit[[#This Row],[Audit Candidate 12]])), Audit[[#This Row],[Audit Candidate 12]]-Audit[[#This Row],[Candidate 12]], "")</f>
        <v/>
      </c>
      <c r="AQ81" s="17">
        <f>SUMIF(Audit[[#This Row],[Difference Winner]:[Difference Candidate 12]], "&gt;0")</f>
        <v>0</v>
      </c>
      <c r="AR81" s="17">
        <f>SUM(Audit[[#This Row],[Difference Winner]:[Difference Candidate 12]])</f>
        <v>0</v>
      </c>
      <c r="AS81" s="17">
        <f>IF(Audit[[#This Row],[Times p Drawn - With Replacement]]&gt;0, IF(Audit[[#This Row],[Canceled Differences]]&lt;0, Audit[[#This Row],[Max Differences]]+ABS(Audit[[#This Row],[Canceled Differences]]), Audit[[#This Row],[Max Differences]]), 0)</f>
        <v>0</v>
      </c>
      <c r="AT81" s="17">
        <f>'Sampling Data'!AB81</f>
        <v>1.4004413512137158E-2</v>
      </c>
      <c r="AU81" s="17">
        <f>IF(
      SUM(Audit[[#This Row],[Audit Losing Candidate]:[Audit Candidate 12]])
      &lt;&gt;0,
      (Audit[[#This Row],[Winning Candidate]]-Audit[[#This Row],[Losing Candidate]]-(Audit[[#This Row],[Audit Winning Candidate]]-Audit[[#This Row],[Audit Losing Candidate]]))/(Audit[[#Totals],[Winning Candidate]]-Audit[[#Totals],[Losing Candidate]]),
      0
)</f>
        <v>0</v>
      </c>
      <c r="AV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 s="17">
        <f>IF(Audit[[#This Row],[Max Relative Error (ep)]] = 0, 0, Audit[[#This Row],[Max Relative Error (ep)]]/Audit[[#This Row],[Error Bound (up) - Max. possible relative overstatement]])</f>
        <v>0</v>
      </c>
      <c r="BH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1" s="17">
        <f t="shared" si="2"/>
        <v>1</v>
      </c>
      <c r="BJ81" s="17">
        <f>PRODUCT($BI$5:BI81)</f>
        <v>0.89578479606289008</v>
      </c>
      <c r="BK81" s="19">
        <f>1 - Audit[[#This Row],[K-M P Value]]</f>
        <v>0.10421520393710992</v>
      </c>
      <c r="BL81" s="17" t="str">
        <f>IF(Audit[[#This Row],[K-M P Value]]&gt;1-'General Info'!$B$12,"Continue", "Stop")</f>
        <v>Continue</v>
      </c>
      <c r="BM81" s="22" t="b">
        <f>IF(Audit[[#This Row],[Status - Continue or stop audit]] = "Continue", TRUE, IF(BL80 = "Continue", TRUE, FALSE))</f>
        <v>1</v>
      </c>
      <c r="BN81" s="22"/>
    </row>
    <row r="82" spans="1:66" ht="15" hidden="1" customHeight="1" x14ac:dyDescent="0.35">
      <c r="A82" s="17" t="str">
        <f>'Sampling Data'!AI82</f>
        <v/>
      </c>
      <c r="B82" s="17" t="str">
        <f>'Sampling Data'!A82</f>
        <v>1201 CIN 12-A   (AV)</v>
      </c>
      <c r="C82" s="17">
        <f>'Sampling Data'!B82</f>
        <v>76</v>
      </c>
      <c r="D82" s="17">
        <f>'Sampling Data'!C82</f>
        <v>17</v>
      </c>
      <c r="E82" s="18">
        <f>'Sampling Data'!D82</f>
        <v>0</v>
      </c>
      <c r="F82" s="18">
        <f>'Sampling Data'!E82</f>
        <v>0</v>
      </c>
      <c r="G82" s="18">
        <f>'Sampling Data'!F82</f>
        <v>0</v>
      </c>
      <c r="H82" s="18">
        <f>'Sampling Data'!G82</f>
        <v>0</v>
      </c>
      <c r="I82" s="18">
        <f>'Sampling Data'!H82</f>
        <v>0</v>
      </c>
      <c r="J82" s="18">
        <f>'Sampling Data'!I82</f>
        <v>0</v>
      </c>
      <c r="K82" s="18">
        <f>'Sampling Data'!J82</f>
        <v>0</v>
      </c>
      <c r="L82" s="18">
        <f>'Sampling Data'!K82</f>
        <v>0</v>
      </c>
      <c r="M82" s="18">
        <f>'Sampling Data'!L82</f>
        <v>0</v>
      </c>
      <c r="N82" s="18">
        <f>'Sampling Data'!M82</f>
        <v>0</v>
      </c>
      <c r="O82" s="17">
        <f>'Sampling Data'!N82</f>
        <v>0</v>
      </c>
      <c r="P82" s="17">
        <f>'Sampling Data'!O82</f>
        <v>4</v>
      </c>
      <c r="Q82" s="17">
        <f>'Sampling Data'!P82</f>
        <v>97</v>
      </c>
      <c r="R82" s="17">
        <f>'Sampling Data'!AJ82</f>
        <v>0</v>
      </c>
      <c r="S82" s="111"/>
      <c r="T82" s="111"/>
      <c r="U82" s="112"/>
      <c r="V82" s="112"/>
      <c r="W82" s="111"/>
      <c r="X82" s="111"/>
      <c r="Y82" s="111"/>
      <c r="Z82" s="111"/>
      <c r="AA82" s="14"/>
      <c r="AB82" s="14"/>
      <c r="AC82" s="14"/>
      <c r="AD82" s="14"/>
      <c r="AE82" s="113" t="str">
        <f>IF(NOT(ISBLANK(Audit[[#This Row],[Audit Winning Candidate]])), Audit[[#This Row],[Audit Winning Candidate]]-Audit[[#This Row],[Winning Candidate]], "")</f>
        <v/>
      </c>
      <c r="AF82" s="17" t="str">
        <f>IF(NOT(ISBLANK(Audit[[#This Row],[Audit Losing Candidate]])), Audit[[#This Row],[Audit Losing Candidate]]-Audit[[#This Row],[Losing Candidate]], "")</f>
        <v/>
      </c>
      <c r="AG82" s="17" t="str">
        <f>IF(NOT(ISBLANK(Audit[[#This Row],[Audit Candidate 3]])), Audit[[#This Row],[Audit Candidate 3]]-Audit[[#This Row],[Candidate 3]], "")</f>
        <v/>
      </c>
      <c r="AH82" s="17" t="str">
        <f>IF(NOT(ISBLANK(Audit[[#This Row],[Audit Candidate 4]])),Audit[[#This Row],[Audit Candidate 4]]-Audit[[#This Row],[Candidate 4]], "")</f>
        <v/>
      </c>
      <c r="AI82" s="17" t="str">
        <f>IF(NOT(ISBLANK(Audit[[#This Row],[Audit Candidate 5]])), Audit[[#This Row],[Audit Candidate 5]]-Audit[[#This Row],[Candidate 5]], "")</f>
        <v/>
      </c>
      <c r="AJ82" s="17" t="str">
        <f>IF(NOT(ISBLANK(Audit[[#This Row],[Audit Candidate 6]])), Audit[[#This Row],[Audit Candidate 6]]-Audit[[#This Row],[Candidate 6]], "")</f>
        <v/>
      </c>
      <c r="AK82" s="17" t="str">
        <f>IF(NOT(ISBLANK(Audit[[#This Row],[Audit Candidate 7]])), Audit[[#This Row],[Audit Candidate 7]]-Audit[[#This Row],[Candidate 7]], "")</f>
        <v/>
      </c>
      <c r="AL82" s="17" t="str">
        <f>IF(NOT(ISBLANK(Audit[[#This Row],[Audit Candidate 8]])), Audit[[#This Row],[Audit Candidate 8]]-Audit[[#This Row],[Candidate 8]], "")</f>
        <v/>
      </c>
      <c r="AM82" s="17" t="str">
        <f>IF(NOT(ISBLANK(Audit[[#This Row],[Audit Candidate 9]])), Audit[[#This Row],[Audit Candidate 9]]-Audit[[#This Row],[Candidate 9]], "")</f>
        <v/>
      </c>
      <c r="AN82" s="17" t="str">
        <f>IF(NOT(ISBLANK(Audit[[#This Row],[Audit Candidate 10]])), Audit[[#This Row],[Audit Candidate 10]]-Audit[[#This Row],[Candidate 10]], "")</f>
        <v/>
      </c>
      <c r="AO82" s="17" t="str">
        <f>IF(NOT(ISBLANK(Audit[[#This Row],[Audit Candidate 11]])), Audit[[#This Row],[Audit Candidate 11]]-Audit[[#This Row],[Candidate 11]], "")</f>
        <v/>
      </c>
      <c r="AP82" s="17" t="str">
        <f>IF(NOT(ISBLANK(Audit[[#This Row],[Audit Candidate 12]])), Audit[[#This Row],[Audit Candidate 12]]-Audit[[#This Row],[Candidate 12]], "")</f>
        <v/>
      </c>
      <c r="AQ82" s="17">
        <f>SUMIF(Audit[[#This Row],[Difference Winner]:[Difference Candidate 12]], "&gt;0")</f>
        <v>0</v>
      </c>
      <c r="AR82" s="17">
        <f>SUM(Audit[[#This Row],[Difference Winner]:[Difference Candidate 12]])</f>
        <v>0</v>
      </c>
      <c r="AS82" s="17">
        <f>IF(Audit[[#This Row],[Times p Drawn - With Replacement]]&gt;0, IF(Audit[[#This Row],[Canceled Differences]]&lt;0, Audit[[#This Row],[Max Differences]]+ABS(Audit[[#This Row],[Canceled Differences]]), Audit[[#This Row],[Max Differences]]), 0)</f>
        <v>0</v>
      </c>
      <c r="AT82" s="17">
        <f>'Sampling Data'!AB82</f>
        <v>6.6202682057375662E-3</v>
      </c>
      <c r="AU82" s="17">
        <f>IF(
      SUM(Audit[[#This Row],[Audit Losing Candidate]:[Audit Candidate 12]])
      &lt;&gt;0,
      (Audit[[#This Row],[Winning Candidate]]-Audit[[#This Row],[Losing Candidate]]-(Audit[[#This Row],[Audit Winning Candidate]]-Audit[[#This Row],[Audit Losing Candidate]]))/(Audit[[#Totals],[Winning Candidate]]-Audit[[#Totals],[Losing Candidate]]),
      0
)</f>
        <v>0</v>
      </c>
      <c r="AV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 s="17">
        <f>IF(Audit[[#This Row],[Max Relative Error (ep)]] = 0, 0, Audit[[#This Row],[Max Relative Error (ep)]]/Audit[[#This Row],[Error Bound (up) - Max. possible relative overstatement]])</f>
        <v>0</v>
      </c>
      <c r="BH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2" s="17">
        <f t="shared" si="2"/>
        <v>1</v>
      </c>
      <c r="BJ82" s="17">
        <f>PRODUCT($BI$5:BI82)</f>
        <v>0.89578479606289008</v>
      </c>
      <c r="BK82" s="19">
        <f>1 - Audit[[#This Row],[K-M P Value]]</f>
        <v>0.10421520393710992</v>
      </c>
      <c r="BL82" s="17" t="str">
        <f>IF(Audit[[#This Row],[K-M P Value]]&gt;1-'General Info'!$B$12,"Continue", "Stop")</f>
        <v>Continue</v>
      </c>
      <c r="BM82" s="22" t="b">
        <f>IF(Audit[[#This Row],[Status - Continue or stop audit]] = "Continue", TRUE, IF(BL81 = "Continue", TRUE, FALSE))</f>
        <v>1</v>
      </c>
      <c r="BN82" s="22"/>
    </row>
    <row r="83" spans="1:66" ht="15" hidden="1" customHeight="1" x14ac:dyDescent="0.35">
      <c r="A83" s="17" t="str">
        <f>'Sampling Data'!AI83</f>
        <v/>
      </c>
      <c r="B83" s="17" t="str">
        <f>'Sampling Data'!A83</f>
        <v>1202 CIN 12-B   (AV)</v>
      </c>
      <c r="C83" s="17">
        <f>'Sampling Data'!B83</f>
        <v>21</v>
      </c>
      <c r="D83" s="17">
        <f>'Sampling Data'!C83</f>
        <v>5</v>
      </c>
      <c r="E83" s="18">
        <f>'Sampling Data'!D83</f>
        <v>0</v>
      </c>
      <c r="F83" s="18">
        <f>'Sampling Data'!E83</f>
        <v>0</v>
      </c>
      <c r="G83" s="18">
        <f>'Sampling Data'!F83</f>
        <v>0</v>
      </c>
      <c r="H83" s="18">
        <f>'Sampling Data'!G83</f>
        <v>0</v>
      </c>
      <c r="I83" s="18">
        <f>'Sampling Data'!H83</f>
        <v>0</v>
      </c>
      <c r="J83" s="18">
        <f>'Sampling Data'!I83</f>
        <v>0</v>
      </c>
      <c r="K83" s="18">
        <f>'Sampling Data'!J83</f>
        <v>0</v>
      </c>
      <c r="L83" s="18">
        <f>'Sampling Data'!K83</f>
        <v>0</v>
      </c>
      <c r="M83" s="18">
        <f>'Sampling Data'!L83</f>
        <v>0</v>
      </c>
      <c r="N83" s="18">
        <f>'Sampling Data'!M83</f>
        <v>0</v>
      </c>
      <c r="O83" s="17">
        <f>'Sampling Data'!N83</f>
        <v>0</v>
      </c>
      <c r="P83" s="17">
        <f>'Sampling Data'!O83</f>
        <v>2</v>
      </c>
      <c r="Q83" s="17">
        <f>'Sampling Data'!P83</f>
        <v>28</v>
      </c>
      <c r="R83" s="17">
        <f>'Sampling Data'!AJ83</f>
        <v>0</v>
      </c>
      <c r="S83" s="111"/>
      <c r="T83" s="111"/>
      <c r="U83" s="112"/>
      <c r="V83" s="112"/>
      <c r="W83" s="111"/>
      <c r="X83" s="111"/>
      <c r="Y83" s="111"/>
      <c r="Z83" s="111"/>
      <c r="AA83" s="14"/>
      <c r="AB83" s="14"/>
      <c r="AC83" s="14"/>
      <c r="AD83" s="14"/>
      <c r="AE83" s="113" t="str">
        <f>IF(NOT(ISBLANK(Audit[[#This Row],[Audit Winning Candidate]])), Audit[[#This Row],[Audit Winning Candidate]]-Audit[[#This Row],[Winning Candidate]], "")</f>
        <v/>
      </c>
      <c r="AF83" s="17" t="str">
        <f>IF(NOT(ISBLANK(Audit[[#This Row],[Audit Losing Candidate]])), Audit[[#This Row],[Audit Losing Candidate]]-Audit[[#This Row],[Losing Candidate]], "")</f>
        <v/>
      </c>
      <c r="AG83" s="17" t="str">
        <f>IF(NOT(ISBLANK(Audit[[#This Row],[Audit Candidate 3]])), Audit[[#This Row],[Audit Candidate 3]]-Audit[[#This Row],[Candidate 3]], "")</f>
        <v/>
      </c>
      <c r="AH83" s="17" t="str">
        <f>IF(NOT(ISBLANK(Audit[[#This Row],[Audit Candidate 4]])),Audit[[#This Row],[Audit Candidate 4]]-Audit[[#This Row],[Candidate 4]], "")</f>
        <v/>
      </c>
      <c r="AI83" s="17" t="str">
        <f>IF(NOT(ISBLANK(Audit[[#This Row],[Audit Candidate 5]])), Audit[[#This Row],[Audit Candidate 5]]-Audit[[#This Row],[Candidate 5]], "")</f>
        <v/>
      </c>
      <c r="AJ83" s="17" t="str">
        <f>IF(NOT(ISBLANK(Audit[[#This Row],[Audit Candidate 6]])), Audit[[#This Row],[Audit Candidate 6]]-Audit[[#This Row],[Candidate 6]], "")</f>
        <v/>
      </c>
      <c r="AK83" s="17" t="str">
        <f>IF(NOT(ISBLANK(Audit[[#This Row],[Audit Candidate 7]])), Audit[[#This Row],[Audit Candidate 7]]-Audit[[#This Row],[Candidate 7]], "")</f>
        <v/>
      </c>
      <c r="AL83" s="17" t="str">
        <f>IF(NOT(ISBLANK(Audit[[#This Row],[Audit Candidate 8]])), Audit[[#This Row],[Audit Candidate 8]]-Audit[[#This Row],[Candidate 8]], "")</f>
        <v/>
      </c>
      <c r="AM83" s="17" t="str">
        <f>IF(NOT(ISBLANK(Audit[[#This Row],[Audit Candidate 9]])), Audit[[#This Row],[Audit Candidate 9]]-Audit[[#This Row],[Candidate 9]], "")</f>
        <v/>
      </c>
      <c r="AN83" s="17" t="str">
        <f>IF(NOT(ISBLANK(Audit[[#This Row],[Audit Candidate 10]])), Audit[[#This Row],[Audit Candidate 10]]-Audit[[#This Row],[Candidate 10]], "")</f>
        <v/>
      </c>
      <c r="AO83" s="17" t="str">
        <f>IF(NOT(ISBLANK(Audit[[#This Row],[Audit Candidate 11]])), Audit[[#This Row],[Audit Candidate 11]]-Audit[[#This Row],[Candidate 11]], "")</f>
        <v/>
      </c>
      <c r="AP83" s="17" t="str">
        <f>IF(NOT(ISBLANK(Audit[[#This Row],[Audit Candidate 12]])), Audit[[#This Row],[Audit Candidate 12]]-Audit[[#This Row],[Candidate 12]], "")</f>
        <v/>
      </c>
      <c r="AQ83" s="17">
        <f>SUMIF(Audit[[#This Row],[Difference Winner]:[Difference Candidate 12]], "&gt;0")</f>
        <v>0</v>
      </c>
      <c r="AR83" s="17">
        <f>SUM(Audit[[#This Row],[Difference Winner]:[Difference Candidate 12]])</f>
        <v>0</v>
      </c>
      <c r="AS83" s="17">
        <f>IF(Audit[[#This Row],[Times p Drawn - With Replacement]]&gt;0, IF(Audit[[#This Row],[Canceled Differences]]&lt;0, Audit[[#This Row],[Max Differences]]+ABS(Audit[[#This Row],[Canceled Differences]]), Audit[[#This Row],[Max Differences]]), 0)</f>
        <v>0</v>
      </c>
      <c r="AT83" s="17">
        <f>'Sampling Data'!AB83</f>
        <v>1.867255134951621E-3</v>
      </c>
      <c r="AU83" s="17">
        <f>IF(
      SUM(Audit[[#This Row],[Audit Losing Candidate]:[Audit Candidate 12]])
      &lt;&gt;0,
      (Audit[[#This Row],[Winning Candidate]]-Audit[[#This Row],[Losing Candidate]]-(Audit[[#This Row],[Audit Winning Candidate]]-Audit[[#This Row],[Audit Losing Candidate]]))/(Audit[[#Totals],[Winning Candidate]]-Audit[[#Totals],[Losing Candidate]]),
      0
)</f>
        <v>0</v>
      </c>
      <c r="AV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 s="17">
        <f>IF(Audit[[#This Row],[Max Relative Error (ep)]] = 0, 0, Audit[[#This Row],[Max Relative Error (ep)]]/Audit[[#This Row],[Error Bound (up) - Max. possible relative overstatement]])</f>
        <v>0</v>
      </c>
      <c r="BH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3" s="17">
        <f t="shared" si="2"/>
        <v>1</v>
      </c>
      <c r="BJ83" s="17">
        <f>PRODUCT($BI$5:BI83)</f>
        <v>0.89578479606289008</v>
      </c>
      <c r="BK83" s="19">
        <f>1 - Audit[[#This Row],[K-M P Value]]</f>
        <v>0.10421520393710992</v>
      </c>
      <c r="BL83" s="17" t="str">
        <f>IF(Audit[[#This Row],[K-M P Value]]&gt;1-'General Info'!$B$12,"Continue", "Stop")</f>
        <v>Continue</v>
      </c>
      <c r="BM83" s="22" t="b">
        <f>IF(Audit[[#This Row],[Status - Continue or stop audit]] = "Continue", TRUE, IF(BL82 = "Continue", TRUE, FALSE))</f>
        <v>1</v>
      </c>
      <c r="BN83" s="22"/>
    </row>
    <row r="84" spans="1:66" ht="15" hidden="1" customHeight="1" x14ac:dyDescent="0.35">
      <c r="A84" s="17" t="str">
        <f>'Sampling Data'!AI84</f>
        <v/>
      </c>
      <c r="B84" s="17" t="str">
        <f>'Sampling Data'!A84</f>
        <v>1203 CIN 12-C   (AV)</v>
      </c>
      <c r="C84" s="17">
        <f>'Sampling Data'!B84</f>
        <v>145</v>
      </c>
      <c r="D84" s="17">
        <f>'Sampling Data'!C84</f>
        <v>19</v>
      </c>
      <c r="E84" s="18">
        <f>'Sampling Data'!D84</f>
        <v>0</v>
      </c>
      <c r="F84" s="18">
        <f>'Sampling Data'!E84</f>
        <v>0</v>
      </c>
      <c r="G84" s="18">
        <f>'Sampling Data'!F84</f>
        <v>0</v>
      </c>
      <c r="H84" s="18">
        <f>'Sampling Data'!G84</f>
        <v>0</v>
      </c>
      <c r="I84" s="18">
        <f>'Sampling Data'!H84</f>
        <v>0</v>
      </c>
      <c r="J84" s="18">
        <f>'Sampling Data'!I84</f>
        <v>0</v>
      </c>
      <c r="K84" s="18">
        <f>'Sampling Data'!J84</f>
        <v>0</v>
      </c>
      <c r="L84" s="18">
        <f>'Sampling Data'!K84</f>
        <v>0</v>
      </c>
      <c r="M84" s="18">
        <f>'Sampling Data'!L84</f>
        <v>0</v>
      </c>
      <c r="N84" s="18">
        <f>'Sampling Data'!M84</f>
        <v>0</v>
      </c>
      <c r="O84" s="17">
        <f>'Sampling Data'!N84</f>
        <v>0</v>
      </c>
      <c r="P84" s="17">
        <f>'Sampling Data'!O84</f>
        <v>14</v>
      </c>
      <c r="Q84" s="17">
        <f>'Sampling Data'!P84</f>
        <v>178</v>
      </c>
      <c r="R84" s="17">
        <f>'Sampling Data'!AJ84</f>
        <v>0</v>
      </c>
      <c r="S84" s="111"/>
      <c r="T84" s="111"/>
      <c r="U84" s="112"/>
      <c r="V84" s="112"/>
      <c r="W84" s="111"/>
      <c r="X84" s="111"/>
      <c r="Y84" s="111"/>
      <c r="Z84" s="111"/>
      <c r="AA84" s="14"/>
      <c r="AB84" s="14"/>
      <c r="AC84" s="14"/>
      <c r="AD84" s="14"/>
      <c r="AE84" s="113" t="str">
        <f>IF(NOT(ISBLANK(Audit[[#This Row],[Audit Winning Candidate]])), Audit[[#This Row],[Audit Winning Candidate]]-Audit[[#This Row],[Winning Candidate]], "")</f>
        <v/>
      </c>
      <c r="AF84" s="17" t="str">
        <f>IF(NOT(ISBLANK(Audit[[#This Row],[Audit Losing Candidate]])), Audit[[#This Row],[Audit Losing Candidate]]-Audit[[#This Row],[Losing Candidate]], "")</f>
        <v/>
      </c>
      <c r="AG84" s="17" t="str">
        <f>IF(NOT(ISBLANK(Audit[[#This Row],[Audit Candidate 3]])), Audit[[#This Row],[Audit Candidate 3]]-Audit[[#This Row],[Candidate 3]], "")</f>
        <v/>
      </c>
      <c r="AH84" s="17" t="str">
        <f>IF(NOT(ISBLANK(Audit[[#This Row],[Audit Candidate 4]])),Audit[[#This Row],[Audit Candidate 4]]-Audit[[#This Row],[Candidate 4]], "")</f>
        <v/>
      </c>
      <c r="AI84" s="17" t="str">
        <f>IF(NOT(ISBLANK(Audit[[#This Row],[Audit Candidate 5]])), Audit[[#This Row],[Audit Candidate 5]]-Audit[[#This Row],[Candidate 5]], "")</f>
        <v/>
      </c>
      <c r="AJ84" s="17" t="str">
        <f>IF(NOT(ISBLANK(Audit[[#This Row],[Audit Candidate 6]])), Audit[[#This Row],[Audit Candidate 6]]-Audit[[#This Row],[Candidate 6]], "")</f>
        <v/>
      </c>
      <c r="AK84" s="17" t="str">
        <f>IF(NOT(ISBLANK(Audit[[#This Row],[Audit Candidate 7]])), Audit[[#This Row],[Audit Candidate 7]]-Audit[[#This Row],[Candidate 7]], "")</f>
        <v/>
      </c>
      <c r="AL84" s="17" t="str">
        <f>IF(NOT(ISBLANK(Audit[[#This Row],[Audit Candidate 8]])), Audit[[#This Row],[Audit Candidate 8]]-Audit[[#This Row],[Candidate 8]], "")</f>
        <v/>
      </c>
      <c r="AM84" s="17" t="str">
        <f>IF(NOT(ISBLANK(Audit[[#This Row],[Audit Candidate 9]])), Audit[[#This Row],[Audit Candidate 9]]-Audit[[#This Row],[Candidate 9]], "")</f>
        <v/>
      </c>
      <c r="AN84" s="17" t="str">
        <f>IF(NOT(ISBLANK(Audit[[#This Row],[Audit Candidate 10]])), Audit[[#This Row],[Audit Candidate 10]]-Audit[[#This Row],[Candidate 10]], "")</f>
        <v/>
      </c>
      <c r="AO84" s="17" t="str">
        <f>IF(NOT(ISBLANK(Audit[[#This Row],[Audit Candidate 11]])), Audit[[#This Row],[Audit Candidate 11]]-Audit[[#This Row],[Candidate 11]], "")</f>
        <v/>
      </c>
      <c r="AP84" s="17" t="str">
        <f>IF(NOT(ISBLANK(Audit[[#This Row],[Audit Candidate 12]])), Audit[[#This Row],[Audit Candidate 12]]-Audit[[#This Row],[Candidate 12]], "")</f>
        <v/>
      </c>
      <c r="AQ84" s="17">
        <f>SUMIF(Audit[[#This Row],[Difference Winner]:[Difference Candidate 12]], "&gt;0")</f>
        <v>0</v>
      </c>
      <c r="AR84" s="17">
        <f>SUM(Audit[[#This Row],[Difference Winner]:[Difference Candidate 12]])</f>
        <v>0</v>
      </c>
      <c r="AS84" s="17">
        <f>IF(Audit[[#This Row],[Times p Drawn - With Replacement]]&gt;0, IF(Audit[[#This Row],[Canceled Differences]]&lt;0, Audit[[#This Row],[Max Differences]]+ABS(Audit[[#This Row],[Canceled Differences]]), Audit[[#This Row],[Max Differences]]), 0)</f>
        <v>0</v>
      </c>
      <c r="AT84" s="17">
        <f>'Sampling Data'!AB84</f>
        <v>1.2901035477847564E-2</v>
      </c>
      <c r="AU84" s="17">
        <f>IF(
      SUM(Audit[[#This Row],[Audit Losing Candidate]:[Audit Candidate 12]])
      &lt;&gt;0,
      (Audit[[#This Row],[Winning Candidate]]-Audit[[#This Row],[Losing Candidate]]-(Audit[[#This Row],[Audit Winning Candidate]]-Audit[[#This Row],[Audit Losing Candidate]]))/(Audit[[#Totals],[Winning Candidate]]-Audit[[#Totals],[Losing Candidate]]),
      0
)</f>
        <v>0</v>
      </c>
      <c r="AV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 s="17">
        <f>IF(Audit[[#This Row],[Max Relative Error (ep)]] = 0, 0, Audit[[#This Row],[Max Relative Error (ep)]]/Audit[[#This Row],[Error Bound (up) - Max. possible relative overstatement]])</f>
        <v>0</v>
      </c>
      <c r="BH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4" s="17">
        <f t="shared" si="2"/>
        <v>1</v>
      </c>
      <c r="BJ84" s="17">
        <f>PRODUCT($BI$5:BI84)</f>
        <v>0.89578479606289008</v>
      </c>
      <c r="BK84" s="19">
        <f>1 - Audit[[#This Row],[K-M P Value]]</f>
        <v>0.10421520393710992</v>
      </c>
      <c r="BL84" s="17" t="str">
        <f>IF(Audit[[#This Row],[K-M P Value]]&gt;1-'General Info'!$B$12,"Continue", "Stop")</f>
        <v>Continue</v>
      </c>
      <c r="BM84" s="22" t="b">
        <f>IF(Audit[[#This Row],[Status - Continue or stop audit]] = "Continue", TRUE, IF(BL83 = "Continue", TRUE, FALSE))</f>
        <v>1</v>
      </c>
      <c r="BN84" s="22"/>
    </row>
    <row r="85" spans="1:66" ht="15" hidden="1" customHeight="1" x14ac:dyDescent="0.35">
      <c r="A85" s="17" t="str">
        <f>'Sampling Data'!AI85</f>
        <v/>
      </c>
      <c r="B85" s="17" t="str">
        <f>'Sampling Data'!A85</f>
        <v>1204 CIN 12-D   (AV)</v>
      </c>
      <c r="C85" s="17">
        <f>'Sampling Data'!B85</f>
        <v>218</v>
      </c>
      <c r="D85" s="17">
        <f>'Sampling Data'!C85</f>
        <v>58</v>
      </c>
      <c r="E85" s="18">
        <f>'Sampling Data'!D85</f>
        <v>0</v>
      </c>
      <c r="F85" s="18">
        <f>'Sampling Data'!E85</f>
        <v>0</v>
      </c>
      <c r="G85" s="18">
        <f>'Sampling Data'!F85</f>
        <v>0</v>
      </c>
      <c r="H85" s="18">
        <f>'Sampling Data'!G85</f>
        <v>0</v>
      </c>
      <c r="I85" s="18">
        <f>'Sampling Data'!H85</f>
        <v>0</v>
      </c>
      <c r="J85" s="18">
        <f>'Sampling Data'!I85</f>
        <v>0</v>
      </c>
      <c r="K85" s="18">
        <f>'Sampling Data'!J85</f>
        <v>0</v>
      </c>
      <c r="L85" s="18">
        <f>'Sampling Data'!K85</f>
        <v>0</v>
      </c>
      <c r="M85" s="18">
        <f>'Sampling Data'!L85</f>
        <v>0</v>
      </c>
      <c r="N85" s="18">
        <f>'Sampling Data'!M85</f>
        <v>0</v>
      </c>
      <c r="O85" s="17">
        <f>'Sampling Data'!N85</f>
        <v>1</v>
      </c>
      <c r="P85" s="17">
        <f>'Sampling Data'!O85</f>
        <v>22</v>
      </c>
      <c r="Q85" s="17">
        <f>'Sampling Data'!P85</f>
        <v>299</v>
      </c>
      <c r="R85" s="17">
        <f>'Sampling Data'!AJ85</f>
        <v>0</v>
      </c>
      <c r="S85" s="111"/>
      <c r="T85" s="111"/>
      <c r="U85" s="112"/>
      <c r="V85" s="112"/>
      <c r="W85" s="111"/>
      <c r="X85" s="111"/>
      <c r="Y85" s="111"/>
      <c r="Z85" s="111"/>
      <c r="AA85" s="14"/>
      <c r="AB85" s="14"/>
      <c r="AC85" s="14"/>
      <c r="AD85" s="14"/>
      <c r="AE85" s="113" t="str">
        <f>IF(NOT(ISBLANK(Audit[[#This Row],[Audit Winning Candidate]])), Audit[[#This Row],[Audit Winning Candidate]]-Audit[[#This Row],[Winning Candidate]], "")</f>
        <v/>
      </c>
      <c r="AF85" s="17" t="str">
        <f>IF(NOT(ISBLANK(Audit[[#This Row],[Audit Losing Candidate]])), Audit[[#This Row],[Audit Losing Candidate]]-Audit[[#This Row],[Losing Candidate]], "")</f>
        <v/>
      </c>
      <c r="AG85" s="17" t="str">
        <f>IF(NOT(ISBLANK(Audit[[#This Row],[Audit Candidate 3]])), Audit[[#This Row],[Audit Candidate 3]]-Audit[[#This Row],[Candidate 3]], "")</f>
        <v/>
      </c>
      <c r="AH85" s="17" t="str">
        <f>IF(NOT(ISBLANK(Audit[[#This Row],[Audit Candidate 4]])),Audit[[#This Row],[Audit Candidate 4]]-Audit[[#This Row],[Candidate 4]], "")</f>
        <v/>
      </c>
      <c r="AI85" s="17" t="str">
        <f>IF(NOT(ISBLANK(Audit[[#This Row],[Audit Candidate 5]])), Audit[[#This Row],[Audit Candidate 5]]-Audit[[#This Row],[Candidate 5]], "")</f>
        <v/>
      </c>
      <c r="AJ85" s="17" t="str">
        <f>IF(NOT(ISBLANK(Audit[[#This Row],[Audit Candidate 6]])), Audit[[#This Row],[Audit Candidate 6]]-Audit[[#This Row],[Candidate 6]], "")</f>
        <v/>
      </c>
      <c r="AK85" s="17" t="str">
        <f>IF(NOT(ISBLANK(Audit[[#This Row],[Audit Candidate 7]])), Audit[[#This Row],[Audit Candidate 7]]-Audit[[#This Row],[Candidate 7]], "")</f>
        <v/>
      </c>
      <c r="AL85" s="17" t="str">
        <f>IF(NOT(ISBLANK(Audit[[#This Row],[Audit Candidate 8]])), Audit[[#This Row],[Audit Candidate 8]]-Audit[[#This Row],[Candidate 8]], "")</f>
        <v/>
      </c>
      <c r="AM85" s="17" t="str">
        <f>IF(NOT(ISBLANK(Audit[[#This Row],[Audit Candidate 9]])), Audit[[#This Row],[Audit Candidate 9]]-Audit[[#This Row],[Candidate 9]], "")</f>
        <v/>
      </c>
      <c r="AN85" s="17" t="str">
        <f>IF(NOT(ISBLANK(Audit[[#This Row],[Audit Candidate 10]])), Audit[[#This Row],[Audit Candidate 10]]-Audit[[#This Row],[Candidate 10]], "")</f>
        <v/>
      </c>
      <c r="AO85" s="17" t="str">
        <f>IF(NOT(ISBLANK(Audit[[#This Row],[Audit Candidate 11]])), Audit[[#This Row],[Audit Candidate 11]]-Audit[[#This Row],[Candidate 11]], "")</f>
        <v/>
      </c>
      <c r="AP85" s="17" t="str">
        <f>IF(NOT(ISBLANK(Audit[[#This Row],[Audit Candidate 12]])), Audit[[#This Row],[Audit Candidate 12]]-Audit[[#This Row],[Candidate 12]], "")</f>
        <v/>
      </c>
      <c r="AQ85" s="17">
        <f>SUMIF(Audit[[#This Row],[Difference Winner]:[Difference Candidate 12]], "&gt;0")</f>
        <v>0</v>
      </c>
      <c r="AR85" s="17">
        <f>SUM(Audit[[#This Row],[Difference Winner]:[Difference Candidate 12]])</f>
        <v>0</v>
      </c>
      <c r="AS85" s="17">
        <f>IF(Audit[[#This Row],[Times p Drawn - With Replacement]]&gt;0, IF(Audit[[#This Row],[Canceled Differences]]&lt;0, Audit[[#This Row],[Max Differences]]+ABS(Audit[[#This Row],[Canceled Differences]]), Audit[[#This Row],[Max Differences]]), 0)</f>
        <v>0</v>
      </c>
      <c r="AT85" s="17">
        <f>'Sampling Data'!AB85</f>
        <v>1.9478866066881685E-2</v>
      </c>
      <c r="AU85" s="17">
        <f>IF(
      SUM(Audit[[#This Row],[Audit Losing Candidate]:[Audit Candidate 12]])
      &lt;&gt;0,
      (Audit[[#This Row],[Winning Candidate]]-Audit[[#This Row],[Losing Candidate]]-(Audit[[#This Row],[Audit Winning Candidate]]-Audit[[#This Row],[Audit Losing Candidate]]))/(Audit[[#Totals],[Winning Candidate]]-Audit[[#Totals],[Losing Candidate]]),
      0
)</f>
        <v>0</v>
      </c>
      <c r="AV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 s="17">
        <f>IF(Audit[[#This Row],[Max Relative Error (ep)]] = 0, 0, Audit[[#This Row],[Max Relative Error (ep)]]/Audit[[#This Row],[Error Bound (up) - Max. possible relative overstatement]])</f>
        <v>0</v>
      </c>
      <c r="BH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5" s="17">
        <f t="shared" si="2"/>
        <v>1</v>
      </c>
      <c r="BJ85" s="17">
        <f>PRODUCT($BI$5:BI85)</f>
        <v>0.89578479606289008</v>
      </c>
      <c r="BK85" s="19">
        <f>1 - Audit[[#This Row],[K-M P Value]]</f>
        <v>0.10421520393710992</v>
      </c>
      <c r="BL85" s="17" t="str">
        <f>IF(Audit[[#This Row],[K-M P Value]]&gt;1-'General Info'!$B$12,"Continue", "Stop")</f>
        <v>Continue</v>
      </c>
      <c r="BM85" s="22" t="b">
        <f>IF(Audit[[#This Row],[Status - Continue or stop audit]] = "Continue", TRUE, IF(BL84 = "Continue", TRUE, FALSE))</f>
        <v>1</v>
      </c>
      <c r="BN85" s="22"/>
    </row>
    <row r="86" spans="1:66" ht="15" hidden="1" customHeight="1" x14ac:dyDescent="0.35">
      <c r="A86" s="17" t="str">
        <f>'Sampling Data'!AI86</f>
        <v/>
      </c>
      <c r="B86" s="17" t="str">
        <f>'Sampling Data'!A86</f>
        <v>1205 CIN 12-E   (AV)</v>
      </c>
      <c r="C86" s="17">
        <f>'Sampling Data'!B86</f>
        <v>93</v>
      </c>
      <c r="D86" s="17">
        <f>'Sampling Data'!C86</f>
        <v>13</v>
      </c>
      <c r="E86" s="18">
        <f>'Sampling Data'!D86</f>
        <v>0</v>
      </c>
      <c r="F86" s="18">
        <f>'Sampling Data'!E86</f>
        <v>0</v>
      </c>
      <c r="G86" s="18">
        <f>'Sampling Data'!F86</f>
        <v>0</v>
      </c>
      <c r="H86" s="18">
        <f>'Sampling Data'!G86</f>
        <v>0</v>
      </c>
      <c r="I86" s="18">
        <f>'Sampling Data'!H86</f>
        <v>0</v>
      </c>
      <c r="J86" s="18">
        <f>'Sampling Data'!I86</f>
        <v>0</v>
      </c>
      <c r="K86" s="18">
        <f>'Sampling Data'!J86</f>
        <v>0</v>
      </c>
      <c r="L86" s="18">
        <f>'Sampling Data'!K86</f>
        <v>0</v>
      </c>
      <c r="M86" s="18">
        <f>'Sampling Data'!L86</f>
        <v>0</v>
      </c>
      <c r="N86" s="18">
        <f>'Sampling Data'!M86</f>
        <v>0</v>
      </c>
      <c r="O86" s="17">
        <f>'Sampling Data'!N86</f>
        <v>0</v>
      </c>
      <c r="P86" s="17">
        <f>'Sampling Data'!O86</f>
        <v>13</v>
      </c>
      <c r="Q86" s="17">
        <f>'Sampling Data'!P86</f>
        <v>119</v>
      </c>
      <c r="R86" s="17">
        <f>'Sampling Data'!AJ86</f>
        <v>0</v>
      </c>
      <c r="S86" s="111"/>
      <c r="T86" s="111"/>
      <c r="U86" s="112"/>
      <c r="V86" s="112"/>
      <c r="W86" s="111"/>
      <c r="X86" s="111"/>
      <c r="Y86" s="111"/>
      <c r="Z86" s="111"/>
      <c r="AA86" s="14"/>
      <c r="AB86" s="14"/>
      <c r="AC86" s="14"/>
      <c r="AD86" s="14"/>
      <c r="AE86" s="113" t="str">
        <f>IF(NOT(ISBLANK(Audit[[#This Row],[Audit Winning Candidate]])), Audit[[#This Row],[Audit Winning Candidate]]-Audit[[#This Row],[Winning Candidate]], "")</f>
        <v/>
      </c>
      <c r="AF86" s="17" t="str">
        <f>IF(NOT(ISBLANK(Audit[[#This Row],[Audit Losing Candidate]])), Audit[[#This Row],[Audit Losing Candidate]]-Audit[[#This Row],[Losing Candidate]], "")</f>
        <v/>
      </c>
      <c r="AG86" s="17" t="str">
        <f>IF(NOT(ISBLANK(Audit[[#This Row],[Audit Candidate 3]])), Audit[[#This Row],[Audit Candidate 3]]-Audit[[#This Row],[Candidate 3]], "")</f>
        <v/>
      </c>
      <c r="AH86" s="17" t="str">
        <f>IF(NOT(ISBLANK(Audit[[#This Row],[Audit Candidate 4]])),Audit[[#This Row],[Audit Candidate 4]]-Audit[[#This Row],[Candidate 4]], "")</f>
        <v/>
      </c>
      <c r="AI86" s="17" t="str">
        <f>IF(NOT(ISBLANK(Audit[[#This Row],[Audit Candidate 5]])), Audit[[#This Row],[Audit Candidate 5]]-Audit[[#This Row],[Candidate 5]], "")</f>
        <v/>
      </c>
      <c r="AJ86" s="17" t="str">
        <f>IF(NOT(ISBLANK(Audit[[#This Row],[Audit Candidate 6]])), Audit[[#This Row],[Audit Candidate 6]]-Audit[[#This Row],[Candidate 6]], "")</f>
        <v/>
      </c>
      <c r="AK86" s="17" t="str">
        <f>IF(NOT(ISBLANK(Audit[[#This Row],[Audit Candidate 7]])), Audit[[#This Row],[Audit Candidate 7]]-Audit[[#This Row],[Candidate 7]], "")</f>
        <v/>
      </c>
      <c r="AL86" s="17" t="str">
        <f>IF(NOT(ISBLANK(Audit[[#This Row],[Audit Candidate 8]])), Audit[[#This Row],[Audit Candidate 8]]-Audit[[#This Row],[Candidate 8]], "")</f>
        <v/>
      </c>
      <c r="AM86" s="17" t="str">
        <f>IF(NOT(ISBLANK(Audit[[#This Row],[Audit Candidate 9]])), Audit[[#This Row],[Audit Candidate 9]]-Audit[[#This Row],[Candidate 9]], "")</f>
        <v/>
      </c>
      <c r="AN86" s="17" t="str">
        <f>IF(NOT(ISBLANK(Audit[[#This Row],[Audit Candidate 10]])), Audit[[#This Row],[Audit Candidate 10]]-Audit[[#This Row],[Candidate 10]], "")</f>
        <v/>
      </c>
      <c r="AO86" s="17" t="str">
        <f>IF(NOT(ISBLANK(Audit[[#This Row],[Audit Candidate 11]])), Audit[[#This Row],[Audit Candidate 11]]-Audit[[#This Row],[Candidate 11]], "")</f>
        <v/>
      </c>
      <c r="AP86" s="17" t="str">
        <f>IF(NOT(ISBLANK(Audit[[#This Row],[Audit Candidate 12]])), Audit[[#This Row],[Audit Candidate 12]]-Audit[[#This Row],[Candidate 12]], "")</f>
        <v/>
      </c>
      <c r="AQ86" s="17">
        <f>SUMIF(Audit[[#This Row],[Difference Winner]:[Difference Candidate 12]], "&gt;0")</f>
        <v>0</v>
      </c>
      <c r="AR86" s="17">
        <f>SUM(Audit[[#This Row],[Difference Winner]:[Difference Candidate 12]])</f>
        <v>0</v>
      </c>
      <c r="AS86" s="17">
        <f>IF(Audit[[#This Row],[Times p Drawn - With Replacement]]&gt;0, IF(Audit[[#This Row],[Canceled Differences]]&lt;0, Audit[[#This Row],[Max Differences]]+ABS(Audit[[#This Row],[Canceled Differences]]), Audit[[#This Row],[Max Differences]]), 0)</f>
        <v>0</v>
      </c>
      <c r="AT86" s="17">
        <f>'Sampling Data'!AB86</f>
        <v>8.4450857239857409E-3</v>
      </c>
      <c r="AU86" s="17">
        <f>IF(
      SUM(Audit[[#This Row],[Audit Losing Candidate]:[Audit Candidate 12]])
      &lt;&gt;0,
      (Audit[[#This Row],[Winning Candidate]]-Audit[[#This Row],[Losing Candidate]]-(Audit[[#This Row],[Audit Winning Candidate]]-Audit[[#This Row],[Audit Losing Candidate]]))/(Audit[[#Totals],[Winning Candidate]]-Audit[[#Totals],[Losing Candidate]]),
      0
)</f>
        <v>0</v>
      </c>
      <c r="AV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 s="17">
        <f>IF(Audit[[#This Row],[Max Relative Error (ep)]] = 0, 0, Audit[[#This Row],[Max Relative Error (ep)]]/Audit[[#This Row],[Error Bound (up) - Max. possible relative overstatement]])</f>
        <v>0</v>
      </c>
      <c r="BH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6" s="17">
        <f t="shared" si="2"/>
        <v>1</v>
      </c>
      <c r="BJ86" s="17">
        <f>PRODUCT($BI$5:BI86)</f>
        <v>0.89578479606289008</v>
      </c>
      <c r="BK86" s="19">
        <f>1 - Audit[[#This Row],[K-M P Value]]</f>
        <v>0.10421520393710992</v>
      </c>
      <c r="BL86" s="17" t="str">
        <f>IF(Audit[[#This Row],[K-M P Value]]&gt;1-'General Info'!$B$12,"Continue", "Stop")</f>
        <v>Continue</v>
      </c>
      <c r="BM86" s="22" t="b">
        <f>IF(Audit[[#This Row],[Status - Continue or stop audit]] = "Continue", TRUE, IF(BL85 = "Continue", TRUE, FALSE))</f>
        <v>1</v>
      </c>
      <c r="BN86" s="22"/>
    </row>
    <row r="87" spans="1:66" ht="15" hidden="1" customHeight="1" x14ac:dyDescent="0.35">
      <c r="A87" s="17" t="str">
        <f>'Sampling Data'!AI87</f>
        <v/>
      </c>
      <c r="B87" s="17" t="str">
        <f>'Sampling Data'!A87</f>
        <v>1301 CIN 13-A   (AV)</v>
      </c>
      <c r="C87" s="17">
        <f>'Sampling Data'!B87</f>
        <v>176</v>
      </c>
      <c r="D87" s="17">
        <f>'Sampling Data'!C87</f>
        <v>10</v>
      </c>
      <c r="E87" s="18">
        <f>'Sampling Data'!D87</f>
        <v>0</v>
      </c>
      <c r="F87" s="18">
        <f>'Sampling Data'!E87</f>
        <v>0</v>
      </c>
      <c r="G87" s="18">
        <f>'Sampling Data'!F87</f>
        <v>0</v>
      </c>
      <c r="H87" s="18">
        <f>'Sampling Data'!G87</f>
        <v>0</v>
      </c>
      <c r="I87" s="18">
        <f>'Sampling Data'!H87</f>
        <v>0</v>
      </c>
      <c r="J87" s="18">
        <f>'Sampling Data'!I87</f>
        <v>0</v>
      </c>
      <c r="K87" s="18">
        <f>'Sampling Data'!J87</f>
        <v>0</v>
      </c>
      <c r="L87" s="18">
        <f>'Sampling Data'!K87</f>
        <v>0</v>
      </c>
      <c r="M87" s="18">
        <f>'Sampling Data'!L87</f>
        <v>0</v>
      </c>
      <c r="N87" s="18">
        <f>'Sampling Data'!M87</f>
        <v>0</v>
      </c>
      <c r="O87" s="17">
        <f>'Sampling Data'!N87</f>
        <v>0</v>
      </c>
      <c r="P87" s="17">
        <f>'Sampling Data'!O87</f>
        <v>14</v>
      </c>
      <c r="Q87" s="17">
        <f>'Sampling Data'!P87</f>
        <v>200</v>
      </c>
      <c r="R87" s="17">
        <f>'Sampling Data'!AJ87</f>
        <v>0</v>
      </c>
      <c r="S87" s="111"/>
      <c r="T87" s="111"/>
      <c r="U87" s="112"/>
      <c r="V87" s="112"/>
      <c r="W87" s="111"/>
      <c r="X87" s="111"/>
      <c r="Y87" s="111"/>
      <c r="Z87" s="111"/>
      <c r="AA87" s="14"/>
      <c r="AB87" s="14"/>
      <c r="AC87" s="14"/>
      <c r="AD87" s="14"/>
      <c r="AE87" s="113" t="str">
        <f>IF(NOT(ISBLANK(Audit[[#This Row],[Audit Winning Candidate]])), Audit[[#This Row],[Audit Winning Candidate]]-Audit[[#This Row],[Winning Candidate]], "")</f>
        <v/>
      </c>
      <c r="AF87" s="17" t="str">
        <f>IF(NOT(ISBLANK(Audit[[#This Row],[Audit Losing Candidate]])), Audit[[#This Row],[Audit Losing Candidate]]-Audit[[#This Row],[Losing Candidate]], "")</f>
        <v/>
      </c>
      <c r="AG87" s="17" t="str">
        <f>IF(NOT(ISBLANK(Audit[[#This Row],[Audit Candidate 3]])), Audit[[#This Row],[Audit Candidate 3]]-Audit[[#This Row],[Candidate 3]], "")</f>
        <v/>
      </c>
      <c r="AH87" s="17" t="str">
        <f>IF(NOT(ISBLANK(Audit[[#This Row],[Audit Candidate 4]])),Audit[[#This Row],[Audit Candidate 4]]-Audit[[#This Row],[Candidate 4]], "")</f>
        <v/>
      </c>
      <c r="AI87" s="17" t="str">
        <f>IF(NOT(ISBLANK(Audit[[#This Row],[Audit Candidate 5]])), Audit[[#This Row],[Audit Candidate 5]]-Audit[[#This Row],[Candidate 5]], "")</f>
        <v/>
      </c>
      <c r="AJ87" s="17" t="str">
        <f>IF(NOT(ISBLANK(Audit[[#This Row],[Audit Candidate 6]])), Audit[[#This Row],[Audit Candidate 6]]-Audit[[#This Row],[Candidate 6]], "")</f>
        <v/>
      </c>
      <c r="AK87" s="17" t="str">
        <f>IF(NOT(ISBLANK(Audit[[#This Row],[Audit Candidate 7]])), Audit[[#This Row],[Audit Candidate 7]]-Audit[[#This Row],[Candidate 7]], "")</f>
        <v/>
      </c>
      <c r="AL87" s="17" t="str">
        <f>IF(NOT(ISBLANK(Audit[[#This Row],[Audit Candidate 8]])), Audit[[#This Row],[Audit Candidate 8]]-Audit[[#This Row],[Candidate 8]], "")</f>
        <v/>
      </c>
      <c r="AM87" s="17" t="str">
        <f>IF(NOT(ISBLANK(Audit[[#This Row],[Audit Candidate 9]])), Audit[[#This Row],[Audit Candidate 9]]-Audit[[#This Row],[Candidate 9]], "")</f>
        <v/>
      </c>
      <c r="AN87" s="17" t="str">
        <f>IF(NOT(ISBLANK(Audit[[#This Row],[Audit Candidate 10]])), Audit[[#This Row],[Audit Candidate 10]]-Audit[[#This Row],[Candidate 10]], "")</f>
        <v/>
      </c>
      <c r="AO87" s="17" t="str">
        <f>IF(NOT(ISBLANK(Audit[[#This Row],[Audit Candidate 11]])), Audit[[#This Row],[Audit Candidate 11]]-Audit[[#This Row],[Candidate 11]], "")</f>
        <v/>
      </c>
      <c r="AP87" s="17" t="str">
        <f>IF(NOT(ISBLANK(Audit[[#This Row],[Audit Candidate 12]])), Audit[[#This Row],[Audit Candidate 12]]-Audit[[#This Row],[Candidate 12]], "")</f>
        <v/>
      </c>
      <c r="AQ87" s="17">
        <f>SUMIF(Audit[[#This Row],[Difference Winner]:[Difference Candidate 12]], "&gt;0")</f>
        <v>0</v>
      </c>
      <c r="AR87" s="17">
        <f>SUM(Audit[[#This Row],[Difference Winner]:[Difference Candidate 12]])</f>
        <v>0</v>
      </c>
      <c r="AS87" s="17">
        <f>IF(Audit[[#This Row],[Times p Drawn - With Replacement]]&gt;0, IF(Audit[[#This Row],[Canceled Differences]]&lt;0, Audit[[#This Row],[Max Differences]]+ABS(Audit[[#This Row],[Canceled Differences]]), Audit[[#This Row],[Max Differences]]), 0)</f>
        <v>0</v>
      </c>
      <c r="AT87" s="17">
        <f>'Sampling Data'!AB87</f>
        <v>1.5532167713461211E-2</v>
      </c>
      <c r="AU87" s="17">
        <f>IF(
      SUM(Audit[[#This Row],[Audit Losing Candidate]:[Audit Candidate 12]])
      &lt;&gt;0,
      (Audit[[#This Row],[Winning Candidate]]-Audit[[#This Row],[Losing Candidate]]-(Audit[[#This Row],[Audit Winning Candidate]]-Audit[[#This Row],[Audit Losing Candidate]]))/(Audit[[#Totals],[Winning Candidate]]-Audit[[#Totals],[Losing Candidate]]),
      0
)</f>
        <v>0</v>
      </c>
      <c r="AV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 s="17">
        <f>IF(Audit[[#This Row],[Max Relative Error (ep)]] = 0, 0, Audit[[#This Row],[Max Relative Error (ep)]]/Audit[[#This Row],[Error Bound (up) - Max. possible relative overstatement]])</f>
        <v>0</v>
      </c>
      <c r="BH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7" s="17">
        <f t="shared" si="2"/>
        <v>1</v>
      </c>
      <c r="BJ87" s="17">
        <f>PRODUCT($BI$5:BI87)</f>
        <v>0.89578479606289008</v>
      </c>
      <c r="BK87" s="19">
        <f>1 - Audit[[#This Row],[K-M P Value]]</f>
        <v>0.10421520393710992</v>
      </c>
      <c r="BL87" s="17" t="str">
        <f>IF(Audit[[#This Row],[K-M P Value]]&gt;1-'General Info'!$B$12,"Continue", "Stop")</f>
        <v>Continue</v>
      </c>
      <c r="BM87" s="22" t="b">
        <f>IF(Audit[[#This Row],[Status - Continue or stop audit]] = "Continue", TRUE, IF(BL86 = "Continue", TRUE, FALSE))</f>
        <v>1</v>
      </c>
      <c r="BN87" s="22"/>
    </row>
    <row r="88" spans="1:66" ht="15" hidden="1" customHeight="1" x14ac:dyDescent="0.35">
      <c r="A88" s="17" t="str">
        <f>'Sampling Data'!AI88</f>
        <v/>
      </c>
      <c r="B88" s="17" t="str">
        <f>'Sampling Data'!A88</f>
        <v>1302 CIN 13-B   (AV)</v>
      </c>
      <c r="C88" s="17">
        <f>'Sampling Data'!B88</f>
        <v>257</v>
      </c>
      <c r="D88" s="17">
        <f>'Sampling Data'!C88</f>
        <v>42</v>
      </c>
      <c r="E88" s="18">
        <f>'Sampling Data'!D88</f>
        <v>0</v>
      </c>
      <c r="F88" s="18">
        <f>'Sampling Data'!E88</f>
        <v>0</v>
      </c>
      <c r="G88" s="18">
        <f>'Sampling Data'!F88</f>
        <v>0</v>
      </c>
      <c r="H88" s="18">
        <f>'Sampling Data'!G88</f>
        <v>0</v>
      </c>
      <c r="I88" s="18">
        <f>'Sampling Data'!H88</f>
        <v>0</v>
      </c>
      <c r="J88" s="18">
        <f>'Sampling Data'!I88</f>
        <v>0</v>
      </c>
      <c r="K88" s="18">
        <f>'Sampling Data'!J88</f>
        <v>0</v>
      </c>
      <c r="L88" s="18">
        <f>'Sampling Data'!K88</f>
        <v>0</v>
      </c>
      <c r="M88" s="18">
        <f>'Sampling Data'!L88</f>
        <v>0</v>
      </c>
      <c r="N88" s="18">
        <f>'Sampling Data'!M88</f>
        <v>0</v>
      </c>
      <c r="O88" s="17">
        <f>'Sampling Data'!N88</f>
        <v>0</v>
      </c>
      <c r="P88" s="17">
        <f>'Sampling Data'!O88</f>
        <v>10</v>
      </c>
      <c r="Q88" s="17">
        <f>'Sampling Data'!P88</f>
        <v>309</v>
      </c>
      <c r="R88" s="17">
        <f>'Sampling Data'!AJ88</f>
        <v>0</v>
      </c>
      <c r="S88" s="111"/>
      <c r="T88" s="111"/>
      <c r="U88" s="112"/>
      <c r="V88" s="112"/>
      <c r="W88" s="111"/>
      <c r="X88" s="111"/>
      <c r="Y88" s="111"/>
      <c r="Z88" s="111"/>
      <c r="AA88" s="14"/>
      <c r="AB88" s="14"/>
      <c r="AC88" s="14"/>
      <c r="AD88" s="14"/>
      <c r="AE88" s="113" t="str">
        <f>IF(NOT(ISBLANK(Audit[[#This Row],[Audit Winning Candidate]])), Audit[[#This Row],[Audit Winning Candidate]]-Audit[[#This Row],[Winning Candidate]], "")</f>
        <v/>
      </c>
      <c r="AF88" s="17" t="str">
        <f>IF(NOT(ISBLANK(Audit[[#This Row],[Audit Losing Candidate]])), Audit[[#This Row],[Audit Losing Candidate]]-Audit[[#This Row],[Losing Candidate]], "")</f>
        <v/>
      </c>
      <c r="AG88" s="17" t="str">
        <f>IF(NOT(ISBLANK(Audit[[#This Row],[Audit Candidate 3]])), Audit[[#This Row],[Audit Candidate 3]]-Audit[[#This Row],[Candidate 3]], "")</f>
        <v/>
      </c>
      <c r="AH88" s="17" t="str">
        <f>IF(NOT(ISBLANK(Audit[[#This Row],[Audit Candidate 4]])),Audit[[#This Row],[Audit Candidate 4]]-Audit[[#This Row],[Candidate 4]], "")</f>
        <v/>
      </c>
      <c r="AI88" s="17" t="str">
        <f>IF(NOT(ISBLANK(Audit[[#This Row],[Audit Candidate 5]])), Audit[[#This Row],[Audit Candidate 5]]-Audit[[#This Row],[Candidate 5]], "")</f>
        <v/>
      </c>
      <c r="AJ88" s="17" t="str">
        <f>IF(NOT(ISBLANK(Audit[[#This Row],[Audit Candidate 6]])), Audit[[#This Row],[Audit Candidate 6]]-Audit[[#This Row],[Candidate 6]], "")</f>
        <v/>
      </c>
      <c r="AK88" s="17" t="str">
        <f>IF(NOT(ISBLANK(Audit[[#This Row],[Audit Candidate 7]])), Audit[[#This Row],[Audit Candidate 7]]-Audit[[#This Row],[Candidate 7]], "")</f>
        <v/>
      </c>
      <c r="AL88" s="17" t="str">
        <f>IF(NOT(ISBLANK(Audit[[#This Row],[Audit Candidate 8]])), Audit[[#This Row],[Audit Candidate 8]]-Audit[[#This Row],[Candidate 8]], "")</f>
        <v/>
      </c>
      <c r="AM88" s="17" t="str">
        <f>IF(NOT(ISBLANK(Audit[[#This Row],[Audit Candidate 9]])), Audit[[#This Row],[Audit Candidate 9]]-Audit[[#This Row],[Candidate 9]], "")</f>
        <v/>
      </c>
      <c r="AN88" s="17" t="str">
        <f>IF(NOT(ISBLANK(Audit[[#This Row],[Audit Candidate 10]])), Audit[[#This Row],[Audit Candidate 10]]-Audit[[#This Row],[Candidate 10]], "")</f>
        <v/>
      </c>
      <c r="AO88" s="17" t="str">
        <f>IF(NOT(ISBLANK(Audit[[#This Row],[Audit Candidate 11]])), Audit[[#This Row],[Audit Candidate 11]]-Audit[[#This Row],[Candidate 11]], "")</f>
        <v/>
      </c>
      <c r="AP88" s="17" t="str">
        <f>IF(NOT(ISBLANK(Audit[[#This Row],[Audit Candidate 12]])), Audit[[#This Row],[Audit Candidate 12]]-Audit[[#This Row],[Candidate 12]], "")</f>
        <v/>
      </c>
      <c r="AQ88" s="17">
        <f>SUMIF(Audit[[#This Row],[Difference Winner]:[Difference Candidate 12]], "&gt;0")</f>
        <v>0</v>
      </c>
      <c r="AR88" s="17">
        <f>SUM(Audit[[#This Row],[Difference Winner]:[Difference Candidate 12]])</f>
        <v>0</v>
      </c>
      <c r="AS88" s="17">
        <f>IF(Audit[[#This Row],[Times p Drawn - With Replacement]]&gt;0, IF(Audit[[#This Row],[Canceled Differences]]&lt;0, Audit[[#This Row],[Max Differences]]+ABS(Audit[[#This Row],[Canceled Differences]]), Audit[[#This Row],[Max Differences]]), 0)</f>
        <v>0</v>
      </c>
      <c r="AT88" s="17">
        <f>'Sampling Data'!AB88</f>
        <v>2.223731115260567E-2</v>
      </c>
      <c r="AU88" s="17">
        <f>IF(
      SUM(Audit[[#This Row],[Audit Losing Candidate]:[Audit Candidate 12]])
      &lt;&gt;0,
      (Audit[[#This Row],[Winning Candidate]]-Audit[[#This Row],[Losing Candidate]]-(Audit[[#This Row],[Audit Winning Candidate]]-Audit[[#This Row],[Audit Losing Candidate]]))/(Audit[[#Totals],[Winning Candidate]]-Audit[[#Totals],[Losing Candidate]]),
      0
)</f>
        <v>0</v>
      </c>
      <c r="AV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 s="17">
        <f>IF(Audit[[#This Row],[Max Relative Error (ep)]] = 0, 0, Audit[[#This Row],[Max Relative Error (ep)]]/Audit[[#This Row],[Error Bound (up) - Max. possible relative overstatement]])</f>
        <v>0</v>
      </c>
      <c r="BH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8" s="17">
        <f t="shared" si="2"/>
        <v>1</v>
      </c>
      <c r="BJ88" s="17">
        <f>PRODUCT($BI$5:BI88)</f>
        <v>0.89578479606289008</v>
      </c>
      <c r="BK88" s="19">
        <f>1 - Audit[[#This Row],[K-M P Value]]</f>
        <v>0.10421520393710992</v>
      </c>
      <c r="BL88" s="17" t="str">
        <f>IF(Audit[[#This Row],[K-M P Value]]&gt;1-'General Info'!$B$12,"Continue", "Stop")</f>
        <v>Continue</v>
      </c>
      <c r="BM88" s="22" t="b">
        <f>IF(Audit[[#This Row],[Status - Continue or stop audit]] = "Continue", TRUE, IF(BL87 = "Continue", TRUE, FALSE))</f>
        <v>1</v>
      </c>
      <c r="BN88" s="22"/>
    </row>
    <row r="89" spans="1:66" ht="15" hidden="1" customHeight="1" x14ac:dyDescent="0.35">
      <c r="A89" s="17" t="str">
        <f>'Sampling Data'!AI89</f>
        <v/>
      </c>
      <c r="B89" s="17" t="str">
        <f>'Sampling Data'!A89</f>
        <v>1303 CIN 13-C   (AV)</v>
      </c>
      <c r="C89" s="17">
        <f>'Sampling Data'!B89</f>
        <v>170</v>
      </c>
      <c r="D89" s="17">
        <f>'Sampling Data'!C89</f>
        <v>13</v>
      </c>
      <c r="E89" s="18">
        <f>'Sampling Data'!D89</f>
        <v>0</v>
      </c>
      <c r="F89" s="18">
        <f>'Sampling Data'!E89</f>
        <v>0</v>
      </c>
      <c r="G89" s="18">
        <f>'Sampling Data'!F89</f>
        <v>0</v>
      </c>
      <c r="H89" s="18">
        <f>'Sampling Data'!G89</f>
        <v>0</v>
      </c>
      <c r="I89" s="18">
        <f>'Sampling Data'!H89</f>
        <v>0</v>
      </c>
      <c r="J89" s="18">
        <f>'Sampling Data'!I89</f>
        <v>0</v>
      </c>
      <c r="K89" s="18">
        <f>'Sampling Data'!J89</f>
        <v>0</v>
      </c>
      <c r="L89" s="18">
        <f>'Sampling Data'!K89</f>
        <v>0</v>
      </c>
      <c r="M89" s="18">
        <f>'Sampling Data'!L89</f>
        <v>0</v>
      </c>
      <c r="N89" s="18">
        <f>'Sampling Data'!M89</f>
        <v>0</v>
      </c>
      <c r="O89" s="17">
        <f>'Sampling Data'!N89</f>
        <v>0</v>
      </c>
      <c r="P89" s="17">
        <f>'Sampling Data'!O89</f>
        <v>10</v>
      </c>
      <c r="Q89" s="17">
        <f>'Sampling Data'!P89</f>
        <v>193</v>
      </c>
      <c r="R89" s="17">
        <f>'Sampling Data'!AJ89</f>
        <v>0</v>
      </c>
      <c r="S89" s="111"/>
      <c r="T89" s="111"/>
      <c r="U89" s="112"/>
      <c r="V89" s="112"/>
      <c r="W89" s="111"/>
      <c r="X89" s="111"/>
      <c r="Y89" s="111"/>
      <c r="Z89" s="111"/>
      <c r="AA89" s="14"/>
      <c r="AB89" s="14"/>
      <c r="AC89" s="14"/>
      <c r="AD89" s="14"/>
      <c r="AE89" s="113" t="str">
        <f>IF(NOT(ISBLANK(Audit[[#This Row],[Audit Winning Candidate]])), Audit[[#This Row],[Audit Winning Candidate]]-Audit[[#This Row],[Winning Candidate]], "")</f>
        <v/>
      </c>
      <c r="AF89" s="17" t="str">
        <f>IF(NOT(ISBLANK(Audit[[#This Row],[Audit Losing Candidate]])), Audit[[#This Row],[Audit Losing Candidate]]-Audit[[#This Row],[Losing Candidate]], "")</f>
        <v/>
      </c>
      <c r="AG89" s="17" t="str">
        <f>IF(NOT(ISBLANK(Audit[[#This Row],[Audit Candidate 3]])), Audit[[#This Row],[Audit Candidate 3]]-Audit[[#This Row],[Candidate 3]], "")</f>
        <v/>
      </c>
      <c r="AH89" s="17" t="str">
        <f>IF(NOT(ISBLANK(Audit[[#This Row],[Audit Candidate 4]])),Audit[[#This Row],[Audit Candidate 4]]-Audit[[#This Row],[Candidate 4]], "")</f>
        <v/>
      </c>
      <c r="AI89" s="17" t="str">
        <f>IF(NOT(ISBLANK(Audit[[#This Row],[Audit Candidate 5]])), Audit[[#This Row],[Audit Candidate 5]]-Audit[[#This Row],[Candidate 5]], "")</f>
        <v/>
      </c>
      <c r="AJ89" s="17" t="str">
        <f>IF(NOT(ISBLANK(Audit[[#This Row],[Audit Candidate 6]])), Audit[[#This Row],[Audit Candidate 6]]-Audit[[#This Row],[Candidate 6]], "")</f>
        <v/>
      </c>
      <c r="AK89" s="17" t="str">
        <f>IF(NOT(ISBLANK(Audit[[#This Row],[Audit Candidate 7]])), Audit[[#This Row],[Audit Candidate 7]]-Audit[[#This Row],[Candidate 7]], "")</f>
        <v/>
      </c>
      <c r="AL89" s="17" t="str">
        <f>IF(NOT(ISBLANK(Audit[[#This Row],[Audit Candidate 8]])), Audit[[#This Row],[Audit Candidate 8]]-Audit[[#This Row],[Candidate 8]], "")</f>
        <v/>
      </c>
      <c r="AM89" s="17" t="str">
        <f>IF(NOT(ISBLANK(Audit[[#This Row],[Audit Candidate 9]])), Audit[[#This Row],[Audit Candidate 9]]-Audit[[#This Row],[Candidate 9]], "")</f>
        <v/>
      </c>
      <c r="AN89" s="17" t="str">
        <f>IF(NOT(ISBLANK(Audit[[#This Row],[Audit Candidate 10]])), Audit[[#This Row],[Audit Candidate 10]]-Audit[[#This Row],[Candidate 10]], "")</f>
        <v/>
      </c>
      <c r="AO89" s="17" t="str">
        <f>IF(NOT(ISBLANK(Audit[[#This Row],[Audit Candidate 11]])), Audit[[#This Row],[Audit Candidate 11]]-Audit[[#This Row],[Candidate 11]], "")</f>
        <v/>
      </c>
      <c r="AP89" s="17" t="str">
        <f>IF(NOT(ISBLANK(Audit[[#This Row],[Audit Candidate 12]])), Audit[[#This Row],[Audit Candidate 12]]-Audit[[#This Row],[Candidate 12]], "")</f>
        <v/>
      </c>
      <c r="AQ89" s="17">
        <f>SUMIF(Audit[[#This Row],[Difference Winner]:[Difference Candidate 12]], "&gt;0")</f>
        <v>0</v>
      </c>
      <c r="AR89" s="17">
        <f>SUM(Audit[[#This Row],[Difference Winner]:[Difference Candidate 12]])</f>
        <v>0</v>
      </c>
      <c r="AS89" s="17">
        <f>IF(Audit[[#This Row],[Times p Drawn - With Replacement]]&gt;0, IF(Audit[[#This Row],[Canceled Differences]]&lt;0, Audit[[#This Row],[Max Differences]]+ABS(Audit[[#This Row],[Canceled Differences]]), Audit[[#This Row],[Max Differences]]), 0)</f>
        <v>0</v>
      </c>
      <c r="AT89" s="17">
        <f>'Sampling Data'!AB89</f>
        <v>1.4853165846206077E-2</v>
      </c>
      <c r="AU89" s="17">
        <f>IF(
      SUM(Audit[[#This Row],[Audit Losing Candidate]:[Audit Candidate 12]])
      &lt;&gt;0,
      (Audit[[#This Row],[Winning Candidate]]-Audit[[#This Row],[Losing Candidate]]-(Audit[[#This Row],[Audit Winning Candidate]]-Audit[[#This Row],[Audit Losing Candidate]]))/(Audit[[#Totals],[Winning Candidate]]-Audit[[#Totals],[Losing Candidate]]),
      0
)</f>
        <v>0</v>
      </c>
      <c r="AV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 s="17">
        <f>IF(Audit[[#This Row],[Max Relative Error (ep)]] = 0, 0, Audit[[#This Row],[Max Relative Error (ep)]]/Audit[[#This Row],[Error Bound (up) - Max. possible relative overstatement]])</f>
        <v>0</v>
      </c>
      <c r="BH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9" s="17">
        <f t="shared" si="2"/>
        <v>1</v>
      </c>
      <c r="BJ89" s="17">
        <f>PRODUCT($BI$5:BI89)</f>
        <v>0.89578479606289008</v>
      </c>
      <c r="BK89" s="19">
        <f>1 - Audit[[#This Row],[K-M P Value]]</f>
        <v>0.10421520393710992</v>
      </c>
      <c r="BL89" s="17" t="str">
        <f>IF(Audit[[#This Row],[K-M P Value]]&gt;1-'General Info'!$B$12,"Continue", "Stop")</f>
        <v>Continue</v>
      </c>
      <c r="BM89" s="22" t="b">
        <f>IF(Audit[[#This Row],[Status - Continue or stop audit]] = "Continue", TRUE, IF(BL88 = "Continue", TRUE, FALSE))</f>
        <v>1</v>
      </c>
      <c r="BN89" s="22"/>
    </row>
    <row r="90" spans="1:66" ht="15" hidden="1" customHeight="1" x14ac:dyDescent="0.35">
      <c r="A90" s="17" t="str">
        <f>'Sampling Data'!AI90</f>
        <v/>
      </c>
      <c r="B90" s="17" t="str">
        <f>'Sampling Data'!A90</f>
        <v>1304 CIN 13-D   (AV)</v>
      </c>
      <c r="C90" s="17">
        <f>'Sampling Data'!B90</f>
        <v>262</v>
      </c>
      <c r="D90" s="17">
        <f>'Sampling Data'!C90</f>
        <v>27</v>
      </c>
      <c r="E90" s="18">
        <f>'Sampling Data'!D90</f>
        <v>0</v>
      </c>
      <c r="F90" s="18">
        <f>'Sampling Data'!E90</f>
        <v>0</v>
      </c>
      <c r="G90" s="18">
        <f>'Sampling Data'!F90</f>
        <v>0</v>
      </c>
      <c r="H90" s="18">
        <f>'Sampling Data'!G90</f>
        <v>0</v>
      </c>
      <c r="I90" s="18">
        <f>'Sampling Data'!H90</f>
        <v>0</v>
      </c>
      <c r="J90" s="18">
        <f>'Sampling Data'!I90</f>
        <v>0</v>
      </c>
      <c r="K90" s="18">
        <f>'Sampling Data'!J90</f>
        <v>0</v>
      </c>
      <c r="L90" s="18">
        <f>'Sampling Data'!K90</f>
        <v>0</v>
      </c>
      <c r="M90" s="18">
        <f>'Sampling Data'!L90</f>
        <v>0</v>
      </c>
      <c r="N90" s="18">
        <f>'Sampling Data'!M90</f>
        <v>0</v>
      </c>
      <c r="O90" s="17">
        <f>'Sampling Data'!N90</f>
        <v>1</v>
      </c>
      <c r="P90" s="17">
        <f>'Sampling Data'!O90</f>
        <v>12</v>
      </c>
      <c r="Q90" s="17">
        <f>'Sampling Data'!P90</f>
        <v>302</v>
      </c>
      <c r="R90" s="17">
        <f>'Sampling Data'!AJ90</f>
        <v>0</v>
      </c>
      <c r="S90" s="111"/>
      <c r="T90" s="111"/>
      <c r="U90" s="112"/>
      <c r="V90" s="112"/>
      <c r="W90" s="111"/>
      <c r="X90" s="111"/>
      <c r="Y90" s="111"/>
      <c r="Z90" s="111"/>
      <c r="AA90" s="14"/>
      <c r="AB90" s="14"/>
      <c r="AC90" s="14"/>
      <c r="AD90" s="14"/>
      <c r="AE90" s="113" t="str">
        <f>IF(NOT(ISBLANK(Audit[[#This Row],[Audit Winning Candidate]])), Audit[[#This Row],[Audit Winning Candidate]]-Audit[[#This Row],[Winning Candidate]], "")</f>
        <v/>
      </c>
      <c r="AF90" s="17" t="str">
        <f>IF(NOT(ISBLANK(Audit[[#This Row],[Audit Losing Candidate]])), Audit[[#This Row],[Audit Losing Candidate]]-Audit[[#This Row],[Losing Candidate]], "")</f>
        <v/>
      </c>
      <c r="AG90" s="17" t="str">
        <f>IF(NOT(ISBLANK(Audit[[#This Row],[Audit Candidate 3]])), Audit[[#This Row],[Audit Candidate 3]]-Audit[[#This Row],[Candidate 3]], "")</f>
        <v/>
      </c>
      <c r="AH90" s="17" t="str">
        <f>IF(NOT(ISBLANK(Audit[[#This Row],[Audit Candidate 4]])),Audit[[#This Row],[Audit Candidate 4]]-Audit[[#This Row],[Candidate 4]], "")</f>
        <v/>
      </c>
      <c r="AI90" s="17" t="str">
        <f>IF(NOT(ISBLANK(Audit[[#This Row],[Audit Candidate 5]])), Audit[[#This Row],[Audit Candidate 5]]-Audit[[#This Row],[Candidate 5]], "")</f>
        <v/>
      </c>
      <c r="AJ90" s="17" t="str">
        <f>IF(NOT(ISBLANK(Audit[[#This Row],[Audit Candidate 6]])), Audit[[#This Row],[Audit Candidate 6]]-Audit[[#This Row],[Candidate 6]], "")</f>
        <v/>
      </c>
      <c r="AK90" s="17" t="str">
        <f>IF(NOT(ISBLANK(Audit[[#This Row],[Audit Candidate 7]])), Audit[[#This Row],[Audit Candidate 7]]-Audit[[#This Row],[Candidate 7]], "")</f>
        <v/>
      </c>
      <c r="AL90" s="17" t="str">
        <f>IF(NOT(ISBLANK(Audit[[#This Row],[Audit Candidate 8]])), Audit[[#This Row],[Audit Candidate 8]]-Audit[[#This Row],[Candidate 8]], "")</f>
        <v/>
      </c>
      <c r="AM90" s="17" t="str">
        <f>IF(NOT(ISBLANK(Audit[[#This Row],[Audit Candidate 9]])), Audit[[#This Row],[Audit Candidate 9]]-Audit[[#This Row],[Candidate 9]], "")</f>
        <v/>
      </c>
      <c r="AN90" s="17" t="str">
        <f>IF(NOT(ISBLANK(Audit[[#This Row],[Audit Candidate 10]])), Audit[[#This Row],[Audit Candidate 10]]-Audit[[#This Row],[Candidate 10]], "")</f>
        <v/>
      </c>
      <c r="AO90" s="17" t="str">
        <f>IF(NOT(ISBLANK(Audit[[#This Row],[Audit Candidate 11]])), Audit[[#This Row],[Audit Candidate 11]]-Audit[[#This Row],[Candidate 11]], "")</f>
        <v/>
      </c>
      <c r="AP90" s="17" t="str">
        <f>IF(NOT(ISBLANK(Audit[[#This Row],[Audit Candidate 12]])), Audit[[#This Row],[Audit Candidate 12]]-Audit[[#This Row],[Candidate 12]], "")</f>
        <v/>
      </c>
      <c r="AQ90" s="17">
        <f>SUMIF(Audit[[#This Row],[Difference Winner]:[Difference Candidate 12]], "&gt;0")</f>
        <v>0</v>
      </c>
      <c r="AR90" s="17">
        <f>SUM(Audit[[#This Row],[Difference Winner]:[Difference Candidate 12]])</f>
        <v>0</v>
      </c>
      <c r="AS90" s="17">
        <f>IF(Audit[[#This Row],[Times p Drawn - With Replacement]]&gt;0, IF(Audit[[#This Row],[Canceled Differences]]&lt;0, Audit[[#This Row],[Max Differences]]+ABS(Audit[[#This Row],[Canceled Differences]]), Audit[[#This Row],[Max Differences]]), 0)</f>
        <v>0</v>
      </c>
      <c r="AT90" s="17">
        <f>'Sampling Data'!AB90</f>
        <v>2.2789000169750467E-2</v>
      </c>
      <c r="AU90" s="17">
        <f>IF(
      SUM(Audit[[#This Row],[Audit Losing Candidate]:[Audit Candidate 12]])
      &lt;&gt;0,
      (Audit[[#This Row],[Winning Candidate]]-Audit[[#This Row],[Losing Candidate]]-(Audit[[#This Row],[Audit Winning Candidate]]-Audit[[#This Row],[Audit Losing Candidate]]))/(Audit[[#Totals],[Winning Candidate]]-Audit[[#Totals],[Losing Candidate]]),
      0
)</f>
        <v>0</v>
      </c>
      <c r="AV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 s="17">
        <f>IF(Audit[[#This Row],[Max Relative Error (ep)]] = 0, 0, Audit[[#This Row],[Max Relative Error (ep)]]/Audit[[#This Row],[Error Bound (up) - Max. possible relative overstatement]])</f>
        <v>0</v>
      </c>
      <c r="BH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0" s="17">
        <f t="shared" si="2"/>
        <v>1</v>
      </c>
      <c r="BJ90" s="17">
        <f>PRODUCT($BI$5:BI90)</f>
        <v>0.89578479606289008</v>
      </c>
      <c r="BK90" s="19">
        <f>1 - Audit[[#This Row],[K-M P Value]]</f>
        <v>0.10421520393710992</v>
      </c>
      <c r="BL90" s="17" t="str">
        <f>IF(Audit[[#This Row],[K-M P Value]]&gt;1-'General Info'!$B$12,"Continue", "Stop")</f>
        <v>Continue</v>
      </c>
      <c r="BM90" s="22" t="b">
        <f>IF(Audit[[#This Row],[Status - Continue or stop audit]] = "Continue", TRUE, IF(BL89 = "Continue", TRUE, FALSE))</f>
        <v>1</v>
      </c>
      <c r="BN90" s="22"/>
    </row>
    <row r="91" spans="1:66" ht="15" hidden="1" customHeight="1" x14ac:dyDescent="0.35">
      <c r="A91" s="17" t="str">
        <f>'Sampling Data'!AI91</f>
        <v/>
      </c>
      <c r="B91" s="17" t="str">
        <f>'Sampling Data'!A91</f>
        <v>1305 CIN 13-E   (AV)</v>
      </c>
      <c r="C91" s="17">
        <f>'Sampling Data'!B91</f>
        <v>564</v>
      </c>
      <c r="D91" s="17">
        <f>'Sampling Data'!C91</f>
        <v>77</v>
      </c>
      <c r="E91" s="18">
        <f>'Sampling Data'!D91</f>
        <v>0</v>
      </c>
      <c r="F91" s="18">
        <f>'Sampling Data'!E91</f>
        <v>0</v>
      </c>
      <c r="G91" s="18">
        <f>'Sampling Data'!F91</f>
        <v>0</v>
      </c>
      <c r="H91" s="18">
        <f>'Sampling Data'!G91</f>
        <v>0</v>
      </c>
      <c r="I91" s="18">
        <f>'Sampling Data'!H91</f>
        <v>0</v>
      </c>
      <c r="J91" s="18">
        <f>'Sampling Data'!I91</f>
        <v>0</v>
      </c>
      <c r="K91" s="18">
        <f>'Sampling Data'!J91</f>
        <v>0</v>
      </c>
      <c r="L91" s="18">
        <f>'Sampling Data'!K91</f>
        <v>0</v>
      </c>
      <c r="M91" s="18">
        <f>'Sampling Data'!L91</f>
        <v>0</v>
      </c>
      <c r="N91" s="18">
        <f>'Sampling Data'!M91</f>
        <v>0</v>
      </c>
      <c r="O91" s="17">
        <f>'Sampling Data'!N91</f>
        <v>0</v>
      </c>
      <c r="P91" s="17">
        <f>'Sampling Data'!O91</f>
        <v>33</v>
      </c>
      <c r="Q91" s="17">
        <f>'Sampling Data'!P91</f>
        <v>674</v>
      </c>
      <c r="R91" s="17">
        <f>'Sampling Data'!AJ91</f>
        <v>0</v>
      </c>
      <c r="S91" s="111"/>
      <c r="T91" s="111"/>
      <c r="U91" s="112"/>
      <c r="V91" s="112"/>
      <c r="W91" s="111"/>
      <c r="X91" s="111"/>
      <c r="Y91" s="111"/>
      <c r="Z91" s="111"/>
      <c r="AA91" s="14"/>
      <c r="AB91" s="14"/>
      <c r="AC91" s="14"/>
      <c r="AD91" s="14"/>
      <c r="AE91" s="113" t="str">
        <f>IF(NOT(ISBLANK(Audit[[#This Row],[Audit Winning Candidate]])), Audit[[#This Row],[Audit Winning Candidate]]-Audit[[#This Row],[Winning Candidate]], "")</f>
        <v/>
      </c>
      <c r="AF91" s="17" t="str">
        <f>IF(NOT(ISBLANK(Audit[[#This Row],[Audit Losing Candidate]])), Audit[[#This Row],[Audit Losing Candidate]]-Audit[[#This Row],[Losing Candidate]], "")</f>
        <v/>
      </c>
      <c r="AG91" s="17" t="str">
        <f>IF(NOT(ISBLANK(Audit[[#This Row],[Audit Candidate 3]])), Audit[[#This Row],[Audit Candidate 3]]-Audit[[#This Row],[Candidate 3]], "")</f>
        <v/>
      </c>
      <c r="AH91" s="17" t="str">
        <f>IF(NOT(ISBLANK(Audit[[#This Row],[Audit Candidate 4]])),Audit[[#This Row],[Audit Candidate 4]]-Audit[[#This Row],[Candidate 4]], "")</f>
        <v/>
      </c>
      <c r="AI91" s="17" t="str">
        <f>IF(NOT(ISBLANK(Audit[[#This Row],[Audit Candidate 5]])), Audit[[#This Row],[Audit Candidate 5]]-Audit[[#This Row],[Candidate 5]], "")</f>
        <v/>
      </c>
      <c r="AJ91" s="17" t="str">
        <f>IF(NOT(ISBLANK(Audit[[#This Row],[Audit Candidate 6]])), Audit[[#This Row],[Audit Candidate 6]]-Audit[[#This Row],[Candidate 6]], "")</f>
        <v/>
      </c>
      <c r="AK91" s="17" t="str">
        <f>IF(NOT(ISBLANK(Audit[[#This Row],[Audit Candidate 7]])), Audit[[#This Row],[Audit Candidate 7]]-Audit[[#This Row],[Candidate 7]], "")</f>
        <v/>
      </c>
      <c r="AL91" s="17" t="str">
        <f>IF(NOT(ISBLANK(Audit[[#This Row],[Audit Candidate 8]])), Audit[[#This Row],[Audit Candidate 8]]-Audit[[#This Row],[Candidate 8]], "")</f>
        <v/>
      </c>
      <c r="AM91" s="17" t="str">
        <f>IF(NOT(ISBLANK(Audit[[#This Row],[Audit Candidate 9]])), Audit[[#This Row],[Audit Candidate 9]]-Audit[[#This Row],[Candidate 9]], "")</f>
        <v/>
      </c>
      <c r="AN91" s="17" t="str">
        <f>IF(NOT(ISBLANK(Audit[[#This Row],[Audit Candidate 10]])), Audit[[#This Row],[Audit Candidate 10]]-Audit[[#This Row],[Candidate 10]], "")</f>
        <v/>
      </c>
      <c r="AO91" s="17" t="str">
        <f>IF(NOT(ISBLANK(Audit[[#This Row],[Audit Candidate 11]])), Audit[[#This Row],[Audit Candidate 11]]-Audit[[#This Row],[Candidate 11]], "")</f>
        <v/>
      </c>
      <c r="AP91" s="17" t="str">
        <f>IF(NOT(ISBLANK(Audit[[#This Row],[Audit Candidate 12]])), Audit[[#This Row],[Audit Candidate 12]]-Audit[[#This Row],[Candidate 12]], "")</f>
        <v/>
      </c>
      <c r="AQ91" s="17">
        <f>SUMIF(Audit[[#This Row],[Difference Winner]:[Difference Candidate 12]], "&gt;0")</f>
        <v>0</v>
      </c>
      <c r="AR91" s="17">
        <f>SUM(Audit[[#This Row],[Difference Winner]:[Difference Candidate 12]])</f>
        <v>0</v>
      </c>
      <c r="AS91" s="17">
        <f>IF(Audit[[#This Row],[Times p Drawn - With Replacement]]&gt;0, IF(Audit[[#This Row],[Canceled Differences]]&lt;0, Audit[[#This Row],[Max Differences]]+ABS(Audit[[#This Row],[Canceled Differences]]), Audit[[#This Row],[Max Differences]]), 0)</f>
        <v>0</v>
      </c>
      <c r="AT91" s="17">
        <f>'Sampling Data'!AB91</f>
        <v>4.9270072992700732E-2</v>
      </c>
      <c r="AU91" s="17">
        <f>IF(
      SUM(Audit[[#This Row],[Audit Losing Candidate]:[Audit Candidate 12]])
      &lt;&gt;0,
      (Audit[[#This Row],[Winning Candidate]]-Audit[[#This Row],[Losing Candidate]]-(Audit[[#This Row],[Audit Winning Candidate]]-Audit[[#This Row],[Audit Losing Candidate]]))/(Audit[[#Totals],[Winning Candidate]]-Audit[[#Totals],[Losing Candidate]]),
      0
)</f>
        <v>0</v>
      </c>
      <c r="AV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 s="17">
        <f>IF(Audit[[#This Row],[Max Relative Error (ep)]] = 0, 0, Audit[[#This Row],[Max Relative Error (ep)]]/Audit[[#This Row],[Error Bound (up) - Max. possible relative overstatement]])</f>
        <v>0</v>
      </c>
      <c r="BH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1" s="17">
        <f t="shared" si="2"/>
        <v>1</v>
      </c>
      <c r="BJ91" s="17">
        <f>PRODUCT($BI$5:BI91)</f>
        <v>0.89578479606289008</v>
      </c>
      <c r="BK91" s="19">
        <f>1 - Audit[[#This Row],[K-M P Value]]</f>
        <v>0.10421520393710992</v>
      </c>
      <c r="BL91" s="17" t="str">
        <f>IF(Audit[[#This Row],[K-M P Value]]&gt;1-'General Info'!$B$12,"Continue", "Stop")</f>
        <v>Continue</v>
      </c>
      <c r="BM91" s="22" t="b">
        <f>IF(Audit[[#This Row],[Status - Continue or stop audit]] = "Continue", TRUE, IF(BL90 = "Continue", TRUE, FALSE))</f>
        <v>1</v>
      </c>
      <c r="BN91" s="22"/>
    </row>
    <row r="92" spans="1:66" ht="15" hidden="1" customHeight="1" x14ac:dyDescent="0.35">
      <c r="A92" s="17" t="str">
        <f>'Sampling Data'!AI92</f>
        <v/>
      </c>
      <c r="B92" s="17" t="str">
        <f>'Sampling Data'!A92</f>
        <v>1306 CIN 13-F   (AV)</v>
      </c>
      <c r="C92" s="17">
        <f>'Sampling Data'!B92</f>
        <v>360</v>
      </c>
      <c r="D92" s="17">
        <f>'Sampling Data'!C92</f>
        <v>37</v>
      </c>
      <c r="E92" s="18">
        <f>'Sampling Data'!D92</f>
        <v>0</v>
      </c>
      <c r="F92" s="18">
        <f>'Sampling Data'!E92</f>
        <v>0</v>
      </c>
      <c r="G92" s="18">
        <f>'Sampling Data'!F92</f>
        <v>0</v>
      </c>
      <c r="H92" s="18">
        <f>'Sampling Data'!G92</f>
        <v>0</v>
      </c>
      <c r="I92" s="18">
        <f>'Sampling Data'!H92</f>
        <v>0</v>
      </c>
      <c r="J92" s="18">
        <f>'Sampling Data'!I92</f>
        <v>0</v>
      </c>
      <c r="K92" s="18">
        <f>'Sampling Data'!J92</f>
        <v>0</v>
      </c>
      <c r="L92" s="18">
        <f>'Sampling Data'!K92</f>
        <v>0</v>
      </c>
      <c r="M92" s="18">
        <f>'Sampling Data'!L92</f>
        <v>0</v>
      </c>
      <c r="N92" s="18">
        <f>'Sampling Data'!M92</f>
        <v>0</v>
      </c>
      <c r="O92" s="17">
        <f>'Sampling Data'!N92</f>
        <v>1</v>
      </c>
      <c r="P92" s="17">
        <f>'Sampling Data'!O92</f>
        <v>13</v>
      </c>
      <c r="Q92" s="17">
        <f>'Sampling Data'!P92</f>
        <v>411</v>
      </c>
      <c r="R92" s="17">
        <f>'Sampling Data'!AJ92</f>
        <v>0</v>
      </c>
      <c r="S92" s="111"/>
      <c r="T92" s="111"/>
      <c r="U92" s="112"/>
      <c r="V92" s="112"/>
      <c r="W92" s="111"/>
      <c r="X92" s="111"/>
      <c r="Y92" s="111"/>
      <c r="Z92" s="111"/>
      <c r="AA92" s="14"/>
      <c r="AB92" s="14"/>
      <c r="AC92" s="14"/>
      <c r="AD92" s="14"/>
      <c r="AE92" s="113" t="str">
        <f>IF(NOT(ISBLANK(Audit[[#This Row],[Audit Winning Candidate]])), Audit[[#This Row],[Audit Winning Candidate]]-Audit[[#This Row],[Winning Candidate]], "")</f>
        <v/>
      </c>
      <c r="AF92" s="17" t="str">
        <f>IF(NOT(ISBLANK(Audit[[#This Row],[Audit Losing Candidate]])), Audit[[#This Row],[Audit Losing Candidate]]-Audit[[#This Row],[Losing Candidate]], "")</f>
        <v/>
      </c>
      <c r="AG92" s="17" t="str">
        <f>IF(NOT(ISBLANK(Audit[[#This Row],[Audit Candidate 3]])), Audit[[#This Row],[Audit Candidate 3]]-Audit[[#This Row],[Candidate 3]], "")</f>
        <v/>
      </c>
      <c r="AH92" s="17" t="str">
        <f>IF(NOT(ISBLANK(Audit[[#This Row],[Audit Candidate 4]])),Audit[[#This Row],[Audit Candidate 4]]-Audit[[#This Row],[Candidate 4]], "")</f>
        <v/>
      </c>
      <c r="AI92" s="17" t="str">
        <f>IF(NOT(ISBLANK(Audit[[#This Row],[Audit Candidate 5]])), Audit[[#This Row],[Audit Candidate 5]]-Audit[[#This Row],[Candidate 5]], "")</f>
        <v/>
      </c>
      <c r="AJ92" s="17" t="str">
        <f>IF(NOT(ISBLANK(Audit[[#This Row],[Audit Candidate 6]])), Audit[[#This Row],[Audit Candidate 6]]-Audit[[#This Row],[Candidate 6]], "")</f>
        <v/>
      </c>
      <c r="AK92" s="17" t="str">
        <f>IF(NOT(ISBLANK(Audit[[#This Row],[Audit Candidate 7]])), Audit[[#This Row],[Audit Candidate 7]]-Audit[[#This Row],[Candidate 7]], "")</f>
        <v/>
      </c>
      <c r="AL92" s="17" t="str">
        <f>IF(NOT(ISBLANK(Audit[[#This Row],[Audit Candidate 8]])), Audit[[#This Row],[Audit Candidate 8]]-Audit[[#This Row],[Candidate 8]], "")</f>
        <v/>
      </c>
      <c r="AM92" s="17" t="str">
        <f>IF(NOT(ISBLANK(Audit[[#This Row],[Audit Candidate 9]])), Audit[[#This Row],[Audit Candidate 9]]-Audit[[#This Row],[Candidate 9]], "")</f>
        <v/>
      </c>
      <c r="AN92" s="17" t="str">
        <f>IF(NOT(ISBLANK(Audit[[#This Row],[Audit Candidate 10]])), Audit[[#This Row],[Audit Candidate 10]]-Audit[[#This Row],[Candidate 10]], "")</f>
        <v/>
      </c>
      <c r="AO92" s="17" t="str">
        <f>IF(NOT(ISBLANK(Audit[[#This Row],[Audit Candidate 11]])), Audit[[#This Row],[Audit Candidate 11]]-Audit[[#This Row],[Candidate 11]], "")</f>
        <v/>
      </c>
      <c r="AP92" s="17" t="str">
        <f>IF(NOT(ISBLANK(Audit[[#This Row],[Audit Candidate 12]])), Audit[[#This Row],[Audit Candidate 12]]-Audit[[#This Row],[Candidate 12]], "")</f>
        <v/>
      </c>
      <c r="AQ92" s="17">
        <f>SUMIF(Audit[[#This Row],[Difference Winner]:[Difference Candidate 12]], "&gt;0")</f>
        <v>0</v>
      </c>
      <c r="AR92" s="17">
        <f>SUM(Audit[[#This Row],[Difference Winner]:[Difference Candidate 12]])</f>
        <v>0</v>
      </c>
      <c r="AS92" s="17">
        <f>IF(Audit[[#This Row],[Times p Drawn - With Replacement]]&gt;0, IF(Audit[[#This Row],[Canceled Differences]]&lt;0, Audit[[#This Row],[Max Differences]]+ABS(Audit[[#This Row],[Canceled Differences]]), Audit[[#This Row],[Max Differences]]), 0)</f>
        <v>0</v>
      </c>
      <c r="AT92" s="17">
        <f>'Sampling Data'!AB92</f>
        <v>3.1149210660329316E-2</v>
      </c>
      <c r="AU92" s="17">
        <f>IF(
      SUM(Audit[[#This Row],[Audit Losing Candidate]:[Audit Candidate 12]])
      &lt;&gt;0,
      (Audit[[#This Row],[Winning Candidate]]-Audit[[#This Row],[Losing Candidate]]-(Audit[[#This Row],[Audit Winning Candidate]]-Audit[[#This Row],[Audit Losing Candidate]]))/(Audit[[#Totals],[Winning Candidate]]-Audit[[#Totals],[Losing Candidate]]),
      0
)</f>
        <v>0</v>
      </c>
      <c r="AV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 s="17">
        <f>IF(Audit[[#This Row],[Max Relative Error (ep)]] = 0, 0, Audit[[#This Row],[Max Relative Error (ep)]]/Audit[[#This Row],[Error Bound (up) - Max. possible relative overstatement]])</f>
        <v>0</v>
      </c>
      <c r="BH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2" s="17">
        <f t="shared" si="2"/>
        <v>1</v>
      </c>
      <c r="BJ92" s="17">
        <f>PRODUCT($BI$5:BI92)</f>
        <v>0.89578479606289008</v>
      </c>
      <c r="BK92" s="19">
        <f>1 - Audit[[#This Row],[K-M P Value]]</f>
        <v>0.10421520393710992</v>
      </c>
      <c r="BL92" s="17" t="str">
        <f>IF(Audit[[#This Row],[K-M P Value]]&gt;1-'General Info'!$B$12,"Continue", "Stop")</f>
        <v>Continue</v>
      </c>
      <c r="BM92" s="22" t="b">
        <f>IF(Audit[[#This Row],[Status - Continue or stop audit]] = "Continue", TRUE, IF(BL91 = "Continue", TRUE, FALSE))</f>
        <v>1</v>
      </c>
      <c r="BN92" s="22"/>
    </row>
    <row r="93" spans="1:66" ht="15" hidden="1" customHeight="1" x14ac:dyDescent="0.35">
      <c r="A93" s="17" t="str">
        <f>'Sampling Data'!AI93</f>
        <v/>
      </c>
      <c r="B93" s="17" t="str">
        <f>'Sampling Data'!A93</f>
        <v>1307 CIN 13-G   (AV)</v>
      </c>
      <c r="C93" s="17">
        <f>'Sampling Data'!B93</f>
        <v>225</v>
      </c>
      <c r="D93" s="17">
        <f>'Sampling Data'!C93</f>
        <v>21</v>
      </c>
      <c r="E93" s="18">
        <f>'Sampling Data'!D93</f>
        <v>0</v>
      </c>
      <c r="F93" s="18">
        <f>'Sampling Data'!E93</f>
        <v>0</v>
      </c>
      <c r="G93" s="18">
        <f>'Sampling Data'!F93</f>
        <v>0</v>
      </c>
      <c r="H93" s="18">
        <f>'Sampling Data'!G93</f>
        <v>0</v>
      </c>
      <c r="I93" s="18">
        <f>'Sampling Data'!H93</f>
        <v>0</v>
      </c>
      <c r="J93" s="18">
        <f>'Sampling Data'!I93</f>
        <v>0</v>
      </c>
      <c r="K93" s="18">
        <f>'Sampling Data'!J93</f>
        <v>0</v>
      </c>
      <c r="L93" s="18">
        <f>'Sampling Data'!K93</f>
        <v>0</v>
      </c>
      <c r="M93" s="18">
        <f>'Sampling Data'!L93</f>
        <v>0</v>
      </c>
      <c r="N93" s="18">
        <f>'Sampling Data'!M93</f>
        <v>0</v>
      </c>
      <c r="O93" s="17">
        <f>'Sampling Data'!N93</f>
        <v>0</v>
      </c>
      <c r="P93" s="17">
        <f>'Sampling Data'!O93</f>
        <v>11</v>
      </c>
      <c r="Q93" s="17">
        <f>'Sampling Data'!P93</f>
        <v>257</v>
      </c>
      <c r="R93" s="17">
        <f>'Sampling Data'!AJ93</f>
        <v>0</v>
      </c>
      <c r="S93" s="111"/>
      <c r="T93" s="111"/>
      <c r="U93" s="112"/>
      <c r="V93" s="112"/>
      <c r="W93" s="111"/>
      <c r="X93" s="111"/>
      <c r="Y93" s="111"/>
      <c r="Z93" s="111"/>
      <c r="AA93" s="14"/>
      <c r="AB93" s="14"/>
      <c r="AC93" s="14"/>
      <c r="AD93" s="14"/>
      <c r="AE93" s="113" t="str">
        <f>IF(NOT(ISBLANK(Audit[[#This Row],[Audit Winning Candidate]])), Audit[[#This Row],[Audit Winning Candidate]]-Audit[[#This Row],[Winning Candidate]], "")</f>
        <v/>
      </c>
      <c r="AF93" s="17" t="str">
        <f>IF(NOT(ISBLANK(Audit[[#This Row],[Audit Losing Candidate]])), Audit[[#This Row],[Audit Losing Candidate]]-Audit[[#This Row],[Losing Candidate]], "")</f>
        <v/>
      </c>
      <c r="AG93" s="17" t="str">
        <f>IF(NOT(ISBLANK(Audit[[#This Row],[Audit Candidate 3]])), Audit[[#This Row],[Audit Candidate 3]]-Audit[[#This Row],[Candidate 3]], "")</f>
        <v/>
      </c>
      <c r="AH93" s="17" t="str">
        <f>IF(NOT(ISBLANK(Audit[[#This Row],[Audit Candidate 4]])),Audit[[#This Row],[Audit Candidate 4]]-Audit[[#This Row],[Candidate 4]], "")</f>
        <v/>
      </c>
      <c r="AI93" s="17" t="str">
        <f>IF(NOT(ISBLANK(Audit[[#This Row],[Audit Candidate 5]])), Audit[[#This Row],[Audit Candidate 5]]-Audit[[#This Row],[Candidate 5]], "")</f>
        <v/>
      </c>
      <c r="AJ93" s="17" t="str">
        <f>IF(NOT(ISBLANK(Audit[[#This Row],[Audit Candidate 6]])), Audit[[#This Row],[Audit Candidate 6]]-Audit[[#This Row],[Candidate 6]], "")</f>
        <v/>
      </c>
      <c r="AK93" s="17" t="str">
        <f>IF(NOT(ISBLANK(Audit[[#This Row],[Audit Candidate 7]])), Audit[[#This Row],[Audit Candidate 7]]-Audit[[#This Row],[Candidate 7]], "")</f>
        <v/>
      </c>
      <c r="AL93" s="17" t="str">
        <f>IF(NOT(ISBLANK(Audit[[#This Row],[Audit Candidate 8]])), Audit[[#This Row],[Audit Candidate 8]]-Audit[[#This Row],[Candidate 8]], "")</f>
        <v/>
      </c>
      <c r="AM93" s="17" t="str">
        <f>IF(NOT(ISBLANK(Audit[[#This Row],[Audit Candidate 9]])), Audit[[#This Row],[Audit Candidate 9]]-Audit[[#This Row],[Candidate 9]], "")</f>
        <v/>
      </c>
      <c r="AN93" s="17" t="str">
        <f>IF(NOT(ISBLANK(Audit[[#This Row],[Audit Candidate 10]])), Audit[[#This Row],[Audit Candidate 10]]-Audit[[#This Row],[Candidate 10]], "")</f>
        <v/>
      </c>
      <c r="AO93" s="17" t="str">
        <f>IF(NOT(ISBLANK(Audit[[#This Row],[Audit Candidate 11]])), Audit[[#This Row],[Audit Candidate 11]]-Audit[[#This Row],[Candidate 11]], "")</f>
        <v/>
      </c>
      <c r="AP93" s="17" t="str">
        <f>IF(NOT(ISBLANK(Audit[[#This Row],[Audit Candidate 12]])), Audit[[#This Row],[Audit Candidate 12]]-Audit[[#This Row],[Candidate 12]], "")</f>
        <v/>
      </c>
      <c r="AQ93" s="17">
        <f>SUMIF(Audit[[#This Row],[Difference Winner]:[Difference Candidate 12]], "&gt;0")</f>
        <v>0</v>
      </c>
      <c r="AR93" s="17">
        <f>SUM(Audit[[#This Row],[Difference Winner]:[Difference Candidate 12]])</f>
        <v>0</v>
      </c>
      <c r="AS93" s="17">
        <f>IF(Audit[[#This Row],[Times p Drawn - With Replacement]]&gt;0, IF(Audit[[#This Row],[Canceled Differences]]&lt;0, Audit[[#This Row],[Max Differences]]+ABS(Audit[[#This Row],[Canceled Differences]]), Audit[[#This Row],[Max Differences]]), 0)</f>
        <v>0</v>
      </c>
      <c r="AT93" s="17">
        <f>'Sampling Data'!AB93</f>
        <v>1.9563741300288574E-2</v>
      </c>
      <c r="AU93" s="17">
        <f>IF(
      SUM(Audit[[#This Row],[Audit Losing Candidate]:[Audit Candidate 12]])
      &lt;&gt;0,
      (Audit[[#This Row],[Winning Candidate]]-Audit[[#This Row],[Losing Candidate]]-(Audit[[#This Row],[Audit Winning Candidate]]-Audit[[#This Row],[Audit Losing Candidate]]))/(Audit[[#Totals],[Winning Candidate]]-Audit[[#Totals],[Losing Candidate]]),
      0
)</f>
        <v>0</v>
      </c>
      <c r="AV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 s="17">
        <f>IF(Audit[[#This Row],[Max Relative Error (ep)]] = 0, 0, Audit[[#This Row],[Max Relative Error (ep)]]/Audit[[#This Row],[Error Bound (up) - Max. possible relative overstatement]])</f>
        <v>0</v>
      </c>
      <c r="BH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3" s="17">
        <f t="shared" si="2"/>
        <v>1</v>
      </c>
      <c r="BJ93" s="17">
        <f>PRODUCT($BI$5:BI93)</f>
        <v>0.89578479606289008</v>
      </c>
      <c r="BK93" s="19">
        <f>1 - Audit[[#This Row],[K-M P Value]]</f>
        <v>0.10421520393710992</v>
      </c>
      <c r="BL93" s="17" t="str">
        <f>IF(Audit[[#This Row],[K-M P Value]]&gt;1-'General Info'!$B$12,"Continue", "Stop")</f>
        <v>Continue</v>
      </c>
      <c r="BM93" s="22" t="b">
        <f>IF(Audit[[#This Row],[Status - Continue or stop audit]] = "Continue", TRUE, IF(BL92 = "Continue", TRUE, FALSE))</f>
        <v>1</v>
      </c>
      <c r="BN93" s="22"/>
    </row>
    <row r="94" spans="1:66" ht="15" hidden="1" customHeight="1" x14ac:dyDescent="0.35">
      <c r="A94" s="17" t="str">
        <f>'Sampling Data'!AI94</f>
        <v/>
      </c>
      <c r="B94" s="17" t="str">
        <f>'Sampling Data'!A94</f>
        <v>1308 CIN 13-H   (AV)</v>
      </c>
      <c r="C94" s="17">
        <f>'Sampling Data'!B94</f>
        <v>26</v>
      </c>
      <c r="D94" s="17">
        <f>'Sampling Data'!C94</f>
        <v>13</v>
      </c>
      <c r="E94" s="18">
        <f>'Sampling Data'!D94</f>
        <v>0</v>
      </c>
      <c r="F94" s="18">
        <f>'Sampling Data'!E94</f>
        <v>0</v>
      </c>
      <c r="G94" s="18">
        <f>'Sampling Data'!F94</f>
        <v>0</v>
      </c>
      <c r="H94" s="18">
        <f>'Sampling Data'!G94</f>
        <v>0</v>
      </c>
      <c r="I94" s="18">
        <f>'Sampling Data'!H94</f>
        <v>0</v>
      </c>
      <c r="J94" s="18">
        <f>'Sampling Data'!I94</f>
        <v>0</v>
      </c>
      <c r="K94" s="18">
        <f>'Sampling Data'!J94</f>
        <v>0</v>
      </c>
      <c r="L94" s="18">
        <f>'Sampling Data'!K94</f>
        <v>0</v>
      </c>
      <c r="M94" s="18">
        <f>'Sampling Data'!L94</f>
        <v>0</v>
      </c>
      <c r="N94" s="18">
        <f>'Sampling Data'!M94</f>
        <v>0</v>
      </c>
      <c r="O94" s="17">
        <f>'Sampling Data'!N94</f>
        <v>0</v>
      </c>
      <c r="P94" s="17">
        <f>'Sampling Data'!O94</f>
        <v>5</v>
      </c>
      <c r="Q94" s="17">
        <f>'Sampling Data'!P94</f>
        <v>44</v>
      </c>
      <c r="R94" s="17">
        <f>'Sampling Data'!AJ94</f>
        <v>0</v>
      </c>
      <c r="S94" s="111"/>
      <c r="T94" s="111"/>
      <c r="U94" s="112"/>
      <c r="V94" s="112"/>
      <c r="W94" s="111"/>
      <c r="X94" s="111"/>
      <c r="Y94" s="111"/>
      <c r="Z94" s="111"/>
      <c r="AA94" s="14"/>
      <c r="AB94" s="14"/>
      <c r="AC94" s="14"/>
      <c r="AD94" s="14"/>
      <c r="AE94" s="113" t="str">
        <f>IF(NOT(ISBLANK(Audit[[#This Row],[Audit Winning Candidate]])), Audit[[#This Row],[Audit Winning Candidate]]-Audit[[#This Row],[Winning Candidate]], "")</f>
        <v/>
      </c>
      <c r="AF94" s="17" t="str">
        <f>IF(NOT(ISBLANK(Audit[[#This Row],[Audit Losing Candidate]])), Audit[[#This Row],[Audit Losing Candidate]]-Audit[[#This Row],[Losing Candidate]], "")</f>
        <v/>
      </c>
      <c r="AG94" s="17" t="str">
        <f>IF(NOT(ISBLANK(Audit[[#This Row],[Audit Candidate 3]])), Audit[[#This Row],[Audit Candidate 3]]-Audit[[#This Row],[Candidate 3]], "")</f>
        <v/>
      </c>
      <c r="AH94" s="17" t="str">
        <f>IF(NOT(ISBLANK(Audit[[#This Row],[Audit Candidate 4]])),Audit[[#This Row],[Audit Candidate 4]]-Audit[[#This Row],[Candidate 4]], "")</f>
        <v/>
      </c>
      <c r="AI94" s="17" t="str">
        <f>IF(NOT(ISBLANK(Audit[[#This Row],[Audit Candidate 5]])), Audit[[#This Row],[Audit Candidate 5]]-Audit[[#This Row],[Candidate 5]], "")</f>
        <v/>
      </c>
      <c r="AJ94" s="17" t="str">
        <f>IF(NOT(ISBLANK(Audit[[#This Row],[Audit Candidate 6]])), Audit[[#This Row],[Audit Candidate 6]]-Audit[[#This Row],[Candidate 6]], "")</f>
        <v/>
      </c>
      <c r="AK94" s="17" t="str">
        <f>IF(NOT(ISBLANK(Audit[[#This Row],[Audit Candidate 7]])), Audit[[#This Row],[Audit Candidate 7]]-Audit[[#This Row],[Candidate 7]], "")</f>
        <v/>
      </c>
      <c r="AL94" s="17" t="str">
        <f>IF(NOT(ISBLANK(Audit[[#This Row],[Audit Candidate 8]])), Audit[[#This Row],[Audit Candidate 8]]-Audit[[#This Row],[Candidate 8]], "")</f>
        <v/>
      </c>
      <c r="AM94" s="17" t="str">
        <f>IF(NOT(ISBLANK(Audit[[#This Row],[Audit Candidate 9]])), Audit[[#This Row],[Audit Candidate 9]]-Audit[[#This Row],[Candidate 9]], "")</f>
        <v/>
      </c>
      <c r="AN94" s="17" t="str">
        <f>IF(NOT(ISBLANK(Audit[[#This Row],[Audit Candidate 10]])), Audit[[#This Row],[Audit Candidate 10]]-Audit[[#This Row],[Candidate 10]], "")</f>
        <v/>
      </c>
      <c r="AO94" s="17" t="str">
        <f>IF(NOT(ISBLANK(Audit[[#This Row],[Audit Candidate 11]])), Audit[[#This Row],[Audit Candidate 11]]-Audit[[#This Row],[Candidate 11]], "")</f>
        <v/>
      </c>
      <c r="AP94" s="17" t="str">
        <f>IF(NOT(ISBLANK(Audit[[#This Row],[Audit Candidate 12]])), Audit[[#This Row],[Audit Candidate 12]]-Audit[[#This Row],[Candidate 12]], "")</f>
        <v/>
      </c>
      <c r="AQ94" s="17">
        <f>SUMIF(Audit[[#This Row],[Difference Winner]:[Difference Candidate 12]], "&gt;0")</f>
        <v>0</v>
      </c>
      <c r="AR94" s="17">
        <f>SUM(Audit[[#This Row],[Difference Winner]:[Difference Candidate 12]])</f>
        <v>0</v>
      </c>
      <c r="AS94" s="17">
        <f>IF(Audit[[#This Row],[Times p Drawn - With Replacement]]&gt;0, IF(Audit[[#This Row],[Canceled Differences]]&lt;0, Audit[[#This Row],[Max Differences]]+ABS(Audit[[#This Row],[Canceled Differences]]), Audit[[#This Row],[Max Differences]]), 0)</f>
        <v>0</v>
      </c>
      <c r="AT94" s="17">
        <f>'Sampling Data'!AB94</f>
        <v>2.4189441520964181E-3</v>
      </c>
      <c r="AU94" s="17">
        <f>IF(
      SUM(Audit[[#This Row],[Audit Losing Candidate]:[Audit Candidate 12]])
      &lt;&gt;0,
      (Audit[[#This Row],[Winning Candidate]]-Audit[[#This Row],[Losing Candidate]]-(Audit[[#This Row],[Audit Winning Candidate]]-Audit[[#This Row],[Audit Losing Candidate]]))/(Audit[[#Totals],[Winning Candidate]]-Audit[[#Totals],[Losing Candidate]]),
      0
)</f>
        <v>0</v>
      </c>
      <c r="AV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 s="17">
        <f>IF(Audit[[#This Row],[Max Relative Error (ep)]] = 0, 0, Audit[[#This Row],[Max Relative Error (ep)]]/Audit[[#This Row],[Error Bound (up) - Max. possible relative overstatement]])</f>
        <v>0</v>
      </c>
      <c r="BH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4" s="17">
        <f t="shared" si="2"/>
        <v>1</v>
      </c>
      <c r="BJ94" s="17">
        <f>PRODUCT($BI$5:BI94)</f>
        <v>0.89578479606289008</v>
      </c>
      <c r="BK94" s="19">
        <f>1 - Audit[[#This Row],[K-M P Value]]</f>
        <v>0.10421520393710992</v>
      </c>
      <c r="BL94" s="17" t="str">
        <f>IF(Audit[[#This Row],[K-M P Value]]&gt;1-'General Info'!$B$12,"Continue", "Stop")</f>
        <v>Continue</v>
      </c>
      <c r="BM94" s="22" t="b">
        <f>IF(Audit[[#This Row],[Status - Continue or stop audit]] = "Continue", TRUE, IF(BL93 = "Continue", TRUE, FALSE))</f>
        <v>1</v>
      </c>
      <c r="BN94" s="22"/>
    </row>
    <row r="95" spans="1:66" ht="15" hidden="1" customHeight="1" x14ac:dyDescent="0.35">
      <c r="A95" s="17" t="str">
        <f>'Sampling Data'!AI95</f>
        <v/>
      </c>
      <c r="B95" s="17" t="str">
        <f>'Sampling Data'!A95</f>
        <v>1401 CIN 14-A   (AV)</v>
      </c>
      <c r="C95" s="17">
        <f>'Sampling Data'!B95</f>
        <v>422</v>
      </c>
      <c r="D95" s="17">
        <f>'Sampling Data'!C95</f>
        <v>87</v>
      </c>
      <c r="E95" s="18">
        <f>'Sampling Data'!D95</f>
        <v>0</v>
      </c>
      <c r="F95" s="18">
        <f>'Sampling Data'!E95</f>
        <v>0</v>
      </c>
      <c r="G95" s="18">
        <f>'Sampling Data'!F95</f>
        <v>0</v>
      </c>
      <c r="H95" s="18">
        <f>'Sampling Data'!G95</f>
        <v>0</v>
      </c>
      <c r="I95" s="18">
        <f>'Sampling Data'!H95</f>
        <v>0</v>
      </c>
      <c r="J95" s="18">
        <f>'Sampling Data'!I95</f>
        <v>0</v>
      </c>
      <c r="K95" s="18">
        <f>'Sampling Data'!J95</f>
        <v>0</v>
      </c>
      <c r="L95" s="18">
        <f>'Sampling Data'!K95</f>
        <v>0</v>
      </c>
      <c r="M95" s="18">
        <f>'Sampling Data'!L95</f>
        <v>0</v>
      </c>
      <c r="N95" s="18">
        <f>'Sampling Data'!M95</f>
        <v>0</v>
      </c>
      <c r="O95" s="17">
        <f>'Sampling Data'!N95</f>
        <v>0</v>
      </c>
      <c r="P95" s="17">
        <f>'Sampling Data'!O95</f>
        <v>31</v>
      </c>
      <c r="Q95" s="17">
        <f>'Sampling Data'!P95</f>
        <v>540</v>
      </c>
      <c r="R95" s="17">
        <f>'Sampling Data'!AJ95</f>
        <v>0</v>
      </c>
      <c r="S95" s="111"/>
      <c r="T95" s="111"/>
      <c r="U95" s="112"/>
      <c r="V95" s="112"/>
      <c r="W95" s="111"/>
      <c r="X95" s="111"/>
      <c r="Y95" s="111"/>
      <c r="Z95" s="111"/>
      <c r="AA95" s="14"/>
      <c r="AB95" s="14"/>
      <c r="AC95" s="14"/>
      <c r="AD95" s="14"/>
      <c r="AE95" s="113" t="str">
        <f>IF(NOT(ISBLANK(Audit[[#This Row],[Audit Winning Candidate]])), Audit[[#This Row],[Audit Winning Candidate]]-Audit[[#This Row],[Winning Candidate]], "")</f>
        <v/>
      </c>
      <c r="AF95" s="17" t="str">
        <f>IF(NOT(ISBLANK(Audit[[#This Row],[Audit Losing Candidate]])), Audit[[#This Row],[Audit Losing Candidate]]-Audit[[#This Row],[Losing Candidate]], "")</f>
        <v/>
      </c>
      <c r="AG95" s="17" t="str">
        <f>IF(NOT(ISBLANK(Audit[[#This Row],[Audit Candidate 3]])), Audit[[#This Row],[Audit Candidate 3]]-Audit[[#This Row],[Candidate 3]], "")</f>
        <v/>
      </c>
      <c r="AH95" s="17" t="str">
        <f>IF(NOT(ISBLANK(Audit[[#This Row],[Audit Candidate 4]])),Audit[[#This Row],[Audit Candidate 4]]-Audit[[#This Row],[Candidate 4]], "")</f>
        <v/>
      </c>
      <c r="AI95" s="17" t="str">
        <f>IF(NOT(ISBLANK(Audit[[#This Row],[Audit Candidate 5]])), Audit[[#This Row],[Audit Candidate 5]]-Audit[[#This Row],[Candidate 5]], "")</f>
        <v/>
      </c>
      <c r="AJ95" s="17" t="str">
        <f>IF(NOT(ISBLANK(Audit[[#This Row],[Audit Candidate 6]])), Audit[[#This Row],[Audit Candidate 6]]-Audit[[#This Row],[Candidate 6]], "")</f>
        <v/>
      </c>
      <c r="AK95" s="17" t="str">
        <f>IF(NOT(ISBLANK(Audit[[#This Row],[Audit Candidate 7]])), Audit[[#This Row],[Audit Candidate 7]]-Audit[[#This Row],[Candidate 7]], "")</f>
        <v/>
      </c>
      <c r="AL95" s="17" t="str">
        <f>IF(NOT(ISBLANK(Audit[[#This Row],[Audit Candidate 8]])), Audit[[#This Row],[Audit Candidate 8]]-Audit[[#This Row],[Candidate 8]], "")</f>
        <v/>
      </c>
      <c r="AM95" s="17" t="str">
        <f>IF(NOT(ISBLANK(Audit[[#This Row],[Audit Candidate 9]])), Audit[[#This Row],[Audit Candidate 9]]-Audit[[#This Row],[Candidate 9]], "")</f>
        <v/>
      </c>
      <c r="AN95" s="17" t="str">
        <f>IF(NOT(ISBLANK(Audit[[#This Row],[Audit Candidate 10]])), Audit[[#This Row],[Audit Candidate 10]]-Audit[[#This Row],[Candidate 10]], "")</f>
        <v/>
      </c>
      <c r="AO95" s="17" t="str">
        <f>IF(NOT(ISBLANK(Audit[[#This Row],[Audit Candidate 11]])), Audit[[#This Row],[Audit Candidate 11]]-Audit[[#This Row],[Candidate 11]], "")</f>
        <v/>
      </c>
      <c r="AP95" s="17" t="str">
        <f>IF(NOT(ISBLANK(Audit[[#This Row],[Audit Candidate 12]])), Audit[[#This Row],[Audit Candidate 12]]-Audit[[#This Row],[Candidate 12]], "")</f>
        <v/>
      </c>
      <c r="AQ95" s="17">
        <f>SUMIF(Audit[[#This Row],[Difference Winner]:[Difference Candidate 12]], "&gt;0")</f>
        <v>0</v>
      </c>
      <c r="AR95" s="17">
        <f>SUM(Audit[[#This Row],[Difference Winner]:[Difference Candidate 12]])</f>
        <v>0</v>
      </c>
      <c r="AS95" s="17">
        <f>IF(Audit[[#This Row],[Times p Drawn - With Replacement]]&gt;0, IF(Audit[[#This Row],[Canceled Differences]]&lt;0, Audit[[#This Row],[Max Differences]]+ABS(Audit[[#This Row],[Canceled Differences]]), Audit[[#This Row],[Max Differences]]), 0)</f>
        <v>0</v>
      </c>
      <c r="AT95" s="17">
        <f>'Sampling Data'!AB95</f>
        <v>3.713291461551519E-2</v>
      </c>
      <c r="AU95" s="17">
        <f>IF(
      SUM(Audit[[#This Row],[Audit Losing Candidate]:[Audit Candidate 12]])
      &lt;&gt;0,
      (Audit[[#This Row],[Winning Candidate]]-Audit[[#This Row],[Losing Candidate]]-(Audit[[#This Row],[Audit Winning Candidate]]-Audit[[#This Row],[Audit Losing Candidate]]))/(Audit[[#Totals],[Winning Candidate]]-Audit[[#Totals],[Losing Candidate]]),
      0
)</f>
        <v>0</v>
      </c>
      <c r="AV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 s="17">
        <f>IF(Audit[[#This Row],[Max Relative Error (ep)]] = 0, 0, Audit[[#This Row],[Max Relative Error (ep)]]/Audit[[#This Row],[Error Bound (up) - Max. possible relative overstatement]])</f>
        <v>0</v>
      </c>
      <c r="BH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5" s="17">
        <f t="shared" si="2"/>
        <v>1</v>
      </c>
      <c r="BJ95" s="17">
        <f>PRODUCT($BI$5:BI95)</f>
        <v>0.89578479606289008</v>
      </c>
      <c r="BK95" s="19">
        <f>1 - Audit[[#This Row],[K-M P Value]]</f>
        <v>0.10421520393710992</v>
      </c>
      <c r="BL95" s="17" t="str">
        <f>IF(Audit[[#This Row],[K-M P Value]]&gt;1-'General Info'!$B$12,"Continue", "Stop")</f>
        <v>Continue</v>
      </c>
      <c r="BM95" s="22" t="b">
        <f>IF(Audit[[#This Row],[Status - Continue or stop audit]] = "Continue", TRUE, IF(BL94 = "Continue", TRUE, FALSE))</f>
        <v>1</v>
      </c>
      <c r="BN95" s="22"/>
    </row>
    <row r="96" spans="1:66" ht="15" hidden="1" customHeight="1" x14ac:dyDescent="0.35">
      <c r="A96" s="17" t="str">
        <f>'Sampling Data'!AI96</f>
        <v/>
      </c>
      <c r="B96" s="17" t="str">
        <f>'Sampling Data'!A96</f>
        <v>1402 CIN 14-B   (AV)</v>
      </c>
      <c r="C96" s="17">
        <f>'Sampling Data'!B96</f>
        <v>335</v>
      </c>
      <c r="D96" s="17">
        <f>'Sampling Data'!C96</f>
        <v>26</v>
      </c>
      <c r="E96" s="18">
        <f>'Sampling Data'!D96</f>
        <v>0</v>
      </c>
      <c r="F96" s="18">
        <f>'Sampling Data'!E96</f>
        <v>0</v>
      </c>
      <c r="G96" s="18">
        <f>'Sampling Data'!F96</f>
        <v>0</v>
      </c>
      <c r="H96" s="18">
        <f>'Sampling Data'!G96</f>
        <v>0</v>
      </c>
      <c r="I96" s="18">
        <f>'Sampling Data'!H96</f>
        <v>0</v>
      </c>
      <c r="J96" s="18">
        <f>'Sampling Data'!I96</f>
        <v>0</v>
      </c>
      <c r="K96" s="18">
        <f>'Sampling Data'!J96</f>
        <v>0</v>
      </c>
      <c r="L96" s="18">
        <f>'Sampling Data'!K96</f>
        <v>0</v>
      </c>
      <c r="M96" s="18">
        <f>'Sampling Data'!L96</f>
        <v>0</v>
      </c>
      <c r="N96" s="18">
        <f>'Sampling Data'!M96</f>
        <v>0</v>
      </c>
      <c r="O96" s="17">
        <f>'Sampling Data'!N96</f>
        <v>0</v>
      </c>
      <c r="P96" s="17">
        <f>'Sampling Data'!O96</f>
        <v>14</v>
      </c>
      <c r="Q96" s="17">
        <f>'Sampling Data'!P96</f>
        <v>375</v>
      </c>
      <c r="R96" s="17">
        <f>'Sampling Data'!AJ96</f>
        <v>0</v>
      </c>
      <c r="S96" s="111"/>
      <c r="T96" s="111"/>
      <c r="U96" s="112"/>
      <c r="V96" s="112"/>
      <c r="W96" s="111"/>
      <c r="X96" s="111"/>
      <c r="Y96" s="111"/>
      <c r="Z96" s="111"/>
      <c r="AA96" s="14"/>
      <c r="AB96" s="14"/>
      <c r="AC96" s="14"/>
      <c r="AD96" s="14"/>
      <c r="AE96" s="113" t="str">
        <f>IF(NOT(ISBLANK(Audit[[#This Row],[Audit Winning Candidate]])), Audit[[#This Row],[Audit Winning Candidate]]-Audit[[#This Row],[Winning Candidate]], "")</f>
        <v/>
      </c>
      <c r="AF96" s="17" t="str">
        <f>IF(NOT(ISBLANK(Audit[[#This Row],[Audit Losing Candidate]])), Audit[[#This Row],[Audit Losing Candidate]]-Audit[[#This Row],[Losing Candidate]], "")</f>
        <v/>
      </c>
      <c r="AG96" s="17" t="str">
        <f>IF(NOT(ISBLANK(Audit[[#This Row],[Audit Candidate 3]])), Audit[[#This Row],[Audit Candidate 3]]-Audit[[#This Row],[Candidate 3]], "")</f>
        <v/>
      </c>
      <c r="AH96" s="17" t="str">
        <f>IF(NOT(ISBLANK(Audit[[#This Row],[Audit Candidate 4]])),Audit[[#This Row],[Audit Candidate 4]]-Audit[[#This Row],[Candidate 4]], "")</f>
        <v/>
      </c>
      <c r="AI96" s="17" t="str">
        <f>IF(NOT(ISBLANK(Audit[[#This Row],[Audit Candidate 5]])), Audit[[#This Row],[Audit Candidate 5]]-Audit[[#This Row],[Candidate 5]], "")</f>
        <v/>
      </c>
      <c r="AJ96" s="17" t="str">
        <f>IF(NOT(ISBLANK(Audit[[#This Row],[Audit Candidate 6]])), Audit[[#This Row],[Audit Candidate 6]]-Audit[[#This Row],[Candidate 6]], "")</f>
        <v/>
      </c>
      <c r="AK96" s="17" t="str">
        <f>IF(NOT(ISBLANK(Audit[[#This Row],[Audit Candidate 7]])), Audit[[#This Row],[Audit Candidate 7]]-Audit[[#This Row],[Candidate 7]], "")</f>
        <v/>
      </c>
      <c r="AL96" s="17" t="str">
        <f>IF(NOT(ISBLANK(Audit[[#This Row],[Audit Candidate 8]])), Audit[[#This Row],[Audit Candidate 8]]-Audit[[#This Row],[Candidate 8]], "")</f>
        <v/>
      </c>
      <c r="AM96" s="17" t="str">
        <f>IF(NOT(ISBLANK(Audit[[#This Row],[Audit Candidate 9]])), Audit[[#This Row],[Audit Candidate 9]]-Audit[[#This Row],[Candidate 9]], "")</f>
        <v/>
      </c>
      <c r="AN96" s="17" t="str">
        <f>IF(NOT(ISBLANK(Audit[[#This Row],[Audit Candidate 10]])), Audit[[#This Row],[Audit Candidate 10]]-Audit[[#This Row],[Candidate 10]], "")</f>
        <v/>
      </c>
      <c r="AO96" s="17" t="str">
        <f>IF(NOT(ISBLANK(Audit[[#This Row],[Audit Candidate 11]])), Audit[[#This Row],[Audit Candidate 11]]-Audit[[#This Row],[Candidate 11]], "")</f>
        <v/>
      </c>
      <c r="AP96" s="17" t="str">
        <f>IF(NOT(ISBLANK(Audit[[#This Row],[Audit Candidate 12]])), Audit[[#This Row],[Audit Candidate 12]]-Audit[[#This Row],[Candidate 12]], "")</f>
        <v/>
      </c>
      <c r="AQ96" s="17">
        <f>SUMIF(Audit[[#This Row],[Difference Winner]:[Difference Candidate 12]], "&gt;0")</f>
        <v>0</v>
      </c>
      <c r="AR96" s="17">
        <f>SUM(Audit[[#This Row],[Difference Winner]:[Difference Candidate 12]])</f>
        <v>0</v>
      </c>
      <c r="AS96" s="17">
        <f>IF(Audit[[#This Row],[Times p Drawn - With Replacement]]&gt;0, IF(Audit[[#This Row],[Canceled Differences]]&lt;0, Audit[[#This Row],[Max Differences]]+ABS(Audit[[#This Row],[Canceled Differences]]), Audit[[#This Row],[Max Differences]]), 0)</f>
        <v>0</v>
      </c>
      <c r="AT96" s="17">
        <f>'Sampling Data'!AB96</f>
        <v>2.902732982515702E-2</v>
      </c>
      <c r="AU96" s="17">
        <f>IF(
      SUM(Audit[[#This Row],[Audit Losing Candidate]:[Audit Candidate 12]])
      &lt;&gt;0,
      (Audit[[#This Row],[Winning Candidate]]-Audit[[#This Row],[Losing Candidate]]-(Audit[[#This Row],[Audit Winning Candidate]]-Audit[[#This Row],[Audit Losing Candidate]]))/(Audit[[#Totals],[Winning Candidate]]-Audit[[#Totals],[Losing Candidate]]),
      0
)</f>
        <v>0</v>
      </c>
      <c r="AV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 s="17">
        <f>IF(Audit[[#This Row],[Max Relative Error (ep)]] = 0, 0, Audit[[#This Row],[Max Relative Error (ep)]]/Audit[[#This Row],[Error Bound (up) - Max. possible relative overstatement]])</f>
        <v>0</v>
      </c>
      <c r="BH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6" s="17">
        <f t="shared" si="2"/>
        <v>1</v>
      </c>
      <c r="BJ96" s="17">
        <f>PRODUCT($BI$5:BI96)</f>
        <v>0.89578479606289008</v>
      </c>
      <c r="BK96" s="19">
        <f>1 - Audit[[#This Row],[K-M P Value]]</f>
        <v>0.10421520393710992</v>
      </c>
      <c r="BL96" s="17" t="str">
        <f>IF(Audit[[#This Row],[K-M P Value]]&gt;1-'General Info'!$B$12,"Continue", "Stop")</f>
        <v>Continue</v>
      </c>
      <c r="BM96" s="22" t="b">
        <f>IF(Audit[[#This Row],[Status - Continue or stop audit]] = "Continue", TRUE, IF(BL95 = "Continue", TRUE, FALSE))</f>
        <v>1</v>
      </c>
      <c r="BN96" s="22"/>
    </row>
    <row r="97" spans="1:66" ht="15" hidden="1" customHeight="1" x14ac:dyDescent="0.35">
      <c r="A97" s="17" t="str">
        <f>'Sampling Data'!AI97</f>
        <v/>
      </c>
      <c r="B97" s="17" t="str">
        <f>'Sampling Data'!A97</f>
        <v>1403 CIN 14-C   (AV)</v>
      </c>
      <c r="C97" s="17">
        <f>'Sampling Data'!B97</f>
        <v>147</v>
      </c>
      <c r="D97" s="17">
        <f>'Sampling Data'!C97</f>
        <v>57</v>
      </c>
      <c r="E97" s="18">
        <f>'Sampling Data'!D97</f>
        <v>0</v>
      </c>
      <c r="F97" s="18">
        <f>'Sampling Data'!E97</f>
        <v>0</v>
      </c>
      <c r="G97" s="18">
        <f>'Sampling Data'!F97</f>
        <v>0</v>
      </c>
      <c r="H97" s="18">
        <f>'Sampling Data'!G97</f>
        <v>0</v>
      </c>
      <c r="I97" s="18">
        <f>'Sampling Data'!H97</f>
        <v>0</v>
      </c>
      <c r="J97" s="18">
        <f>'Sampling Data'!I97</f>
        <v>0</v>
      </c>
      <c r="K97" s="18">
        <f>'Sampling Data'!J97</f>
        <v>0</v>
      </c>
      <c r="L97" s="18">
        <f>'Sampling Data'!K97</f>
        <v>0</v>
      </c>
      <c r="M97" s="18">
        <f>'Sampling Data'!L97</f>
        <v>0</v>
      </c>
      <c r="N97" s="18">
        <f>'Sampling Data'!M97</f>
        <v>0</v>
      </c>
      <c r="O97" s="17">
        <f>'Sampling Data'!N97</f>
        <v>1</v>
      </c>
      <c r="P97" s="17">
        <f>'Sampling Data'!O97</f>
        <v>14</v>
      </c>
      <c r="Q97" s="17">
        <f>'Sampling Data'!P97</f>
        <v>219</v>
      </c>
      <c r="R97" s="17">
        <f>'Sampling Data'!AJ97</f>
        <v>0</v>
      </c>
      <c r="S97" s="111"/>
      <c r="T97" s="111"/>
      <c r="U97" s="112"/>
      <c r="V97" s="112"/>
      <c r="W97" s="111"/>
      <c r="X97" s="111"/>
      <c r="Y97" s="111"/>
      <c r="Z97" s="111"/>
      <c r="AA97" s="14"/>
      <c r="AB97" s="14"/>
      <c r="AC97" s="14"/>
      <c r="AD97" s="14"/>
      <c r="AE97" s="113" t="str">
        <f>IF(NOT(ISBLANK(Audit[[#This Row],[Audit Winning Candidate]])), Audit[[#This Row],[Audit Winning Candidate]]-Audit[[#This Row],[Winning Candidate]], "")</f>
        <v/>
      </c>
      <c r="AF97" s="17" t="str">
        <f>IF(NOT(ISBLANK(Audit[[#This Row],[Audit Losing Candidate]])), Audit[[#This Row],[Audit Losing Candidate]]-Audit[[#This Row],[Losing Candidate]], "")</f>
        <v/>
      </c>
      <c r="AG97" s="17" t="str">
        <f>IF(NOT(ISBLANK(Audit[[#This Row],[Audit Candidate 3]])), Audit[[#This Row],[Audit Candidate 3]]-Audit[[#This Row],[Candidate 3]], "")</f>
        <v/>
      </c>
      <c r="AH97" s="17" t="str">
        <f>IF(NOT(ISBLANK(Audit[[#This Row],[Audit Candidate 4]])),Audit[[#This Row],[Audit Candidate 4]]-Audit[[#This Row],[Candidate 4]], "")</f>
        <v/>
      </c>
      <c r="AI97" s="17" t="str">
        <f>IF(NOT(ISBLANK(Audit[[#This Row],[Audit Candidate 5]])), Audit[[#This Row],[Audit Candidate 5]]-Audit[[#This Row],[Candidate 5]], "")</f>
        <v/>
      </c>
      <c r="AJ97" s="17" t="str">
        <f>IF(NOT(ISBLANK(Audit[[#This Row],[Audit Candidate 6]])), Audit[[#This Row],[Audit Candidate 6]]-Audit[[#This Row],[Candidate 6]], "")</f>
        <v/>
      </c>
      <c r="AK97" s="17" t="str">
        <f>IF(NOT(ISBLANK(Audit[[#This Row],[Audit Candidate 7]])), Audit[[#This Row],[Audit Candidate 7]]-Audit[[#This Row],[Candidate 7]], "")</f>
        <v/>
      </c>
      <c r="AL97" s="17" t="str">
        <f>IF(NOT(ISBLANK(Audit[[#This Row],[Audit Candidate 8]])), Audit[[#This Row],[Audit Candidate 8]]-Audit[[#This Row],[Candidate 8]], "")</f>
        <v/>
      </c>
      <c r="AM97" s="17" t="str">
        <f>IF(NOT(ISBLANK(Audit[[#This Row],[Audit Candidate 9]])), Audit[[#This Row],[Audit Candidate 9]]-Audit[[#This Row],[Candidate 9]], "")</f>
        <v/>
      </c>
      <c r="AN97" s="17" t="str">
        <f>IF(NOT(ISBLANK(Audit[[#This Row],[Audit Candidate 10]])), Audit[[#This Row],[Audit Candidate 10]]-Audit[[#This Row],[Candidate 10]], "")</f>
        <v/>
      </c>
      <c r="AO97" s="17" t="str">
        <f>IF(NOT(ISBLANK(Audit[[#This Row],[Audit Candidate 11]])), Audit[[#This Row],[Audit Candidate 11]]-Audit[[#This Row],[Candidate 11]], "")</f>
        <v/>
      </c>
      <c r="AP97" s="17" t="str">
        <f>IF(NOT(ISBLANK(Audit[[#This Row],[Audit Candidate 12]])), Audit[[#This Row],[Audit Candidate 12]]-Audit[[#This Row],[Candidate 12]], "")</f>
        <v/>
      </c>
      <c r="AQ97" s="17">
        <f>SUMIF(Audit[[#This Row],[Difference Winner]:[Difference Candidate 12]], "&gt;0")</f>
        <v>0</v>
      </c>
      <c r="AR97" s="17">
        <f>SUM(Audit[[#This Row],[Difference Winner]:[Difference Candidate 12]])</f>
        <v>0</v>
      </c>
      <c r="AS97" s="17">
        <f>IF(Audit[[#This Row],[Times p Drawn - With Replacement]]&gt;0, IF(Audit[[#This Row],[Canceled Differences]]&lt;0, Audit[[#This Row],[Max Differences]]+ABS(Audit[[#This Row],[Canceled Differences]]), Audit[[#This Row],[Max Differences]]), 0)</f>
        <v>0</v>
      </c>
      <c r="AT97" s="17">
        <f>'Sampling Data'!AB97</f>
        <v>1.3113223561364793E-2</v>
      </c>
      <c r="AU97" s="17">
        <f>IF(
      SUM(Audit[[#This Row],[Audit Losing Candidate]:[Audit Candidate 12]])
      &lt;&gt;0,
      (Audit[[#This Row],[Winning Candidate]]-Audit[[#This Row],[Losing Candidate]]-(Audit[[#This Row],[Audit Winning Candidate]]-Audit[[#This Row],[Audit Losing Candidate]]))/(Audit[[#Totals],[Winning Candidate]]-Audit[[#Totals],[Losing Candidate]]),
      0
)</f>
        <v>0</v>
      </c>
      <c r="AV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 s="17">
        <f>IF(Audit[[#This Row],[Max Relative Error (ep)]] = 0, 0, Audit[[#This Row],[Max Relative Error (ep)]]/Audit[[#This Row],[Error Bound (up) - Max. possible relative overstatement]])</f>
        <v>0</v>
      </c>
      <c r="BH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7" s="17">
        <f t="shared" si="2"/>
        <v>1</v>
      </c>
      <c r="BJ97" s="17">
        <f>PRODUCT($BI$5:BI97)</f>
        <v>0.89578479606289008</v>
      </c>
      <c r="BK97" s="19">
        <f>1 - Audit[[#This Row],[K-M P Value]]</f>
        <v>0.10421520393710992</v>
      </c>
      <c r="BL97" s="17" t="str">
        <f>IF(Audit[[#This Row],[K-M P Value]]&gt;1-'General Info'!$B$12,"Continue", "Stop")</f>
        <v>Continue</v>
      </c>
      <c r="BM97" s="22" t="b">
        <f>IF(Audit[[#This Row],[Status - Continue or stop audit]] = "Continue", TRUE, IF(BL96 = "Continue", TRUE, FALSE))</f>
        <v>1</v>
      </c>
      <c r="BN97" s="22"/>
    </row>
    <row r="98" spans="1:66" ht="15" hidden="1" customHeight="1" x14ac:dyDescent="0.35">
      <c r="A98" s="17" t="str">
        <f>'Sampling Data'!AI98</f>
        <v/>
      </c>
      <c r="B98" s="17" t="str">
        <f>'Sampling Data'!A98</f>
        <v>1404 CIN 14-D   (AV)</v>
      </c>
      <c r="C98" s="17">
        <f>'Sampling Data'!B98</f>
        <v>532</v>
      </c>
      <c r="D98" s="17">
        <f>'Sampling Data'!C98</f>
        <v>93</v>
      </c>
      <c r="E98" s="18">
        <f>'Sampling Data'!D98</f>
        <v>0</v>
      </c>
      <c r="F98" s="18">
        <f>'Sampling Data'!E98</f>
        <v>0</v>
      </c>
      <c r="G98" s="18">
        <f>'Sampling Data'!F98</f>
        <v>0</v>
      </c>
      <c r="H98" s="18">
        <f>'Sampling Data'!G98</f>
        <v>0</v>
      </c>
      <c r="I98" s="18">
        <f>'Sampling Data'!H98</f>
        <v>0</v>
      </c>
      <c r="J98" s="18">
        <f>'Sampling Data'!I98</f>
        <v>0</v>
      </c>
      <c r="K98" s="18">
        <f>'Sampling Data'!J98</f>
        <v>0</v>
      </c>
      <c r="L98" s="18">
        <f>'Sampling Data'!K98</f>
        <v>0</v>
      </c>
      <c r="M98" s="18">
        <f>'Sampling Data'!L98</f>
        <v>0</v>
      </c>
      <c r="N98" s="18">
        <f>'Sampling Data'!M98</f>
        <v>0</v>
      </c>
      <c r="O98" s="17">
        <f>'Sampling Data'!N98</f>
        <v>0</v>
      </c>
      <c r="P98" s="17">
        <f>'Sampling Data'!O98</f>
        <v>44</v>
      </c>
      <c r="Q98" s="17">
        <f>'Sampling Data'!P98</f>
        <v>669</v>
      </c>
      <c r="R98" s="17">
        <f>'Sampling Data'!AJ98</f>
        <v>0</v>
      </c>
      <c r="S98" s="111"/>
      <c r="T98" s="111"/>
      <c r="U98" s="112"/>
      <c r="V98" s="112"/>
      <c r="W98" s="111"/>
      <c r="X98" s="111"/>
      <c r="Y98" s="111"/>
      <c r="Z98" s="111"/>
      <c r="AA98" s="14"/>
      <c r="AB98" s="14"/>
      <c r="AC98" s="14"/>
      <c r="AD98" s="14"/>
      <c r="AE98" s="113" t="str">
        <f>IF(NOT(ISBLANK(Audit[[#This Row],[Audit Winning Candidate]])), Audit[[#This Row],[Audit Winning Candidate]]-Audit[[#This Row],[Winning Candidate]], "")</f>
        <v/>
      </c>
      <c r="AF98" s="17" t="str">
        <f>IF(NOT(ISBLANK(Audit[[#This Row],[Audit Losing Candidate]])), Audit[[#This Row],[Audit Losing Candidate]]-Audit[[#This Row],[Losing Candidate]], "")</f>
        <v/>
      </c>
      <c r="AG98" s="17" t="str">
        <f>IF(NOT(ISBLANK(Audit[[#This Row],[Audit Candidate 3]])), Audit[[#This Row],[Audit Candidate 3]]-Audit[[#This Row],[Candidate 3]], "")</f>
        <v/>
      </c>
      <c r="AH98" s="17" t="str">
        <f>IF(NOT(ISBLANK(Audit[[#This Row],[Audit Candidate 4]])),Audit[[#This Row],[Audit Candidate 4]]-Audit[[#This Row],[Candidate 4]], "")</f>
        <v/>
      </c>
      <c r="AI98" s="17" t="str">
        <f>IF(NOT(ISBLANK(Audit[[#This Row],[Audit Candidate 5]])), Audit[[#This Row],[Audit Candidate 5]]-Audit[[#This Row],[Candidate 5]], "")</f>
        <v/>
      </c>
      <c r="AJ98" s="17" t="str">
        <f>IF(NOT(ISBLANK(Audit[[#This Row],[Audit Candidate 6]])), Audit[[#This Row],[Audit Candidate 6]]-Audit[[#This Row],[Candidate 6]], "")</f>
        <v/>
      </c>
      <c r="AK98" s="17" t="str">
        <f>IF(NOT(ISBLANK(Audit[[#This Row],[Audit Candidate 7]])), Audit[[#This Row],[Audit Candidate 7]]-Audit[[#This Row],[Candidate 7]], "")</f>
        <v/>
      </c>
      <c r="AL98" s="17" t="str">
        <f>IF(NOT(ISBLANK(Audit[[#This Row],[Audit Candidate 8]])), Audit[[#This Row],[Audit Candidate 8]]-Audit[[#This Row],[Candidate 8]], "")</f>
        <v/>
      </c>
      <c r="AM98" s="17" t="str">
        <f>IF(NOT(ISBLANK(Audit[[#This Row],[Audit Candidate 9]])), Audit[[#This Row],[Audit Candidate 9]]-Audit[[#This Row],[Candidate 9]], "")</f>
        <v/>
      </c>
      <c r="AN98" s="17" t="str">
        <f>IF(NOT(ISBLANK(Audit[[#This Row],[Audit Candidate 10]])), Audit[[#This Row],[Audit Candidate 10]]-Audit[[#This Row],[Candidate 10]], "")</f>
        <v/>
      </c>
      <c r="AO98" s="17" t="str">
        <f>IF(NOT(ISBLANK(Audit[[#This Row],[Audit Candidate 11]])), Audit[[#This Row],[Audit Candidate 11]]-Audit[[#This Row],[Candidate 11]], "")</f>
        <v/>
      </c>
      <c r="AP98" s="17" t="str">
        <f>IF(NOT(ISBLANK(Audit[[#This Row],[Audit Candidate 12]])), Audit[[#This Row],[Audit Candidate 12]]-Audit[[#This Row],[Candidate 12]], "")</f>
        <v/>
      </c>
      <c r="AQ98" s="17">
        <f>SUMIF(Audit[[#This Row],[Difference Winner]:[Difference Candidate 12]], "&gt;0")</f>
        <v>0</v>
      </c>
      <c r="AR98" s="17">
        <f>SUM(Audit[[#This Row],[Difference Winner]:[Difference Candidate 12]])</f>
        <v>0</v>
      </c>
      <c r="AS98" s="17">
        <f>IF(Audit[[#This Row],[Times p Drawn - With Replacement]]&gt;0, IF(Audit[[#This Row],[Canceled Differences]]&lt;0, Audit[[#This Row],[Max Differences]]+ABS(Audit[[#This Row],[Canceled Differences]]), Audit[[#This Row],[Max Differences]]), 0)</f>
        <v>0</v>
      </c>
      <c r="AT98" s="17">
        <f>'Sampling Data'!AB98</f>
        <v>4.7020879307418093E-2</v>
      </c>
      <c r="AU98" s="17">
        <f>IF(
      SUM(Audit[[#This Row],[Audit Losing Candidate]:[Audit Candidate 12]])
      &lt;&gt;0,
      (Audit[[#This Row],[Winning Candidate]]-Audit[[#This Row],[Losing Candidate]]-(Audit[[#This Row],[Audit Winning Candidate]]-Audit[[#This Row],[Audit Losing Candidate]]))/(Audit[[#Totals],[Winning Candidate]]-Audit[[#Totals],[Losing Candidate]]),
      0
)</f>
        <v>0</v>
      </c>
      <c r="AV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 s="17">
        <f>IF(Audit[[#This Row],[Max Relative Error (ep)]] = 0, 0, Audit[[#This Row],[Max Relative Error (ep)]]/Audit[[#This Row],[Error Bound (up) - Max. possible relative overstatement]])</f>
        <v>0</v>
      </c>
      <c r="BH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8" s="17">
        <f t="shared" si="2"/>
        <v>1</v>
      </c>
      <c r="BJ98" s="17">
        <f>PRODUCT($BI$5:BI98)</f>
        <v>0.89578479606289008</v>
      </c>
      <c r="BK98" s="19">
        <f>1 - Audit[[#This Row],[K-M P Value]]</f>
        <v>0.10421520393710992</v>
      </c>
      <c r="BL98" s="17" t="str">
        <f>IF(Audit[[#This Row],[K-M P Value]]&gt;1-'General Info'!$B$12,"Continue", "Stop")</f>
        <v>Continue</v>
      </c>
      <c r="BM98" s="22" t="b">
        <f>IF(Audit[[#This Row],[Status - Continue or stop audit]] = "Continue", TRUE, IF(BL97 = "Continue", TRUE, FALSE))</f>
        <v>1</v>
      </c>
      <c r="BN98" s="22"/>
    </row>
    <row r="99" spans="1:66" ht="15" hidden="1" customHeight="1" x14ac:dyDescent="0.35">
      <c r="A99" s="17" t="str">
        <f>'Sampling Data'!AI99</f>
        <v/>
      </c>
      <c r="B99" s="17" t="str">
        <f>'Sampling Data'!A99</f>
        <v>1405 CIN 14-E   (AV)</v>
      </c>
      <c r="C99" s="17">
        <f>'Sampling Data'!B99</f>
        <v>434</v>
      </c>
      <c r="D99" s="17">
        <f>'Sampling Data'!C99</f>
        <v>76</v>
      </c>
      <c r="E99" s="18">
        <f>'Sampling Data'!D99</f>
        <v>0</v>
      </c>
      <c r="F99" s="18">
        <f>'Sampling Data'!E99</f>
        <v>0</v>
      </c>
      <c r="G99" s="18">
        <f>'Sampling Data'!F99</f>
        <v>0</v>
      </c>
      <c r="H99" s="18">
        <f>'Sampling Data'!G99</f>
        <v>0</v>
      </c>
      <c r="I99" s="18">
        <f>'Sampling Data'!H99</f>
        <v>0</v>
      </c>
      <c r="J99" s="18">
        <f>'Sampling Data'!I99</f>
        <v>0</v>
      </c>
      <c r="K99" s="18">
        <f>'Sampling Data'!J99</f>
        <v>0</v>
      </c>
      <c r="L99" s="18">
        <f>'Sampling Data'!K99</f>
        <v>0</v>
      </c>
      <c r="M99" s="18">
        <f>'Sampling Data'!L99</f>
        <v>0</v>
      </c>
      <c r="N99" s="18">
        <f>'Sampling Data'!M99</f>
        <v>0</v>
      </c>
      <c r="O99" s="17">
        <f>'Sampling Data'!N99</f>
        <v>0</v>
      </c>
      <c r="P99" s="17">
        <f>'Sampling Data'!O99</f>
        <v>24</v>
      </c>
      <c r="Q99" s="17">
        <f>'Sampling Data'!P99</f>
        <v>534</v>
      </c>
      <c r="R99" s="17">
        <f>'Sampling Data'!AJ99</f>
        <v>0</v>
      </c>
      <c r="S99" s="111"/>
      <c r="T99" s="111"/>
      <c r="U99" s="112"/>
      <c r="V99" s="112"/>
      <c r="W99" s="111"/>
      <c r="X99" s="111"/>
      <c r="Y99" s="111"/>
      <c r="Z99" s="111"/>
      <c r="AA99" s="14"/>
      <c r="AB99" s="14"/>
      <c r="AC99" s="14"/>
      <c r="AD99" s="14"/>
      <c r="AE99" s="113" t="str">
        <f>IF(NOT(ISBLANK(Audit[[#This Row],[Audit Winning Candidate]])), Audit[[#This Row],[Audit Winning Candidate]]-Audit[[#This Row],[Winning Candidate]], "")</f>
        <v/>
      </c>
      <c r="AF99" s="17" t="str">
        <f>IF(NOT(ISBLANK(Audit[[#This Row],[Audit Losing Candidate]])), Audit[[#This Row],[Audit Losing Candidate]]-Audit[[#This Row],[Losing Candidate]], "")</f>
        <v/>
      </c>
      <c r="AG99" s="17" t="str">
        <f>IF(NOT(ISBLANK(Audit[[#This Row],[Audit Candidate 3]])), Audit[[#This Row],[Audit Candidate 3]]-Audit[[#This Row],[Candidate 3]], "")</f>
        <v/>
      </c>
      <c r="AH99" s="17" t="str">
        <f>IF(NOT(ISBLANK(Audit[[#This Row],[Audit Candidate 4]])),Audit[[#This Row],[Audit Candidate 4]]-Audit[[#This Row],[Candidate 4]], "")</f>
        <v/>
      </c>
      <c r="AI99" s="17" t="str">
        <f>IF(NOT(ISBLANK(Audit[[#This Row],[Audit Candidate 5]])), Audit[[#This Row],[Audit Candidate 5]]-Audit[[#This Row],[Candidate 5]], "")</f>
        <v/>
      </c>
      <c r="AJ99" s="17" t="str">
        <f>IF(NOT(ISBLANK(Audit[[#This Row],[Audit Candidate 6]])), Audit[[#This Row],[Audit Candidate 6]]-Audit[[#This Row],[Candidate 6]], "")</f>
        <v/>
      </c>
      <c r="AK99" s="17" t="str">
        <f>IF(NOT(ISBLANK(Audit[[#This Row],[Audit Candidate 7]])), Audit[[#This Row],[Audit Candidate 7]]-Audit[[#This Row],[Candidate 7]], "")</f>
        <v/>
      </c>
      <c r="AL99" s="17" t="str">
        <f>IF(NOT(ISBLANK(Audit[[#This Row],[Audit Candidate 8]])), Audit[[#This Row],[Audit Candidate 8]]-Audit[[#This Row],[Candidate 8]], "")</f>
        <v/>
      </c>
      <c r="AM99" s="17" t="str">
        <f>IF(NOT(ISBLANK(Audit[[#This Row],[Audit Candidate 9]])), Audit[[#This Row],[Audit Candidate 9]]-Audit[[#This Row],[Candidate 9]], "")</f>
        <v/>
      </c>
      <c r="AN99" s="17" t="str">
        <f>IF(NOT(ISBLANK(Audit[[#This Row],[Audit Candidate 10]])), Audit[[#This Row],[Audit Candidate 10]]-Audit[[#This Row],[Candidate 10]], "")</f>
        <v/>
      </c>
      <c r="AO99" s="17" t="str">
        <f>IF(NOT(ISBLANK(Audit[[#This Row],[Audit Candidate 11]])), Audit[[#This Row],[Audit Candidate 11]]-Audit[[#This Row],[Candidate 11]], "")</f>
        <v/>
      </c>
      <c r="AP99" s="17" t="str">
        <f>IF(NOT(ISBLANK(Audit[[#This Row],[Audit Candidate 12]])), Audit[[#This Row],[Audit Candidate 12]]-Audit[[#This Row],[Candidate 12]], "")</f>
        <v/>
      </c>
      <c r="AQ99" s="17">
        <f>SUMIF(Audit[[#This Row],[Difference Winner]:[Difference Candidate 12]], "&gt;0")</f>
        <v>0</v>
      </c>
      <c r="AR99" s="17">
        <f>SUM(Audit[[#This Row],[Difference Winner]:[Difference Candidate 12]])</f>
        <v>0</v>
      </c>
      <c r="AS99" s="17">
        <f>IF(Audit[[#This Row],[Times p Drawn - With Replacement]]&gt;0, IF(Audit[[#This Row],[Canceled Differences]]&lt;0, Audit[[#This Row],[Max Differences]]+ABS(Audit[[#This Row],[Canceled Differences]]), Audit[[#This Row],[Max Differences]]), 0)</f>
        <v>0</v>
      </c>
      <c r="AT99" s="17">
        <f>'Sampling Data'!AB99</f>
        <v>3.7854354099473776E-2</v>
      </c>
      <c r="AU99" s="17">
        <f>IF(
      SUM(Audit[[#This Row],[Audit Losing Candidate]:[Audit Candidate 12]])
      &lt;&gt;0,
      (Audit[[#This Row],[Winning Candidate]]-Audit[[#This Row],[Losing Candidate]]-(Audit[[#This Row],[Audit Winning Candidate]]-Audit[[#This Row],[Audit Losing Candidate]]))/(Audit[[#Totals],[Winning Candidate]]-Audit[[#Totals],[Losing Candidate]]),
      0
)</f>
        <v>0</v>
      </c>
      <c r="AV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 s="17">
        <f>IF(Audit[[#This Row],[Max Relative Error (ep)]] = 0, 0, Audit[[#This Row],[Max Relative Error (ep)]]/Audit[[#This Row],[Error Bound (up) - Max. possible relative overstatement]])</f>
        <v>0</v>
      </c>
      <c r="BH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9" s="17">
        <f t="shared" si="2"/>
        <v>1</v>
      </c>
      <c r="BJ99" s="17">
        <f>PRODUCT($BI$5:BI99)</f>
        <v>0.89578479606289008</v>
      </c>
      <c r="BK99" s="19">
        <f>1 - Audit[[#This Row],[K-M P Value]]</f>
        <v>0.10421520393710992</v>
      </c>
      <c r="BL99" s="17" t="str">
        <f>IF(Audit[[#This Row],[K-M P Value]]&gt;1-'General Info'!$B$12,"Continue", "Stop")</f>
        <v>Continue</v>
      </c>
      <c r="BM99" s="22" t="b">
        <f>IF(Audit[[#This Row],[Status - Continue or stop audit]] = "Continue", TRUE, IF(BL98 = "Continue", TRUE, FALSE))</f>
        <v>1</v>
      </c>
      <c r="BN99" s="22"/>
    </row>
    <row r="100" spans="1:66" ht="15" hidden="1" customHeight="1" x14ac:dyDescent="0.35">
      <c r="A100" s="17" t="str">
        <f>'Sampling Data'!AI100</f>
        <v/>
      </c>
      <c r="B100" s="17" t="str">
        <f>'Sampling Data'!A100</f>
        <v>1406 CIN 14-F   (AV)</v>
      </c>
      <c r="C100" s="17">
        <f>'Sampling Data'!B100</f>
        <v>387</v>
      </c>
      <c r="D100" s="17">
        <f>'Sampling Data'!C100</f>
        <v>43</v>
      </c>
      <c r="E100" s="18">
        <f>'Sampling Data'!D100</f>
        <v>0</v>
      </c>
      <c r="F100" s="18">
        <f>'Sampling Data'!E100</f>
        <v>0</v>
      </c>
      <c r="G100" s="18">
        <f>'Sampling Data'!F100</f>
        <v>0</v>
      </c>
      <c r="H100" s="18">
        <f>'Sampling Data'!G100</f>
        <v>0</v>
      </c>
      <c r="I100" s="18">
        <f>'Sampling Data'!H100</f>
        <v>0</v>
      </c>
      <c r="J100" s="18">
        <f>'Sampling Data'!I100</f>
        <v>0</v>
      </c>
      <c r="K100" s="18">
        <f>'Sampling Data'!J100</f>
        <v>0</v>
      </c>
      <c r="L100" s="18">
        <f>'Sampling Data'!K100</f>
        <v>0</v>
      </c>
      <c r="M100" s="18">
        <f>'Sampling Data'!L100</f>
        <v>0</v>
      </c>
      <c r="N100" s="18">
        <f>'Sampling Data'!M100</f>
        <v>0</v>
      </c>
      <c r="O100" s="17">
        <f>'Sampling Data'!N100</f>
        <v>0</v>
      </c>
      <c r="P100" s="17">
        <f>'Sampling Data'!O100</f>
        <v>13</v>
      </c>
      <c r="Q100" s="17">
        <f>'Sampling Data'!P100</f>
        <v>443</v>
      </c>
      <c r="R100" s="17">
        <f>'Sampling Data'!AJ100</f>
        <v>0</v>
      </c>
      <c r="S100" s="111"/>
      <c r="T100" s="111"/>
      <c r="U100" s="112"/>
      <c r="V100" s="112"/>
      <c r="W100" s="111"/>
      <c r="X100" s="111"/>
      <c r="Y100" s="111"/>
      <c r="Z100" s="111"/>
      <c r="AA100" s="14"/>
      <c r="AB100" s="14"/>
      <c r="AC100" s="14"/>
      <c r="AD100" s="14"/>
      <c r="AE100" s="113" t="str">
        <f>IF(NOT(ISBLANK(Audit[[#This Row],[Audit Winning Candidate]])), Audit[[#This Row],[Audit Winning Candidate]]-Audit[[#This Row],[Winning Candidate]], "")</f>
        <v/>
      </c>
      <c r="AF100" s="17" t="str">
        <f>IF(NOT(ISBLANK(Audit[[#This Row],[Audit Losing Candidate]])), Audit[[#This Row],[Audit Losing Candidate]]-Audit[[#This Row],[Losing Candidate]], "")</f>
        <v/>
      </c>
      <c r="AG100" s="17" t="str">
        <f>IF(NOT(ISBLANK(Audit[[#This Row],[Audit Candidate 3]])), Audit[[#This Row],[Audit Candidate 3]]-Audit[[#This Row],[Candidate 3]], "")</f>
        <v/>
      </c>
      <c r="AH100" s="17" t="str">
        <f>IF(NOT(ISBLANK(Audit[[#This Row],[Audit Candidate 4]])),Audit[[#This Row],[Audit Candidate 4]]-Audit[[#This Row],[Candidate 4]], "")</f>
        <v/>
      </c>
      <c r="AI100" s="17" t="str">
        <f>IF(NOT(ISBLANK(Audit[[#This Row],[Audit Candidate 5]])), Audit[[#This Row],[Audit Candidate 5]]-Audit[[#This Row],[Candidate 5]], "")</f>
        <v/>
      </c>
      <c r="AJ100" s="17" t="str">
        <f>IF(NOT(ISBLANK(Audit[[#This Row],[Audit Candidate 6]])), Audit[[#This Row],[Audit Candidate 6]]-Audit[[#This Row],[Candidate 6]], "")</f>
        <v/>
      </c>
      <c r="AK100" s="17" t="str">
        <f>IF(NOT(ISBLANK(Audit[[#This Row],[Audit Candidate 7]])), Audit[[#This Row],[Audit Candidate 7]]-Audit[[#This Row],[Candidate 7]], "")</f>
        <v/>
      </c>
      <c r="AL100" s="17" t="str">
        <f>IF(NOT(ISBLANK(Audit[[#This Row],[Audit Candidate 8]])), Audit[[#This Row],[Audit Candidate 8]]-Audit[[#This Row],[Candidate 8]], "")</f>
        <v/>
      </c>
      <c r="AM100" s="17" t="str">
        <f>IF(NOT(ISBLANK(Audit[[#This Row],[Audit Candidate 9]])), Audit[[#This Row],[Audit Candidate 9]]-Audit[[#This Row],[Candidate 9]], "")</f>
        <v/>
      </c>
      <c r="AN100" s="17" t="str">
        <f>IF(NOT(ISBLANK(Audit[[#This Row],[Audit Candidate 10]])), Audit[[#This Row],[Audit Candidate 10]]-Audit[[#This Row],[Candidate 10]], "")</f>
        <v/>
      </c>
      <c r="AO100" s="17" t="str">
        <f>IF(NOT(ISBLANK(Audit[[#This Row],[Audit Candidate 11]])), Audit[[#This Row],[Audit Candidate 11]]-Audit[[#This Row],[Candidate 11]], "")</f>
        <v/>
      </c>
      <c r="AP100" s="17" t="str">
        <f>IF(NOT(ISBLANK(Audit[[#This Row],[Audit Candidate 12]])), Audit[[#This Row],[Audit Candidate 12]]-Audit[[#This Row],[Candidate 12]], "")</f>
        <v/>
      </c>
      <c r="AQ100" s="17">
        <f>SUMIF(Audit[[#This Row],[Difference Winner]:[Difference Candidate 12]], "&gt;0")</f>
        <v>0</v>
      </c>
      <c r="AR100" s="17">
        <f>SUM(Audit[[#This Row],[Difference Winner]:[Difference Candidate 12]])</f>
        <v>0</v>
      </c>
      <c r="AS100" s="17">
        <f>IF(Audit[[#This Row],[Times p Drawn - With Replacement]]&gt;0, IF(Audit[[#This Row],[Canceled Differences]]&lt;0, Audit[[#This Row],[Max Differences]]+ABS(Audit[[#This Row],[Canceled Differences]]), Audit[[#This Row],[Max Differences]]), 0)</f>
        <v>0</v>
      </c>
      <c r="AT100" s="17">
        <f>'Sampling Data'!AB100</f>
        <v>3.3398404345611948E-2</v>
      </c>
      <c r="AU100" s="17">
        <f>IF(
      SUM(Audit[[#This Row],[Audit Losing Candidate]:[Audit Candidate 12]])
      &lt;&gt;0,
      (Audit[[#This Row],[Winning Candidate]]-Audit[[#This Row],[Losing Candidate]]-(Audit[[#This Row],[Audit Winning Candidate]]-Audit[[#This Row],[Audit Losing Candidate]]))/(Audit[[#Totals],[Winning Candidate]]-Audit[[#Totals],[Losing Candidate]]),
      0
)</f>
        <v>0</v>
      </c>
      <c r="AV1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 s="17">
        <f>IF(Audit[[#This Row],[Max Relative Error (ep)]] = 0, 0, Audit[[#This Row],[Max Relative Error (ep)]]/Audit[[#This Row],[Error Bound (up) - Max. possible relative overstatement]])</f>
        <v>0</v>
      </c>
      <c r="BH1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0" s="17">
        <f t="shared" si="2"/>
        <v>1</v>
      </c>
      <c r="BJ100" s="17">
        <f>PRODUCT($BI$5:BI100)</f>
        <v>0.89578479606289008</v>
      </c>
      <c r="BK100" s="19">
        <f>1 - Audit[[#This Row],[K-M P Value]]</f>
        <v>0.10421520393710992</v>
      </c>
      <c r="BL100" s="17" t="str">
        <f>IF(Audit[[#This Row],[K-M P Value]]&gt;1-'General Info'!$B$12,"Continue", "Stop")</f>
        <v>Continue</v>
      </c>
      <c r="BM100" s="22" t="b">
        <f>IF(Audit[[#This Row],[Status - Continue or stop audit]] = "Continue", TRUE, IF(BL99 = "Continue", TRUE, FALSE))</f>
        <v>1</v>
      </c>
      <c r="BN100" s="22"/>
    </row>
    <row r="101" spans="1:66" ht="15" hidden="1" customHeight="1" x14ac:dyDescent="0.35">
      <c r="A101" s="17" t="str">
        <f>'Sampling Data'!AI101</f>
        <v/>
      </c>
      <c r="B101" s="17" t="str">
        <f>'Sampling Data'!A101</f>
        <v>1407 CIN 14-G   (AV)</v>
      </c>
      <c r="C101" s="17">
        <f>'Sampling Data'!B101</f>
        <v>307</v>
      </c>
      <c r="D101" s="17">
        <f>'Sampling Data'!C101</f>
        <v>99</v>
      </c>
      <c r="E101" s="18">
        <f>'Sampling Data'!D101</f>
        <v>0</v>
      </c>
      <c r="F101" s="18">
        <f>'Sampling Data'!E101</f>
        <v>0</v>
      </c>
      <c r="G101" s="18">
        <f>'Sampling Data'!F101</f>
        <v>0</v>
      </c>
      <c r="H101" s="18">
        <f>'Sampling Data'!G101</f>
        <v>0</v>
      </c>
      <c r="I101" s="18">
        <f>'Sampling Data'!H101</f>
        <v>0</v>
      </c>
      <c r="J101" s="18">
        <f>'Sampling Data'!I101</f>
        <v>0</v>
      </c>
      <c r="K101" s="18">
        <f>'Sampling Data'!J101</f>
        <v>0</v>
      </c>
      <c r="L101" s="18">
        <f>'Sampling Data'!K101</f>
        <v>0</v>
      </c>
      <c r="M101" s="18">
        <f>'Sampling Data'!L101</f>
        <v>0</v>
      </c>
      <c r="N101" s="18">
        <f>'Sampling Data'!M101</f>
        <v>0</v>
      </c>
      <c r="O101" s="17">
        <f>'Sampling Data'!N101</f>
        <v>0</v>
      </c>
      <c r="P101" s="17">
        <f>'Sampling Data'!O101</f>
        <v>14</v>
      </c>
      <c r="Q101" s="17">
        <f>'Sampling Data'!P101</f>
        <v>420</v>
      </c>
      <c r="R101" s="17">
        <f>'Sampling Data'!AJ101</f>
        <v>0</v>
      </c>
      <c r="S101" s="111"/>
      <c r="T101" s="111"/>
      <c r="U101" s="112"/>
      <c r="V101" s="112"/>
      <c r="W101" s="111"/>
      <c r="X101" s="111"/>
      <c r="Y101" s="111"/>
      <c r="Z101" s="111"/>
      <c r="AA101" s="14"/>
      <c r="AB101" s="14"/>
      <c r="AC101" s="14"/>
      <c r="AD101" s="14"/>
      <c r="AE101" s="113" t="str">
        <f>IF(NOT(ISBLANK(Audit[[#This Row],[Audit Winning Candidate]])), Audit[[#This Row],[Audit Winning Candidate]]-Audit[[#This Row],[Winning Candidate]], "")</f>
        <v/>
      </c>
      <c r="AF101" s="17" t="str">
        <f>IF(NOT(ISBLANK(Audit[[#This Row],[Audit Losing Candidate]])), Audit[[#This Row],[Audit Losing Candidate]]-Audit[[#This Row],[Losing Candidate]], "")</f>
        <v/>
      </c>
      <c r="AG101" s="17" t="str">
        <f>IF(NOT(ISBLANK(Audit[[#This Row],[Audit Candidate 3]])), Audit[[#This Row],[Audit Candidate 3]]-Audit[[#This Row],[Candidate 3]], "")</f>
        <v/>
      </c>
      <c r="AH101" s="17" t="str">
        <f>IF(NOT(ISBLANK(Audit[[#This Row],[Audit Candidate 4]])),Audit[[#This Row],[Audit Candidate 4]]-Audit[[#This Row],[Candidate 4]], "")</f>
        <v/>
      </c>
      <c r="AI101" s="17" t="str">
        <f>IF(NOT(ISBLANK(Audit[[#This Row],[Audit Candidate 5]])), Audit[[#This Row],[Audit Candidate 5]]-Audit[[#This Row],[Candidate 5]], "")</f>
        <v/>
      </c>
      <c r="AJ101" s="17" t="str">
        <f>IF(NOT(ISBLANK(Audit[[#This Row],[Audit Candidate 6]])), Audit[[#This Row],[Audit Candidate 6]]-Audit[[#This Row],[Candidate 6]], "")</f>
        <v/>
      </c>
      <c r="AK101" s="17" t="str">
        <f>IF(NOT(ISBLANK(Audit[[#This Row],[Audit Candidate 7]])), Audit[[#This Row],[Audit Candidate 7]]-Audit[[#This Row],[Candidate 7]], "")</f>
        <v/>
      </c>
      <c r="AL101" s="17" t="str">
        <f>IF(NOT(ISBLANK(Audit[[#This Row],[Audit Candidate 8]])), Audit[[#This Row],[Audit Candidate 8]]-Audit[[#This Row],[Candidate 8]], "")</f>
        <v/>
      </c>
      <c r="AM101" s="17" t="str">
        <f>IF(NOT(ISBLANK(Audit[[#This Row],[Audit Candidate 9]])), Audit[[#This Row],[Audit Candidate 9]]-Audit[[#This Row],[Candidate 9]], "")</f>
        <v/>
      </c>
      <c r="AN101" s="17" t="str">
        <f>IF(NOT(ISBLANK(Audit[[#This Row],[Audit Candidate 10]])), Audit[[#This Row],[Audit Candidate 10]]-Audit[[#This Row],[Candidate 10]], "")</f>
        <v/>
      </c>
      <c r="AO101" s="17" t="str">
        <f>IF(NOT(ISBLANK(Audit[[#This Row],[Audit Candidate 11]])), Audit[[#This Row],[Audit Candidate 11]]-Audit[[#This Row],[Candidate 11]], "")</f>
        <v/>
      </c>
      <c r="AP101" s="17" t="str">
        <f>IF(NOT(ISBLANK(Audit[[#This Row],[Audit Candidate 12]])), Audit[[#This Row],[Audit Candidate 12]]-Audit[[#This Row],[Candidate 12]], "")</f>
        <v/>
      </c>
      <c r="AQ101" s="17">
        <f>SUMIF(Audit[[#This Row],[Difference Winner]:[Difference Candidate 12]], "&gt;0")</f>
        <v>0</v>
      </c>
      <c r="AR101" s="17">
        <f>SUM(Audit[[#This Row],[Difference Winner]:[Difference Candidate 12]])</f>
        <v>0</v>
      </c>
      <c r="AS101" s="17">
        <f>IF(Audit[[#This Row],[Times p Drawn - With Replacement]]&gt;0, IF(Audit[[#This Row],[Canceled Differences]]&lt;0, Audit[[#This Row],[Max Differences]]+ABS(Audit[[#This Row],[Canceled Differences]]), Audit[[#This Row],[Max Differences]]), 0)</f>
        <v>0</v>
      </c>
      <c r="AT101" s="17">
        <f>'Sampling Data'!AB101</f>
        <v>2.6650823289764047E-2</v>
      </c>
      <c r="AU101" s="17">
        <f>IF(
      SUM(Audit[[#This Row],[Audit Losing Candidate]:[Audit Candidate 12]])
      &lt;&gt;0,
      (Audit[[#This Row],[Winning Candidate]]-Audit[[#This Row],[Losing Candidate]]-(Audit[[#This Row],[Audit Winning Candidate]]-Audit[[#This Row],[Audit Losing Candidate]]))/(Audit[[#Totals],[Winning Candidate]]-Audit[[#Totals],[Losing Candidate]]),
      0
)</f>
        <v>0</v>
      </c>
      <c r="AV1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 s="17">
        <f>IF(Audit[[#This Row],[Max Relative Error (ep)]] = 0, 0, Audit[[#This Row],[Max Relative Error (ep)]]/Audit[[#This Row],[Error Bound (up) - Max. possible relative overstatement]])</f>
        <v>0</v>
      </c>
      <c r="BH1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1" s="17">
        <f t="shared" si="2"/>
        <v>1</v>
      </c>
      <c r="BJ101" s="17">
        <f>PRODUCT($BI$5:BI101)</f>
        <v>0.89578479606289008</v>
      </c>
      <c r="BK101" s="19">
        <f>1 - Audit[[#This Row],[K-M P Value]]</f>
        <v>0.10421520393710992</v>
      </c>
      <c r="BL101" s="17" t="str">
        <f>IF(Audit[[#This Row],[K-M P Value]]&gt;1-'General Info'!$B$12,"Continue", "Stop")</f>
        <v>Continue</v>
      </c>
      <c r="BM101" s="22" t="b">
        <f>IF(Audit[[#This Row],[Status - Continue or stop audit]] = "Continue", TRUE, IF(BL100 = "Continue", TRUE, FALSE))</f>
        <v>1</v>
      </c>
      <c r="BN101" s="22"/>
    </row>
    <row r="102" spans="1:66" ht="15" hidden="1" customHeight="1" x14ac:dyDescent="0.35">
      <c r="A102" s="17" t="str">
        <f>'Sampling Data'!AI102</f>
        <v/>
      </c>
      <c r="B102" s="17" t="str">
        <f>'Sampling Data'!A102</f>
        <v>1408 CIN 14-H   (AV)</v>
      </c>
      <c r="C102" s="17">
        <f>'Sampling Data'!B102</f>
        <v>399</v>
      </c>
      <c r="D102" s="17">
        <f>'Sampling Data'!C102</f>
        <v>91</v>
      </c>
      <c r="E102" s="18">
        <f>'Sampling Data'!D102</f>
        <v>0</v>
      </c>
      <c r="F102" s="18">
        <f>'Sampling Data'!E102</f>
        <v>0</v>
      </c>
      <c r="G102" s="18">
        <f>'Sampling Data'!F102</f>
        <v>0</v>
      </c>
      <c r="H102" s="18">
        <f>'Sampling Data'!G102</f>
        <v>0</v>
      </c>
      <c r="I102" s="18">
        <f>'Sampling Data'!H102</f>
        <v>0</v>
      </c>
      <c r="J102" s="18">
        <f>'Sampling Data'!I102</f>
        <v>0</v>
      </c>
      <c r="K102" s="18">
        <f>'Sampling Data'!J102</f>
        <v>0</v>
      </c>
      <c r="L102" s="18">
        <f>'Sampling Data'!K102</f>
        <v>0</v>
      </c>
      <c r="M102" s="18">
        <f>'Sampling Data'!L102</f>
        <v>0</v>
      </c>
      <c r="N102" s="18">
        <f>'Sampling Data'!M102</f>
        <v>0</v>
      </c>
      <c r="O102" s="17">
        <f>'Sampling Data'!N102</f>
        <v>0</v>
      </c>
      <c r="P102" s="17">
        <f>'Sampling Data'!O102</f>
        <v>25</v>
      </c>
      <c r="Q102" s="17">
        <f>'Sampling Data'!P102</f>
        <v>515</v>
      </c>
      <c r="R102" s="17">
        <f>'Sampling Data'!AJ102</f>
        <v>0</v>
      </c>
      <c r="S102" s="111"/>
      <c r="T102" s="111"/>
      <c r="U102" s="112"/>
      <c r="V102" s="112"/>
      <c r="W102" s="111"/>
      <c r="X102" s="111"/>
      <c r="Y102" s="111"/>
      <c r="Z102" s="111"/>
      <c r="AA102" s="14"/>
      <c r="AB102" s="14"/>
      <c r="AC102" s="14"/>
      <c r="AD102" s="14"/>
      <c r="AE102" s="113" t="str">
        <f>IF(NOT(ISBLANK(Audit[[#This Row],[Audit Winning Candidate]])), Audit[[#This Row],[Audit Winning Candidate]]-Audit[[#This Row],[Winning Candidate]], "")</f>
        <v/>
      </c>
      <c r="AF102" s="17" t="str">
        <f>IF(NOT(ISBLANK(Audit[[#This Row],[Audit Losing Candidate]])), Audit[[#This Row],[Audit Losing Candidate]]-Audit[[#This Row],[Losing Candidate]], "")</f>
        <v/>
      </c>
      <c r="AG102" s="17" t="str">
        <f>IF(NOT(ISBLANK(Audit[[#This Row],[Audit Candidate 3]])), Audit[[#This Row],[Audit Candidate 3]]-Audit[[#This Row],[Candidate 3]], "")</f>
        <v/>
      </c>
      <c r="AH102" s="17" t="str">
        <f>IF(NOT(ISBLANK(Audit[[#This Row],[Audit Candidate 4]])),Audit[[#This Row],[Audit Candidate 4]]-Audit[[#This Row],[Candidate 4]], "")</f>
        <v/>
      </c>
      <c r="AI102" s="17" t="str">
        <f>IF(NOT(ISBLANK(Audit[[#This Row],[Audit Candidate 5]])), Audit[[#This Row],[Audit Candidate 5]]-Audit[[#This Row],[Candidate 5]], "")</f>
        <v/>
      </c>
      <c r="AJ102" s="17" t="str">
        <f>IF(NOT(ISBLANK(Audit[[#This Row],[Audit Candidate 6]])), Audit[[#This Row],[Audit Candidate 6]]-Audit[[#This Row],[Candidate 6]], "")</f>
        <v/>
      </c>
      <c r="AK102" s="17" t="str">
        <f>IF(NOT(ISBLANK(Audit[[#This Row],[Audit Candidate 7]])), Audit[[#This Row],[Audit Candidate 7]]-Audit[[#This Row],[Candidate 7]], "")</f>
        <v/>
      </c>
      <c r="AL102" s="17" t="str">
        <f>IF(NOT(ISBLANK(Audit[[#This Row],[Audit Candidate 8]])), Audit[[#This Row],[Audit Candidate 8]]-Audit[[#This Row],[Candidate 8]], "")</f>
        <v/>
      </c>
      <c r="AM102" s="17" t="str">
        <f>IF(NOT(ISBLANK(Audit[[#This Row],[Audit Candidate 9]])), Audit[[#This Row],[Audit Candidate 9]]-Audit[[#This Row],[Candidate 9]], "")</f>
        <v/>
      </c>
      <c r="AN102" s="17" t="str">
        <f>IF(NOT(ISBLANK(Audit[[#This Row],[Audit Candidate 10]])), Audit[[#This Row],[Audit Candidate 10]]-Audit[[#This Row],[Candidate 10]], "")</f>
        <v/>
      </c>
      <c r="AO102" s="17" t="str">
        <f>IF(NOT(ISBLANK(Audit[[#This Row],[Audit Candidate 11]])), Audit[[#This Row],[Audit Candidate 11]]-Audit[[#This Row],[Candidate 11]], "")</f>
        <v/>
      </c>
      <c r="AP102" s="17" t="str">
        <f>IF(NOT(ISBLANK(Audit[[#This Row],[Audit Candidate 12]])), Audit[[#This Row],[Audit Candidate 12]]-Audit[[#This Row],[Candidate 12]], "")</f>
        <v/>
      </c>
      <c r="AQ102" s="17">
        <f>SUMIF(Audit[[#This Row],[Difference Winner]:[Difference Candidate 12]], "&gt;0")</f>
        <v>0</v>
      </c>
      <c r="AR102" s="17">
        <f>SUM(Audit[[#This Row],[Difference Winner]:[Difference Candidate 12]])</f>
        <v>0</v>
      </c>
      <c r="AS102" s="17">
        <f>IF(Audit[[#This Row],[Times p Drawn - With Replacement]]&gt;0, IF(Audit[[#This Row],[Canceled Differences]]&lt;0, Audit[[#This Row],[Max Differences]]+ABS(Audit[[#This Row],[Canceled Differences]]), Audit[[#This Row],[Max Differences]]), 0)</f>
        <v>0</v>
      </c>
      <c r="AT102" s="17">
        <f>'Sampling Data'!AB102</f>
        <v>3.4926158546936002E-2</v>
      </c>
      <c r="AU102" s="17">
        <f>IF(
      SUM(Audit[[#This Row],[Audit Losing Candidate]:[Audit Candidate 12]])
      &lt;&gt;0,
      (Audit[[#This Row],[Winning Candidate]]-Audit[[#This Row],[Losing Candidate]]-(Audit[[#This Row],[Audit Winning Candidate]]-Audit[[#This Row],[Audit Losing Candidate]]))/(Audit[[#Totals],[Winning Candidate]]-Audit[[#Totals],[Losing Candidate]]),
      0
)</f>
        <v>0</v>
      </c>
      <c r="AV1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 s="17">
        <f>IF(Audit[[#This Row],[Max Relative Error (ep)]] = 0, 0, Audit[[#This Row],[Max Relative Error (ep)]]/Audit[[#This Row],[Error Bound (up) - Max. possible relative overstatement]])</f>
        <v>0</v>
      </c>
      <c r="BH1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2" s="17">
        <f t="shared" si="2"/>
        <v>1</v>
      </c>
      <c r="BJ102" s="17">
        <f>PRODUCT($BI$5:BI102)</f>
        <v>0.89578479606289008</v>
      </c>
      <c r="BK102" s="19">
        <f>1 - Audit[[#This Row],[K-M P Value]]</f>
        <v>0.10421520393710992</v>
      </c>
      <c r="BL102" s="17" t="str">
        <f>IF(Audit[[#This Row],[K-M P Value]]&gt;1-'General Info'!$B$12,"Continue", "Stop")</f>
        <v>Continue</v>
      </c>
      <c r="BM102" s="22" t="b">
        <f>IF(Audit[[#This Row],[Status - Continue or stop audit]] = "Continue", TRUE, IF(BL101 = "Continue", TRUE, FALSE))</f>
        <v>1</v>
      </c>
      <c r="BN102" s="22"/>
    </row>
    <row r="103" spans="1:66" ht="15" hidden="1" customHeight="1" x14ac:dyDescent="0.35">
      <c r="A103" s="17" t="str">
        <f>'Sampling Data'!AI103</f>
        <v/>
      </c>
      <c r="B103" s="17" t="str">
        <f>'Sampling Data'!A103</f>
        <v>1409 CIN 14-I   (AV)</v>
      </c>
      <c r="C103" s="17">
        <f>'Sampling Data'!B103</f>
        <v>418</v>
      </c>
      <c r="D103" s="17">
        <f>'Sampling Data'!C103</f>
        <v>105</v>
      </c>
      <c r="E103" s="18">
        <f>'Sampling Data'!D103</f>
        <v>0</v>
      </c>
      <c r="F103" s="18">
        <f>'Sampling Data'!E103</f>
        <v>0</v>
      </c>
      <c r="G103" s="18">
        <f>'Sampling Data'!F103</f>
        <v>0</v>
      </c>
      <c r="H103" s="18">
        <f>'Sampling Data'!G103</f>
        <v>0</v>
      </c>
      <c r="I103" s="18">
        <f>'Sampling Data'!H103</f>
        <v>0</v>
      </c>
      <c r="J103" s="18">
        <f>'Sampling Data'!I103</f>
        <v>0</v>
      </c>
      <c r="K103" s="18">
        <f>'Sampling Data'!J103</f>
        <v>0</v>
      </c>
      <c r="L103" s="18">
        <f>'Sampling Data'!K103</f>
        <v>0</v>
      </c>
      <c r="M103" s="18">
        <f>'Sampling Data'!L103</f>
        <v>0</v>
      </c>
      <c r="N103" s="18">
        <f>'Sampling Data'!M103</f>
        <v>0</v>
      </c>
      <c r="O103" s="17">
        <f>'Sampling Data'!N103</f>
        <v>0</v>
      </c>
      <c r="P103" s="17">
        <f>'Sampling Data'!O103</f>
        <v>29</v>
      </c>
      <c r="Q103" s="17">
        <f>'Sampling Data'!P103</f>
        <v>552</v>
      </c>
      <c r="R103" s="17">
        <f>'Sampling Data'!AJ103</f>
        <v>0</v>
      </c>
      <c r="S103" s="111"/>
      <c r="T103" s="111"/>
      <c r="U103" s="112"/>
      <c r="V103" s="112"/>
      <c r="W103" s="111"/>
      <c r="X103" s="111"/>
      <c r="Y103" s="111"/>
      <c r="Z103" s="111"/>
      <c r="AA103" s="14"/>
      <c r="AB103" s="14"/>
      <c r="AC103" s="14"/>
      <c r="AD103" s="14"/>
      <c r="AE103" s="113" t="str">
        <f>IF(NOT(ISBLANK(Audit[[#This Row],[Audit Winning Candidate]])), Audit[[#This Row],[Audit Winning Candidate]]-Audit[[#This Row],[Winning Candidate]], "")</f>
        <v/>
      </c>
      <c r="AF103" s="17" t="str">
        <f>IF(NOT(ISBLANK(Audit[[#This Row],[Audit Losing Candidate]])), Audit[[#This Row],[Audit Losing Candidate]]-Audit[[#This Row],[Losing Candidate]], "")</f>
        <v/>
      </c>
      <c r="AG103" s="17" t="str">
        <f>IF(NOT(ISBLANK(Audit[[#This Row],[Audit Candidate 3]])), Audit[[#This Row],[Audit Candidate 3]]-Audit[[#This Row],[Candidate 3]], "")</f>
        <v/>
      </c>
      <c r="AH103" s="17" t="str">
        <f>IF(NOT(ISBLANK(Audit[[#This Row],[Audit Candidate 4]])),Audit[[#This Row],[Audit Candidate 4]]-Audit[[#This Row],[Candidate 4]], "")</f>
        <v/>
      </c>
      <c r="AI103" s="17" t="str">
        <f>IF(NOT(ISBLANK(Audit[[#This Row],[Audit Candidate 5]])), Audit[[#This Row],[Audit Candidate 5]]-Audit[[#This Row],[Candidate 5]], "")</f>
        <v/>
      </c>
      <c r="AJ103" s="17" t="str">
        <f>IF(NOT(ISBLANK(Audit[[#This Row],[Audit Candidate 6]])), Audit[[#This Row],[Audit Candidate 6]]-Audit[[#This Row],[Candidate 6]], "")</f>
        <v/>
      </c>
      <c r="AK103" s="17" t="str">
        <f>IF(NOT(ISBLANK(Audit[[#This Row],[Audit Candidate 7]])), Audit[[#This Row],[Audit Candidate 7]]-Audit[[#This Row],[Candidate 7]], "")</f>
        <v/>
      </c>
      <c r="AL103" s="17" t="str">
        <f>IF(NOT(ISBLANK(Audit[[#This Row],[Audit Candidate 8]])), Audit[[#This Row],[Audit Candidate 8]]-Audit[[#This Row],[Candidate 8]], "")</f>
        <v/>
      </c>
      <c r="AM103" s="17" t="str">
        <f>IF(NOT(ISBLANK(Audit[[#This Row],[Audit Candidate 9]])), Audit[[#This Row],[Audit Candidate 9]]-Audit[[#This Row],[Candidate 9]], "")</f>
        <v/>
      </c>
      <c r="AN103" s="17" t="str">
        <f>IF(NOT(ISBLANK(Audit[[#This Row],[Audit Candidate 10]])), Audit[[#This Row],[Audit Candidate 10]]-Audit[[#This Row],[Candidate 10]], "")</f>
        <v/>
      </c>
      <c r="AO103" s="17" t="str">
        <f>IF(NOT(ISBLANK(Audit[[#This Row],[Audit Candidate 11]])), Audit[[#This Row],[Audit Candidate 11]]-Audit[[#This Row],[Candidate 11]], "")</f>
        <v/>
      </c>
      <c r="AP103" s="17" t="str">
        <f>IF(NOT(ISBLANK(Audit[[#This Row],[Audit Candidate 12]])), Audit[[#This Row],[Audit Candidate 12]]-Audit[[#This Row],[Candidate 12]], "")</f>
        <v/>
      </c>
      <c r="AQ103" s="17">
        <f>SUMIF(Audit[[#This Row],[Difference Winner]:[Difference Candidate 12]], "&gt;0")</f>
        <v>0</v>
      </c>
      <c r="AR103" s="17">
        <f>SUM(Audit[[#This Row],[Difference Winner]:[Difference Candidate 12]])</f>
        <v>0</v>
      </c>
      <c r="AS103" s="17">
        <f>IF(Audit[[#This Row],[Times p Drawn - With Replacement]]&gt;0, IF(Audit[[#This Row],[Canceled Differences]]&lt;0, Audit[[#This Row],[Max Differences]]+ABS(Audit[[#This Row],[Canceled Differences]]), Audit[[#This Row],[Max Differences]]), 0)</f>
        <v>0</v>
      </c>
      <c r="AT103" s="17">
        <f>'Sampling Data'!AB103</f>
        <v>3.6708538448480731E-2</v>
      </c>
      <c r="AU103" s="17">
        <f>IF(
      SUM(Audit[[#This Row],[Audit Losing Candidate]:[Audit Candidate 12]])
      &lt;&gt;0,
      (Audit[[#This Row],[Winning Candidate]]-Audit[[#This Row],[Losing Candidate]]-(Audit[[#This Row],[Audit Winning Candidate]]-Audit[[#This Row],[Audit Losing Candidate]]))/(Audit[[#Totals],[Winning Candidate]]-Audit[[#Totals],[Losing Candidate]]),
      0
)</f>
        <v>0</v>
      </c>
      <c r="AV1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 s="17">
        <f>IF(Audit[[#This Row],[Max Relative Error (ep)]] = 0, 0, Audit[[#This Row],[Max Relative Error (ep)]]/Audit[[#This Row],[Error Bound (up) - Max. possible relative overstatement]])</f>
        <v>0</v>
      </c>
      <c r="BH1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3" s="17">
        <f t="shared" si="2"/>
        <v>1</v>
      </c>
      <c r="BJ103" s="17">
        <f>PRODUCT($BI$5:BI103)</f>
        <v>0.89578479606289008</v>
      </c>
      <c r="BK103" s="19">
        <f>1 - Audit[[#This Row],[K-M P Value]]</f>
        <v>0.10421520393710992</v>
      </c>
      <c r="BL103" s="17" t="str">
        <f>IF(Audit[[#This Row],[K-M P Value]]&gt;1-'General Info'!$B$12,"Continue", "Stop")</f>
        <v>Continue</v>
      </c>
      <c r="BM103" s="22" t="b">
        <f>IF(Audit[[#This Row],[Status - Continue or stop audit]] = "Continue", TRUE, IF(BL102 = "Continue", TRUE, FALSE))</f>
        <v>1</v>
      </c>
      <c r="BN103" s="22"/>
    </row>
    <row r="104" spans="1:66" ht="15" hidden="1" customHeight="1" x14ac:dyDescent="0.35">
      <c r="A104" s="17" t="str">
        <f>'Sampling Data'!AI104</f>
        <v/>
      </c>
      <c r="B104" s="17" t="str">
        <f>'Sampling Data'!A104</f>
        <v>1501 CIN 15-A   (AV)</v>
      </c>
      <c r="C104" s="17">
        <f>'Sampling Data'!B104</f>
        <v>324</v>
      </c>
      <c r="D104" s="17">
        <f>'Sampling Data'!C104</f>
        <v>33</v>
      </c>
      <c r="E104" s="18">
        <f>'Sampling Data'!D104</f>
        <v>0</v>
      </c>
      <c r="F104" s="18">
        <f>'Sampling Data'!E104</f>
        <v>0</v>
      </c>
      <c r="G104" s="18">
        <f>'Sampling Data'!F104</f>
        <v>0</v>
      </c>
      <c r="H104" s="18">
        <f>'Sampling Data'!G104</f>
        <v>0</v>
      </c>
      <c r="I104" s="18">
        <f>'Sampling Data'!H104</f>
        <v>0</v>
      </c>
      <c r="J104" s="18">
        <f>'Sampling Data'!I104</f>
        <v>0</v>
      </c>
      <c r="K104" s="18">
        <f>'Sampling Data'!J104</f>
        <v>0</v>
      </c>
      <c r="L104" s="18">
        <f>'Sampling Data'!K104</f>
        <v>0</v>
      </c>
      <c r="M104" s="18">
        <f>'Sampling Data'!L104</f>
        <v>0</v>
      </c>
      <c r="N104" s="18">
        <f>'Sampling Data'!M104</f>
        <v>0</v>
      </c>
      <c r="O104" s="17">
        <f>'Sampling Data'!N104</f>
        <v>0</v>
      </c>
      <c r="P104" s="17">
        <f>'Sampling Data'!O104</f>
        <v>13</v>
      </c>
      <c r="Q104" s="17">
        <f>'Sampling Data'!P104</f>
        <v>370</v>
      </c>
      <c r="R104" s="17">
        <f>'Sampling Data'!AJ104</f>
        <v>0</v>
      </c>
      <c r="S104" s="111"/>
      <c r="T104" s="111"/>
      <c r="U104" s="112"/>
      <c r="V104" s="112"/>
      <c r="W104" s="111"/>
      <c r="X104" s="111"/>
      <c r="Y104" s="111"/>
      <c r="Z104" s="111"/>
      <c r="AA104" s="14"/>
      <c r="AB104" s="14"/>
      <c r="AC104" s="14"/>
      <c r="AD104" s="14"/>
      <c r="AE104" s="113" t="str">
        <f>IF(NOT(ISBLANK(Audit[[#This Row],[Audit Winning Candidate]])), Audit[[#This Row],[Audit Winning Candidate]]-Audit[[#This Row],[Winning Candidate]], "")</f>
        <v/>
      </c>
      <c r="AF104" s="17" t="str">
        <f>IF(NOT(ISBLANK(Audit[[#This Row],[Audit Losing Candidate]])), Audit[[#This Row],[Audit Losing Candidate]]-Audit[[#This Row],[Losing Candidate]], "")</f>
        <v/>
      </c>
      <c r="AG104" s="17" t="str">
        <f>IF(NOT(ISBLANK(Audit[[#This Row],[Audit Candidate 3]])), Audit[[#This Row],[Audit Candidate 3]]-Audit[[#This Row],[Candidate 3]], "")</f>
        <v/>
      </c>
      <c r="AH104" s="17" t="str">
        <f>IF(NOT(ISBLANK(Audit[[#This Row],[Audit Candidate 4]])),Audit[[#This Row],[Audit Candidate 4]]-Audit[[#This Row],[Candidate 4]], "")</f>
        <v/>
      </c>
      <c r="AI104" s="17" t="str">
        <f>IF(NOT(ISBLANK(Audit[[#This Row],[Audit Candidate 5]])), Audit[[#This Row],[Audit Candidate 5]]-Audit[[#This Row],[Candidate 5]], "")</f>
        <v/>
      </c>
      <c r="AJ104" s="17" t="str">
        <f>IF(NOT(ISBLANK(Audit[[#This Row],[Audit Candidate 6]])), Audit[[#This Row],[Audit Candidate 6]]-Audit[[#This Row],[Candidate 6]], "")</f>
        <v/>
      </c>
      <c r="AK104" s="17" t="str">
        <f>IF(NOT(ISBLANK(Audit[[#This Row],[Audit Candidate 7]])), Audit[[#This Row],[Audit Candidate 7]]-Audit[[#This Row],[Candidate 7]], "")</f>
        <v/>
      </c>
      <c r="AL104" s="17" t="str">
        <f>IF(NOT(ISBLANK(Audit[[#This Row],[Audit Candidate 8]])), Audit[[#This Row],[Audit Candidate 8]]-Audit[[#This Row],[Candidate 8]], "")</f>
        <v/>
      </c>
      <c r="AM104" s="17" t="str">
        <f>IF(NOT(ISBLANK(Audit[[#This Row],[Audit Candidate 9]])), Audit[[#This Row],[Audit Candidate 9]]-Audit[[#This Row],[Candidate 9]], "")</f>
        <v/>
      </c>
      <c r="AN104" s="17" t="str">
        <f>IF(NOT(ISBLANK(Audit[[#This Row],[Audit Candidate 10]])), Audit[[#This Row],[Audit Candidate 10]]-Audit[[#This Row],[Candidate 10]], "")</f>
        <v/>
      </c>
      <c r="AO104" s="17" t="str">
        <f>IF(NOT(ISBLANK(Audit[[#This Row],[Audit Candidate 11]])), Audit[[#This Row],[Audit Candidate 11]]-Audit[[#This Row],[Candidate 11]], "")</f>
        <v/>
      </c>
      <c r="AP104" s="17" t="str">
        <f>IF(NOT(ISBLANK(Audit[[#This Row],[Audit Candidate 12]])), Audit[[#This Row],[Audit Candidate 12]]-Audit[[#This Row],[Candidate 12]], "")</f>
        <v/>
      </c>
      <c r="AQ104" s="17">
        <f>SUMIF(Audit[[#This Row],[Difference Winner]:[Difference Candidate 12]], "&gt;0")</f>
        <v>0</v>
      </c>
      <c r="AR104" s="17">
        <f>SUM(Audit[[#This Row],[Difference Winner]:[Difference Candidate 12]])</f>
        <v>0</v>
      </c>
      <c r="AS104" s="17">
        <f>IF(Audit[[#This Row],[Times p Drawn - With Replacement]]&gt;0, IF(Audit[[#This Row],[Canceled Differences]]&lt;0, Audit[[#This Row],[Max Differences]]+ABS(Audit[[#This Row],[Canceled Differences]]), Audit[[#This Row],[Max Differences]]), 0)</f>
        <v>0</v>
      </c>
      <c r="AT104" s="17">
        <f>'Sampling Data'!AB104</f>
        <v>2.8051264640977763E-2</v>
      </c>
      <c r="AU104" s="17">
        <f>IF(
      SUM(Audit[[#This Row],[Audit Losing Candidate]:[Audit Candidate 12]])
      &lt;&gt;0,
      (Audit[[#This Row],[Winning Candidate]]-Audit[[#This Row],[Losing Candidate]]-(Audit[[#This Row],[Audit Winning Candidate]]-Audit[[#This Row],[Audit Losing Candidate]]))/(Audit[[#Totals],[Winning Candidate]]-Audit[[#Totals],[Losing Candidate]]),
      0
)</f>
        <v>0</v>
      </c>
      <c r="AV1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 s="17">
        <f>IF(Audit[[#This Row],[Max Relative Error (ep)]] = 0, 0, Audit[[#This Row],[Max Relative Error (ep)]]/Audit[[#This Row],[Error Bound (up) - Max. possible relative overstatement]])</f>
        <v>0</v>
      </c>
      <c r="BH1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4" s="17">
        <f t="shared" si="2"/>
        <v>1</v>
      </c>
      <c r="BJ104" s="17">
        <f>PRODUCT($BI$5:BI104)</f>
        <v>0.89578479606289008</v>
      </c>
      <c r="BK104" s="19">
        <f>1 - Audit[[#This Row],[K-M P Value]]</f>
        <v>0.10421520393710992</v>
      </c>
      <c r="BL104" s="17" t="str">
        <f>IF(Audit[[#This Row],[K-M P Value]]&gt;1-'General Info'!$B$12,"Continue", "Stop")</f>
        <v>Continue</v>
      </c>
      <c r="BM104" s="22" t="b">
        <f>IF(Audit[[#This Row],[Status - Continue or stop audit]] = "Continue", TRUE, IF(BL103 = "Continue", TRUE, FALSE))</f>
        <v>1</v>
      </c>
      <c r="BN104" s="22"/>
    </row>
    <row r="105" spans="1:66" ht="15" hidden="1" customHeight="1" x14ac:dyDescent="0.35">
      <c r="A105" s="17" t="str">
        <f>'Sampling Data'!AI105</f>
        <v/>
      </c>
      <c r="B105" s="17" t="str">
        <f>'Sampling Data'!A105</f>
        <v>1502 CIN 15-B   (AV)</v>
      </c>
      <c r="C105" s="17">
        <f>'Sampling Data'!B105</f>
        <v>387</v>
      </c>
      <c r="D105" s="17">
        <f>'Sampling Data'!C105</f>
        <v>67</v>
      </c>
      <c r="E105" s="18">
        <f>'Sampling Data'!D105</f>
        <v>0</v>
      </c>
      <c r="F105" s="18">
        <f>'Sampling Data'!E105</f>
        <v>0</v>
      </c>
      <c r="G105" s="18">
        <f>'Sampling Data'!F105</f>
        <v>0</v>
      </c>
      <c r="H105" s="18">
        <f>'Sampling Data'!G105</f>
        <v>0</v>
      </c>
      <c r="I105" s="18">
        <f>'Sampling Data'!H105</f>
        <v>0</v>
      </c>
      <c r="J105" s="18">
        <f>'Sampling Data'!I105</f>
        <v>0</v>
      </c>
      <c r="K105" s="18">
        <f>'Sampling Data'!J105</f>
        <v>0</v>
      </c>
      <c r="L105" s="18">
        <f>'Sampling Data'!K105</f>
        <v>0</v>
      </c>
      <c r="M105" s="18">
        <f>'Sampling Data'!L105</f>
        <v>0</v>
      </c>
      <c r="N105" s="18">
        <f>'Sampling Data'!M105</f>
        <v>0</v>
      </c>
      <c r="O105" s="17">
        <f>'Sampling Data'!N105</f>
        <v>0</v>
      </c>
      <c r="P105" s="17">
        <f>'Sampling Data'!O105</f>
        <v>16</v>
      </c>
      <c r="Q105" s="17">
        <f>'Sampling Data'!P105</f>
        <v>470</v>
      </c>
      <c r="R105" s="17">
        <f>'Sampling Data'!AJ105</f>
        <v>0</v>
      </c>
      <c r="S105" s="111"/>
      <c r="T105" s="111"/>
      <c r="U105" s="112"/>
      <c r="V105" s="112"/>
      <c r="W105" s="111"/>
      <c r="X105" s="111"/>
      <c r="Y105" s="111"/>
      <c r="Z105" s="111"/>
      <c r="AA105" s="14"/>
      <c r="AB105" s="14"/>
      <c r="AC105" s="14"/>
      <c r="AD105" s="14"/>
      <c r="AE105" s="113" t="str">
        <f>IF(NOT(ISBLANK(Audit[[#This Row],[Audit Winning Candidate]])), Audit[[#This Row],[Audit Winning Candidate]]-Audit[[#This Row],[Winning Candidate]], "")</f>
        <v/>
      </c>
      <c r="AF105" s="17" t="str">
        <f>IF(NOT(ISBLANK(Audit[[#This Row],[Audit Losing Candidate]])), Audit[[#This Row],[Audit Losing Candidate]]-Audit[[#This Row],[Losing Candidate]], "")</f>
        <v/>
      </c>
      <c r="AG105" s="17" t="str">
        <f>IF(NOT(ISBLANK(Audit[[#This Row],[Audit Candidate 3]])), Audit[[#This Row],[Audit Candidate 3]]-Audit[[#This Row],[Candidate 3]], "")</f>
        <v/>
      </c>
      <c r="AH105" s="17" t="str">
        <f>IF(NOT(ISBLANK(Audit[[#This Row],[Audit Candidate 4]])),Audit[[#This Row],[Audit Candidate 4]]-Audit[[#This Row],[Candidate 4]], "")</f>
        <v/>
      </c>
      <c r="AI105" s="17" t="str">
        <f>IF(NOT(ISBLANK(Audit[[#This Row],[Audit Candidate 5]])), Audit[[#This Row],[Audit Candidate 5]]-Audit[[#This Row],[Candidate 5]], "")</f>
        <v/>
      </c>
      <c r="AJ105" s="17" t="str">
        <f>IF(NOT(ISBLANK(Audit[[#This Row],[Audit Candidate 6]])), Audit[[#This Row],[Audit Candidate 6]]-Audit[[#This Row],[Candidate 6]], "")</f>
        <v/>
      </c>
      <c r="AK105" s="17" t="str">
        <f>IF(NOT(ISBLANK(Audit[[#This Row],[Audit Candidate 7]])), Audit[[#This Row],[Audit Candidate 7]]-Audit[[#This Row],[Candidate 7]], "")</f>
        <v/>
      </c>
      <c r="AL105" s="17" t="str">
        <f>IF(NOT(ISBLANK(Audit[[#This Row],[Audit Candidate 8]])), Audit[[#This Row],[Audit Candidate 8]]-Audit[[#This Row],[Candidate 8]], "")</f>
        <v/>
      </c>
      <c r="AM105" s="17" t="str">
        <f>IF(NOT(ISBLANK(Audit[[#This Row],[Audit Candidate 9]])), Audit[[#This Row],[Audit Candidate 9]]-Audit[[#This Row],[Candidate 9]], "")</f>
        <v/>
      </c>
      <c r="AN105" s="17" t="str">
        <f>IF(NOT(ISBLANK(Audit[[#This Row],[Audit Candidate 10]])), Audit[[#This Row],[Audit Candidate 10]]-Audit[[#This Row],[Candidate 10]], "")</f>
        <v/>
      </c>
      <c r="AO105" s="17" t="str">
        <f>IF(NOT(ISBLANK(Audit[[#This Row],[Audit Candidate 11]])), Audit[[#This Row],[Audit Candidate 11]]-Audit[[#This Row],[Candidate 11]], "")</f>
        <v/>
      </c>
      <c r="AP105" s="17" t="str">
        <f>IF(NOT(ISBLANK(Audit[[#This Row],[Audit Candidate 12]])), Audit[[#This Row],[Audit Candidate 12]]-Audit[[#This Row],[Candidate 12]], "")</f>
        <v/>
      </c>
      <c r="AQ105" s="17">
        <f>SUMIF(Audit[[#This Row],[Difference Winner]:[Difference Candidate 12]], "&gt;0")</f>
        <v>0</v>
      </c>
      <c r="AR105" s="17">
        <f>SUM(Audit[[#This Row],[Difference Winner]:[Difference Candidate 12]])</f>
        <v>0</v>
      </c>
      <c r="AS105" s="17">
        <f>IF(Audit[[#This Row],[Times p Drawn - With Replacement]]&gt;0, IF(Audit[[#This Row],[Canceled Differences]]&lt;0, Audit[[#This Row],[Max Differences]]+ABS(Audit[[#This Row],[Canceled Differences]]), Audit[[#This Row],[Max Differences]]), 0)</f>
        <v>0</v>
      </c>
      <c r="AT105" s="17">
        <f>'Sampling Data'!AB105</f>
        <v>3.3525717195722289E-2</v>
      </c>
      <c r="AU105" s="17">
        <f>IF(
      SUM(Audit[[#This Row],[Audit Losing Candidate]:[Audit Candidate 12]])
      &lt;&gt;0,
      (Audit[[#This Row],[Winning Candidate]]-Audit[[#This Row],[Losing Candidate]]-(Audit[[#This Row],[Audit Winning Candidate]]-Audit[[#This Row],[Audit Losing Candidate]]))/(Audit[[#Totals],[Winning Candidate]]-Audit[[#Totals],[Losing Candidate]]),
      0
)</f>
        <v>0</v>
      </c>
      <c r="AV1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 s="17">
        <f>IF(Audit[[#This Row],[Max Relative Error (ep)]] = 0, 0, Audit[[#This Row],[Max Relative Error (ep)]]/Audit[[#This Row],[Error Bound (up) - Max. possible relative overstatement]])</f>
        <v>0</v>
      </c>
      <c r="BH1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5" s="17">
        <f t="shared" si="2"/>
        <v>1</v>
      </c>
      <c r="BJ105" s="17">
        <f>PRODUCT($BI$5:BI105)</f>
        <v>0.89578479606289008</v>
      </c>
      <c r="BK105" s="19">
        <f>1 - Audit[[#This Row],[K-M P Value]]</f>
        <v>0.10421520393710992</v>
      </c>
      <c r="BL105" s="17" t="str">
        <f>IF(Audit[[#This Row],[K-M P Value]]&gt;1-'General Info'!$B$12,"Continue", "Stop")</f>
        <v>Continue</v>
      </c>
      <c r="BM105" s="22" t="b">
        <f>IF(Audit[[#This Row],[Status - Continue or stop audit]] = "Continue", TRUE, IF(BL104 = "Continue", TRUE, FALSE))</f>
        <v>1</v>
      </c>
      <c r="BN105" s="22"/>
    </row>
    <row r="106" spans="1:66" ht="15" hidden="1" customHeight="1" x14ac:dyDescent="0.35">
      <c r="A106" s="17" t="str">
        <f>'Sampling Data'!AI106</f>
        <v/>
      </c>
      <c r="B106" s="17" t="str">
        <f>'Sampling Data'!A106</f>
        <v>1503 CIN 15-C   (AV)</v>
      </c>
      <c r="C106" s="17">
        <f>'Sampling Data'!B106</f>
        <v>141</v>
      </c>
      <c r="D106" s="17">
        <f>'Sampling Data'!C106</f>
        <v>13</v>
      </c>
      <c r="E106" s="18">
        <f>'Sampling Data'!D106</f>
        <v>0</v>
      </c>
      <c r="F106" s="18">
        <f>'Sampling Data'!E106</f>
        <v>0</v>
      </c>
      <c r="G106" s="18">
        <f>'Sampling Data'!F106</f>
        <v>0</v>
      </c>
      <c r="H106" s="18">
        <f>'Sampling Data'!G106</f>
        <v>0</v>
      </c>
      <c r="I106" s="18">
        <f>'Sampling Data'!H106</f>
        <v>0</v>
      </c>
      <c r="J106" s="18">
        <f>'Sampling Data'!I106</f>
        <v>0</v>
      </c>
      <c r="K106" s="18">
        <f>'Sampling Data'!J106</f>
        <v>0</v>
      </c>
      <c r="L106" s="18">
        <f>'Sampling Data'!K106</f>
        <v>0</v>
      </c>
      <c r="M106" s="18">
        <f>'Sampling Data'!L106</f>
        <v>0</v>
      </c>
      <c r="N106" s="18">
        <f>'Sampling Data'!M106</f>
        <v>0</v>
      </c>
      <c r="O106" s="17">
        <f>'Sampling Data'!N106</f>
        <v>0</v>
      </c>
      <c r="P106" s="17">
        <f>'Sampling Data'!O106</f>
        <v>7</v>
      </c>
      <c r="Q106" s="17">
        <f>'Sampling Data'!P106</f>
        <v>161</v>
      </c>
      <c r="R106" s="17">
        <f>'Sampling Data'!AJ106</f>
        <v>0</v>
      </c>
      <c r="S106" s="111"/>
      <c r="T106" s="111"/>
      <c r="U106" s="112"/>
      <c r="V106" s="112"/>
      <c r="W106" s="111"/>
      <c r="X106" s="111"/>
      <c r="Y106" s="111"/>
      <c r="Z106" s="111"/>
      <c r="AA106" s="14"/>
      <c r="AB106" s="14"/>
      <c r="AC106" s="14"/>
      <c r="AD106" s="14"/>
      <c r="AE106" s="113" t="str">
        <f>IF(NOT(ISBLANK(Audit[[#This Row],[Audit Winning Candidate]])), Audit[[#This Row],[Audit Winning Candidate]]-Audit[[#This Row],[Winning Candidate]], "")</f>
        <v/>
      </c>
      <c r="AF106" s="17" t="str">
        <f>IF(NOT(ISBLANK(Audit[[#This Row],[Audit Losing Candidate]])), Audit[[#This Row],[Audit Losing Candidate]]-Audit[[#This Row],[Losing Candidate]], "")</f>
        <v/>
      </c>
      <c r="AG106" s="17" t="str">
        <f>IF(NOT(ISBLANK(Audit[[#This Row],[Audit Candidate 3]])), Audit[[#This Row],[Audit Candidate 3]]-Audit[[#This Row],[Candidate 3]], "")</f>
        <v/>
      </c>
      <c r="AH106" s="17" t="str">
        <f>IF(NOT(ISBLANK(Audit[[#This Row],[Audit Candidate 4]])),Audit[[#This Row],[Audit Candidate 4]]-Audit[[#This Row],[Candidate 4]], "")</f>
        <v/>
      </c>
      <c r="AI106" s="17" t="str">
        <f>IF(NOT(ISBLANK(Audit[[#This Row],[Audit Candidate 5]])), Audit[[#This Row],[Audit Candidate 5]]-Audit[[#This Row],[Candidate 5]], "")</f>
        <v/>
      </c>
      <c r="AJ106" s="17" t="str">
        <f>IF(NOT(ISBLANK(Audit[[#This Row],[Audit Candidate 6]])), Audit[[#This Row],[Audit Candidate 6]]-Audit[[#This Row],[Candidate 6]], "")</f>
        <v/>
      </c>
      <c r="AK106" s="17" t="str">
        <f>IF(NOT(ISBLANK(Audit[[#This Row],[Audit Candidate 7]])), Audit[[#This Row],[Audit Candidate 7]]-Audit[[#This Row],[Candidate 7]], "")</f>
        <v/>
      </c>
      <c r="AL106" s="17" t="str">
        <f>IF(NOT(ISBLANK(Audit[[#This Row],[Audit Candidate 8]])), Audit[[#This Row],[Audit Candidate 8]]-Audit[[#This Row],[Candidate 8]], "")</f>
        <v/>
      </c>
      <c r="AM106" s="17" t="str">
        <f>IF(NOT(ISBLANK(Audit[[#This Row],[Audit Candidate 9]])), Audit[[#This Row],[Audit Candidate 9]]-Audit[[#This Row],[Candidate 9]], "")</f>
        <v/>
      </c>
      <c r="AN106" s="17" t="str">
        <f>IF(NOT(ISBLANK(Audit[[#This Row],[Audit Candidate 10]])), Audit[[#This Row],[Audit Candidate 10]]-Audit[[#This Row],[Candidate 10]], "")</f>
        <v/>
      </c>
      <c r="AO106" s="17" t="str">
        <f>IF(NOT(ISBLANK(Audit[[#This Row],[Audit Candidate 11]])), Audit[[#This Row],[Audit Candidate 11]]-Audit[[#This Row],[Candidate 11]], "")</f>
        <v/>
      </c>
      <c r="AP106" s="17" t="str">
        <f>IF(NOT(ISBLANK(Audit[[#This Row],[Audit Candidate 12]])), Audit[[#This Row],[Audit Candidate 12]]-Audit[[#This Row],[Candidate 12]], "")</f>
        <v/>
      </c>
      <c r="AQ106" s="17">
        <f>SUMIF(Audit[[#This Row],[Difference Winner]:[Difference Candidate 12]], "&gt;0")</f>
        <v>0</v>
      </c>
      <c r="AR106" s="17">
        <f>SUM(Audit[[#This Row],[Difference Winner]:[Difference Candidate 12]])</f>
        <v>0</v>
      </c>
      <c r="AS106" s="17">
        <f>IF(Audit[[#This Row],[Times p Drawn - With Replacement]]&gt;0, IF(Audit[[#This Row],[Canceled Differences]]&lt;0, Audit[[#This Row],[Max Differences]]+ABS(Audit[[#This Row],[Canceled Differences]]), Audit[[#This Row],[Max Differences]]), 0)</f>
        <v>0</v>
      </c>
      <c r="AT106" s="17">
        <f>'Sampling Data'!AB106</f>
        <v>1.2264471227295876E-2</v>
      </c>
      <c r="AU106" s="17">
        <f>IF(
      SUM(Audit[[#This Row],[Audit Losing Candidate]:[Audit Candidate 12]])
      &lt;&gt;0,
      (Audit[[#This Row],[Winning Candidate]]-Audit[[#This Row],[Losing Candidate]]-(Audit[[#This Row],[Audit Winning Candidate]]-Audit[[#This Row],[Audit Losing Candidate]]))/(Audit[[#Totals],[Winning Candidate]]-Audit[[#Totals],[Losing Candidate]]),
      0
)</f>
        <v>0</v>
      </c>
      <c r="AV1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 s="17">
        <f>IF(Audit[[#This Row],[Max Relative Error (ep)]] = 0, 0, Audit[[#This Row],[Max Relative Error (ep)]]/Audit[[#This Row],[Error Bound (up) - Max. possible relative overstatement]])</f>
        <v>0</v>
      </c>
      <c r="BH1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6" s="17">
        <f t="shared" si="2"/>
        <v>1</v>
      </c>
      <c r="BJ106" s="17">
        <f>PRODUCT($BI$5:BI106)</f>
        <v>0.89578479606289008</v>
      </c>
      <c r="BK106" s="19">
        <f>1 - Audit[[#This Row],[K-M P Value]]</f>
        <v>0.10421520393710992</v>
      </c>
      <c r="BL106" s="17" t="str">
        <f>IF(Audit[[#This Row],[K-M P Value]]&gt;1-'General Info'!$B$12,"Continue", "Stop")</f>
        <v>Continue</v>
      </c>
      <c r="BM106" s="22" t="b">
        <f>IF(Audit[[#This Row],[Status - Continue or stop audit]] = "Continue", TRUE, IF(BL105 = "Continue", TRUE, FALSE))</f>
        <v>1</v>
      </c>
      <c r="BN106" s="22"/>
    </row>
    <row r="107" spans="1:66" ht="15" customHeight="1" x14ac:dyDescent="0.35">
      <c r="A107" s="17">
        <f>'Sampling Data'!AI107</f>
        <v>3</v>
      </c>
      <c r="B107" s="17" t="str">
        <f>'Sampling Data'!A107</f>
        <v>1504 CIN 15-D   (AV)</v>
      </c>
      <c r="C107" s="17">
        <f>'Sampling Data'!B107</f>
        <v>222</v>
      </c>
      <c r="D107" s="17">
        <f>'Sampling Data'!C107</f>
        <v>21</v>
      </c>
      <c r="E107" s="18">
        <f>'Sampling Data'!D107</f>
        <v>0</v>
      </c>
      <c r="F107" s="18">
        <f>'Sampling Data'!E107</f>
        <v>0</v>
      </c>
      <c r="G107" s="18">
        <f>'Sampling Data'!F107</f>
        <v>0</v>
      </c>
      <c r="H107" s="18">
        <f>'Sampling Data'!G107</f>
        <v>0</v>
      </c>
      <c r="I107" s="18">
        <f>'Sampling Data'!H107</f>
        <v>0</v>
      </c>
      <c r="J107" s="18">
        <f>'Sampling Data'!I107</f>
        <v>0</v>
      </c>
      <c r="K107" s="18">
        <f>'Sampling Data'!J107</f>
        <v>0</v>
      </c>
      <c r="L107" s="18">
        <f>'Sampling Data'!K107</f>
        <v>0</v>
      </c>
      <c r="M107" s="18">
        <f>'Sampling Data'!L107</f>
        <v>0</v>
      </c>
      <c r="N107" s="18">
        <f>'Sampling Data'!M107</f>
        <v>0</v>
      </c>
      <c r="O107" s="17">
        <f>'Sampling Data'!N107</f>
        <v>0</v>
      </c>
      <c r="P107" s="17">
        <f>'Sampling Data'!O107</f>
        <v>14</v>
      </c>
      <c r="Q107" s="17">
        <f>'Sampling Data'!P107</f>
        <v>257</v>
      </c>
      <c r="R107" s="17">
        <f>'Sampling Data'!AJ107</f>
        <v>1</v>
      </c>
      <c r="S107" s="111">
        <v>222</v>
      </c>
      <c r="T107" s="111">
        <v>21</v>
      </c>
      <c r="U107" s="112"/>
      <c r="V107" s="112"/>
      <c r="W107" s="111"/>
      <c r="X107" s="111"/>
      <c r="Y107" s="111"/>
      <c r="Z107" s="111"/>
      <c r="AA107" s="14"/>
      <c r="AB107" s="14"/>
      <c r="AC107" s="14"/>
      <c r="AD107" s="14"/>
      <c r="AE107" s="113">
        <f>IF(NOT(ISBLANK(Audit[[#This Row],[Audit Winning Candidate]])), Audit[[#This Row],[Audit Winning Candidate]]-Audit[[#This Row],[Winning Candidate]], "")</f>
        <v>0</v>
      </c>
      <c r="AF107" s="17">
        <f>IF(NOT(ISBLANK(Audit[[#This Row],[Audit Losing Candidate]])), Audit[[#This Row],[Audit Losing Candidate]]-Audit[[#This Row],[Losing Candidate]], "")</f>
        <v>0</v>
      </c>
      <c r="AG107" s="17" t="str">
        <f>IF(NOT(ISBLANK(Audit[[#This Row],[Audit Candidate 3]])), Audit[[#This Row],[Audit Candidate 3]]-Audit[[#This Row],[Candidate 3]], "")</f>
        <v/>
      </c>
      <c r="AH107" s="17" t="str">
        <f>IF(NOT(ISBLANK(Audit[[#This Row],[Audit Candidate 4]])),Audit[[#This Row],[Audit Candidate 4]]-Audit[[#This Row],[Candidate 4]], "")</f>
        <v/>
      </c>
      <c r="AI107" s="17" t="str">
        <f>IF(NOT(ISBLANK(Audit[[#This Row],[Audit Candidate 5]])), Audit[[#This Row],[Audit Candidate 5]]-Audit[[#This Row],[Candidate 5]], "")</f>
        <v/>
      </c>
      <c r="AJ107" s="17" t="str">
        <f>IF(NOT(ISBLANK(Audit[[#This Row],[Audit Candidate 6]])), Audit[[#This Row],[Audit Candidate 6]]-Audit[[#This Row],[Candidate 6]], "")</f>
        <v/>
      </c>
      <c r="AK107" s="17" t="str">
        <f>IF(NOT(ISBLANK(Audit[[#This Row],[Audit Candidate 7]])), Audit[[#This Row],[Audit Candidate 7]]-Audit[[#This Row],[Candidate 7]], "")</f>
        <v/>
      </c>
      <c r="AL107" s="17" t="str">
        <f>IF(NOT(ISBLANK(Audit[[#This Row],[Audit Candidate 8]])), Audit[[#This Row],[Audit Candidate 8]]-Audit[[#This Row],[Candidate 8]], "")</f>
        <v/>
      </c>
      <c r="AM107" s="17" t="str">
        <f>IF(NOT(ISBLANK(Audit[[#This Row],[Audit Candidate 9]])), Audit[[#This Row],[Audit Candidate 9]]-Audit[[#This Row],[Candidate 9]], "")</f>
        <v/>
      </c>
      <c r="AN107" s="17" t="str">
        <f>IF(NOT(ISBLANK(Audit[[#This Row],[Audit Candidate 10]])), Audit[[#This Row],[Audit Candidate 10]]-Audit[[#This Row],[Candidate 10]], "")</f>
        <v/>
      </c>
      <c r="AO107" s="17" t="str">
        <f>IF(NOT(ISBLANK(Audit[[#This Row],[Audit Candidate 11]])), Audit[[#This Row],[Audit Candidate 11]]-Audit[[#This Row],[Candidate 11]], "")</f>
        <v/>
      </c>
      <c r="AP107" s="17" t="str">
        <f>IF(NOT(ISBLANK(Audit[[#This Row],[Audit Candidate 12]])), Audit[[#This Row],[Audit Candidate 12]]-Audit[[#This Row],[Candidate 12]], "")</f>
        <v/>
      </c>
      <c r="AQ107" s="17">
        <f>SUMIF(Audit[[#This Row],[Difference Winner]:[Difference Candidate 12]], "&gt;0")</f>
        <v>0</v>
      </c>
      <c r="AR107" s="17">
        <f>SUM(Audit[[#This Row],[Difference Winner]:[Difference Candidate 12]])</f>
        <v>0</v>
      </c>
      <c r="AS107" s="17">
        <f>IF(Audit[[#This Row],[Times p Drawn - With Replacement]]&gt;0, IF(Audit[[#This Row],[Canceled Differences]]&lt;0, Audit[[#This Row],[Max Differences]]+ABS(Audit[[#This Row],[Canceled Differences]]), Audit[[#This Row],[Max Differences]]), 0)</f>
        <v>0</v>
      </c>
      <c r="AT107" s="17">
        <f>'Sampling Data'!AB107</f>
        <v>1.9436428450178237E-2</v>
      </c>
      <c r="AU107" s="17">
        <f>IF(
      SUM(Audit[[#This Row],[Audit Losing Candidate]:[Audit Candidate 12]])
      &lt;&gt;0,
      (Audit[[#This Row],[Winning Candidate]]-Audit[[#This Row],[Losing Candidate]]-(Audit[[#This Row],[Audit Winning Candidate]]-Audit[[#This Row],[Audit Losing Candidate]]))/(Audit[[#Totals],[Winning Candidate]]-Audit[[#Totals],[Losing Candidate]]),
      0
)</f>
        <v>0</v>
      </c>
      <c r="AV1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 s="17">
        <f>IF(Audit[[#This Row],[Max Relative Error (ep)]] = 0, 0, Audit[[#This Row],[Max Relative Error (ep)]]/Audit[[#This Row],[Error Bound (up) - Max. possible relative overstatement]])</f>
        <v>0</v>
      </c>
      <c r="BH1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7" s="17">
        <f t="shared" si="2"/>
        <v>0.94645908314247273</v>
      </c>
      <c r="BJ107" s="17">
        <f>PRODUCT($BI$5:BI107)</f>
        <v>0.84782365677464988</v>
      </c>
      <c r="BK107" s="19">
        <f>1 - Audit[[#This Row],[K-M P Value]]</f>
        <v>0.15217634322535012</v>
      </c>
      <c r="BL107" s="17" t="str">
        <f>IF(Audit[[#This Row],[K-M P Value]]&gt;1-'General Info'!$B$12,"Continue", "Stop")</f>
        <v>Continue</v>
      </c>
      <c r="BM107" s="22" t="b">
        <f>IF(Audit[[#This Row],[Status - Continue or stop audit]] = "Continue", TRUE, IF(BL106 = "Continue", TRUE, FALSE))</f>
        <v>1</v>
      </c>
      <c r="BN107" s="22"/>
    </row>
    <row r="108" spans="1:66" ht="15" customHeight="1" x14ac:dyDescent="0.35">
      <c r="A108" s="17">
        <f>'Sampling Data'!AI108</f>
        <v>10</v>
      </c>
      <c r="B108" s="17" t="str">
        <f>'Sampling Data'!A108</f>
        <v>1505 CIN 15-E   (AV)</v>
      </c>
      <c r="C108" s="17">
        <f>'Sampling Data'!B108</f>
        <v>371</v>
      </c>
      <c r="D108" s="17">
        <f>'Sampling Data'!C108</f>
        <v>70</v>
      </c>
      <c r="E108" s="18">
        <f>'Sampling Data'!D108</f>
        <v>0</v>
      </c>
      <c r="F108" s="18">
        <f>'Sampling Data'!E108</f>
        <v>0</v>
      </c>
      <c r="G108" s="18">
        <f>'Sampling Data'!F108</f>
        <v>0</v>
      </c>
      <c r="H108" s="18">
        <f>'Sampling Data'!G108</f>
        <v>0</v>
      </c>
      <c r="I108" s="18">
        <f>'Sampling Data'!H108</f>
        <v>0</v>
      </c>
      <c r="J108" s="18">
        <f>'Sampling Data'!I108</f>
        <v>0</v>
      </c>
      <c r="K108" s="18">
        <f>'Sampling Data'!J108</f>
        <v>0</v>
      </c>
      <c r="L108" s="18">
        <f>'Sampling Data'!K108</f>
        <v>0</v>
      </c>
      <c r="M108" s="18">
        <f>'Sampling Data'!L108</f>
        <v>0</v>
      </c>
      <c r="N108" s="18">
        <f>'Sampling Data'!M108</f>
        <v>0</v>
      </c>
      <c r="O108" s="17">
        <f>'Sampling Data'!N108</f>
        <v>0</v>
      </c>
      <c r="P108" s="17">
        <f>'Sampling Data'!O108</f>
        <v>16</v>
      </c>
      <c r="Q108" s="17">
        <f>'Sampling Data'!P108</f>
        <v>457</v>
      </c>
      <c r="R108" s="17">
        <f>'Sampling Data'!AJ108</f>
        <v>1</v>
      </c>
      <c r="S108" s="111">
        <v>371</v>
      </c>
      <c r="T108" s="111">
        <v>70</v>
      </c>
      <c r="U108" s="112"/>
      <c r="V108" s="112"/>
      <c r="W108" s="111"/>
      <c r="X108" s="111"/>
      <c r="Y108" s="111"/>
      <c r="Z108" s="111"/>
      <c r="AA108" s="14"/>
      <c r="AB108" s="14"/>
      <c r="AC108" s="14"/>
      <c r="AD108" s="14"/>
      <c r="AE108" s="113">
        <f>IF(NOT(ISBLANK(Audit[[#This Row],[Audit Winning Candidate]])), Audit[[#This Row],[Audit Winning Candidate]]-Audit[[#This Row],[Winning Candidate]], "")</f>
        <v>0</v>
      </c>
      <c r="AF108" s="17">
        <f>IF(NOT(ISBLANK(Audit[[#This Row],[Audit Losing Candidate]])), Audit[[#This Row],[Audit Losing Candidate]]-Audit[[#This Row],[Losing Candidate]], "")</f>
        <v>0</v>
      </c>
      <c r="AG108" s="17" t="str">
        <f>IF(NOT(ISBLANK(Audit[[#This Row],[Audit Candidate 3]])), Audit[[#This Row],[Audit Candidate 3]]-Audit[[#This Row],[Candidate 3]], "")</f>
        <v/>
      </c>
      <c r="AH108" s="17" t="str">
        <f>IF(NOT(ISBLANK(Audit[[#This Row],[Audit Candidate 4]])),Audit[[#This Row],[Audit Candidate 4]]-Audit[[#This Row],[Candidate 4]], "")</f>
        <v/>
      </c>
      <c r="AI108" s="17" t="str">
        <f>IF(NOT(ISBLANK(Audit[[#This Row],[Audit Candidate 5]])), Audit[[#This Row],[Audit Candidate 5]]-Audit[[#This Row],[Candidate 5]], "")</f>
        <v/>
      </c>
      <c r="AJ108" s="17" t="str">
        <f>IF(NOT(ISBLANK(Audit[[#This Row],[Audit Candidate 6]])), Audit[[#This Row],[Audit Candidate 6]]-Audit[[#This Row],[Candidate 6]], "")</f>
        <v/>
      </c>
      <c r="AK108" s="17" t="str">
        <f>IF(NOT(ISBLANK(Audit[[#This Row],[Audit Candidate 7]])), Audit[[#This Row],[Audit Candidate 7]]-Audit[[#This Row],[Candidate 7]], "")</f>
        <v/>
      </c>
      <c r="AL108" s="17" t="str">
        <f>IF(NOT(ISBLANK(Audit[[#This Row],[Audit Candidate 8]])), Audit[[#This Row],[Audit Candidate 8]]-Audit[[#This Row],[Candidate 8]], "")</f>
        <v/>
      </c>
      <c r="AM108" s="17" t="str">
        <f>IF(NOT(ISBLANK(Audit[[#This Row],[Audit Candidate 9]])), Audit[[#This Row],[Audit Candidate 9]]-Audit[[#This Row],[Candidate 9]], "")</f>
        <v/>
      </c>
      <c r="AN108" s="17" t="str">
        <f>IF(NOT(ISBLANK(Audit[[#This Row],[Audit Candidate 10]])), Audit[[#This Row],[Audit Candidate 10]]-Audit[[#This Row],[Candidate 10]], "")</f>
        <v/>
      </c>
      <c r="AO108" s="17" t="str">
        <f>IF(NOT(ISBLANK(Audit[[#This Row],[Audit Candidate 11]])), Audit[[#This Row],[Audit Candidate 11]]-Audit[[#This Row],[Candidate 11]], "")</f>
        <v/>
      </c>
      <c r="AP108" s="17" t="str">
        <f>IF(NOT(ISBLANK(Audit[[#This Row],[Audit Candidate 12]])), Audit[[#This Row],[Audit Candidate 12]]-Audit[[#This Row],[Candidate 12]], "")</f>
        <v/>
      </c>
      <c r="AQ108" s="17">
        <f>SUMIF(Audit[[#This Row],[Difference Winner]:[Difference Candidate 12]], "&gt;0")</f>
        <v>0</v>
      </c>
      <c r="AR108" s="17">
        <f>SUM(Audit[[#This Row],[Difference Winner]:[Difference Candidate 12]])</f>
        <v>0</v>
      </c>
      <c r="AS108" s="17">
        <f>IF(Audit[[#This Row],[Times p Drawn - With Replacement]]&gt;0, IF(Audit[[#This Row],[Canceled Differences]]&lt;0, Audit[[#This Row],[Max Differences]]+ABS(Audit[[#This Row],[Canceled Differences]]), Audit[[#This Row],[Max Differences]]), 0)</f>
        <v>0</v>
      </c>
      <c r="AT108" s="17">
        <f>'Sampling Data'!AB108</f>
        <v>3.2167713461212021E-2</v>
      </c>
      <c r="AU108" s="17">
        <f>IF(
      SUM(Audit[[#This Row],[Audit Losing Candidate]:[Audit Candidate 12]])
      &lt;&gt;0,
      (Audit[[#This Row],[Winning Candidate]]-Audit[[#This Row],[Losing Candidate]]-(Audit[[#This Row],[Audit Winning Candidate]]-Audit[[#This Row],[Audit Losing Candidate]]))/(Audit[[#Totals],[Winning Candidate]]-Audit[[#Totals],[Losing Candidate]]),
      0
)</f>
        <v>0</v>
      </c>
      <c r="AV1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 s="17">
        <f>IF(Audit[[#This Row],[Max Relative Error (ep)]] = 0, 0, Audit[[#This Row],[Max Relative Error (ep)]]/Audit[[#This Row],[Error Bound (up) - Max. possible relative overstatement]])</f>
        <v>0</v>
      </c>
      <c r="BH1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8" s="17">
        <f t="shared" si="2"/>
        <v>0.94645908314247273</v>
      </c>
      <c r="BJ108" s="17">
        <f>PRODUCT($BI$5:BI108)</f>
        <v>0.80243040085743367</v>
      </c>
      <c r="BK108" s="19">
        <f>1 - Audit[[#This Row],[K-M P Value]]</f>
        <v>0.19756959914256633</v>
      </c>
      <c r="BL108" s="17" t="str">
        <f>IF(Audit[[#This Row],[K-M P Value]]&gt;1-'General Info'!$B$12,"Continue", "Stop")</f>
        <v>Continue</v>
      </c>
      <c r="BM108" s="22" t="b">
        <f>IF(Audit[[#This Row],[Status - Continue or stop audit]] = "Continue", TRUE, IF(BL107 = "Continue", TRUE, FALSE))</f>
        <v>1</v>
      </c>
      <c r="BN108" s="22"/>
    </row>
    <row r="109" spans="1:66" ht="15" hidden="1" customHeight="1" x14ac:dyDescent="0.35">
      <c r="A109" s="17" t="str">
        <f>'Sampling Data'!AI109</f>
        <v/>
      </c>
      <c r="B109" s="17" t="str">
        <f>'Sampling Data'!A109</f>
        <v>1506 CIN 15-F   (AV)</v>
      </c>
      <c r="C109" s="17">
        <f>'Sampling Data'!B109</f>
        <v>360</v>
      </c>
      <c r="D109" s="17">
        <f>'Sampling Data'!C109</f>
        <v>52</v>
      </c>
      <c r="E109" s="18">
        <f>'Sampling Data'!D109</f>
        <v>0</v>
      </c>
      <c r="F109" s="18">
        <f>'Sampling Data'!E109</f>
        <v>0</v>
      </c>
      <c r="G109" s="18">
        <f>'Sampling Data'!F109</f>
        <v>0</v>
      </c>
      <c r="H109" s="18">
        <f>'Sampling Data'!G109</f>
        <v>0</v>
      </c>
      <c r="I109" s="18">
        <f>'Sampling Data'!H109</f>
        <v>0</v>
      </c>
      <c r="J109" s="18">
        <f>'Sampling Data'!I109</f>
        <v>0</v>
      </c>
      <c r="K109" s="18">
        <f>'Sampling Data'!J109</f>
        <v>0</v>
      </c>
      <c r="L109" s="18">
        <f>'Sampling Data'!K109</f>
        <v>0</v>
      </c>
      <c r="M109" s="18">
        <f>'Sampling Data'!L109</f>
        <v>0</v>
      </c>
      <c r="N109" s="18">
        <f>'Sampling Data'!M109</f>
        <v>0</v>
      </c>
      <c r="O109" s="17">
        <f>'Sampling Data'!N109</f>
        <v>0</v>
      </c>
      <c r="P109" s="17">
        <f>'Sampling Data'!O109</f>
        <v>16</v>
      </c>
      <c r="Q109" s="17">
        <f>'Sampling Data'!P109</f>
        <v>428</v>
      </c>
      <c r="R109" s="17">
        <f>'Sampling Data'!AJ109</f>
        <v>0</v>
      </c>
      <c r="S109" s="111"/>
      <c r="T109" s="111"/>
      <c r="U109" s="112"/>
      <c r="V109" s="112"/>
      <c r="W109" s="111"/>
      <c r="X109" s="111"/>
      <c r="Y109" s="111"/>
      <c r="Z109" s="111"/>
      <c r="AA109" s="14"/>
      <c r="AB109" s="14"/>
      <c r="AC109" s="14"/>
      <c r="AD109" s="14"/>
      <c r="AE109" s="113" t="str">
        <f>IF(NOT(ISBLANK(Audit[[#This Row],[Audit Winning Candidate]])), Audit[[#This Row],[Audit Winning Candidate]]-Audit[[#This Row],[Winning Candidate]], "")</f>
        <v/>
      </c>
      <c r="AF109" s="17" t="str">
        <f>IF(NOT(ISBLANK(Audit[[#This Row],[Audit Losing Candidate]])), Audit[[#This Row],[Audit Losing Candidate]]-Audit[[#This Row],[Losing Candidate]], "")</f>
        <v/>
      </c>
      <c r="AG109" s="17" t="str">
        <f>IF(NOT(ISBLANK(Audit[[#This Row],[Audit Candidate 3]])), Audit[[#This Row],[Audit Candidate 3]]-Audit[[#This Row],[Candidate 3]], "")</f>
        <v/>
      </c>
      <c r="AH109" s="17" t="str">
        <f>IF(NOT(ISBLANK(Audit[[#This Row],[Audit Candidate 4]])),Audit[[#This Row],[Audit Candidate 4]]-Audit[[#This Row],[Candidate 4]], "")</f>
        <v/>
      </c>
      <c r="AI109" s="17" t="str">
        <f>IF(NOT(ISBLANK(Audit[[#This Row],[Audit Candidate 5]])), Audit[[#This Row],[Audit Candidate 5]]-Audit[[#This Row],[Candidate 5]], "")</f>
        <v/>
      </c>
      <c r="AJ109" s="17" t="str">
        <f>IF(NOT(ISBLANK(Audit[[#This Row],[Audit Candidate 6]])), Audit[[#This Row],[Audit Candidate 6]]-Audit[[#This Row],[Candidate 6]], "")</f>
        <v/>
      </c>
      <c r="AK109" s="17" t="str">
        <f>IF(NOT(ISBLANK(Audit[[#This Row],[Audit Candidate 7]])), Audit[[#This Row],[Audit Candidate 7]]-Audit[[#This Row],[Candidate 7]], "")</f>
        <v/>
      </c>
      <c r="AL109" s="17" t="str">
        <f>IF(NOT(ISBLANK(Audit[[#This Row],[Audit Candidate 8]])), Audit[[#This Row],[Audit Candidate 8]]-Audit[[#This Row],[Candidate 8]], "")</f>
        <v/>
      </c>
      <c r="AM109" s="17" t="str">
        <f>IF(NOT(ISBLANK(Audit[[#This Row],[Audit Candidate 9]])), Audit[[#This Row],[Audit Candidate 9]]-Audit[[#This Row],[Candidate 9]], "")</f>
        <v/>
      </c>
      <c r="AN109" s="17" t="str">
        <f>IF(NOT(ISBLANK(Audit[[#This Row],[Audit Candidate 10]])), Audit[[#This Row],[Audit Candidate 10]]-Audit[[#This Row],[Candidate 10]], "")</f>
        <v/>
      </c>
      <c r="AO109" s="17" t="str">
        <f>IF(NOT(ISBLANK(Audit[[#This Row],[Audit Candidate 11]])), Audit[[#This Row],[Audit Candidate 11]]-Audit[[#This Row],[Candidate 11]], "")</f>
        <v/>
      </c>
      <c r="AP109" s="17" t="str">
        <f>IF(NOT(ISBLANK(Audit[[#This Row],[Audit Candidate 12]])), Audit[[#This Row],[Audit Candidate 12]]-Audit[[#This Row],[Candidate 12]], "")</f>
        <v/>
      </c>
      <c r="AQ109" s="17">
        <f>SUMIF(Audit[[#This Row],[Difference Winner]:[Difference Candidate 12]], "&gt;0")</f>
        <v>0</v>
      </c>
      <c r="AR109" s="17">
        <f>SUM(Audit[[#This Row],[Difference Winner]:[Difference Candidate 12]])</f>
        <v>0</v>
      </c>
      <c r="AS109" s="17">
        <f>IF(Audit[[#This Row],[Times p Drawn - With Replacement]]&gt;0, IF(Audit[[#This Row],[Canceled Differences]]&lt;0, Audit[[#This Row],[Max Differences]]+ABS(Audit[[#This Row],[Canceled Differences]]), Audit[[#This Row],[Max Differences]]), 0)</f>
        <v>0</v>
      </c>
      <c r="AT109" s="17">
        <f>'Sampling Data'!AB109</f>
        <v>3.1234085893736208E-2</v>
      </c>
      <c r="AU109" s="17">
        <f>IF(
      SUM(Audit[[#This Row],[Audit Losing Candidate]:[Audit Candidate 12]])
      &lt;&gt;0,
      (Audit[[#This Row],[Winning Candidate]]-Audit[[#This Row],[Losing Candidate]]-(Audit[[#This Row],[Audit Winning Candidate]]-Audit[[#This Row],[Audit Losing Candidate]]))/(Audit[[#Totals],[Winning Candidate]]-Audit[[#Totals],[Losing Candidate]]),
      0
)</f>
        <v>0</v>
      </c>
      <c r="AV1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 s="17">
        <f>IF(Audit[[#This Row],[Max Relative Error (ep)]] = 0, 0, Audit[[#This Row],[Max Relative Error (ep)]]/Audit[[#This Row],[Error Bound (up) - Max. possible relative overstatement]])</f>
        <v>0</v>
      </c>
      <c r="BH1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9" s="17">
        <f t="shared" si="2"/>
        <v>1</v>
      </c>
      <c r="BJ109" s="17">
        <f>PRODUCT($BI$5:BI109)</f>
        <v>0.80243040085743367</v>
      </c>
      <c r="BK109" s="19">
        <f>1 - Audit[[#This Row],[K-M P Value]]</f>
        <v>0.19756959914256633</v>
      </c>
      <c r="BL109" s="17" t="str">
        <f>IF(Audit[[#This Row],[K-M P Value]]&gt;1-'General Info'!$B$12,"Continue", "Stop")</f>
        <v>Continue</v>
      </c>
      <c r="BM109" s="22" t="b">
        <f>IF(Audit[[#This Row],[Status - Continue or stop audit]] = "Continue", TRUE, IF(BL108 = "Continue", TRUE, FALSE))</f>
        <v>1</v>
      </c>
      <c r="BN109" s="22"/>
    </row>
    <row r="110" spans="1:66" ht="15" hidden="1" customHeight="1" x14ac:dyDescent="0.35">
      <c r="A110" s="17" t="str">
        <f>'Sampling Data'!AI110</f>
        <v/>
      </c>
      <c r="B110" s="17" t="str">
        <f>'Sampling Data'!A110</f>
        <v>1507 CIN 15-G   (AV)</v>
      </c>
      <c r="C110" s="17">
        <f>'Sampling Data'!B110</f>
        <v>184</v>
      </c>
      <c r="D110" s="17">
        <f>'Sampling Data'!C110</f>
        <v>39</v>
      </c>
      <c r="E110" s="18">
        <f>'Sampling Data'!D110</f>
        <v>0</v>
      </c>
      <c r="F110" s="18">
        <f>'Sampling Data'!E110</f>
        <v>0</v>
      </c>
      <c r="G110" s="18">
        <f>'Sampling Data'!F110</f>
        <v>0</v>
      </c>
      <c r="H110" s="18">
        <f>'Sampling Data'!G110</f>
        <v>0</v>
      </c>
      <c r="I110" s="18">
        <f>'Sampling Data'!H110</f>
        <v>0</v>
      </c>
      <c r="J110" s="18">
        <f>'Sampling Data'!I110</f>
        <v>0</v>
      </c>
      <c r="K110" s="18">
        <f>'Sampling Data'!J110</f>
        <v>0</v>
      </c>
      <c r="L110" s="18">
        <f>'Sampling Data'!K110</f>
        <v>0</v>
      </c>
      <c r="M110" s="18">
        <f>'Sampling Data'!L110</f>
        <v>0</v>
      </c>
      <c r="N110" s="18">
        <f>'Sampling Data'!M110</f>
        <v>0</v>
      </c>
      <c r="O110" s="17">
        <f>'Sampling Data'!N110</f>
        <v>0</v>
      </c>
      <c r="P110" s="17">
        <f>'Sampling Data'!O110</f>
        <v>9</v>
      </c>
      <c r="Q110" s="17">
        <f>'Sampling Data'!P110</f>
        <v>232</v>
      </c>
      <c r="R110" s="17">
        <f>'Sampling Data'!AJ110</f>
        <v>0</v>
      </c>
      <c r="S110" s="111"/>
      <c r="T110" s="111"/>
      <c r="U110" s="112"/>
      <c r="V110" s="112"/>
      <c r="W110" s="111"/>
      <c r="X110" s="111"/>
      <c r="Y110" s="111"/>
      <c r="Z110" s="111"/>
      <c r="AA110" s="14"/>
      <c r="AB110" s="14"/>
      <c r="AC110" s="14"/>
      <c r="AD110" s="14"/>
      <c r="AE110" s="113" t="str">
        <f>IF(NOT(ISBLANK(Audit[[#This Row],[Audit Winning Candidate]])), Audit[[#This Row],[Audit Winning Candidate]]-Audit[[#This Row],[Winning Candidate]], "")</f>
        <v/>
      </c>
      <c r="AF110" s="17" t="str">
        <f>IF(NOT(ISBLANK(Audit[[#This Row],[Audit Losing Candidate]])), Audit[[#This Row],[Audit Losing Candidate]]-Audit[[#This Row],[Losing Candidate]], "")</f>
        <v/>
      </c>
      <c r="AG110" s="17" t="str">
        <f>IF(NOT(ISBLANK(Audit[[#This Row],[Audit Candidate 3]])), Audit[[#This Row],[Audit Candidate 3]]-Audit[[#This Row],[Candidate 3]], "")</f>
        <v/>
      </c>
      <c r="AH110" s="17" t="str">
        <f>IF(NOT(ISBLANK(Audit[[#This Row],[Audit Candidate 4]])),Audit[[#This Row],[Audit Candidate 4]]-Audit[[#This Row],[Candidate 4]], "")</f>
        <v/>
      </c>
      <c r="AI110" s="17" t="str">
        <f>IF(NOT(ISBLANK(Audit[[#This Row],[Audit Candidate 5]])), Audit[[#This Row],[Audit Candidate 5]]-Audit[[#This Row],[Candidate 5]], "")</f>
        <v/>
      </c>
      <c r="AJ110" s="17" t="str">
        <f>IF(NOT(ISBLANK(Audit[[#This Row],[Audit Candidate 6]])), Audit[[#This Row],[Audit Candidate 6]]-Audit[[#This Row],[Candidate 6]], "")</f>
        <v/>
      </c>
      <c r="AK110" s="17" t="str">
        <f>IF(NOT(ISBLANK(Audit[[#This Row],[Audit Candidate 7]])), Audit[[#This Row],[Audit Candidate 7]]-Audit[[#This Row],[Candidate 7]], "")</f>
        <v/>
      </c>
      <c r="AL110" s="17" t="str">
        <f>IF(NOT(ISBLANK(Audit[[#This Row],[Audit Candidate 8]])), Audit[[#This Row],[Audit Candidate 8]]-Audit[[#This Row],[Candidate 8]], "")</f>
        <v/>
      </c>
      <c r="AM110" s="17" t="str">
        <f>IF(NOT(ISBLANK(Audit[[#This Row],[Audit Candidate 9]])), Audit[[#This Row],[Audit Candidate 9]]-Audit[[#This Row],[Candidate 9]], "")</f>
        <v/>
      </c>
      <c r="AN110" s="17" t="str">
        <f>IF(NOT(ISBLANK(Audit[[#This Row],[Audit Candidate 10]])), Audit[[#This Row],[Audit Candidate 10]]-Audit[[#This Row],[Candidate 10]], "")</f>
        <v/>
      </c>
      <c r="AO110" s="17" t="str">
        <f>IF(NOT(ISBLANK(Audit[[#This Row],[Audit Candidate 11]])), Audit[[#This Row],[Audit Candidate 11]]-Audit[[#This Row],[Candidate 11]], "")</f>
        <v/>
      </c>
      <c r="AP110" s="17" t="str">
        <f>IF(NOT(ISBLANK(Audit[[#This Row],[Audit Candidate 12]])), Audit[[#This Row],[Audit Candidate 12]]-Audit[[#This Row],[Candidate 12]], "")</f>
        <v/>
      </c>
      <c r="AQ110" s="17">
        <f>SUMIF(Audit[[#This Row],[Difference Winner]:[Difference Candidate 12]], "&gt;0")</f>
        <v>0</v>
      </c>
      <c r="AR110" s="17">
        <f>SUM(Audit[[#This Row],[Difference Winner]:[Difference Candidate 12]])</f>
        <v>0</v>
      </c>
      <c r="AS110" s="17">
        <f>IF(Audit[[#This Row],[Times p Drawn - With Replacement]]&gt;0, IF(Audit[[#This Row],[Canceled Differences]]&lt;0, Audit[[#This Row],[Max Differences]]+ABS(Audit[[#This Row],[Canceled Differences]]), Audit[[#This Row],[Max Differences]]), 0)</f>
        <v>0</v>
      </c>
      <c r="AT110" s="17">
        <f>'Sampling Data'!AB110</f>
        <v>1.5998981497199118E-2</v>
      </c>
      <c r="AU110" s="17">
        <f>IF(
      SUM(Audit[[#This Row],[Audit Losing Candidate]:[Audit Candidate 12]])
      &lt;&gt;0,
      (Audit[[#This Row],[Winning Candidate]]-Audit[[#This Row],[Losing Candidate]]-(Audit[[#This Row],[Audit Winning Candidate]]-Audit[[#This Row],[Audit Losing Candidate]]))/(Audit[[#Totals],[Winning Candidate]]-Audit[[#Totals],[Losing Candidate]]),
      0
)</f>
        <v>0</v>
      </c>
      <c r="AV1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 s="17">
        <f>IF(Audit[[#This Row],[Max Relative Error (ep)]] = 0, 0, Audit[[#This Row],[Max Relative Error (ep)]]/Audit[[#This Row],[Error Bound (up) - Max. possible relative overstatement]])</f>
        <v>0</v>
      </c>
      <c r="BH1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0" s="17">
        <f t="shared" si="2"/>
        <v>1</v>
      </c>
      <c r="BJ110" s="17">
        <f>PRODUCT($BI$5:BI110)</f>
        <v>0.80243040085743367</v>
      </c>
      <c r="BK110" s="19">
        <f>1 - Audit[[#This Row],[K-M P Value]]</f>
        <v>0.19756959914256633</v>
      </c>
      <c r="BL110" s="17" t="str">
        <f>IF(Audit[[#This Row],[K-M P Value]]&gt;1-'General Info'!$B$12,"Continue", "Stop")</f>
        <v>Continue</v>
      </c>
      <c r="BM110" s="22" t="b">
        <f>IF(Audit[[#This Row],[Status - Continue or stop audit]] = "Continue", TRUE, IF(BL109 = "Continue", TRUE, FALSE))</f>
        <v>1</v>
      </c>
      <c r="BN110" s="22"/>
    </row>
    <row r="111" spans="1:66" ht="15" hidden="1" customHeight="1" x14ac:dyDescent="0.35">
      <c r="A111" s="17" t="str">
        <f>'Sampling Data'!AI111</f>
        <v/>
      </c>
      <c r="B111" s="17" t="str">
        <f>'Sampling Data'!A111</f>
        <v>1508 CIN 15-H   (AV)</v>
      </c>
      <c r="C111" s="17">
        <f>'Sampling Data'!B111</f>
        <v>413</v>
      </c>
      <c r="D111" s="17">
        <f>'Sampling Data'!C111</f>
        <v>84</v>
      </c>
      <c r="E111" s="18">
        <f>'Sampling Data'!D111</f>
        <v>0</v>
      </c>
      <c r="F111" s="18">
        <f>'Sampling Data'!E111</f>
        <v>0</v>
      </c>
      <c r="G111" s="18">
        <f>'Sampling Data'!F111</f>
        <v>0</v>
      </c>
      <c r="H111" s="18">
        <f>'Sampling Data'!G111</f>
        <v>0</v>
      </c>
      <c r="I111" s="18">
        <f>'Sampling Data'!H111</f>
        <v>0</v>
      </c>
      <c r="J111" s="18">
        <f>'Sampling Data'!I111</f>
        <v>0</v>
      </c>
      <c r="K111" s="18">
        <f>'Sampling Data'!J111</f>
        <v>0</v>
      </c>
      <c r="L111" s="18">
        <f>'Sampling Data'!K111</f>
        <v>0</v>
      </c>
      <c r="M111" s="18">
        <f>'Sampling Data'!L111</f>
        <v>0</v>
      </c>
      <c r="N111" s="18">
        <f>'Sampling Data'!M111</f>
        <v>0</v>
      </c>
      <c r="O111" s="17">
        <f>'Sampling Data'!N111</f>
        <v>1</v>
      </c>
      <c r="P111" s="17">
        <f>'Sampling Data'!O111</f>
        <v>15</v>
      </c>
      <c r="Q111" s="17">
        <f>'Sampling Data'!P111</f>
        <v>513</v>
      </c>
      <c r="R111" s="17">
        <f>'Sampling Data'!AJ111</f>
        <v>0</v>
      </c>
      <c r="S111" s="111"/>
      <c r="T111" s="111"/>
      <c r="U111" s="112"/>
      <c r="V111" s="112"/>
      <c r="W111" s="111"/>
      <c r="X111" s="111"/>
      <c r="Y111" s="111"/>
      <c r="Z111" s="111"/>
      <c r="AA111" s="14"/>
      <c r="AB111" s="14"/>
      <c r="AC111" s="14"/>
      <c r="AD111" s="14"/>
      <c r="AE111" s="113" t="str">
        <f>IF(NOT(ISBLANK(Audit[[#This Row],[Audit Winning Candidate]])), Audit[[#This Row],[Audit Winning Candidate]]-Audit[[#This Row],[Winning Candidate]], "")</f>
        <v/>
      </c>
      <c r="AF111" s="17" t="str">
        <f>IF(NOT(ISBLANK(Audit[[#This Row],[Audit Losing Candidate]])), Audit[[#This Row],[Audit Losing Candidate]]-Audit[[#This Row],[Losing Candidate]], "")</f>
        <v/>
      </c>
      <c r="AG111" s="17" t="str">
        <f>IF(NOT(ISBLANK(Audit[[#This Row],[Audit Candidate 3]])), Audit[[#This Row],[Audit Candidate 3]]-Audit[[#This Row],[Candidate 3]], "")</f>
        <v/>
      </c>
      <c r="AH111" s="17" t="str">
        <f>IF(NOT(ISBLANK(Audit[[#This Row],[Audit Candidate 4]])),Audit[[#This Row],[Audit Candidate 4]]-Audit[[#This Row],[Candidate 4]], "")</f>
        <v/>
      </c>
      <c r="AI111" s="17" t="str">
        <f>IF(NOT(ISBLANK(Audit[[#This Row],[Audit Candidate 5]])), Audit[[#This Row],[Audit Candidate 5]]-Audit[[#This Row],[Candidate 5]], "")</f>
        <v/>
      </c>
      <c r="AJ111" s="17" t="str">
        <f>IF(NOT(ISBLANK(Audit[[#This Row],[Audit Candidate 6]])), Audit[[#This Row],[Audit Candidate 6]]-Audit[[#This Row],[Candidate 6]], "")</f>
        <v/>
      </c>
      <c r="AK111" s="17" t="str">
        <f>IF(NOT(ISBLANK(Audit[[#This Row],[Audit Candidate 7]])), Audit[[#This Row],[Audit Candidate 7]]-Audit[[#This Row],[Candidate 7]], "")</f>
        <v/>
      </c>
      <c r="AL111" s="17" t="str">
        <f>IF(NOT(ISBLANK(Audit[[#This Row],[Audit Candidate 8]])), Audit[[#This Row],[Audit Candidate 8]]-Audit[[#This Row],[Candidate 8]], "")</f>
        <v/>
      </c>
      <c r="AM111" s="17" t="str">
        <f>IF(NOT(ISBLANK(Audit[[#This Row],[Audit Candidate 9]])), Audit[[#This Row],[Audit Candidate 9]]-Audit[[#This Row],[Candidate 9]], "")</f>
        <v/>
      </c>
      <c r="AN111" s="17" t="str">
        <f>IF(NOT(ISBLANK(Audit[[#This Row],[Audit Candidate 10]])), Audit[[#This Row],[Audit Candidate 10]]-Audit[[#This Row],[Candidate 10]], "")</f>
        <v/>
      </c>
      <c r="AO111" s="17" t="str">
        <f>IF(NOT(ISBLANK(Audit[[#This Row],[Audit Candidate 11]])), Audit[[#This Row],[Audit Candidate 11]]-Audit[[#This Row],[Candidate 11]], "")</f>
        <v/>
      </c>
      <c r="AP111" s="17" t="str">
        <f>IF(NOT(ISBLANK(Audit[[#This Row],[Audit Candidate 12]])), Audit[[#This Row],[Audit Candidate 12]]-Audit[[#This Row],[Candidate 12]], "")</f>
        <v/>
      </c>
      <c r="AQ111" s="17">
        <f>SUMIF(Audit[[#This Row],[Difference Winner]:[Difference Candidate 12]], "&gt;0")</f>
        <v>0</v>
      </c>
      <c r="AR111" s="17">
        <f>SUM(Audit[[#This Row],[Difference Winner]:[Difference Candidate 12]])</f>
        <v>0</v>
      </c>
      <c r="AS111" s="17">
        <f>IF(Audit[[#This Row],[Times p Drawn - With Replacement]]&gt;0, IF(Audit[[#This Row],[Canceled Differences]]&lt;0, Audit[[#This Row],[Max Differences]]+ABS(Audit[[#This Row],[Canceled Differences]]), Audit[[#This Row],[Max Differences]]), 0)</f>
        <v>0</v>
      </c>
      <c r="AT111" s="17">
        <f>'Sampling Data'!AB111</f>
        <v>3.5732473264301477E-2</v>
      </c>
      <c r="AU111" s="17">
        <f>IF(
      SUM(Audit[[#This Row],[Audit Losing Candidate]:[Audit Candidate 12]])
      &lt;&gt;0,
      (Audit[[#This Row],[Winning Candidate]]-Audit[[#This Row],[Losing Candidate]]-(Audit[[#This Row],[Audit Winning Candidate]]-Audit[[#This Row],[Audit Losing Candidate]]))/(Audit[[#Totals],[Winning Candidate]]-Audit[[#Totals],[Losing Candidate]]),
      0
)</f>
        <v>0</v>
      </c>
      <c r="AV1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 s="17">
        <f>IF(Audit[[#This Row],[Max Relative Error (ep)]] = 0, 0, Audit[[#This Row],[Max Relative Error (ep)]]/Audit[[#This Row],[Error Bound (up) - Max. possible relative overstatement]])</f>
        <v>0</v>
      </c>
      <c r="BH1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1" s="17">
        <f t="shared" si="2"/>
        <v>1</v>
      </c>
      <c r="BJ111" s="17">
        <f>PRODUCT($BI$5:BI111)</f>
        <v>0.80243040085743367</v>
      </c>
      <c r="BK111" s="19">
        <f>1 - Audit[[#This Row],[K-M P Value]]</f>
        <v>0.19756959914256633</v>
      </c>
      <c r="BL111" s="17" t="str">
        <f>IF(Audit[[#This Row],[K-M P Value]]&gt;1-'General Info'!$B$12,"Continue", "Stop")</f>
        <v>Continue</v>
      </c>
      <c r="BM111" s="22" t="b">
        <f>IF(Audit[[#This Row],[Status - Continue or stop audit]] = "Continue", TRUE, IF(BL110 = "Continue", TRUE, FALSE))</f>
        <v>1</v>
      </c>
      <c r="BN111" s="22"/>
    </row>
    <row r="112" spans="1:66" ht="15" hidden="1" customHeight="1" x14ac:dyDescent="0.35">
      <c r="A112" s="17" t="str">
        <f>'Sampling Data'!AI112</f>
        <v/>
      </c>
      <c r="B112" s="17" t="str">
        <f>'Sampling Data'!A112</f>
        <v>1509 CIN 15-I   (AV)</v>
      </c>
      <c r="C112" s="17">
        <f>'Sampling Data'!B112</f>
        <v>278</v>
      </c>
      <c r="D112" s="17">
        <f>'Sampling Data'!C112</f>
        <v>42</v>
      </c>
      <c r="E112" s="18">
        <f>'Sampling Data'!D112</f>
        <v>0</v>
      </c>
      <c r="F112" s="18">
        <f>'Sampling Data'!E112</f>
        <v>0</v>
      </c>
      <c r="G112" s="18">
        <f>'Sampling Data'!F112</f>
        <v>0</v>
      </c>
      <c r="H112" s="18">
        <f>'Sampling Data'!G112</f>
        <v>0</v>
      </c>
      <c r="I112" s="18">
        <f>'Sampling Data'!H112</f>
        <v>0</v>
      </c>
      <c r="J112" s="18">
        <f>'Sampling Data'!I112</f>
        <v>0</v>
      </c>
      <c r="K112" s="18">
        <f>'Sampling Data'!J112</f>
        <v>0</v>
      </c>
      <c r="L112" s="18">
        <f>'Sampling Data'!K112</f>
        <v>0</v>
      </c>
      <c r="M112" s="18">
        <f>'Sampling Data'!L112</f>
        <v>0</v>
      </c>
      <c r="N112" s="18">
        <f>'Sampling Data'!M112</f>
        <v>0</v>
      </c>
      <c r="O112" s="17">
        <f>'Sampling Data'!N112</f>
        <v>0</v>
      </c>
      <c r="P112" s="17">
        <f>'Sampling Data'!O112</f>
        <v>12</v>
      </c>
      <c r="Q112" s="17">
        <f>'Sampling Data'!P112</f>
        <v>332</v>
      </c>
      <c r="R112" s="17">
        <f>'Sampling Data'!AJ112</f>
        <v>0</v>
      </c>
      <c r="S112" s="111"/>
      <c r="T112" s="111"/>
      <c r="U112" s="112"/>
      <c r="V112" s="112"/>
      <c r="W112" s="111"/>
      <c r="X112" s="111"/>
      <c r="Y112" s="111"/>
      <c r="Z112" s="111"/>
      <c r="AA112" s="14"/>
      <c r="AB112" s="14"/>
      <c r="AC112" s="14"/>
      <c r="AD112" s="14"/>
      <c r="AE112" s="113" t="str">
        <f>IF(NOT(ISBLANK(Audit[[#This Row],[Audit Winning Candidate]])), Audit[[#This Row],[Audit Winning Candidate]]-Audit[[#This Row],[Winning Candidate]], "")</f>
        <v/>
      </c>
      <c r="AF112" s="17" t="str">
        <f>IF(NOT(ISBLANK(Audit[[#This Row],[Audit Losing Candidate]])), Audit[[#This Row],[Audit Losing Candidate]]-Audit[[#This Row],[Losing Candidate]], "")</f>
        <v/>
      </c>
      <c r="AG112" s="17" t="str">
        <f>IF(NOT(ISBLANK(Audit[[#This Row],[Audit Candidate 3]])), Audit[[#This Row],[Audit Candidate 3]]-Audit[[#This Row],[Candidate 3]], "")</f>
        <v/>
      </c>
      <c r="AH112" s="17" t="str">
        <f>IF(NOT(ISBLANK(Audit[[#This Row],[Audit Candidate 4]])),Audit[[#This Row],[Audit Candidate 4]]-Audit[[#This Row],[Candidate 4]], "")</f>
        <v/>
      </c>
      <c r="AI112" s="17" t="str">
        <f>IF(NOT(ISBLANK(Audit[[#This Row],[Audit Candidate 5]])), Audit[[#This Row],[Audit Candidate 5]]-Audit[[#This Row],[Candidate 5]], "")</f>
        <v/>
      </c>
      <c r="AJ112" s="17" t="str">
        <f>IF(NOT(ISBLANK(Audit[[#This Row],[Audit Candidate 6]])), Audit[[#This Row],[Audit Candidate 6]]-Audit[[#This Row],[Candidate 6]], "")</f>
        <v/>
      </c>
      <c r="AK112" s="17" t="str">
        <f>IF(NOT(ISBLANK(Audit[[#This Row],[Audit Candidate 7]])), Audit[[#This Row],[Audit Candidate 7]]-Audit[[#This Row],[Candidate 7]], "")</f>
        <v/>
      </c>
      <c r="AL112" s="17" t="str">
        <f>IF(NOT(ISBLANK(Audit[[#This Row],[Audit Candidate 8]])), Audit[[#This Row],[Audit Candidate 8]]-Audit[[#This Row],[Candidate 8]], "")</f>
        <v/>
      </c>
      <c r="AM112" s="17" t="str">
        <f>IF(NOT(ISBLANK(Audit[[#This Row],[Audit Candidate 9]])), Audit[[#This Row],[Audit Candidate 9]]-Audit[[#This Row],[Candidate 9]], "")</f>
        <v/>
      </c>
      <c r="AN112" s="17" t="str">
        <f>IF(NOT(ISBLANK(Audit[[#This Row],[Audit Candidate 10]])), Audit[[#This Row],[Audit Candidate 10]]-Audit[[#This Row],[Candidate 10]], "")</f>
        <v/>
      </c>
      <c r="AO112" s="17" t="str">
        <f>IF(NOT(ISBLANK(Audit[[#This Row],[Audit Candidate 11]])), Audit[[#This Row],[Audit Candidate 11]]-Audit[[#This Row],[Candidate 11]], "")</f>
        <v/>
      </c>
      <c r="AP112" s="17" t="str">
        <f>IF(NOT(ISBLANK(Audit[[#This Row],[Audit Candidate 12]])), Audit[[#This Row],[Audit Candidate 12]]-Audit[[#This Row],[Candidate 12]], "")</f>
        <v/>
      </c>
      <c r="AQ112" s="17">
        <f>SUMIF(Audit[[#This Row],[Difference Winner]:[Difference Candidate 12]], "&gt;0")</f>
        <v>0</v>
      </c>
      <c r="AR112" s="17">
        <f>SUM(Audit[[#This Row],[Difference Winner]:[Difference Candidate 12]])</f>
        <v>0</v>
      </c>
      <c r="AS112" s="17">
        <f>IF(Audit[[#This Row],[Times p Drawn - With Replacement]]&gt;0, IF(Audit[[#This Row],[Canceled Differences]]&lt;0, Audit[[#This Row],[Max Differences]]+ABS(Audit[[#This Row],[Canceled Differences]]), Audit[[#This Row],[Max Differences]]), 0)</f>
        <v>0</v>
      </c>
      <c r="AT112" s="17">
        <f>'Sampling Data'!AB112</f>
        <v>2.4104566287557291E-2</v>
      </c>
      <c r="AU112" s="17">
        <f>IF(
      SUM(Audit[[#This Row],[Audit Losing Candidate]:[Audit Candidate 12]])
      &lt;&gt;0,
      (Audit[[#This Row],[Winning Candidate]]-Audit[[#This Row],[Losing Candidate]]-(Audit[[#This Row],[Audit Winning Candidate]]-Audit[[#This Row],[Audit Losing Candidate]]))/(Audit[[#Totals],[Winning Candidate]]-Audit[[#Totals],[Losing Candidate]]),
      0
)</f>
        <v>0</v>
      </c>
      <c r="AV1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 s="17">
        <f>IF(Audit[[#This Row],[Max Relative Error (ep)]] = 0, 0, Audit[[#This Row],[Max Relative Error (ep)]]/Audit[[#This Row],[Error Bound (up) - Max. possible relative overstatement]])</f>
        <v>0</v>
      </c>
      <c r="BH1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2" s="17">
        <f t="shared" si="2"/>
        <v>1</v>
      </c>
      <c r="BJ112" s="17">
        <f>PRODUCT($BI$5:BI112)</f>
        <v>0.80243040085743367</v>
      </c>
      <c r="BK112" s="19">
        <f>1 - Audit[[#This Row],[K-M P Value]]</f>
        <v>0.19756959914256633</v>
      </c>
      <c r="BL112" s="17" t="str">
        <f>IF(Audit[[#This Row],[K-M P Value]]&gt;1-'General Info'!$B$12,"Continue", "Stop")</f>
        <v>Continue</v>
      </c>
      <c r="BM112" s="22" t="b">
        <f>IF(Audit[[#This Row],[Status - Continue or stop audit]] = "Continue", TRUE, IF(BL111 = "Continue", TRUE, FALSE))</f>
        <v>1</v>
      </c>
      <c r="BN112" s="22"/>
    </row>
    <row r="113" spans="1:66" ht="15" hidden="1" customHeight="1" x14ac:dyDescent="0.35">
      <c r="A113" s="17" t="str">
        <f>'Sampling Data'!AI113</f>
        <v/>
      </c>
      <c r="B113" s="17" t="str">
        <f>'Sampling Data'!A113</f>
        <v>1510 CIN 15-J   (AV)</v>
      </c>
      <c r="C113" s="17">
        <f>'Sampling Data'!B113</f>
        <v>144</v>
      </c>
      <c r="D113" s="17">
        <f>'Sampling Data'!C113</f>
        <v>6</v>
      </c>
      <c r="E113" s="18">
        <f>'Sampling Data'!D113</f>
        <v>0</v>
      </c>
      <c r="F113" s="18">
        <f>'Sampling Data'!E113</f>
        <v>0</v>
      </c>
      <c r="G113" s="18">
        <f>'Sampling Data'!F113</f>
        <v>0</v>
      </c>
      <c r="H113" s="18">
        <f>'Sampling Data'!G113</f>
        <v>0</v>
      </c>
      <c r="I113" s="18">
        <f>'Sampling Data'!H113</f>
        <v>0</v>
      </c>
      <c r="J113" s="18">
        <f>'Sampling Data'!I113</f>
        <v>0</v>
      </c>
      <c r="K113" s="18">
        <f>'Sampling Data'!J113</f>
        <v>0</v>
      </c>
      <c r="L113" s="18">
        <f>'Sampling Data'!K113</f>
        <v>0</v>
      </c>
      <c r="M113" s="18">
        <f>'Sampling Data'!L113</f>
        <v>0</v>
      </c>
      <c r="N113" s="18">
        <f>'Sampling Data'!M113</f>
        <v>0</v>
      </c>
      <c r="O113" s="17">
        <f>'Sampling Data'!N113</f>
        <v>1</v>
      </c>
      <c r="P113" s="17">
        <f>'Sampling Data'!O113</f>
        <v>7</v>
      </c>
      <c r="Q113" s="17">
        <f>'Sampling Data'!P113</f>
        <v>158</v>
      </c>
      <c r="R113" s="17">
        <f>'Sampling Data'!AJ113</f>
        <v>0</v>
      </c>
      <c r="S113" s="111"/>
      <c r="T113" s="111"/>
      <c r="U113" s="112"/>
      <c r="V113" s="112"/>
      <c r="W113" s="111"/>
      <c r="X113" s="111"/>
      <c r="Y113" s="111"/>
      <c r="Z113" s="111"/>
      <c r="AA113" s="14"/>
      <c r="AB113" s="14"/>
      <c r="AC113" s="14"/>
      <c r="AD113" s="14"/>
      <c r="AE113" s="113" t="str">
        <f>IF(NOT(ISBLANK(Audit[[#This Row],[Audit Winning Candidate]])), Audit[[#This Row],[Audit Winning Candidate]]-Audit[[#This Row],[Winning Candidate]], "")</f>
        <v/>
      </c>
      <c r="AF113" s="17" t="str">
        <f>IF(NOT(ISBLANK(Audit[[#This Row],[Audit Losing Candidate]])), Audit[[#This Row],[Audit Losing Candidate]]-Audit[[#This Row],[Losing Candidate]], "")</f>
        <v/>
      </c>
      <c r="AG113" s="17" t="str">
        <f>IF(NOT(ISBLANK(Audit[[#This Row],[Audit Candidate 3]])), Audit[[#This Row],[Audit Candidate 3]]-Audit[[#This Row],[Candidate 3]], "")</f>
        <v/>
      </c>
      <c r="AH113" s="17" t="str">
        <f>IF(NOT(ISBLANK(Audit[[#This Row],[Audit Candidate 4]])),Audit[[#This Row],[Audit Candidate 4]]-Audit[[#This Row],[Candidate 4]], "")</f>
        <v/>
      </c>
      <c r="AI113" s="17" t="str">
        <f>IF(NOT(ISBLANK(Audit[[#This Row],[Audit Candidate 5]])), Audit[[#This Row],[Audit Candidate 5]]-Audit[[#This Row],[Candidate 5]], "")</f>
        <v/>
      </c>
      <c r="AJ113" s="17" t="str">
        <f>IF(NOT(ISBLANK(Audit[[#This Row],[Audit Candidate 6]])), Audit[[#This Row],[Audit Candidate 6]]-Audit[[#This Row],[Candidate 6]], "")</f>
        <v/>
      </c>
      <c r="AK113" s="17" t="str">
        <f>IF(NOT(ISBLANK(Audit[[#This Row],[Audit Candidate 7]])), Audit[[#This Row],[Audit Candidate 7]]-Audit[[#This Row],[Candidate 7]], "")</f>
        <v/>
      </c>
      <c r="AL113" s="17" t="str">
        <f>IF(NOT(ISBLANK(Audit[[#This Row],[Audit Candidate 8]])), Audit[[#This Row],[Audit Candidate 8]]-Audit[[#This Row],[Candidate 8]], "")</f>
        <v/>
      </c>
      <c r="AM113" s="17" t="str">
        <f>IF(NOT(ISBLANK(Audit[[#This Row],[Audit Candidate 9]])), Audit[[#This Row],[Audit Candidate 9]]-Audit[[#This Row],[Candidate 9]], "")</f>
        <v/>
      </c>
      <c r="AN113" s="17" t="str">
        <f>IF(NOT(ISBLANK(Audit[[#This Row],[Audit Candidate 10]])), Audit[[#This Row],[Audit Candidate 10]]-Audit[[#This Row],[Candidate 10]], "")</f>
        <v/>
      </c>
      <c r="AO113" s="17" t="str">
        <f>IF(NOT(ISBLANK(Audit[[#This Row],[Audit Candidate 11]])), Audit[[#This Row],[Audit Candidate 11]]-Audit[[#This Row],[Candidate 11]], "")</f>
        <v/>
      </c>
      <c r="AP113" s="17" t="str">
        <f>IF(NOT(ISBLANK(Audit[[#This Row],[Audit Candidate 12]])), Audit[[#This Row],[Audit Candidate 12]]-Audit[[#This Row],[Candidate 12]], "")</f>
        <v/>
      </c>
      <c r="AQ113" s="17">
        <f>SUMIF(Audit[[#This Row],[Difference Winner]:[Difference Candidate 12]], "&gt;0")</f>
        <v>0</v>
      </c>
      <c r="AR113" s="17">
        <f>SUM(Audit[[#This Row],[Difference Winner]:[Difference Candidate 12]])</f>
        <v>0</v>
      </c>
      <c r="AS113" s="17">
        <f>IF(Audit[[#This Row],[Times p Drawn - With Replacement]]&gt;0, IF(Audit[[#This Row],[Canceled Differences]]&lt;0, Audit[[#This Row],[Max Differences]]+ABS(Audit[[#This Row],[Canceled Differences]]), Audit[[#This Row],[Max Differences]]), 0)</f>
        <v>0</v>
      </c>
      <c r="AT113" s="17">
        <f>'Sampling Data'!AB113</f>
        <v>1.2561534544219996E-2</v>
      </c>
      <c r="AU113" s="17">
        <f>IF(
      SUM(Audit[[#This Row],[Audit Losing Candidate]:[Audit Candidate 12]])
      &lt;&gt;0,
      (Audit[[#This Row],[Winning Candidate]]-Audit[[#This Row],[Losing Candidate]]-(Audit[[#This Row],[Audit Winning Candidate]]-Audit[[#This Row],[Audit Losing Candidate]]))/(Audit[[#Totals],[Winning Candidate]]-Audit[[#Totals],[Losing Candidate]]),
      0
)</f>
        <v>0</v>
      </c>
      <c r="AV1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 s="17">
        <f>IF(Audit[[#This Row],[Max Relative Error (ep)]] = 0, 0, Audit[[#This Row],[Max Relative Error (ep)]]/Audit[[#This Row],[Error Bound (up) - Max. possible relative overstatement]])</f>
        <v>0</v>
      </c>
      <c r="BH1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3" s="17">
        <f t="shared" si="2"/>
        <v>1</v>
      </c>
      <c r="BJ113" s="17">
        <f>PRODUCT($BI$5:BI113)</f>
        <v>0.80243040085743367</v>
      </c>
      <c r="BK113" s="19">
        <f>1 - Audit[[#This Row],[K-M P Value]]</f>
        <v>0.19756959914256633</v>
      </c>
      <c r="BL113" s="17" t="str">
        <f>IF(Audit[[#This Row],[K-M P Value]]&gt;1-'General Info'!$B$12,"Continue", "Stop")</f>
        <v>Continue</v>
      </c>
      <c r="BM113" s="22" t="b">
        <f>IF(Audit[[#This Row],[Status - Continue or stop audit]] = "Continue", TRUE, IF(BL112 = "Continue", TRUE, FALSE))</f>
        <v>1</v>
      </c>
      <c r="BN113" s="22"/>
    </row>
    <row r="114" spans="1:66" ht="15" hidden="1" customHeight="1" x14ac:dyDescent="0.35">
      <c r="A114" s="17" t="str">
        <f>'Sampling Data'!AI114</f>
        <v/>
      </c>
      <c r="B114" s="17" t="str">
        <f>'Sampling Data'!A114</f>
        <v>1601 CIN 16-A   (AV)</v>
      </c>
      <c r="C114" s="17">
        <f>'Sampling Data'!B114</f>
        <v>144</v>
      </c>
      <c r="D114" s="17">
        <f>'Sampling Data'!C114</f>
        <v>31</v>
      </c>
      <c r="E114" s="18">
        <f>'Sampling Data'!D114</f>
        <v>0</v>
      </c>
      <c r="F114" s="18">
        <f>'Sampling Data'!E114</f>
        <v>0</v>
      </c>
      <c r="G114" s="18">
        <f>'Sampling Data'!F114</f>
        <v>0</v>
      </c>
      <c r="H114" s="18">
        <f>'Sampling Data'!G114</f>
        <v>0</v>
      </c>
      <c r="I114" s="18">
        <f>'Sampling Data'!H114</f>
        <v>0</v>
      </c>
      <c r="J114" s="18">
        <f>'Sampling Data'!I114</f>
        <v>0</v>
      </c>
      <c r="K114" s="18">
        <f>'Sampling Data'!J114</f>
        <v>0</v>
      </c>
      <c r="L114" s="18">
        <f>'Sampling Data'!K114</f>
        <v>0</v>
      </c>
      <c r="M114" s="18">
        <f>'Sampling Data'!L114</f>
        <v>0</v>
      </c>
      <c r="N114" s="18">
        <f>'Sampling Data'!M114</f>
        <v>0</v>
      </c>
      <c r="O114" s="17">
        <f>'Sampling Data'!N114</f>
        <v>0</v>
      </c>
      <c r="P114" s="17">
        <f>'Sampling Data'!O114</f>
        <v>12</v>
      </c>
      <c r="Q114" s="17">
        <f>'Sampling Data'!P114</f>
        <v>187</v>
      </c>
      <c r="R114" s="17">
        <f>'Sampling Data'!AJ114</f>
        <v>0</v>
      </c>
      <c r="S114" s="111"/>
      <c r="T114" s="111"/>
      <c r="U114" s="112"/>
      <c r="V114" s="112"/>
      <c r="W114" s="111"/>
      <c r="X114" s="111"/>
      <c r="Y114" s="111"/>
      <c r="Z114" s="111"/>
      <c r="AA114" s="14"/>
      <c r="AB114" s="14"/>
      <c r="AC114" s="14"/>
      <c r="AD114" s="14"/>
      <c r="AE114" s="113" t="str">
        <f>IF(NOT(ISBLANK(Audit[[#This Row],[Audit Winning Candidate]])), Audit[[#This Row],[Audit Winning Candidate]]-Audit[[#This Row],[Winning Candidate]], "")</f>
        <v/>
      </c>
      <c r="AF114" s="17" t="str">
        <f>IF(NOT(ISBLANK(Audit[[#This Row],[Audit Losing Candidate]])), Audit[[#This Row],[Audit Losing Candidate]]-Audit[[#This Row],[Losing Candidate]], "")</f>
        <v/>
      </c>
      <c r="AG114" s="17" t="str">
        <f>IF(NOT(ISBLANK(Audit[[#This Row],[Audit Candidate 3]])), Audit[[#This Row],[Audit Candidate 3]]-Audit[[#This Row],[Candidate 3]], "")</f>
        <v/>
      </c>
      <c r="AH114" s="17" t="str">
        <f>IF(NOT(ISBLANK(Audit[[#This Row],[Audit Candidate 4]])),Audit[[#This Row],[Audit Candidate 4]]-Audit[[#This Row],[Candidate 4]], "")</f>
        <v/>
      </c>
      <c r="AI114" s="17" t="str">
        <f>IF(NOT(ISBLANK(Audit[[#This Row],[Audit Candidate 5]])), Audit[[#This Row],[Audit Candidate 5]]-Audit[[#This Row],[Candidate 5]], "")</f>
        <v/>
      </c>
      <c r="AJ114" s="17" t="str">
        <f>IF(NOT(ISBLANK(Audit[[#This Row],[Audit Candidate 6]])), Audit[[#This Row],[Audit Candidate 6]]-Audit[[#This Row],[Candidate 6]], "")</f>
        <v/>
      </c>
      <c r="AK114" s="17" t="str">
        <f>IF(NOT(ISBLANK(Audit[[#This Row],[Audit Candidate 7]])), Audit[[#This Row],[Audit Candidate 7]]-Audit[[#This Row],[Candidate 7]], "")</f>
        <v/>
      </c>
      <c r="AL114" s="17" t="str">
        <f>IF(NOT(ISBLANK(Audit[[#This Row],[Audit Candidate 8]])), Audit[[#This Row],[Audit Candidate 8]]-Audit[[#This Row],[Candidate 8]], "")</f>
        <v/>
      </c>
      <c r="AM114" s="17" t="str">
        <f>IF(NOT(ISBLANK(Audit[[#This Row],[Audit Candidate 9]])), Audit[[#This Row],[Audit Candidate 9]]-Audit[[#This Row],[Candidate 9]], "")</f>
        <v/>
      </c>
      <c r="AN114" s="17" t="str">
        <f>IF(NOT(ISBLANK(Audit[[#This Row],[Audit Candidate 10]])), Audit[[#This Row],[Audit Candidate 10]]-Audit[[#This Row],[Candidate 10]], "")</f>
        <v/>
      </c>
      <c r="AO114" s="17" t="str">
        <f>IF(NOT(ISBLANK(Audit[[#This Row],[Audit Candidate 11]])), Audit[[#This Row],[Audit Candidate 11]]-Audit[[#This Row],[Candidate 11]], "")</f>
        <v/>
      </c>
      <c r="AP114" s="17" t="str">
        <f>IF(NOT(ISBLANK(Audit[[#This Row],[Audit Candidate 12]])), Audit[[#This Row],[Audit Candidate 12]]-Audit[[#This Row],[Candidate 12]], "")</f>
        <v/>
      </c>
      <c r="AQ114" s="17">
        <f>SUMIF(Audit[[#This Row],[Difference Winner]:[Difference Candidate 12]], "&gt;0")</f>
        <v>0</v>
      </c>
      <c r="AR114" s="17">
        <f>SUM(Audit[[#This Row],[Difference Winner]:[Difference Candidate 12]])</f>
        <v>0</v>
      </c>
      <c r="AS114" s="17">
        <f>IF(Audit[[#This Row],[Times p Drawn - With Replacement]]&gt;0, IF(Audit[[#This Row],[Canceled Differences]]&lt;0, Audit[[#This Row],[Max Differences]]+ABS(Audit[[#This Row],[Canceled Differences]]), Audit[[#This Row],[Max Differences]]), 0)</f>
        <v>0</v>
      </c>
      <c r="AT114" s="17">
        <f>'Sampling Data'!AB114</f>
        <v>1.273128501103378E-2</v>
      </c>
      <c r="AU114" s="17">
        <f>IF(
      SUM(Audit[[#This Row],[Audit Losing Candidate]:[Audit Candidate 12]])
      &lt;&gt;0,
      (Audit[[#This Row],[Winning Candidate]]-Audit[[#This Row],[Losing Candidate]]-(Audit[[#This Row],[Audit Winning Candidate]]-Audit[[#This Row],[Audit Losing Candidate]]))/(Audit[[#Totals],[Winning Candidate]]-Audit[[#Totals],[Losing Candidate]]),
      0
)</f>
        <v>0</v>
      </c>
      <c r="AV1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4" s="17">
        <f>IF(Audit[[#This Row],[Max Relative Error (ep)]] = 0, 0, Audit[[#This Row],[Max Relative Error (ep)]]/Audit[[#This Row],[Error Bound (up) - Max. possible relative overstatement]])</f>
        <v>0</v>
      </c>
      <c r="BH1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4" s="17">
        <f t="shared" si="2"/>
        <v>1</v>
      </c>
      <c r="BJ114" s="17">
        <f>PRODUCT($BI$5:BI114)</f>
        <v>0.80243040085743367</v>
      </c>
      <c r="BK114" s="19">
        <f>1 - Audit[[#This Row],[K-M P Value]]</f>
        <v>0.19756959914256633</v>
      </c>
      <c r="BL114" s="17" t="str">
        <f>IF(Audit[[#This Row],[K-M P Value]]&gt;1-'General Info'!$B$12,"Continue", "Stop")</f>
        <v>Continue</v>
      </c>
      <c r="BM114" s="22" t="b">
        <f>IF(Audit[[#This Row],[Status - Continue or stop audit]] = "Continue", TRUE, IF(BL113 = "Continue", TRUE, FALSE))</f>
        <v>1</v>
      </c>
      <c r="BN114" s="22"/>
    </row>
    <row r="115" spans="1:66" ht="15" hidden="1" customHeight="1" x14ac:dyDescent="0.35">
      <c r="A115" s="17" t="str">
        <f>'Sampling Data'!AI115</f>
        <v/>
      </c>
      <c r="B115" s="17" t="str">
        <f>'Sampling Data'!A115</f>
        <v>1701 CIN 17-A   (AV)</v>
      </c>
      <c r="C115" s="17">
        <f>'Sampling Data'!B115</f>
        <v>172</v>
      </c>
      <c r="D115" s="17">
        <f>'Sampling Data'!C115</f>
        <v>10</v>
      </c>
      <c r="E115" s="18">
        <f>'Sampling Data'!D115</f>
        <v>0</v>
      </c>
      <c r="F115" s="18">
        <f>'Sampling Data'!E115</f>
        <v>0</v>
      </c>
      <c r="G115" s="18">
        <f>'Sampling Data'!F115</f>
        <v>0</v>
      </c>
      <c r="H115" s="18">
        <f>'Sampling Data'!G115</f>
        <v>0</v>
      </c>
      <c r="I115" s="18">
        <f>'Sampling Data'!H115</f>
        <v>0</v>
      </c>
      <c r="J115" s="18">
        <f>'Sampling Data'!I115</f>
        <v>0</v>
      </c>
      <c r="K115" s="18">
        <f>'Sampling Data'!J115</f>
        <v>0</v>
      </c>
      <c r="L115" s="18">
        <f>'Sampling Data'!K115</f>
        <v>0</v>
      </c>
      <c r="M115" s="18">
        <f>'Sampling Data'!L115</f>
        <v>0</v>
      </c>
      <c r="N115" s="18">
        <f>'Sampling Data'!M115</f>
        <v>0</v>
      </c>
      <c r="O115" s="17">
        <f>'Sampling Data'!N115</f>
        <v>0</v>
      </c>
      <c r="P115" s="17">
        <f>'Sampling Data'!O115</f>
        <v>9</v>
      </c>
      <c r="Q115" s="17">
        <f>'Sampling Data'!P115</f>
        <v>191</v>
      </c>
      <c r="R115" s="17">
        <f>'Sampling Data'!AJ115</f>
        <v>0</v>
      </c>
      <c r="S115" s="111"/>
      <c r="T115" s="111"/>
      <c r="U115" s="112"/>
      <c r="V115" s="112"/>
      <c r="W115" s="111"/>
      <c r="X115" s="111"/>
      <c r="Y115" s="111"/>
      <c r="Z115" s="111"/>
      <c r="AA115" s="14"/>
      <c r="AB115" s="14"/>
      <c r="AC115" s="14"/>
      <c r="AD115" s="14"/>
      <c r="AE115" s="113" t="str">
        <f>IF(NOT(ISBLANK(Audit[[#This Row],[Audit Winning Candidate]])), Audit[[#This Row],[Audit Winning Candidate]]-Audit[[#This Row],[Winning Candidate]], "")</f>
        <v/>
      </c>
      <c r="AF115" s="17" t="str">
        <f>IF(NOT(ISBLANK(Audit[[#This Row],[Audit Losing Candidate]])), Audit[[#This Row],[Audit Losing Candidate]]-Audit[[#This Row],[Losing Candidate]], "")</f>
        <v/>
      </c>
      <c r="AG115" s="17" t="str">
        <f>IF(NOT(ISBLANK(Audit[[#This Row],[Audit Candidate 3]])), Audit[[#This Row],[Audit Candidate 3]]-Audit[[#This Row],[Candidate 3]], "")</f>
        <v/>
      </c>
      <c r="AH115" s="17" t="str">
        <f>IF(NOT(ISBLANK(Audit[[#This Row],[Audit Candidate 4]])),Audit[[#This Row],[Audit Candidate 4]]-Audit[[#This Row],[Candidate 4]], "")</f>
        <v/>
      </c>
      <c r="AI115" s="17" t="str">
        <f>IF(NOT(ISBLANK(Audit[[#This Row],[Audit Candidate 5]])), Audit[[#This Row],[Audit Candidate 5]]-Audit[[#This Row],[Candidate 5]], "")</f>
        <v/>
      </c>
      <c r="AJ115" s="17" t="str">
        <f>IF(NOT(ISBLANK(Audit[[#This Row],[Audit Candidate 6]])), Audit[[#This Row],[Audit Candidate 6]]-Audit[[#This Row],[Candidate 6]], "")</f>
        <v/>
      </c>
      <c r="AK115" s="17" t="str">
        <f>IF(NOT(ISBLANK(Audit[[#This Row],[Audit Candidate 7]])), Audit[[#This Row],[Audit Candidate 7]]-Audit[[#This Row],[Candidate 7]], "")</f>
        <v/>
      </c>
      <c r="AL115" s="17" t="str">
        <f>IF(NOT(ISBLANK(Audit[[#This Row],[Audit Candidate 8]])), Audit[[#This Row],[Audit Candidate 8]]-Audit[[#This Row],[Candidate 8]], "")</f>
        <v/>
      </c>
      <c r="AM115" s="17" t="str">
        <f>IF(NOT(ISBLANK(Audit[[#This Row],[Audit Candidate 9]])), Audit[[#This Row],[Audit Candidate 9]]-Audit[[#This Row],[Candidate 9]], "")</f>
        <v/>
      </c>
      <c r="AN115" s="17" t="str">
        <f>IF(NOT(ISBLANK(Audit[[#This Row],[Audit Candidate 10]])), Audit[[#This Row],[Audit Candidate 10]]-Audit[[#This Row],[Candidate 10]], "")</f>
        <v/>
      </c>
      <c r="AO115" s="17" t="str">
        <f>IF(NOT(ISBLANK(Audit[[#This Row],[Audit Candidate 11]])), Audit[[#This Row],[Audit Candidate 11]]-Audit[[#This Row],[Candidate 11]], "")</f>
        <v/>
      </c>
      <c r="AP115" s="17" t="str">
        <f>IF(NOT(ISBLANK(Audit[[#This Row],[Audit Candidate 12]])), Audit[[#This Row],[Audit Candidate 12]]-Audit[[#This Row],[Candidate 12]], "")</f>
        <v/>
      </c>
      <c r="AQ115" s="17">
        <f>SUMIF(Audit[[#This Row],[Difference Winner]:[Difference Candidate 12]], "&gt;0")</f>
        <v>0</v>
      </c>
      <c r="AR115" s="17">
        <f>SUM(Audit[[#This Row],[Difference Winner]:[Difference Candidate 12]])</f>
        <v>0</v>
      </c>
      <c r="AS115" s="17">
        <f>IF(Audit[[#This Row],[Times p Drawn - With Replacement]]&gt;0, IF(Audit[[#This Row],[Canceled Differences]]&lt;0, Audit[[#This Row],[Max Differences]]+ABS(Audit[[#This Row],[Canceled Differences]]), Audit[[#This Row],[Max Differences]]), 0)</f>
        <v>0</v>
      </c>
      <c r="AT115" s="17">
        <f>'Sampling Data'!AB115</f>
        <v>1.4980478696316414E-2</v>
      </c>
      <c r="AU115" s="17">
        <f>IF(
      SUM(Audit[[#This Row],[Audit Losing Candidate]:[Audit Candidate 12]])
      &lt;&gt;0,
      (Audit[[#This Row],[Winning Candidate]]-Audit[[#This Row],[Losing Candidate]]-(Audit[[#This Row],[Audit Winning Candidate]]-Audit[[#This Row],[Audit Losing Candidate]]))/(Audit[[#Totals],[Winning Candidate]]-Audit[[#Totals],[Losing Candidate]]),
      0
)</f>
        <v>0</v>
      </c>
      <c r="AV1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5" s="17">
        <f>IF(Audit[[#This Row],[Max Relative Error (ep)]] = 0, 0, Audit[[#This Row],[Max Relative Error (ep)]]/Audit[[#This Row],[Error Bound (up) - Max. possible relative overstatement]])</f>
        <v>0</v>
      </c>
      <c r="BH1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5" s="17">
        <f t="shared" si="2"/>
        <v>1</v>
      </c>
      <c r="BJ115" s="17">
        <f>PRODUCT($BI$5:BI115)</f>
        <v>0.80243040085743367</v>
      </c>
      <c r="BK115" s="19">
        <f>1 - Audit[[#This Row],[K-M P Value]]</f>
        <v>0.19756959914256633</v>
      </c>
      <c r="BL115" s="17" t="str">
        <f>IF(Audit[[#This Row],[K-M P Value]]&gt;1-'General Info'!$B$12,"Continue", "Stop")</f>
        <v>Continue</v>
      </c>
      <c r="BM115" s="22" t="b">
        <f>IF(Audit[[#This Row],[Status - Continue or stop audit]] = "Continue", TRUE, IF(BL114 = "Continue", TRUE, FALSE))</f>
        <v>1</v>
      </c>
      <c r="BN115" s="22"/>
    </row>
    <row r="116" spans="1:66" ht="15" customHeight="1" x14ac:dyDescent="0.35">
      <c r="A116" s="17">
        <f>'Sampling Data'!AI116</f>
        <v>21</v>
      </c>
      <c r="B116" s="17" t="str">
        <f>'Sampling Data'!A116</f>
        <v>1702 CIN 17-B   (AV)</v>
      </c>
      <c r="C116" s="17">
        <f>'Sampling Data'!B116</f>
        <v>298</v>
      </c>
      <c r="D116" s="17">
        <f>'Sampling Data'!C116</f>
        <v>52</v>
      </c>
      <c r="E116" s="18">
        <f>'Sampling Data'!D116</f>
        <v>0</v>
      </c>
      <c r="F116" s="18">
        <f>'Sampling Data'!E116</f>
        <v>0</v>
      </c>
      <c r="G116" s="18">
        <f>'Sampling Data'!F116</f>
        <v>0</v>
      </c>
      <c r="H116" s="18">
        <f>'Sampling Data'!G116</f>
        <v>0</v>
      </c>
      <c r="I116" s="18">
        <f>'Sampling Data'!H116</f>
        <v>0</v>
      </c>
      <c r="J116" s="18">
        <f>'Sampling Data'!I116</f>
        <v>0</v>
      </c>
      <c r="K116" s="18">
        <f>'Sampling Data'!J116</f>
        <v>0</v>
      </c>
      <c r="L116" s="18">
        <f>'Sampling Data'!K116</f>
        <v>0</v>
      </c>
      <c r="M116" s="18">
        <f>'Sampling Data'!L116</f>
        <v>0</v>
      </c>
      <c r="N116" s="18">
        <f>'Sampling Data'!M116</f>
        <v>0</v>
      </c>
      <c r="O116" s="17">
        <f>'Sampling Data'!N116</f>
        <v>0</v>
      </c>
      <c r="P116" s="17">
        <f>'Sampling Data'!O116</f>
        <v>23</v>
      </c>
      <c r="Q116" s="17">
        <f>'Sampling Data'!P116</f>
        <v>373</v>
      </c>
      <c r="R116" s="17">
        <f>'Sampling Data'!AJ116</f>
        <v>1</v>
      </c>
      <c r="S116" s="111">
        <v>298</v>
      </c>
      <c r="T116" s="111">
        <v>52</v>
      </c>
      <c r="U116" s="112"/>
      <c r="V116" s="112"/>
      <c r="W116" s="111"/>
      <c r="X116" s="111"/>
      <c r="Y116" s="111"/>
      <c r="Z116" s="111"/>
      <c r="AA116" s="14"/>
      <c r="AB116" s="14"/>
      <c r="AC116" s="14"/>
      <c r="AD116" s="14"/>
      <c r="AE116" s="113">
        <f>IF(NOT(ISBLANK(Audit[[#This Row],[Audit Winning Candidate]])), Audit[[#This Row],[Audit Winning Candidate]]-Audit[[#This Row],[Winning Candidate]], "")</f>
        <v>0</v>
      </c>
      <c r="AF116" s="17">
        <f>IF(NOT(ISBLANK(Audit[[#This Row],[Audit Losing Candidate]])), Audit[[#This Row],[Audit Losing Candidate]]-Audit[[#This Row],[Losing Candidate]], "")</f>
        <v>0</v>
      </c>
      <c r="AG116" s="17" t="str">
        <f>IF(NOT(ISBLANK(Audit[[#This Row],[Audit Candidate 3]])), Audit[[#This Row],[Audit Candidate 3]]-Audit[[#This Row],[Candidate 3]], "")</f>
        <v/>
      </c>
      <c r="AH116" s="17" t="str">
        <f>IF(NOT(ISBLANK(Audit[[#This Row],[Audit Candidate 4]])),Audit[[#This Row],[Audit Candidate 4]]-Audit[[#This Row],[Candidate 4]], "")</f>
        <v/>
      </c>
      <c r="AI116" s="17" t="str">
        <f>IF(NOT(ISBLANK(Audit[[#This Row],[Audit Candidate 5]])), Audit[[#This Row],[Audit Candidate 5]]-Audit[[#This Row],[Candidate 5]], "")</f>
        <v/>
      </c>
      <c r="AJ116" s="17" t="str">
        <f>IF(NOT(ISBLANK(Audit[[#This Row],[Audit Candidate 6]])), Audit[[#This Row],[Audit Candidate 6]]-Audit[[#This Row],[Candidate 6]], "")</f>
        <v/>
      </c>
      <c r="AK116" s="17" t="str">
        <f>IF(NOT(ISBLANK(Audit[[#This Row],[Audit Candidate 7]])), Audit[[#This Row],[Audit Candidate 7]]-Audit[[#This Row],[Candidate 7]], "")</f>
        <v/>
      </c>
      <c r="AL116" s="17" t="str">
        <f>IF(NOT(ISBLANK(Audit[[#This Row],[Audit Candidate 8]])), Audit[[#This Row],[Audit Candidate 8]]-Audit[[#This Row],[Candidate 8]], "")</f>
        <v/>
      </c>
      <c r="AM116" s="17" t="str">
        <f>IF(NOT(ISBLANK(Audit[[#This Row],[Audit Candidate 9]])), Audit[[#This Row],[Audit Candidate 9]]-Audit[[#This Row],[Candidate 9]], "")</f>
        <v/>
      </c>
      <c r="AN116" s="17" t="str">
        <f>IF(NOT(ISBLANK(Audit[[#This Row],[Audit Candidate 10]])), Audit[[#This Row],[Audit Candidate 10]]-Audit[[#This Row],[Candidate 10]], "")</f>
        <v/>
      </c>
      <c r="AO116" s="17" t="str">
        <f>IF(NOT(ISBLANK(Audit[[#This Row],[Audit Candidate 11]])), Audit[[#This Row],[Audit Candidate 11]]-Audit[[#This Row],[Candidate 11]], "")</f>
        <v/>
      </c>
      <c r="AP116" s="17" t="str">
        <f>IF(NOT(ISBLANK(Audit[[#This Row],[Audit Candidate 12]])), Audit[[#This Row],[Audit Candidate 12]]-Audit[[#This Row],[Candidate 12]], "")</f>
        <v/>
      </c>
      <c r="AQ116" s="17">
        <f>SUMIF(Audit[[#This Row],[Difference Winner]:[Difference Candidate 12]], "&gt;0")</f>
        <v>0</v>
      </c>
      <c r="AR116" s="17">
        <f>SUM(Audit[[#This Row],[Difference Winner]:[Difference Candidate 12]])</f>
        <v>0</v>
      </c>
      <c r="AS116" s="17">
        <f>IF(Audit[[#This Row],[Times p Drawn - With Replacement]]&gt;0, IF(Audit[[#This Row],[Canceled Differences]]&lt;0, Audit[[#This Row],[Max Differences]]+ABS(Audit[[#This Row],[Canceled Differences]]), Audit[[#This Row],[Max Differences]]), 0)</f>
        <v>0</v>
      </c>
      <c r="AT116" s="17">
        <f>'Sampling Data'!AB116</f>
        <v>2.6268884739433035E-2</v>
      </c>
      <c r="AU116" s="17">
        <f>IF(
      SUM(Audit[[#This Row],[Audit Losing Candidate]:[Audit Candidate 12]])
      &lt;&gt;0,
      (Audit[[#This Row],[Winning Candidate]]-Audit[[#This Row],[Losing Candidate]]-(Audit[[#This Row],[Audit Winning Candidate]]-Audit[[#This Row],[Audit Losing Candidate]]))/(Audit[[#Totals],[Winning Candidate]]-Audit[[#Totals],[Losing Candidate]]),
      0
)</f>
        <v>0</v>
      </c>
      <c r="AV1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6" s="17">
        <f>IF(Audit[[#This Row],[Max Relative Error (ep)]] = 0, 0, Audit[[#This Row],[Max Relative Error (ep)]]/Audit[[#This Row],[Error Bound (up) - Max. possible relative overstatement]])</f>
        <v>0</v>
      </c>
      <c r="BH1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6" s="17">
        <f t="shared" si="2"/>
        <v>0.94645908314247273</v>
      </c>
      <c r="BJ116" s="17">
        <f>PRODUCT($BI$5:BI116)</f>
        <v>0.75946754148117357</v>
      </c>
      <c r="BK116" s="19">
        <f>1 - Audit[[#This Row],[K-M P Value]]</f>
        <v>0.24053245851882643</v>
      </c>
      <c r="BL116" s="17" t="str">
        <f>IF(Audit[[#This Row],[K-M P Value]]&gt;1-'General Info'!$B$12,"Continue", "Stop")</f>
        <v>Continue</v>
      </c>
      <c r="BM116" s="22" t="b">
        <f>IF(Audit[[#This Row],[Status - Continue or stop audit]] = "Continue", TRUE, IF(BL115 = "Continue", TRUE, FALSE))</f>
        <v>1</v>
      </c>
      <c r="BN116" s="22"/>
    </row>
    <row r="117" spans="1:66" ht="15" hidden="1" customHeight="1" x14ac:dyDescent="0.35">
      <c r="A117" s="17" t="str">
        <f>'Sampling Data'!AI117</f>
        <v/>
      </c>
      <c r="B117" s="17" t="str">
        <f>'Sampling Data'!A117</f>
        <v>1703 CIN 17-C   (AV)</v>
      </c>
      <c r="C117" s="17">
        <f>'Sampling Data'!B117</f>
        <v>137</v>
      </c>
      <c r="D117" s="17">
        <f>'Sampling Data'!C117</f>
        <v>15</v>
      </c>
      <c r="E117" s="18">
        <f>'Sampling Data'!D117</f>
        <v>0</v>
      </c>
      <c r="F117" s="18">
        <f>'Sampling Data'!E117</f>
        <v>0</v>
      </c>
      <c r="G117" s="18">
        <f>'Sampling Data'!F117</f>
        <v>0</v>
      </c>
      <c r="H117" s="18">
        <f>'Sampling Data'!G117</f>
        <v>0</v>
      </c>
      <c r="I117" s="18">
        <f>'Sampling Data'!H117</f>
        <v>0</v>
      </c>
      <c r="J117" s="18">
        <f>'Sampling Data'!I117</f>
        <v>0</v>
      </c>
      <c r="K117" s="18">
        <f>'Sampling Data'!J117</f>
        <v>0</v>
      </c>
      <c r="L117" s="18">
        <f>'Sampling Data'!K117</f>
        <v>0</v>
      </c>
      <c r="M117" s="18">
        <f>'Sampling Data'!L117</f>
        <v>0</v>
      </c>
      <c r="N117" s="18">
        <f>'Sampling Data'!M117</f>
        <v>0</v>
      </c>
      <c r="O117" s="17">
        <f>'Sampling Data'!N117</f>
        <v>0</v>
      </c>
      <c r="P117" s="17">
        <f>'Sampling Data'!O117</f>
        <v>11</v>
      </c>
      <c r="Q117" s="17">
        <f>'Sampling Data'!P117</f>
        <v>163</v>
      </c>
      <c r="R117" s="17">
        <f>'Sampling Data'!AJ117</f>
        <v>0</v>
      </c>
      <c r="S117" s="111"/>
      <c r="T117" s="111"/>
      <c r="U117" s="112"/>
      <c r="V117" s="112"/>
      <c r="W117" s="111"/>
      <c r="X117" s="111"/>
      <c r="Y117" s="111"/>
      <c r="Z117" s="111"/>
      <c r="AA117" s="14"/>
      <c r="AB117" s="14"/>
      <c r="AC117" s="14"/>
      <c r="AD117" s="14"/>
      <c r="AE117" s="113" t="str">
        <f>IF(NOT(ISBLANK(Audit[[#This Row],[Audit Winning Candidate]])), Audit[[#This Row],[Audit Winning Candidate]]-Audit[[#This Row],[Winning Candidate]], "")</f>
        <v/>
      </c>
      <c r="AF117" s="17" t="str">
        <f>IF(NOT(ISBLANK(Audit[[#This Row],[Audit Losing Candidate]])), Audit[[#This Row],[Audit Losing Candidate]]-Audit[[#This Row],[Losing Candidate]], "")</f>
        <v/>
      </c>
      <c r="AG117" s="17" t="str">
        <f>IF(NOT(ISBLANK(Audit[[#This Row],[Audit Candidate 3]])), Audit[[#This Row],[Audit Candidate 3]]-Audit[[#This Row],[Candidate 3]], "")</f>
        <v/>
      </c>
      <c r="AH117" s="17" t="str">
        <f>IF(NOT(ISBLANK(Audit[[#This Row],[Audit Candidate 4]])),Audit[[#This Row],[Audit Candidate 4]]-Audit[[#This Row],[Candidate 4]], "")</f>
        <v/>
      </c>
      <c r="AI117" s="17" t="str">
        <f>IF(NOT(ISBLANK(Audit[[#This Row],[Audit Candidate 5]])), Audit[[#This Row],[Audit Candidate 5]]-Audit[[#This Row],[Candidate 5]], "")</f>
        <v/>
      </c>
      <c r="AJ117" s="17" t="str">
        <f>IF(NOT(ISBLANK(Audit[[#This Row],[Audit Candidate 6]])), Audit[[#This Row],[Audit Candidate 6]]-Audit[[#This Row],[Candidate 6]], "")</f>
        <v/>
      </c>
      <c r="AK117" s="17" t="str">
        <f>IF(NOT(ISBLANK(Audit[[#This Row],[Audit Candidate 7]])), Audit[[#This Row],[Audit Candidate 7]]-Audit[[#This Row],[Candidate 7]], "")</f>
        <v/>
      </c>
      <c r="AL117" s="17" t="str">
        <f>IF(NOT(ISBLANK(Audit[[#This Row],[Audit Candidate 8]])), Audit[[#This Row],[Audit Candidate 8]]-Audit[[#This Row],[Candidate 8]], "")</f>
        <v/>
      </c>
      <c r="AM117" s="17" t="str">
        <f>IF(NOT(ISBLANK(Audit[[#This Row],[Audit Candidate 9]])), Audit[[#This Row],[Audit Candidate 9]]-Audit[[#This Row],[Candidate 9]], "")</f>
        <v/>
      </c>
      <c r="AN117" s="17" t="str">
        <f>IF(NOT(ISBLANK(Audit[[#This Row],[Audit Candidate 10]])), Audit[[#This Row],[Audit Candidate 10]]-Audit[[#This Row],[Candidate 10]], "")</f>
        <v/>
      </c>
      <c r="AO117" s="17" t="str">
        <f>IF(NOT(ISBLANK(Audit[[#This Row],[Audit Candidate 11]])), Audit[[#This Row],[Audit Candidate 11]]-Audit[[#This Row],[Candidate 11]], "")</f>
        <v/>
      </c>
      <c r="AP117" s="17" t="str">
        <f>IF(NOT(ISBLANK(Audit[[#This Row],[Audit Candidate 12]])), Audit[[#This Row],[Audit Candidate 12]]-Audit[[#This Row],[Candidate 12]], "")</f>
        <v/>
      </c>
      <c r="AQ117" s="17">
        <f>SUMIF(Audit[[#This Row],[Difference Winner]:[Difference Candidate 12]], "&gt;0")</f>
        <v>0</v>
      </c>
      <c r="AR117" s="17">
        <f>SUM(Audit[[#This Row],[Difference Winner]:[Difference Candidate 12]])</f>
        <v>0</v>
      </c>
      <c r="AS117" s="17">
        <f>IF(Audit[[#This Row],[Times p Drawn - With Replacement]]&gt;0, IF(Audit[[#This Row],[Canceled Differences]]&lt;0, Audit[[#This Row],[Max Differences]]+ABS(Audit[[#This Row],[Canceled Differences]]), Audit[[#This Row],[Max Differences]]), 0)</f>
        <v>0</v>
      </c>
      <c r="AT117" s="17">
        <f>'Sampling Data'!AB117</f>
        <v>1.2094720760482092E-2</v>
      </c>
      <c r="AU117" s="17">
        <f>IF(
      SUM(Audit[[#This Row],[Audit Losing Candidate]:[Audit Candidate 12]])
      &lt;&gt;0,
      (Audit[[#This Row],[Winning Candidate]]-Audit[[#This Row],[Losing Candidate]]-(Audit[[#This Row],[Audit Winning Candidate]]-Audit[[#This Row],[Audit Losing Candidate]]))/(Audit[[#Totals],[Winning Candidate]]-Audit[[#Totals],[Losing Candidate]]),
      0
)</f>
        <v>0</v>
      </c>
      <c r="AV1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7" s="17">
        <f>IF(Audit[[#This Row],[Max Relative Error (ep)]] = 0, 0, Audit[[#This Row],[Max Relative Error (ep)]]/Audit[[#This Row],[Error Bound (up) - Max. possible relative overstatement]])</f>
        <v>0</v>
      </c>
      <c r="BH1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7" s="17">
        <f t="shared" si="2"/>
        <v>1</v>
      </c>
      <c r="BJ117" s="17">
        <f>PRODUCT($BI$5:BI117)</f>
        <v>0.75946754148117357</v>
      </c>
      <c r="BK117" s="19">
        <f>1 - Audit[[#This Row],[K-M P Value]]</f>
        <v>0.24053245851882643</v>
      </c>
      <c r="BL117" s="17" t="str">
        <f>IF(Audit[[#This Row],[K-M P Value]]&gt;1-'General Info'!$B$12,"Continue", "Stop")</f>
        <v>Continue</v>
      </c>
      <c r="BM117" s="22" t="b">
        <f>IF(Audit[[#This Row],[Status - Continue or stop audit]] = "Continue", TRUE, IF(BL116 = "Continue", TRUE, FALSE))</f>
        <v>1</v>
      </c>
      <c r="BN117" s="22"/>
    </row>
    <row r="118" spans="1:66" ht="15" hidden="1" customHeight="1" x14ac:dyDescent="0.35">
      <c r="A118" s="17" t="str">
        <f>'Sampling Data'!AI118</f>
        <v/>
      </c>
      <c r="B118" s="17" t="str">
        <f>'Sampling Data'!A118</f>
        <v>1801 CIN 18-A   (AV)</v>
      </c>
      <c r="C118" s="17">
        <f>'Sampling Data'!B118</f>
        <v>108</v>
      </c>
      <c r="D118" s="17">
        <f>'Sampling Data'!C118</f>
        <v>9</v>
      </c>
      <c r="E118" s="18">
        <f>'Sampling Data'!D118</f>
        <v>0</v>
      </c>
      <c r="F118" s="18">
        <f>'Sampling Data'!E118</f>
        <v>0</v>
      </c>
      <c r="G118" s="18">
        <f>'Sampling Data'!F118</f>
        <v>0</v>
      </c>
      <c r="H118" s="18">
        <f>'Sampling Data'!G118</f>
        <v>0</v>
      </c>
      <c r="I118" s="18">
        <f>'Sampling Data'!H118</f>
        <v>0</v>
      </c>
      <c r="J118" s="18">
        <f>'Sampling Data'!I118</f>
        <v>0</v>
      </c>
      <c r="K118" s="18">
        <f>'Sampling Data'!J118</f>
        <v>0</v>
      </c>
      <c r="L118" s="18">
        <f>'Sampling Data'!K118</f>
        <v>0</v>
      </c>
      <c r="M118" s="18">
        <f>'Sampling Data'!L118</f>
        <v>0</v>
      </c>
      <c r="N118" s="18">
        <f>'Sampling Data'!M118</f>
        <v>0</v>
      </c>
      <c r="O118" s="17">
        <f>'Sampling Data'!N118</f>
        <v>0</v>
      </c>
      <c r="P118" s="17">
        <f>'Sampling Data'!O118</f>
        <v>7</v>
      </c>
      <c r="Q118" s="17">
        <f>'Sampling Data'!P118</f>
        <v>124</v>
      </c>
      <c r="R118" s="17">
        <f>'Sampling Data'!AJ118</f>
        <v>0</v>
      </c>
      <c r="S118" s="111"/>
      <c r="T118" s="111"/>
      <c r="U118" s="112"/>
      <c r="V118" s="112"/>
      <c r="W118" s="111"/>
      <c r="X118" s="111"/>
      <c r="Y118" s="111"/>
      <c r="Z118" s="111"/>
      <c r="AA118" s="14"/>
      <c r="AB118" s="14"/>
      <c r="AC118" s="14"/>
      <c r="AD118" s="14"/>
      <c r="AE118" s="113" t="str">
        <f>IF(NOT(ISBLANK(Audit[[#This Row],[Audit Winning Candidate]])), Audit[[#This Row],[Audit Winning Candidate]]-Audit[[#This Row],[Winning Candidate]], "")</f>
        <v/>
      </c>
      <c r="AF118" s="17" t="str">
        <f>IF(NOT(ISBLANK(Audit[[#This Row],[Audit Losing Candidate]])), Audit[[#This Row],[Audit Losing Candidate]]-Audit[[#This Row],[Losing Candidate]], "")</f>
        <v/>
      </c>
      <c r="AG118" s="17" t="str">
        <f>IF(NOT(ISBLANK(Audit[[#This Row],[Audit Candidate 3]])), Audit[[#This Row],[Audit Candidate 3]]-Audit[[#This Row],[Candidate 3]], "")</f>
        <v/>
      </c>
      <c r="AH118" s="17" t="str">
        <f>IF(NOT(ISBLANK(Audit[[#This Row],[Audit Candidate 4]])),Audit[[#This Row],[Audit Candidate 4]]-Audit[[#This Row],[Candidate 4]], "")</f>
        <v/>
      </c>
      <c r="AI118" s="17" t="str">
        <f>IF(NOT(ISBLANK(Audit[[#This Row],[Audit Candidate 5]])), Audit[[#This Row],[Audit Candidate 5]]-Audit[[#This Row],[Candidate 5]], "")</f>
        <v/>
      </c>
      <c r="AJ118" s="17" t="str">
        <f>IF(NOT(ISBLANK(Audit[[#This Row],[Audit Candidate 6]])), Audit[[#This Row],[Audit Candidate 6]]-Audit[[#This Row],[Candidate 6]], "")</f>
        <v/>
      </c>
      <c r="AK118" s="17" t="str">
        <f>IF(NOT(ISBLANK(Audit[[#This Row],[Audit Candidate 7]])), Audit[[#This Row],[Audit Candidate 7]]-Audit[[#This Row],[Candidate 7]], "")</f>
        <v/>
      </c>
      <c r="AL118" s="17" t="str">
        <f>IF(NOT(ISBLANK(Audit[[#This Row],[Audit Candidate 8]])), Audit[[#This Row],[Audit Candidate 8]]-Audit[[#This Row],[Candidate 8]], "")</f>
        <v/>
      </c>
      <c r="AM118" s="17" t="str">
        <f>IF(NOT(ISBLANK(Audit[[#This Row],[Audit Candidate 9]])), Audit[[#This Row],[Audit Candidate 9]]-Audit[[#This Row],[Candidate 9]], "")</f>
        <v/>
      </c>
      <c r="AN118" s="17" t="str">
        <f>IF(NOT(ISBLANK(Audit[[#This Row],[Audit Candidate 10]])), Audit[[#This Row],[Audit Candidate 10]]-Audit[[#This Row],[Candidate 10]], "")</f>
        <v/>
      </c>
      <c r="AO118" s="17" t="str">
        <f>IF(NOT(ISBLANK(Audit[[#This Row],[Audit Candidate 11]])), Audit[[#This Row],[Audit Candidate 11]]-Audit[[#This Row],[Candidate 11]], "")</f>
        <v/>
      </c>
      <c r="AP118" s="17" t="str">
        <f>IF(NOT(ISBLANK(Audit[[#This Row],[Audit Candidate 12]])), Audit[[#This Row],[Audit Candidate 12]]-Audit[[#This Row],[Candidate 12]], "")</f>
        <v/>
      </c>
      <c r="AQ118" s="17">
        <f>SUMIF(Audit[[#This Row],[Difference Winner]:[Difference Candidate 12]], "&gt;0")</f>
        <v>0</v>
      </c>
      <c r="AR118" s="17">
        <f>SUM(Audit[[#This Row],[Difference Winner]:[Difference Candidate 12]])</f>
        <v>0</v>
      </c>
      <c r="AS118" s="17">
        <f>IF(Audit[[#This Row],[Times p Drawn - With Replacement]]&gt;0, IF(Audit[[#This Row],[Canceled Differences]]&lt;0, Audit[[#This Row],[Max Differences]]+ABS(Audit[[#This Row],[Canceled Differences]]), Audit[[#This Row],[Max Differences]]), 0)</f>
        <v>0</v>
      </c>
      <c r="AT118" s="17">
        <f>'Sampling Data'!AB118</f>
        <v>9.4635885248684441E-3</v>
      </c>
      <c r="AU118" s="17">
        <f>IF(
      SUM(Audit[[#This Row],[Audit Losing Candidate]:[Audit Candidate 12]])
      &lt;&gt;0,
      (Audit[[#This Row],[Winning Candidate]]-Audit[[#This Row],[Losing Candidate]]-(Audit[[#This Row],[Audit Winning Candidate]]-Audit[[#This Row],[Audit Losing Candidate]]))/(Audit[[#Totals],[Winning Candidate]]-Audit[[#Totals],[Losing Candidate]]),
      0
)</f>
        <v>0</v>
      </c>
      <c r="AV1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8" s="17">
        <f>IF(Audit[[#This Row],[Max Relative Error (ep)]] = 0, 0, Audit[[#This Row],[Max Relative Error (ep)]]/Audit[[#This Row],[Error Bound (up) - Max. possible relative overstatement]])</f>
        <v>0</v>
      </c>
      <c r="BH1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8" s="17">
        <f t="shared" si="2"/>
        <v>1</v>
      </c>
      <c r="BJ118" s="17">
        <f>PRODUCT($BI$5:BI118)</f>
        <v>0.75946754148117357</v>
      </c>
      <c r="BK118" s="19">
        <f>1 - Audit[[#This Row],[K-M P Value]]</f>
        <v>0.24053245851882643</v>
      </c>
      <c r="BL118" s="17" t="str">
        <f>IF(Audit[[#This Row],[K-M P Value]]&gt;1-'General Info'!$B$12,"Continue", "Stop")</f>
        <v>Continue</v>
      </c>
      <c r="BM118" s="22" t="b">
        <f>IF(Audit[[#This Row],[Status - Continue or stop audit]] = "Continue", TRUE, IF(BL117 = "Continue", TRUE, FALSE))</f>
        <v>1</v>
      </c>
      <c r="BN118" s="22"/>
    </row>
    <row r="119" spans="1:66" ht="15" hidden="1" customHeight="1" x14ac:dyDescent="0.35">
      <c r="A119" s="17" t="str">
        <f>'Sampling Data'!AI119</f>
        <v/>
      </c>
      <c r="B119" s="17" t="str">
        <f>'Sampling Data'!A119</f>
        <v>1802 CIN 18-B   (AV)</v>
      </c>
      <c r="C119" s="17">
        <f>'Sampling Data'!B119</f>
        <v>39</v>
      </c>
      <c r="D119" s="17">
        <f>'Sampling Data'!C119</f>
        <v>5</v>
      </c>
      <c r="E119" s="18">
        <f>'Sampling Data'!D119</f>
        <v>0</v>
      </c>
      <c r="F119" s="18">
        <f>'Sampling Data'!E119</f>
        <v>0</v>
      </c>
      <c r="G119" s="18">
        <f>'Sampling Data'!F119</f>
        <v>0</v>
      </c>
      <c r="H119" s="18">
        <f>'Sampling Data'!G119</f>
        <v>0</v>
      </c>
      <c r="I119" s="18">
        <f>'Sampling Data'!H119</f>
        <v>0</v>
      </c>
      <c r="J119" s="18">
        <f>'Sampling Data'!I119</f>
        <v>0</v>
      </c>
      <c r="K119" s="18">
        <f>'Sampling Data'!J119</f>
        <v>0</v>
      </c>
      <c r="L119" s="18">
        <f>'Sampling Data'!K119</f>
        <v>0</v>
      </c>
      <c r="M119" s="18">
        <f>'Sampling Data'!L119</f>
        <v>0</v>
      </c>
      <c r="N119" s="18">
        <f>'Sampling Data'!M119</f>
        <v>0</v>
      </c>
      <c r="O119" s="17">
        <f>'Sampling Data'!N119</f>
        <v>0</v>
      </c>
      <c r="P119" s="17">
        <f>'Sampling Data'!O119</f>
        <v>4</v>
      </c>
      <c r="Q119" s="17">
        <f>'Sampling Data'!P119</f>
        <v>48</v>
      </c>
      <c r="R119" s="17">
        <f>'Sampling Data'!AJ119</f>
        <v>0</v>
      </c>
      <c r="S119" s="111"/>
      <c r="T119" s="111"/>
      <c r="U119" s="112"/>
      <c r="V119" s="112"/>
      <c r="W119" s="111"/>
      <c r="X119" s="111"/>
      <c r="Y119" s="111"/>
      <c r="Z119" s="111"/>
      <c r="AA119" s="14"/>
      <c r="AB119" s="14"/>
      <c r="AC119" s="14"/>
      <c r="AD119" s="14"/>
      <c r="AE119" s="113" t="str">
        <f>IF(NOT(ISBLANK(Audit[[#This Row],[Audit Winning Candidate]])), Audit[[#This Row],[Audit Winning Candidate]]-Audit[[#This Row],[Winning Candidate]], "")</f>
        <v/>
      </c>
      <c r="AF119" s="17" t="str">
        <f>IF(NOT(ISBLANK(Audit[[#This Row],[Audit Losing Candidate]])), Audit[[#This Row],[Audit Losing Candidate]]-Audit[[#This Row],[Losing Candidate]], "")</f>
        <v/>
      </c>
      <c r="AG119" s="17" t="str">
        <f>IF(NOT(ISBLANK(Audit[[#This Row],[Audit Candidate 3]])), Audit[[#This Row],[Audit Candidate 3]]-Audit[[#This Row],[Candidate 3]], "")</f>
        <v/>
      </c>
      <c r="AH119" s="17" t="str">
        <f>IF(NOT(ISBLANK(Audit[[#This Row],[Audit Candidate 4]])),Audit[[#This Row],[Audit Candidate 4]]-Audit[[#This Row],[Candidate 4]], "")</f>
        <v/>
      </c>
      <c r="AI119" s="17" t="str">
        <f>IF(NOT(ISBLANK(Audit[[#This Row],[Audit Candidate 5]])), Audit[[#This Row],[Audit Candidate 5]]-Audit[[#This Row],[Candidate 5]], "")</f>
        <v/>
      </c>
      <c r="AJ119" s="17" t="str">
        <f>IF(NOT(ISBLANK(Audit[[#This Row],[Audit Candidate 6]])), Audit[[#This Row],[Audit Candidate 6]]-Audit[[#This Row],[Candidate 6]], "")</f>
        <v/>
      </c>
      <c r="AK119" s="17" t="str">
        <f>IF(NOT(ISBLANK(Audit[[#This Row],[Audit Candidate 7]])), Audit[[#This Row],[Audit Candidate 7]]-Audit[[#This Row],[Candidate 7]], "")</f>
        <v/>
      </c>
      <c r="AL119" s="17" t="str">
        <f>IF(NOT(ISBLANK(Audit[[#This Row],[Audit Candidate 8]])), Audit[[#This Row],[Audit Candidate 8]]-Audit[[#This Row],[Candidate 8]], "")</f>
        <v/>
      </c>
      <c r="AM119" s="17" t="str">
        <f>IF(NOT(ISBLANK(Audit[[#This Row],[Audit Candidate 9]])), Audit[[#This Row],[Audit Candidate 9]]-Audit[[#This Row],[Candidate 9]], "")</f>
        <v/>
      </c>
      <c r="AN119" s="17" t="str">
        <f>IF(NOT(ISBLANK(Audit[[#This Row],[Audit Candidate 10]])), Audit[[#This Row],[Audit Candidate 10]]-Audit[[#This Row],[Candidate 10]], "")</f>
        <v/>
      </c>
      <c r="AO119" s="17" t="str">
        <f>IF(NOT(ISBLANK(Audit[[#This Row],[Audit Candidate 11]])), Audit[[#This Row],[Audit Candidate 11]]-Audit[[#This Row],[Candidate 11]], "")</f>
        <v/>
      </c>
      <c r="AP119" s="17" t="str">
        <f>IF(NOT(ISBLANK(Audit[[#This Row],[Audit Candidate 12]])), Audit[[#This Row],[Audit Candidate 12]]-Audit[[#This Row],[Candidate 12]], "")</f>
        <v/>
      </c>
      <c r="AQ119" s="17">
        <f>SUMIF(Audit[[#This Row],[Difference Winner]:[Difference Candidate 12]], "&gt;0")</f>
        <v>0</v>
      </c>
      <c r="AR119" s="17">
        <f>SUM(Audit[[#This Row],[Difference Winner]:[Difference Candidate 12]])</f>
        <v>0</v>
      </c>
      <c r="AS119" s="17">
        <f>IF(Audit[[#This Row],[Times p Drawn - With Replacement]]&gt;0, IF(Audit[[#This Row],[Canceled Differences]]&lt;0, Audit[[#This Row],[Max Differences]]+ABS(Audit[[#This Row],[Canceled Differences]]), Audit[[#This Row],[Max Differences]]), 0)</f>
        <v>0</v>
      </c>
      <c r="AT119" s="17">
        <f>'Sampling Data'!AB119</f>
        <v>3.4798845696825667E-3</v>
      </c>
      <c r="AU119" s="17">
        <f>IF(
      SUM(Audit[[#This Row],[Audit Losing Candidate]:[Audit Candidate 12]])
      &lt;&gt;0,
      (Audit[[#This Row],[Winning Candidate]]-Audit[[#This Row],[Losing Candidate]]-(Audit[[#This Row],[Audit Winning Candidate]]-Audit[[#This Row],[Audit Losing Candidate]]))/(Audit[[#Totals],[Winning Candidate]]-Audit[[#Totals],[Losing Candidate]]),
      0
)</f>
        <v>0</v>
      </c>
      <c r="AV1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9" s="17">
        <f>IF(Audit[[#This Row],[Max Relative Error (ep)]] = 0, 0, Audit[[#This Row],[Max Relative Error (ep)]]/Audit[[#This Row],[Error Bound (up) - Max. possible relative overstatement]])</f>
        <v>0</v>
      </c>
      <c r="BH1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9" s="17">
        <f t="shared" si="2"/>
        <v>1</v>
      </c>
      <c r="BJ119" s="17">
        <f>PRODUCT($BI$5:BI119)</f>
        <v>0.75946754148117357</v>
      </c>
      <c r="BK119" s="19">
        <f>1 - Audit[[#This Row],[K-M P Value]]</f>
        <v>0.24053245851882643</v>
      </c>
      <c r="BL119" s="17" t="str">
        <f>IF(Audit[[#This Row],[K-M P Value]]&gt;1-'General Info'!$B$12,"Continue", "Stop")</f>
        <v>Continue</v>
      </c>
      <c r="BM119" s="22" t="b">
        <f>IF(Audit[[#This Row],[Status - Continue or stop audit]] = "Continue", TRUE, IF(BL118 = "Continue", TRUE, FALSE))</f>
        <v>1</v>
      </c>
      <c r="BN119" s="22"/>
    </row>
    <row r="120" spans="1:66" ht="15" hidden="1" customHeight="1" x14ac:dyDescent="0.35">
      <c r="A120" s="17" t="str">
        <f>'Sampling Data'!AI120</f>
        <v/>
      </c>
      <c r="B120" s="17" t="str">
        <f>'Sampling Data'!A120</f>
        <v>1901 CIN 19-A   (AV)</v>
      </c>
      <c r="C120" s="17">
        <f>'Sampling Data'!B120</f>
        <v>56</v>
      </c>
      <c r="D120" s="17">
        <f>'Sampling Data'!C120</f>
        <v>78</v>
      </c>
      <c r="E120" s="18">
        <f>'Sampling Data'!D120</f>
        <v>0</v>
      </c>
      <c r="F120" s="18">
        <f>'Sampling Data'!E120</f>
        <v>0</v>
      </c>
      <c r="G120" s="18">
        <f>'Sampling Data'!F120</f>
        <v>0</v>
      </c>
      <c r="H120" s="18">
        <f>'Sampling Data'!G120</f>
        <v>0</v>
      </c>
      <c r="I120" s="18">
        <f>'Sampling Data'!H120</f>
        <v>0</v>
      </c>
      <c r="J120" s="18">
        <f>'Sampling Data'!I120</f>
        <v>0</v>
      </c>
      <c r="K120" s="18">
        <f>'Sampling Data'!J120</f>
        <v>0</v>
      </c>
      <c r="L120" s="18">
        <f>'Sampling Data'!K120</f>
        <v>0</v>
      </c>
      <c r="M120" s="18">
        <f>'Sampling Data'!L120</f>
        <v>0</v>
      </c>
      <c r="N120" s="18">
        <f>'Sampling Data'!M120</f>
        <v>0</v>
      </c>
      <c r="O120" s="17">
        <f>'Sampling Data'!N120</f>
        <v>0</v>
      </c>
      <c r="P120" s="17">
        <f>'Sampling Data'!O120</f>
        <v>3</v>
      </c>
      <c r="Q120" s="17">
        <f>'Sampling Data'!P120</f>
        <v>137</v>
      </c>
      <c r="R120" s="17">
        <f>'Sampling Data'!AJ120</f>
        <v>0</v>
      </c>
      <c r="S120" s="111"/>
      <c r="T120" s="111"/>
      <c r="U120" s="112"/>
      <c r="V120" s="112"/>
      <c r="W120" s="111"/>
      <c r="X120" s="111"/>
      <c r="Y120" s="111"/>
      <c r="Z120" s="111"/>
      <c r="AA120" s="14"/>
      <c r="AB120" s="14"/>
      <c r="AC120" s="14"/>
      <c r="AD120" s="14"/>
      <c r="AE120" s="113" t="str">
        <f>IF(NOT(ISBLANK(Audit[[#This Row],[Audit Winning Candidate]])), Audit[[#This Row],[Audit Winning Candidate]]-Audit[[#This Row],[Winning Candidate]], "")</f>
        <v/>
      </c>
      <c r="AF120" s="17" t="str">
        <f>IF(NOT(ISBLANK(Audit[[#This Row],[Audit Losing Candidate]])), Audit[[#This Row],[Audit Losing Candidate]]-Audit[[#This Row],[Losing Candidate]], "")</f>
        <v/>
      </c>
      <c r="AG120" s="17" t="str">
        <f>IF(NOT(ISBLANK(Audit[[#This Row],[Audit Candidate 3]])), Audit[[#This Row],[Audit Candidate 3]]-Audit[[#This Row],[Candidate 3]], "")</f>
        <v/>
      </c>
      <c r="AH120" s="17" t="str">
        <f>IF(NOT(ISBLANK(Audit[[#This Row],[Audit Candidate 4]])),Audit[[#This Row],[Audit Candidate 4]]-Audit[[#This Row],[Candidate 4]], "")</f>
        <v/>
      </c>
      <c r="AI120" s="17" t="str">
        <f>IF(NOT(ISBLANK(Audit[[#This Row],[Audit Candidate 5]])), Audit[[#This Row],[Audit Candidate 5]]-Audit[[#This Row],[Candidate 5]], "")</f>
        <v/>
      </c>
      <c r="AJ120" s="17" t="str">
        <f>IF(NOT(ISBLANK(Audit[[#This Row],[Audit Candidate 6]])), Audit[[#This Row],[Audit Candidate 6]]-Audit[[#This Row],[Candidate 6]], "")</f>
        <v/>
      </c>
      <c r="AK120" s="17" t="str">
        <f>IF(NOT(ISBLANK(Audit[[#This Row],[Audit Candidate 7]])), Audit[[#This Row],[Audit Candidate 7]]-Audit[[#This Row],[Candidate 7]], "")</f>
        <v/>
      </c>
      <c r="AL120" s="17" t="str">
        <f>IF(NOT(ISBLANK(Audit[[#This Row],[Audit Candidate 8]])), Audit[[#This Row],[Audit Candidate 8]]-Audit[[#This Row],[Candidate 8]], "")</f>
        <v/>
      </c>
      <c r="AM120" s="17" t="str">
        <f>IF(NOT(ISBLANK(Audit[[#This Row],[Audit Candidate 9]])), Audit[[#This Row],[Audit Candidate 9]]-Audit[[#This Row],[Candidate 9]], "")</f>
        <v/>
      </c>
      <c r="AN120" s="17" t="str">
        <f>IF(NOT(ISBLANK(Audit[[#This Row],[Audit Candidate 10]])), Audit[[#This Row],[Audit Candidate 10]]-Audit[[#This Row],[Candidate 10]], "")</f>
        <v/>
      </c>
      <c r="AO120" s="17" t="str">
        <f>IF(NOT(ISBLANK(Audit[[#This Row],[Audit Candidate 11]])), Audit[[#This Row],[Audit Candidate 11]]-Audit[[#This Row],[Candidate 11]], "")</f>
        <v/>
      </c>
      <c r="AP120" s="17" t="str">
        <f>IF(NOT(ISBLANK(Audit[[#This Row],[Audit Candidate 12]])), Audit[[#This Row],[Audit Candidate 12]]-Audit[[#This Row],[Candidate 12]], "")</f>
        <v/>
      </c>
      <c r="AQ120" s="17">
        <f>SUMIF(Audit[[#This Row],[Difference Winner]:[Difference Candidate 12]], "&gt;0")</f>
        <v>0</v>
      </c>
      <c r="AR120" s="17">
        <f>SUM(Audit[[#This Row],[Difference Winner]:[Difference Candidate 12]])</f>
        <v>0</v>
      </c>
      <c r="AS120" s="17">
        <f>IF(Audit[[#This Row],[Times p Drawn - With Replacement]]&gt;0, IF(Audit[[#This Row],[Canceled Differences]]&lt;0, Audit[[#This Row],[Max Differences]]+ABS(Audit[[#This Row],[Canceled Differences]]), Audit[[#This Row],[Max Differences]]), 0)</f>
        <v>0</v>
      </c>
      <c r="AT120" s="17">
        <f>'Sampling Data'!AB120</f>
        <v>4.8803259208962824E-3</v>
      </c>
      <c r="AU120" s="17">
        <f>IF(
      SUM(Audit[[#This Row],[Audit Losing Candidate]:[Audit Candidate 12]])
      &lt;&gt;0,
      (Audit[[#This Row],[Winning Candidate]]-Audit[[#This Row],[Losing Candidate]]-(Audit[[#This Row],[Audit Winning Candidate]]-Audit[[#This Row],[Audit Losing Candidate]]))/(Audit[[#Totals],[Winning Candidate]]-Audit[[#Totals],[Losing Candidate]]),
      0
)</f>
        <v>0</v>
      </c>
      <c r="AV1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0" s="17">
        <f>IF(Audit[[#This Row],[Max Relative Error (ep)]] = 0, 0, Audit[[#This Row],[Max Relative Error (ep)]]/Audit[[#This Row],[Error Bound (up) - Max. possible relative overstatement]])</f>
        <v>0</v>
      </c>
      <c r="BH1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20" s="17">
        <f t="shared" si="2"/>
        <v>1</v>
      </c>
      <c r="BJ120" s="17">
        <f>PRODUCT($BI$5:BI120)</f>
        <v>0.75946754148117357</v>
      </c>
      <c r="BK120" s="19">
        <f>1 - Audit[[#This Row],[K-M P Value]]</f>
        <v>0.24053245851882643</v>
      </c>
      <c r="BL120" s="17" t="str">
        <f>IF(Audit[[#This Row],[K-M P Value]]&gt;1-'General Info'!$B$12,"Continue", "Stop")</f>
        <v>Continue</v>
      </c>
      <c r="BM120" s="22" t="b">
        <f>IF(Audit[[#This Row],[Status - Continue or stop audit]] = "Continue", TRUE, IF(BL119 = "Continue", TRUE, FALSE))</f>
        <v>1</v>
      </c>
      <c r="BN120" s="22"/>
    </row>
    <row r="121" spans="1:66" ht="15" hidden="1" customHeight="1" x14ac:dyDescent="0.35">
      <c r="A121" s="17" t="str">
        <f>'Sampling Data'!AI121</f>
        <v/>
      </c>
      <c r="B121" s="17" t="str">
        <f>'Sampling Data'!A121</f>
        <v>1902 CIN 19-B   (AV)</v>
      </c>
      <c r="C121" s="17">
        <f>'Sampling Data'!B121</f>
        <v>60</v>
      </c>
      <c r="D121" s="17">
        <f>'Sampling Data'!C121</f>
        <v>146</v>
      </c>
      <c r="E121" s="18">
        <f>'Sampling Data'!D121</f>
        <v>0</v>
      </c>
      <c r="F121" s="18">
        <f>'Sampling Data'!E121</f>
        <v>0</v>
      </c>
      <c r="G121" s="18">
        <f>'Sampling Data'!F121</f>
        <v>0</v>
      </c>
      <c r="H121" s="18">
        <f>'Sampling Data'!G121</f>
        <v>0</v>
      </c>
      <c r="I121" s="18">
        <f>'Sampling Data'!H121</f>
        <v>0</v>
      </c>
      <c r="J121" s="18">
        <f>'Sampling Data'!I121</f>
        <v>0</v>
      </c>
      <c r="K121" s="18">
        <f>'Sampling Data'!J121</f>
        <v>0</v>
      </c>
      <c r="L121" s="18">
        <f>'Sampling Data'!K121</f>
        <v>0</v>
      </c>
      <c r="M121" s="18">
        <f>'Sampling Data'!L121</f>
        <v>0</v>
      </c>
      <c r="N121" s="18">
        <f>'Sampling Data'!M121</f>
        <v>0</v>
      </c>
      <c r="O121" s="17">
        <f>'Sampling Data'!N121</f>
        <v>0</v>
      </c>
      <c r="P121" s="17">
        <f>'Sampling Data'!O121</f>
        <v>5</v>
      </c>
      <c r="Q121" s="17">
        <f>'Sampling Data'!P121</f>
        <v>211</v>
      </c>
      <c r="R121" s="17">
        <f>'Sampling Data'!AJ121</f>
        <v>0</v>
      </c>
      <c r="S121" s="111"/>
      <c r="T121" s="111"/>
      <c r="U121" s="112"/>
      <c r="V121" s="112"/>
      <c r="W121" s="111"/>
      <c r="X121" s="111"/>
      <c r="Y121" s="111"/>
      <c r="Z121" s="111"/>
      <c r="AA121" s="14"/>
      <c r="AB121" s="14"/>
      <c r="AC121" s="14"/>
      <c r="AD121" s="14"/>
      <c r="AE121" s="113" t="str">
        <f>IF(NOT(ISBLANK(Audit[[#This Row],[Audit Winning Candidate]])), Audit[[#This Row],[Audit Winning Candidate]]-Audit[[#This Row],[Winning Candidate]], "")</f>
        <v/>
      </c>
      <c r="AF121" s="17" t="str">
        <f>IF(NOT(ISBLANK(Audit[[#This Row],[Audit Losing Candidate]])), Audit[[#This Row],[Audit Losing Candidate]]-Audit[[#This Row],[Losing Candidate]], "")</f>
        <v/>
      </c>
      <c r="AG121" s="17" t="str">
        <f>IF(NOT(ISBLANK(Audit[[#This Row],[Audit Candidate 3]])), Audit[[#This Row],[Audit Candidate 3]]-Audit[[#This Row],[Candidate 3]], "")</f>
        <v/>
      </c>
      <c r="AH121" s="17" t="str">
        <f>IF(NOT(ISBLANK(Audit[[#This Row],[Audit Candidate 4]])),Audit[[#This Row],[Audit Candidate 4]]-Audit[[#This Row],[Candidate 4]], "")</f>
        <v/>
      </c>
      <c r="AI121" s="17" t="str">
        <f>IF(NOT(ISBLANK(Audit[[#This Row],[Audit Candidate 5]])), Audit[[#This Row],[Audit Candidate 5]]-Audit[[#This Row],[Candidate 5]], "")</f>
        <v/>
      </c>
      <c r="AJ121" s="17" t="str">
        <f>IF(NOT(ISBLANK(Audit[[#This Row],[Audit Candidate 6]])), Audit[[#This Row],[Audit Candidate 6]]-Audit[[#This Row],[Candidate 6]], "")</f>
        <v/>
      </c>
      <c r="AK121" s="17" t="str">
        <f>IF(NOT(ISBLANK(Audit[[#This Row],[Audit Candidate 7]])), Audit[[#This Row],[Audit Candidate 7]]-Audit[[#This Row],[Candidate 7]], "")</f>
        <v/>
      </c>
      <c r="AL121" s="17" t="str">
        <f>IF(NOT(ISBLANK(Audit[[#This Row],[Audit Candidate 8]])), Audit[[#This Row],[Audit Candidate 8]]-Audit[[#This Row],[Candidate 8]], "")</f>
        <v/>
      </c>
      <c r="AM121" s="17" t="str">
        <f>IF(NOT(ISBLANK(Audit[[#This Row],[Audit Candidate 9]])), Audit[[#This Row],[Audit Candidate 9]]-Audit[[#This Row],[Candidate 9]], "")</f>
        <v/>
      </c>
      <c r="AN121" s="17" t="str">
        <f>IF(NOT(ISBLANK(Audit[[#This Row],[Audit Candidate 10]])), Audit[[#This Row],[Audit Candidate 10]]-Audit[[#This Row],[Candidate 10]], "")</f>
        <v/>
      </c>
      <c r="AO121" s="17" t="str">
        <f>IF(NOT(ISBLANK(Audit[[#This Row],[Audit Candidate 11]])), Audit[[#This Row],[Audit Candidate 11]]-Audit[[#This Row],[Candidate 11]], "")</f>
        <v/>
      </c>
      <c r="AP121" s="17" t="str">
        <f>IF(NOT(ISBLANK(Audit[[#This Row],[Audit Candidate 12]])), Audit[[#This Row],[Audit Candidate 12]]-Audit[[#This Row],[Candidate 12]], "")</f>
        <v/>
      </c>
      <c r="AQ121" s="17">
        <f>SUMIF(Audit[[#This Row],[Difference Winner]:[Difference Candidate 12]], "&gt;0")</f>
        <v>0</v>
      </c>
      <c r="AR121" s="17">
        <f>SUM(Audit[[#This Row],[Difference Winner]:[Difference Candidate 12]])</f>
        <v>0</v>
      </c>
      <c r="AS121" s="17">
        <f>IF(Audit[[#This Row],[Times p Drawn - With Replacement]]&gt;0, IF(Audit[[#This Row],[Canceled Differences]]&lt;0, Audit[[#This Row],[Max Differences]]+ABS(Audit[[#This Row],[Canceled Differences]]), Audit[[#This Row],[Max Differences]]), 0)</f>
        <v>0</v>
      </c>
      <c r="AT121" s="17">
        <f>'Sampling Data'!AB121</f>
        <v>5.3047020879307422E-3</v>
      </c>
      <c r="AU121" s="17">
        <f>IF(
      SUM(Audit[[#This Row],[Audit Losing Candidate]:[Audit Candidate 12]])
      &lt;&gt;0,
      (Audit[[#This Row],[Winning Candidate]]-Audit[[#This Row],[Losing Candidate]]-(Audit[[#This Row],[Audit Winning Candidate]]-Audit[[#This Row],[Audit Losing Candidate]]))/(Audit[[#Totals],[Winning Candidate]]-Audit[[#Totals],[Losing Candidate]]),
      0
)</f>
        <v>0</v>
      </c>
      <c r="AV1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1" s="17">
        <f>IF(Audit[[#This Row],[Max Relative Error (ep)]] = 0, 0, Audit[[#This Row],[Max Relative Error (ep)]]/Audit[[#This Row],[Error Bound (up) - Max. possible relative overstatement]])</f>
        <v>0</v>
      </c>
      <c r="BH1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21" s="17">
        <f t="shared" si="2"/>
        <v>1</v>
      </c>
      <c r="BJ121" s="17">
        <f>PRODUCT($BI$5:BI121)</f>
        <v>0.75946754148117357</v>
      </c>
      <c r="BK121" s="19">
        <f>1 - Audit[[#This Row],[K-M P Value]]</f>
        <v>0.24053245851882643</v>
      </c>
      <c r="BL121" s="17" t="str">
        <f>IF(Audit[[#This Row],[K-M P Value]]&gt;1-'General Info'!$B$12,"Continue", "Stop")</f>
        <v>Continue</v>
      </c>
      <c r="BM121" s="22" t="b">
        <f>IF(Audit[[#This Row],[Status - Continue or stop audit]] = "Continue", TRUE, IF(BL120 = "Continue", TRUE, FALSE))</f>
        <v>1</v>
      </c>
      <c r="BN121" s="22"/>
    </row>
    <row r="122" spans="1:66" ht="15" hidden="1" customHeight="1" x14ac:dyDescent="0.35">
      <c r="A122" s="17" t="str">
        <f>'Sampling Data'!AI122</f>
        <v/>
      </c>
      <c r="B122" s="17" t="str">
        <f>'Sampling Data'!A122</f>
        <v>1903 CIN 19-C   (AV)</v>
      </c>
      <c r="C122" s="17">
        <f>'Sampling Data'!B122</f>
        <v>75</v>
      </c>
      <c r="D122" s="17">
        <f>'Sampling Data'!C122</f>
        <v>137</v>
      </c>
      <c r="E122" s="18">
        <f>'Sampling Data'!D122</f>
        <v>0</v>
      </c>
      <c r="F122" s="18">
        <f>'Sampling Data'!E122</f>
        <v>0</v>
      </c>
      <c r="G122" s="18">
        <f>'Sampling Data'!F122</f>
        <v>0</v>
      </c>
      <c r="H122" s="18">
        <f>'Sampling Data'!G122</f>
        <v>0</v>
      </c>
      <c r="I122" s="18">
        <f>'Sampling Data'!H122</f>
        <v>0</v>
      </c>
      <c r="J122" s="18">
        <f>'Sampling Data'!I122</f>
        <v>0</v>
      </c>
      <c r="K122" s="18">
        <f>'Sampling Data'!J122</f>
        <v>0</v>
      </c>
      <c r="L122" s="18">
        <f>'Sampling Data'!K122</f>
        <v>0</v>
      </c>
      <c r="M122" s="18">
        <f>'Sampling Data'!L122</f>
        <v>0</v>
      </c>
      <c r="N122" s="18">
        <f>'Sampling Data'!M122</f>
        <v>0</v>
      </c>
      <c r="O122" s="17">
        <f>'Sampling Data'!N122</f>
        <v>0</v>
      </c>
      <c r="P122" s="17">
        <f>'Sampling Data'!O122</f>
        <v>11</v>
      </c>
      <c r="Q122" s="17">
        <f>'Sampling Data'!P122</f>
        <v>223</v>
      </c>
      <c r="R122" s="17">
        <f>'Sampling Data'!AJ122</f>
        <v>0</v>
      </c>
      <c r="S122" s="111"/>
      <c r="T122" s="111"/>
      <c r="U122" s="112"/>
      <c r="V122" s="112"/>
      <c r="W122" s="111"/>
      <c r="X122" s="111"/>
      <c r="Y122" s="111"/>
      <c r="Z122" s="111"/>
      <c r="AA122" s="14"/>
      <c r="AB122" s="14"/>
      <c r="AC122" s="14"/>
      <c r="AD122" s="14"/>
      <c r="AE122" s="113" t="str">
        <f>IF(NOT(ISBLANK(Audit[[#This Row],[Audit Winning Candidate]])), Audit[[#This Row],[Audit Winning Candidate]]-Audit[[#This Row],[Winning Candidate]], "")</f>
        <v/>
      </c>
      <c r="AF122" s="17" t="str">
        <f>IF(NOT(ISBLANK(Audit[[#This Row],[Audit Losing Candidate]])), Audit[[#This Row],[Audit Losing Candidate]]-Audit[[#This Row],[Losing Candidate]], "")</f>
        <v/>
      </c>
      <c r="AG122" s="17" t="str">
        <f>IF(NOT(ISBLANK(Audit[[#This Row],[Audit Candidate 3]])), Audit[[#This Row],[Audit Candidate 3]]-Audit[[#This Row],[Candidate 3]], "")</f>
        <v/>
      </c>
      <c r="AH122" s="17" t="str">
        <f>IF(NOT(ISBLANK(Audit[[#This Row],[Audit Candidate 4]])),Audit[[#This Row],[Audit Candidate 4]]-Audit[[#This Row],[Candidate 4]], "")</f>
        <v/>
      </c>
      <c r="AI122" s="17" t="str">
        <f>IF(NOT(ISBLANK(Audit[[#This Row],[Audit Candidate 5]])), Audit[[#This Row],[Audit Candidate 5]]-Audit[[#This Row],[Candidate 5]], "")</f>
        <v/>
      </c>
      <c r="AJ122" s="17" t="str">
        <f>IF(NOT(ISBLANK(Audit[[#This Row],[Audit Candidate 6]])), Audit[[#This Row],[Audit Candidate 6]]-Audit[[#This Row],[Candidate 6]], "")</f>
        <v/>
      </c>
      <c r="AK122" s="17" t="str">
        <f>IF(NOT(ISBLANK(Audit[[#This Row],[Audit Candidate 7]])), Audit[[#This Row],[Audit Candidate 7]]-Audit[[#This Row],[Candidate 7]], "")</f>
        <v/>
      </c>
      <c r="AL122" s="17" t="str">
        <f>IF(NOT(ISBLANK(Audit[[#This Row],[Audit Candidate 8]])), Audit[[#This Row],[Audit Candidate 8]]-Audit[[#This Row],[Candidate 8]], "")</f>
        <v/>
      </c>
      <c r="AM122" s="17" t="str">
        <f>IF(NOT(ISBLANK(Audit[[#This Row],[Audit Candidate 9]])), Audit[[#This Row],[Audit Candidate 9]]-Audit[[#This Row],[Candidate 9]], "")</f>
        <v/>
      </c>
      <c r="AN122" s="17" t="str">
        <f>IF(NOT(ISBLANK(Audit[[#This Row],[Audit Candidate 10]])), Audit[[#This Row],[Audit Candidate 10]]-Audit[[#This Row],[Candidate 10]], "")</f>
        <v/>
      </c>
      <c r="AO122" s="17" t="str">
        <f>IF(NOT(ISBLANK(Audit[[#This Row],[Audit Candidate 11]])), Audit[[#This Row],[Audit Candidate 11]]-Audit[[#This Row],[Candidate 11]], "")</f>
        <v/>
      </c>
      <c r="AP122" s="17" t="str">
        <f>IF(NOT(ISBLANK(Audit[[#This Row],[Audit Candidate 12]])), Audit[[#This Row],[Audit Candidate 12]]-Audit[[#This Row],[Candidate 12]], "")</f>
        <v/>
      </c>
      <c r="AQ122" s="17">
        <f>SUMIF(Audit[[#This Row],[Difference Winner]:[Difference Candidate 12]], "&gt;0")</f>
        <v>0</v>
      </c>
      <c r="AR122" s="17">
        <f>SUM(Audit[[#This Row],[Difference Winner]:[Difference Candidate 12]])</f>
        <v>0</v>
      </c>
      <c r="AS122" s="17">
        <f>IF(Audit[[#This Row],[Times p Drawn - With Replacement]]&gt;0, IF(Audit[[#This Row],[Canceled Differences]]&lt;0, Audit[[#This Row],[Max Differences]]+ABS(Audit[[#This Row],[Canceled Differences]]), Audit[[#This Row],[Max Differences]]), 0)</f>
        <v>0</v>
      </c>
      <c r="AT122" s="17">
        <f>'Sampling Data'!AB122</f>
        <v>6.8324562892547952E-3</v>
      </c>
      <c r="AU122" s="17">
        <f>IF(
      SUM(Audit[[#This Row],[Audit Losing Candidate]:[Audit Candidate 12]])
      &lt;&gt;0,
      (Audit[[#This Row],[Winning Candidate]]-Audit[[#This Row],[Losing Candidate]]-(Audit[[#This Row],[Audit Winning Candidate]]-Audit[[#This Row],[Audit Losing Candidate]]))/(Audit[[#Totals],[Winning Candidate]]-Audit[[#Totals],[Losing Candidate]]),
      0
)</f>
        <v>0</v>
      </c>
      <c r="AV1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2" s="17">
        <f>IF(Audit[[#This Row],[Max Relative Error (ep)]] = 0, 0, Audit[[#This Row],[Max Relative Error (ep)]]/Audit[[#This Row],[Error Bound (up) - Max. possible relative overstatement]])</f>
        <v>0</v>
      </c>
      <c r="BH1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22" s="17">
        <f t="shared" si="2"/>
        <v>1</v>
      </c>
      <c r="BJ122" s="17">
        <f>PRODUCT($BI$5:BI122)</f>
        <v>0.75946754148117357</v>
      </c>
      <c r="BK122" s="19">
        <f>1 - Audit[[#This Row],[K-M P Value]]</f>
        <v>0.24053245851882643</v>
      </c>
      <c r="BL122" s="17" t="str">
        <f>IF(Audit[[#This Row],[K-M P Value]]&gt;1-'General Info'!$B$12,"Continue", "Stop")</f>
        <v>Continue</v>
      </c>
      <c r="BM122" s="22" t="b">
        <f>IF(Audit[[#This Row],[Status - Continue or stop audit]] = "Continue", TRUE, IF(BL121 = "Continue", TRUE, FALSE))</f>
        <v>1</v>
      </c>
      <c r="BN122" s="22"/>
    </row>
    <row r="123" spans="1:66" ht="15" hidden="1" customHeight="1" x14ac:dyDescent="0.35">
      <c r="A123" s="17" t="str">
        <f>'Sampling Data'!AI123</f>
        <v/>
      </c>
      <c r="B123" s="17" t="str">
        <f>'Sampling Data'!A123</f>
        <v>1904 CIN 19-D   (AV)</v>
      </c>
      <c r="C123" s="17">
        <f>'Sampling Data'!B123</f>
        <v>17</v>
      </c>
      <c r="D123" s="17">
        <f>'Sampling Data'!C123</f>
        <v>4</v>
      </c>
      <c r="E123" s="18">
        <f>'Sampling Data'!D123</f>
        <v>0</v>
      </c>
      <c r="F123" s="18">
        <f>'Sampling Data'!E123</f>
        <v>0</v>
      </c>
      <c r="G123" s="18">
        <f>'Sampling Data'!F123</f>
        <v>0</v>
      </c>
      <c r="H123" s="18">
        <f>'Sampling Data'!G123</f>
        <v>0</v>
      </c>
      <c r="I123" s="18">
        <f>'Sampling Data'!H123</f>
        <v>0</v>
      </c>
      <c r="J123" s="18">
        <f>'Sampling Data'!I123</f>
        <v>0</v>
      </c>
      <c r="K123" s="18">
        <f>'Sampling Data'!J123</f>
        <v>0</v>
      </c>
      <c r="L123" s="18">
        <f>'Sampling Data'!K123</f>
        <v>0</v>
      </c>
      <c r="M123" s="18">
        <f>'Sampling Data'!L123</f>
        <v>0</v>
      </c>
      <c r="N123" s="18">
        <f>'Sampling Data'!M123</f>
        <v>0</v>
      </c>
      <c r="O123" s="17">
        <f>'Sampling Data'!N123</f>
        <v>0</v>
      </c>
      <c r="P123" s="17">
        <f>'Sampling Data'!O123</f>
        <v>0</v>
      </c>
      <c r="Q123" s="17">
        <f>'Sampling Data'!P123</f>
        <v>21</v>
      </c>
      <c r="R123" s="17">
        <f>'Sampling Data'!AJ123</f>
        <v>0</v>
      </c>
      <c r="S123" s="111"/>
      <c r="T123" s="111"/>
      <c r="U123" s="112"/>
      <c r="V123" s="112"/>
      <c r="W123" s="111"/>
      <c r="X123" s="111"/>
      <c r="Y123" s="111"/>
      <c r="Z123" s="111"/>
      <c r="AA123" s="14"/>
      <c r="AB123" s="14"/>
      <c r="AC123" s="14"/>
      <c r="AD123" s="14"/>
      <c r="AE123" s="113" t="str">
        <f>IF(NOT(ISBLANK(Audit[[#This Row],[Audit Winning Candidate]])), Audit[[#This Row],[Audit Winning Candidate]]-Audit[[#This Row],[Winning Candidate]], "")</f>
        <v/>
      </c>
      <c r="AF123" s="17" t="str">
        <f>IF(NOT(ISBLANK(Audit[[#This Row],[Audit Losing Candidate]])), Audit[[#This Row],[Audit Losing Candidate]]-Audit[[#This Row],[Losing Candidate]], "")</f>
        <v/>
      </c>
      <c r="AG123" s="17" t="str">
        <f>IF(NOT(ISBLANK(Audit[[#This Row],[Audit Candidate 3]])), Audit[[#This Row],[Audit Candidate 3]]-Audit[[#This Row],[Candidate 3]], "")</f>
        <v/>
      </c>
      <c r="AH123" s="17" t="str">
        <f>IF(NOT(ISBLANK(Audit[[#This Row],[Audit Candidate 4]])),Audit[[#This Row],[Audit Candidate 4]]-Audit[[#This Row],[Candidate 4]], "")</f>
        <v/>
      </c>
      <c r="AI123" s="17" t="str">
        <f>IF(NOT(ISBLANK(Audit[[#This Row],[Audit Candidate 5]])), Audit[[#This Row],[Audit Candidate 5]]-Audit[[#This Row],[Candidate 5]], "")</f>
        <v/>
      </c>
      <c r="AJ123" s="17" t="str">
        <f>IF(NOT(ISBLANK(Audit[[#This Row],[Audit Candidate 6]])), Audit[[#This Row],[Audit Candidate 6]]-Audit[[#This Row],[Candidate 6]], "")</f>
        <v/>
      </c>
      <c r="AK123" s="17" t="str">
        <f>IF(NOT(ISBLANK(Audit[[#This Row],[Audit Candidate 7]])), Audit[[#This Row],[Audit Candidate 7]]-Audit[[#This Row],[Candidate 7]], "")</f>
        <v/>
      </c>
      <c r="AL123" s="17" t="str">
        <f>IF(NOT(ISBLANK(Audit[[#This Row],[Audit Candidate 8]])), Audit[[#This Row],[Audit Candidate 8]]-Audit[[#This Row],[Candidate 8]], "")</f>
        <v/>
      </c>
      <c r="AM123" s="17" t="str">
        <f>IF(NOT(ISBLANK(Audit[[#This Row],[Audit Candidate 9]])), Audit[[#This Row],[Audit Candidate 9]]-Audit[[#This Row],[Candidate 9]], "")</f>
        <v/>
      </c>
      <c r="AN123" s="17" t="str">
        <f>IF(NOT(ISBLANK(Audit[[#This Row],[Audit Candidate 10]])), Audit[[#This Row],[Audit Candidate 10]]-Audit[[#This Row],[Candidate 10]], "")</f>
        <v/>
      </c>
      <c r="AO123" s="17" t="str">
        <f>IF(NOT(ISBLANK(Audit[[#This Row],[Audit Candidate 11]])), Audit[[#This Row],[Audit Candidate 11]]-Audit[[#This Row],[Candidate 11]], "")</f>
        <v/>
      </c>
      <c r="AP123" s="17" t="str">
        <f>IF(NOT(ISBLANK(Audit[[#This Row],[Audit Candidate 12]])), Audit[[#This Row],[Audit Candidate 12]]-Audit[[#This Row],[Candidate 12]], "")</f>
        <v/>
      </c>
      <c r="AQ123" s="17">
        <f>SUMIF(Audit[[#This Row],[Difference Winner]:[Difference Candidate 12]], "&gt;0")</f>
        <v>0</v>
      </c>
      <c r="AR123" s="17">
        <f>SUM(Audit[[#This Row],[Difference Winner]:[Difference Candidate 12]])</f>
        <v>0</v>
      </c>
      <c r="AS123" s="17">
        <f>IF(Audit[[#This Row],[Times p Drawn - With Replacement]]&gt;0, IF(Audit[[#This Row],[Canceled Differences]]&lt;0, Audit[[#This Row],[Max Differences]]+ABS(Audit[[#This Row],[Canceled Differences]]), Audit[[#This Row],[Max Differences]]), 0)</f>
        <v>0</v>
      </c>
      <c r="AT123" s="17">
        <f>'Sampling Data'!AB123</f>
        <v>1.4428789679171619E-3</v>
      </c>
      <c r="AU123" s="17">
        <f>IF(
      SUM(Audit[[#This Row],[Audit Losing Candidate]:[Audit Candidate 12]])
      &lt;&gt;0,
      (Audit[[#This Row],[Winning Candidate]]-Audit[[#This Row],[Losing Candidate]]-(Audit[[#This Row],[Audit Winning Candidate]]-Audit[[#This Row],[Audit Losing Candidate]]))/(Audit[[#Totals],[Winning Candidate]]-Audit[[#Totals],[Losing Candidate]]),
      0
)</f>
        <v>0</v>
      </c>
      <c r="AV1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3" s="17">
        <f>IF(Audit[[#This Row],[Max Relative Error (ep)]] = 0, 0, Audit[[#This Row],[Max Relative Error (ep)]]/Audit[[#This Row],[Error Bound (up) - Max. possible relative overstatement]])</f>
        <v>0</v>
      </c>
      <c r="BH1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23" s="17">
        <f t="shared" si="2"/>
        <v>1</v>
      </c>
      <c r="BJ123" s="17">
        <f>PRODUCT($BI$5:BI123)</f>
        <v>0.75946754148117357</v>
      </c>
      <c r="BK123" s="19">
        <f>1 - Audit[[#This Row],[K-M P Value]]</f>
        <v>0.24053245851882643</v>
      </c>
      <c r="BL123" s="17" t="str">
        <f>IF(Audit[[#This Row],[K-M P Value]]&gt;1-'General Info'!$B$12,"Continue", "Stop")</f>
        <v>Continue</v>
      </c>
      <c r="BM123" s="22" t="b">
        <f>IF(Audit[[#This Row],[Status - Continue or stop audit]] = "Continue", TRUE, IF(BL122 = "Continue", TRUE, FALSE))</f>
        <v>1</v>
      </c>
      <c r="BN123" s="22"/>
    </row>
    <row r="124" spans="1:66" ht="15" hidden="1" customHeight="1" x14ac:dyDescent="0.35">
      <c r="A124" s="17" t="str">
        <f>'Sampling Data'!AI124</f>
        <v/>
      </c>
      <c r="B124" s="17" t="str">
        <f>'Sampling Data'!A124</f>
        <v>2001 CIN 20-A   (AV)</v>
      </c>
      <c r="C124" s="17">
        <f>'Sampling Data'!B124</f>
        <v>98</v>
      </c>
      <c r="D124" s="17">
        <f>'Sampling Data'!C124</f>
        <v>54</v>
      </c>
      <c r="E124" s="18">
        <f>'Sampling Data'!D124</f>
        <v>0</v>
      </c>
      <c r="F124" s="18">
        <f>'Sampling Data'!E124</f>
        <v>0</v>
      </c>
      <c r="G124" s="18">
        <f>'Sampling Data'!F124</f>
        <v>0</v>
      </c>
      <c r="H124" s="18">
        <f>'Sampling Data'!G124</f>
        <v>0</v>
      </c>
      <c r="I124" s="18">
        <f>'Sampling Data'!H124</f>
        <v>0</v>
      </c>
      <c r="J124" s="18">
        <f>'Sampling Data'!I124</f>
        <v>0</v>
      </c>
      <c r="K124" s="18">
        <f>'Sampling Data'!J124</f>
        <v>0</v>
      </c>
      <c r="L124" s="18">
        <f>'Sampling Data'!K124</f>
        <v>0</v>
      </c>
      <c r="M124" s="18">
        <f>'Sampling Data'!L124</f>
        <v>0</v>
      </c>
      <c r="N124" s="18">
        <f>'Sampling Data'!M124</f>
        <v>0</v>
      </c>
      <c r="O124" s="17">
        <f>'Sampling Data'!N124</f>
        <v>0</v>
      </c>
      <c r="P124" s="17">
        <f>'Sampling Data'!O124</f>
        <v>9</v>
      </c>
      <c r="Q124" s="17">
        <f>'Sampling Data'!P124</f>
        <v>161</v>
      </c>
      <c r="R124" s="17">
        <f>'Sampling Data'!AJ124</f>
        <v>0</v>
      </c>
      <c r="S124" s="111"/>
      <c r="T124" s="111"/>
      <c r="U124" s="112"/>
      <c r="V124" s="112"/>
      <c r="W124" s="111"/>
      <c r="X124" s="111"/>
      <c r="Y124" s="111"/>
      <c r="Z124" s="111"/>
      <c r="AA124" s="14"/>
      <c r="AB124" s="14"/>
      <c r="AC124" s="14"/>
      <c r="AD124" s="14"/>
      <c r="AE124" s="113" t="str">
        <f>IF(NOT(ISBLANK(Audit[[#This Row],[Audit Winning Candidate]])), Audit[[#This Row],[Audit Winning Candidate]]-Audit[[#This Row],[Winning Candidate]], "")</f>
        <v/>
      </c>
      <c r="AF124" s="17" t="str">
        <f>IF(NOT(ISBLANK(Audit[[#This Row],[Audit Losing Candidate]])), Audit[[#This Row],[Audit Losing Candidate]]-Audit[[#This Row],[Losing Candidate]], "")</f>
        <v/>
      </c>
      <c r="AG124" s="17" t="str">
        <f>IF(NOT(ISBLANK(Audit[[#This Row],[Audit Candidate 3]])), Audit[[#This Row],[Audit Candidate 3]]-Audit[[#This Row],[Candidate 3]], "")</f>
        <v/>
      </c>
      <c r="AH124" s="17" t="str">
        <f>IF(NOT(ISBLANK(Audit[[#This Row],[Audit Candidate 4]])),Audit[[#This Row],[Audit Candidate 4]]-Audit[[#This Row],[Candidate 4]], "")</f>
        <v/>
      </c>
      <c r="AI124" s="17" t="str">
        <f>IF(NOT(ISBLANK(Audit[[#This Row],[Audit Candidate 5]])), Audit[[#This Row],[Audit Candidate 5]]-Audit[[#This Row],[Candidate 5]], "")</f>
        <v/>
      </c>
      <c r="AJ124" s="17" t="str">
        <f>IF(NOT(ISBLANK(Audit[[#This Row],[Audit Candidate 6]])), Audit[[#This Row],[Audit Candidate 6]]-Audit[[#This Row],[Candidate 6]], "")</f>
        <v/>
      </c>
      <c r="AK124" s="17" t="str">
        <f>IF(NOT(ISBLANK(Audit[[#This Row],[Audit Candidate 7]])), Audit[[#This Row],[Audit Candidate 7]]-Audit[[#This Row],[Candidate 7]], "")</f>
        <v/>
      </c>
      <c r="AL124" s="17" t="str">
        <f>IF(NOT(ISBLANK(Audit[[#This Row],[Audit Candidate 8]])), Audit[[#This Row],[Audit Candidate 8]]-Audit[[#This Row],[Candidate 8]], "")</f>
        <v/>
      </c>
      <c r="AM124" s="17" t="str">
        <f>IF(NOT(ISBLANK(Audit[[#This Row],[Audit Candidate 9]])), Audit[[#This Row],[Audit Candidate 9]]-Audit[[#This Row],[Candidate 9]], "")</f>
        <v/>
      </c>
      <c r="AN124" s="17" t="str">
        <f>IF(NOT(ISBLANK(Audit[[#This Row],[Audit Candidate 10]])), Audit[[#This Row],[Audit Candidate 10]]-Audit[[#This Row],[Candidate 10]], "")</f>
        <v/>
      </c>
      <c r="AO124" s="17" t="str">
        <f>IF(NOT(ISBLANK(Audit[[#This Row],[Audit Candidate 11]])), Audit[[#This Row],[Audit Candidate 11]]-Audit[[#This Row],[Candidate 11]], "")</f>
        <v/>
      </c>
      <c r="AP124" s="17" t="str">
        <f>IF(NOT(ISBLANK(Audit[[#This Row],[Audit Candidate 12]])), Audit[[#This Row],[Audit Candidate 12]]-Audit[[#This Row],[Candidate 12]], "")</f>
        <v/>
      </c>
      <c r="AQ124" s="17">
        <f>SUMIF(Audit[[#This Row],[Difference Winner]:[Difference Candidate 12]], "&gt;0")</f>
        <v>0</v>
      </c>
      <c r="AR124" s="17">
        <f>SUM(Audit[[#This Row],[Difference Winner]:[Difference Candidate 12]])</f>
        <v>0</v>
      </c>
      <c r="AS124" s="17">
        <f>IF(Audit[[#This Row],[Times p Drawn - With Replacement]]&gt;0, IF(Audit[[#This Row],[Canceled Differences]]&lt;0, Audit[[#This Row],[Max Differences]]+ABS(Audit[[#This Row],[Canceled Differences]]), Audit[[#This Row],[Max Differences]]), 0)</f>
        <v>0</v>
      </c>
      <c r="AT124" s="17">
        <f>'Sampling Data'!AB124</f>
        <v>8.6997114242064171E-3</v>
      </c>
      <c r="AU124" s="17">
        <f>IF(
      SUM(Audit[[#This Row],[Audit Losing Candidate]:[Audit Candidate 12]])
      &lt;&gt;0,
      (Audit[[#This Row],[Winning Candidate]]-Audit[[#This Row],[Losing Candidate]]-(Audit[[#This Row],[Audit Winning Candidate]]-Audit[[#This Row],[Audit Losing Candidate]]))/(Audit[[#Totals],[Winning Candidate]]-Audit[[#Totals],[Losing Candidate]]),
      0
)</f>
        <v>0</v>
      </c>
      <c r="AV1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4" s="17">
        <f>IF(Audit[[#This Row],[Max Relative Error (ep)]] = 0, 0, Audit[[#This Row],[Max Relative Error (ep)]]/Audit[[#This Row],[Error Bound (up) - Max. possible relative overstatement]])</f>
        <v>0</v>
      </c>
      <c r="BH1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24" s="17">
        <f t="shared" si="2"/>
        <v>1</v>
      </c>
      <c r="BJ124" s="17">
        <f>PRODUCT($BI$5:BI124)</f>
        <v>0.75946754148117357</v>
      </c>
      <c r="BK124" s="19">
        <f>1 - Audit[[#This Row],[K-M P Value]]</f>
        <v>0.24053245851882643</v>
      </c>
      <c r="BL124" s="17" t="str">
        <f>IF(Audit[[#This Row],[K-M P Value]]&gt;1-'General Info'!$B$12,"Continue", "Stop")</f>
        <v>Continue</v>
      </c>
      <c r="BM124" s="22" t="b">
        <f>IF(Audit[[#This Row],[Status - Continue or stop audit]] = "Continue", TRUE, IF(BL123 = "Continue", TRUE, FALSE))</f>
        <v>1</v>
      </c>
      <c r="BN124" s="22"/>
    </row>
    <row r="125" spans="1:66" ht="15" hidden="1" customHeight="1" x14ac:dyDescent="0.35">
      <c r="A125" s="17" t="str">
        <f>'Sampling Data'!AI125</f>
        <v/>
      </c>
      <c r="B125" s="17" t="str">
        <f>'Sampling Data'!A125</f>
        <v>2002 CIN 20-B   (AV)</v>
      </c>
      <c r="C125" s="17">
        <f>'Sampling Data'!B125</f>
        <v>89</v>
      </c>
      <c r="D125" s="17">
        <f>'Sampling Data'!C125</f>
        <v>42</v>
      </c>
      <c r="E125" s="18">
        <f>'Sampling Data'!D125</f>
        <v>0</v>
      </c>
      <c r="F125" s="18">
        <f>'Sampling Data'!E125</f>
        <v>0</v>
      </c>
      <c r="G125" s="18">
        <f>'Sampling Data'!F125</f>
        <v>0</v>
      </c>
      <c r="H125" s="18">
        <f>'Sampling Data'!G125</f>
        <v>0</v>
      </c>
      <c r="I125" s="18">
        <f>'Sampling Data'!H125</f>
        <v>0</v>
      </c>
      <c r="J125" s="18">
        <f>'Sampling Data'!I125</f>
        <v>0</v>
      </c>
      <c r="K125" s="18">
        <f>'Sampling Data'!J125</f>
        <v>0</v>
      </c>
      <c r="L125" s="18">
        <f>'Sampling Data'!K125</f>
        <v>0</v>
      </c>
      <c r="M125" s="18">
        <f>'Sampling Data'!L125</f>
        <v>0</v>
      </c>
      <c r="N125" s="18">
        <f>'Sampling Data'!M125</f>
        <v>0</v>
      </c>
      <c r="O125" s="17">
        <f>'Sampling Data'!N125</f>
        <v>0</v>
      </c>
      <c r="P125" s="17">
        <f>'Sampling Data'!O125</f>
        <v>8</v>
      </c>
      <c r="Q125" s="17">
        <f>'Sampling Data'!P125</f>
        <v>139</v>
      </c>
      <c r="R125" s="17">
        <f>'Sampling Data'!AJ125</f>
        <v>0</v>
      </c>
      <c r="S125" s="111"/>
      <c r="T125" s="111"/>
      <c r="U125" s="112"/>
      <c r="V125" s="112"/>
      <c r="W125" s="111"/>
      <c r="X125" s="111"/>
      <c r="Y125" s="111"/>
      <c r="Z125" s="111"/>
      <c r="AA125" s="14"/>
      <c r="AB125" s="14"/>
      <c r="AC125" s="14"/>
      <c r="AD125" s="14"/>
      <c r="AE125" s="113" t="str">
        <f>IF(NOT(ISBLANK(Audit[[#This Row],[Audit Winning Candidate]])), Audit[[#This Row],[Audit Winning Candidate]]-Audit[[#This Row],[Winning Candidate]], "")</f>
        <v/>
      </c>
      <c r="AF125" s="17" t="str">
        <f>IF(NOT(ISBLANK(Audit[[#This Row],[Audit Losing Candidate]])), Audit[[#This Row],[Audit Losing Candidate]]-Audit[[#This Row],[Losing Candidate]], "")</f>
        <v/>
      </c>
      <c r="AG125" s="17" t="str">
        <f>IF(NOT(ISBLANK(Audit[[#This Row],[Audit Candidate 3]])), Audit[[#This Row],[Audit Candidate 3]]-Audit[[#This Row],[Candidate 3]], "")</f>
        <v/>
      </c>
      <c r="AH125" s="17" t="str">
        <f>IF(NOT(ISBLANK(Audit[[#This Row],[Audit Candidate 4]])),Audit[[#This Row],[Audit Candidate 4]]-Audit[[#This Row],[Candidate 4]], "")</f>
        <v/>
      </c>
      <c r="AI125" s="17" t="str">
        <f>IF(NOT(ISBLANK(Audit[[#This Row],[Audit Candidate 5]])), Audit[[#This Row],[Audit Candidate 5]]-Audit[[#This Row],[Candidate 5]], "")</f>
        <v/>
      </c>
      <c r="AJ125" s="17" t="str">
        <f>IF(NOT(ISBLANK(Audit[[#This Row],[Audit Candidate 6]])), Audit[[#This Row],[Audit Candidate 6]]-Audit[[#This Row],[Candidate 6]], "")</f>
        <v/>
      </c>
      <c r="AK125" s="17" t="str">
        <f>IF(NOT(ISBLANK(Audit[[#This Row],[Audit Candidate 7]])), Audit[[#This Row],[Audit Candidate 7]]-Audit[[#This Row],[Candidate 7]], "")</f>
        <v/>
      </c>
      <c r="AL125" s="17" t="str">
        <f>IF(NOT(ISBLANK(Audit[[#This Row],[Audit Candidate 8]])), Audit[[#This Row],[Audit Candidate 8]]-Audit[[#This Row],[Candidate 8]], "")</f>
        <v/>
      </c>
      <c r="AM125" s="17" t="str">
        <f>IF(NOT(ISBLANK(Audit[[#This Row],[Audit Candidate 9]])), Audit[[#This Row],[Audit Candidate 9]]-Audit[[#This Row],[Candidate 9]], "")</f>
        <v/>
      </c>
      <c r="AN125" s="17" t="str">
        <f>IF(NOT(ISBLANK(Audit[[#This Row],[Audit Candidate 10]])), Audit[[#This Row],[Audit Candidate 10]]-Audit[[#This Row],[Candidate 10]], "")</f>
        <v/>
      </c>
      <c r="AO125" s="17" t="str">
        <f>IF(NOT(ISBLANK(Audit[[#This Row],[Audit Candidate 11]])), Audit[[#This Row],[Audit Candidate 11]]-Audit[[#This Row],[Candidate 11]], "")</f>
        <v/>
      </c>
      <c r="AP125" s="17" t="str">
        <f>IF(NOT(ISBLANK(Audit[[#This Row],[Audit Candidate 12]])), Audit[[#This Row],[Audit Candidate 12]]-Audit[[#This Row],[Candidate 12]], "")</f>
        <v/>
      </c>
      <c r="AQ125" s="17">
        <f>SUMIF(Audit[[#This Row],[Difference Winner]:[Difference Candidate 12]], "&gt;0")</f>
        <v>0</v>
      </c>
      <c r="AR125" s="17">
        <f>SUM(Audit[[#This Row],[Difference Winner]:[Difference Candidate 12]])</f>
        <v>0</v>
      </c>
      <c r="AS125" s="17">
        <f>IF(Audit[[#This Row],[Times p Drawn - With Replacement]]&gt;0, IF(Audit[[#This Row],[Canceled Differences]]&lt;0, Audit[[#This Row],[Max Differences]]+ABS(Audit[[#This Row],[Canceled Differences]]), Audit[[#This Row],[Max Differences]]), 0)</f>
        <v>0</v>
      </c>
      <c r="AT125" s="17">
        <f>'Sampling Data'!AB125</f>
        <v>7.8933967068409439E-3</v>
      </c>
      <c r="AU125" s="17">
        <f>IF(
      SUM(Audit[[#This Row],[Audit Losing Candidate]:[Audit Candidate 12]])
      &lt;&gt;0,
      (Audit[[#This Row],[Winning Candidate]]-Audit[[#This Row],[Losing Candidate]]-(Audit[[#This Row],[Audit Winning Candidate]]-Audit[[#This Row],[Audit Losing Candidate]]))/(Audit[[#Totals],[Winning Candidate]]-Audit[[#Totals],[Losing Candidate]]),
      0
)</f>
        <v>0</v>
      </c>
      <c r="AV1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5" s="17">
        <f>IF(Audit[[#This Row],[Max Relative Error (ep)]] = 0, 0, Audit[[#This Row],[Max Relative Error (ep)]]/Audit[[#This Row],[Error Bound (up) - Max. possible relative overstatement]])</f>
        <v>0</v>
      </c>
      <c r="BH1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25" s="17">
        <f t="shared" si="2"/>
        <v>1</v>
      </c>
      <c r="BJ125" s="17">
        <f>PRODUCT($BI$5:BI125)</f>
        <v>0.75946754148117357</v>
      </c>
      <c r="BK125" s="19">
        <f>1 - Audit[[#This Row],[K-M P Value]]</f>
        <v>0.24053245851882643</v>
      </c>
      <c r="BL125" s="17" t="str">
        <f>IF(Audit[[#This Row],[K-M P Value]]&gt;1-'General Info'!$B$12,"Continue", "Stop")</f>
        <v>Continue</v>
      </c>
      <c r="BM125" s="22" t="b">
        <f>IF(Audit[[#This Row],[Status - Continue or stop audit]] = "Continue", TRUE, IF(BL124 = "Continue", TRUE, FALSE))</f>
        <v>1</v>
      </c>
      <c r="BN125" s="22"/>
    </row>
    <row r="126" spans="1:66" ht="15" hidden="1" customHeight="1" x14ac:dyDescent="0.35">
      <c r="A126" s="17" t="str">
        <f>'Sampling Data'!AI126</f>
        <v/>
      </c>
      <c r="B126" s="17" t="str">
        <f>'Sampling Data'!A126</f>
        <v>2003 CIN 20-C   (AV)</v>
      </c>
      <c r="C126" s="17">
        <f>'Sampling Data'!B126</f>
        <v>210</v>
      </c>
      <c r="D126" s="17">
        <f>'Sampling Data'!C126</f>
        <v>109</v>
      </c>
      <c r="E126" s="18">
        <f>'Sampling Data'!D126</f>
        <v>0</v>
      </c>
      <c r="F126" s="18">
        <f>'Sampling Data'!E126</f>
        <v>0</v>
      </c>
      <c r="G126" s="18">
        <f>'Sampling Data'!F126</f>
        <v>0</v>
      </c>
      <c r="H126" s="18">
        <f>'Sampling Data'!G126</f>
        <v>0</v>
      </c>
      <c r="I126" s="18">
        <f>'Sampling Data'!H126</f>
        <v>0</v>
      </c>
      <c r="J126" s="18">
        <f>'Sampling Data'!I126</f>
        <v>0</v>
      </c>
      <c r="K126" s="18">
        <f>'Sampling Data'!J126</f>
        <v>0</v>
      </c>
      <c r="L126" s="18">
        <f>'Sampling Data'!K126</f>
        <v>0</v>
      </c>
      <c r="M126" s="18">
        <f>'Sampling Data'!L126</f>
        <v>0</v>
      </c>
      <c r="N126" s="18">
        <f>'Sampling Data'!M126</f>
        <v>0</v>
      </c>
      <c r="O126" s="17">
        <f>'Sampling Data'!N126</f>
        <v>0</v>
      </c>
      <c r="P126" s="17">
        <f>'Sampling Data'!O126</f>
        <v>13</v>
      </c>
      <c r="Q126" s="17">
        <f>'Sampling Data'!P126</f>
        <v>332</v>
      </c>
      <c r="R126" s="17">
        <f>'Sampling Data'!AJ126</f>
        <v>0</v>
      </c>
      <c r="S126" s="111"/>
      <c r="T126" s="111"/>
      <c r="U126" s="112"/>
      <c r="V126" s="112"/>
      <c r="W126" s="111"/>
      <c r="X126" s="111"/>
      <c r="Y126" s="111"/>
      <c r="Z126" s="111"/>
      <c r="AA126" s="14"/>
      <c r="AB126" s="14"/>
      <c r="AC126" s="14"/>
      <c r="AD126" s="14"/>
      <c r="AE126" s="113" t="str">
        <f>IF(NOT(ISBLANK(Audit[[#This Row],[Audit Winning Candidate]])), Audit[[#This Row],[Audit Winning Candidate]]-Audit[[#This Row],[Winning Candidate]], "")</f>
        <v/>
      </c>
      <c r="AF126" s="17" t="str">
        <f>IF(NOT(ISBLANK(Audit[[#This Row],[Audit Losing Candidate]])), Audit[[#This Row],[Audit Losing Candidate]]-Audit[[#This Row],[Losing Candidate]], "")</f>
        <v/>
      </c>
      <c r="AG126" s="17" t="str">
        <f>IF(NOT(ISBLANK(Audit[[#This Row],[Audit Candidate 3]])), Audit[[#This Row],[Audit Candidate 3]]-Audit[[#This Row],[Candidate 3]], "")</f>
        <v/>
      </c>
      <c r="AH126" s="17" t="str">
        <f>IF(NOT(ISBLANK(Audit[[#This Row],[Audit Candidate 4]])),Audit[[#This Row],[Audit Candidate 4]]-Audit[[#This Row],[Candidate 4]], "")</f>
        <v/>
      </c>
      <c r="AI126" s="17" t="str">
        <f>IF(NOT(ISBLANK(Audit[[#This Row],[Audit Candidate 5]])), Audit[[#This Row],[Audit Candidate 5]]-Audit[[#This Row],[Candidate 5]], "")</f>
        <v/>
      </c>
      <c r="AJ126" s="17" t="str">
        <f>IF(NOT(ISBLANK(Audit[[#This Row],[Audit Candidate 6]])), Audit[[#This Row],[Audit Candidate 6]]-Audit[[#This Row],[Candidate 6]], "")</f>
        <v/>
      </c>
      <c r="AK126" s="17" t="str">
        <f>IF(NOT(ISBLANK(Audit[[#This Row],[Audit Candidate 7]])), Audit[[#This Row],[Audit Candidate 7]]-Audit[[#This Row],[Candidate 7]], "")</f>
        <v/>
      </c>
      <c r="AL126" s="17" t="str">
        <f>IF(NOT(ISBLANK(Audit[[#This Row],[Audit Candidate 8]])), Audit[[#This Row],[Audit Candidate 8]]-Audit[[#This Row],[Candidate 8]], "")</f>
        <v/>
      </c>
      <c r="AM126" s="17" t="str">
        <f>IF(NOT(ISBLANK(Audit[[#This Row],[Audit Candidate 9]])), Audit[[#This Row],[Audit Candidate 9]]-Audit[[#This Row],[Candidate 9]], "")</f>
        <v/>
      </c>
      <c r="AN126" s="17" t="str">
        <f>IF(NOT(ISBLANK(Audit[[#This Row],[Audit Candidate 10]])), Audit[[#This Row],[Audit Candidate 10]]-Audit[[#This Row],[Candidate 10]], "")</f>
        <v/>
      </c>
      <c r="AO126" s="17" t="str">
        <f>IF(NOT(ISBLANK(Audit[[#This Row],[Audit Candidate 11]])), Audit[[#This Row],[Audit Candidate 11]]-Audit[[#This Row],[Candidate 11]], "")</f>
        <v/>
      </c>
      <c r="AP126" s="17" t="str">
        <f>IF(NOT(ISBLANK(Audit[[#This Row],[Audit Candidate 12]])), Audit[[#This Row],[Audit Candidate 12]]-Audit[[#This Row],[Candidate 12]], "")</f>
        <v/>
      </c>
      <c r="AQ126" s="17">
        <f>SUMIF(Audit[[#This Row],[Difference Winner]:[Difference Candidate 12]], "&gt;0")</f>
        <v>0</v>
      </c>
      <c r="AR126" s="17">
        <f>SUM(Audit[[#This Row],[Difference Winner]:[Difference Candidate 12]])</f>
        <v>0</v>
      </c>
      <c r="AS126" s="17">
        <f>IF(Audit[[#This Row],[Times p Drawn - With Replacement]]&gt;0, IF(Audit[[#This Row],[Canceled Differences]]&lt;0, Audit[[#This Row],[Max Differences]]+ABS(Audit[[#This Row],[Canceled Differences]]), Audit[[#This Row],[Max Differences]]), 0)</f>
        <v>0</v>
      </c>
      <c r="AT126" s="17">
        <f>'Sampling Data'!AB126</f>
        <v>1.8375488032592091E-2</v>
      </c>
      <c r="AU126" s="17">
        <f>IF(
      SUM(Audit[[#This Row],[Audit Losing Candidate]:[Audit Candidate 12]])
      &lt;&gt;0,
      (Audit[[#This Row],[Winning Candidate]]-Audit[[#This Row],[Losing Candidate]]-(Audit[[#This Row],[Audit Winning Candidate]]-Audit[[#This Row],[Audit Losing Candidate]]))/(Audit[[#Totals],[Winning Candidate]]-Audit[[#Totals],[Losing Candidate]]),
      0
)</f>
        <v>0</v>
      </c>
      <c r="AV1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6" s="17">
        <f>IF(Audit[[#This Row],[Max Relative Error (ep)]] = 0, 0, Audit[[#This Row],[Max Relative Error (ep)]]/Audit[[#This Row],[Error Bound (up) - Max. possible relative overstatement]])</f>
        <v>0</v>
      </c>
      <c r="BH1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26" s="17">
        <f t="shared" si="2"/>
        <v>1</v>
      </c>
      <c r="BJ126" s="17">
        <f>PRODUCT($BI$5:BI126)</f>
        <v>0.75946754148117357</v>
      </c>
      <c r="BK126" s="19">
        <f>1 - Audit[[#This Row],[K-M P Value]]</f>
        <v>0.24053245851882643</v>
      </c>
      <c r="BL126" s="17" t="str">
        <f>IF(Audit[[#This Row],[K-M P Value]]&gt;1-'General Info'!$B$12,"Continue", "Stop")</f>
        <v>Continue</v>
      </c>
      <c r="BM126" s="22" t="b">
        <f>IF(Audit[[#This Row],[Status - Continue or stop audit]] = "Continue", TRUE, IF(BL125 = "Continue", TRUE, FALSE))</f>
        <v>1</v>
      </c>
      <c r="BN126" s="22"/>
    </row>
    <row r="127" spans="1:66" ht="15" hidden="1" customHeight="1" x14ac:dyDescent="0.35">
      <c r="A127" s="17" t="str">
        <f>'Sampling Data'!AI127</f>
        <v/>
      </c>
      <c r="B127" s="17" t="str">
        <f>'Sampling Data'!A127</f>
        <v>2004 CIN 20-D   (AV)</v>
      </c>
      <c r="C127" s="17">
        <f>'Sampling Data'!B127</f>
        <v>210</v>
      </c>
      <c r="D127" s="17">
        <f>'Sampling Data'!C127</f>
        <v>99</v>
      </c>
      <c r="E127" s="18">
        <f>'Sampling Data'!D127</f>
        <v>0</v>
      </c>
      <c r="F127" s="18">
        <f>'Sampling Data'!E127</f>
        <v>0</v>
      </c>
      <c r="G127" s="18">
        <f>'Sampling Data'!F127</f>
        <v>0</v>
      </c>
      <c r="H127" s="18">
        <f>'Sampling Data'!G127</f>
        <v>0</v>
      </c>
      <c r="I127" s="18">
        <f>'Sampling Data'!H127</f>
        <v>0</v>
      </c>
      <c r="J127" s="18">
        <f>'Sampling Data'!I127</f>
        <v>0</v>
      </c>
      <c r="K127" s="18">
        <f>'Sampling Data'!J127</f>
        <v>0</v>
      </c>
      <c r="L127" s="18">
        <f>'Sampling Data'!K127</f>
        <v>0</v>
      </c>
      <c r="M127" s="18">
        <f>'Sampling Data'!L127</f>
        <v>0</v>
      </c>
      <c r="N127" s="18">
        <f>'Sampling Data'!M127</f>
        <v>0</v>
      </c>
      <c r="O127" s="17">
        <f>'Sampling Data'!N127</f>
        <v>0</v>
      </c>
      <c r="P127" s="17">
        <f>'Sampling Data'!O127</f>
        <v>19</v>
      </c>
      <c r="Q127" s="17">
        <f>'Sampling Data'!P127</f>
        <v>328</v>
      </c>
      <c r="R127" s="17">
        <f>'Sampling Data'!AJ127</f>
        <v>0</v>
      </c>
      <c r="S127" s="111"/>
      <c r="T127" s="111"/>
      <c r="U127" s="112"/>
      <c r="V127" s="112"/>
      <c r="W127" s="111"/>
      <c r="X127" s="111"/>
      <c r="Y127" s="111"/>
      <c r="Z127" s="111"/>
      <c r="AA127" s="14"/>
      <c r="AB127" s="14"/>
      <c r="AC127" s="14"/>
      <c r="AD127" s="14"/>
      <c r="AE127" s="113" t="str">
        <f>IF(NOT(ISBLANK(Audit[[#This Row],[Audit Winning Candidate]])), Audit[[#This Row],[Audit Winning Candidate]]-Audit[[#This Row],[Winning Candidate]], "")</f>
        <v/>
      </c>
      <c r="AF127" s="17" t="str">
        <f>IF(NOT(ISBLANK(Audit[[#This Row],[Audit Losing Candidate]])), Audit[[#This Row],[Audit Losing Candidate]]-Audit[[#This Row],[Losing Candidate]], "")</f>
        <v/>
      </c>
      <c r="AG127" s="17" t="str">
        <f>IF(NOT(ISBLANK(Audit[[#This Row],[Audit Candidate 3]])), Audit[[#This Row],[Audit Candidate 3]]-Audit[[#This Row],[Candidate 3]], "")</f>
        <v/>
      </c>
      <c r="AH127" s="17" t="str">
        <f>IF(NOT(ISBLANK(Audit[[#This Row],[Audit Candidate 4]])),Audit[[#This Row],[Audit Candidate 4]]-Audit[[#This Row],[Candidate 4]], "")</f>
        <v/>
      </c>
      <c r="AI127" s="17" t="str">
        <f>IF(NOT(ISBLANK(Audit[[#This Row],[Audit Candidate 5]])), Audit[[#This Row],[Audit Candidate 5]]-Audit[[#This Row],[Candidate 5]], "")</f>
        <v/>
      </c>
      <c r="AJ127" s="17" t="str">
        <f>IF(NOT(ISBLANK(Audit[[#This Row],[Audit Candidate 6]])), Audit[[#This Row],[Audit Candidate 6]]-Audit[[#This Row],[Candidate 6]], "")</f>
        <v/>
      </c>
      <c r="AK127" s="17" t="str">
        <f>IF(NOT(ISBLANK(Audit[[#This Row],[Audit Candidate 7]])), Audit[[#This Row],[Audit Candidate 7]]-Audit[[#This Row],[Candidate 7]], "")</f>
        <v/>
      </c>
      <c r="AL127" s="17" t="str">
        <f>IF(NOT(ISBLANK(Audit[[#This Row],[Audit Candidate 8]])), Audit[[#This Row],[Audit Candidate 8]]-Audit[[#This Row],[Candidate 8]], "")</f>
        <v/>
      </c>
      <c r="AM127" s="17" t="str">
        <f>IF(NOT(ISBLANK(Audit[[#This Row],[Audit Candidate 9]])), Audit[[#This Row],[Audit Candidate 9]]-Audit[[#This Row],[Candidate 9]], "")</f>
        <v/>
      </c>
      <c r="AN127" s="17" t="str">
        <f>IF(NOT(ISBLANK(Audit[[#This Row],[Audit Candidate 10]])), Audit[[#This Row],[Audit Candidate 10]]-Audit[[#This Row],[Candidate 10]], "")</f>
        <v/>
      </c>
      <c r="AO127" s="17" t="str">
        <f>IF(NOT(ISBLANK(Audit[[#This Row],[Audit Candidate 11]])), Audit[[#This Row],[Audit Candidate 11]]-Audit[[#This Row],[Candidate 11]], "")</f>
        <v/>
      </c>
      <c r="AP127" s="17" t="str">
        <f>IF(NOT(ISBLANK(Audit[[#This Row],[Audit Candidate 12]])), Audit[[#This Row],[Audit Candidate 12]]-Audit[[#This Row],[Candidate 12]], "")</f>
        <v/>
      </c>
      <c r="AQ127" s="17">
        <f>SUMIF(Audit[[#This Row],[Difference Winner]:[Difference Candidate 12]], "&gt;0")</f>
        <v>0</v>
      </c>
      <c r="AR127" s="17">
        <f>SUM(Audit[[#This Row],[Difference Winner]:[Difference Candidate 12]])</f>
        <v>0</v>
      </c>
      <c r="AS127" s="17">
        <f>IF(Audit[[#This Row],[Times p Drawn - With Replacement]]&gt;0, IF(Audit[[#This Row],[Canceled Differences]]&lt;0, Audit[[#This Row],[Max Differences]]+ABS(Audit[[#This Row],[Canceled Differences]]), Audit[[#This Row],[Max Differences]]), 0)</f>
        <v>0</v>
      </c>
      <c r="AT127" s="17">
        <f>'Sampling Data'!AB127</f>
        <v>1.8630113732812766E-2</v>
      </c>
      <c r="AU127" s="17">
        <f>IF(
      SUM(Audit[[#This Row],[Audit Losing Candidate]:[Audit Candidate 12]])
      &lt;&gt;0,
      (Audit[[#This Row],[Winning Candidate]]-Audit[[#This Row],[Losing Candidate]]-(Audit[[#This Row],[Audit Winning Candidate]]-Audit[[#This Row],[Audit Losing Candidate]]))/(Audit[[#Totals],[Winning Candidate]]-Audit[[#Totals],[Losing Candidate]]),
      0
)</f>
        <v>0</v>
      </c>
      <c r="AV1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7" s="17">
        <f>IF(Audit[[#This Row],[Max Relative Error (ep)]] = 0, 0, Audit[[#This Row],[Max Relative Error (ep)]]/Audit[[#This Row],[Error Bound (up) - Max. possible relative overstatement]])</f>
        <v>0</v>
      </c>
      <c r="BH1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27" s="17">
        <f t="shared" si="2"/>
        <v>1</v>
      </c>
      <c r="BJ127" s="17">
        <f>PRODUCT($BI$5:BI127)</f>
        <v>0.75946754148117357</v>
      </c>
      <c r="BK127" s="19">
        <f>1 - Audit[[#This Row],[K-M P Value]]</f>
        <v>0.24053245851882643</v>
      </c>
      <c r="BL127" s="17" t="str">
        <f>IF(Audit[[#This Row],[K-M P Value]]&gt;1-'General Info'!$B$12,"Continue", "Stop")</f>
        <v>Continue</v>
      </c>
      <c r="BM127" s="22" t="b">
        <f>IF(Audit[[#This Row],[Status - Continue or stop audit]] = "Continue", TRUE, IF(BL126 = "Continue", TRUE, FALSE))</f>
        <v>1</v>
      </c>
      <c r="BN127" s="22"/>
    </row>
    <row r="128" spans="1:66" ht="15" hidden="1" customHeight="1" x14ac:dyDescent="0.35">
      <c r="A128" s="17" t="str">
        <f>'Sampling Data'!AI128</f>
        <v/>
      </c>
      <c r="B128" s="17" t="str">
        <f>'Sampling Data'!A128</f>
        <v>2005 CIN 20-E   (AV)</v>
      </c>
      <c r="C128" s="17">
        <f>'Sampling Data'!B128</f>
        <v>60</v>
      </c>
      <c r="D128" s="17">
        <f>'Sampling Data'!C128</f>
        <v>32</v>
      </c>
      <c r="E128" s="18">
        <f>'Sampling Data'!D128</f>
        <v>0</v>
      </c>
      <c r="F128" s="18">
        <f>'Sampling Data'!E128</f>
        <v>0</v>
      </c>
      <c r="G128" s="18">
        <f>'Sampling Data'!F128</f>
        <v>0</v>
      </c>
      <c r="H128" s="18">
        <f>'Sampling Data'!G128</f>
        <v>0</v>
      </c>
      <c r="I128" s="18">
        <f>'Sampling Data'!H128</f>
        <v>0</v>
      </c>
      <c r="J128" s="18">
        <f>'Sampling Data'!I128</f>
        <v>0</v>
      </c>
      <c r="K128" s="18">
        <f>'Sampling Data'!J128</f>
        <v>0</v>
      </c>
      <c r="L128" s="18">
        <f>'Sampling Data'!K128</f>
        <v>0</v>
      </c>
      <c r="M128" s="18">
        <f>'Sampling Data'!L128</f>
        <v>0</v>
      </c>
      <c r="N128" s="18">
        <f>'Sampling Data'!M128</f>
        <v>0</v>
      </c>
      <c r="O128" s="17">
        <f>'Sampling Data'!N128</f>
        <v>0</v>
      </c>
      <c r="P128" s="17">
        <f>'Sampling Data'!O128</f>
        <v>8</v>
      </c>
      <c r="Q128" s="17">
        <f>'Sampling Data'!P128</f>
        <v>100</v>
      </c>
      <c r="R128" s="17">
        <f>'Sampling Data'!AJ128</f>
        <v>0</v>
      </c>
      <c r="S128" s="111"/>
      <c r="T128" s="111"/>
      <c r="U128" s="112"/>
      <c r="V128" s="112"/>
      <c r="W128" s="111"/>
      <c r="X128" s="111"/>
      <c r="Y128" s="111"/>
      <c r="Z128" s="111"/>
      <c r="AA128" s="14"/>
      <c r="AB128" s="14"/>
      <c r="AC128" s="14"/>
      <c r="AD128" s="14"/>
      <c r="AE128" s="113" t="str">
        <f>IF(NOT(ISBLANK(Audit[[#This Row],[Audit Winning Candidate]])), Audit[[#This Row],[Audit Winning Candidate]]-Audit[[#This Row],[Winning Candidate]], "")</f>
        <v/>
      </c>
      <c r="AF128" s="17" t="str">
        <f>IF(NOT(ISBLANK(Audit[[#This Row],[Audit Losing Candidate]])), Audit[[#This Row],[Audit Losing Candidate]]-Audit[[#This Row],[Losing Candidate]], "")</f>
        <v/>
      </c>
      <c r="AG128" s="17" t="str">
        <f>IF(NOT(ISBLANK(Audit[[#This Row],[Audit Candidate 3]])), Audit[[#This Row],[Audit Candidate 3]]-Audit[[#This Row],[Candidate 3]], "")</f>
        <v/>
      </c>
      <c r="AH128" s="17" t="str">
        <f>IF(NOT(ISBLANK(Audit[[#This Row],[Audit Candidate 4]])),Audit[[#This Row],[Audit Candidate 4]]-Audit[[#This Row],[Candidate 4]], "")</f>
        <v/>
      </c>
      <c r="AI128" s="17" t="str">
        <f>IF(NOT(ISBLANK(Audit[[#This Row],[Audit Candidate 5]])), Audit[[#This Row],[Audit Candidate 5]]-Audit[[#This Row],[Candidate 5]], "")</f>
        <v/>
      </c>
      <c r="AJ128" s="17" t="str">
        <f>IF(NOT(ISBLANK(Audit[[#This Row],[Audit Candidate 6]])), Audit[[#This Row],[Audit Candidate 6]]-Audit[[#This Row],[Candidate 6]], "")</f>
        <v/>
      </c>
      <c r="AK128" s="17" t="str">
        <f>IF(NOT(ISBLANK(Audit[[#This Row],[Audit Candidate 7]])), Audit[[#This Row],[Audit Candidate 7]]-Audit[[#This Row],[Candidate 7]], "")</f>
        <v/>
      </c>
      <c r="AL128" s="17" t="str">
        <f>IF(NOT(ISBLANK(Audit[[#This Row],[Audit Candidate 8]])), Audit[[#This Row],[Audit Candidate 8]]-Audit[[#This Row],[Candidate 8]], "")</f>
        <v/>
      </c>
      <c r="AM128" s="17" t="str">
        <f>IF(NOT(ISBLANK(Audit[[#This Row],[Audit Candidate 9]])), Audit[[#This Row],[Audit Candidate 9]]-Audit[[#This Row],[Candidate 9]], "")</f>
        <v/>
      </c>
      <c r="AN128" s="17" t="str">
        <f>IF(NOT(ISBLANK(Audit[[#This Row],[Audit Candidate 10]])), Audit[[#This Row],[Audit Candidate 10]]-Audit[[#This Row],[Candidate 10]], "")</f>
        <v/>
      </c>
      <c r="AO128" s="17" t="str">
        <f>IF(NOT(ISBLANK(Audit[[#This Row],[Audit Candidate 11]])), Audit[[#This Row],[Audit Candidate 11]]-Audit[[#This Row],[Candidate 11]], "")</f>
        <v/>
      </c>
      <c r="AP128" s="17" t="str">
        <f>IF(NOT(ISBLANK(Audit[[#This Row],[Audit Candidate 12]])), Audit[[#This Row],[Audit Candidate 12]]-Audit[[#This Row],[Candidate 12]], "")</f>
        <v/>
      </c>
      <c r="AQ128" s="17">
        <f>SUMIF(Audit[[#This Row],[Difference Winner]:[Difference Candidate 12]], "&gt;0")</f>
        <v>0</v>
      </c>
      <c r="AR128" s="17">
        <f>SUM(Audit[[#This Row],[Difference Winner]:[Difference Candidate 12]])</f>
        <v>0</v>
      </c>
      <c r="AS128" s="17">
        <f>IF(Audit[[#This Row],[Times p Drawn - With Replacement]]&gt;0, IF(Audit[[#This Row],[Canceled Differences]]&lt;0, Audit[[#This Row],[Max Differences]]+ABS(Audit[[#This Row],[Canceled Differences]]), Audit[[#This Row],[Max Differences]]), 0)</f>
        <v>0</v>
      </c>
      <c r="AT128" s="17">
        <f>'Sampling Data'!AB128</f>
        <v>5.4320149380410795E-3</v>
      </c>
      <c r="AU128" s="17">
        <f>IF(
      SUM(Audit[[#This Row],[Audit Losing Candidate]:[Audit Candidate 12]])
      &lt;&gt;0,
      (Audit[[#This Row],[Winning Candidate]]-Audit[[#This Row],[Losing Candidate]]-(Audit[[#This Row],[Audit Winning Candidate]]-Audit[[#This Row],[Audit Losing Candidate]]))/(Audit[[#Totals],[Winning Candidate]]-Audit[[#Totals],[Losing Candidate]]),
      0
)</f>
        <v>0</v>
      </c>
      <c r="AV1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8" s="17">
        <f>IF(Audit[[#This Row],[Max Relative Error (ep)]] = 0, 0, Audit[[#This Row],[Max Relative Error (ep)]]/Audit[[#This Row],[Error Bound (up) - Max. possible relative overstatement]])</f>
        <v>0</v>
      </c>
      <c r="BH1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28" s="17">
        <f t="shared" si="2"/>
        <v>1</v>
      </c>
      <c r="BJ128" s="17">
        <f>PRODUCT($BI$5:BI128)</f>
        <v>0.75946754148117357</v>
      </c>
      <c r="BK128" s="19">
        <f>1 - Audit[[#This Row],[K-M P Value]]</f>
        <v>0.24053245851882643</v>
      </c>
      <c r="BL128" s="17" t="str">
        <f>IF(Audit[[#This Row],[K-M P Value]]&gt;1-'General Info'!$B$12,"Continue", "Stop")</f>
        <v>Continue</v>
      </c>
      <c r="BM128" s="22" t="b">
        <f>IF(Audit[[#This Row],[Status - Continue or stop audit]] = "Continue", TRUE, IF(BL127 = "Continue", TRUE, FALSE))</f>
        <v>1</v>
      </c>
      <c r="BN128" s="22"/>
    </row>
    <row r="129" spans="1:66" ht="15" hidden="1" customHeight="1" x14ac:dyDescent="0.35">
      <c r="A129" s="17" t="str">
        <f>'Sampling Data'!AI129</f>
        <v/>
      </c>
      <c r="B129" s="17" t="str">
        <f>'Sampling Data'!A129</f>
        <v>2101 CIN 21-A   (AV)</v>
      </c>
      <c r="C129" s="17">
        <f>'Sampling Data'!B129</f>
        <v>60</v>
      </c>
      <c r="D129" s="17">
        <f>'Sampling Data'!C129</f>
        <v>24</v>
      </c>
      <c r="E129" s="18">
        <f>'Sampling Data'!D129</f>
        <v>0</v>
      </c>
      <c r="F129" s="18">
        <f>'Sampling Data'!E129</f>
        <v>0</v>
      </c>
      <c r="G129" s="18">
        <f>'Sampling Data'!F129</f>
        <v>0</v>
      </c>
      <c r="H129" s="18">
        <f>'Sampling Data'!G129</f>
        <v>0</v>
      </c>
      <c r="I129" s="18">
        <f>'Sampling Data'!H129</f>
        <v>0</v>
      </c>
      <c r="J129" s="18">
        <f>'Sampling Data'!I129</f>
        <v>0</v>
      </c>
      <c r="K129" s="18">
        <f>'Sampling Data'!J129</f>
        <v>0</v>
      </c>
      <c r="L129" s="18">
        <f>'Sampling Data'!K129</f>
        <v>0</v>
      </c>
      <c r="M129" s="18">
        <f>'Sampling Data'!L129</f>
        <v>0</v>
      </c>
      <c r="N129" s="18">
        <f>'Sampling Data'!M129</f>
        <v>0</v>
      </c>
      <c r="O129" s="17">
        <f>'Sampling Data'!N129</f>
        <v>0</v>
      </c>
      <c r="P129" s="17">
        <f>'Sampling Data'!O129</f>
        <v>8</v>
      </c>
      <c r="Q129" s="17">
        <f>'Sampling Data'!P129</f>
        <v>92</v>
      </c>
      <c r="R129" s="17">
        <f>'Sampling Data'!AJ129</f>
        <v>0</v>
      </c>
      <c r="S129" s="111"/>
      <c r="T129" s="111"/>
      <c r="U129" s="112"/>
      <c r="V129" s="112"/>
      <c r="W129" s="111"/>
      <c r="X129" s="111"/>
      <c r="Y129" s="111"/>
      <c r="Z129" s="111"/>
      <c r="AA129" s="14"/>
      <c r="AB129" s="14"/>
      <c r="AC129" s="14"/>
      <c r="AD129" s="14"/>
      <c r="AE129" s="113" t="str">
        <f>IF(NOT(ISBLANK(Audit[[#This Row],[Audit Winning Candidate]])), Audit[[#This Row],[Audit Winning Candidate]]-Audit[[#This Row],[Winning Candidate]], "")</f>
        <v/>
      </c>
      <c r="AF129" s="17" t="str">
        <f>IF(NOT(ISBLANK(Audit[[#This Row],[Audit Losing Candidate]])), Audit[[#This Row],[Audit Losing Candidate]]-Audit[[#This Row],[Losing Candidate]], "")</f>
        <v/>
      </c>
      <c r="AG129" s="17" t="str">
        <f>IF(NOT(ISBLANK(Audit[[#This Row],[Audit Candidate 3]])), Audit[[#This Row],[Audit Candidate 3]]-Audit[[#This Row],[Candidate 3]], "")</f>
        <v/>
      </c>
      <c r="AH129" s="17" t="str">
        <f>IF(NOT(ISBLANK(Audit[[#This Row],[Audit Candidate 4]])),Audit[[#This Row],[Audit Candidate 4]]-Audit[[#This Row],[Candidate 4]], "")</f>
        <v/>
      </c>
      <c r="AI129" s="17" t="str">
        <f>IF(NOT(ISBLANK(Audit[[#This Row],[Audit Candidate 5]])), Audit[[#This Row],[Audit Candidate 5]]-Audit[[#This Row],[Candidate 5]], "")</f>
        <v/>
      </c>
      <c r="AJ129" s="17" t="str">
        <f>IF(NOT(ISBLANK(Audit[[#This Row],[Audit Candidate 6]])), Audit[[#This Row],[Audit Candidate 6]]-Audit[[#This Row],[Candidate 6]], "")</f>
        <v/>
      </c>
      <c r="AK129" s="17" t="str">
        <f>IF(NOT(ISBLANK(Audit[[#This Row],[Audit Candidate 7]])), Audit[[#This Row],[Audit Candidate 7]]-Audit[[#This Row],[Candidate 7]], "")</f>
        <v/>
      </c>
      <c r="AL129" s="17" t="str">
        <f>IF(NOT(ISBLANK(Audit[[#This Row],[Audit Candidate 8]])), Audit[[#This Row],[Audit Candidate 8]]-Audit[[#This Row],[Candidate 8]], "")</f>
        <v/>
      </c>
      <c r="AM129" s="17" t="str">
        <f>IF(NOT(ISBLANK(Audit[[#This Row],[Audit Candidate 9]])), Audit[[#This Row],[Audit Candidate 9]]-Audit[[#This Row],[Candidate 9]], "")</f>
        <v/>
      </c>
      <c r="AN129" s="17" t="str">
        <f>IF(NOT(ISBLANK(Audit[[#This Row],[Audit Candidate 10]])), Audit[[#This Row],[Audit Candidate 10]]-Audit[[#This Row],[Candidate 10]], "")</f>
        <v/>
      </c>
      <c r="AO129" s="17" t="str">
        <f>IF(NOT(ISBLANK(Audit[[#This Row],[Audit Candidate 11]])), Audit[[#This Row],[Audit Candidate 11]]-Audit[[#This Row],[Candidate 11]], "")</f>
        <v/>
      </c>
      <c r="AP129" s="17" t="str">
        <f>IF(NOT(ISBLANK(Audit[[#This Row],[Audit Candidate 12]])), Audit[[#This Row],[Audit Candidate 12]]-Audit[[#This Row],[Candidate 12]], "")</f>
        <v/>
      </c>
      <c r="AQ129" s="17">
        <f>SUMIF(Audit[[#This Row],[Difference Winner]:[Difference Candidate 12]], "&gt;0")</f>
        <v>0</v>
      </c>
      <c r="AR129" s="17">
        <f>SUM(Audit[[#This Row],[Difference Winner]:[Difference Candidate 12]])</f>
        <v>0</v>
      </c>
      <c r="AS129" s="17">
        <f>IF(Audit[[#This Row],[Times p Drawn - With Replacement]]&gt;0, IF(Audit[[#This Row],[Canceled Differences]]&lt;0, Audit[[#This Row],[Max Differences]]+ABS(Audit[[#This Row],[Canceled Differences]]), Audit[[#This Row],[Max Differences]]), 0)</f>
        <v>0</v>
      </c>
      <c r="AT129" s="17">
        <f>'Sampling Data'!AB129</f>
        <v>5.4320149380410795E-3</v>
      </c>
      <c r="AU129" s="17">
        <f>IF(
      SUM(Audit[[#This Row],[Audit Losing Candidate]:[Audit Candidate 12]])
      &lt;&gt;0,
      (Audit[[#This Row],[Winning Candidate]]-Audit[[#This Row],[Losing Candidate]]-(Audit[[#This Row],[Audit Winning Candidate]]-Audit[[#This Row],[Audit Losing Candidate]]))/(Audit[[#Totals],[Winning Candidate]]-Audit[[#Totals],[Losing Candidate]]),
      0
)</f>
        <v>0</v>
      </c>
      <c r="AV1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9" s="17">
        <f>IF(Audit[[#This Row],[Max Relative Error (ep)]] = 0, 0, Audit[[#This Row],[Max Relative Error (ep)]]/Audit[[#This Row],[Error Bound (up) - Max. possible relative overstatement]])</f>
        <v>0</v>
      </c>
      <c r="BH1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29" s="17">
        <f t="shared" si="2"/>
        <v>1</v>
      </c>
      <c r="BJ129" s="17">
        <f>PRODUCT($BI$5:BI129)</f>
        <v>0.75946754148117357</v>
      </c>
      <c r="BK129" s="19">
        <f>1 - Audit[[#This Row],[K-M P Value]]</f>
        <v>0.24053245851882643</v>
      </c>
      <c r="BL129" s="17" t="str">
        <f>IF(Audit[[#This Row],[K-M P Value]]&gt;1-'General Info'!$B$12,"Continue", "Stop")</f>
        <v>Continue</v>
      </c>
      <c r="BM129" s="22" t="b">
        <f>IF(Audit[[#This Row],[Status - Continue or stop audit]] = "Continue", TRUE, IF(BL128 = "Continue", TRUE, FALSE))</f>
        <v>1</v>
      </c>
      <c r="BN129" s="22"/>
    </row>
    <row r="130" spans="1:66" ht="15" hidden="1" customHeight="1" x14ac:dyDescent="0.35">
      <c r="A130" s="17" t="str">
        <f>'Sampling Data'!AI130</f>
        <v/>
      </c>
      <c r="B130" s="17" t="str">
        <f>'Sampling Data'!A130</f>
        <v>2102 CIN 21-B   (AV)</v>
      </c>
      <c r="C130" s="17">
        <f>'Sampling Data'!B130</f>
        <v>73</v>
      </c>
      <c r="D130" s="17">
        <f>'Sampling Data'!C130</f>
        <v>23</v>
      </c>
      <c r="E130" s="18">
        <f>'Sampling Data'!D130</f>
        <v>0</v>
      </c>
      <c r="F130" s="18">
        <f>'Sampling Data'!E130</f>
        <v>0</v>
      </c>
      <c r="G130" s="18">
        <f>'Sampling Data'!F130</f>
        <v>0</v>
      </c>
      <c r="H130" s="18">
        <f>'Sampling Data'!G130</f>
        <v>0</v>
      </c>
      <c r="I130" s="18">
        <f>'Sampling Data'!H130</f>
        <v>0</v>
      </c>
      <c r="J130" s="18">
        <f>'Sampling Data'!I130</f>
        <v>0</v>
      </c>
      <c r="K130" s="18">
        <f>'Sampling Data'!J130</f>
        <v>0</v>
      </c>
      <c r="L130" s="18">
        <f>'Sampling Data'!K130</f>
        <v>0</v>
      </c>
      <c r="M130" s="18">
        <f>'Sampling Data'!L130</f>
        <v>0</v>
      </c>
      <c r="N130" s="18">
        <f>'Sampling Data'!M130</f>
        <v>0</v>
      </c>
      <c r="O130" s="17">
        <f>'Sampling Data'!N130</f>
        <v>0</v>
      </c>
      <c r="P130" s="17">
        <f>'Sampling Data'!O130</f>
        <v>2</v>
      </c>
      <c r="Q130" s="17">
        <f>'Sampling Data'!P130</f>
        <v>98</v>
      </c>
      <c r="R130" s="17">
        <f>'Sampling Data'!AJ130</f>
        <v>0</v>
      </c>
      <c r="S130" s="111"/>
      <c r="T130" s="111"/>
      <c r="U130" s="112"/>
      <c r="V130" s="112"/>
      <c r="W130" s="111"/>
      <c r="X130" s="111"/>
      <c r="Y130" s="111"/>
      <c r="Z130" s="111"/>
      <c r="AA130" s="14"/>
      <c r="AB130" s="14"/>
      <c r="AC130" s="14"/>
      <c r="AD130" s="14"/>
      <c r="AE130" s="113" t="str">
        <f>IF(NOT(ISBLANK(Audit[[#This Row],[Audit Winning Candidate]])), Audit[[#This Row],[Audit Winning Candidate]]-Audit[[#This Row],[Winning Candidate]], "")</f>
        <v/>
      </c>
      <c r="AF130" s="17" t="str">
        <f>IF(NOT(ISBLANK(Audit[[#This Row],[Audit Losing Candidate]])), Audit[[#This Row],[Audit Losing Candidate]]-Audit[[#This Row],[Losing Candidate]], "")</f>
        <v/>
      </c>
      <c r="AG130" s="17" t="str">
        <f>IF(NOT(ISBLANK(Audit[[#This Row],[Audit Candidate 3]])), Audit[[#This Row],[Audit Candidate 3]]-Audit[[#This Row],[Candidate 3]], "")</f>
        <v/>
      </c>
      <c r="AH130" s="17" t="str">
        <f>IF(NOT(ISBLANK(Audit[[#This Row],[Audit Candidate 4]])),Audit[[#This Row],[Audit Candidate 4]]-Audit[[#This Row],[Candidate 4]], "")</f>
        <v/>
      </c>
      <c r="AI130" s="17" t="str">
        <f>IF(NOT(ISBLANK(Audit[[#This Row],[Audit Candidate 5]])), Audit[[#This Row],[Audit Candidate 5]]-Audit[[#This Row],[Candidate 5]], "")</f>
        <v/>
      </c>
      <c r="AJ130" s="17" t="str">
        <f>IF(NOT(ISBLANK(Audit[[#This Row],[Audit Candidate 6]])), Audit[[#This Row],[Audit Candidate 6]]-Audit[[#This Row],[Candidate 6]], "")</f>
        <v/>
      </c>
      <c r="AK130" s="17" t="str">
        <f>IF(NOT(ISBLANK(Audit[[#This Row],[Audit Candidate 7]])), Audit[[#This Row],[Audit Candidate 7]]-Audit[[#This Row],[Candidate 7]], "")</f>
        <v/>
      </c>
      <c r="AL130" s="17" t="str">
        <f>IF(NOT(ISBLANK(Audit[[#This Row],[Audit Candidate 8]])), Audit[[#This Row],[Audit Candidate 8]]-Audit[[#This Row],[Candidate 8]], "")</f>
        <v/>
      </c>
      <c r="AM130" s="17" t="str">
        <f>IF(NOT(ISBLANK(Audit[[#This Row],[Audit Candidate 9]])), Audit[[#This Row],[Audit Candidate 9]]-Audit[[#This Row],[Candidate 9]], "")</f>
        <v/>
      </c>
      <c r="AN130" s="17" t="str">
        <f>IF(NOT(ISBLANK(Audit[[#This Row],[Audit Candidate 10]])), Audit[[#This Row],[Audit Candidate 10]]-Audit[[#This Row],[Candidate 10]], "")</f>
        <v/>
      </c>
      <c r="AO130" s="17" t="str">
        <f>IF(NOT(ISBLANK(Audit[[#This Row],[Audit Candidate 11]])), Audit[[#This Row],[Audit Candidate 11]]-Audit[[#This Row],[Candidate 11]], "")</f>
        <v/>
      </c>
      <c r="AP130" s="17" t="str">
        <f>IF(NOT(ISBLANK(Audit[[#This Row],[Audit Candidate 12]])), Audit[[#This Row],[Audit Candidate 12]]-Audit[[#This Row],[Candidate 12]], "")</f>
        <v/>
      </c>
      <c r="AQ130" s="17">
        <f>SUMIF(Audit[[#This Row],[Difference Winner]:[Difference Candidate 12]], "&gt;0")</f>
        <v>0</v>
      </c>
      <c r="AR130" s="17">
        <f>SUM(Audit[[#This Row],[Difference Winner]:[Difference Candidate 12]])</f>
        <v>0</v>
      </c>
      <c r="AS130" s="17">
        <f>IF(Audit[[#This Row],[Times p Drawn - With Replacement]]&gt;0, IF(Audit[[#This Row],[Canceled Differences]]&lt;0, Audit[[#This Row],[Max Differences]]+ABS(Audit[[#This Row],[Canceled Differences]]), Audit[[#This Row],[Max Differences]]), 0)</f>
        <v>0</v>
      </c>
      <c r="AT130" s="17">
        <f>'Sampling Data'!AB130</f>
        <v>6.2807672721099982E-3</v>
      </c>
      <c r="AU130" s="17">
        <f>IF(
      SUM(Audit[[#This Row],[Audit Losing Candidate]:[Audit Candidate 12]])
      &lt;&gt;0,
      (Audit[[#This Row],[Winning Candidate]]-Audit[[#This Row],[Losing Candidate]]-(Audit[[#This Row],[Audit Winning Candidate]]-Audit[[#This Row],[Audit Losing Candidate]]))/(Audit[[#Totals],[Winning Candidate]]-Audit[[#Totals],[Losing Candidate]]),
      0
)</f>
        <v>0</v>
      </c>
      <c r="AV1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0" s="17">
        <f>IF(Audit[[#This Row],[Max Relative Error (ep)]] = 0, 0, Audit[[#This Row],[Max Relative Error (ep)]]/Audit[[#This Row],[Error Bound (up) - Max. possible relative overstatement]])</f>
        <v>0</v>
      </c>
      <c r="BH1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30" s="17">
        <f t="shared" si="2"/>
        <v>1</v>
      </c>
      <c r="BJ130" s="17">
        <f>PRODUCT($BI$5:BI130)</f>
        <v>0.75946754148117357</v>
      </c>
      <c r="BK130" s="19">
        <f>1 - Audit[[#This Row],[K-M P Value]]</f>
        <v>0.24053245851882643</v>
      </c>
      <c r="BL130" s="17" t="str">
        <f>IF(Audit[[#This Row],[K-M P Value]]&gt;1-'General Info'!$B$12,"Continue", "Stop")</f>
        <v>Continue</v>
      </c>
      <c r="BM130" s="22" t="b">
        <f>IF(Audit[[#This Row],[Status - Continue or stop audit]] = "Continue", TRUE, IF(BL129 = "Continue", TRUE, FALSE))</f>
        <v>1</v>
      </c>
      <c r="BN130" s="22"/>
    </row>
    <row r="131" spans="1:66" ht="15" hidden="1" customHeight="1" x14ac:dyDescent="0.35">
      <c r="A131" s="17" t="str">
        <f>'Sampling Data'!AI131</f>
        <v/>
      </c>
      <c r="B131" s="17" t="str">
        <f>'Sampling Data'!A131</f>
        <v>2103 CIN 21-C   (AV)</v>
      </c>
      <c r="C131" s="17">
        <f>'Sampling Data'!B131</f>
        <v>103</v>
      </c>
      <c r="D131" s="17">
        <f>'Sampling Data'!C131</f>
        <v>33</v>
      </c>
      <c r="E131" s="18">
        <f>'Sampling Data'!D131</f>
        <v>0</v>
      </c>
      <c r="F131" s="18">
        <f>'Sampling Data'!E131</f>
        <v>0</v>
      </c>
      <c r="G131" s="18">
        <f>'Sampling Data'!F131</f>
        <v>0</v>
      </c>
      <c r="H131" s="18">
        <f>'Sampling Data'!G131</f>
        <v>0</v>
      </c>
      <c r="I131" s="18">
        <f>'Sampling Data'!H131</f>
        <v>0</v>
      </c>
      <c r="J131" s="18">
        <f>'Sampling Data'!I131</f>
        <v>0</v>
      </c>
      <c r="K131" s="18">
        <f>'Sampling Data'!J131</f>
        <v>0</v>
      </c>
      <c r="L131" s="18">
        <f>'Sampling Data'!K131</f>
        <v>0</v>
      </c>
      <c r="M131" s="18">
        <f>'Sampling Data'!L131</f>
        <v>0</v>
      </c>
      <c r="N131" s="18">
        <f>'Sampling Data'!M131</f>
        <v>0</v>
      </c>
      <c r="O131" s="17">
        <f>'Sampling Data'!N131</f>
        <v>0</v>
      </c>
      <c r="P131" s="17">
        <f>'Sampling Data'!O131</f>
        <v>4</v>
      </c>
      <c r="Q131" s="17">
        <f>'Sampling Data'!P131</f>
        <v>140</v>
      </c>
      <c r="R131" s="17">
        <f>'Sampling Data'!AJ131</f>
        <v>0</v>
      </c>
      <c r="S131" s="111"/>
      <c r="T131" s="111"/>
      <c r="U131" s="112"/>
      <c r="V131" s="112"/>
      <c r="W131" s="111"/>
      <c r="X131" s="111"/>
      <c r="Y131" s="111"/>
      <c r="Z131" s="111"/>
      <c r="AA131" s="14"/>
      <c r="AB131" s="14"/>
      <c r="AC131" s="14"/>
      <c r="AD131" s="14"/>
      <c r="AE131" s="113" t="str">
        <f>IF(NOT(ISBLANK(Audit[[#This Row],[Audit Winning Candidate]])), Audit[[#This Row],[Audit Winning Candidate]]-Audit[[#This Row],[Winning Candidate]], "")</f>
        <v/>
      </c>
      <c r="AF131" s="17" t="str">
        <f>IF(NOT(ISBLANK(Audit[[#This Row],[Audit Losing Candidate]])), Audit[[#This Row],[Audit Losing Candidate]]-Audit[[#This Row],[Losing Candidate]], "")</f>
        <v/>
      </c>
      <c r="AG131" s="17" t="str">
        <f>IF(NOT(ISBLANK(Audit[[#This Row],[Audit Candidate 3]])), Audit[[#This Row],[Audit Candidate 3]]-Audit[[#This Row],[Candidate 3]], "")</f>
        <v/>
      </c>
      <c r="AH131" s="17" t="str">
        <f>IF(NOT(ISBLANK(Audit[[#This Row],[Audit Candidate 4]])),Audit[[#This Row],[Audit Candidate 4]]-Audit[[#This Row],[Candidate 4]], "")</f>
        <v/>
      </c>
      <c r="AI131" s="17" t="str">
        <f>IF(NOT(ISBLANK(Audit[[#This Row],[Audit Candidate 5]])), Audit[[#This Row],[Audit Candidate 5]]-Audit[[#This Row],[Candidate 5]], "")</f>
        <v/>
      </c>
      <c r="AJ131" s="17" t="str">
        <f>IF(NOT(ISBLANK(Audit[[#This Row],[Audit Candidate 6]])), Audit[[#This Row],[Audit Candidate 6]]-Audit[[#This Row],[Candidate 6]], "")</f>
        <v/>
      </c>
      <c r="AK131" s="17" t="str">
        <f>IF(NOT(ISBLANK(Audit[[#This Row],[Audit Candidate 7]])), Audit[[#This Row],[Audit Candidate 7]]-Audit[[#This Row],[Candidate 7]], "")</f>
        <v/>
      </c>
      <c r="AL131" s="17" t="str">
        <f>IF(NOT(ISBLANK(Audit[[#This Row],[Audit Candidate 8]])), Audit[[#This Row],[Audit Candidate 8]]-Audit[[#This Row],[Candidate 8]], "")</f>
        <v/>
      </c>
      <c r="AM131" s="17" t="str">
        <f>IF(NOT(ISBLANK(Audit[[#This Row],[Audit Candidate 9]])), Audit[[#This Row],[Audit Candidate 9]]-Audit[[#This Row],[Candidate 9]], "")</f>
        <v/>
      </c>
      <c r="AN131" s="17" t="str">
        <f>IF(NOT(ISBLANK(Audit[[#This Row],[Audit Candidate 10]])), Audit[[#This Row],[Audit Candidate 10]]-Audit[[#This Row],[Candidate 10]], "")</f>
        <v/>
      </c>
      <c r="AO131" s="17" t="str">
        <f>IF(NOT(ISBLANK(Audit[[#This Row],[Audit Candidate 11]])), Audit[[#This Row],[Audit Candidate 11]]-Audit[[#This Row],[Candidate 11]], "")</f>
        <v/>
      </c>
      <c r="AP131" s="17" t="str">
        <f>IF(NOT(ISBLANK(Audit[[#This Row],[Audit Candidate 12]])), Audit[[#This Row],[Audit Candidate 12]]-Audit[[#This Row],[Candidate 12]], "")</f>
        <v/>
      </c>
      <c r="AQ131" s="17">
        <f>SUMIF(Audit[[#This Row],[Difference Winner]:[Difference Candidate 12]], "&gt;0")</f>
        <v>0</v>
      </c>
      <c r="AR131" s="17">
        <f>SUM(Audit[[#This Row],[Difference Winner]:[Difference Candidate 12]])</f>
        <v>0</v>
      </c>
      <c r="AS131" s="17">
        <f>IF(Audit[[#This Row],[Times p Drawn - With Replacement]]&gt;0, IF(Audit[[#This Row],[Canceled Differences]]&lt;0, Audit[[#This Row],[Max Differences]]+ABS(Audit[[#This Row],[Canceled Differences]]), Audit[[#This Row],[Max Differences]]), 0)</f>
        <v>0</v>
      </c>
      <c r="AT131" s="17">
        <f>'Sampling Data'!AB131</f>
        <v>8.911899507723647E-3</v>
      </c>
      <c r="AU131" s="17">
        <f>IF(
      SUM(Audit[[#This Row],[Audit Losing Candidate]:[Audit Candidate 12]])
      &lt;&gt;0,
      (Audit[[#This Row],[Winning Candidate]]-Audit[[#This Row],[Losing Candidate]]-(Audit[[#This Row],[Audit Winning Candidate]]-Audit[[#This Row],[Audit Losing Candidate]]))/(Audit[[#Totals],[Winning Candidate]]-Audit[[#Totals],[Losing Candidate]]),
      0
)</f>
        <v>0</v>
      </c>
      <c r="AV1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1" s="17">
        <f>IF(Audit[[#This Row],[Max Relative Error (ep)]] = 0, 0, Audit[[#This Row],[Max Relative Error (ep)]]/Audit[[#This Row],[Error Bound (up) - Max. possible relative overstatement]])</f>
        <v>0</v>
      </c>
      <c r="BH1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31" s="17">
        <f t="shared" si="2"/>
        <v>1</v>
      </c>
      <c r="BJ131" s="17">
        <f>PRODUCT($BI$5:BI131)</f>
        <v>0.75946754148117357</v>
      </c>
      <c r="BK131" s="19">
        <f>1 - Audit[[#This Row],[K-M P Value]]</f>
        <v>0.24053245851882643</v>
      </c>
      <c r="BL131" s="17" t="str">
        <f>IF(Audit[[#This Row],[K-M P Value]]&gt;1-'General Info'!$B$12,"Continue", "Stop")</f>
        <v>Continue</v>
      </c>
      <c r="BM131" s="22" t="b">
        <f>IF(Audit[[#This Row],[Status - Continue or stop audit]] = "Continue", TRUE, IF(BL130 = "Continue", TRUE, FALSE))</f>
        <v>1</v>
      </c>
      <c r="BN131" s="22"/>
    </row>
    <row r="132" spans="1:66" ht="15" hidden="1" customHeight="1" x14ac:dyDescent="0.35">
      <c r="A132" s="17" t="str">
        <f>'Sampling Data'!AI132</f>
        <v/>
      </c>
      <c r="B132" s="17" t="str">
        <f>'Sampling Data'!A132</f>
        <v>2104 CIN 21-D   (AV)</v>
      </c>
      <c r="C132" s="17">
        <f>'Sampling Data'!B132</f>
        <v>78</v>
      </c>
      <c r="D132" s="17">
        <f>'Sampling Data'!C132</f>
        <v>32</v>
      </c>
      <c r="E132" s="18">
        <f>'Sampling Data'!D132</f>
        <v>0</v>
      </c>
      <c r="F132" s="18">
        <f>'Sampling Data'!E132</f>
        <v>0</v>
      </c>
      <c r="G132" s="18">
        <f>'Sampling Data'!F132</f>
        <v>0</v>
      </c>
      <c r="H132" s="18">
        <f>'Sampling Data'!G132</f>
        <v>0</v>
      </c>
      <c r="I132" s="18">
        <f>'Sampling Data'!H132</f>
        <v>0</v>
      </c>
      <c r="J132" s="18">
        <f>'Sampling Data'!I132</f>
        <v>0</v>
      </c>
      <c r="K132" s="18">
        <f>'Sampling Data'!J132</f>
        <v>0</v>
      </c>
      <c r="L132" s="18">
        <f>'Sampling Data'!K132</f>
        <v>0</v>
      </c>
      <c r="M132" s="18">
        <f>'Sampling Data'!L132</f>
        <v>0</v>
      </c>
      <c r="N132" s="18">
        <f>'Sampling Data'!M132</f>
        <v>0</v>
      </c>
      <c r="O132" s="17">
        <f>'Sampling Data'!N132</f>
        <v>0</v>
      </c>
      <c r="P132" s="17">
        <f>'Sampling Data'!O132</f>
        <v>7</v>
      </c>
      <c r="Q132" s="17">
        <f>'Sampling Data'!P132</f>
        <v>117</v>
      </c>
      <c r="R132" s="17">
        <f>'Sampling Data'!AJ132</f>
        <v>0</v>
      </c>
      <c r="S132" s="111"/>
      <c r="T132" s="111"/>
      <c r="U132" s="112"/>
      <c r="V132" s="112"/>
      <c r="W132" s="111"/>
      <c r="X132" s="111"/>
      <c r="Y132" s="111"/>
      <c r="Z132" s="111"/>
      <c r="AA132" s="14"/>
      <c r="AB132" s="14"/>
      <c r="AC132" s="14"/>
      <c r="AD132" s="14"/>
      <c r="AE132" s="113" t="str">
        <f>IF(NOT(ISBLANK(Audit[[#This Row],[Audit Winning Candidate]])), Audit[[#This Row],[Audit Winning Candidate]]-Audit[[#This Row],[Winning Candidate]], "")</f>
        <v/>
      </c>
      <c r="AF132" s="17" t="str">
        <f>IF(NOT(ISBLANK(Audit[[#This Row],[Audit Losing Candidate]])), Audit[[#This Row],[Audit Losing Candidate]]-Audit[[#This Row],[Losing Candidate]], "")</f>
        <v/>
      </c>
      <c r="AG132" s="17" t="str">
        <f>IF(NOT(ISBLANK(Audit[[#This Row],[Audit Candidate 3]])), Audit[[#This Row],[Audit Candidate 3]]-Audit[[#This Row],[Candidate 3]], "")</f>
        <v/>
      </c>
      <c r="AH132" s="17" t="str">
        <f>IF(NOT(ISBLANK(Audit[[#This Row],[Audit Candidate 4]])),Audit[[#This Row],[Audit Candidate 4]]-Audit[[#This Row],[Candidate 4]], "")</f>
        <v/>
      </c>
      <c r="AI132" s="17" t="str">
        <f>IF(NOT(ISBLANK(Audit[[#This Row],[Audit Candidate 5]])), Audit[[#This Row],[Audit Candidate 5]]-Audit[[#This Row],[Candidate 5]], "")</f>
        <v/>
      </c>
      <c r="AJ132" s="17" t="str">
        <f>IF(NOT(ISBLANK(Audit[[#This Row],[Audit Candidate 6]])), Audit[[#This Row],[Audit Candidate 6]]-Audit[[#This Row],[Candidate 6]], "")</f>
        <v/>
      </c>
      <c r="AK132" s="17" t="str">
        <f>IF(NOT(ISBLANK(Audit[[#This Row],[Audit Candidate 7]])), Audit[[#This Row],[Audit Candidate 7]]-Audit[[#This Row],[Candidate 7]], "")</f>
        <v/>
      </c>
      <c r="AL132" s="17" t="str">
        <f>IF(NOT(ISBLANK(Audit[[#This Row],[Audit Candidate 8]])), Audit[[#This Row],[Audit Candidate 8]]-Audit[[#This Row],[Candidate 8]], "")</f>
        <v/>
      </c>
      <c r="AM132" s="17" t="str">
        <f>IF(NOT(ISBLANK(Audit[[#This Row],[Audit Candidate 9]])), Audit[[#This Row],[Audit Candidate 9]]-Audit[[#This Row],[Candidate 9]], "")</f>
        <v/>
      </c>
      <c r="AN132" s="17" t="str">
        <f>IF(NOT(ISBLANK(Audit[[#This Row],[Audit Candidate 10]])), Audit[[#This Row],[Audit Candidate 10]]-Audit[[#This Row],[Candidate 10]], "")</f>
        <v/>
      </c>
      <c r="AO132" s="17" t="str">
        <f>IF(NOT(ISBLANK(Audit[[#This Row],[Audit Candidate 11]])), Audit[[#This Row],[Audit Candidate 11]]-Audit[[#This Row],[Candidate 11]], "")</f>
        <v/>
      </c>
      <c r="AP132" s="17" t="str">
        <f>IF(NOT(ISBLANK(Audit[[#This Row],[Audit Candidate 12]])), Audit[[#This Row],[Audit Candidate 12]]-Audit[[#This Row],[Candidate 12]], "")</f>
        <v/>
      </c>
      <c r="AQ132" s="17">
        <f>SUMIF(Audit[[#This Row],[Difference Winner]:[Difference Candidate 12]], "&gt;0")</f>
        <v>0</v>
      </c>
      <c r="AR132" s="17">
        <f>SUM(Audit[[#This Row],[Difference Winner]:[Difference Candidate 12]])</f>
        <v>0</v>
      </c>
      <c r="AS132" s="17">
        <f>IF(Audit[[#This Row],[Times p Drawn - With Replacement]]&gt;0, IF(Audit[[#This Row],[Canceled Differences]]&lt;0, Audit[[#This Row],[Max Differences]]+ABS(Audit[[#This Row],[Canceled Differences]]), Audit[[#This Row],[Max Differences]]), 0)</f>
        <v>0</v>
      </c>
      <c r="AT132" s="17">
        <f>'Sampling Data'!AB132</f>
        <v>6.917331522661687E-3</v>
      </c>
      <c r="AU132" s="17">
        <f>IF(
      SUM(Audit[[#This Row],[Audit Losing Candidate]:[Audit Candidate 12]])
      &lt;&gt;0,
      (Audit[[#This Row],[Winning Candidate]]-Audit[[#This Row],[Losing Candidate]]-(Audit[[#This Row],[Audit Winning Candidate]]-Audit[[#This Row],[Audit Losing Candidate]]))/(Audit[[#Totals],[Winning Candidate]]-Audit[[#Totals],[Losing Candidate]]),
      0
)</f>
        <v>0</v>
      </c>
      <c r="AV1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2" s="17">
        <f>IF(Audit[[#This Row],[Max Relative Error (ep)]] = 0, 0, Audit[[#This Row],[Max Relative Error (ep)]]/Audit[[#This Row],[Error Bound (up) - Max. possible relative overstatement]])</f>
        <v>0</v>
      </c>
      <c r="BH1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32" s="17">
        <f t="shared" si="2"/>
        <v>1</v>
      </c>
      <c r="BJ132" s="17">
        <f>PRODUCT($BI$5:BI132)</f>
        <v>0.75946754148117357</v>
      </c>
      <c r="BK132" s="19">
        <f>1 - Audit[[#This Row],[K-M P Value]]</f>
        <v>0.24053245851882643</v>
      </c>
      <c r="BL132" s="17" t="str">
        <f>IF(Audit[[#This Row],[K-M P Value]]&gt;1-'General Info'!$B$12,"Continue", "Stop")</f>
        <v>Continue</v>
      </c>
      <c r="BM132" s="22" t="b">
        <f>IF(Audit[[#This Row],[Status - Continue or stop audit]] = "Continue", TRUE, IF(BL131 = "Continue", TRUE, FALSE))</f>
        <v>1</v>
      </c>
      <c r="BN132" s="22"/>
    </row>
    <row r="133" spans="1:66" ht="15" hidden="1" customHeight="1" x14ac:dyDescent="0.35">
      <c r="A133" s="17" t="str">
        <f>'Sampling Data'!AI133</f>
        <v/>
      </c>
      <c r="B133" s="17" t="str">
        <f>'Sampling Data'!A133</f>
        <v>2105 CIN 21-E   (AV)</v>
      </c>
      <c r="C133" s="17">
        <f>'Sampling Data'!B133</f>
        <v>56</v>
      </c>
      <c r="D133" s="17">
        <f>'Sampling Data'!C133</f>
        <v>6</v>
      </c>
      <c r="E133" s="18">
        <f>'Sampling Data'!D133</f>
        <v>0</v>
      </c>
      <c r="F133" s="18">
        <f>'Sampling Data'!E133</f>
        <v>0</v>
      </c>
      <c r="G133" s="18">
        <f>'Sampling Data'!F133</f>
        <v>0</v>
      </c>
      <c r="H133" s="18">
        <f>'Sampling Data'!G133</f>
        <v>0</v>
      </c>
      <c r="I133" s="18">
        <f>'Sampling Data'!H133</f>
        <v>0</v>
      </c>
      <c r="J133" s="18">
        <f>'Sampling Data'!I133</f>
        <v>0</v>
      </c>
      <c r="K133" s="18">
        <f>'Sampling Data'!J133</f>
        <v>0</v>
      </c>
      <c r="L133" s="18">
        <f>'Sampling Data'!K133</f>
        <v>0</v>
      </c>
      <c r="M133" s="18">
        <f>'Sampling Data'!L133</f>
        <v>0</v>
      </c>
      <c r="N133" s="18">
        <f>'Sampling Data'!M133</f>
        <v>0</v>
      </c>
      <c r="O133" s="17">
        <f>'Sampling Data'!N133</f>
        <v>0</v>
      </c>
      <c r="P133" s="17">
        <f>'Sampling Data'!O133</f>
        <v>3</v>
      </c>
      <c r="Q133" s="17">
        <f>'Sampling Data'!P133</f>
        <v>65</v>
      </c>
      <c r="R133" s="17">
        <f>'Sampling Data'!AJ133</f>
        <v>0</v>
      </c>
      <c r="S133" s="111"/>
      <c r="T133" s="111"/>
      <c r="U133" s="112"/>
      <c r="V133" s="112"/>
      <c r="W133" s="111"/>
      <c r="X133" s="111"/>
      <c r="Y133" s="111"/>
      <c r="Z133" s="111"/>
      <c r="AA133" s="14"/>
      <c r="AB133" s="14"/>
      <c r="AC133" s="14"/>
      <c r="AD133" s="14"/>
      <c r="AE133" s="113" t="str">
        <f>IF(NOT(ISBLANK(Audit[[#This Row],[Audit Winning Candidate]])), Audit[[#This Row],[Audit Winning Candidate]]-Audit[[#This Row],[Winning Candidate]], "")</f>
        <v/>
      </c>
      <c r="AF133" s="17" t="str">
        <f>IF(NOT(ISBLANK(Audit[[#This Row],[Audit Losing Candidate]])), Audit[[#This Row],[Audit Losing Candidate]]-Audit[[#This Row],[Losing Candidate]], "")</f>
        <v/>
      </c>
      <c r="AG133" s="17" t="str">
        <f>IF(NOT(ISBLANK(Audit[[#This Row],[Audit Candidate 3]])), Audit[[#This Row],[Audit Candidate 3]]-Audit[[#This Row],[Candidate 3]], "")</f>
        <v/>
      </c>
      <c r="AH133" s="17" t="str">
        <f>IF(NOT(ISBLANK(Audit[[#This Row],[Audit Candidate 4]])),Audit[[#This Row],[Audit Candidate 4]]-Audit[[#This Row],[Candidate 4]], "")</f>
        <v/>
      </c>
      <c r="AI133" s="17" t="str">
        <f>IF(NOT(ISBLANK(Audit[[#This Row],[Audit Candidate 5]])), Audit[[#This Row],[Audit Candidate 5]]-Audit[[#This Row],[Candidate 5]], "")</f>
        <v/>
      </c>
      <c r="AJ133" s="17" t="str">
        <f>IF(NOT(ISBLANK(Audit[[#This Row],[Audit Candidate 6]])), Audit[[#This Row],[Audit Candidate 6]]-Audit[[#This Row],[Candidate 6]], "")</f>
        <v/>
      </c>
      <c r="AK133" s="17" t="str">
        <f>IF(NOT(ISBLANK(Audit[[#This Row],[Audit Candidate 7]])), Audit[[#This Row],[Audit Candidate 7]]-Audit[[#This Row],[Candidate 7]], "")</f>
        <v/>
      </c>
      <c r="AL133" s="17" t="str">
        <f>IF(NOT(ISBLANK(Audit[[#This Row],[Audit Candidate 8]])), Audit[[#This Row],[Audit Candidate 8]]-Audit[[#This Row],[Candidate 8]], "")</f>
        <v/>
      </c>
      <c r="AM133" s="17" t="str">
        <f>IF(NOT(ISBLANK(Audit[[#This Row],[Audit Candidate 9]])), Audit[[#This Row],[Audit Candidate 9]]-Audit[[#This Row],[Candidate 9]], "")</f>
        <v/>
      </c>
      <c r="AN133" s="17" t="str">
        <f>IF(NOT(ISBLANK(Audit[[#This Row],[Audit Candidate 10]])), Audit[[#This Row],[Audit Candidate 10]]-Audit[[#This Row],[Candidate 10]], "")</f>
        <v/>
      </c>
      <c r="AO133" s="17" t="str">
        <f>IF(NOT(ISBLANK(Audit[[#This Row],[Audit Candidate 11]])), Audit[[#This Row],[Audit Candidate 11]]-Audit[[#This Row],[Candidate 11]], "")</f>
        <v/>
      </c>
      <c r="AP133" s="17" t="str">
        <f>IF(NOT(ISBLANK(Audit[[#This Row],[Audit Candidate 12]])), Audit[[#This Row],[Audit Candidate 12]]-Audit[[#This Row],[Candidate 12]], "")</f>
        <v/>
      </c>
      <c r="AQ133" s="17">
        <f>SUMIF(Audit[[#This Row],[Difference Winner]:[Difference Candidate 12]], "&gt;0")</f>
        <v>0</v>
      </c>
      <c r="AR133" s="17">
        <f>SUM(Audit[[#This Row],[Difference Winner]:[Difference Candidate 12]])</f>
        <v>0</v>
      </c>
      <c r="AS133" s="17">
        <f>IF(Audit[[#This Row],[Times p Drawn - With Replacement]]&gt;0, IF(Audit[[#This Row],[Canceled Differences]]&lt;0, Audit[[#This Row],[Max Differences]]+ABS(Audit[[#This Row],[Canceled Differences]]), Audit[[#This Row],[Max Differences]]), 0)</f>
        <v>0</v>
      </c>
      <c r="AT133" s="17">
        <f>'Sampling Data'!AB133</f>
        <v>4.8803259208962824E-3</v>
      </c>
      <c r="AU133" s="17">
        <f>IF(
      SUM(Audit[[#This Row],[Audit Losing Candidate]:[Audit Candidate 12]])
      &lt;&gt;0,
      (Audit[[#This Row],[Winning Candidate]]-Audit[[#This Row],[Losing Candidate]]-(Audit[[#This Row],[Audit Winning Candidate]]-Audit[[#This Row],[Audit Losing Candidate]]))/(Audit[[#Totals],[Winning Candidate]]-Audit[[#Totals],[Losing Candidate]]),
      0
)</f>
        <v>0</v>
      </c>
      <c r="AV1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3" s="17">
        <f>IF(Audit[[#This Row],[Max Relative Error (ep)]] = 0, 0, Audit[[#This Row],[Max Relative Error (ep)]]/Audit[[#This Row],[Error Bound (up) - Max. possible relative overstatement]])</f>
        <v>0</v>
      </c>
      <c r="BH1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33" s="17">
        <f t="shared" si="2"/>
        <v>1</v>
      </c>
      <c r="BJ133" s="17">
        <f>PRODUCT($BI$5:BI133)</f>
        <v>0.75946754148117357</v>
      </c>
      <c r="BK133" s="19">
        <f>1 - Audit[[#This Row],[K-M P Value]]</f>
        <v>0.24053245851882643</v>
      </c>
      <c r="BL133" s="17" t="str">
        <f>IF(Audit[[#This Row],[K-M P Value]]&gt;1-'General Info'!$B$12,"Continue", "Stop")</f>
        <v>Continue</v>
      </c>
      <c r="BM133" s="22" t="b">
        <f>IF(Audit[[#This Row],[Status - Continue or stop audit]] = "Continue", TRUE, IF(BL132 = "Continue", TRUE, FALSE))</f>
        <v>1</v>
      </c>
      <c r="BN133" s="22"/>
    </row>
    <row r="134" spans="1:66" ht="15" hidden="1" customHeight="1" x14ac:dyDescent="0.35">
      <c r="A134" s="17" t="str">
        <f>'Sampling Data'!AI134</f>
        <v/>
      </c>
      <c r="B134" s="17" t="str">
        <f>'Sampling Data'!A134</f>
        <v>2201 CIN 22-A   (AV)</v>
      </c>
      <c r="C134" s="17">
        <f>'Sampling Data'!B134</f>
        <v>318</v>
      </c>
      <c r="D134" s="17">
        <f>'Sampling Data'!C134</f>
        <v>37</v>
      </c>
      <c r="E134" s="18">
        <f>'Sampling Data'!D134</f>
        <v>0</v>
      </c>
      <c r="F134" s="18">
        <f>'Sampling Data'!E134</f>
        <v>0</v>
      </c>
      <c r="G134" s="18">
        <f>'Sampling Data'!F134</f>
        <v>0</v>
      </c>
      <c r="H134" s="18">
        <f>'Sampling Data'!G134</f>
        <v>0</v>
      </c>
      <c r="I134" s="18">
        <f>'Sampling Data'!H134</f>
        <v>0</v>
      </c>
      <c r="J134" s="18">
        <f>'Sampling Data'!I134</f>
        <v>0</v>
      </c>
      <c r="K134" s="18">
        <f>'Sampling Data'!J134</f>
        <v>0</v>
      </c>
      <c r="L134" s="18">
        <f>'Sampling Data'!K134</f>
        <v>0</v>
      </c>
      <c r="M134" s="18">
        <f>'Sampling Data'!L134</f>
        <v>0</v>
      </c>
      <c r="N134" s="18">
        <f>'Sampling Data'!M134</f>
        <v>0</v>
      </c>
      <c r="O134" s="17">
        <f>'Sampling Data'!N134</f>
        <v>0</v>
      </c>
      <c r="P134" s="17">
        <f>'Sampling Data'!O134</f>
        <v>16</v>
      </c>
      <c r="Q134" s="17">
        <f>'Sampling Data'!P134</f>
        <v>371</v>
      </c>
      <c r="R134" s="17">
        <f>'Sampling Data'!AJ134</f>
        <v>0</v>
      </c>
      <c r="S134" s="111"/>
      <c r="T134" s="111"/>
      <c r="U134" s="112"/>
      <c r="V134" s="112"/>
      <c r="W134" s="111"/>
      <c r="X134" s="111"/>
      <c r="Y134" s="111"/>
      <c r="Z134" s="111"/>
      <c r="AA134" s="14"/>
      <c r="AB134" s="14"/>
      <c r="AC134" s="14"/>
      <c r="AD134" s="14"/>
      <c r="AE134" s="113" t="str">
        <f>IF(NOT(ISBLANK(Audit[[#This Row],[Audit Winning Candidate]])), Audit[[#This Row],[Audit Winning Candidate]]-Audit[[#This Row],[Winning Candidate]], "")</f>
        <v/>
      </c>
      <c r="AF134" s="17" t="str">
        <f>IF(NOT(ISBLANK(Audit[[#This Row],[Audit Losing Candidate]])), Audit[[#This Row],[Audit Losing Candidate]]-Audit[[#This Row],[Losing Candidate]], "")</f>
        <v/>
      </c>
      <c r="AG134" s="17" t="str">
        <f>IF(NOT(ISBLANK(Audit[[#This Row],[Audit Candidate 3]])), Audit[[#This Row],[Audit Candidate 3]]-Audit[[#This Row],[Candidate 3]], "")</f>
        <v/>
      </c>
      <c r="AH134" s="17" t="str">
        <f>IF(NOT(ISBLANK(Audit[[#This Row],[Audit Candidate 4]])),Audit[[#This Row],[Audit Candidate 4]]-Audit[[#This Row],[Candidate 4]], "")</f>
        <v/>
      </c>
      <c r="AI134" s="17" t="str">
        <f>IF(NOT(ISBLANK(Audit[[#This Row],[Audit Candidate 5]])), Audit[[#This Row],[Audit Candidate 5]]-Audit[[#This Row],[Candidate 5]], "")</f>
        <v/>
      </c>
      <c r="AJ134" s="17" t="str">
        <f>IF(NOT(ISBLANK(Audit[[#This Row],[Audit Candidate 6]])), Audit[[#This Row],[Audit Candidate 6]]-Audit[[#This Row],[Candidate 6]], "")</f>
        <v/>
      </c>
      <c r="AK134" s="17" t="str">
        <f>IF(NOT(ISBLANK(Audit[[#This Row],[Audit Candidate 7]])), Audit[[#This Row],[Audit Candidate 7]]-Audit[[#This Row],[Candidate 7]], "")</f>
        <v/>
      </c>
      <c r="AL134" s="17" t="str">
        <f>IF(NOT(ISBLANK(Audit[[#This Row],[Audit Candidate 8]])), Audit[[#This Row],[Audit Candidate 8]]-Audit[[#This Row],[Candidate 8]], "")</f>
        <v/>
      </c>
      <c r="AM134" s="17" t="str">
        <f>IF(NOT(ISBLANK(Audit[[#This Row],[Audit Candidate 9]])), Audit[[#This Row],[Audit Candidate 9]]-Audit[[#This Row],[Candidate 9]], "")</f>
        <v/>
      </c>
      <c r="AN134" s="17" t="str">
        <f>IF(NOT(ISBLANK(Audit[[#This Row],[Audit Candidate 10]])), Audit[[#This Row],[Audit Candidate 10]]-Audit[[#This Row],[Candidate 10]], "")</f>
        <v/>
      </c>
      <c r="AO134" s="17" t="str">
        <f>IF(NOT(ISBLANK(Audit[[#This Row],[Audit Candidate 11]])), Audit[[#This Row],[Audit Candidate 11]]-Audit[[#This Row],[Candidate 11]], "")</f>
        <v/>
      </c>
      <c r="AP134" s="17" t="str">
        <f>IF(NOT(ISBLANK(Audit[[#This Row],[Audit Candidate 12]])), Audit[[#This Row],[Audit Candidate 12]]-Audit[[#This Row],[Candidate 12]], "")</f>
        <v/>
      </c>
      <c r="AQ134" s="17">
        <f>SUMIF(Audit[[#This Row],[Difference Winner]:[Difference Candidate 12]], "&gt;0")</f>
        <v>0</v>
      </c>
      <c r="AR134" s="17">
        <f>SUM(Audit[[#This Row],[Difference Winner]:[Difference Candidate 12]])</f>
        <v>0</v>
      </c>
      <c r="AS134" s="17">
        <f>IF(Audit[[#This Row],[Times p Drawn - With Replacement]]&gt;0, IF(Audit[[#This Row],[Canceled Differences]]&lt;0, Audit[[#This Row],[Max Differences]]+ABS(Audit[[#This Row],[Canceled Differences]]), Audit[[#This Row],[Max Differences]]), 0)</f>
        <v>0</v>
      </c>
      <c r="AT134" s="17">
        <f>'Sampling Data'!AB134</f>
        <v>2.7669326090646748E-2</v>
      </c>
      <c r="AU134" s="17">
        <f>IF(
      SUM(Audit[[#This Row],[Audit Losing Candidate]:[Audit Candidate 12]])
      &lt;&gt;0,
      (Audit[[#This Row],[Winning Candidate]]-Audit[[#This Row],[Losing Candidate]]-(Audit[[#This Row],[Audit Winning Candidate]]-Audit[[#This Row],[Audit Losing Candidate]]))/(Audit[[#Totals],[Winning Candidate]]-Audit[[#Totals],[Losing Candidate]]),
      0
)</f>
        <v>0</v>
      </c>
      <c r="AV1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4" s="17">
        <f>IF(Audit[[#This Row],[Max Relative Error (ep)]] = 0, 0, Audit[[#This Row],[Max Relative Error (ep)]]/Audit[[#This Row],[Error Bound (up) - Max. possible relative overstatement]])</f>
        <v>0</v>
      </c>
      <c r="BH1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34" s="17">
        <f t="shared" si="2"/>
        <v>1</v>
      </c>
      <c r="BJ134" s="17">
        <f>PRODUCT($BI$5:BI134)</f>
        <v>0.75946754148117357</v>
      </c>
      <c r="BK134" s="19">
        <f>1 - Audit[[#This Row],[K-M P Value]]</f>
        <v>0.24053245851882643</v>
      </c>
      <c r="BL134" s="17" t="str">
        <f>IF(Audit[[#This Row],[K-M P Value]]&gt;1-'General Info'!$B$12,"Continue", "Stop")</f>
        <v>Continue</v>
      </c>
      <c r="BM134" s="22" t="b">
        <f>IF(Audit[[#This Row],[Status - Continue or stop audit]] = "Continue", TRUE, IF(BL133 = "Continue", TRUE, FALSE))</f>
        <v>1</v>
      </c>
      <c r="BN134" s="22"/>
    </row>
    <row r="135" spans="1:66" ht="15" hidden="1" customHeight="1" x14ac:dyDescent="0.35">
      <c r="A135" s="17" t="str">
        <f>'Sampling Data'!AI135</f>
        <v/>
      </c>
      <c r="B135" s="17" t="str">
        <f>'Sampling Data'!A135</f>
        <v>2202 CIN 22-B   (AV)</v>
      </c>
      <c r="C135" s="17">
        <f>'Sampling Data'!B135</f>
        <v>125</v>
      </c>
      <c r="D135" s="17">
        <f>'Sampling Data'!C135</f>
        <v>17</v>
      </c>
      <c r="E135" s="18">
        <f>'Sampling Data'!D135</f>
        <v>0</v>
      </c>
      <c r="F135" s="18">
        <f>'Sampling Data'!E135</f>
        <v>0</v>
      </c>
      <c r="G135" s="18">
        <f>'Sampling Data'!F135</f>
        <v>0</v>
      </c>
      <c r="H135" s="18">
        <f>'Sampling Data'!G135</f>
        <v>0</v>
      </c>
      <c r="I135" s="18">
        <f>'Sampling Data'!H135</f>
        <v>0</v>
      </c>
      <c r="J135" s="18">
        <f>'Sampling Data'!I135</f>
        <v>0</v>
      </c>
      <c r="K135" s="18">
        <f>'Sampling Data'!J135</f>
        <v>0</v>
      </c>
      <c r="L135" s="18">
        <f>'Sampling Data'!K135</f>
        <v>0</v>
      </c>
      <c r="M135" s="18">
        <f>'Sampling Data'!L135</f>
        <v>0</v>
      </c>
      <c r="N135" s="18">
        <f>'Sampling Data'!M135</f>
        <v>0</v>
      </c>
      <c r="O135" s="17">
        <f>'Sampling Data'!N135</f>
        <v>0</v>
      </c>
      <c r="P135" s="17">
        <f>'Sampling Data'!O135</f>
        <v>4</v>
      </c>
      <c r="Q135" s="17">
        <f>'Sampling Data'!P135</f>
        <v>146</v>
      </c>
      <c r="R135" s="17">
        <f>'Sampling Data'!AJ135</f>
        <v>0</v>
      </c>
      <c r="S135" s="111"/>
      <c r="T135" s="111"/>
      <c r="U135" s="112"/>
      <c r="V135" s="112"/>
      <c r="W135" s="111"/>
      <c r="X135" s="111"/>
      <c r="Y135" s="111"/>
      <c r="Z135" s="111"/>
      <c r="AA135" s="14"/>
      <c r="AB135" s="14"/>
      <c r="AC135" s="14"/>
      <c r="AD135" s="14"/>
      <c r="AE135" s="113" t="str">
        <f>IF(NOT(ISBLANK(Audit[[#This Row],[Audit Winning Candidate]])), Audit[[#This Row],[Audit Winning Candidate]]-Audit[[#This Row],[Winning Candidate]], "")</f>
        <v/>
      </c>
      <c r="AF135" s="17" t="str">
        <f>IF(NOT(ISBLANK(Audit[[#This Row],[Audit Losing Candidate]])), Audit[[#This Row],[Audit Losing Candidate]]-Audit[[#This Row],[Losing Candidate]], "")</f>
        <v/>
      </c>
      <c r="AG135" s="17" t="str">
        <f>IF(NOT(ISBLANK(Audit[[#This Row],[Audit Candidate 3]])), Audit[[#This Row],[Audit Candidate 3]]-Audit[[#This Row],[Candidate 3]], "")</f>
        <v/>
      </c>
      <c r="AH135" s="17" t="str">
        <f>IF(NOT(ISBLANK(Audit[[#This Row],[Audit Candidate 4]])),Audit[[#This Row],[Audit Candidate 4]]-Audit[[#This Row],[Candidate 4]], "")</f>
        <v/>
      </c>
      <c r="AI135" s="17" t="str">
        <f>IF(NOT(ISBLANK(Audit[[#This Row],[Audit Candidate 5]])), Audit[[#This Row],[Audit Candidate 5]]-Audit[[#This Row],[Candidate 5]], "")</f>
        <v/>
      </c>
      <c r="AJ135" s="17" t="str">
        <f>IF(NOT(ISBLANK(Audit[[#This Row],[Audit Candidate 6]])), Audit[[#This Row],[Audit Candidate 6]]-Audit[[#This Row],[Candidate 6]], "")</f>
        <v/>
      </c>
      <c r="AK135" s="17" t="str">
        <f>IF(NOT(ISBLANK(Audit[[#This Row],[Audit Candidate 7]])), Audit[[#This Row],[Audit Candidate 7]]-Audit[[#This Row],[Candidate 7]], "")</f>
        <v/>
      </c>
      <c r="AL135" s="17" t="str">
        <f>IF(NOT(ISBLANK(Audit[[#This Row],[Audit Candidate 8]])), Audit[[#This Row],[Audit Candidate 8]]-Audit[[#This Row],[Candidate 8]], "")</f>
        <v/>
      </c>
      <c r="AM135" s="17" t="str">
        <f>IF(NOT(ISBLANK(Audit[[#This Row],[Audit Candidate 9]])), Audit[[#This Row],[Audit Candidate 9]]-Audit[[#This Row],[Candidate 9]], "")</f>
        <v/>
      </c>
      <c r="AN135" s="17" t="str">
        <f>IF(NOT(ISBLANK(Audit[[#This Row],[Audit Candidate 10]])), Audit[[#This Row],[Audit Candidate 10]]-Audit[[#This Row],[Candidate 10]], "")</f>
        <v/>
      </c>
      <c r="AO135" s="17" t="str">
        <f>IF(NOT(ISBLANK(Audit[[#This Row],[Audit Candidate 11]])), Audit[[#This Row],[Audit Candidate 11]]-Audit[[#This Row],[Candidate 11]], "")</f>
        <v/>
      </c>
      <c r="AP135" s="17" t="str">
        <f>IF(NOT(ISBLANK(Audit[[#This Row],[Audit Candidate 12]])), Audit[[#This Row],[Audit Candidate 12]]-Audit[[#This Row],[Candidate 12]], "")</f>
        <v/>
      </c>
      <c r="AQ135" s="17">
        <f>SUMIF(Audit[[#This Row],[Difference Winner]:[Difference Candidate 12]], "&gt;0")</f>
        <v>0</v>
      </c>
      <c r="AR135" s="17">
        <f>SUM(Audit[[#This Row],[Difference Winner]:[Difference Candidate 12]])</f>
        <v>0</v>
      </c>
      <c r="AS135" s="17">
        <f>IF(Audit[[#This Row],[Times p Drawn - With Replacement]]&gt;0, IF(Audit[[#This Row],[Canceled Differences]]&lt;0, Audit[[#This Row],[Max Differences]]+ABS(Audit[[#This Row],[Canceled Differences]]), Audit[[#This Row],[Max Differences]]), 0)</f>
        <v>0</v>
      </c>
      <c r="AT135" s="17">
        <f>'Sampling Data'!AB135</f>
        <v>1.0779154642675268E-2</v>
      </c>
      <c r="AU135" s="17">
        <f>IF(
      SUM(Audit[[#This Row],[Audit Losing Candidate]:[Audit Candidate 12]])
      &lt;&gt;0,
      (Audit[[#This Row],[Winning Candidate]]-Audit[[#This Row],[Losing Candidate]]-(Audit[[#This Row],[Audit Winning Candidate]]-Audit[[#This Row],[Audit Losing Candidate]]))/(Audit[[#Totals],[Winning Candidate]]-Audit[[#Totals],[Losing Candidate]]),
      0
)</f>
        <v>0</v>
      </c>
      <c r="AV1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5" s="17">
        <f>IF(Audit[[#This Row],[Max Relative Error (ep)]] = 0, 0, Audit[[#This Row],[Max Relative Error (ep)]]/Audit[[#This Row],[Error Bound (up) - Max. possible relative overstatement]])</f>
        <v>0</v>
      </c>
      <c r="BH1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35" s="17">
        <f t="shared" si="2"/>
        <v>1</v>
      </c>
      <c r="BJ135" s="17">
        <f>PRODUCT($BI$5:BI135)</f>
        <v>0.75946754148117357</v>
      </c>
      <c r="BK135" s="19">
        <f>1 - Audit[[#This Row],[K-M P Value]]</f>
        <v>0.24053245851882643</v>
      </c>
      <c r="BL135" s="17" t="str">
        <f>IF(Audit[[#This Row],[K-M P Value]]&gt;1-'General Info'!$B$12,"Continue", "Stop")</f>
        <v>Continue</v>
      </c>
      <c r="BM135" s="22" t="b">
        <f>IF(Audit[[#This Row],[Status - Continue or stop audit]] = "Continue", TRUE, IF(BL134 = "Continue", TRUE, FALSE))</f>
        <v>1</v>
      </c>
      <c r="BN135" s="22"/>
    </row>
    <row r="136" spans="1:66" ht="15" hidden="1" customHeight="1" x14ac:dyDescent="0.35">
      <c r="A136" s="17" t="str">
        <f>'Sampling Data'!AI136</f>
        <v/>
      </c>
      <c r="B136" s="17" t="str">
        <f>'Sampling Data'!A136</f>
        <v>2203 CIN 22-C   (AV)</v>
      </c>
      <c r="C136" s="17">
        <f>'Sampling Data'!B136</f>
        <v>114</v>
      </c>
      <c r="D136" s="17">
        <f>'Sampling Data'!C136</f>
        <v>9</v>
      </c>
      <c r="E136" s="18">
        <f>'Sampling Data'!D136</f>
        <v>0</v>
      </c>
      <c r="F136" s="18">
        <f>'Sampling Data'!E136</f>
        <v>0</v>
      </c>
      <c r="G136" s="18">
        <f>'Sampling Data'!F136</f>
        <v>0</v>
      </c>
      <c r="H136" s="18">
        <f>'Sampling Data'!G136</f>
        <v>0</v>
      </c>
      <c r="I136" s="18">
        <f>'Sampling Data'!H136</f>
        <v>0</v>
      </c>
      <c r="J136" s="18">
        <f>'Sampling Data'!I136</f>
        <v>0</v>
      </c>
      <c r="K136" s="18">
        <f>'Sampling Data'!J136</f>
        <v>0</v>
      </c>
      <c r="L136" s="18">
        <f>'Sampling Data'!K136</f>
        <v>0</v>
      </c>
      <c r="M136" s="18">
        <f>'Sampling Data'!L136</f>
        <v>0</v>
      </c>
      <c r="N136" s="18">
        <f>'Sampling Data'!M136</f>
        <v>0</v>
      </c>
      <c r="O136" s="17">
        <f>'Sampling Data'!N136</f>
        <v>0</v>
      </c>
      <c r="P136" s="17">
        <f>'Sampling Data'!O136</f>
        <v>4</v>
      </c>
      <c r="Q136" s="17">
        <f>'Sampling Data'!P136</f>
        <v>127</v>
      </c>
      <c r="R136" s="17">
        <f>'Sampling Data'!AJ136</f>
        <v>0</v>
      </c>
      <c r="S136" s="111"/>
      <c r="T136" s="111"/>
      <c r="U136" s="112"/>
      <c r="V136" s="112"/>
      <c r="W136" s="111"/>
      <c r="X136" s="111"/>
      <c r="Y136" s="111"/>
      <c r="Z136" s="111"/>
      <c r="AA136" s="14"/>
      <c r="AB136" s="14"/>
      <c r="AC136" s="14"/>
      <c r="AD136" s="14"/>
      <c r="AE136" s="113" t="str">
        <f>IF(NOT(ISBLANK(Audit[[#This Row],[Audit Winning Candidate]])), Audit[[#This Row],[Audit Winning Candidate]]-Audit[[#This Row],[Winning Candidate]], "")</f>
        <v/>
      </c>
      <c r="AF136" s="17" t="str">
        <f>IF(NOT(ISBLANK(Audit[[#This Row],[Audit Losing Candidate]])), Audit[[#This Row],[Audit Losing Candidate]]-Audit[[#This Row],[Losing Candidate]], "")</f>
        <v/>
      </c>
      <c r="AG136" s="17" t="str">
        <f>IF(NOT(ISBLANK(Audit[[#This Row],[Audit Candidate 3]])), Audit[[#This Row],[Audit Candidate 3]]-Audit[[#This Row],[Candidate 3]], "")</f>
        <v/>
      </c>
      <c r="AH136" s="17" t="str">
        <f>IF(NOT(ISBLANK(Audit[[#This Row],[Audit Candidate 4]])),Audit[[#This Row],[Audit Candidate 4]]-Audit[[#This Row],[Candidate 4]], "")</f>
        <v/>
      </c>
      <c r="AI136" s="17" t="str">
        <f>IF(NOT(ISBLANK(Audit[[#This Row],[Audit Candidate 5]])), Audit[[#This Row],[Audit Candidate 5]]-Audit[[#This Row],[Candidate 5]], "")</f>
        <v/>
      </c>
      <c r="AJ136" s="17" t="str">
        <f>IF(NOT(ISBLANK(Audit[[#This Row],[Audit Candidate 6]])), Audit[[#This Row],[Audit Candidate 6]]-Audit[[#This Row],[Candidate 6]], "")</f>
        <v/>
      </c>
      <c r="AK136" s="17" t="str">
        <f>IF(NOT(ISBLANK(Audit[[#This Row],[Audit Candidate 7]])), Audit[[#This Row],[Audit Candidate 7]]-Audit[[#This Row],[Candidate 7]], "")</f>
        <v/>
      </c>
      <c r="AL136" s="17" t="str">
        <f>IF(NOT(ISBLANK(Audit[[#This Row],[Audit Candidate 8]])), Audit[[#This Row],[Audit Candidate 8]]-Audit[[#This Row],[Candidate 8]], "")</f>
        <v/>
      </c>
      <c r="AM136" s="17" t="str">
        <f>IF(NOT(ISBLANK(Audit[[#This Row],[Audit Candidate 9]])), Audit[[#This Row],[Audit Candidate 9]]-Audit[[#This Row],[Candidate 9]], "")</f>
        <v/>
      </c>
      <c r="AN136" s="17" t="str">
        <f>IF(NOT(ISBLANK(Audit[[#This Row],[Audit Candidate 10]])), Audit[[#This Row],[Audit Candidate 10]]-Audit[[#This Row],[Candidate 10]], "")</f>
        <v/>
      </c>
      <c r="AO136" s="17" t="str">
        <f>IF(NOT(ISBLANK(Audit[[#This Row],[Audit Candidate 11]])), Audit[[#This Row],[Audit Candidate 11]]-Audit[[#This Row],[Candidate 11]], "")</f>
        <v/>
      </c>
      <c r="AP136" s="17" t="str">
        <f>IF(NOT(ISBLANK(Audit[[#This Row],[Audit Candidate 12]])), Audit[[#This Row],[Audit Candidate 12]]-Audit[[#This Row],[Candidate 12]], "")</f>
        <v/>
      </c>
      <c r="AQ136" s="17">
        <f>SUMIF(Audit[[#This Row],[Difference Winner]:[Difference Candidate 12]], "&gt;0")</f>
        <v>0</v>
      </c>
      <c r="AR136" s="17">
        <f>SUM(Audit[[#This Row],[Difference Winner]:[Difference Candidate 12]])</f>
        <v>0</v>
      </c>
      <c r="AS136" s="17">
        <f>IF(Audit[[#This Row],[Times p Drawn - With Replacement]]&gt;0, IF(Audit[[#This Row],[Canceled Differences]]&lt;0, Audit[[#This Row],[Max Differences]]+ABS(Audit[[#This Row],[Canceled Differences]]), Audit[[#This Row],[Max Differences]]), 0)</f>
        <v>0</v>
      </c>
      <c r="AT136" s="17">
        <f>'Sampling Data'!AB136</f>
        <v>9.8455270751994575E-3</v>
      </c>
      <c r="AU136" s="17">
        <f>IF(
      SUM(Audit[[#This Row],[Audit Losing Candidate]:[Audit Candidate 12]])
      &lt;&gt;0,
      (Audit[[#This Row],[Winning Candidate]]-Audit[[#This Row],[Losing Candidate]]-(Audit[[#This Row],[Audit Winning Candidate]]-Audit[[#This Row],[Audit Losing Candidate]]))/(Audit[[#Totals],[Winning Candidate]]-Audit[[#Totals],[Losing Candidate]]),
      0
)</f>
        <v>0</v>
      </c>
      <c r="AV1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6" s="17">
        <f>IF(Audit[[#This Row],[Max Relative Error (ep)]] = 0, 0, Audit[[#This Row],[Max Relative Error (ep)]]/Audit[[#This Row],[Error Bound (up) - Max. possible relative overstatement]])</f>
        <v>0</v>
      </c>
      <c r="BH1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36" s="17">
        <f t="shared" si="2"/>
        <v>1</v>
      </c>
      <c r="BJ136" s="17">
        <f>PRODUCT($BI$5:BI136)</f>
        <v>0.75946754148117357</v>
      </c>
      <c r="BK136" s="19">
        <f>1 - Audit[[#This Row],[K-M P Value]]</f>
        <v>0.24053245851882643</v>
      </c>
      <c r="BL136" s="17" t="str">
        <f>IF(Audit[[#This Row],[K-M P Value]]&gt;1-'General Info'!$B$12,"Continue", "Stop")</f>
        <v>Continue</v>
      </c>
      <c r="BM136" s="22" t="b">
        <f>IF(Audit[[#This Row],[Status - Continue or stop audit]] = "Continue", TRUE, IF(BL135 = "Continue", TRUE, FALSE))</f>
        <v>1</v>
      </c>
      <c r="BN136" s="22"/>
    </row>
    <row r="137" spans="1:66" ht="15" hidden="1" customHeight="1" x14ac:dyDescent="0.35">
      <c r="A137" s="17" t="str">
        <f>'Sampling Data'!AI137</f>
        <v/>
      </c>
      <c r="B137" s="17" t="str">
        <f>'Sampling Data'!A137</f>
        <v>2301 CIN 23-A   (AV)</v>
      </c>
      <c r="C137" s="17">
        <f>'Sampling Data'!B137</f>
        <v>420</v>
      </c>
      <c r="D137" s="17">
        <f>'Sampling Data'!C137</f>
        <v>65</v>
      </c>
      <c r="E137" s="18">
        <f>'Sampling Data'!D137</f>
        <v>0</v>
      </c>
      <c r="F137" s="18">
        <f>'Sampling Data'!E137</f>
        <v>0</v>
      </c>
      <c r="G137" s="18">
        <f>'Sampling Data'!F137</f>
        <v>0</v>
      </c>
      <c r="H137" s="18">
        <f>'Sampling Data'!G137</f>
        <v>0</v>
      </c>
      <c r="I137" s="18">
        <f>'Sampling Data'!H137</f>
        <v>0</v>
      </c>
      <c r="J137" s="18">
        <f>'Sampling Data'!I137</f>
        <v>0</v>
      </c>
      <c r="K137" s="18">
        <f>'Sampling Data'!J137</f>
        <v>0</v>
      </c>
      <c r="L137" s="18">
        <f>'Sampling Data'!K137</f>
        <v>0</v>
      </c>
      <c r="M137" s="18">
        <f>'Sampling Data'!L137</f>
        <v>0</v>
      </c>
      <c r="N137" s="18">
        <f>'Sampling Data'!M137</f>
        <v>0</v>
      </c>
      <c r="O137" s="17">
        <f>'Sampling Data'!N137</f>
        <v>0</v>
      </c>
      <c r="P137" s="17">
        <f>'Sampling Data'!O137</f>
        <v>17</v>
      </c>
      <c r="Q137" s="17">
        <f>'Sampling Data'!P137</f>
        <v>502</v>
      </c>
      <c r="R137" s="17">
        <f>'Sampling Data'!AJ137</f>
        <v>0</v>
      </c>
      <c r="S137" s="111"/>
      <c r="T137" s="111"/>
      <c r="U137" s="112"/>
      <c r="V137" s="112"/>
      <c r="W137" s="111"/>
      <c r="X137" s="111"/>
      <c r="Y137" s="111"/>
      <c r="Z137" s="111"/>
      <c r="AA137" s="14"/>
      <c r="AB137" s="14"/>
      <c r="AC137" s="14"/>
      <c r="AD137" s="14"/>
      <c r="AE137" s="113" t="str">
        <f>IF(NOT(ISBLANK(Audit[[#This Row],[Audit Winning Candidate]])), Audit[[#This Row],[Audit Winning Candidate]]-Audit[[#This Row],[Winning Candidate]], "")</f>
        <v/>
      </c>
      <c r="AF137" s="17" t="str">
        <f>IF(NOT(ISBLANK(Audit[[#This Row],[Audit Losing Candidate]])), Audit[[#This Row],[Audit Losing Candidate]]-Audit[[#This Row],[Losing Candidate]], "")</f>
        <v/>
      </c>
      <c r="AG137" s="17" t="str">
        <f>IF(NOT(ISBLANK(Audit[[#This Row],[Audit Candidate 3]])), Audit[[#This Row],[Audit Candidate 3]]-Audit[[#This Row],[Candidate 3]], "")</f>
        <v/>
      </c>
      <c r="AH137" s="17" t="str">
        <f>IF(NOT(ISBLANK(Audit[[#This Row],[Audit Candidate 4]])),Audit[[#This Row],[Audit Candidate 4]]-Audit[[#This Row],[Candidate 4]], "")</f>
        <v/>
      </c>
      <c r="AI137" s="17" t="str">
        <f>IF(NOT(ISBLANK(Audit[[#This Row],[Audit Candidate 5]])), Audit[[#This Row],[Audit Candidate 5]]-Audit[[#This Row],[Candidate 5]], "")</f>
        <v/>
      </c>
      <c r="AJ137" s="17" t="str">
        <f>IF(NOT(ISBLANK(Audit[[#This Row],[Audit Candidate 6]])), Audit[[#This Row],[Audit Candidate 6]]-Audit[[#This Row],[Candidate 6]], "")</f>
        <v/>
      </c>
      <c r="AK137" s="17" t="str">
        <f>IF(NOT(ISBLANK(Audit[[#This Row],[Audit Candidate 7]])), Audit[[#This Row],[Audit Candidate 7]]-Audit[[#This Row],[Candidate 7]], "")</f>
        <v/>
      </c>
      <c r="AL137" s="17" t="str">
        <f>IF(NOT(ISBLANK(Audit[[#This Row],[Audit Candidate 8]])), Audit[[#This Row],[Audit Candidate 8]]-Audit[[#This Row],[Candidate 8]], "")</f>
        <v/>
      </c>
      <c r="AM137" s="17" t="str">
        <f>IF(NOT(ISBLANK(Audit[[#This Row],[Audit Candidate 9]])), Audit[[#This Row],[Audit Candidate 9]]-Audit[[#This Row],[Candidate 9]], "")</f>
        <v/>
      </c>
      <c r="AN137" s="17" t="str">
        <f>IF(NOT(ISBLANK(Audit[[#This Row],[Audit Candidate 10]])), Audit[[#This Row],[Audit Candidate 10]]-Audit[[#This Row],[Candidate 10]], "")</f>
        <v/>
      </c>
      <c r="AO137" s="17" t="str">
        <f>IF(NOT(ISBLANK(Audit[[#This Row],[Audit Candidate 11]])), Audit[[#This Row],[Audit Candidate 11]]-Audit[[#This Row],[Candidate 11]], "")</f>
        <v/>
      </c>
      <c r="AP137" s="17" t="str">
        <f>IF(NOT(ISBLANK(Audit[[#This Row],[Audit Candidate 12]])), Audit[[#This Row],[Audit Candidate 12]]-Audit[[#This Row],[Candidate 12]], "")</f>
        <v/>
      </c>
      <c r="AQ137" s="17">
        <f>SUMIF(Audit[[#This Row],[Difference Winner]:[Difference Candidate 12]], "&gt;0")</f>
        <v>0</v>
      </c>
      <c r="AR137" s="17">
        <f>SUM(Audit[[#This Row],[Difference Winner]:[Difference Candidate 12]])</f>
        <v>0</v>
      </c>
      <c r="AS137" s="17">
        <f>IF(Audit[[#This Row],[Times p Drawn - With Replacement]]&gt;0, IF(Audit[[#This Row],[Canceled Differences]]&lt;0, Audit[[#This Row],[Max Differences]]+ABS(Audit[[#This Row],[Canceled Differences]]), Audit[[#This Row],[Max Differences]]), 0)</f>
        <v>0</v>
      </c>
      <c r="AT137" s="17">
        <f>'Sampling Data'!AB137</f>
        <v>3.6369037514853167E-2</v>
      </c>
      <c r="AU137" s="17">
        <f>IF(
      SUM(Audit[[#This Row],[Audit Losing Candidate]:[Audit Candidate 12]])
      &lt;&gt;0,
      (Audit[[#This Row],[Winning Candidate]]-Audit[[#This Row],[Losing Candidate]]-(Audit[[#This Row],[Audit Winning Candidate]]-Audit[[#This Row],[Audit Losing Candidate]]))/(Audit[[#Totals],[Winning Candidate]]-Audit[[#Totals],[Losing Candidate]]),
      0
)</f>
        <v>0</v>
      </c>
      <c r="AV1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7" s="17">
        <f>IF(Audit[[#This Row],[Max Relative Error (ep)]] = 0, 0, Audit[[#This Row],[Max Relative Error (ep)]]/Audit[[#This Row],[Error Bound (up) - Max. possible relative overstatement]])</f>
        <v>0</v>
      </c>
      <c r="BH1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37" s="17">
        <f t="shared" si="2"/>
        <v>1</v>
      </c>
      <c r="BJ137" s="17">
        <f>PRODUCT($BI$5:BI137)</f>
        <v>0.75946754148117357</v>
      </c>
      <c r="BK137" s="19">
        <f>1 - Audit[[#This Row],[K-M P Value]]</f>
        <v>0.24053245851882643</v>
      </c>
      <c r="BL137" s="17" t="str">
        <f>IF(Audit[[#This Row],[K-M P Value]]&gt;1-'General Info'!$B$12,"Continue", "Stop")</f>
        <v>Continue</v>
      </c>
      <c r="BM137" s="22" t="b">
        <f>IF(Audit[[#This Row],[Status - Continue or stop audit]] = "Continue", TRUE, IF(BL136 = "Continue", TRUE, FALSE))</f>
        <v>1</v>
      </c>
      <c r="BN137" s="22"/>
    </row>
    <row r="138" spans="1:66" ht="15" hidden="1" customHeight="1" x14ac:dyDescent="0.35">
      <c r="A138" s="17" t="str">
        <f>'Sampling Data'!AI138</f>
        <v/>
      </c>
      <c r="B138" s="17" t="str">
        <f>'Sampling Data'!A138</f>
        <v>2302 CIN 23-B   (AV)</v>
      </c>
      <c r="C138" s="17">
        <f>'Sampling Data'!B138</f>
        <v>133</v>
      </c>
      <c r="D138" s="17">
        <f>'Sampling Data'!C138</f>
        <v>24</v>
      </c>
      <c r="E138" s="18">
        <f>'Sampling Data'!D138</f>
        <v>0</v>
      </c>
      <c r="F138" s="18">
        <f>'Sampling Data'!E138</f>
        <v>0</v>
      </c>
      <c r="G138" s="18">
        <f>'Sampling Data'!F138</f>
        <v>0</v>
      </c>
      <c r="H138" s="18">
        <f>'Sampling Data'!G138</f>
        <v>0</v>
      </c>
      <c r="I138" s="18">
        <f>'Sampling Data'!H138</f>
        <v>0</v>
      </c>
      <c r="J138" s="18">
        <f>'Sampling Data'!I138</f>
        <v>0</v>
      </c>
      <c r="K138" s="18">
        <f>'Sampling Data'!J138</f>
        <v>0</v>
      </c>
      <c r="L138" s="18">
        <f>'Sampling Data'!K138</f>
        <v>0</v>
      </c>
      <c r="M138" s="18">
        <f>'Sampling Data'!L138</f>
        <v>0</v>
      </c>
      <c r="N138" s="18">
        <f>'Sampling Data'!M138</f>
        <v>0</v>
      </c>
      <c r="O138" s="17">
        <f>'Sampling Data'!N138</f>
        <v>0</v>
      </c>
      <c r="P138" s="17">
        <f>'Sampling Data'!O138</f>
        <v>11</v>
      </c>
      <c r="Q138" s="17">
        <f>'Sampling Data'!P138</f>
        <v>168</v>
      </c>
      <c r="R138" s="17">
        <f>'Sampling Data'!AJ138</f>
        <v>0</v>
      </c>
      <c r="S138" s="111"/>
      <c r="T138" s="111"/>
      <c r="U138" s="112"/>
      <c r="V138" s="112"/>
      <c r="W138" s="111"/>
      <c r="X138" s="111"/>
      <c r="Y138" s="111"/>
      <c r="Z138" s="111"/>
      <c r="AA138" s="14"/>
      <c r="AB138" s="14"/>
      <c r="AC138" s="14"/>
      <c r="AD138" s="14"/>
      <c r="AE138" s="113" t="str">
        <f>IF(NOT(ISBLANK(Audit[[#This Row],[Audit Winning Candidate]])), Audit[[#This Row],[Audit Winning Candidate]]-Audit[[#This Row],[Winning Candidate]], "")</f>
        <v/>
      </c>
      <c r="AF138" s="17" t="str">
        <f>IF(NOT(ISBLANK(Audit[[#This Row],[Audit Losing Candidate]])), Audit[[#This Row],[Audit Losing Candidate]]-Audit[[#This Row],[Losing Candidate]], "")</f>
        <v/>
      </c>
      <c r="AG138" s="17" t="str">
        <f>IF(NOT(ISBLANK(Audit[[#This Row],[Audit Candidate 3]])), Audit[[#This Row],[Audit Candidate 3]]-Audit[[#This Row],[Candidate 3]], "")</f>
        <v/>
      </c>
      <c r="AH138" s="17" t="str">
        <f>IF(NOT(ISBLANK(Audit[[#This Row],[Audit Candidate 4]])),Audit[[#This Row],[Audit Candidate 4]]-Audit[[#This Row],[Candidate 4]], "")</f>
        <v/>
      </c>
      <c r="AI138" s="17" t="str">
        <f>IF(NOT(ISBLANK(Audit[[#This Row],[Audit Candidate 5]])), Audit[[#This Row],[Audit Candidate 5]]-Audit[[#This Row],[Candidate 5]], "")</f>
        <v/>
      </c>
      <c r="AJ138" s="17" t="str">
        <f>IF(NOT(ISBLANK(Audit[[#This Row],[Audit Candidate 6]])), Audit[[#This Row],[Audit Candidate 6]]-Audit[[#This Row],[Candidate 6]], "")</f>
        <v/>
      </c>
      <c r="AK138" s="17" t="str">
        <f>IF(NOT(ISBLANK(Audit[[#This Row],[Audit Candidate 7]])), Audit[[#This Row],[Audit Candidate 7]]-Audit[[#This Row],[Candidate 7]], "")</f>
        <v/>
      </c>
      <c r="AL138" s="17" t="str">
        <f>IF(NOT(ISBLANK(Audit[[#This Row],[Audit Candidate 8]])), Audit[[#This Row],[Audit Candidate 8]]-Audit[[#This Row],[Candidate 8]], "")</f>
        <v/>
      </c>
      <c r="AM138" s="17" t="str">
        <f>IF(NOT(ISBLANK(Audit[[#This Row],[Audit Candidate 9]])), Audit[[#This Row],[Audit Candidate 9]]-Audit[[#This Row],[Candidate 9]], "")</f>
        <v/>
      </c>
      <c r="AN138" s="17" t="str">
        <f>IF(NOT(ISBLANK(Audit[[#This Row],[Audit Candidate 10]])), Audit[[#This Row],[Audit Candidate 10]]-Audit[[#This Row],[Candidate 10]], "")</f>
        <v/>
      </c>
      <c r="AO138" s="17" t="str">
        <f>IF(NOT(ISBLANK(Audit[[#This Row],[Audit Candidate 11]])), Audit[[#This Row],[Audit Candidate 11]]-Audit[[#This Row],[Candidate 11]], "")</f>
        <v/>
      </c>
      <c r="AP138" s="17" t="str">
        <f>IF(NOT(ISBLANK(Audit[[#This Row],[Audit Candidate 12]])), Audit[[#This Row],[Audit Candidate 12]]-Audit[[#This Row],[Candidate 12]], "")</f>
        <v/>
      </c>
      <c r="AQ138" s="17">
        <f>SUMIF(Audit[[#This Row],[Difference Winner]:[Difference Candidate 12]], "&gt;0")</f>
        <v>0</v>
      </c>
      <c r="AR138" s="17">
        <f>SUM(Audit[[#This Row],[Difference Winner]:[Difference Candidate 12]])</f>
        <v>0</v>
      </c>
      <c r="AS138" s="17">
        <f>IF(Audit[[#This Row],[Times p Drawn - With Replacement]]&gt;0, IF(Audit[[#This Row],[Canceled Differences]]&lt;0, Audit[[#This Row],[Max Differences]]+ABS(Audit[[#This Row],[Canceled Differences]]), Audit[[#This Row],[Max Differences]]), 0)</f>
        <v>0</v>
      </c>
      <c r="AT138" s="17">
        <f>'Sampling Data'!AB138</f>
        <v>1.1755219826854523E-2</v>
      </c>
      <c r="AU138" s="17">
        <f>IF(
      SUM(Audit[[#This Row],[Audit Losing Candidate]:[Audit Candidate 12]])
      &lt;&gt;0,
      (Audit[[#This Row],[Winning Candidate]]-Audit[[#This Row],[Losing Candidate]]-(Audit[[#This Row],[Audit Winning Candidate]]-Audit[[#This Row],[Audit Losing Candidate]]))/(Audit[[#Totals],[Winning Candidate]]-Audit[[#Totals],[Losing Candidate]]),
      0
)</f>
        <v>0</v>
      </c>
      <c r="AV1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8" s="17">
        <f>IF(Audit[[#This Row],[Max Relative Error (ep)]] = 0, 0, Audit[[#This Row],[Max Relative Error (ep)]]/Audit[[#This Row],[Error Bound (up) - Max. possible relative overstatement]])</f>
        <v>0</v>
      </c>
      <c r="BH1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38" s="17">
        <f t="shared" si="2"/>
        <v>1</v>
      </c>
      <c r="BJ138" s="17">
        <f>PRODUCT($BI$5:BI138)</f>
        <v>0.75946754148117357</v>
      </c>
      <c r="BK138" s="19">
        <f>1 - Audit[[#This Row],[K-M P Value]]</f>
        <v>0.24053245851882643</v>
      </c>
      <c r="BL138" s="17" t="str">
        <f>IF(Audit[[#This Row],[K-M P Value]]&gt;1-'General Info'!$B$12,"Continue", "Stop")</f>
        <v>Continue</v>
      </c>
      <c r="BM138" s="22" t="b">
        <f>IF(Audit[[#This Row],[Status - Continue or stop audit]] = "Continue", TRUE, IF(BL137 = "Continue", TRUE, FALSE))</f>
        <v>1</v>
      </c>
      <c r="BN138" s="22"/>
    </row>
    <row r="139" spans="1:66" ht="15" customHeight="1" x14ac:dyDescent="0.35">
      <c r="A139" s="17">
        <f>'Sampling Data'!AI139</f>
        <v>24</v>
      </c>
      <c r="B139" s="17" t="str">
        <f>'Sampling Data'!A139</f>
        <v>2303 CIN 23-C   (AV)</v>
      </c>
      <c r="C139" s="17">
        <f>'Sampling Data'!B139</f>
        <v>277</v>
      </c>
      <c r="D139" s="17">
        <f>'Sampling Data'!C139</f>
        <v>40</v>
      </c>
      <c r="E139" s="18">
        <f>'Sampling Data'!D139</f>
        <v>0</v>
      </c>
      <c r="F139" s="18">
        <f>'Sampling Data'!E139</f>
        <v>0</v>
      </c>
      <c r="G139" s="18">
        <f>'Sampling Data'!F139</f>
        <v>0</v>
      </c>
      <c r="H139" s="18">
        <f>'Sampling Data'!G139</f>
        <v>0</v>
      </c>
      <c r="I139" s="18">
        <f>'Sampling Data'!H139</f>
        <v>0</v>
      </c>
      <c r="J139" s="18">
        <f>'Sampling Data'!I139</f>
        <v>0</v>
      </c>
      <c r="K139" s="18">
        <f>'Sampling Data'!J139</f>
        <v>0</v>
      </c>
      <c r="L139" s="18">
        <f>'Sampling Data'!K139</f>
        <v>0</v>
      </c>
      <c r="M139" s="18">
        <f>'Sampling Data'!L139</f>
        <v>0</v>
      </c>
      <c r="N139" s="18">
        <f>'Sampling Data'!M139</f>
        <v>0</v>
      </c>
      <c r="O139" s="17">
        <f>'Sampling Data'!N139</f>
        <v>0</v>
      </c>
      <c r="P139" s="17">
        <f>'Sampling Data'!O139</f>
        <v>7</v>
      </c>
      <c r="Q139" s="17">
        <f>'Sampling Data'!P139</f>
        <v>324</v>
      </c>
      <c r="R139" s="17">
        <f>'Sampling Data'!AJ139</f>
        <v>1</v>
      </c>
      <c r="S139" s="111">
        <v>277</v>
      </c>
      <c r="T139" s="111">
        <v>40</v>
      </c>
      <c r="U139" s="112"/>
      <c r="V139" s="112"/>
      <c r="W139" s="111"/>
      <c r="X139" s="111"/>
      <c r="Y139" s="111"/>
      <c r="Z139" s="111"/>
      <c r="AA139" s="14"/>
      <c r="AB139" s="14"/>
      <c r="AC139" s="14"/>
      <c r="AD139" s="14"/>
      <c r="AE139" s="113">
        <f>IF(NOT(ISBLANK(Audit[[#This Row],[Audit Winning Candidate]])), Audit[[#This Row],[Audit Winning Candidate]]-Audit[[#This Row],[Winning Candidate]], "")</f>
        <v>0</v>
      </c>
      <c r="AF139" s="17">
        <f>IF(NOT(ISBLANK(Audit[[#This Row],[Audit Losing Candidate]])), Audit[[#This Row],[Audit Losing Candidate]]-Audit[[#This Row],[Losing Candidate]], "")</f>
        <v>0</v>
      </c>
      <c r="AG139" s="17" t="str">
        <f>IF(NOT(ISBLANK(Audit[[#This Row],[Audit Candidate 3]])), Audit[[#This Row],[Audit Candidate 3]]-Audit[[#This Row],[Candidate 3]], "")</f>
        <v/>
      </c>
      <c r="AH139" s="17" t="str">
        <f>IF(NOT(ISBLANK(Audit[[#This Row],[Audit Candidate 4]])),Audit[[#This Row],[Audit Candidate 4]]-Audit[[#This Row],[Candidate 4]], "")</f>
        <v/>
      </c>
      <c r="AI139" s="17" t="str">
        <f>IF(NOT(ISBLANK(Audit[[#This Row],[Audit Candidate 5]])), Audit[[#This Row],[Audit Candidate 5]]-Audit[[#This Row],[Candidate 5]], "")</f>
        <v/>
      </c>
      <c r="AJ139" s="17" t="str">
        <f>IF(NOT(ISBLANK(Audit[[#This Row],[Audit Candidate 6]])), Audit[[#This Row],[Audit Candidate 6]]-Audit[[#This Row],[Candidate 6]], "")</f>
        <v/>
      </c>
      <c r="AK139" s="17" t="str">
        <f>IF(NOT(ISBLANK(Audit[[#This Row],[Audit Candidate 7]])), Audit[[#This Row],[Audit Candidate 7]]-Audit[[#This Row],[Candidate 7]], "")</f>
        <v/>
      </c>
      <c r="AL139" s="17" t="str">
        <f>IF(NOT(ISBLANK(Audit[[#This Row],[Audit Candidate 8]])), Audit[[#This Row],[Audit Candidate 8]]-Audit[[#This Row],[Candidate 8]], "")</f>
        <v/>
      </c>
      <c r="AM139" s="17" t="str">
        <f>IF(NOT(ISBLANK(Audit[[#This Row],[Audit Candidate 9]])), Audit[[#This Row],[Audit Candidate 9]]-Audit[[#This Row],[Candidate 9]], "")</f>
        <v/>
      </c>
      <c r="AN139" s="17" t="str">
        <f>IF(NOT(ISBLANK(Audit[[#This Row],[Audit Candidate 10]])), Audit[[#This Row],[Audit Candidate 10]]-Audit[[#This Row],[Candidate 10]], "")</f>
        <v/>
      </c>
      <c r="AO139" s="17" t="str">
        <f>IF(NOT(ISBLANK(Audit[[#This Row],[Audit Candidate 11]])), Audit[[#This Row],[Audit Candidate 11]]-Audit[[#This Row],[Candidate 11]], "")</f>
        <v/>
      </c>
      <c r="AP139" s="17" t="str">
        <f>IF(NOT(ISBLANK(Audit[[#This Row],[Audit Candidate 12]])), Audit[[#This Row],[Audit Candidate 12]]-Audit[[#This Row],[Candidate 12]], "")</f>
        <v/>
      </c>
      <c r="AQ139" s="17">
        <f>SUMIF(Audit[[#This Row],[Difference Winner]:[Difference Candidate 12]], "&gt;0")</f>
        <v>0</v>
      </c>
      <c r="AR139" s="17">
        <f>SUM(Audit[[#This Row],[Difference Winner]:[Difference Candidate 12]])</f>
        <v>0</v>
      </c>
      <c r="AS139" s="17">
        <f>IF(Audit[[#This Row],[Times p Drawn - With Replacement]]&gt;0, IF(Audit[[#This Row],[Canceled Differences]]&lt;0, Audit[[#This Row],[Max Differences]]+ABS(Audit[[#This Row],[Canceled Differences]]), Audit[[#This Row],[Max Differences]]), 0)</f>
        <v>0</v>
      </c>
      <c r="AT139" s="17">
        <f>'Sampling Data'!AB139</f>
        <v>2.3807502970633169E-2</v>
      </c>
      <c r="AU139" s="17">
        <f>IF(
      SUM(Audit[[#This Row],[Audit Losing Candidate]:[Audit Candidate 12]])
      &lt;&gt;0,
      (Audit[[#This Row],[Winning Candidate]]-Audit[[#This Row],[Losing Candidate]]-(Audit[[#This Row],[Audit Winning Candidate]]-Audit[[#This Row],[Audit Losing Candidate]]))/(Audit[[#Totals],[Winning Candidate]]-Audit[[#Totals],[Losing Candidate]]),
      0
)</f>
        <v>0</v>
      </c>
      <c r="AV1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9" s="17">
        <f>IF(Audit[[#This Row],[Max Relative Error (ep)]] = 0, 0, Audit[[#This Row],[Max Relative Error (ep)]]/Audit[[#This Row],[Error Bound (up) - Max. possible relative overstatement]])</f>
        <v>0</v>
      </c>
      <c r="BH1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39" s="17">
        <f t="shared" si="2"/>
        <v>0.94645908314247273</v>
      </c>
      <c r="BJ139" s="17">
        <f>PRODUCT($BI$5:BI139)</f>
        <v>0.71880495298673941</v>
      </c>
      <c r="BK139" s="19">
        <f>1 - Audit[[#This Row],[K-M P Value]]</f>
        <v>0.28119504701326059</v>
      </c>
      <c r="BL139" s="17" t="str">
        <f>IF(Audit[[#This Row],[K-M P Value]]&gt;1-'General Info'!$B$12,"Continue", "Stop")</f>
        <v>Continue</v>
      </c>
      <c r="BM139" s="22" t="b">
        <f>IF(Audit[[#This Row],[Status - Continue or stop audit]] = "Continue", TRUE, IF(BL138 = "Continue", TRUE, FALSE))</f>
        <v>1</v>
      </c>
      <c r="BN139" s="22"/>
    </row>
    <row r="140" spans="1:66" ht="15" hidden="1" customHeight="1" x14ac:dyDescent="0.35">
      <c r="A140" s="17" t="str">
        <f>'Sampling Data'!AI140</f>
        <v/>
      </c>
      <c r="B140" s="17" t="str">
        <f>'Sampling Data'!A140</f>
        <v>2304 CIN 23-D   (AV)</v>
      </c>
      <c r="C140" s="17">
        <f>'Sampling Data'!B140</f>
        <v>334</v>
      </c>
      <c r="D140" s="17">
        <f>'Sampling Data'!C140</f>
        <v>30</v>
      </c>
      <c r="E140" s="18">
        <f>'Sampling Data'!D140</f>
        <v>0</v>
      </c>
      <c r="F140" s="18">
        <f>'Sampling Data'!E140</f>
        <v>0</v>
      </c>
      <c r="G140" s="18">
        <f>'Sampling Data'!F140</f>
        <v>0</v>
      </c>
      <c r="H140" s="18">
        <f>'Sampling Data'!G140</f>
        <v>0</v>
      </c>
      <c r="I140" s="18">
        <f>'Sampling Data'!H140</f>
        <v>0</v>
      </c>
      <c r="J140" s="18">
        <f>'Sampling Data'!I140</f>
        <v>0</v>
      </c>
      <c r="K140" s="18">
        <f>'Sampling Data'!J140</f>
        <v>0</v>
      </c>
      <c r="L140" s="18">
        <f>'Sampling Data'!K140</f>
        <v>0</v>
      </c>
      <c r="M140" s="18">
        <f>'Sampling Data'!L140</f>
        <v>0</v>
      </c>
      <c r="N140" s="18">
        <f>'Sampling Data'!M140</f>
        <v>0</v>
      </c>
      <c r="O140" s="17">
        <f>'Sampling Data'!N140</f>
        <v>0</v>
      </c>
      <c r="P140" s="17">
        <f>'Sampling Data'!O140</f>
        <v>5</v>
      </c>
      <c r="Q140" s="17">
        <f>'Sampling Data'!P140</f>
        <v>369</v>
      </c>
      <c r="R140" s="17">
        <f>'Sampling Data'!AJ140</f>
        <v>0</v>
      </c>
      <c r="S140" s="111"/>
      <c r="T140" s="111"/>
      <c r="U140" s="112"/>
      <c r="V140" s="112"/>
      <c r="W140" s="111"/>
      <c r="X140" s="111"/>
      <c r="Y140" s="111"/>
      <c r="Z140" s="111"/>
      <c r="AA140" s="14"/>
      <c r="AB140" s="14"/>
      <c r="AC140" s="14"/>
      <c r="AD140" s="14"/>
      <c r="AE140" s="113" t="str">
        <f>IF(NOT(ISBLANK(Audit[[#This Row],[Audit Winning Candidate]])), Audit[[#This Row],[Audit Winning Candidate]]-Audit[[#This Row],[Winning Candidate]], "")</f>
        <v/>
      </c>
      <c r="AF140" s="17" t="str">
        <f>IF(NOT(ISBLANK(Audit[[#This Row],[Audit Losing Candidate]])), Audit[[#This Row],[Audit Losing Candidate]]-Audit[[#This Row],[Losing Candidate]], "")</f>
        <v/>
      </c>
      <c r="AG140" s="17" t="str">
        <f>IF(NOT(ISBLANK(Audit[[#This Row],[Audit Candidate 3]])), Audit[[#This Row],[Audit Candidate 3]]-Audit[[#This Row],[Candidate 3]], "")</f>
        <v/>
      </c>
      <c r="AH140" s="17" t="str">
        <f>IF(NOT(ISBLANK(Audit[[#This Row],[Audit Candidate 4]])),Audit[[#This Row],[Audit Candidate 4]]-Audit[[#This Row],[Candidate 4]], "")</f>
        <v/>
      </c>
      <c r="AI140" s="17" t="str">
        <f>IF(NOT(ISBLANK(Audit[[#This Row],[Audit Candidate 5]])), Audit[[#This Row],[Audit Candidate 5]]-Audit[[#This Row],[Candidate 5]], "")</f>
        <v/>
      </c>
      <c r="AJ140" s="17" t="str">
        <f>IF(NOT(ISBLANK(Audit[[#This Row],[Audit Candidate 6]])), Audit[[#This Row],[Audit Candidate 6]]-Audit[[#This Row],[Candidate 6]], "")</f>
        <v/>
      </c>
      <c r="AK140" s="17" t="str">
        <f>IF(NOT(ISBLANK(Audit[[#This Row],[Audit Candidate 7]])), Audit[[#This Row],[Audit Candidate 7]]-Audit[[#This Row],[Candidate 7]], "")</f>
        <v/>
      </c>
      <c r="AL140" s="17" t="str">
        <f>IF(NOT(ISBLANK(Audit[[#This Row],[Audit Candidate 8]])), Audit[[#This Row],[Audit Candidate 8]]-Audit[[#This Row],[Candidate 8]], "")</f>
        <v/>
      </c>
      <c r="AM140" s="17" t="str">
        <f>IF(NOT(ISBLANK(Audit[[#This Row],[Audit Candidate 9]])), Audit[[#This Row],[Audit Candidate 9]]-Audit[[#This Row],[Candidate 9]], "")</f>
        <v/>
      </c>
      <c r="AN140" s="17" t="str">
        <f>IF(NOT(ISBLANK(Audit[[#This Row],[Audit Candidate 10]])), Audit[[#This Row],[Audit Candidate 10]]-Audit[[#This Row],[Candidate 10]], "")</f>
        <v/>
      </c>
      <c r="AO140" s="17" t="str">
        <f>IF(NOT(ISBLANK(Audit[[#This Row],[Audit Candidate 11]])), Audit[[#This Row],[Audit Candidate 11]]-Audit[[#This Row],[Candidate 11]], "")</f>
        <v/>
      </c>
      <c r="AP140" s="17" t="str">
        <f>IF(NOT(ISBLANK(Audit[[#This Row],[Audit Candidate 12]])), Audit[[#This Row],[Audit Candidate 12]]-Audit[[#This Row],[Candidate 12]], "")</f>
        <v/>
      </c>
      <c r="AQ140" s="17">
        <f>SUMIF(Audit[[#This Row],[Difference Winner]:[Difference Candidate 12]], "&gt;0")</f>
        <v>0</v>
      </c>
      <c r="AR140" s="17">
        <f>SUM(Audit[[#This Row],[Difference Winner]:[Difference Candidate 12]])</f>
        <v>0</v>
      </c>
      <c r="AS140" s="17">
        <f>IF(Audit[[#This Row],[Times p Drawn - With Replacement]]&gt;0, IF(Audit[[#This Row],[Canceled Differences]]&lt;0, Audit[[#This Row],[Max Differences]]+ABS(Audit[[#This Row],[Canceled Differences]]), Audit[[#This Row],[Max Differences]]), 0)</f>
        <v>0</v>
      </c>
      <c r="AT140" s="17">
        <f>'Sampling Data'!AB140</f>
        <v>2.8560516041419112E-2</v>
      </c>
      <c r="AU140" s="17">
        <f>IF(
      SUM(Audit[[#This Row],[Audit Losing Candidate]:[Audit Candidate 12]])
      &lt;&gt;0,
      (Audit[[#This Row],[Winning Candidate]]-Audit[[#This Row],[Losing Candidate]]-(Audit[[#This Row],[Audit Winning Candidate]]-Audit[[#This Row],[Audit Losing Candidate]]))/(Audit[[#Totals],[Winning Candidate]]-Audit[[#Totals],[Losing Candidate]]),
      0
)</f>
        <v>0</v>
      </c>
      <c r="AV1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0" s="17">
        <f>IF(Audit[[#This Row],[Max Relative Error (ep)]] = 0, 0, Audit[[#This Row],[Max Relative Error (ep)]]/Audit[[#This Row],[Error Bound (up) - Max. possible relative overstatement]])</f>
        <v>0</v>
      </c>
      <c r="BH1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40" s="17">
        <f t="shared" si="2"/>
        <v>1</v>
      </c>
      <c r="BJ140" s="17">
        <f>PRODUCT($BI$5:BI140)</f>
        <v>0.71880495298673941</v>
      </c>
      <c r="BK140" s="19">
        <f>1 - Audit[[#This Row],[K-M P Value]]</f>
        <v>0.28119504701326059</v>
      </c>
      <c r="BL140" s="17" t="str">
        <f>IF(Audit[[#This Row],[K-M P Value]]&gt;1-'General Info'!$B$12,"Continue", "Stop")</f>
        <v>Continue</v>
      </c>
      <c r="BM140" s="22" t="b">
        <f>IF(Audit[[#This Row],[Status - Continue or stop audit]] = "Continue", TRUE, IF(BL139 = "Continue", TRUE, FALSE))</f>
        <v>1</v>
      </c>
      <c r="BN140" s="22"/>
    </row>
    <row r="141" spans="1:66" ht="15" hidden="1" customHeight="1" x14ac:dyDescent="0.35">
      <c r="A141" s="17" t="str">
        <f>'Sampling Data'!AI141</f>
        <v/>
      </c>
      <c r="B141" s="17" t="str">
        <f>'Sampling Data'!A141</f>
        <v>2305 CIN 23-E   (AV)</v>
      </c>
      <c r="C141" s="17">
        <f>'Sampling Data'!B141</f>
        <v>208</v>
      </c>
      <c r="D141" s="17">
        <f>'Sampling Data'!C141</f>
        <v>14</v>
      </c>
      <c r="E141" s="18">
        <f>'Sampling Data'!D141</f>
        <v>0</v>
      </c>
      <c r="F141" s="18">
        <f>'Sampling Data'!E141</f>
        <v>0</v>
      </c>
      <c r="G141" s="18">
        <f>'Sampling Data'!F141</f>
        <v>0</v>
      </c>
      <c r="H141" s="18">
        <f>'Sampling Data'!G141</f>
        <v>0</v>
      </c>
      <c r="I141" s="18">
        <f>'Sampling Data'!H141</f>
        <v>0</v>
      </c>
      <c r="J141" s="18">
        <f>'Sampling Data'!I141</f>
        <v>0</v>
      </c>
      <c r="K141" s="18">
        <f>'Sampling Data'!J141</f>
        <v>0</v>
      </c>
      <c r="L141" s="18">
        <f>'Sampling Data'!K141</f>
        <v>0</v>
      </c>
      <c r="M141" s="18">
        <f>'Sampling Data'!L141</f>
        <v>0</v>
      </c>
      <c r="N141" s="18">
        <f>'Sampling Data'!M141</f>
        <v>0</v>
      </c>
      <c r="O141" s="17">
        <f>'Sampling Data'!N141</f>
        <v>0</v>
      </c>
      <c r="P141" s="17">
        <f>'Sampling Data'!O141</f>
        <v>13</v>
      </c>
      <c r="Q141" s="17">
        <f>'Sampling Data'!P141</f>
        <v>235</v>
      </c>
      <c r="R141" s="17">
        <f>'Sampling Data'!AJ141</f>
        <v>0</v>
      </c>
      <c r="S141" s="111"/>
      <c r="T141" s="111"/>
      <c r="U141" s="112"/>
      <c r="V141" s="112"/>
      <c r="W141" s="111"/>
      <c r="X141" s="111"/>
      <c r="Y141" s="111"/>
      <c r="Z141" s="111"/>
      <c r="AA141" s="14"/>
      <c r="AB141" s="14"/>
      <c r="AC141" s="14"/>
      <c r="AD141" s="14"/>
      <c r="AE141" s="113" t="str">
        <f>IF(NOT(ISBLANK(Audit[[#This Row],[Audit Winning Candidate]])), Audit[[#This Row],[Audit Winning Candidate]]-Audit[[#This Row],[Winning Candidate]], "")</f>
        <v/>
      </c>
      <c r="AF141" s="17" t="str">
        <f>IF(NOT(ISBLANK(Audit[[#This Row],[Audit Losing Candidate]])), Audit[[#This Row],[Audit Losing Candidate]]-Audit[[#This Row],[Losing Candidate]], "")</f>
        <v/>
      </c>
      <c r="AG141" s="17" t="str">
        <f>IF(NOT(ISBLANK(Audit[[#This Row],[Audit Candidate 3]])), Audit[[#This Row],[Audit Candidate 3]]-Audit[[#This Row],[Candidate 3]], "")</f>
        <v/>
      </c>
      <c r="AH141" s="17" t="str">
        <f>IF(NOT(ISBLANK(Audit[[#This Row],[Audit Candidate 4]])),Audit[[#This Row],[Audit Candidate 4]]-Audit[[#This Row],[Candidate 4]], "")</f>
        <v/>
      </c>
      <c r="AI141" s="17" t="str">
        <f>IF(NOT(ISBLANK(Audit[[#This Row],[Audit Candidate 5]])), Audit[[#This Row],[Audit Candidate 5]]-Audit[[#This Row],[Candidate 5]], "")</f>
        <v/>
      </c>
      <c r="AJ141" s="17" t="str">
        <f>IF(NOT(ISBLANK(Audit[[#This Row],[Audit Candidate 6]])), Audit[[#This Row],[Audit Candidate 6]]-Audit[[#This Row],[Candidate 6]], "")</f>
        <v/>
      </c>
      <c r="AK141" s="17" t="str">
        <f>IF(NOT(ISBLANK(Audit[[#This Row],[Audit Candidate 7]])), Audit[[#This Row],[Audit Candidate 7]]-Audit[[#This Row],[Candidate 7]], "")</f>
        <v/>
      </c>
      <c r="AL141" s="17" t="str">
        <f>IF(NOT(ISBLANK(Audit[[#This Row],[Audit Candidate 8]])), Audit[[#This Row],[Audit Candidate 8]]-Audit[[#This Row],[Candidate 8]], "")</f>
        <v/>
      </c>
      <c r="AM141" s="17" t="str">
        <f>IF(NOT(ISBLANK(Audit[[#This Row],[Audit Candidate 9]])), Audit[[#This Row],[Audit Candidate 9]]-Audit[[#This Row],[Candidate 9]], "")</f>
        <v/>
      </c>
      <c r="AN141" s="17" t="str">
        <f>IF(NOT(ISBLANK(Audit[[#This Row],[Audit Candidate 10]])), Audit[[#This Row],[Audit Candidate 10]]-Audit[[#This Row],[Candidate 10]], "")</f>
        <v/>
      </c>
      <c r="AO141" s="17" t="str">
        <f>IF(NOT(ISBLANK(Audit[[#This Row],[Audit Candidate 11]])), Audit[[#This Row],[Audit Candidate 11]]-Audit[[#This Row],[Candidate 11]], "")</f>
        <v/>
      </c>
      <c r="AP141" s="17" t="str">
        <f>IF(NOT(ISBLANK(Audit[[#This Row],[Audit Candidate 12]])), Audit[[#This Row],[Audit Candidate 12]]-Audit[[#This Row],[Candidate 12]], "")</f>
        <v/>
      </c>
      <c r="AQ141" s="17">
        <f>SUMIF(Audit[[#This Row],[Difference Winner]:[Difference Candidate 12]], "&gt;0")</f>
        <v>0</v>
      </c>
      <c r="AR141" s="17">
        <f>SUM(Audit[[#This Row],[Difference Winner]:[Difference Candidate 12]])</f>
        <v>0</v>
      </c>
      <c r="AS141" s="17">
        <f>IF(Audit[[#This Row],[Times p Drawn - With Replacement]]&gt;0, IF(Audit[[#This Row],[Canceled Differences]]&lt;0, Audit[[#This Row],[Max Differences]]+ABS(Audit[[#This Row],[Canceled Differences]]), Audit[[#This Row],[Max Differences]]), 0)</f>
        <v>0</v>
      </c>
      <c r="AT141" s="17">
        <f>'Sampling Data'!AB141</f>
        <v>1.8205737565778306E-2</v>
      </c>
      <c r="AU141" s="17">
        <f>IF(
      SUM(Audit[[#This Row],[Audit Losing Candidate]:[Audit Candidate 12]])
      &lt;&gt;0,
      (Audit[[#This Row],[Winning Candidate]]-Audit[[#This Row],[Losing Candidate]]-(Audit[[#This Row],[Audit Winning Candidate]]-Audit[[#This Row],[Audit Losing Candidate]]))/(Audit[[#Totals],[Winning Candidate]]-Audit[[#Totals],[Losing Candidate]]),
      0
)</f>
        <v>0</v>
      </c>
      <c r="AV1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1" s="17">
        <f>IF(Audit[[#This Row],[Max Relative Error (ep)]] = 0, 0, Audit[[#This Row],[Max Relative Error (ep)]]/Audit[[#This Row],[Error Bound (up) - Max. possible relative overstatement]])</f>
        <v>0</v>
      </c>
      <c r="BH1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41" s="17">
        <f t="shared" si="2"/>
        <v>1</v>
      </c>
      <c r="BJ141" s="17">
        <f>PRODUCT($BI$5:BI141)</f>
        <v>0.71880495298673941</v>
      </c>
      <c r="BK141" s="19">
        <f>1 - Audit[[#This Row],[K-M P Value]]</f>
        <v>0.28119504701326059</v>
      </c>
      <c r="BL141" s="17" t="str">
        <f>IF(Audit[[#This Row],[K-M P Value]]&gt;1-'General Info'!$B$12,"Continue", "Stop")</f>
        <v>Continue</v>
      </c>
      <c r="BM141" s="22" t="b">
        <f>IF(Audit[[#This Row],[Status - Continue or stop audit]] = "Continue", TRUE, IF(BL140 = "Continue", TRUE, FALSE))</f>
        <v>1</v>
      </c>
      <c r="BN141" s="22"/>
    </row>
    <row r="142" spans="1:66" ht="15" hidden="1" customHeight="1" x14ac:dyDescent="0.35">
      <c r="A142" s="17" t="str">
        <f>'Sampling Data'!AI142</f>
        <v/>
      </c>
      <c r="B142" s="17" t="str">
        <f>'Sampling Data'!A142</f>
        <v>2306 CIN 23-F   (AV)</v>
      </c>
      <c r="C142" s="17">
        <f>'Sampling Data'!B142</f>
        <v>270</v>
      </c>
      <c r="D142" s="17">
        <f>'Sampling Data'!C142</f>
        <v>65</v>
      </c>
      <c r="E142" s="18">
        <f>'Sampling Data'!D142</f>
        <v>0</v>
      </c>
      <c r="F142" s="18">
        <f>'Sampling Data'!E142</f>
        <v>0</v>
      </c>
      <c r="G142" s="18">
        <f>'Sampling Data'!F142</f>
        <v>0</v>
      </c>
      <c r="H142" s="18">
        <f>'Sampling Data'!G142</f>
        <v>0</v>
      </c>
      <c r="I142" s="18">
        <f>'Sampling Data'!H142</f>
        <v>0</v>
      </c>
      <c r="J142" s="18">
        <f>'Sampling Data'!I142</f>
        <v>0</v>
      </c>
      <c r="K142" s="18">
        <f>'Sampling Data'!J142</f>
        <v>0</v>
      </c>
      <c r="L142" s="18">
        <f>'Sampling Data'!K142</f>
        <v>0</v>
      </c>
      <c r="M142" s="18">
        <f>'Sampling Data'!L142</f>
        <v>0</v>
      </c>
      <c r="N142" s="18">
        <f>'Sampling Data'!M142</f>
        <v>0</v>
      </c>
      <c r="O142" s="17">
        <f>'Sampling Data'!N142</f>
        <v>0</v>
      </c>
      <c r="P142" s="17">
        <f>'Sampling Data'!O142</f>
        <v>17</v>
      </c>
      <c r="Q142" s="17">
        <f>'Sampling Data'!P142</f>
        <v>352</v>
      </c>
      <c r="R142" s="17">
        <f>'Sampling Data'!AJ142</f>
        <v>0</v>
      </c>
      <c r="S142" s="111"/>
      <c r="T142" s="111"/>
      <c r="U142" s="112"/>
      <c r="V142" s="112"/>
      <c r="W142" s="111"/>
      <c r="X142" s="111"/>
      <c r="Y142" s="111"/>
      <c r="Z142" s="111"/>
      <c r="AA142" s="14"/>
      <c r="AB142" s="14"/>
      <c r="AC142" s="14"/>
      <c r="AD142" s="14"/>
      <c r="AE142" s="113" t="str">
        <f>IF(NOT(ISBLANK(Audit[[#This Row],[Audit Winning Candidate]])), Audit[[#This Row],[Audit Winning Candidate]]-Audit[[#This Row],[Winning Candidate]], "")</f>
        <v/>
      </c>
      <c r="AF142" s="17" t="str">
        <f>IF(NOT(ISBLANK(Audit[[#This Row],[Audit Losing Candidate]])), Audit[[#This Row],[Audit Losing Candidate]]-Audit[[#This Row],[Losing Candidate]], "")</f>
        <v/>
      </c>
      <c r="AG142" s="17" t="str">
        <f>IF(NOT(ISBLANK(Audit[[#This Row],[Audit Candidate 3]])), Audit[[#This Row],[Audit Candidate 3]]-Audit[[#This Row],[Candidate 3]], "")</f>
        <v/>
      </c>
      <c r="AH142" s="17" t="str">
        <f>IF(NOT(ISBLANK(Audit[[#This Row],[Audit Candidate 4]])),Audit[[#This Row],[Audit Candidate 4]]-Audit[[#This Row],[Candidate 4]], "")</f>
        <v/>
      </c>
      <c r="AI142" s="17" t="str">
        <f>IF(NOT(ISBLANK(Audit[[#This Row],[Audit Candidate 5]])), Audit[[#This Row],[Audit Candidate 5]]-Audit[[#This Row],[Candidate 5]], "")</f>
        <v/>
      </c>
      <c r="AJ142" s="17" t="str">
        <f>IF(NOT(ISBLANK(Audit[[#This Row],[Audit Candidate 6]])), Audit[[#This Row],[Audit Candidate 6]]-Audit[[#This Row],[Candidate 6]], "")</f>
        <v/>
      </c>
      <c r="AK142" s="17" t="str">
        <f>IF(NOT(ISBLANK(Audit[[#This Row],[Audit Candidate 7]])), Audit[[#This Row],[Audit Candidate 7]]-Audit[[#This Row],[Candidate 7]], "")</f>
        <v/>
      </c>
      <c r="AL142" s="17" t="str">
        <f>IF(NOT(ISBLANK(Audit[[#This Row],[Audit Candidate 8]])), Audit[[#This Row],[Audit Candidate 8]]-Audit[[#This Row],[Candidate 8]], "")</f>
        <v/>
      </c>
      <c r="AM142" s="17" t="str">
        <f>IF(NOT(ISBLANK(Audit[[#This Row],[Audit Candidate 9]])), Audit[[#This Row],[Audit Candidate 9]]-Audit[[#This Row],[Candidate 9]], "")</f>
        <v/>
      </c>
      <c r="AN142" s="17" t="str">
        <f>IF(NOT(ISBLANK(Audit[[#This Row],[Audit Candidate 10]])), Audit[[#This Row],[Audit Candidate 10]]-Audit[[#This Row],[Candidate 10]], "")</f>
        <v/>
      </c>
      <c r="AO142" s="17" t="str">
        <f>IF(NOT(ISBLANK(Audit[[#This Row],[Audit Candidate 11]])), Audit[[#This Row],[Audit Candidate 11]]-Audit[[#This Row],[Candidate 11]], "")</f>
        <v/>
      </c>
      <c r="AP142" s="17" t="str">
        <f>IF(NOT(ISBLANK(Audit[[#This Row],[Audit Candidate 12]])), Audit[[#This Row],[Audit Candidate 12]]-Audit[[#This Row],[Candidate 12]], "")</f>
        <v/>
      </c>
      <c r="AQ142" s="17">
        <f>SUMIF(Audit[[#This Row],[Difference Winner]:[Difference Candidate 12]], "&gt;0")</f>
        <v>0</v>
      </c>
      <c r="AR142" s="17">
        <f>SUM(Audit[[#This Row],[Difference Winner]:[Difference Candidate 12]])</f>
        <v>0</v>
      </c>
      <c r="AS142" s="17">
        <f>IF(Audit[[#This Row],[Times p Drawn - With Replacement]]&gt;0, IF(Audit[[#This Row],[Canceled Differences]]&lt;0, Audit[[#This Row],[Max Differences]]+ABS(Audit[[#This Row],[Canceled Differences]]), Audit[[#This Row],[Max Differences]]), 0)</f>
        <v>0</v>
      </c>
      <c r="AT142" s="17">
        <f>'Sampling Data'!AB142</f>
        <v>2.3637752503819387E-2</v>
      </c>
      <c r="AU142" s="17">
        <f>IF(
      SUM(Audit[[#This Row],[Audit Losing Candidate]:[Audit Candidate 12]])
      &lt;&gt;0,
      (Audit[[#This Row],[Winning Candidate]]-Audit[[#This Row],[Losing Candidate]]-(Audit[[#This Row],[Audit Winning Candidate]]-Audit[[#This Row],[Audit Losing Candidate]]))/(Audit[[#Totals],[Winning Candidate]]-Audit[[#Totals],[Losing Candidate]]),
      0
)</f>
        <v>0</v>
      </c>
      <c r="AV1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2" s="17">
        <f>IF(Audit[[#This Row],[Max Relative Error (ep)]] = 0, 0, Audit[[#This Row],[Max Relative Error (ep)]]/Audit[[#This Row],[Error Bound (up) - Max. possible relative overstatement]])</f>
        <v>0</v>
      </c>
      <c r="BH1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42" s="17">
        <f t="shared" si="2"/>
        <v>1</v>
      </c>
      <c r="BJ142" s="17">
        <f>PRODUCT($BI$5:BI142)</f>
        <v>0.71880495298673941</v>
      </c>
      <c r="BK142" s="19">
        <f>1 - Audit[[#This Row],[K-M P Value]]</f>
        <v>0.28119504701326059</v>
      </c>
      <c r="BL142" s="17" t="str">
        <f>IF(Audit[[#This Row],[K-M P Value]]&gt;1-'General Info'!$B$12,"Continue", "Stop")</f>
        <v>Continue</v>
      </c>
      <c r="BM142" s="22" t="b">
        <f>IF(Audit[[#This Row],[Status - Continue or stop audit]] = "Continue", TRUE, IF(BL141 = "Continue", TRUE, FALSE))</f>
        <v>1</v>
      </c>
      <c r="BN142" s="22"/>
    </row>
    <row r="143" spans="1:66" ht="15" hidden="1" customHeight="1" x14ac:dyDescent="0.35">
      <c r="A143" s="17" t="str">
        <f>'Sampling Data'!AI143</f>
        <v/>
      </c>
      <c r="B143" s="17" t="str">
        <f>'Sampling Data'!A143</f>
        <v>2307 CIN 23-G   (AV)</v>
      </c>
      <c r="C143" s="17">
        <f>'Sampling Data'!B143</f>
        <v>149</v>
      </c>
      <c r="D143" s="17">
        <f>'Sampling Data'!C143</f>
        <v>18</v>
      </c>
      <c r="E143" s="18">
        <f>'Sampling Data'!D143</f>
        <v>0</v>
      </c>
      <c r="F143" s="18">
        <f>'Sampling Data'!E143</f>
        <v>0</v>
      </c>
      <c r="G143" s="18">
        <f>'Sampling Data'!F143</f>
        <v>0</v>
      </c>
      <c r="H143" s="18">
        <f>'Sampling Data'!G143</f>
        <v>0</v>
      </c>
      <c r="I143" s="18">
        <f>'Sampling Data'!H143</f>
        <v>0</v>
      </c>
      <c r="J143" s="18">
        <f>'Sampling Data'!I143</f>
        <v>0</v>
      </c>
      <c r="K143" s="18">
        <f>'Sampling Data'!J143</f>
        <v>0</v>
      </c>
      <c r="L143" s="18">
        <f>'Sampling Data'!K143</f>
        <v>0</v>
      </c>
      <c r="M143" s="18">
        <f>'Sampling Data'!L143</f>
        <v>0</v>
      </c>
      <c r="N143" s="18">
        <f>'Sampling Data'!M143</f>
        <v>0</v>
      </c>
      <c r="O143" s="17">
        <f>'Sampling Data'!N143</f>
        <v>0</v>
      </c>
      <c r="P143" s="17">
        <f>'Sampling Data'!O143</f>
        <v>4</v>
      </c>
      <c r="Q143" s="17">
        <f>'Sampling Data'!P143</f>
        <v>171</v>
      </c>
      <c r="R143" s="17">
        <f>'Sampling Data'!AJ143</f>
        <v>0</v>
      </c>
      <c r="S143" s="111"/>
      <c r="T143" s="111"/>
      <c r="U143" s="112"/>
      <c r="V143" s="112"/>
      <c r="W143" s="111"/>
      <c r="X143" s="111"/>
      <c r="Y143" s="111"/>
      <c r="Z143" s="111"/>
      <c r="AA143" s="14"/>
      <c r="AB143" s="14"/>
      <c r="AC143" s="14"/>
      <c r="AD143" s="14"/>
      <c r="AE143" s="113" t="str">
        <f>IF(NOT(ISBLANK(Audit[[#This Row],[Audit Winning Candidate]])), Audit[[#This Row],[Audit Winning Candidate]]-Audit[[#This Row],[Winning Candidate]], "")</f>
        <v/>
      </c>
      <c r="AF143" s="17" t="str">
        <f>IF(NOT(ISBLANK(Audit[[#This Row],[Audit Losing Candidate]])), Audit[[#This Row],[Audit Losing Candidate]]-Audit[[#This Row],[Losing Candidate]], "")</f>
        <v/>
      </c>
      <c r="AG143" s="17" t="str">
        <f>IF(NOT(ISBLANK(Audit[[#This Row],[Audit Candidate 3]])), Audit[[#This Row],[Audit Candidate 3]]-Audit[[#This Row],[Candidate 3]], "")</f>
        <v/>
      </c>
      <c r="AH143" s="17" t="str">
        <f>IF(NOT(ISBLANK(Audit[[#This Row],[Audit Candidate 4]])),Audit[[#This Row],[Audit Candidate 4]]-Audit[[#This Row],[Candidate 4]], "")</f>
        <v/>
      </c>
      <c r="AI143" s="17" t="str">
        <f>IF(NOT(ISBLANK(Audit[[#This Row],[Audit Candidate 5]])), Audit[[#This Row],[Audit Candidate 5]]-Audit[[#This Row],[Candidate 5]], "")</f>
        <v/>
      </c>
      <c r="AJ143" s="17" t="str">
        <f>IF(NOT(ISBLANK(Audit[[#This Row],[Audit Candidate 6]])), Audit[[#This Row],[Audit Candidate 6]]-Audit[[#This Row],[Candidate 6]], "")</f>
        <v/>
      </c>
      <c r="AK143" s="17" t="str">
        <f>IF(NOT(ISBLANK(Audit[[#This Row],[Audit Candidate 7]])), Audit[[#This Row],[Audit Candidate 7]]-Audit[[#This Row],[Candidate 7]], "")</f>
        <v/>
      </c>
      <c r="AL143" s="17" t="str">
        <f>IF(NOT(ISBLANK(Audit[[#This Row],[Audit Candidate 8]])), Audit[[#This Row],[Audit Candidate 8]]-Audit[[#This Row],[Candidate 8]], "")</f>
        <v/>
      </c>
      <c r="AM143" s="17" t="str">
        <f>IF(NOT(ISBLANK(Audit[[#This Row],[Audit Candidate 9]])), Audit[[#This Row],[Audit Candidate 9]]-Audit[[#This Row],[Candidate 9]], "")</f>
        <v/>
      </c>
      <c r="AN143" s="17" t="str">
        <f>IF(NOT(ISBLANK(Audit[[#This Row],[Audit Candidate 10]])), Audit[[#This Row],[Audit Candidate 10]]-Audit[[#This Row],[Candidate 10]], "")</f>
        <v/>
      </c>
      <c r="AO143" s="17" t="str">
        <f>IF(NOT(ISBLANK(Audit[[#This Row],[Audit Candidate 11]])), Audit[[#This Row],[Audit Candidate 11]]-Audit[[#This Row],[Candidate 11]], "")</f>
        <v/>
      </c>
      <c r="AP143" s="17" t="str">
        <f>IF(NOT(ISBLANK(Audit[[#This Row],[Audit Candidate 12]])), Audit[[#This Row],[Audit Candidate 12]]-Audit[[#This Row],[Candidate 12]], "")</f>
        <v/>
      </c>
      <c r="AQ143" s="17">
        <f>SUMIF(Audit[[#This Row],[Difference Winner]:[Difference Candidate 12]], "&gt;0")</f>
        <v>0</v>
      </c>
      <c r="AR143" s="17">
        <f>SUM(Audit[[#This Row],[Difference Winner]:[Difference Candidate 12]])</f>
        <v>0</v>
      </c>
      <c r="AS143" s="17">
        <f>IF(Audit[[#This Row],[Times p Drawn - With Replacement]]&gt;0, IF(Audit[[#This Row],[Canceled Differences]]&lt;0, Audit[[#This Row],[Max Differences]]+ABS(Audit[[#This Row],[Canceled Differences]]), Audit[[#This Row],[Max Differences]]), 0)</f>
        <v>0</v>
      </c>
      <c r="AT143" s="17">
        <f>'Sampling Data'!AB143</f>
        <v>1.2816160244440673E-2</v>
      </c>
      <c r="AU143" s="17">
        <f>IF(
      SUM(Audit[[#This Row],[Audit Losing Candidate]:[Audit Candidate 12]])
      &lt;&gt;0,
      (Audit[[#This Row],[Winning Candidate]]-Audit[[#This Row],[Losing Candidate]]-(Audit[[#This Row],[Audit Winning Candidate]]-Audit[[#This Row],[Audit Losing Candidate]]))/(Audit[[#Totals],[Winning Candidate]]-Audit[[#Totals],[Losing Candidate]]),
      0
)</f>
        <v>0</v>
      </c>
      <c r="AV1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3" s="17">
        <f>IF(Audit[[#This Row],[Max Relative Error (ep)]] = 0, 0, Audit[[#This Row],[Max Relative Error (ep)]]/Audit[[#This Row],[Error Bound (up) - Max. possible relative overstatement]])</f>
        <v>0</v>
      </c>
      <c r="BH1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43" s="17">
        <f t="shared" ref="BI143:BI206" si="3">IF(ISERR(POWER(BH143,R143)), 0, POWER(BH143,R143))</f>
        <v>1</v>
      </c>
      <c r="BJ143" s="17">
        <f>PRODUCT($BI$5:BI143)</f>
        <v>0.71880495298673941</v>
      </c>
      <c r="BK143" s="19">
        <f>1 - Audit[[#This Row],[K-M P Value]]</f>
        <v>0.28119504701326059</v>
      </c>
      <c r="BL143" s="17" t="str">
        <f>IF(Audit[[#This Row],[K-M P Value]]&gt;1-'General Info'!$B$12,"Continue", "Stop")</f>
        <v>Continue</v>
      </c>
      <c r="BM143" s="22" t="b">
        <f>IF(Audit[[#This Row],[Status - Continue or stop audit]] = "Continue", TRUE, IF(BL142 = "Continue", TRUE, FALSE))</f>
        <v>1</v>
      </c>
      <c r="BN143" s="22"/>
    </row>
    <row r="144" spans="1:66" ht="15" customHeight="1" x14ac:dyDescent="0.35">
      <c r="A144" s="17">
        <f>'Sampling Data'!AI144</f>
        <v>30</v>
      </c>
      <c r="B144" s="17" t="str">
        <f>'Sampling Data'!A144</f>
        <v>2308 CIN 23-H   (AV)</v>
      </c>
      <c r="C144" s="17">
        <f>'Sampling Data'!B144</f>
        <v>330</v>
      </c>
      <c r="D144" s="17">
        <f>'Sampling Data'!C144</f>
        <v>104</v>
      </c>
      <c r="E144" s="18">
        <f>'Sampling Data'!D144</f>
        <v>0</v>
      </c>
      <c r="F144" s="18">
        <f>'Sampling Data'!E144</f>
        <v>0</v>
      </c>
      <c r="G144" s="18">
        <f>'Sampling Data'!F144</f>
        <v>0</v>
      </c>
      <c r="H144" s="18">
        <f>'Sampling Data'!G144</f>
        <v>0</v>
      </c>
      <c r="I144" s="18">
        <f>'Sampling Data'!H144</f>
        <v>0</v>
      </c>
      <c r="J144" s="18">
        <f>'Sampling Data'!I144</f>
        <v>0</v>
      </c>
      <c r="K144" s="18">
        <f>'Sampling Data'!J144</f>
        <v>0</v>
      </c>
      <c r="L144" s="18">
        <f>'Sampling Data'!K144</f>
        <v>0</v>
      </c>
      <c r="M144" s="18">
        <f>'Sampling Data'!L144</f>
        <v>0</v>
      </c>
      <c r="N144" s="18">
        <f>'Sampling Data'!M144</f>
        <v>0</v>
      </c>
      <c r="O144" s="17">
        <f>'Sampling Data'!N144</f>
        <v>0</v>
      </c>
      <c r="P144" s="17">
        <f>'Sampling Data'!O144</f>
        <v>24</v>
      </c>
      <c r="Q144" s="17">
        <f>'Sampling Data'!P144</f>
        <v>458</v>
      </c>
      <c r="R144" s="17">
        <f>'Sampling Data'!AJ144</f>
        <v>1</v>
      </c>
      <c r="S144" s="111">
        <v>330</v>
      </c>
      <c r="T144" s="111">
        <v>104</v>
      </c>
      <c r="U144" s="112"/>
      <c r="V144" s="112"/>
      <c r="W144" s="111"/>
      <c r="X144" s="111"/>
      <c r="Y144" s="111"/>
      <c r="Z144" s="111"/>
      <c r="AA144" s="14"/>
      <c r="AB144" s="14"/>
      <c r="AC144" s="14"/>
      <c r="AD144" s="14"/>
      <c r="AE144" s="113">
        <f>IF(NOT(ISBLANK(Audit[[#This Row],[Audit Winning Candidate]])), Audit[[#This Row],[Audit Winning Candidate]]-Audit[[#This Row],[Winning Candidate]], "")</f>
        <v>0</v>
      </c>
      <c r="AF144" s="17">
        <f>IF(NOT(ISBLANK(Audit[[#This Row],[Audit Losing Candidate]])), Audit[[#This Row],[Audit Losing Candidate]]-Audit[[#This Row],[Losing Candidate]], "")</f>
        <v>0</v>
      </c>
      <c r="AG144" s="17" t="str">
        <f>IF(NOT(ISBLANK(Audit[[#This Row],[Audit Candidate 3]])), Audit[[#This Row],[Audit Candidate 3]]-Audit[[#This Row],[Candidate 3]], "")</f>
        <v/>
      </c>
      <c r="AH144" s="17" t="str">
        <f>IF(NOT(ISBLANK(Audit[[#This Row],[Audit Candidate 4]])),Audit[[#This Row],[Audit Candidate 4]]-Audit[[#This Row],[Candidate 4]], "")</f>
        <v/>
      </c>
      <c r="AI144" s="17" t="str">
        <f>IF(NOT(ISBLANK(Audit[[#This Row],[Audit Candidate 5]])), Audit[[#This Row],[Audit Candidate 5]]-Audit[[#This Row],[Candidate 5]], "")</f>
        <v/>
      </c>
      <c r="AJ144" s="17" t="str">
        <f>IF(NOT(ISBLANK(Audit[[#This Row],[Audit Candidate 6]])), Audit[[#This Row],[Audit Candidate 6]]-Audit[[#This Row],[Candidate 6]], "")</f>
        <v/>
      </c>
      <c r="AK144" s="17" t="str">
        <f>IF(NOT(ISBLANK(Audit[[#This Row],[Audit Candidate 7]])), Audit[[#This Row],[Audit Candidate 7]]-Audit[[#This Row],[Candidate 7]], "")</f>
        <v/>
      </c>
      <c r="AL144" s="17" t="str">
        <f>IF(NOT(ISBLANK(Audit[[#This Row],[Audit Candidate 8]])), Audit[[#This Row],[Audit Candidate 8]]-Audit[[#This Row],[Candidate 8]], "")</f>
        <v/>
      </c>
      <c r="AM144" s="17" t="str">
        <f>IF(NOT(ISBLANK(Audit[[#This Row],[Audit Candidate 9]])), Audit[[#This Row],[Audit Candidate 9]]-Audit[[#This Row],[Candidate 9]], "")</f>
        <v/>
      </c>
      <c r="AN144" s="17" t="str">
        <f>IF(NOT(ISBLANK(Audit[[#This Row],[Audit Candidate 10]])), Audit[[#This Row],[Audit Candidate 10]]-Audit[[#This Row],[Candidate 10]], "")</f>
        <v/>
      </c>
      <c r="AO144" s="17" t="str">
        <f>IF(NOT(ISBLANK(Audit[[#This Row],[Audit Candidate 11]])), Audit[[#This Row],[Audit Candidate 11]]-Audit[[#This Row],[Candidate 11]], "")</f>
        <v/>
      </c>
      <c r="AP144" s="17" t="str">
        <f>IF(NOT(ISBLANK(Audit[[#This Row],[Audit Candidate 12]])), Audit[[#This Row],[Audit Candidate 12]]-Audit[[#This Row],[Candidate 12]], "")</f>
        <v/>
      </c>
      <c r="AQ144" s="17">
        <f>SUMIF(Audit[[#This Row],[Difference Winner]:[Difference Candidate 12]], "&gt;0")</f>
        <v>0</v>
      </c>
      <c r="AR144" s="17">
        <f>SUM(Audit[[#This Row],[Difference Winner]:[Difference Candidate 12]])</f>
        <v>0</v>
      </c>
      <c r="AS144" s="17">
        <f>IF(Audit[[#This Row],[Times p Drawn - With Replacement]]&gt;0, IF(Audit[[#This Row],[Canceled Differences]]&lt;0, Audit[[#This Row],[Max Differences]]+ABS(Audit[[#This Row],[Canceled Differences]]), Audit[[#This Row],[Max Differences]]), 0)</f>
        <v>0</v>
      </c>
      <c r="AT144" s="17">
        <f>'Sampling Data'!AB144</f>
        <v>2.902732982515702E-2</v>
      </c>
      <c r="AU144" s="17">
        <f>IF(
      SUM(Audit[[#This Row],[Audit Losing Candidate]:[Audit Candidate 12]])
      &lt;&gt;0,
      (Audit[[#This Row],[Winning Candidate]]-Audit[[#This Row],[Losing Candidate]]-(Audit[[#This Row],[Audit Winning Candidate]]-Audit[[#This Row],[Audit Losing Candidate]]))/(Audit[[#Totals],[Winning Candidate]]-Audit[[#Totals],[Losing Candidate]]),
      0
)</f>
        <v>0</v>
      </c>
      <c r="AV1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4" s="17">
        <f>IF(Audit[[#This Row],[Max Relative Error (ep)]] = 0, 0, Audit[[#This Row],[Max Relative Error (ep)]]/Audit[[#This Row],[Error Bound (up) - Max. possible relative overstatement]])</f>
        <v>0</v>
      </c>
      <c r="BH1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44" s="17">
        <f t="shared" si="3"/>
        <v>0.94645908314247273</v>
      </c>
      <c r="BJ144" s="17">
        <f>PRODUCT($BI$5:BI144)</f>
        <v>0.68031947676209759</v>
      </c>
      <c r="BK144" s="19">
        <f>1 - Audit[[#This Row],[K-M P Value]]</f>
        <v>0.31968052323790241</v>
      </c>
      <c r="BL144" s="17" t="str">
        <f>IF(Audit[[#This Row],[K-M P Value]]&gt;1-'General Info'!$B$12,"Continue", "Stop")</f>
        <v>Continue</v>
      </c>
      <c r="BM144" s="22" t="b">
        <f>IF(Audit[[#This Row],[Status - Continue or stop audit]] = "Continue", TRUE, IF(BL143 = "Continue", TRUE, FALSE))</f>
        <v>1</v>
      </c>
      <c r="BN144" s="22"/>
    </row>
    <row r="145" spans="1:66" ht="15" hidden="1" customHeight="1" x14ac:dyDescent="0.35">
      <c r="A145" s="17" t="str">
        <f>'Sampling Data'!AI145</f>
        <v/>
      </c>
      <c r="B145" s="17" t="str">
        <f>'Sampling Data'!A145</f>
        <v>2309 CIN 23-I   (AV)</v>
      </c>
      <c r="C145" s="17">
        <f>'Sampling Data'!B145</f>
        <v>253</v>
      </c>
      <c r="D145" s="17">
        <f>'Sampling Data'!C145</f>
        <v>86</v>
      </c>
      <c r="E145" s="18">
        <f>'Sampling Data'!D145</f>
        <v>0</v>
      </c>
      <c r="F145" s="18">
        <f>'Sampling Data'!E145</f>
        <v>0</v>
      </c>
      <c r="G145" s="18">
        <f>'Sampling Data'!F145</f>
        <v>0</v>
      </c>
      <c r="H145" s="18">
        <f>'Sampling Data'!G145</f>
        <v>0</v>
      </c>
      <c r="I145" s="18">
        <f>'Sampling Data'!H145</f>
        <v>0</v>
      </c>
      <c r="J145" s="18">
        <f>'Sampling Data'!I145</f>
        <v>0</v>
      </c>
      <c r="K145" s="18">
        <f>'Sampling Data'!J145</f>
        <v>0</v>
      </c>
      <c r="L145" s="18">
        <f>'Sampling Data'!K145</f>
        <v>0</v>
      </c>
      <c r="M145" s="18">
        <f>'Sampling Data'!L145</f>
        <v>0</v>
      </c>
      <c r="N145" s="18">
        <f>'Sampling Data'!M145</f>
        <v>0</v>
      </c>
      <c r="O145" s="17">
        <f>'Sampling Data'!N145</f>
        <v>1</v>
      </c>
      <c r="P145" s="17">
        <f>'Sampling Data'!O145</f>
        <v>18</v>
      </c>
      <c r="Q145" s="17">
        <f>'Sampling Data'!P145</f>
        <v>358</v>
      </c>
      <c r="R145" s="17">
        <f>'Sampling Data'!AJ145</f>
        <v>0</v>
      </c>
      <c r="S145" s="111"/>
      <c r="T145" s="111"/>
      <c r="U145" s="112"/>
      <c r="V145" s="112"/>
      <c r="W145" s="111"/>
      <c r="X145" s="111"/>
      <c r="Y145" s="111"/>
      <c r="Z145" s="111"/>
      <c r="AA145" s="14"/>
      <c r="AB145" s="14"/>
      <c r="AC145" s="14"/>
      <c r="AD145" s="14"/>
      <c r="AE145" s="113" t="str">
        <f>IF(NOT(ISBLANK(Audit[[#This Row],[Audit Winning Candidate]])), Audit[[#This Row],[Audit Winning Candidate]]-Audit[[#This Row],[Winning Candidate]], "")</f>
        <v/>
      </c>
      <c r="AF145" s="17" t="str">
        <f>IF(NOT(ISBLANK(Audit[[#This Row],[Audit Losing Candidate]])), Audit[[#This Row],[Audit Losing Candidate]]-Audit[[#This Row],[Losing Candidate]], "")</f>
        <v/>
      </c>
      <c r="AG145" s="17" t="str">
        <f>IF(NOT(ISBLANK(Audit[[#This Row],[Audit Candidate 3]])), Audit[[#This Row],[Audit Candidate 3]]-Audit[[#This Row],[Candidate 3]], "")</f>
        <v/>
      </c>
      <c r="AH145" s="17" t="str">
        <f>IF(NOT(ISBLANK(Audit[[#This Row],[Audit Candidate 4]])),Audit[[#This Row],[Audit Candidate 4]]-Audit[[#This Row],[Candidate 4]], "")</f>
        <v/>
      </c>
      <c r="AI145" s="17" t="str">
        <f>IF(NOT(ISBLANK(Audit[[#This Row],[Audit Candidate 5]])), Audit[[#This Row],[Audit Candidate 5]]-Audit[[#This Row],[Candidate 5]], "")</f>
        <v/>
      </c>
      <c r="AJ145" s="17" t="str">
        <f>IF(NOT(ISBLANK(Audit[[#This Row],[Audit Candidate 6]])), Audit[[#This Row],[Audit Candidate 6]]-Audit[[#This Row],[Candidate 6]], "")</f>
        <v/>
      </c>
      <c r="AK145" s="17" t="str">
        <f>IF(NOT(ISBLANK(Audit[[#This Row],[Audit Candidate 7]])), Audit[[#This Row],[Audit Candidate 7]]-Audit[[#This Row],[Candidate 7]], "")</f>
        <v/>
      </c>
      <c r="AL145" s="17" t="str">
        <f>IF(NOT(ISBLANK(Audit[[#This Row],[Audit Candidate 8]])), Audit[[#This Row],[Audit Candidate 8]]-Audit[[#This Row],[Candidate 8]], "")</f>
        <v/>
      </c>
      <c r="AM145" s="17" t="str">
        <f>IF(NOT(ISBLANK(Audit[[#This Row],[Audit Candidate 9]])), Audit[[#This Row],[Audit Candidate 9]]-Audit[[#This Row],[Candidate 9]], "")</f>
        <v/>
      </c>
      <c r="AN145" s="17" t="str">
        <f>IF(NOT(ISBLANK(Audit[[#This Row],[Audit Candidate 10]])), Audit[[#This Row],[Audit Candidate 10]]-Audit[[#This Row],[Candidate 10]], "")</f>
        <v/>
      </c>
      <c r="AO145" s="17" t="str">
        <f>IF(NOT(ISBLANK(Audit[[#This Row],[Audit Candidate 11]])), Audit[[#This Row],[Audit Candidate 11]]-Audit[[#This Row],[Candidate 11]], "")</f>
        <v/>
      </c>
      <c r="AP145" s="17" t="str">
        <f>IF(NOT(ISBLANK(Audit[[#This Row],[Audit Candidate 12]])), Audit[[#This Row],[Audit Candidate 12]]-Audit[[#This Row],[Candidate 12]], "")</f>
        <v/>
      </c>
      <c r="AQ145" s="17">
        <f>SUMIF(Audit[[#This Row],[Difference Winner]:[Difference Candidate 12]], "&gt;0")</f>
        <v>0</v>
      </c>
      <c r="AR145" s="17">
        <f>SUM(Audit[[#This Row],[Difference Winner]:[Difference Candidate 12]])</f>
        <v>0</v>
      </c>
      <c r="AS145" s="17">
        <f>IF(Audit[[#This Row],[Times p Drawn - With Replacement]]&gt;0, IF(Audit[[#This Row],[Canceled Differences]]&lt;0, Audit[[#This Row],[Max Differences]]+ABS(Audit[[#This Row],[Canceled Differences]]), Audit[[#This Row],[Max Differences]]), 0)</f>
        <v>0</v>
      </c>
      <c r="AT145" s="17">
        <f>'Sampling Data'!AB145</f>
        <v>2.2279748769309115E-2</v>
      </c>
      <c r="AU145" s="17">
        <f>IF(
      SUM(Audit[[#This Row],[Audit Losing Candidate]:[Audit Candidate 12]])
      &lt;&gt;0,
      (Audit[[#This Row],[Winning Candidate]]-Audit[[#This Row],[Losing Candidate]]-(Audit[[#This Row],[Audit Winning Candidate]]-Audit[[#This Row],[Audit Losing Candidate]]))/(Audit[[#Totals],[Winning Candidate]]-Audit[[#Totals],[Losing Candidate]]),
      0
)</f>
        <v>0</v>
      </c>
      <c r="AV1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5" s="17">
        <f>IF(Audit[[#This Row],[Max Relative Error (ep)]] = 0, 0, Audit[[#This Row],[Max Relative Error (ep)]]/Audit[[#This Row],[Error Bound (up) - Max. possible relative overstatement]])</f>
        <v>0</v>
      </c>
      <c r="BH1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45" s="17">
        <f t="shared" si="3"/>
        <v>1</v>
      </c>
      <c r="BJ145" s="17">
        <f>PRODUCT($BI$5:BI145)</f>
        <v>0.68031947676209759</v>
      </c>
      <c r="BK145" s="19">
        <f>1 - Audit[[#This Row],[K-M P Value]]</f>
        <v>0.31968052323790241</v>
      </c>
      <c r="BL145" s="17" t="str">
        <f>IF(Audit[[#This Row],[K-M P Value]]&gt;1-'General Info'!$B$12,"Continue", "Stop")</f>
        <v>Continue</v>
      </c>
      <c r="BM145" s="22" t="b">
        <f>IF(Audit[[#This Row],[Status - Continue or stop audit]] = "Continue", TRUE, IF(BL144 = "Continue", TRUE, FALSE))</f>
        <v>1</v>
      </c>
      <c r="BN145" s="22"/>
    </row>
    <row r="146" spans="1:66" ht="15" hidden="1" customHeight="1" x14ac:dyDescent="0.35">
      <c r="A146" s="17" t="str">
        <f>'Sampling Data'!AI146</f>
        <v/>
      </c>
      <c r="B146" s="17" t="str">
        <f>'Sampling Data'!A146</f>
        <v>2310 CIN 23-J   (AV)</v>
      </c>
      <c r="C146" s="17">
        <f>'Sampling Data'!B146</f>
        <v>247</v>
      </c>
      <c r="D146" s="17">
        <f>'Sampling Data'!C146</f>
        <v>90</v>
      </c>
      <c r="E146" s="18">
        <f>'Sampling Data'!D146</f>
        <v>0</v>
      </c>
      <c r="F146" s="18">
        <f>'Sampling Data'!E146</f>
        <v>0</v>
      </c>
      <c r="G146" s="18">
        <f>'Sampling Data'!F146</f>
        <v>0</v>
      </c>
      <c r="H146" s="18">
        <f>'Sampling Data'!G146</f>
        <v>0</v>
      </c>
      <c r="I146" s="18">
        <f>'Sampling Data'!H146</f>
        <v>0</v>
      </c>
      <c r="J146" s="18">
        <f>'Sampling Data'!I146</f>
        <v>0</v>
      </c>
      <c r="K146" s="18">
        <f>'Sampling Data'!J146</f>
        <v>0</v>
      </c>
      <c r="L146" s="18">
        <f>'Sampling Data'!K146</f>
        <v>0</v>
      </c>
      <c r="M146" s="18">
        <f>'Sampling Data'!L146</f>
        <v>0</v>
      </c>
      <c r="N146" s="18">
        <f>'Sampling Data'!M146</f>
        <v>0</v>
      </c>
      <c r="O146" s="17">
        <f>'Sampling Data'!N146</f>
        <v>0</v>
      </c>
      <c r="P146" s="17">
        <f>'Sampling Data'!O146</f>
        <v>7</v>
      </c>
      <c r="Q146" s="17">
        <f>'Sampling Data'!P146</f>
        <v>344</v>
      </c>
      <c r="R146" s="17">
        <f>'Sampling Data'!AJ146</f>
        <v>0</v>
      </c>
      <c r="S146" s="111"/>
      <c r="T146" s="111"/>
      <c r="U146" s="112"/>
      <c r="V146" s="112"/>
      <c r="W146" s="111"/>
      <c r="X146" s="111"/>
      <c r="Y146" s="111"/>
      <c r="Z146" s="111"/>
      <c r="AA146" s="14"/>
      <c r="AB146" s="14"/>
      <c r="AC146" s="14"/>
      <c r="AD146" s="14"/>
      <c r="AE146" s="113" t="str">
        <f>IF(NOT(ISBLANK(Audit[[#This Row],[Audit Winning Candidate]])), Audit[[#This Row],[Audit Winning Candidate]]-Audit[[#This Row],[Winning Candidate]], "")</f>
        <v/>
      </c>
      <c r="AF146" s="17" t="str">
        <f>IF(NOT(ISBLANK(Audit[[#This Row],[Audit Losing Candidate]])), Audit[[#This Row],[Audit Losing Candidate]]-Audit[[#This Row],[Losing Candidate]], "")</f>
        <v/>
      </c>
      <c r="AG146" s="17" t="str">
        <f>IF(NOT(ISBLANK(Audit[[#This Row],[Audit Candidate 3]])), Audit[[#This Row],[Audit Candidate 3]]-Audit[[#This Row],[Candidate 3]], "")</f>
        <v/>
      </c>
      <c r="AH146" s="17" t="str">
        <f>IF(NOT(ISBLANK(Audit[[#This Row],[Audit Candidate 4]])),Audit[[#This Row],[Audit Candidate 4]]-Audit[[#This Row],[Candidate 4]], "")</f>
        <v/>
      </c>
      <c r="AI146" s="17" t="str">
        <f>IF(NOT(ISBLANK(Audit[[#This Row],[Audit Candidate 5]])), Audit[[#This Row],[Audit Candidate 5]]-Audit[[#This Row],[Candidate 5]], "")</f>
        <v/>
      </c>
      <c r="AJ146" s="17" t="str">
        <f>IF(NOT(ISBLANK(Audit[[#This Row],[Audit Candidate 6]])), Audit[[#This Row],[Audit Candidate 6]]-Audit[[#This Row],[Candidate 6]], "")</f>
        <v/>
      </c>
      <c r="AK146" s="17" t="str">
        <f>IF(NOT(ISBLANK(Audit[[#This Row],[Audit Candidate 7]])), Audit[[#This Row],[Audit Candidate 7]]-Audit[[#This Row],[Candidate 7]], "")</f>
        <v/>
      </c>
      <c r="AL146" s="17" t="str">
        <f>IF(NOT(ISBLANK(Audit[[#This Row],[Audit Candidate 8]])), Audit[[#This Row],[Audit Candidate 8]]-Audit[[#This Row],[Candidate 8]], "")</f>
        <v/>
      </c>
      <c r="AM146" s="17" t="str">
        <f>IF(NOT(ISBLANK(Audit[[#This Row],[Audit Candidate 9]])), Audit[[#This Row],[Audit Candidate 9]]-Audit[[#This Row],[Candidate 9]], "")</f>
        <v/>
      </c>
      <c r="AN146" s="17" t="str">
        <f>IF(NOT(ISBLANK(Audit[[#This Row],[Audit Candidate 10]])), Audit[[#This Row],[Audit Candidate 10]]-Audit[[#This Row],[Candidate 10]], "")</f>
        <v/>
      </c>
      <c r="AO146" s="17" t="str">
        <f>IF(NOT(ISBLANK(Audit[[#This Row],[Audit Candidate 11]])), Audit[[#This Row],[Audit Candidate 11]]-Audit[[#This Row],[Candidate 11]], "")</f>
        <v/>
      </c>
      <c r="AP146" s="17" t="str">
        <f>IF(NOT(ISBLANK(Audit[[#This Row],[Audit Candidate 12]])), Audit[[#This Row],[Audit Candidate 12]]-Audit[[#This Row],[Candidate 12]], "")</f>
        <v/>
      </c>
      <c r="AQ146" s="17">
        <f>SUMIF(Audit[[#This Row],[Difference Winner]:[Difference Candidate 12]], "&gt;0")</f>
        <v>0</v>
      </c>
      <c r="AR146" s="17">
        <f>SUM(Audit[[#This Row],[Difference Winner]:[Difference Candidate 12]])</f>
        <v>0</v>
      </c>
      <c r="AS146" s="17">
        <f>IF(Audit[[#This Row],[Times p Drawn - With Replacement]]&gt;0, IF(Audit[[#This Row],[Canceled Differences]]&lt;0, Audit[[#This Row],[Max Differences]]+ABS(Audit[[#This Row],[Canceled Differences]]), Audit[[#This Row],[Max Differences]]), 0)</f>
        <v>0</v>
      </c>
      <c r="AT146" s="17">
        <f>'Sampling Data'!AB146</f>
        <v>2.1261245968426414E-2</v>
      </c>
      <c r="AU146" s="17">
        <f>IF(
      SUM(Audit[[#This Row],[Audit Losing Candidate]:[Audit Candidate 12]])
      &lt;&gt;0,
      (Audit[[#This Row],[Winning Candidate]]-Audit[[#This Row],[Losing Candidate]]-(Audit[[#This Row],[Audit Winning Candidate]]-Audit[[#This Row],[Audit Losing Candidate]]))/(Audit[[#Totals],[Winning Candidate]]-Audit[[#Totals],[Losing Candidate]]),
      0
)</f>
        <v>0</v>
      </c>
      <c r="AV1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6" s="17">
        <f>IF(Audit[[#This Row],[Max Relative Error (ep)]] = 0, 0, Audit[[#This Row],[Max Relative Error (ep)]]/Audit[[#This Row],[Error Bound (up) - Max. possible relative overstatement]])</f>
        <v>0</v>
      </c>
      <c r="BH1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46" s="17">
        <f t="shared" si="3"/>
        <v>1</v>
      </c>
      <c r="BJ146" s="17">
        <f>PRODUCT($BI$5:BI146)</f>
        <v>0.68031947676209759</v>
      </c>
      <c r="BK146" s="19">
        <f>1 - Audit[[#This Row],[K-M P Value]]</f>
        <v>0.31968052323790241</v>
      </c>
      <c r="BL146" s="17" t="str">
        <f>IF(Audit[[#This Row],[K-M P Value]]&gt;1-'General Info'!$B$12,"Continue", "Stop")</f>
        <v>Continue</v>
      </c>
      <c r="BM146" s="22" t="b">
        <f>IF(Audit[[#This Row],[Status - Continue or stop audit]] = "Continue", TRUE, IF(BL145 = "Continue", TRUE, FALSE))</f>
        <v>1</v>
      </c>
      <c r="BN146" s="22"/>
    </row>
    <row r="147" spans="1:66" ht="15" hidden="1" customHeight="1" x14ac:dyDescent="0.35">
      <c r="A147" s="17" t="str">
        <f>'Sampling Data'!AI147</f>
        <v/>
      </c>
      <c r="B147" s="17" t="str">
        <f>'Sampling Data'!A147</f>
        <v>2311 CIN 23-K   (AV)</v>
      </c>
      <c r="C147" s="17">
        <f>'Sampling Data'!B147</f>
        <v>329</v>
      </c>
      <c r="D147" s="17">
        <f>'Sampling Data'!C147</f>
        <v>76</v>
      </c>
      <c r="E147" s="18">
        <f>'Sampling Data'!D147</f>
        <v>0</v>
      </c>
      <c r="F147" s="18">
        <f>'Sampling Data'!E147</f>
        <v>0</v>
      </c>
      <c r="G147" s="18">
        <f>'Sampling Data'!F147</f>
        <v>0</v>
      </c>
      <c r="H147" s="18">
        <f>'Sampling Data'!G147</f>
        <v>0</v>
      </c>
      <c r="I147" s="18">
        <f>'Sampling Data'!H147</f>
        <v>0</v>
      </c>
      <c r="J147" s="18">
        <f>'Sampling Data'!I147</f>
        <v>0</v>
      </c>
      <c r="K147" s="18">
        <f>'Sampling Data'!J147</f>
        <v>0</v>
      </c>
      <c r="L147" s="18">
        <f>'Sampling Data'!K147</f>
        <v>0</v>
      </c>
      <c r="M147" s="18">
        <f>'Sampling Data'!L147</f>
        <v>0</v>
      </c>
      <c r="N147" s="18">
        <f>'Sampling Data'!M147</f>
        <v>0</v>
      </c>
      <c r="O147" s="17">
        <f>'Sampling Data'!N147</f>
        <v>0</v>
      </c>
      <c r="P147" s="17">
        <f>'Sampling Data'!O147</f>
        <v>15</v>
      </c>
      <c r="Q147" s="17">
        <f>'Sampling Data'!P147</f>
        <v>420</v>
      </c>
      <c r="R147" s="17">
        <f>'Sampling Data'!AJ147</f>
        <v>0</v>
      </c>
      <c r="S147" s="111"/>
      <c r="T147" s="111"/>
      <c r="U147" s="112"/>
      <c r="V147" s="112"/>
      <c r="W147" s="111"/>
      <c r="X147" s="111"/>
      <c r="Y147" s="111"/>
      <c r="Z147" s="111"/>
      <c r="AA147" s="14"/>
      <c r="AB147" s="14"/>
      <c r="AC147" s="14"/>
      <c r="AD147" s="14"/>
      <c r="AE147" s="113" t="str">
        <f>IF(NOT(ISBLANK(Audit[[#This Row],[Audit Winning Candidate]])), Audit[[#This Row],[Audit Winning Candidate]]-Audit[[#This Row],[Winning Candidate]], "")</f>
        <v/>
      </c>
      <c r="AF147" s="17" t="str">
        <f>IF(NOT(ISBLANK(Audit[[#This Row],[Audit Losing Candidate]])), Audit[[#This Row],[Audit Losing Candidate]]-Audit[[#This Row],[Losing Candidate]], "")</f>
        <v/>
      </c>
      <c r="AG147" s="17" t="str">
        <f>IF(NOT(ISBLANK(Audit[[#This Row],[Audit Candidate 3]])), Audit[[#This Row],[Audit Candidate 3]]-Audit[[#This Row],[Candidate 3]], "")</f>
        <v/>
      </c>
      <c r="AH147" s="17" t="str">
        <f>IF(NOT(ISBLANK(Audit[[#This Row],[Audit Candidate 4]])),Audit[[#This Row],[Audit Candidate 4]]-Audit[[#This Row],[Candidate 4]], "")</f>
        <v/>
      </c>
      <c r="AI147" s="17" t="str">
        <f>IF(NOT(ISBLANK(Audit[[#This Row],[Audit Candidate 5]])), Audit[[#This Row],[Audit Candidate 5]]-Audit[[#This Row],[Candidate 5]], "")</f>
        <v/>
      </c>
      <c r="AJ147" s="17" t="str">
        <f>IF(NOT(ISBLANK(Audit[[#This Row],[Audit Candidate 6]])), Audit[[#This Row],[Audit Candidate 6]]-Audit[[#This Row],[Candidate 6]], "")</f>
        <v/>
      </c>
      <c r="AK147" s="17" t="str">
        <f>IF(NOT(ISBLANK(Audit[[#This Row],[Audit Candidate 7]])), Audit[[#This Row],[Audit Candidate 7]]-Audit[[#This Row],[Candidate 7]], "")</f>
        <v/>
      </c>
      <c r="AL147" s="17" t="str">
        <f>IF(NOT(ISBLANK(Audit[[#This Row],[Audit Candidate 8]])), Audit[[#This Row],[Audit Candidate 8]]-Audit[[#This Row],[Candidate 8]], "")</f>
        <v/>
      </c>
      <c r="AM147" s="17" t="str">
        <f>IF(NOT(ISBLANK(Audit[[#This Row],[Audit Candidate 9]])), Audit[[#This Row],[Audit Candidate 9]]-Audit[[#This Row],[Candidate 9]], "")</f>
        <v/>
      </c>
      <c r="AN147" s="17" t="str">
        <f>IF(NOT(ISBLANK(Audit[[#This Row],[Audit Candidate 10]])), Audit[[#This Row],[Audit Candidate 10]]-Audit[[#This Row],[Candidate 10]], "")</f>
        <v/>
      </c>
      <c r="AO147" s="17" t="str">
        <f>IF(NOT(ISBLANK(Audit[[#This Row],[Audit Candidate 11]])), Audit[[#This Row],[Audit Candidate 11]]-Audit[[#This Row],[Candidate 11]], "")</f>
        <v/>
      </c>
      <c r="AP147" s="17" t="str">
        <f>IF(NOT(ISBLANK(Audit[[#This Row],[Audit Candidate 12]])), Audit[[#This Row],[Audit Candidate 12]]-Audit[[#This Row],[Candidate 12]], "")</f>
        <v/>
      </c>
      <c r="AQ147" s="17">
        <f>SUMIF(Audit[[#This Row],[Difference Winner]:[Difference Candidate 12]], "&gt;0")</f>
        <v>0</v>
      </c>
      <c r="AR147" s="17">
        <f>SUM(Audit[[#This Row],[Difference Winner]:[Difference Candidate 12]])</f>
        <v>0</v>
      </c>
      <c r="AS147" s="17">
        <f>IF(Audit[[#This Row],[Times p Drawn - With Replacement]]&gt;0, IF(Audit[[#This Row],[Canceled Differences]]&lt;0, Audit[[#This Row],[Max Differences]]+ABS(Audit[[#This Row],[Canceled Differences]]), Audit[[#This Row],[Max Differences]]), 0)</f>
        <v>0</v>
      </c>
      <c r="AT147" s="17">
        <f>'Sampling Data'!AB147</f>
        <v>2.8560516041419112E-2</v>
      </c>
      <c r="AU147" s="17">
        <f>IF(
      SUM(Audit[[#This Row],[Audit Losing Candidate]:[Audit Candidate 12]])
      &lt;&gt;0,
      (Audit[[#This Row],[Winning Candidate]]-Audit[[#This Row],[Losing Candidate]]-(Audit[[#This Row],[Audit Winning Candidate]]-Audit[[#This Row],[Audit Losing Candidate]]))/(Audit[[#Totals],[Winning Candidate]]-Audit[[#Totals],[Losing Candidate]]),
      0
)</f>
        <v>0</v>
      </c>
      <c r="AV1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7" s="17">
        <f>IF(Audit[[#This Row],[Max Relative Error (ep)]] = 0, 0, Audit[[#This Row],[Max Relative Error (ep)]]/Audit[[#This Row],[Error Bound (up) - Max. possible relative overstatement]])</f>
        <v>0</v>
      </c>
      <c r="BH1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47" s="17">
        <f t="shared" si="3"/>
        <v>1</v>
      </c>
      <c r="BJ147" s="17">
        <f>PRODUCT($BI$5:BI147)</f>
        <v>0.68031947676209759</v>
      </c>
      <c r="BK147" s="19">
        <f>1 - Audit[[#This Row],[K-M P Value]]</f>
        <v>0.31968052323790241</v>
      </c>
      <c r="BL147" s="17" t="str">
        <f>IF(Audit[[#This Row],[K-M P Value]]&gt;1-'General Info'!$B$12,"Continue", "Stop")</f>
        <v>Continue</v>
      </c>
      <c r="BM147" s="22" t="b">
        <f>IF(Audit[[#This Row],[Status - Continue or stop audit]] = "Continue", TRUE, IF(BL146 = "Continue", TRUE, FALSE))</f>
        <v>1</v>
      </c>
      <c r="BN147" s="22"/>
    </row>
    <row r="148" spans="1:66" ht="15" hidden="1" customHeight="1" x14ac:dyDescent="0.35">
      <c r="A148" s="17" t="str">
        <f>'Sampling Data'!AI148</f>
        <v/>
      </c>
      <c r="B148" s="17" t="str">
        <f>'Sampling Data'!A148</f>
        <v>2312 CIN 23-L   (AV)</v>
      </c>
      <c r="C148" s="17">
        <f>'Sampling Data'!B148</f>
        <v>103</v>
      </c>
      <c r="D148" s="17">
        <f>'Sampling Data'!C148</f>
        <v>31</v>
      </c>
      <c r="E148" s="18">
        <f>'Sampling Data'!D148</f>
        <v>0</v>
      </c>
      <c r="F148" s="18">
        <f>'Sampling Data'!E148</f>
        <v>0</v>
      </c>
      <c r="G148" s="18">
        <f>'Sampling Data'!F148</f>
        <v>0</v>
      </c>
      <c r="H148" s="18">
        <f>'Sampling Data'!G148</f>
        <v>0</v>
      </c>
      <c r="I148" s="18">
        <f>'Sampling Data'!H148</f>
        <v>0</v>
      </c>
      <c r="J148" s="18">
        <f>'Sampling Data'!I148</f>
        <v>0</v>
      </c>
      <c r="K148" s="18">
        <f>'Sampling Data'!J148</f>
        <v>0</v>
      </c>
      <c r="L148" s="18">
        <f>'Sampling Data'!K148</f>
        <v>0</v>
      </c>
      <c r="M148" s="18">
        <f>'Sampling Data'!L148</f>
        <v>0</v>
      </c>
      <c r="N148" s="18">
        <f>'Sampling Data'!M148</f>
        <v>0</v>
      </c>
      <c r="O148" s="17">
        <f>'Sampling Data'!N148</f>
        <v>0</v>
      </c>
      <c r="P148" s="17">
        <f>'Sampling Data'!O148</f>
        <v>1</v>
      </c>
      <c r="Q148" s="17">
        <f>'Sampling Data'!P148</f>
        <v>135</v>
      </c>
      <c r="R148" s="17">
        <f>'Sampling Data'!AJ148</f>
        <v>0</v>
      </c>
      <c r="S148" s="111"/>
      <c r="T148" s="111"/>
      <c r="U148" s="112"/>
      <c r="V148" s="112"/>
      <c r="W148" s="111"/>
      <c r="X148" s="111"/>
      <c r="Y148" s="111"/>
      <c r="Z148" s="111"/>
      <c r="AA148" s="14"/>
      <c r="AB148" s="14"/>
      <c r="AC148" s="14"/>
      <c r="AD148" s="14"/>
      <c r="AE148" s="113" t="str">
        <f>IF(NOT(ISBLANK(Audit[[#This Row],[Audit Winning Candidate]])), Audit[[#This Row],[Audit Winning Candidate]]-Audit[[#This Row],[Winning Candidate]], "")</f>
        <v/>
      </c>
      <c r="AF148" s="17" t="str">
        <f>IF(NOT(ISBLANK(Audit[[#This Row],[Audit Losing Candidate]])), Audit[[#This Row],[Audit Losing Candidate]]-Audit[[#This Row],[Losing Candidate]], "")</f>
        <v/>
      </c>
      <c r="AG148" s="17" t="str">
        <f>IF(NOT(ISBLANK(Audit[[#This Row],[Audit Candidate 3]])), Audit[[#This Row],[Audit Candidate 3]]-Audit[[#This Row],[Candidate 3]], "")</f>
        <v/>
      </c>
      <c r="AH148" s="17" t="str">
        <f>IF(NOT(ISBLANK(Audit[[#This Row],[Audit Candidate 4]])),Audit[[#This Row],[Audit Candidate 4]]-Audit[[#This Row],[Candidate 4]], "")</f>
        <v/>
      </c>
      <c r="AI148" s="17" t="str">
        <f>IF(NOT(ISBLANK(Audit[[#This Row],[Audit Candidate 5]])), Audit[[#This Row],[Audit Candidate 5]]-Audit[[#This Row],[Candidate 5]], "")</f>
        <v/>
      </c>
      <c r="AJ148" s="17" t="str">
        <f>IF(NOT(ISBLANK(Audit[[#This Row],[Audit Candidate 6]])), Audit[[#This Row],[Audit Candidate 6]]-Audit[[#This Row],[Candidate 6]], "")</f>
        <v/>
      </c>
      <c r="AK148" s="17" t="str">
        <f>IF(NOT(ISBLANK(Audit[[#This Row],[Audit Candidate 7]])), Audit[[#This Row],[Audit Candidate 7]]-Audit[[#This Row],[Candidate 7]], "")</f>
        <v/>
      </c>
      <c r="AL148" s="17" t="str">
        <f>IF(NOT(ISBLANK(Audit[[#This Row],[Audit Candidate 8]])), Audit[[#This Row],[Audit Candidate 8]]-Audit[[#This Row],[Candidate 8]], "")</f>
        <v/>
      </c>
      <c r="AM148" s="17" t="str">
        <f>IF(NOT(ISBLANK(Audit[[#This Row],[Audit Candidate 9]])), Audit[[#This Row],[Audit Candidate 9]]-Audit[[#This Row],[Candidate 9]], "")</f>
        <v/>
      </c>
      <c r="AN148" s="17" t="str">
        <f>IF(NOT(ISBLANK(Audit[[#This Row],[Audit Candidate 10]])), Audit[[#This Row],[Audit Candidate 10]]-Audit[[#This Row],[Candidate 10]], "")</f>
        <v/>
      </c>
      <c r="AO148" s="17" t="str">
        <f>IF(NOT(ISBLANK(Audit[[#This Row],[Audit Candidate 11]])), Audit[[#This Row],[Audit Candidate 11]]-Audit[[#This Row],[Candidate 11]], "")</f>
        <v/>
      </c>
      <c r="AP148" s="17" t="str">
        <f>IF(NOT(ISBLANK(Audit[[#This Row],[Audit Candidate 12]])), Audit[[#This Row],[Audit Candidate 12]]-Audit[[#This Row],[Candidate 12]], "")</f>
        <v/>
      </c>
      <c r="AQ148" s="17">
        <f>SUMIF(Audit[[#This Row],[Difference Winner]:[Difference Candidate 12]], "&gt;0")</f>
        <v>0</v>
      </c>
      <c r="AR148" s="17">
        <f>SUM(Audit[[#This Row],[Difference Winner]:[Difference Candidate 12]])</f>
        <v>0</v>
      </c>
      <c r="AS148" s="17">
        <f>IF(Audit[[#This Row],[Times p Drawn - With Replacement]]&gt;0, IF(Audit[[#This Row],[Canceled Differences]]&lt;0, Audit[[#This Row],[Max Differences]]+ABS(Audit[[#This Row],[Canceled Differences]]), Audit[[#This Row],[Max Differences]]), 0)</f>
        <v>0</v>
      </c>
      <c r="AT148" s="17">
        <f>'Sampling Data'!AB148</f>
        <v>8.784586657613308E-3</v>
      </c>
      <c r="AU148" s="17">
        <f>IF(
      SUM(Audit[[#This Row],[Audit Losing Candidate]:[Audit Candidate 12]])
      &lt;&gt;0,
      (Audit[[#This Row],[Winning Candidate]]-Audit[[#This Row],[Losing Candidate]]-(Audit[[#This Row],[Audit Winning Candidate]]-Audit[[#This Row],[Audit Losing Candidate]]))/(Audit[[#Totals],[Winning Candidate]]-Audit[[#Totals],[Losing Candidate]]),
      0
)</f>
        <v>0</v>
      </c>
      <c r="AV1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8" s="17">
        <f>IF(Audit[[#This Row],[Max Relative Error (ep)]] = 0, 0, Audit[[#This Row],[Max Relative Error (ep)]]/Audit[[#This Row],[Error Bound (up) - Max. possible relative overstatement]])</f>
        <v>0</v>
      </c>
      <c r="BH1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48" s="17">
        <f t="shared" si="3"/>
        <v>1</v>
      </c>
      <c r="BJ148" s="17">
        <f>PRODUCT($BI$5:BI148)</f>
        <v>0.68031947676209759</v>
      </c>
      <c r="BK148" s="19">
        <f>1 - Audit[[#This Row],[K-M P Value]]</f>
        <v>0.31968052323790241</v>
      </c>
      <c r="BL148" s="17" t="str">
        <f>IF(Audit[[#This Row],[K-M P Value]]&gt;1-'General Info'!$B$12,"Continue", "Stop")</f>
        <v>Continue</v>
      </c>
      <c r="BM148" s="22" t="b">
        <f>IF(Audit[[#This Row],[Status - Continue or stop audit]] = "Continue", TRUE, IF(BL147 = "Continue", TRUE, FALSE))</f>
        <v>1</v>
      </c>
      <c r="BN148" s="22"/>
    </row>
    <row r="149" spans="1:66" ht="15" hidden="1" customHeight="1" x14ac:dyDescent="0.35">
      <c r="A149" s="17" t="str">
        <f>'Sampling Data'!AI149</f>
        <v/>
      </c>
      <c r="B149" s="17" t="str">
        <f>'Sampling Data'!A149</f>
        <v>2313 CIN 23-M   (AV)</v>
      </c>
      <c r="C149" s="17">
        <f>'Sampling Data'!B149</f>
        <v>247</v>
      </c>
      <c r="D149" s="17">
        <f>'Sampling Data'!C149</f>
        <v>66</v>
      </c>
      <c r="E149" s="18">
        <f>'Sampling Data'!D149</f>
        <v>0</v>
      </c>
      <c r="F149" s="18">
        <f>'Sampling Data'!E149</f>
        <v>0</v>
      </c>
      <c r="G149" s="18">
        <f>'Sampling Data'!F149</f>
        <v>0</v>
      </c>
      <c r="H149" s="18">
        <f>'Sampling Data'!G149</f>
        <v>0</v>
      </c>
      <c r="I149" s="18">
        <f>'Sampling Data'!H149</f>
        <v>0</v>
      </c>
      <c r="J149" s="18">
        <f>'Sampling Data'!I149</f>
        <v>0</v>
      </c>
      <c r="K149" s="18">
        <f>'Sampling Data'!J149</f>
        <v>0</v>
      </c>
      <c r="L149" s="18">
        <f>'Sampling Data'!K149</f>
        <v>0</v>
      </c>
      <c r="M149" s="18">
        <f>'Sampling Data'!L149</f>
        <v>0</v>
      </c>
      <c r="N149" s="18">
        <f>'Sampling Data'!M149</f>
        <v>0</v>
      </c>
      <c r="O149" s="17">
        <f>'Sampling Data'!N149</f>
        <v>0</v>
      </c>
      <c r="P149" s="17">
        <f>'Sampling Data'!O149</f>
        <v>19</v>
      </c>
      <c r="Q149" s="17">
        <f>'Sampling Data'!P149</f>
        <v>332</v>
      </c>
      <c r="R149" s="17">
        <f>'Sampling Data'!AJ149</f>
        <v>0</v>
      </c>
      <c r="S149" s="111"/>
      <c r="T149" s="111"/>
      <c r="U149" s="112"/>
      <c r="V149" s="112"/>
      <c r="W149" s="111"/>
      <c r="X149" s="111"/>
      <c r="Y149" s="111"/>
      <c r="Z149" s="111"/>
      <c r="AA149" s="14"/>
      <c r="AB149" s="14"/>
      <c r="AC149" s="14"/>
      <c r="AD149" s="14"/>
      <c r="AE149" s="113" t="str">
        <f>IF(NOT(ISBLANK(Audit[[#This Row],[Audit Winning Candidate]])), Audit[[#This Row],[Audit Winning Candidate]]-Audit[[#This Row],[Winning Candidate]], "")</f>
        <v/>
      </c>
      <c r="AF149" s="17" t="str">
        <f>IF(NOT(ISBLANK(Audit[[#This Row],[Audit Losing Candidate]])), Audit[[#This Row],[Audit Losing Candidate]]-Audit[[#This Row],[Losing Candidate]], "")</f>
        <v/>
      </c>
      <c r="AG149" s="17" t="str">
        <f>IF(NOT(ISBLANK(Audit[[#This Row],[Audit Candidate 3]])), Audit[[#This Row],[Audit Candidate 3]]-Audit[[#This Row],[Candidate 3]], "")</f>
        <v/>
      </c>
      <c r="AH149" s="17" t="str">
        <f>IF(NOT(ISBLANK(Audit[[#This Row],[Audit Candidate 4]])),Audit[[#This Row],[Audit Candidate 4]]-Audit[[#This Row],[Candidate 4]], "")</f>
        <v/>
      </c>
      <c r="AI149" s="17" t="str">
        <f>IF(NOT(ISBLANK(Audit[[#This Row],[Audit Candidate 5]])), Audit[[#This Row],[Audit Candidate 5]]-Audit[[#This Row],[Candidate 5]], "")</f>
        <v/>
      </c>
      <c r="AJ149" s="17" t="str">
        <f>IF(NOT(ISBLANK(Audit[[#This Row],[Audit Candidate 6]])), Audit[[#This Row],[Audit Candidate 6]]-Audit[[#This Row],[Candidate 6]], "")</f>
        <v/>
      </c>
      <c r="AK149" s="17" t="str">
        <f>IF(NOT(ISBLANK(Audit[[#This Row],[Audit Candidate 7]])), Audit[[#This Row],[Audit Candidate 7]]-Audit[[#This Row],[Candidate 7]], "")</f>
        <v/>
      </c>
      <c r="AL149" s="17" t="str">
        <f>IF(NOT(ISBLANK(Audit[[#This Row],[Audit Candidate 8]])), Audit[[#This Row],[Audit Candidate 8]]-Audit[[#This Row],[Candidate 8]], "")</f>
        <v/>
      </c>
      <c r="AM149" s="17" t="str">
        <f>IF(NOT(ISBLANK(Audit[[#This Row],[Audit Candidate 9]])), Audit[[#This Row],[Audit Candidate 9]]-Audit[[#This Row],[Candidate 9]], "")</f>
        <v/>
      </c>
      <c r="AN149" s="17" t="str">
        <f>IF(NOT(ISBLANK(Audit[[#This Row],[Audit Candidate 10]])), Audit[[#This Row],[Audit Candidate 10]]-Audit[[#This Row],[Candidate 10]], "")</f>
        <v/>
      </c>
      <c r="AO149" s="17" t="str">
        <f>IF(NOT(ISBLANK(Audit[[#This Row],[Audit Candidate 11]])), Audit[[#This Row],[Audit Candidate 11]]-Audit[[#This Row],[Candidate 11]], "")</f>
        <v/>
      </c>
      <c r="AP149" s="17" t="str">
        <f>IF(NOT(ISBLANK(Audit[[#This Row],[Audit Candidate 12]])), Audit[[#This Row],[Audit Candidate 12]]-Audit[[#This Row],[Candidate 12]], "")</f>
        <v/>
      </c>
      <c r="AQ149" s="17">
        <f>SUMIF(Audit[[#This Row],[Difference Winner]:[Difference Candidate 12]], "&gt;0")</f>
        <v>0</v>
      </c>
      <c r="AR149" s="17">
        <f>SUM(Audit[[#This Row],[Difference Winner]:[Difference Candidate 12]])</f>
        <v>0</v>
      </c>
      <c r="AS149" s="17">
        <f>IF(Audit[[#This Row],[Times p Drawn - With Replacement]]&gt;0, IF(Audit[[#This Row],[Canceled Differences]]&lt;0, Audit[[#This Row],[Max Differences]]+ABS(Audit[[#This Row],[Canceled Differences]]), Audit[[#This Row],[Max Differences]]), 0)</f>
        <v>0</v>
      </c>
      <c r="AT149" s="17">
        <f>'Sampling Data'!AB149</f>
        <v>2.1770497368867766E-2</v>
      </c>
      <c r="AU149" s="17">
        <f>IF(
      SUM(Audit[[#This Row],[Audit Losing Candidate]:[Audit Candidate 12]])
      &lt;&gt;0,
      (Audit[[#This Row],[Winning Candidate]]-Audit[[#This Row],[Losing Candidate]]-(Audit[[#This Row],[Audit Winning Candidate]]-Audit[[#This Row],[Audit Losing Candidate]]))/(Audit[[#Totals],[Winning Candidate]]-Audit[[#Totals],[Losing Candidate]]),
      0
)</f>
        <v>0</v>
      </c>
      <c r="AV1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9" s="17">
        <f>IF(Audit[[#This Row],[Max Relative Error (ep)]] = 0, 0, Audit[[#This Row],[Max Relative Error (ep)]]/Audit[[#This Row],[Error Bound (up) - Max. possible relative overstatement]])</f>
        <v>0</v>
      </c>
      <c r="BH1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49" s="17">
        <f t="shared" si="3"/>
        <v>1</v>
      </c>
      <c r="BJ149" s="17">
        <f>PRODUCT($BI$5:BI149)</f>
        <v>0.68031947676209759</v>
      </c>
      <c r="BK149" s="19">
        <f>1 - Audit[[#This Row],[K-M P Value]]</f>
        <v>0.31968052323790241</v>
      </c>
      <c r="BL149" s="17" t="str">
        <f>IF(Audit[[#This Row],[K-M P Value]]&gt;1-'General Info'!$B$12,"Continue", "Stop")</f>
        <v>Continue</v>
      </c>
      <c r="BM149" s="22" t="b">
        <f>IF(Audit[[#This Row],[Status - Continue or stop audit]] = "Continue", TRUE, IF(BL148 = "Continue", TRUE, FALSE))</f>
        <v>1</v>
      </c>
      <c r="BN149" s="22"/>
    </row>
    <row r="150" spans="1:66" ht="15" hidden="1" customHeight="1" x14ac:dyDescent="0.35">
      <c r="A150" s="17" t="str">
        <f>'Sampling Data'!AI150</f>
        <v/>
      </c>
      <c r="B150" s="17" t="str">
        <f>'Sampling Data'!A150</f>
        <v>2314 CIN 23-N   (AV)</v>
      </c>
      <c r="C150" s="17">
        <f>'Sampling Data'!B150</f>
        <v>307</v>
      </c>
      <c r="D150" s="17">
        <f>'Sampling Data'!C150</f>
        <v>79</v>
      </c>
      <c r="E150" s="18">
        <f>'Sampling Data'!D150</f>
        <v>0</v>
      </c>
      <c r="F150" s="18">
        <f>'Sampling Data'!E150</f>
        <v>0</v>
      </c>
      <c r="G150" s="18">
        <f>'Sampling Data'!F150</f>
        <v>0</v>
      </c>
      <c r="H150" s="18">
        <f>'Sampling Data'!G150</f>
        <v>0</v>
      </c>
      <c r="I150" s="18">
        <f>'Sampling Data'!H150</f>
        <v>0</v>
      </c>
      <c r="J150" s="18">
        <f>'Sampling Data'!I150</f>
        <v>0</v>
      </c>
      <c r="K150" s="18">
        <f>'Sampling Data'!J150</f>
        <v>0</v>
      </c>
      <c r="L150" s="18">
        <f>'Sampling Data'!K150</f>
        <v>0</v>
      </c>
      <c r="M150" s="18">
        <f>'Sampling Data'!L150</f>
        <v>0</v>
      </c>
      <c r="N150" s="18">
        <f>'Sampling Data'!M150</f>
        <v>0</v>
      </c>
      <c r="O150" s="17">
        <f>'Sampling Data'!N150</f>
        <v>0</v>
      </c>
      <c r="P150" s="17">
        <f>'Sampling Data'!O150</f>
        <v>14</v>
      </c>
      <c r="Q150" s="17">
        <f>'Sampling Data'!P150</f>
        <v>400</v>
      </c>
      <c r="R150" s="17">
        <f>'Sampling Data'!AJ150</f>
        <v>0</v>
      </c>
      <c r="S150" s="111"/>
      <c r="T150" s="111"/>
      <c r="U150" s="112"/>
      <c r="V150" s="112"/>
      <c r="W150" s="111"/>
      <c r="X150" s="111"/>
      <c r="Y150" s="111"/>
      <c r="Z150" s="111"/>
      <c r="AA150" s="14"/>
      <c r="AB150" s="14"/>
      <c r="AC150" s="14"/>
      <c r="AD150" s="14"/>
      <c r="AE150" s="113" t="str">
        <f>IF(NOT(ISBLANK(Audit[[#This Row],[Audit Winning Candidate]])), Audit[[#This Row],[Audit Winning Candidate]]-Audit[[#This Row],[Winning Candidate]], "")</f>
        <v/>
      </c>
      <c r="AF150" s="17" t="str">
        <f>IF(NOT(ISBLANK(Audit[[#This Row],[Audit Losing Candidate]])), Audit[[#This Row],[Audit Losing Candidate]]-Audit[[#This Row],[Losing Candidate]], "")</f>
        <v/>
      </c>
      <c r="AG150" s="17" t="str">
        <f>IF(NOT(ISBLANK(Audit[[#This Row],[Audit Candidate 3]])), Audit[[#This Row],[Audit Candidate 3]]-Audit[[#This Row],[Candidate 3]], "")</f>
        <v/>
      </c>
      <c r="AH150" s="17" t="str">
        <f>IF(NOT(ISBLANK(Audit[[#This Row],[Audit Candidate 4]])),Audit[[#This Row],[Audit Candidate 4]]-Audit[[#This Row],[Candidate 4]], "")</f>
        <v/>
      </c>
      <c r="AI150" s="17" t="str">
        <f>IF(NOT(ISBLANK(Audit[[#This Row],[Audit Candidate 5]])), Audit[[#This Row],[Audit Candidate 5]]-Audit[[#This Row],[Candidate 5]], "")</f>
        <v/>
      </c>
      <c r="AJ150" s="17" t="str">
        <f>IF(NOT(ISBLANK(Audit[[#This Row],[Audit Candidate 6]])), Audit[[#This Row],[Audit Candidate 6]]-Audit[[#This Row],[Candidate 6]], "")</f>
        <v/>
      </c>
      <c r="AK150" s="17" t="str">
        <f>IF(NOT(ISBLANK(Audit[[#This Row],[Audit Candidate 7]])), Audit[[#This Row],[Audit Candidate 7]]-Audit[[#This Row],[Candidate 7]], "")</f>
        <v/>
      </c>
      <c r="AL150" s="17" t="str">
        <f>IF(NOT(ISBLANK(Audit[[#This Row],[Audit Candidate 8]])), Audit[[#This Row],[Audit Candidate 8]]-Audit[[#This Row],[Candidate 8]], "")</f>
        <v/>
      </c>
      <c r="AM150" s="17" t="str">
        <f>IF(NOT(ISBLANK(Audit[[#This Row],[Audit Candidate 9]])), Audit[[#This Row],[Audit Candidate 9]]-Audit[[#This Row],[Candidate 9]], "")</f>
        <v/>
      </c>
      <c r="AN150" s="17" t="str">
        <f>IF(NOT(ISBLANK(Audit[[#This Row],[Audit Candidate 10]])), Audit[[#This Row],[Audit Candidate 10]]-Audit[[#This Row],[Candidate 10]], "")</f>
        <v/>
      </c>
      <c r="AO150" s="17" t="str">
        <f>IF(NOT(ISBLANK(Audit[[#This Row],[Audit Candidate 11]])), Audit[[#This Row],[Audit Candidate 11]]-Audit[[#This Row],[Candidate 11]], "")</f>
        <v/>
      </c>
      <c r="AP150" s="17" t="str">
        <f>IF(NOT(ISBLANK(Audit[[#This Row],[Audit Candidate 12]])), Audit[[#This Row],[Audit Candidate 12]]-Audit[[#This Row],[Candidate 12]], "")</f>
        <v/>
      </c>
      <c r="AQ150" s="17">
        <f>SUMIF(Audit[[#This Row],[Difference Winner]:[Difference Candidate 12]], "&gt;0")</f>
        <v>0</v>
      </c>
      <c r="AR150" s="17">
        <f>SUM(Audit[[#This Row],[Difference Winner]:[Difference Candidate 12]])</f>
        <v>0</v>
      </c>
      <c r="AS150" s="17">
        <f>IF(Audit[[#This Row],[Times p Drawn - With Replacement]]&gt;0, IF(Audit[[#This Row],[Canceled Differences]]&lt;0, Audit[[#This Row],[Max Differences]]+ABS(Audit[[#This Row],[Canceled Differences]]), Audit[[#This Row],[Max Differences]]), 0)</f>
        <v>0</v>
      </c>
      <c r="AT150" s="17">
        <f>'Sampling Data'!AB150</f>
        <v>2.6650823289764047E-2</v>
      </c>
      <c r="AU150" s="17">
        <f>IF(
      SUM(Audit[[#This Row],[Audit Losing Candidate]:[Audit Candidate 12]])
      &lt;&gt;0,
      (Audit[[#This Row],[Winning Candidate]]-Audit[[#This Row],[Losing Candidate]]-(Audit[[#This Row],[Audit Winning Candidate]]-Audit[[#This Row],[Audit Losing Candidate]]))/(Audit[[#Totals],[Winning Candidate]]-Audit[[#Totals],[Losing Candidate]]),
      0
)</f>
        <v>0</v>
      </c>
      <c r="AV1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0" s="17">
        <f>IF(Audit[[#This Row],[Max Relative Error (ep)]] = 0, 0, Audit[[#This Row],[Max Relative Error (ep)]]/Audit[[#This Row],[Error Bound (up) - Max. possible relative overstatement]])</f>
        <v>0</v>
      </c>
      <c r="BH1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50" s="17">
        <f t="shared" si="3"/>
        <v>1</v>
      </c>
      <c r="BJ150" s="17">
        <f>PRODUCT($BI$5:BI150)</f>
        <v>0.68031947676209759</v>
      </c>
      <c r="BK150" s="19">
        <f>1 - Audit[[#This Row],[K-M P Value]]</f>
        <v>0.31968052323790241</v>
      </c>
      <c r="BL150" s="17" t="str">
        <f>IF(Audit[[#This Row],[K-M P Value]]&gt;1-'General Info'!$B$12,"Continue", "Stop")</f>
        <v>Continue</v>
      </c>
      <c r="BM150" s="22" t="b">
        <f>IF(Audit[[#This Row],[Status - Continue or stop audit]] = "Continue", TRUE, IF(BL149 = "Continue", TRUE, FALSE))</f>
        <v>1</v>
      </c>
      <c r="BN150" s="22"/>
    </row>
    <row r="151" spans="1:66" ht="15" hidden="1" customHeight="1" x14ac:dyDescent="0.35">
      <c r="A151" s="17" t="str">
        <f>'Sampling Data'!AI151</f>
        <v/>
      </c>
      <c r="B151" s="17" t="str">
        <f>'Sampling Data'!A151</f>
        <v>2315 CIN 23-O   (AV)</v>
      </c>
      <c r="C151" s="17">
        <f>'Sampling Data'!B151</f>
        <v>325</v>
      </c>
      <c r="D151" s="17">
        <f>'Sampling Data'!C151</f>
        <v>79</v>
      </c>
      <c r="E151" s="18">
        <f>'Sampling Data'!D151</f>
        <v>0</v>
      </c>
      <c r="F151" s="18">
        <f>'Sampling Data'!E151</f>
        <v>0</v>
      </c>
      <c r="G151" s="18">
        <f>'Sampling Data'!F151</f>
        <v>0</v>
      </c>
      <c r="H151" s="18">
        <f>'Sampling Data'!G151</f>
        <v>0</v>
      </c>
      <c r="I151" s="18">
        <f>'Sampling Data'!H151</f>
        <v>0</v>
      </c>
      <c r="J151" s="18">
        <f>'Sampling Data'!I151</f>
        <v>0</v>
      </c>
      <c r="K151" s="18">
        <f>'Sampling Data'!J151</f>
        <v>0</v>
      </c>
      <c r="L151" s="18">
        <f>'Sampling Data'!K151</f>
        <v>0</v>
      </c>
      <c r="M151" s="18">
        <f>'Sampling Data'!L151</f>
        <v>0</v>
      </c>
      <c r="N151" s="18">
        <f>'Sampling Data'!M151</f>
        <v>0</v>
      </c>
      <c r="O151" s="17">
        <f>'Sampling Data'!N151</f>
        <v>0</v>
      </c>
      <c r="P151" s="17">
        <f>'Sampling Data'!O151</f>
        <v>12</v>
      </c>
      <c r="Q151" s="17">
        <f>'Sampling Data'!P151</f>
        <v>416</v>
      </c>
      <c r="R151" s="17">
        <f>'Sampling Data'!AJ151</f>
        <v>0</v>
      </c>
      <c r="S151" s="111"/>
      <c r="T151" s="111"/>
      <c r="U151" s="112"/>
      <c r="V151" s="112"/>
      <c r="W151" s="111"/>
      <c r="X151" s="111"/>
      <c r="Y151" s="111"/>
      <c r="Z151" s="111"/>
      <c r="AA151" s="14"/>
      <c r="AB151" s="14"/>
      <c r="AC151" s="14"/>
      <c r="AD151" s="14"/>
      <c r="AE151" s="113" t="str">
        <f>IF(NOT(ISBLANK(Audit[[#This Row],[Audit Winning Candidate]])), Audit[[#This Row],[Audit Winning Candidate]]-Audit[[#This Row],[Winning Candidate]], "")</f>
        <v/>
      </c>
      <c r="AF151" s="17" t="str">
        <f>IF(NOT(ISBLANK(Audit[[#This Row],[Audit Losing Candidate]])), Audit[[#This Row],[Audit Losing Candidate]]-Audit[[#This Row],[Losing Candidate]], "")</f>
        <v/>
      </c>
      <c r="AG151" s="17" t="str">
        <f>IF(NOT(ISBLANK(Audit[[#This Row],[Audit Candidate 3]])), Audit[[#This Row],[Audit Candidate 3]]-Audit[[#This Row],[Candidate 3]], "")</f>
        <v/>
      </c>
      <c r="AH151" s="17" t="str">
        <f>IF(NOT(ISBLANK(Audit[[#This Row],[Audit Candidate 4]])),Audit[[#This Row],[Audit Candidate 4]]-Audit[[#This Row],[Candidate 4]], "")</f>
        <v/>
      </c>
      <c r="AI151" s="17" t="str">
        <f>IF(NOT(ISBLANK(Audit[[#This Row],[Audit Candidate 5]])), Audit[[#This Row],[Audit Candidate 5]]-Audit[[#This Row],[Candidate 5]], "")</f>
        <v/>
      </c>
      <c r="AJ151" s="17" t="str">
        <f>IF(NOT(ISBLANK(Audit[[#This Row],[Audit Candidate 6]])), Audit[[#This Row],[Audit Candidate 6]]-Audit[[#This Row],[Candidate 6]], "")</f>
        <v/>
      </c>
      <c r="AK151" s="17" t="str">
        <f>IF(NOT(ISBLANK(Audit[[#This Row],[Audit Candidate 7]])), Audit[[#This Row],[Audit Candidate 7]]-Audit[[#This Row],[Candidate 7]], "")</f>
        <v/>
      </c>
      <c r="AL151" s="17" t="str">
        <f>IF(NOT(ISBLANK(Audit[[#This Row],[Audit Candidate 8]])), Audit[[#This Row],[Audit Candidate 8]]-Audit[[#This Row],[Candidate 8]], "")</f>
        <v/>
      </c>
      <c r="AM151" s="17" t="str">
        <f>IF(NOT(ISBLANK(Audit[[#This Row],[Audit Candidate 9]])), Audit[[#This Row],[Audit Candidate 9]]-Audit[[#This Row],[Candidate 9]], "")</f>
        <v/>
      </c>
      <c r="AN151" s="17" t="str">
        <f>IF(NOT(ISBLANK(Audit[[#This Row],[Audit Candidate 10]])), Audit[[#This Row],[Audit Candidate 10]]-Audit[[#This Row],[Candidate 10]], "")</f>
        <v/>
      </c>
      <c r="AO151" s="17" t="str">
        <f>IF(NOT(ISBLANK(Audit[[#This Row],[Audit Candidate 11]])), Audit[[#This Row],[Audit Candidate 11]]-Audit[[#This Row],[Candidate 11]], "")</f>
        <v/>
      </c>
      <c r="AP151" s="17" t="str">
        <f>IF(NOT(ISBLANK(Audit[[#This Row],[Audit Candidate 12]])), Audit[[#This Row],[Audit Candidate 12]]-Audit[[#This Row],[Candidate 12]], "")</f>
        <v/>
      </c>
      <c r="AQ151" s="17">
        <f>SUMIF(Audit[[#This Row],[Difference Winner]:[Difference Candidate 12]], "&gt;0")</f>
        <v>0</v>
      </c>
      <c r="AR151" s="17">
        <f>SUM(Audit[[#This Row],[Difference Winner]:[Difference Candidate 12]])</f>
        <v>0</v>
      </c>
      <c r="AS151" s="17">
        <f>IF(Audit[[#This Row],[Times p Drawn - With Replacement]]&gt;0, IF(Audit[[#This Row],[Canceled Differences]]&lt;0, Audit[[#This Row],[Max Differences]]+ABS(Audit[[#This Row],[Canceled Differences]]), Audit[[#This Row],[Max Differences]]), 0)</f>
        <v>0</v>
      </c>
      <c r="AT151" s="17">
        <f>'Sampling Data'!AB151</f>
        <v>2.8093702257681208E-2</v>
      </c>
      <c r="AU151" s="17">
        <f>IF(
      SUM(Audit[[#This Row],[Audit Losing Candidate]:[Audit Candidate 12]])
      &lt;&gt;0,
      (Audit[[#This Row],[Winning Candidate]]-Audit[[#This Row],[Losing Candidate]]-(Audit[[#This Row],[Audit Winning Candidate]]-Audit[[#This Row],[Audit Losing Candidate]]))/(Audit[[#Totals],[Winning Candidate]]-Audit[[#Totals],[Losing Candidate]]),
      0
)</f>
        <v>0</v>
      </c>
      <c r="AV1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1" s="17">
        <f>IF(Audit[[#This Row],[Max Relative Error (ep)]] = 0, 0, Audit[[#This Row],[Max Relative Error (ep)]]/Audit[[#This Row],[Error Bound (up) - Max. possible relative overstatement]])</f>
        <v>0</v>
      </c>
      <c r="BH1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51" s="17">
        <f t="shared" si="3"/>
        <v>1</v>
      </c>
      <c r="BJ151" s="17">
        <f>PRODUCT($BI$5:BI151)</f>
        <v>0.68031947676209759</v>
      </c>
      <c r="BK151" s="19">
        <f>1 - Audit[[#This Row],[K-M P Value]]</f>
        <v>0.31968052323790241</v>
      </c>
      <c r="BL151" s="17" t="str">
        <f>IF(Audit[[#This Row],[K-M P Value]]&gt;1-'General Info'!$B$12,"Continue", "Stop")</f>
        <v>Continue</v>
      </c>
      <c r="BM151" s="22" t="b">
        <f>IF(Audit[[#This Row],[Status - Continue or stop audit]] = "Continue", TRUE, IF(BL150 = "Continue", TRUE, FALSE))</f>
        <v>1</v>
      </c>
      <c r="BN151" s="22"/>
    </row>
    <row r="152" spans="1:66" ht="15" hidden="1" customHeight="1" x14ac:dyDescent="0.35">
      <c r="A152" s="17" t="str">
        <f>'Sampling Data'!AI152</f>
        <v/>
      </c>
      <c r="B152" s="17" t="str">
        <f>'Sampling Data'!A152</f>
        <v>2316 CIN 23-P   (AV)</v>
      </c>
      <c r="C152" s="17">
        <f>'Sampling Data'!B152</f>
        <v>307</v>
      </c>
      <c r="D152" s="17">
        <f>'Sampling Data'!C152</f>
        <v>92</v>
      </c>
      <c r="E152" s="18">
        <f>'Sampling Data'!D152</f>
        <v>0</v>
      </c>
      <c r="F152" s="18">
        <f>'Sampling Data'!E152</f>
        <v>0</v>
      </c>
      <c r="G152" s="18">
        <f>'Sampling Data'!F152</f>
        <v>0</v>
      </c>
      <c r="H152" s="18">
        <f>'Sampling Data'!G152</f>
        <v>0</v>
      </c>
      <c r="I152" s="18">
        <f>'Sampling Data'!H152</f>
        <v>0</v>
      </c>
      <c r="J152" s="18">
        <f>'Sampling Data'!I152</f>
        <v>0</v>
      </c>
      <c r="K152" s="18">
        <f>'Sampling Data'!J152</f>
        <v>0</v>
      </c>
      <c r="L152" s="18">
        <f>'Sampling Data'!K152</f>
        <v>0</v>
      </c>
      <c r="M152" s="18">
        <f>'Sampling Data'!L152</f>
        <v>0</v>
      </c>
      <c r="N152" s="18">
        <f>'Sampling Data'!M152</f>
        <v>0</v>
      </c>
      <c r="O152" s="17">
        <f>'Sampling Data'!N152</f>
        <v>0</v>
      </c>
      <c r="P152" s="17">
        <f>'Sampling Data'!O152</f>
        <v>16</v>
      </c>
      <c r="Q152" s="17">
        <f>'Sampling Data'!P152</f>
        <v>415</v>
      </c>
      <c r="R152" s="17">
        <f>'Sampling Data'!AJ152</f>
        <v>0</v>
      </c>
      <c r="S152" s="111"/>
      <c r="T152" s="111"/>
      <c r="U152" s="112"/>
      <c r="V152" s="112"/>
      <c r="W152" s="111"/>
      <c r="X152" s="111"/>
      <c r="Y152" s="111"/>
      <c r="Z152" s="111"/>
      <c r="AA152" s="14"/>
      <c r="AB152" s="14"/>
      <c r="AC152" s="14"/>
      <c r="AD152" s="14"/>
      <c r="AE152" s="113" t="str">
        <f>IF(NOT(ISBLANK(Audit[[#This Row],[Audit Winning Candidate]])), Audit[[#This Row],[Audit Winning Candidate]]-Audit[[#This Row],[Winning Candidate]], "")</f>
        <v/>
      </c>
      <c r="AF152" s="17" t="str">
        <f>IF(NOT(ISBLANK(Audit[[#This Row],[Audit Losing Candidate]])), Audit[[#This Row],[Audit Losing Candidate]]-Audit[[#This Row],[Losing Candidate]], "")</f>
        <v/>
      </c>
      <c r="AG152" s="17" t="str">
        <f>IF(NOT(ISBLANK(Audit[[#This Row],[Audit Candidate 3]])), Audit[[#This Row],[Audit Candidate 3]]-Audit[[#This Row],[Candidate 3]], "")</f>
        <v/>
      </c>
      <c r="AH152" s="17" t="str">
        <f>IF(NOT(ISBLANK(Audit[[#This Row],[Audit Candidate 4]])),Audit[[#This Row],[Audit Candidate 4]]-Audit[[#This Row],[Candidate 4]], "")</f>
        <v/>
      </c>
      <c r="AI152" s="17" t="str">
        <f>IF(NOT(ISBLANK(Audit[[#This Row],[Audit Candidate 5]])), Audit[[#This Row],[Audit Candidate 5]]-Audit[[#This Row],[Candidate 5]], "")</f>
        <v/>
      </c>
      <c r="AJ152" s="17" t="str">
        <f>IF(NOT(ISBLANK(Audit[[#This Row],[Audit Candidate 6]])), Audit[[#This Row],[Audit Candidate 6]]-Audit[[#This Row],[Candidate 6]], "")</f>
        <v/>
      </c>
      <c r="AK152" s="17" t="str">
        <f>IF(NOT(ISBLANK(Audit[[#This Row],[Audit Candidate 7]])), Audit[[#This Row],[Audit Candidate 7]]-Audit[[#This Row],[Candidate 7]], "")</f>
        <v/>
      </c>
      <c r="AL152" s="17" t="str">
        <f>IF(NOT(ISBLANK(Audit[[#This Row],[Audit Candidate 8]])), Audit[[#This Row],[Audit Candidate 8]]-Audit[[#This Row],[Candidate 8]], "")</f>
        <v/>
      </c>
      <c r="AM152" s="17" t="str">
        <f>IF(NOT(ISBLANK(Audit[[#This Row],[Audit Candidate 9]])), Audit[[#This Row],[Audit Candidate 9]]-Audit[[#This Row],[Candidate 9]], "")</f>
        <v/>
      </c>
      <c r="AN152" s="17" t="str">
        <f>IF(NOT(ISBLANK(Audit[[#This Row],[Audit Candidate 10]])), Audit[[#This Row],[Audit Candidate 10]]-Audit[[#This Row],[Candidate 10]], "")</f>
        <v/>
      </c>
      <c r="AO152" s="17" t="str">
        <f>IF(NOT(ISBLANK(Audit[[#This Row],[Audit Candidate 11]])), Audit[[#This Row],[Audit Candidate 11]]-Audit[[#This Row],[Candidate 11]], "")</f>
        <v/>
      </c>
      <c r="AP152" s="17" t="str">
        <f>IF(NOT(ISBLANK(Audit[[#This Row],[Audit Candidate 12]])), Audit[[#This Row],[Audit Candidate 12]]-Audit[[#This Row],[Candidate 12]], "")</f>
        <v/>
      </c>
      <c r="AQ152" s="17">
        <f>SUMIF(Audit[[#This Row],[Difference Winner]:[Difference Candidate 12]], "&gt;0")</f>
        <v>0</v>
      </c>
      <c r="AR152" s="17">
        <f>SUM(Audit[[#This Row],[Difference Winner]:[Difference Candidate 12]])</f>
        <v>0</v>
      </c>
      <c r="AS152" s="17">
        <f>IF(Audit[[#This Row],[Times p Drawn - With Replacement]]&gt;0, IF(Audit[[#This Row],[Canceled Differences]]&lt;0, Audit[[#This Row],[Max Differences]]+ABS(Audit[[#This Row],[Canceled Differences]]), Audit[[#This Row],[Max Differences]]), 0)</f>
        <v>0</v>
      </c>
      <c r="AT152" s="17">
        <f>'Sampling Data'!AB152</f>
        <v>2.6735698523170939E-2</v>
      </c>
      <c r="AU152" s="17">
        <f>IF(
      SUM(Audit[[#This Row],[Audit Losing Candidate]:[Audit Candidate 12]])
      &lt;&gt;0,
      (Audit[[#This Row],[Winning Candidate]]-Audit[[#This Row],[Losing Candidate]]-(Audit[[#This Row],[Audit Winning Candidate]]-Audit[[#This Row],[Audit Losing Candidate]]))/(Audit[[#Totals],[Winning Candidate]]-Audit[[#Totals],[Losing Candidate]]),
      0
)</f>
        <v>0</v>
      </c>
      <c r="AV1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2" s="17">
        <f>IF(Audit[[#This Row],[Max Relative Error (ep)]] = 0, 0, Audit[[#This Row],[Max Relative Error (ep)]]/Audit[[#This Row],[Error Bound (up) - Max. possible relative overstatement]])</f>
        <v>0</v>
      </c>
      <c r="BH1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52" s="17">
        <f t="shared" si="3"/>
        <v>1</v>
      </c>
      <c r="BJ152" s="17">
        <f>PRODUCT($BI$5:BI152)</f>
        <v>0.68031947676209759</v>
      </c>
      <c r="BK152" s="19">
        <f>1 - Audit[[#This Row],[K-M P Value]]</f>
        <v>0.31968052323790241</v>
      </c>
      <c r="BL152" s="17" t="str">
        <f>IF(Audit[[#This Row],[K-M P Value]]&gt;1-'General Info'!$B$12,"Continue", "Stop")</f>
        <v>Continue</v>
      </c>
      <c r="BM152" s="22" t="b">
        <f>IF(Audit[[#This Row],[Status - Continue or stop audit]] = "Continue", TRUE, IF(BL151 = "Continue", TRUE, FALSE))</f>
        <v>1</v>
      </c>
      <c r="BN152" s="22"/>
    </row>
    <row r="153" spans="1:66" ht="15" hidden="1" customHeight="1" x14ac:dyDescent="0.35">
      <c r="A153" s="17" t="str">
        <f>'Sampling Data'!AI153</f>
        <v/>
      </c>
      <c r="B153" s="17" t="str">
        <f>'Sampling Data'!A153</f>
        <v>2317 CIN 23-Q   (AV)</v>
      </c>
      <c r="C153" s="17">
        <f>'Sampling Data'!B153</f>
        <v>170</v>
      </c>
      <c r="D153" s="17">
        <f>'Sampling Data'!C153</f>
        <v>115</v>
      </c>
      <c r="E153" s="18">
        <f>'Sampling Data'!D153</f>
        <v>0</v>
      </c>
      <c r="F153" s="18">
        <f>'Sampling Data'!E153</f>
        <v>0</v>
      </c>
      <c r="G153" s="18">
        <f>'Sampling Data'!F153</f>
        <v>0</v>
      </c>
      <c r="H153" s="18">
        <f>'Sampling Data'!G153</f>
        <v>0</v>
      </c>
      <c r="I153" s="18">
        <f>'Sampling Data'!H153</f>
        <v>0</v>
      </c>
      <c r="J153" s="18">
        <f>'Sampling Data'!I153</f>
        <v>0</v>
      </c>
      <c r="K153" s="18">
        <f>'Sampling Data'!J153</f>
        <v>0</v>
      </c>
      <c r="L153" s="18">
        <f>'Sampling Data'!K153</f>
        <v>0</v>
      </c>
      <c r="M153" s="18">
        <f>'Sampling Data'!L153</f>
        <v>0</v>
      </c>
      <c r="N153" s="18">
        <f>'Sampling Data'!M153</f>
        <v>0</v>
      </c>
      <c r="O153" s="17">
        <f>'Sampling Data'!N153</f>
        <v>0</v>
      </c>
      <c r="P153" s="17">
        <f>'Sampling Data'!O153</f>
        <v>25</v>
      </c>
      <c r="Q153" s="17">
        <f>'Sampling Data'!P153</f>
        <v>310</v>
      </c>
      <c r="R153" s="17">
        <f>'Sampling Data'!AJ153</f>
        <v>0</v>
      </c>
      <c r="S153" s="111"/>
      <c r="T153" s="111"/>
      <c r="U153" s="112"/>
      <c r="V153" s="112"/>
      <c r="W153" s="111"/>
      <c r="X153" s="111"/>
      <c r="Y153" s="111"/>
      <c r="Z153" s="111"/>
      <c r="AA153" s="14"/>
      <c r="AB153" s="14"/>
      <c r="AC153" s="14"/>
      <c r="AD153" s="14"/>
      <c r="AE153" s="113" t="str">
        <f>IF(NOT(ISBLANK(Audit[[#This Row],[Audit Winning Candidate]])), Audit[[#This Row],[Audit Winning Candidate]]-Audit[[#This Row],[Winning Candidate]], "")</f>
        <v/>
      </c>
      <c r="AF153" s="17" t="str">
        <f>IF(NOT(ISBLANK(Audit[[#This Row],[Audit Losing Candidate]])), Audit[[#This Row],[Audit Losing Candidate]]-Audit[[#This Row],[Losing Candidate]], "")</f>
        <v/>
      </c>
      <c r="AG153" s="17" t="str">
        <f>IF(NOT(ISBLANK(Audit[[#This Row],[Audit Candidate 3]])), Audit[[#This Row],[Audit Candidate 3]]-Audit[[#This Row],[Candidate 3]], "")</f>
        <v/>
      </c>
      <c r="AH153" s="17" t="str">
        <f>IF(NOT(ISBLANK(Audit[[#This Row],[Audit Candidate 4]])),Audit[[#This Row],[Audit Candidate 4]]-Audit[[#This Row],[Candidate 4]], "")</f>
        <v/>
      </c>
      <c r="AI153" s="17" t="str">
        <f>IF(NOT(ISBLANK(Audit[[#This Row],[Audit Candidate 5]])), Audit[[#This Row],[Audit Candidate 5]]-Audit[[#This Row],[Candidate 5]], "")</f>
        <v/>
      </c>
      <c r="AJ153" s="17" t="str">
        <f>IF(NOT(ISBLANK(Audit[[#This Row],[Audit Candidate 6]])), Audit[[#This Row],[Audit Candidate 6]]-Audit[[#This Row],[Candidate 6]], "")</f>
        <v/>
      </c>
      <c r="AK153" s="17" t="str">
        <f>IF(NOT(ISBLANK(Audit[[#This Row],[Audit Candidate 7]])), Audit[[#This Row],[Audit Candidate 7]]-Audit[[#This Row],[Candidate 7]], "")</f>
        <v/>
      </c>
      <c r="AL153" s="17" t="str">
        <f>IF(NOT(ISBLANK(Audit[[#This Row],[Audit Candidate 8]])), Audit[[#This Row],[Audit Candidate 8]]-Audit[[#This Row],[Candidate 8]], "")</f>
        <v/>
      </c>
      <c r="AM153" s="17" t="str">
        <f>IF(NOT(ISBLANK(Audit[[#This Row],[Audit Candidate 9]])), Audit[[#This Row],[Audit Candidate 9]]-Audit[[#This Row],[Candidate 9]], "")</f>
        <v/>
      </c>
      <c r="AN153" s="17" t="str">
        <f>IF(NOT(ISBLANK(Audit[[#This Row],[Audit Candidate 10]])), Audit[[#This Row],[Audit Candidate 10]]-Audit[[#This Row],[Candidate 10]], "")</f>
        <v/>
      </c>
      <c r="AO153" s="17" t="str">
        <f>IF(NOT(ISBLANK(Audit[[#This Row],[Audit Candidate 11]])), Audit[[#This Row],[Audit Candidate 11]]-Audit[[#This Row],[Candidate 11]], "")</f>
        <v/>
      </c>
      <c r="AP153" s="17" t="str">
        <f>IF(NOT(ISBLANK(Audit[[#This Row],[Audit Candidate 12]])), Audit[[#This Row],[Audit Candidate 12]]-Audit[[#This Row],[Candidate 12]], "")</f>
        <v/>
      </c>
      <c r="AQ153" s="17">
        <f>SUMIF(Audit[[#This Row],[Difference Winner]:[Difference Candidate 12]], "&gt;0")</f>
        <v>0</v>
      </c>
      <c r="AR153" s="17">
        <f>SUM(Audit[[#This Row],[Difference Winner]:[Difference Candidate 12]])</f>
        <v>0</v>
      </c>
      <c r="AS153" s="17">
        <f>IF(Audit[[#This Row],[Times p Drawn - With Replacement]]&gt;0, IF(Audit[[#This Row],[Canceled Differences]]&lt;0, Audit[[#This Row],[Max Differences]]+ABS(Audit[[#This Row],[Canceled Differences]]), Audit[[#This Row],[Max Differences]]), 0)</f>
        <v>0</v>
      </c>
      <c r="AT153" s="17">
        <f>'Sampling Data'!AB153</f>
        <v>1.5489730096757767E-2</v>
      </c>
      <c r="AU153" s="17">
        <f>IF(
      SUM(Audit[[#This Row],[Audit Losing Candidate]:[Audit Candidate 12]])
      &lt;&gt;0,
      (Audit[[#This Row],[Winning Candidate]]-Audit[[#This Row],[Losing Candidate]]-(Audit[[#This Row],[Audit Winning Candidate]]-Audit[[#This Row],[Audit Losing Candidate]]))/(Audit[[#Totals],[Winning Candidate]]-Audit[[#Totals],[Losing Candidate]]),
      0
)</f>
        <v>0</v>
      </c>
      <c r="AV1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3" s="17">
        <f>IF(Audit[[#This Row],[Max Relative Error (ep)]] = 0, 0, Audit[[#This Row],[Max Relative Error (ep)]]/Audit[[#This Row],[Error Bound (up) - Max. possible relative overstatement]])</f>
        <v>0</v>
      </c>
      <c r="BH1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53" s="17">
        <f t="shared" si="3"/>
        <v>1</v>
      </c>
      <c r="BJ153" s="17">
        <f>PRODUCT($BI$5:BI153)</f>
        <v>0.68031947676209759</v>
      </c>
      <c r="BK153" s="19">
        <f>1 - Audit[[#This Row],[K-M P Value]]</f>
        <v>0.31968052323790241</v>
      </c>
      <c r="BL153" s="17" t="str">
        <f>IF(Audit[[#This Row],[K-M P Value]]&gt;1-'General Info'!$B$12,"Continue", "Stop")</f>
        <v>Continue</v>
      </c>
      <c r="BM153" s="22" t="b">
        <f>IF(Audit[[#This Row],[Status - Continue or stop audit]] = "Continue", TRUE, IF(BL152 = "Continue", TRUE, FALSE))</f>
        <v>1</v>
      </c>
      <c r="BN153" s="22"/>
    </row>
    <row r="154" spans="1:66" ht="15" hidden="1" customHeight="1" x14ac:dyDescent="0.35">
      <c r="A154" s="17" t="str">
        <f>'Sampling Data'!AI154</f>
        <v/>
      </c>
      <c r="B154" s="17" t="str">
        <f>'Sampling Data'!A154</f>
        <v>2318 CIN 23-R   (AV)</v>
      </c>
      <c r="C154" s="17">
        <f>'Sampling Data'!B154</f>
        <v>136</v>
      </c>
      <c r="D154" s="17">
        <f>'Sampling Data'!C154</f>
        <v>26</v>
      </c>
      <c r="E154" s="18">
        <f>'Sampling Data'!D154</f>
        <v>0</v>
      </c>
      <c r="F154" s="18">
        <f>'Sampling Data'!E154</f>
        <v>0</v>
      </c>
      <c r="G154" s="18">
        <f>'Sampling Data'!F154</f>
        <v>0</v>
      </c>
      <c r="H154" s="18">
        <f>'Sampling Data'!G154</f>
        <v>0</v>
      </c>
      <c r="I154" s="18">
        <f>'Sampling Data'!H154</f>
        <v>0</v>
      </c>
      <c r="J154" s="18">
        <f>'Sampling Data'!I154</f>
        <v>0</v>
      </c>
      <c r="K154" s="18">
        <f>'Sampling Data'!J154</f>
        <v>0</v>
      </c>
      <c r="L154" s="18">
        <f>'Sampling Data'!K154</f>
        <v>0</v>
      </c>
      <c r="M154" s="18">
        <f>'Sampling Data'!L154</f>
        <v>0</v>
      </c>
      <c r="N154" s="18">
        <f>'Sampling Data'!M154</f>
        <v>0</v>
      </c>
      <c r="O154" s="17">
        <f>'Sampling Data'!N154</f>
        <v>0</v>
      </c>
      <c r="P154" s="17">
        <f>'Sampling Data'!O154</f>
        <v>12</v>
      </c>
      <c r="Q154" s="17">
        <f>'Sampling Data'!P154</f>
        <v>174</v>
      </c>
      <c r="R154" s="17">
        <f>'Sampling Data'!AJ154</f>
        <v>0</v>
      </c>
      <c r="S154" s="111"/>
      <c r="T154" s="111"/>
      <c r="U154" s="112"/>
      <c r="V154" s="112"/>
      <c r="W154" s="111"/>
      <c r="X154" s="111"/>
      <c r="Y154" s="111"/>
      <c r="Z154" s="111"/>
      <c r="AA154" s="14"/>
      <c r="AB154" s="14"/>
      <c r="AC154" s="14"/>
      <c r="AD154" s="14"/>
      <c r="AE154" s="113" t="str">
        <f>IF(NOT(ISBLANK(Audit[[#This Row],[Audit Winning Candidate]])), Audit[[#This Row],[Audit Winning Candidate]]-Audit[[#This Row],[Winning Candidate]], "")</f>
        <v/>
      </c>
      <c r="AF154" s="17" t="str">
        <f>IF(NOT(ISBLANK(Audit[[#This Row],[Audit Losing Candidate]])), Audit[[#This Row],[Audit Losing Candidate]]-Audit[[#This Row],[Losing Candidate]], "")</f>
        <v/>
      </c>
      <c r="AG154" s="17" t="str">
        <f>IF(NOT(ISBLANK(Audit[[#This Row],[Audit Candidate 3]])), Audit[[#This Row],[Audit Candidate 3]]-Audit[[#This Row],[Candidate 3]], "")</f>
        <v/>
      </c>
      <c r="AH154" s="17" t="str">
        <f>IF(NOT(ISBLANK(Audit[[#This Row],[Audit Candidate 4]])),Audit[[#This Row],[Audit Candidate 4]]-Audit[[#This Row],[Candidate 4]], "")</f>
        <v/>
      </c>
      <c r="AI154" s="17" t="str">
        <f>IF(NOT(ISBLANK(Audit[[#This Row],[Audit Candidate 5]])), Audit[[#This Row],[Audit Candidate 5]]-Audit[[#This Row],[Candidate 5]], "")</f>
        <v/>
      </c>
      <c r="AJ154" s="17" t="str">
        <f>IF(NOT(ISBLANK(Audit[[#This Row],[Audit Candidate 6]])), Audit[[#This Row],[Audit Candidate 6]]-Audit[[#This Row],[Candidate 6]], "")</f>
        <v/>
      </c>
      <c r="AK154" s="17" t="str">
        <f>IF(NOT(ISBLANK(Audit[[#This Row],[Audit Candidate 7]])), Audit[[#This Row],[Audit Candidate 7]]-Audit[[#This Row],[Candidate 7]], "")</f>
        <v/>
      </c>
      <c r="AL154" s="17" t="str">
        <f>IF(NOT(ISBLANK(Audit[[#This Row],[Audit Candidate 8]])), Audit[[#This Row],[Audit Candidate 8]]-Audit[[#This Row],[Candidate 8]], "")</f>
        <v/>
      </c>
      <c r="AM154" s="17" t="str">
        <f>IF(NOT(ISBLANK(Audit[[#This Row],[Audit Candidate 9]])), Audit[[#This Row],[Audit Candidate 9]]-Audit[[#This Row],[Candidate 9]], "")</f>
        <v/>
      </c>
      <c r="AN154" s="17" t="str">
        <f>IF(NOT(ISBLANK(Audit[[#This Row],[Audit Candidate 10]])), Audit[[#This Row],[Audit Candidate 10]]-Audit[[#This Row],[Candidate 10]], "")</f>
        <v/>
      </c>
      <c r="AO154" s="17" t="str">
        <f>IF(NOT(ISBLANK(Audit[[#This Row],[Audit Candidate 11]])), Audit[[#This Row],[Audit Candidate 11]]-Audit[[#This Row],[Candidate 11]], "")</f>
        <v/>
      </c>
      <c r="AP154" s="17" t="str">
        <f>IF(NOT(ISBLANK(Audit[[#This Row],[Audit Candidate 12]])), Audit[[#This Row],[Audit Candidate 12]]-Audit[[#This Row],[Candidate 12]], "")</f>
        <v/>
      </c>
      <c r="AQ154" s="17">
        <f>SUMIF(Audit[[#This Row],[Difference Winner]:[Difference Candidate 12]], "&gt;0")</f>
        <v>0</v>
      </c>
      <c r="AR154" s="17">
        <f>SUM(Audit[[#This Row],[Difference Winner]:[Difference Candidate 12]])</f>
        <v>0</v>
      </c>
      <c r="AS154" s="17">
        <f>IF(Audit[[#This Row],[Times p Drawn - With Replacement]]&gt;0, IF(Audit[[#This Row],[Canceled Differences]]&lt;0, Audit[[#This Row],[Max Differences]]+ABS(Audit[[#This Row],[Canceled Differences]]), Audit[[#This Row],[Max Differences]]), 0)</f>
        <v>0</v>
      </c>
      <c r="AT154" s="17">
        <f>'Sampling Data'!AB154</f>
        <v>1.2052283143778646E-2</v>
      </c>
      <c r="AU154" s="17">
        <f>IF(
      SUM(Audit[[#This Row],[Audit Losing Candidate]:[Audit Candidate 12]])
      &lt;&gt;0,
      (Audit[[#This Row],[Winning Candidate]]-Audit[[#This Row],[Losing Candidate]]-(Audit[[#This Row],[Audit Winning Candidate]]-Audit[[#This Row],[Audit Losing Candidate]]))/(Audit[[#Totals],[Winning Candidate]]-Audit[[#Totals],[Losing Candidate]]),
      0
)</f>
        <v>0</v>
      </c>
      <c r="AV1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4" s="17">
        <f>IF(Audit[[#This Row],[Max Relative Error (ep)]] = 0, 0, Audit[[#This Row],[Max Relative Error (ep)]]/Audit[[#This Row],[Error Bound (up) - Max. possible relative overstatement]])</f>
        <v>0</v>
      </c>
      <c r="BH1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54" s="17">
        <f t="shared" si="3"/>
        <v>1</v>
      </c>
      <c r="BJ154" s="17">
        <f>PRODUCT($BI$5:BI154)</f>
        <v>0.68031947676209759</v>
      </c>
      <c r="BK154" s="19">
        <f>1 - Audit[[#This Row],[K-M P Value]]</f>
        <v>0.31968052323790241</v>
      </c>
      <c r="BL154" s="17" t="str">
        <f>IF(Audit[[#This Row],[K-M P Value]]&gt;1-'General Info'!$B$12,"Continue", "Stop")</f>
        <v>Continue</v>
      </c>
      <c r="BM154" s="22" t="b">
        <f>IF(Audit[[#This Row],[Status - Continue or stop audit]] = "Continue", TRUE, IF(BL153 = "Continue", TRUE, FALSE))</f>
        <v>1</v>
      </c>
      <c r="BN154" s="22"/>
    </row>
    <row r="155" spans="1:66" ht="15" hidden="1" customHeight="1" x14ac:dyDescent="0.35">
      <c r="A155" s="17" t="str">
        <f>'Sampling Data'!AI155</f>
        <v/>
      </c>
      <c r="B155" s="17" t="str">
        <f>'Sampling Data'!A155</f>
        <v>2401 CIN 24-A   (AV)</v>
      </c>
      <c r="C155" s="17">
        <f>'Sampling Data'!B155</f>
        <v>402</v>
      </c>
      <c r="D155" s="17">
        <f>'Sampling Data'!C155</f>
        <v>38</v>
      </c>
      <c r="E155" s="18">
        <f>'Sampling Data'!D155</f>
        <v>0</v>
      </c>
      <c r="F155" s="18">
        <f>'Sampling Data'!E155</f>
        <v>0</v>
      </c>
      <c r="G155" s="18">
        <f>'Sampling Data'!F155</f>
        <v>0</v>
      </c>
      <c r="H155" s="18">
        <f>'Sampling Data'!G155</f>
        <v>0</v>
      </c>
      <c r="I155" s="18">
        <f>'Sampling Data'!H155</f>
        <v>0</v>
      </c>
      <c r="J155" s="18">
        <f>'Sampling Data'!I155</f>
        <v>0</v>
      </c>
      <c r="K155" s="18">
        <f>'Sampling Data'!J155</f>
        <v>0</v>
      </c>
      <c r="L155" s="18">
        <f>'Sampling Data'!K155</f>
        <v>0</v>
      </c>
      <c r="M155" s="18">
        <f>'Sampling Data'!L155</f>
        <v>0</v>
      </c>
      <c r="N155" s="18">
        <f>'Sampling Data'!M155</f>
        <v>0</v>
      </c>
      <c r="O155" s="17">
        <f>'Sampling Data'!N155</f>
        <v>0</v>
      </c>
      <c r="P155" s="17">
        <f>'Sampling Data'!O155</f>
        <v>15</v>
      </c>
      <c r="Q155" s="17">
        <f>'Sampling Data'!P155</f>
        <v>455</v>
      </c>
      <c r="R155" s="17">
        <f>'Sampling Data'!AJ155</f>
        <v>0</v>
      </c>
      <c r="S155" s="111"/>
      <c r="T155" s="111"/>
      <c r="U155" s="112"/>
      <c r="V155" s="112"/>
      <c r="W155" s="111"/>
      <c r="X155" s="111"/>
      <c r="Y155" s="111"/>
      <c r="Z155" s="111"/>
      <c r="AA155" s="14"/>
      <c r="AB155" s="14"/>
      <c r="AC155" s="14"/>
      <c r="AD155" s="14"/>
      <c r="AE155" s="113" t="str">
        <f>IF(NOT(ISBLANK(Audit[[#This Row],[Audit Winning Candidate]])), Audit[[#This Row],[Audit Winning Candidate]]-Audit[[#This Row],[Winning Candidate]], "")</f>
        <v/>
      </c>
      <c r="AF155" s="17" t="str">
        <f>IF(NOT(ISBLANK(Audit[[#This Row],[Audit Losing Candidate]])), Audit[[#This Row],[Audit Losing Candidate]]-Audit[[#This Row],[Losing Candidate]], "")</f>
        <v/>
      </c>
      <c r="AG155" s="17" t="str">
        <f>IF(NOT(ISBLANK(Audit[[#This Row],[Audit Candidate 3]])), Audit[[#This Row],[Audit Candidate 3]]-Audit[[#This Row],[Candidate 3]], "")</f>
        <v/>
      </c>
      <c r="AH155" s="17" t="str">
        <f>IF(NOT(ISBLANK(Audit[[#This Row],[Audit Candidate 4]])),Audit[[#This Row],[Audit Candidate 4]]-Audit[[#This Row],[Candidate 4]], "")</f>
        <v/>
      </c>
      <c r="AI155" s="17" t="str">
        <f>IF(NOT(ISBLANK(Audit[[#This Row],[Audit Candidate 5]])), Audit[[#This Row],[Audit Candidate 5]]-Audit[[#This Row],[Candidate 5]], "")</f>
        <v/>
      </c>
      <c r="AJ155" s="17" t="str">
        <f>IF(NOT(ISBLANK(Audit[[#This Row],[Audit Candidate 6]])), Audit[[#This Row],[Audit Candidate 6]]-Audit[[#This Row],[Candidate 6]], "")</f>
        <v/>
      </c>
      <c r="AK155" s="17" t="str">
        <f>IF(NOT(ISBLANK(Audit[[#This Row],[Audit Candidate 7]])), Audit[[#This Row],[Audit Candidate 7]]-Audit[[#This Row],[Candidate 7]], "")</f>
        <v/>
      </c>
      <c r="AL155" s="17" t="str">
        <f>IF(NOT(ISBLANK(Audit[[#This Row],[Audit Candidate 8]])), Audit[[#This Row],[Audit Candidate 8]]-Audit[[#This Row],[Candidate 8]], "")</f>
        <v/>
      </c>
      <c r="AM155" s="17" t="str">
        <f>IF(NOT(ISBLANK(Audit[[#This Row],[Audit Candidate 9]])), Audit[[#This Row],[Audit Candidate 9]]-Audit[[#This Row],[Candidate 9]], "")</f>
        <v/>
      </c>
      <c r="AN155" s="17" t="str">
        <f>IF(NOT(ISBLANK(Audit[[#This Row],[Audit Candidate 10]])), Audit[[#This Row],[Audit Candidate 10]]-Audit[[#This Row],[Candidate 10]], "")</f>
        <v/>
      </c>
      <c r="AO155" s="17" t="str">
        <f>IF(NOT(ISBLANK(Audit[[#This Row],[Audit Candidate 11]])), Audit[[#This Row],[Audit Candidate 11]]-Audit[[#This Row],[Candidate 11]], "")</f>
        <v/>
      </c>
      <c r="AP155" s="17" t="str">
        <f>IF(NOT(ISBLANK(Audit[[#This Row],[Audit Candidate 12]])), Audit[[#This Row],[Audit Candidate 12]]-Audit[[#This Row],[Candidate 12]], "")</f>
        <v/>
      </c>
      <c r="AQ155" s="17">
        <f>SUMIF(Audit[[#This Row],[Difference Winner]:[Difference Candidate 12]], "&gt;0")</f>
        <v>0</v>
      </c>
      <c r="AR155" s="17">
        <f>SUM(Audit[[#This Row],[Difference Winner]:[Difference Candidate 12]])</f>
        <v>0</v>
      </c>
      <c r="AS155" s="17">
        <f>IF(Audit[[#This Row],[Times p Drawn - With Replacement]]&gt;0, IF(Audit[[#This Row],[Canceled Differences]]&lt;0, Audit[[#This Row],[Max Differences]]+ABS(Audit[[#This Row],[Canceled Differences]]), Audit[[#This Row],[Max Differences]]), 0)</f>
        <v>0</v>
      </c>
      <c r="AT155" s="17">
        <f>'Sampling Data'!AB155</f>
        <v>3.4756408080122217E-2</v>
      </c>
      <c r="AU155" s="17">
        <f>IF(
      SUM(Audit[[#This Row],[Audit Losing Candidate]:[Audit Candidate 12]])
      &lt;&gt;0,
      (Audit[[#This Row],[Winning Candidate]]-Audit[[#This Row],[Losing Candidate]]-(Audit[[#This Row],[Audit Winning Candidate]]-Audit[[#This Row],[Audit Losing Candidate]]))/(Audit[[#Totals],[Winning Candidate]]-Audit[[#Totals],[Losing Candidate]]),
      0
)</f>
        <v>0</v>
      </c>
      <c r="AV1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5" s="17">
        <f>IF(Audit[[#This Row],[Max Relative Error (ep)]] = 0, 0, Audit[[#This Row],[Max Relative Error (ep)]]/Audit[[#This Row],[Error Bound (up) - Max. possible relative overstatement]])</f>
        <v>0</v>
      </c>
      <c r="BH1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55" s="17">
        <f t="shared" si="3"/>
        <v>1</v>
      </c>
      <c r="BJ155" s="17">
        <f>PRODUCT($BI$5:BI155)</f>
        <v>0.68031947676209759</v>
      </c>
      <c r="BK155" s="19">
        <f>1 - Audit[[#This Row],[K-M P Value]]</f>
        <v>0.31968052323790241</v>
      </c>
      <c r="BL155" s="17" t="str">
        <f>IF(Audit[[#This Row],[K-M P Value]]&gt;1-'General Info'!$B$12,"Continue", "Stop")</f>
        <v>Continue</v>
      </c>
      <c r="BM155" s="22" t="b">
        <f>IF(Audit[[#This Row],[Status - Continue or stop audit]] = "Continue", TRUE, IF(BL154 = "Continue", TRUE, FALSE))</f>
        <v>1</v>
      </c>
      <c r="BN155" s="22"/>
    </row>
    <row r="156" spans="1:66" ht="15" hidden="1" customHeight="1" x14ac:dyDescent="0.35">
      <c r="A156" s="17" t="str">
        <f>'Sampling Data'!AI156</f>
        <v/>
      </c>
      <c r="B156" s="17" t="str">
        <f>'Sampling Data'!A156</f>
        <v>2402 CIN 24-B   (AV)</v>
      </c>
      <c r="C156" s="17">
        <f>'Sampling Data'!B156</f>
        <v>257</v>
      </c>
      <c r="D156" s="17">
        <f>'Sampling Data'!C156</f>
        <v>39</v>
      </c>
      <c r="E156" s="18">
        <f>'Sampling Data'!D156</f>
        <v>0</v>
      </c>
      <c r="F156" s="18">
        <f>'Sampling Data'!E156</f>
        <v>0</v>
      </c>
      <c r="G156" s="18">
        <f>'Sampling Data'!F156</f>
        <v>0</v>
      </c>
      <c r="H156" s="18">
        <f>'Sampling Data'!G156</f>
        <v>0</v>
      </c>
      <c r="I156" s="18">
        <f>'Sampling Data'!H156</f>
        <v>0</v>
      </c>
      <c r="J156" s="18">
        <f>'Sampling Data'!I156</f>
        <v>0</v>
      </c>
      <c r="K156" s="18">
        <f>'Sampling Data'!J156</f>
        <v>0</v>
      </c>
      <c r="L156" s="18">
        <f>'Sampling Data'!K156</f>
        <v>0</v>
      </c>
      <c r="M156" s="18">
        <f>'Sampling Data'!L156</f>
        <v>0</v>
      </c>
      <c r="N156" s="18">
        <f>'Sampling Data'!M156</f>
        <v>0</v>
      </c>
      <c r="O156" s="17">
        <f>'Sampling Data'!N156</f>
        <v>1</v>
      </c>
      <c r="P156" s="17">
        <f>'Sampling Data'!O156</f>
        <v>11</v>
      </c>
      <c r="Q156" s="17">
        <f>'Sampling Data'!P156</f>
        <v>308</v>
      </c>
      <c r="R156" s="17">
        <f>'Sampling Data'!AJ156</f>
        <v>0</v>
      </c>
      <c r="S156" s="111"/>
      <c r="T156" s="111"/>
      <c r="U156" s="112"/>
      <c r="V156" s="112"/>
      <c r="W156" s="111"/>
      <c r="X156" s="111"/>
      <c r="Y156" s="111"/>
      <c r="Z156" s="111"/>
      <c r="AA156" s="14"/>
      <c r="AB156" s="14"/>
      <c r="AC156" s="14"/>
      <c r="AD156" s="14"/>
      <c r="AE156" s="113" t="str">
        <f>IF(NOT(ISBLANK(Audit[[#This Row],[Audit Winning Candidate]])), Audit[[#This Row],[Audit Winning Candidate]]-Audit[[#This Row],[Winning Candidate]], "")</f>
        <v/>
      </c>
      <c r="AF156" s="17" t="str">
        <f>IF(NOT(ISBLANK(Audit[[#This Row],[Audit Losing Candidate]])), Audit[[#This Row],[Audit Losing Candidate]]-Audit[[#This Row],[Losing Candidate]], "")</f>
        <v/>
      </c>
      <c r="AG156" s="17" t="str">
        <f>IF(NOT(ISBLANK(Audit[[#This Row],[Audit Candidate 3]])), Audit[[#This Row],[Audit Candidate 3]]-Audit[[#This Row],[Candidate 3]], "")</f>
        <v/>
      </c>
      <c r="AH156" s="17" t="str">
        <f>IF(NOT(ISBLANK(Audit[[#This Row],[Audit Candidate 4]])),Audit[[#This Row],[Audit Candidate 4]]-Audit[[#This Row],[Candidate 4]], "")</f>
        <v/>
      </c>
      <c r="AI156" s="17" t="str">
        <f>IF(NOT(ISBLANK(Audit[[#This Row],[Audit Candidate 5]])), Audit[[#This Row],[Audit Candidate 5]]-Audit[[#This Row],[Candidate 5]], "")</f>
        <v/>
      </c>
      <c r="AJ156" s="17" t="str">
        <f>IF(NOT(ISBLANK(Audit[[#This Row],[Audit Candidate 6]])), Audit[[#This Row],[Audit Candidate 6]]-Audit[[#This Row],[Candidate 6]], "")</f>
        <v/>
      </c>
      <c r="AK156" s="17" t="str">
        <f>IF(NOT(ISBLANK(Audit[[#This Row],[Audit Candidate 7]])), Audit[[#This Row],[Audit Candidate 7]]-Audit[[#This Row],[Candidate 7]], "")</f>
        <v/>
      </c>
      <c r="AL156" s="17" t="str">
        <f>IF(NOT(ISBLANK(Audit[[#This Row],[Audit Candidate 8]])), Audit[[#This Row],[Audit Candidate 8]]-Audit[[#This Row],[Candidate 8]], "")</f>
        <v/>
      </c>
      <c r="AM156" s="17" t="str">
        <f>IF(NOT(ISBLANK(Audit[[#This Row],[Audit Candidate 9]])), Audit[[#This Row],[Audit Candidate 9]]-Audit[[#This Row],[Candidate 9]], "")</f>
        <v/>
      </c>
      <c r="AN156" s="17" t="str">
        <f>IF(NOT(ISBLANK(Audit[[#This Row],[Audit Candidate 10]])), Audit[[#This Row],[Audit Candidate 10]]-Audit[[#This Row],[Candidate 10]], "")</f>
        <v/>
      </c>
      <c r="AO156" s="17" t="str">
        <f>IF(NOT(ISBLANK(Audit[[#This Row],[Audit Candidate 11]])), Audit[[#This Row],[Audit Candidate 11]]-Audit[[#This Row],[Candidate 11]], "")</f>
        <v/>
      </c>
      <c r="AP156" s="17" t="str">
        <f>IF(NOT(ISBLANK(Audit[[#This Row],[Audit Candidate 12]])), Audit[[#This Row],[Audit Candidate 12]]-Audit[[#This Row],[Candidate 12]], "")</f>
        <v/>
      </c>
      <c r="AQ156" s="17">
        <f>SUMIF(Audit[[#This Row],[Difference Winner]:[Difference Candidate 12]], "&gt;0")</f>
        <v>0</v>
      </c>
      <c r="AR156" s="17">
        <f>SUM(Audit[[#This Row],[Difference Winner]:[Difference Candidate 12]])</f>
        <v>0</v>
      </c>
      <c r="AS156" s="17">
        <f>IF(Audit[[#This Row],[Times p Drawn - With Replacement]]&gt;0, IF(Audit[[#This Row],[Canceled Differences]]&lt;0, Audit[[#This Row],[Max Differences]]+ABS(Audit[[#This Row],[Canceled Differences]]), Audit[[#This Row],[Max Differences]]), 0)</f>
        <v>0</v>
      </c>
      <c r="AT156" s="17">
        <f>'Sampling Data'!AB156</f>
        <v>2.2322186386012563E-2</v>
      </c>
      <c r="AU156" s="17">
        <f>IF(
      SUM(Audit[[#This Row],[Audit Losing Candidate]:[Audit Candidate 12]])
      &lt;&gt;0,
      (Audit[[#This Row],[Winning Candidate]]-Audit[[#This Row],[Losing Candidate]]-(Audit[[#This Row],[Audit Winning Candidate]]-Audit[[#This Row],[Audit Losing Candidate]]))/(Audit[[#Totals],[Winning Candidate]]-Audit[[#Totals],[Losing Candidate]]),
      0
)</f>
        <v>0</v>
      </c>
      <c r="AV1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6" s="17">
        <f>IF(Audit[[#This Row],[Max Relative Error (ep)]] = 0, 0, Audit[[#This Row],[Max Relative Error (ep)]]/Audit[[#This Row],[Error Bound (up) - Max. possible relative overstatement]])</f>
        <v>0</v>
      </c>
      <c r="BH1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56" s="17">
        <f t="shared" si="3"/>
        <v>1</v>
      </c>
      <c r="BJ156" s="17">
        <f>PRODUCT($BI$5:BI156)</f>
        <v>0.68031947676209759</v>
      </c>
      <c r="BK156" s="19">
        <f>1 - Audit[[#This Row],[K-M P Value]]</f>
        <v>0.31968052323790241</v>
      </c>
      <c r="BL156" s="17" t="str">
        <f>IF(Audit[[#This Row],[K-M P Value]]&gt;1-'General Info'!$B$12,"Continue", "Stop")</f>
        <v>Continue</v>
      </c>
      <c r="BM156" s="22" t="b">
        <f>IF(Audit[[#This Row],[Status - Continue or stop audit]] = "Continue", TRUE, IF(BL155 = "Continue", TRUE, FALSE))</f>
        <v>1</v>
      </c>
      <c r="BN156" s="22"/>
    </row>
    <row r="157" spans="1:66" ht="15" hidden="1" customHeight="1" x14ac:dyDescent="0.35">
      <c r="A157" s="17" t="str">
        <f>'Sampling Data'!AI157</f>
        <v/>
      </c>
      <c r="B157" s="17" t="str">
        <f>'Sampling Data'!A157</f>
        <v>2403 CIN 24-C   (AV)</v>
      </c>
      <c r="C157" s="17">
        <f>'Sampling Data'!B157</f>
        <v>194</v>
      </c>
      <c r="D157" s="17">
        <f>'Sampling Data'!C157</f>
        <v>88</v>
      </c>
      <c r="E157" s="18">
        <f>'Sampling Data'!D157</f>
        <v>0</v>
      </c>
      <c r="F157" s="18">
        <f>'Sampling Data'!E157</f>
        <v>0</v>
      </c>
      <c r="G157" s="18">
        <f>'Sampling Data'!F157</f>
        <v>0</v>
      </c>
      <c r="H157" s="18">
        <f>'Sampling Data'!G157</f>
        <v>0</v>
      </c>
      <c r="I157" s="18">
        <f>'Sampling Data'!H157</f>
        <v>0</v>
      </c>
      <c r="J157" s="18">
        <f>'Sampling Data'!I157</f>
        <v>0</v>
      </c>
      <c r="K157" s="18">
        <f>'Sampling Data'!J157</f>
        <v>0</v>
      </c>
      <c r="L157" s="18">
        <f>'Sampling Data'!K157</f>
        <v>0</v>
      </c>
      <c r="M157" s="18">
        <f>'Sampling Data'!L157</f>
        <v>0</v>
      </c>
      <c r="N157" s="18">
        <f>'Sampling Data'!M157</f>
        <v>0</v>
      </c>
      <c r="O157" s="17">
        <f>'Sampling Data'!N157</f>
        <v>0</v>
      </c>
      <c r="P157" s="17">
        <f>'Sampling Data'!O157</f>
        <v>16</v>
      </c>
      <c r="Q157" s="17">
        <f>'Sampling Data'!P157</f>
        <v>298</v>
      </c>
      <c r="R157" s="17">
        <f>'Sampling Data'!AJ157</f>
        <v>0</v>
      </c>
      <c r="S157" s="111"/>
      <c r="T157" s="111"/>
      <c r="U157" s="112"/>
      <c r="V157" s="112"/>
      <c r="W157" s="111"/>
      <c r="X157" s="111"/>
      <c r="Y157" s="111"/>
      <c r="Z157" s="111"/>
      <c r="AA157" s="14"/>
      <c r="AB157" s="14"/>
      <c r="AC157" s="14"/>
      <c r="AD157" s="14"/>
      <c r="AE157" s="113" t="str">
        <f>IF(NOT(ISBLANK(Audit[[#This Row],[Audit Winning Candidate]])), Audit[[#This Row],[Audit Winning Candidate]]-Audit[[#This Row],[Winning Candidate]], "")</f>
        <v/>
      </c>
      <c r="AF157" s="17" t="str">
        <f>IF(NOT(ISBLANK(Audit[[#This Row],[Audit Losing Candidate]])), Audit[[#This Row],[Audit Losing Candidate]]-Audit[[#This Row],[Losing Candidate]], "")</f>
        <v/>
      </c>
      <c r="AG157" s="17" t="str">
        <f>IF(NOT(ISBLANK(Audit[[#This Row],[Audit Candidate 3]])), Audit[[#This Row],[Audit Candidate 3]]-Audit[[#This Row],[Candidate 3]], "")</f>
        <v/>
      </c>
      <c r="AH157" s="17" t="str">
        <f>IF(NOT(ISBLANK(Audit[[#This Row],[Audit Candidate 4]])),Audit[[#This Row],[Audit Candidate 4]]-Audit[[#This Row],[Candidate 4]], "")</f>
        <v/>
      </c>
      <c r="AI157" s="17" t="str">
        <f>IF(NOT(ISBLANK(Audit[[#This Row],[Audit Candidate 5]])), Audit[[#This Row],[Audit Candidate 5]]-Audit[[#This Row],[Candidate 5]], "")</f>
        <v/>
      </c>
      <c r="AJ157" s="17" t="str">
        <f>IF(NOT(ISBLANK(Audit[[#This Row],[Audit Candidate 6]])), Audit[[#This Row],[Audit Candidate 6]]-Audit[[#This Row],[Candidate 6]], "")</f>
        <v/>
      </c>
      <c r="AK157" s="17" t="str">
        <f>IF(NOT(ISBLANK(Audit[[#This Row],[Audit Candidate 7]])), Audit[[#This Row],[Audit Candidate 7]]-Audit[[#This Row],[Candidate 7]], "")</f>
        <v/>
      </c>
      <c r="AL157" s="17" t="str">
        <f>IF(NOT(ISBLANK(Audit[[#This Row],[Audit Candidate 8]])), Audit[[#This Row],[Audit Candidate 8]]-Audit[[#This Row],[Candidate 8]], "")</f>
        <v/>
      </c>
      <c r="AM157" s="17" t="str">
        <f>IF(NOT(ISBLANK(Audit[[#This Row],[Audit Candidate 9]])), Audit[[#This Row],[Audit Candidate 9]]-Audit[[#This Row],[Candidate 9]], "")</f>
        <v/>
      </c>
      <c r="AN157" s="17" t="str">
        <f>IF(NOT(ISBLANK(Audit[[#This Row],[Audit Candidate 10]])), Audit[[#This Row],[Audit Candidate 10]]-Audit[[#This Row],[Candidate 10]], "")</f>
        <v/>
      </c>
      <c r="AO157" s="17" t="str">
        <f>IF(NOT(ISBLANK(Audit[[#This Row],[Audit Candidate 11]])), Audit[[#This Row],[Audit Candidate 11]]-Audit[[#This Row],[Candidate 11]], "")</f>
        <v/>
      </c>
      <c r="AP157" s="17" t="str">
        <f>IF(NOT(ISBLANK(Audit[[#This Row],[Audit Candidate 12]])), Audit[[#This Row],[Audit Candidate 12]]-Audit[[#This Row],[Candidate 12]], "")</f>
        <v/>
      </c>
      <c r="AQ157" s="17">
        <f>SUMIF(Audit[[#This Row],[Difference Winner]:[Difference Candidate 12]], "&gt;0")</f>
        <v>0</v>
      </c>
      <c r="AR157" s="17">
        <f>SUM(Audit[[#This Row],[Difference Winner]:[Difference Candidate 12]])</f>
        <v>0</v>
      </c>
      <c r="AS157" s="17">
        <f>IF(Audit[[#This Row],[Times p Drawn - With Replacement]]&gt;0, IF(Audit[[#This Row],[Canceled Differences]]&lt;0, Audit[[#This Row],[Max Differences]]+ABS(Audit[[#This Row],[Canceled Differences]]), Audit[[#This Row],[Max Differences]]), 0)</f>
        <v>0</v>
      </c>
      <c r="AT157" s="17">
        <f>'Sampling Data'!AB157</f>
        <v>1.7144797148192156E-2</v>
      </c>
      <c r="AU157" s="17">
        <f>IF(
      SUM(Audit[[#This Row],[Audit Losing Candidate]:[Audit Candidate 12]])
      &lt;&gt;0,
      (Audit[[#This Row],[Winning Candidate]]-Audit[[#This Row],[Losing Candidate]]-(Audit[[#This Row],[Audit Winning Candidate]]-Audit[[#This Row],[Audit Losing Candidate]]))/(Audit[[#Totals],[Winning Candidate]]-Audit[[#Totals],[Losing Candidate]]),
      0
)</f>
        <v>0</v>
      </c>
      <c r="AV1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7" s="17">
        <f>IF(Audit[[#This Row],[Max Relative Error (ep)]] = 0, 0, Audit[[#This Row],[Max Relative Error (ep)]]/Audit[[#This Row],[Error Bound (up) - Max. possible relative overstatement]])</f>
        <v>0</v>
      </c>
      <c r="BH1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57" s="17">
        <f t="shared" si="3"/>
        <v>1</v>
      </c>
      <c r="BJ157" s="17">
        <f>PRODUCT($BI$5:BI157)</f>
        <v>0.68031947676209759</v>
      </c>
      <c r="BK157" s="19">
        <f>1 - Audit[[#This Row],[K-M P Value]]</f>
        <v>0.31968052323790241</v>
      </c>
      <c r="BL157" s="17" t="str">
        <f>IF(Audit[[#This Row],[K-M P Value]]&gt;1-'General Info'!$B$12,"Continue", "Stop")</f>
        <v>Continue</v>
      </c>
      <c r="BM157" s="22" t="b">
        <f>IF(Audit[[#This Row],[Status - Continue or stop audit]] = "Continue", TRUE, IF(BL156 = "Continue", TRUE, FALSE))</f>
        <v>1</v>
      </c>
      <c r="BN157" s="22"/>
    </row>
    <row r="158" spans="1:66" ht="15" hidden="1" customHeight="1" x14ac:dyDescent="0.35">
      <c r="A158" s="17" t="str">
        <f>'Sampling Data'!AI158</f>
        <v/>
      </c>
      <c r="B158" s="17" t="str">
        <f>'Sampling Data'!A158</f>
        <v>2404 CIN 24-D   (AV)</v>
      </c>
      <c r="C158" s="17">
        <f>'Sampling Data'!B158</f>
        <v>205</v>
      </c>
      <c r="D158" s="17">
        <f>'Sampling Data'!C158</f>
        <v>96</v>
      </c>
      <c r="E158" s="18">
        <f>'Sampling Data'!D158</f>
        <v>0</v>
      </c>
      <c r="F158" s="18">
        <f>'Sampling Data'!E158</f>
        <v>0</v>
      </c>
      <c r="G158" s="18">
        <f>'Sampling Data'!F158</f>
        <v>0</v>
      </c>
      <c r="H158" s="18">
        <f>'Sampling Data'!G158</f>
        <v>0</v>
      </c>
      <c r="I158" s="18">
        <f>'Sampling Data'!H158</f>
        <v>0</v>
      </c>
      <c r="J158" s="18">
        <f>'Sampling Data'!I158</f>
        <v>0</v>
      </c>
      <c r="K158" s="18">
        <f>'Sampling Data'!J158</f>
        <v>0</v>
      </c>
      <c r="L158" s="18">
        <f>'Sampling Data'!K158</f>
        <v>0</v>
      </c>
      <c r="M158" s="18">
        <f>'Sampling Data'!L158</f>
        <v>0</v>
      </c>
      <c r="N158" s="18">
        <f>'Sampling Data'!M158</f>
        <v>0</v>
      </c>
      <c r="O158" s="17">
        <f>'Sampling Data'!N158</f>
        <v>0</v>
      </c>
      <c r="P158" s="17">
        <f>'Sampling Data'!O158</f>
        <v>8</v>
      </c>
      <c r="Q158" s="17">
        <f>'Sampling Data'!P158</f>
        <v>309</v>
      </c>
      <c r="R158" s="17">
        <f>'Sampling Data'!AJ158</f>
        <v>0</v>
      </c>
      <c r="S158" s="111"/>
      <c r="T158" s="111"/>
      <c r="U158" s="112"/>
      <c r="V158" s="112"/>
      <c r="W158" s="111"/>
      <c r="X158" s="111"/>
      <c r="Y158" s="111"/>
      <c r="Z158" s="111"/>
      <c r="AA158" s="14"/>
      <c r="AB158" s="14"/>
      <c r="AC158" s="14"/>
      <c r="AD158" s="14"/>
      <c r="AE158" s="113" t="str">
        <f>IF(NOT(ISBLANK(Audit[[#This Row],[Audit Winning Candidate]])), Audit[[#This Row],[Audit Winning Candidate]]-Audit[[#This Row],[Winning Candidate]], "")</f>
        <v/>
      </c>
      <c r="AF158" s="17" t="str">
        <f>IF(NOT(ISBLANK(Audit[[#This Row],[Audit Losing Candidate]])), Audit[[#This Row],[Audit Losing Candidate]]-Audit[[#This Row],[Losing Candidate]], "")</f>
        <v/>
      </c>
      <c r="AG158" s="17" t="str">
        <f>IF(NOT(ISBLANK(Audit[[#This Row],[Audit Candidate 3]])), Audit[[#This Row],[Audit Candidate 3]]-Audit[[#This Row],[Candidate 3]], "")</f>
        <v/>
      </c>
      <c r="AH158" s="17" t="str">
        <f>IF(NOT(ISBLANK(Audit[[#This Row],[Audit Candidate 4]])),Audit[[#This Row],[Audit Candidate 4]]-Audit[[#This Row],[Candidate 4]], "")</f>
        <v/>
      </c>
      <c r="AI158" s="17" t="str">
        <f>IF(NOT(ISBLANK(Audit[[#This Row],[Audit Candidate 5]])), Audit[[#This Row],[Audit Candidate 5]]-Audit[[#This Row],[Candidate 5]], "")</f>
        <v/>
      </c>
      <c r="AJ158" s="17" t="str">
        <f>IF(NOT(ISBLANK(Audit[[#This Row],[Audit Candidate 6]])), Audit[[#This Row],[Audit Candidate 6]]-Audit[[#This Row],[Candidate 6]], "")</f>
        <v/>
      </c>
      <c r="AK158" s="17" t="str">
        <f>IF(NOT(ISBLANK(Audit[[#This Row],[Audit Candidate 7]])), Audit[[#This Row],[Audit Candidate 7]]-Audit[[#This Row],[Candidate 7]], "")</f>
        <v/>
      </c>
      <c r="AL158" s="17" t="str">
        <f>IF(NOT(ISBLANK(Audit[[#This Row],[Audit Candidate 8]])), Audit[[#This Row],[Audit Candidate 8]]-Audit[[#This Row],[Candidate 8]], "")</f>
        <v/>
      </c>
      <c r="AM158" s="17" t="str">
        <f>IF(NOT(ISBLANK(Audit[[#This Row],[Audit Candidate 9]])), Audit[[#This Row],[Audit Candidate 9]]-Audit[[#This Row],[Candidate 9]], "")</f>
        <v/>
      </c>
      <c r="AN158" s="17" t="str">
        <f>IF(NOT(ISBLANK(Audit[[#This Row],[Audit Candidate 10]])), Audit[[#This Row],[Audit Candidate 10]]-Audit[[#This Row],[Candidate 10]], "")</f>
        <v/>
      </c>
      <c r="AO158" s="17" t="str">
        <f>IF(NOT(ISBLANK(Audit[[#This Row],[Audit Candidate 11]])), Audit[[#This Row],[Audit Candidate 11]]-Audit[[#This Row],[Candidate 11]], "")</f>
        <v/>
      </c>
      <c r="AP158" s="17" t="str">
        <f>IF(NOT(ISBLANK(Audit[[#This Row],[Audit Candidate 12]])), Audit[[#This Row],[Audit Candidate 12]]-Audit[[#This Row],[Candidate 12]], "")</f>
        <v/>
      </c>
      <c r="AQ158" s="17">
        <f>SUMIF(Audit[[#This Row],[Difference Winner]:[Difference Candidate 12]], "&gt;0")</f>
        <v>0</v>
      </c>
      <c r="AR158" s="17">
        <f>SUM(Audit[[#This Row],[Difference Winner]:[Difference Candidate 12]])</f>
        <v>0</v>
      </c>
      <c r="AS158" s="17">
        <f>IF(Audit[[#This Row],[Times p Drawn - With Replacement]]&gt;0, IF(Audit[[#This Row],[Canceled Differences]]&lt;0, Audit[[#This Row],[Max Differences]]+ABS(Audit[[#This Row],[Canceled Differences]]), Audit[[#This Row],[Max Differences]]), 0)</f>
        <v>0</v>
      </c>
      <c r="AT158" s="17">
        <f>'Sampling Data'!AB158</f>
        <v>1.7738923782040401E-2</v>
      </c>
      <c r="AU158" s="17">
        <f>IF(
      SUM(Audit[[#This Row],[Audit Losing Candidate]:[Audit Candidate 12]])
      &lt;&gt;0,
      (Audit[[#This Row],[Winning Candidate]]-Audit[[#This Row],[Losing Candidate]]-(Audit[[#This Row],[Audit Winning Candidate]]-Audit[[#This Row],[Audit Losing Candidate]]))/(Audit[[#Totals],[Winning Candidate]]-Audit[[#Totals],[Losing Candidate]]),
      0
)</f>
        <v>0</v>
      </c>
      <c r="AV1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8" s="17">
        <f>IF(Audit[[#This Row],[Max Relative Error (ep)]] = 0, 0, Audit[[#This Row],[Max Relative Error (ep)]]/Audit[[#This Row],[Error Bound (up) - Max. possible relative overstatement]])</f>
        <v>0</v>
      </c>
      <c r="BH1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58" s="17">
        <f t="shared" si="3"/>
        <v>1</v>
      </c>
      <c r="BJ158" s="17">
        <f>PRODUCT($BI$5:BI158)</f>
        <v>0.68031947676209759</v>
      </c>
      <c r="BK158" s="19">
        <f>1 - Audit[[#This Row],[K-M P Value]]</f>
        <v>0.31968052323790241</v>
      </c>
      <c r="BL158" s="17" t="str">
        <f>IF(Audit[[#This Row],[K-M P Value]]&gt;1-'General Info'!$B$12,"Continue", "Stop")</f>
        <v>Continue</v>
      </c>
      <c r="BM158" s="22" t="b">
        <f>IF(Audit[[#This Row],[Status - Continue or stop audit]] = "Continue", TRUE, IF(BL157 = "Continue", TRUE, FALSE))</f>
        <v>1</v>
      </c>
      <c r="BN158" s="22"/>
    </row>
    <row r="159" spans="1:66" ht="15" hidden="1" customHeight="1" x14ac:dyDescent="0.35">
      <c r="A159" s="17" t="str">
        <f>'Sampling Data'!AI159</f>
        <v/>
      </c>
      <c r="B159" s="17" t="str">
        <f>'Sampling Data'!A159</f>
        <v>2405 CIN 24-E   (AV)</v>
      </c>
      <c r="C159" s="17">
        <f>'Sampling Data'!B159</f>
        <v>37</v>
      </c>
      <c r="D159" s="17">
        <f>'Sampling Data'!C159</f>
        <v>7</v>
      </c>
      <c r="E159" s="18">
        <f>'Sampling Data'!D159</f>
        <v>0</v>
      </c>
      <c r="F159" s="18">
        <f>'Sampling Data'!E159</f>
        <v>0</v>
      </c>
      <c r="G159" s="18">
        <f>'Sampling Data'!F159</f>
        <v>0</v>
      </c>
      <c r="H159" s="18">
        <f>'Sampling Data'!G159</f>
        <v>0</v>
      </c>
      <c r="I159" s="18">
        <f>'Sampling Data'!H159</f>
        <v>0</v>
      </c>
      <c r="J159" s="18">
        <f>'Sampling Data'!I159</f>
        <v>0</v>
      </c>
      <c r="K159" s="18">
        <f>'Sampling Data'!J159</f>
        <v>0</v>
      </c>
      <c r="L159" s="18">
        <f>'Sampling Data'!K159</f>
        <v>0</v>
      </c>
      <c r="M159" s="18">
        <f>'Sampling Data'!L159</f>
        <v>0</v>
      </c>
      <c r="N159" s="18">
        <f>'Sampling Data'!M159</f>
        <v>0</v>
      </c>
      <c r="O159" s="17">
        <f>'Sampling Data'!N159</f>
        <v>1</v>
      </c>
      <c r="P159" s="17">
        <f>'Sampling Data'!O159</f>
        <v>3</v>
      </c>
      <c r="Q159" s="17">
        <f>'Sampling Data'!P159</f>
        <v>48</v>
      </c>
      <c r="R159" s="17">
        <f>'Sampling Data'!AJ159</f>
        <v>0</v>
      </c>
      <c r="S159" s="111"/>
      <c r="T159" s="111"/>
      <c r="U159" s="112"/>
      <c r="V159" s="112"/>
      <c r="W159" s="111"/>
      <c r="X159" s="111"/>
      <c r="Y159" s="111"/>
      <c r="Z159" s="111"/>
      <c r="AA159" s="14"/>
      <c r="AB159" s="14"/>
      <c r="AC159" s="14"/>
      <c r="AD159" s="14"/>
      <c r="AE159" s="113" t="str">
        <f>IF(NOT(ISBLANK(Audit[[#This Row],[Audit Winning Candidate]])), Audit[[#This Row],[Audit Winning Candidate]]-Audit[[#This Row],[Winning Candidate]], "")</f>
        <v/>
      </c>
      <c r="AF159" s="17" t="str">
        <f>IF(NOT(ISBLANK(Audit[[#This Row],[Audit Losing Candidate]])), Audit[[#This Row],[Audit Losing Candidate]]-Audit[[#This Row],[Losing Candidate]], "")</f>
        <v/>
      </c>
      <c r="AG159" s="17" t="str">
        <f>IF(NOT(ISBLANK(Audit[[#This Row],[Audit Candidate 3]])), Audit[[#This Row],[Audit Candidate 3]]-Audit[[#This Row],[Candidate 3]], "")</f>
        <v/>
      </c>
      <c r="AH159" s="17" t="str">
        <f>IF(NOT(ISBLANK(Audit[[#This Row],[Audit Candidate 4]])),Audit[[#This Row],[Audit Candidate 4]]-Audit[[#This Row],[Candidate 4]], "")</f>
        <v/>
      </c>
      <c r="AI159" s="17" t="str">
        <f>IF(NOT(ISBLANK(Audit[[#This Row],[Audit Candidate 5]])), Audit[[#This Row],[Audit Candidate 5]]-Audit[[#This Row],[Candidate 5]], "")</f>
        <v/>
      </c>
      <c r="AJ159" s="17" t="str">
        <f>IF(NOT(ISBLANK(Audit[[#This Row],[Audit Candidate 6]])), Audit[[#This Row],[Audit Candidate 6]]-Audit[[#This Row],[Candidate 6]], "")</f>
        <v/>
      </c>
      <c r="AK159" s="17" t="str">
        <f>IF(NOT(ISBLANK(Audit[[#This Row],[Audit Candidate 7]])), Audit[[#This Row],[Audit Candidate 7]]-Audit[[#This Row],[Candidate 7]], "")</f>
        <v/>
      </c>
      <c r="AL159" s="17" t="str">
        <f>IF(NOT(ISBLANK(Audit[[#This Row],[Audit Candidate 8]])), Audit[[#This Row],[Audit Candidate 8]]-Audit[[#This Row],[Candidate 8]], "")</f>
        <v/>
      </c>
      <c r="AM159" s="17" t="str">
        <f>IF(NOT(ISBLANK(Audit[[#This Row],[Audit Candidate 9]])), Audit[[#This Row],[Audit Candidate 9]]-Audit[[#This Row],[Candidate 9]], "")</f>
        <v/>
      </c>
      <c r="AN159" s="17" t="str">
        <f>IF(NOT(ISBLANK(Audit[[#This Row],[Audit Candidate 10]])), Audit[[#This Row],[Audit Candidate 10]]-Audit[[#This Row],[Candidate 10]], "")</f>
        <v/>
      </c>
      <c r="AO159" s="17" t="str">
        <f>IF(NOT(ISBLANK(Audit[[#This Row],[Audit Candidate 11]])), Audit[[#This Row],[Audit Candidate 11]]-Audit[[#This Row],[Candidate 11]], "")</f>
        <v/>
      </c>
      <c r="AP159" s="17" t="str">
        <f>IF(NOT(ISBLANK(Audit[[#This Row],[Audit Candidate 12]])), Audit[[#This Row],[Audit Candidate 12]]-Audit[[#This Row],[Candidate 12]], "")</f>
        <v/>
      </c>
      <c r="AQ159" s="17">
        <f>SUMIF(Audit[[#This Row],[Difference Winner]:[Difference Candidate 12]], "&gt;0")</f>
        <v>0</v>
      </c>
      <c r="AR159" s="17">
        <f>SUM(Audit[[#This Row],[Difference Winner]:[Difference Candidate 12]])</f>
        <v>0</v>
      </c>
      <c r="AS159" s="17">
        <f>IF(Audit[[#This Row],[Times p Drawn - With Replacement]]&gt;0, IF(Audit[[#This Row],[Canceled Differences]]&lt;0, Audit[[#This Row],[Max Differences]]+ABS(Audit[[#This Row],[Canceled Differences]]), Audit[[#This Row],[Max Differences]]), 0)</f>
        <v>0</v>
      </c>
      <c r="AT159" s="17">
        <f>'Sampling Data'!AB159</f>
        <v>3.3101341028687831E-3</v>
      </c>
      <c r="AU159" s="17">
        <f>IF(
      SUM(Audit[[#This Row],[Audit Losing Candidate]:[Audit Candidate 12]])
      &lt;&gt;0,
      (Audit[[#This Row],[Winning Candidate]]-Audit[[#This Row],[Losing Candidate]]-(Audit[[#This Row],[Audit Winning Candidate]]-Audit[[#This Row],[Audit Losing Candidate]]))/(Audit[[#Totals],[Winning Candidate]]-Audit[[#Totals],[Losing Candidate]]),
      0
)</f>
        <v>0</v>
      </c>
      <c r="AV1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9" s="17">
        <f>IF(Audit[[#This Row],[Max Relative Error (ep)]] = 0, 0, Audit[[#This Row],[Max Relative Error (ep)]]/Audit[[#This Row],[Error Bound (up) - Max. possible relative overstatement]])</f>
        <v>0</v>
      </c>
      <c r="BH1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59" s="17">
        <f t="shared" si="3"/>
        <v>1</v>
      </c>
      <c r="BJ159" s="17">
        <f>PRODUCT($BI$5:BI159)</f>
        <v>0.68031947676209759</v>
      </c>
      <c r="BK159" s="19">
        <f>1 - Audit[[#This Row],[K-M P Value]]</f>
        <v>0.31968052323790241</v>
      </c>
      <c r="BL159" s="17" t="str">
        <f>IF(Audit[[#This Row],[K-M P Value]]&gt;1-'General Info'!$B$12,"Continue", "Stop")</f>
        <v>Continue</v>
      </c>
      <c r="BM159" s="22" t="b">
        <f>IF(Audit[[#This Row],[Status - Continue or stop audit]] = "Continue", TRUE, IF(BL158 = "Continue", TRUE, FALSE))</f>
        <v>1</v>
      </c>
      <c r="BN159" s="22"/>
    </row>
    <row r="160" spans="1:66" ht="15" hidden="1" customHeight="1" x14ac:dyDescent="0.35">
      <c r="A160" s="17" t="str">
        <f>'Sampling Data'!AI160</f>
        <v/>
      </c>
      <c r="B160" s="17" t="str">
        <f>'Sampling Data'!A160</f>
        <v>2406 CIN 24-F   (AV)</v>
      </c>
      <c r="C160" s="17">
        <f>'Sampling Data'!B160</f>
        <v>236</v>
      </c>
      <c r="D160" s="17">
        <f>'Sampling Data'!C160</f>
        <v>35</v>
      </c>
      <c r="E160" s="18">
        <f>'Sampling Data'!D160</f>
        <v>0</v>
      </c>
      <c r="F160" s="18">
        <f>'Sampling Data'!E160</f>
        <v>0</v>
      </c>
      <c r="G160" s="18">
        <f>'Sampling Data'!F160</f>
        <v>0</v>
      </c>
      <c r="H160" s="18">
        <f>'Sampling Data'!G160</f>
        <v>0</v>
      </c>
      <c r="I160" s="18">
        <f>'Sampling Data'!H160</f>
        <v>0</v>
      </c>
      <c r="J160" s="18">
        <f>'Sampling Data'!I160</f>
        <v>0</v>
      </c>
      <c r="K160" s="18">
        <f>'Sampling Data'!J160</f>
        <v>0</v>
      </c>
      <c r="L160" s="18">
        <f>'Sampling Data'!K160</f>
        <v>0</v>
      </c>
      <c r="M160" s="18">
        <f>'Sampling Data'!L160</f>
        <v>0</v>
      </c>
      <c r="N160" s="18">
        <f>'Sampling Data'!M160</f>
        <v>0</v>
      </c>
      <c r="O160" s="17">
        <f>'Sampling Data'!N160</f>
        <v>1</v>
      </c>
      <c r="P160" s="17">
        <f>'Sampling Data'!O160</f>
        <v>19</v>
      </c>
      <c r="Q160" s="17">
        <f>'Sampling Data'!P160</f>
        <v>291</v>
      </c>
      <c r="R160" s="17">
        <f>'Sampling Data'!AJ160</f>
        <v>0</v>
      </c>
      <c r="S160" s="111"/>
      <c r="T160" s="111"/>
      <c r="U160" s="112"/>
      <c r="V160" s="112"/>
      <c r="W160" s="111"/>
      <c r="X160" s="111"/>
      <c r="Y160" s="111"/>
      <c r="Z160" s="111"/>
      <c r="AA160" s="14"/>
      <c r="AB160" s="14"/>
      <c r="AC160" s="14"/>
      <c r="AD160" s="14"/>
      <c r="AE160" s="113" t="str">
        <f>IF(NOT(ISBLANK(Audit[[#This Row],[Audit Winning Candidate]])), Audit[[#This Row],[Audit Winning Candidate]]-Audit[[#This Row],[Winning Candidate]], "")</f>
        <v/>
      </c>
      <c r="AF160" s="17" t="str">
        <f>IF(NOT(ISBLANK(Audit[[#This Row],[Audit Losing Candidate]])), Audit[[#This Row],[Audit Losing Candidate]]-Audit[[#This Row],[Losing Candidate]], "")</f>
        <v/>
      </c>
      <c r="AG160" s="17" t="str">
        <f>IF(NOT(ISBLANK(Audit[[#This Row],[Audit Candidate 3]])), Audit[[#This Row],[Audit Candidate 3]]-Audit[[#This Row],[Candidate 3]], "")</f>
        <v/>
      </c>
      <c r="AH160" s="17" t="str">
        <f>IF(NOT(ISBLANK(Audit[[#This Row],[Audit Candidate 4]])),Audit[[#This Row],[Audit Candidate 4]]-Audit[[#This Row],[Candidate 4]], "")</f>
        <v/>
      </c>
      <c r="AI160" s="17" t="str">
        <f>IF(NOT(ISBLANK(Audit[[#This Row],[Audit Candidate 5]])), Audit[[#This Row],[Audit Candidate 5]]-Audit[[#This Row],[Candidate 5]], "")</f>
        <v/>
      </c>
      <c r="AJ160" s="17" t="str">
        <f>IF(NOT(ISBLANK(Audit[[#This Row],[Audit Candidate 6]])), Audit[[#This Row],[Audit Candidate 6]]-Audit[[#This Row],[Candidate 6]], "")</f>
        <v/>
      </c>
      <c r="AK160" s="17" t="str">
        <f>IF(NOT(ISBLANK(Audit[[#This Row],[Audit Candidate 7]])), Audit[[#This Row],[Audit Candidate 7]]-Audit[[#This Row],[Candidate 7]], "")</f>
        <v/>
      </c>
      <c r="AL160" s="17" t="str">
        <f>IF(NOT(ISBLANK(Audit[[#This Row],[Audit Candidate 8]])), Audit[[#This Row],[Audit Candidate 8]]-Audit[[#This Row],[Candidate 8]], "")</f>
        <v/>
      </c>
      <c r="AM160" s="17" t="str">
        <f>IF(NOT(ISBLANK(Audit[[#This Row],[Audit Candidate 9]])), Audit[[#This Row],[Audit Candidate 9]]-Audit[[#This Row],[Candidate 9]], "")</f>
        <v/>
      </c>
      <c r="AN160" s="17" t="str">
        <f>IF(NOT(ISBLANK(Audit[[#This Row],[Audit Candidate 10]])), Audit[[#This Row],[Audit Candidate 10]]-Audit[[#This Row],[Candidate 10]], "")</f>
        <v/>
      </c>
      <c r="AO160" s="17" t="str">
        <f>IF(NOT(ISBLANK(Audit[[#This Row],[Audit Candidate 11]])), Audit[[#This Row],[Audit Candidate 11]]-Audit[[#This Row],[Candidate 11]], "")</f>
        <v/>
      </c>
      <c r="AP160" s="17" t="str">
        <f>IF(NOT(ISBLANK(Audit[[#This Row],[Audit Candidate 12]])), Audit[[#This Row],[Audit Candidate 12]]-Audit[[#This Row],[Candidate 12]], "")</f>
        <v/>
      </c>
      <c r="AQ160" s="17">
        <f>SUMIF(Audit[[#This Row],[Difference Winner]:[Difference Candidate 12]], "&gt;0")</f>
        <v>0</v>
      </c>
      <c r="AR160" s="17">
        <f>SUM(Audit[[#This Row],[Difference Winner]:[Difference Candidate 12]])</f>
        <v>0</v>
      </c>
      <c r="AS160" s="17">
        <f>IF(Audit[[#This Row],[Times p Drawn - With Replacement]]&gt;0, IF(Audit[[#This Row],[Canceled Differences]]&lt;0, Audit[[#This Row],[Max Differences]]+ABS(Audit[[#This Row],[Canceled Differences]]), Audit[[#This Row],[Max Differences]]), 0)</f>
        <v>0</v>
      </c>
      <c r="AT160" s="17">
        <f>'Sampling Data'!AB160</f>
        <v>2.0879307418095398E-2</v>
      </c>
      <c r="AU160" s="17">
        <f>IF(
      SUM(Audit[[#This Row],[Audit Losing Candidate]:[Audit Candidate 12]])
      &lt;&gt;0,
      (Audit[[#This Row],[Winning Candidate]]-Audit[[#This Row],[Losing Candidate]]-(Audit[[#This Row],[Audit Winning Candidate]]-Audit[[#This Row],[Audit Losing Candidate]]))/(Audit[[#Totals],[Winning Candidate]]-Audit[[#Totals],[Losing Candidate]]),
      0
)</f>
        <v>0</v>
      </c>
      <c r="AV1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0" s="17">
        <f>IF(Audit[[#This Row],[Max Relative Error (ep)]] = 0, 0, Audit[[#This Row],[Max Relative Error (ep)]]/Audit[[#This Row],[Error Bound (up) - Max. possible relative overstatement]])</f>
        <v>0</v>
      </c>
      <c r="BH1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60" s="17">
        <f t="shared" si="3"/>
        <v>1</v>
      </c>
      <c r="BJ160" s="17">
        <f>PRODUCT($BI$5:BI160)</f>
        <v>0.68031947676209759</v>
      </c>
      <c r="BK160" s="19">
        <f>1 - Audit[[#This Row],[K-M P Value]]</f>
        <v>0.31968052323790241</v>
      </c>
      <c r="BL160" s="17" t="str">
        <f>IF(Audit[[#This Row],[K-M P Value]]&gt;1-'General Info'!$B$12,"Continue", "Stop")</f>
        <v>Continue</v>
      </c>
      <c r="BM160" s="22" t="b">
        <f>IF(Audit[[#This Row],[Status - Continue or stop audit]] = "Continue", TRUE, IF(BL159 = "Continue", TRUE, FALSE))</f>
        <v>1</v>
      </c>
      <c r="BN160" s="22"/>
    </row>
    <row r="161" spans="1:66" ht="15" hidden="1" customHeight="1" x14ac:dyDescent="0.35">
      <c r="A161" s="17" t="str">
        <f>'Sampling Data'!AI161</f>
        <v/>
      </c>
      <c r="B161" s="17" t="str">
        <f>'Sampling Data'!A161</f>
        <v>2407 CIN 24-G   (AV)</v>
      </c>
      <c r="C161" s="17">
        <f>'Sampling Data'!B161</f>
        <v>189</v>
      </c>
      <c r="D161" s="17">
        <f>'Sampling Data'!C161</f>
        <v>111</v>
      </c>
      <c r="E161" s="18">
        <f>'Sampling Data'!D161</f>
        <v>0</v>
      </c>
      <c r="F161" s="18">
        <f>'Sampling Data'!E161</f>
        <v>0</v>
      </c>
      <c r="G161" s="18">
        <f>'Sampling Data'!F161</f>
        <v>0</v>
      </c>
      <c r="H161" s="18">
        <f>'Sampling Data'!G161</f>
        <v>0</v>
      </c>
      <c r="I161" s="18">
        <f>'Sampling Data'!H161</f>
        <v>0</v>
      </c>
      <c r="J161" s="18">
        <f>'Sampling Data'!I161</f>
        <v>0</v>
      </c>
      <c r="K161" s="18">
        <f>'Sampling Data'!J161</f>
        <v>0</v>
      </c>
      <c r="L161" s="18">
        <f>'Sampling Data'!K161</f>
        <v>0</v>
      </c>
      <c r="M161" s="18">
        <f>'Sampling Data'!L161</f>
        <v>0</v>
      </c>
      <c r="N161" s="18">
        <f>'Sampling Data'!M161</f>
        <v>0</v>
      </c>
      <c r="O161" s="17">
        <f>'Sampling Data'!N161</f>
        <v>1</v>
      </c>
      <c r="P161" s="17">
        <f>'Sampling Data'!O161</f>
        <v>18</v>
      </c>
      <c r="Q161" s="17">
        <f>'Sampling Data'!P161</f>
        <v>319</v>
      </c>
      <c r="R161" s="17">
        <f>'Sampling Data'!AJ161</f>
        <v>0</v>
      </c>
      <c r="S161" s="111"/>
      <c r="T161" s="111"/>
      <c r="U161" s="112"/>
      <c r="V161" s="112"/>
      <c r="W161" s="111"/>
      <c r="X161" s="111"/>
      <c r="Y161" s="111"/>
      <c r="Z161" s="111"/>
      <c r="AA161" s="14"/>
      <c r="AB161" s="14"/>
      <c r="AC161" s="14"/>
      <c r="AD161" s="14"/>
      <c r="AE161" s="113" t="str">
        <f>IF(NOT(ISBLANK(Audit[[#This Row],[Audit Winning Candidate]])), Audit[[#This Row],[Audit Winning Candidate]]-Audit[[#This Row],[Winning Candidate]], "")</f>
        <v/>
      </c>
      <c r="AF161" s="17" t="str">
        <f>IF(NOT(ISBLANK(Audit[[#This Row],[Audit Losing Candidate]])), Audit[[#This Row],[Audit Losing Candidate]]-Audit[[#This Row],[Losing Candidate]], "")</f>
        <v/>
      </c>
      <c r="AG161" s="17" t="str">
        <f>IF(NOT(ISBLANK(Audit[[#This Row],[Audit Candidate 3]])), Audit[[#This Row],[Audit Candidate 3]]-Audit[[#This Row],[Candidate 3]], "")</f>
        <v/>
      </c>
      <c r="AH161" s="17" t="str">
        <f>IF(NOT(ISBLANK(Audit[[#This Row],[Audit Candidate 4]])),Audit[[#This Row],[Audit Candidate 4]]-Audit[[#This Row],[Candidate 4]], "")</f>
        <v/>
      </c>
      <c r="AI161" s="17" t="str">
        <f>IF(NOT(ISBLANK(Audit[[#This Row],[Audit Candidate 5]])), Audit[[#This Row],[Audit Candidate 5]]-Audit[[#This Row],[Candidate 5]], "")</f>
        <v/>
      </c>
      <c r="AJ161" s="17" t="str">
        <f>IF(NOT(ISBLANK(Audit[[#This Row],[Audit Candidate 6]])), Audit[[#This Row],[Audit Candidate 6]]-Audit[[#This Row],[Candidate 6]], "")</f>
        <v/>
      </c>
      <c r="AK161" s="17" t="str">
        <f>IF(NOT(ISBLANK(Audit[[#This Row],[Audit Candidate 7]])), Audit[[#This Row],[Audit Candidate 7]]-Audit[[#This Row],[Candidate 7]], "")</f>
        <v/>
      </c>
      <c r="AL161" s="17" t="str">
        <f>IF(NOT(ISBLANK(Audit[[#This Row],[Audit Candidate 8]])), Audit[[#This Row],[Audit Candidate 8]]-Audit[[#This Row],[Candidate 8]], "")</f>
        <v/>
      </c>
      <c r="AM161" s="17" t="str">
        <f>IF(NOT(ISBLANK(Audit[[#This Row],[Audit Candidate 9]])), Audit[[#This Row],[Audit Candidate 9]]-Audit[[#This Row],[Candidate 9]], "")</f>
        <v/>
      </c>
      <c r="AN161" s="17" t="str">
        <f>IF(NOT(ISBLANK(Audit[[#This Row],[Audit Candidate 10]])), Audit[[#This Row],[Audit Candidate 10]]-Audit[[#This Row],[Candidate 10]], "")</f>
        <v/>
      </c>
      <c r="AO161" s="17" t="str">
        <f>IF(NOT(ISBLANK(Audit[[#This Row],[Audit Candidate 11]])), Audit[[#This Row],[Audit Candidate 11]]-Audit[[#This Row],[Candidate 11]], "")</f>
        <v/>
      </c>
      <c r="AP161" s="17" t="str">
        <f>IF(NOT(ISBLANK(Audit[[#This Row],[Audit Candidate 12]])), Audit[[#This Row],[Audit Candidate 12]]-Audit[[#This Row],[Candidate 12]], "")</f>
        <v/>
      </c>
      <c r="AQ161" s="17">
        <f>SUMIF(Audit[[#This Row],[Difference Winner]:[Difference Candidate 12]], "&gt;0")</f>
        <v>0</v>
      </c>
      <c r="AR161" s="17">
        <f>SUM(Audit[[#This Row],[Difference Winner]:[Difference Candidate 12]])</f>
        <v>0</v>
      </c>
      <c r="AS161" s="17">
        <f>IF(Audit[[#This Row],[Times p Drawn - With Replacement]]&gt;0, IF(Audit[[#This Row],[Canceled Differences]]&lt;0, Audit[[#This Row],[Max Differences]]+ABS(Audit[[#This Row],[Canceled Differences]]), Audit[[#This Row],[Max Differences]]), 0)</f>
        <v>0</v>
      </c>
      <c r="AT161" s="17">
        <f>'Sampling Data'!AB161</f>
        <v>1.6847733831268037E-2</v>
      </c>
      <c r="AU161" s="17">
        <f>IF(
      SUM(Audit[[#This Row],[Audit Losing Candidate]:[Audit Candidate 12]])
      &lt;&gt;0,
      (Audit[[#This Row],[Winning Candidate]]-Audit[[#This Row],[Losing Candidate]]-(Audit[[#This Row],[Audit Winning Candidate]]-Audit[[#This Row],[Audit Losing Candidate]]))/(Audit[[#Totals],[Winning Candidate]]-Audit[[#Totals],[Losing Candidate]]),
      0
)</f>
        <v>0</v>
      </c>
      <c r="AV1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1" s="17">
        <f>IF(Audit[[#This Row],[Max Relative Error (ep)]] = 0, 0, Audit[[#This Row],[Max Relative Error (ep)]]/Audit[[#This Row],[Error Bound (up) - Max. possible relative overstatement]])</f>
        <v>0</v>
      </c>
      <c r="BH1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61" s="17">
        <f t="shared" si="3"/>
        <v>1</v>
      </c>
      <c r="BJ161" s="17">
        <f>PRODUCT($BI$5:BI161)</f>
        <v>0.68031947676209759</v>
      </c>
      <c r="BK161" s="19">
        <f>1 - Audit[[#This Row],[K-M P Value]]</f>
        <v>0.31968052323790241</v>
      </c>
      <c r="BL161" s="17" t="str">
        <f>IF(Audit[[#This Row],[K-M P Value]]&gt;1-'General Info'!$B$12,"Continue", "Stop")</f>
        <v>Continue</v>
      </c>
      <c r="BM161" s="22" t="b">
        <f>IF(Audit[[#This Row],[Status - Continue or stop audit]] = "Continue", TRUE, IF(BL160 = "Continue", TRUE, FALSE))</f>
        <v>1</v>
      </c>
      <c r="BN161" s="22"/>
    </row>
    <row r="162" spans="1:66" ht="15" hidden="1" customHeight="1" x14ac:dyDescent="0.35">
      <c r="A162" s="17" t="str">
        <f>'Sampling Data'!AI162</f>
        <v/>
      </c>
      <c r="B162" s="17" t="str">
        <f>'Sampling Data'!A162</f>
        <v>2408 CIN 24-H   (AV)</v>
      </c>
      <c r="C162" s="17">
        <f>'Sampling Data'!B162</f>
        <v>18</v>
      </c>
      <c r="D162" s="17">
        <f>'Sampling Data'!C162</f>
        <v>3</v>
      </c>
      <c r="E162" s="18">
        <f>'Sampling Data'!D162</f>
        <v>0</v>
      </c>
      <c r="F162" s="18">
        <f>'Sampling Data'!E162</f>
        <v>0</v>
      </c>
      <c r="G162" s="18">
        <f>'Sampling Data'!F162</f>
        <v>0</v>
      </c>
      <c r="H162" s="18">
        <f>'Sampling Data'!G162</f>
        <v>0</v>
      </c>
      <c r="I162" s="18">
        <f>'Sampling Data'!H162</f>
        <v>0</v>
      </c>
      <c r="J162" s="18">
        <f>'Sampling Data'!I162</f>
        <v>0</v>
      </c>
      <c r="K162" s="18">
        <f>'Sampling Data'!J162</f>
        <v>0</v>
      </c>
      <c r="L162" s="18">
        <f>'Sampling Data'!K162</f>
        <v>0</v>
      </c>
      <c r="M162" s="18">
        <f>'Sampling Data'!L162</f>
        <v>0</v>
      </c>
      <c r="N162" s="18">
        <f>'Sampling Data'!M162</f>
        <v>0</v>
      </c>
      <c r="O162" s="17">
        <f>'Sampling Data'!N162</f>
        <v>0</v>
      </c>
      <c r="P162" s="17">
        <f>'Sampling Data'!O162</f>
        <v>0</v>
      </c>
      <c r="Q162" s="17">
        <f>'Sampling Data'!P162</f>
        <v>21</v>
      </c>
      <c r="R162" s="17">
        <f>'Sampling Data'!AJ162</f>
        <v>0</v>
      </c>
      <c r="S162" s="111"/>
      <c r="T162" s="111"/>
      <c r="U162" s="112"/>
      <c r="V162" s="112"/>
      <c r="W162" s="111"/>
      <c r="X162" s="111"/>
      <c r="Y162" s="111"/>
      <c r="Z162" s="111"/>
      <c r="AA162" s="14"/>
      <c r="AB162" s="14"/>
      <c r="AC162" s="14"/>
      <c r="AD162" s="14"/>
      <c r="AE162" s="113" t="str">
        <f>IF(NOT(ISBLANK(Audit[[#This Row],[Audit Winning Candidate]])), Audit[[#This Row],[Audit Winning Candidate]]-Audit[[#This Row],[Winning Candidate]], "")</f>
        <v/>
      </c>
      <c r="AF162" s="17" t="str">
        <f>IF(NOT(ISBLANK(Audit[[#This Row],[Audit Losing Candidate]])), Audit[[#This Row],[Audit Losing Candidate]]-Audit[[#This Row],[Losing Candidate]], "")</f>
        <v/>
      </c>
      <c r="AG162" s="17" t="str">
        <f>IF(NOT(ISBLANK(Audit[[#This Row],[Audit Candidate 3]])), Audit[[#This Row],[Audit Candidate 3]]-Audit[[#This Row],[Candidate 3]], "")</f>
        <v/>
      </c>
      <c r="AH162" s="17" t="str">
        <f>IF(NOT(ISBLANK(Audit[[#This Row],[Audit Candidate 4]])),Audit[[#This Row],[Audit Candidate 4]]-Audit[[#This Row],[Candidate 4]], "")</f>
        <v/>
      </c>
      <c r="AI162" s="17" t="str">
        <f>IF(NOT(ISBLANK(Audit[[#This Row],[Audit Candidate 5]])), Audit[[#This Row],[Audit Candidate 5]]-Audit[[#This Row],[Candidate 5]], "")</f>
        <v/>
      </c>
      <c r="AJ162" s="17" t="str">
        <f>IF(NOT(ISBLANK(Audit[[#This Row],[Audit Candidate 6]])), Audit[[#This Row],[Audit Candidate 6]]-Audit[[#This Row],[Candidate 6]], "")</f>
        <v/>
      </c>
      <c r="AK162" s="17" t="str">
        <f>IF(NOT(ISBLANK(Audit[[#This Row],[Audit Candidate 7]])), Audit[[#This Row],[Audit Candidate 7]]-Audit[[#This Row],[Candidate 7]], "")</f>
        <v/>
      </c>
      <c r="AL162" s="17" t="str">
        <f>IF(NOT(ISBLANK(Audit[[#This Row],[Audit Candidate 8]])), Audit[[#This Row],[Audit Candidate 8]]-Audit[[#This Row],[Candidate 8]], "")</f>
        <v/>
      </c>
      <c r="AM162" s="17" t="str">
        <f>IF(NOT(ISBLANK(Audit[[#This Row],[Audit Candidate 9]])), Audit[[#This Row],[Audit Candidate 9]]-Audit[[#This Row],[Candidate 9]], "")</f>
        <v/>
      </c>
      <c r="AN162" s="17" t="str">
        <f>IF(NOT(ISBLANK(Audit[[#This Row],[Audit Candidate 10]])), Audit[[#This Row],[Audit Candidate 10]]-Audit[[#This Row],[Candidate 10]], "")</f>
        <v/>
      </c>
      <c r="AO162" s="17" t="str">
        <f>IF(NOT(ISBLANK(Audit[[#This Row],[Audit Candidate 11]])), Audit[[#This Row],[Audit Candidate 11]]-Audit[[#This Row],[Candidate 11]], "")</f>
        <v/>
      </c>
      <c r="AP162" s="17" t="str">
        <f>IF(NOT(ISBLANK(Audit[[#This Row],[Audit Candidate 12]])), Audit[[#This Row],[Audit Candidate 12]]-Audit[[#This Row],[Candidate 12]], "")</f>
        <v/>
      </c>
      <c r="AQ162" s="17">
        <f>SUMIF(Audit[[#This Row],[Difference Winner]:[Difference Candidate 12]], "&gt;0")</f>
        <v>0</v>
      </c>
      <c r="AR162" s="17">
        <f>SUM(Audit[[#This Row],[Difference Winner]:[Difference Candidate 12]])</f>
        <v>0</v>
      </c>
      <c r="AS162" s="17">
        <f>IF(Audit[[#This Row],[Times p Drawn - With Replacement]]&gt;0, IF(Audit[[#This Row],[Canceled Differences]]&lt;0, Audit[[#This Row],[Max Differences]]+ABS(Audit[[#This Row],[Canceled Differences]]), Audit[[#This Row],[Max Differences]]), 0)</f>
        <v>0</v>
      </c>
      <c r="AT162" s="17">
        <f>'Sampling Data'!AB162</f>
        <v>1.5277542013240537E-3</v>
      </c>
      <c r="AU162" s="17">
        <f>IF(
      SUM(Audit[[#This Row],[Audit Losing Candidate]:[Audit Candidate 12]])
      &lt;&gt;0,
      (Audit[[#This Row],[Winning Candidate]]-Audit[[#This Row],[Losing Candidate]]-(Audit[[#This Row],[Audit Winning Candidate]]-Audit[[#This Row],[Audit Losing Candidate]]))/(Audit[[#Totals],[Winning Candidate]]-Audit[[#Totals],[Losing Candidate]]),
      0
)</f>
        <v>0</v>
      </c>
      <c r="AV1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2" s="17">
        <f>IF(Audit[[#This Row],[Max Relative Error (ep)]] = 0, 0, Audit[[#This Row],[Max Relative Error (ep)]]/Audit[[#This Row],[Error Bound (up) - Max. possible relative overstatement]])</f>
        <v>0</v>
      </c>
      <c r="BH1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62" s="17">
        <f t="shared" si="3"/>
        <v>1</v>
      </c>
      <c r="BJ162" s="17">
        <f>PRODUCT($BI$5:BI162)</f>
        <v>0.68031947676209759</v>
      </c>
      <c r="BK162" s="19">
        <f>1 - Audit[[#This Row],[K-M P Value]]</f>
        <v>0.31968052323790241</v>
      </c>
      <c r="BL162" s="17" t="str">
        <f>IF(Audit[[#This Row],[K-M P Value]]&gt;1-'General Info'!$B$12,"Continue", "Stop")</f>
        <v>Continue</v>
      </c>
      <c r="BM162" s="22" t="b">
        <f>IF(Audit[[#This Row],[Status - Continue or stop audit]] = "Continue", TRUE, IF(BL161 = "Continue", TRUE, FALSE))</f>
        <v>1</v>
      </c>
      <c r="BN162" s="22"/>
    </row>
    <row r="163" spans="1:66" ht="15" hidden="1" customHeight="1" x14ac:dyDescent="0.35">
      <c r="A163" s="17" t="str">
        <f>'Sampling Data'!AI163</f>
        <v/>
      </c>
      <c r="B163" s="17" t="str">
        <f>'Sampling Data'!A163</f>
        <v>2409 CIN 24-I   (AV)</v>
      </c>
      <c r="C163" s="17">
        <f>'Sampling Data'!B163</f>
        <v>32</v>
      </c>
      <c r="D163" s="17">
        <f>'Sampling Data'!C163</f>
        <v>5</v>
      </c>
      <c r="E163" s="18">
        <f>'Sampling Data'!D163</f>
        <v>0</v>
      </c>
      <c r="F163" s="18">
        <f>'Sampling Data'!E163</f>
        <v>0</v>
      </c>
      <c r="G163" s="18">
        <f>'Sampling Data'!F163</f>
        <v>0</v>
      </c>
      <c r="H163" s="18">
        <f>'Sampling Data'!G163</f>
        <v>0</v>
      </c>
      <c r="I163" s="18">
        <f>'Sampling Data'!H163</f>
        <v>0</v>
      </c>
      <c r="J163" s="18">
        <f>'Sampling Data'!I163</f>
        <v>0</v>
      </c>
      <c r="K163" s="18">
        <f>'Sampling Data'!J163</f>
        <v>0</v>
      </c>
      <c r="L163" s="18">
        <f>'Sampling Data'!K163</f>
        <v>0</v>
      </c>
      <c r="M163" s="18">
        <f>'Sampling Data'!L163</f>
        <v>0</v>
      </c>
      <c r="N163" s="18">
        <f>'Sampling Data'!M163</f>
        <v>0</v>
      </c>
      <c r="O163" s="17">
        <f>'Sampling Data'!N163</f>
        <v>0</v>
      </c>
      <c r="P163" s="17">
        <f>'Sampling Data'!O163</f>
        <v>5</v>
      </c>
      <c r="Q163" s="17">
        <f>'Sampling Data'!P163</f>
        <v>42</v>
      </c>
      <c r="R163" s="17">
        <f>'Sampling Data'!AJ163</f>
        <v>0</v>
      </c>
      <c r="S163" s="111"/>
      <c r="T163" s="111"/>
      <c r="U163" s="112"/>
      <c r="V163" s="112"/>
      <c r="W163" s="111"/>
      <c r="X163" s="111"/>
      <c r="Y163" s="111"/>
      <c r="Z163" s="111"/>
      <c r="AA163" s="14"/>
      <c r="AB163" s="14"/>
      <c r="AC163" s="14"/>
      <c r="AD163" s="14"/>
      <c r="AE163" s="113" t="str">
        <f>IF(NOT(ISBLANK(Audit[[#This Row],[Audit Winning Candidate]])), Audit[[#This Row],[Audit Winning Candidate]]-Audit[[#This Row],[Winning Candidate]], "")</f>
        <v/>
      </c>
      <c r="AF163" s="17" t="str">
        <f>IF(NOT(ISBLANK(Audit[[#This Row],[Audit Losing Candidate]])), Audit[[#This Row],[Audit Losing Candidate]]-Audit[[#This Row],[Losing Candidate]], "")</f>
        <v/>
      </c>
      <c r="AG163" s="17" t="str">
        <f>IF(NOT(ISBLANK(Audit[[#This Row],[Audit Candidate 3]])), Audit[[#This Row],[Audit Candidate 3]]-Audit[[#This Row],[Candidate 3]], "")</f>
        <v/>
      </c>
      <c r="AH163" s="17" t="str">
        <f>IF(NOT(ISBLANK(Audit[[#This Row],[Audit Candidate 4]])),Audit[[#This Row],[Audit Candidate 4]]-Audit[[#This Row],[Candidate 4]], "")</f>
        <v/>
      </c>
      <c r="AI163" s="17" t="str">
        <f>IF(NOT(ISBLANK(Audit[[#This Row],[Audit Candidate 5]])), Audit[[#This Row],[Audit Candidate 5]]-Audit[[#This Row],[Candidate 5]], "")</f>
        <v/>
      </c>
      <c r="AJ163" s="17" t="str">
        <f>IF(NOT(ISBLANK(Audit[[#This Row],[Audit Candidate 6]])), Audit[[#This Row],[Audit Candidate 6]]-Audit[[#This Row],[Candidate 6]], "")</f>
        <v/>
      </c>
      <c r="AK163" s="17" t="str">
        <f>IF(NOT(ISBLANK(Audit[[#This Row],[Audit Candidate 7]])), Audit[[#This Row],[Audit Candidate 7]]-Audit[[#This Row],[Candidate 7]], "")</f>
        <v/>
      </c>
      <c r="AL163" s="17" t="str">
        <f>IF(NOT(ISBLANK(Audit[[#This Row],[Audit Candidate 8]])), Audit[[#This Row],[Audit Candidate 8]]-Audit[[#This Row],[Candidate 8]], "")</f>
        <v/>
      </c>
      <c r="AM163" s="17" t="str">
        <f>IF(NOT(ISBLANK(Audit[[#This Row],[Audit Candidate 9]])), Audit[[#This Row],[Audit Candidate 9]]-Audit[[#This Row],[Candidate 9]], "")</f>
        <v/>
      </c>
      <c r="AN163" s="17" t="str">
        <f>IF(NOT(ISBLANK(Audit[[#This Row],[Audit Candidate 10]])), Audit[[#This Row],[Audit Candidate 10]]-Audit[[#This Row],[Candidate 10]], "")</f>
        <v/>
      </c>
      <c r="AO163" s="17" t="str">
        <f>IF(NOT(ISBLANK(Audit[[#This Row],[Audit Candidate 11]])), Audit[[#This Row],[Audit Candidate 11]]-Audit[[#This Row],[Candidate 11]], "")</f>
        <v/>
      </c>
      <c r="AP163" s="17" t="str">
        <f>IF(NOT(ISBLANK(Audit[[#This Row],[Audit Candidate 12]])), Audit[[#This Row],[Audit Candidate 12]]-Audit[[#This Row],[Candidate 12]], "")</f>
        <v/>
      </c>
      <c r="AQ163" s="17">
        <f>SUMIF(Audit[[#This Row],[Difference Winner]:[Difference Candidate 12]], "&gt;0")</f>
        <v>0</v>
      </c>
      <c r="AR163" s="17">
        <f>SUM(Audit[[#This Row],[Difference Winner]:[Difference Candidate 12]])</f>
        <v>0</v>
      </c>
      <c r="AS163" s="17">
        <f>IF(Audit[[#This Row],[Times p Drawn - With Replacement]]&gt;0, IF(Audit[[#This Row],[Canceled Differences]]&lt;0, Audit[[#This Row],[Max Differences]]+ABS(Audit[[#This Row],[Canceled Differences]]), Audit[[#This Row],[Max Differences]]), 0)</f>
        <v>0</v>
      </c>
      <c r="AT163" s="17">
        <f>'Sampling Data'!AB163</f>
        <v>2.9281955525377696E-3</v>
      </c>
      <c r="AU163" s="17">
        <f>IF(
      SUM(Audit[[#This Row],[Audit Losing Candidate]:[Audit Candidate 12]])
      &lt;&gt;0,
      (Audit[[#This Row],[Winning Candidate]]-Audit[[#This Row],[Losing Candidate]]-(Audit[[#This Row],[Audit Winning Candidate]]-Audit[[#This Row],[Audit Losing Candidate]]))/(Audit[[#Totals],[Winning Candidate]]-Audit[[#Totals],[Losing Candidate]]),
      0
)</f>
        <v>0</v>
      </c>
      <c r="AV1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3" s="17">
        <f>IF(Audit[[#This Row],[Max Relative Error (ep)]] = 0, 0, Audit[[#This Row],[Max Relative Error (ep)]]/Audit[[#This Row],[Error Bound (up) - Max. possible relative overstatement]])</f>
        <v>0</v>
      </c>
      <c r="BH1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63" s="17">
        <f t="shared" si="3"/>
        <v>1</v>
      </c>
      <c r="BJ163" s="17">
        <f>PRODUCT($BI$5:BI163)</f>
        <v>0.68031947676209759</v>
      </c>
      <c r="BK163" s="19">
        <f>1 - Audit[[#This Row],[K-M P Value]]</f>
        <v>0.31968052323790241</v>
      </c>
      <c r="BL163" s="17" t="str">
        <f>IF(Audit[[#This Row],[K-M P Value]]&gt;1-'General Info'!$B$12,"Continue", "Stop")</f>
        <v>Continue</v>
      </c>
      <c r="BM163" s="22" t="b">
        <f>IF(Audit[[#This Row],[Status - Continue or stop audit]] = "Continue", TRUE, IF(BL162 = "Continue", TRUE, FALSE))</f>
        <v>1</v>
      </c>
      <c r="BN163" s="22"/>
    </row>
    <row r="164" spans="1:66" ht="15" hidden="1" customHeight="1" x14ac:dyDescent="0.35">
      <c r="A164" s="17" t="str">
        <f>'Sampling Data'!AI164</f>
        <v/>
      </c>
      <c r="B164" s="17" t="str">
        <f>'Sampling Data'!A164</f>
        <v>2501 CIN 25-A   (AV)</v>
      </c>
      <c r="C164" s="17">
        <f>'Sampling Data'!B164</f>
        <v>180</v>
      </c>
      <c r="D164" s="17">
        <f>'Sampling Data'!C164</f>
        <v>25</v>
      </c>
      <c r="E164" s="18">
        <f>'Sampling Data'!D164</f>
        <v>0</v>
      </c>
      <c r="F164" s="18">
        <f>'Sampling Data'!E164</f>
        <v>0</v>
      </c>
      <c r="G164" s="18">
        <f>'Sampling Data'!F164</f>
        <v>0</v>
      </c>
      <c r="H164" s="18">
        <f>'Sampling Data'!G164</f>
        <v>0</v>
      </c>
      <c r="I164" s="18">
        <f>'Sampling Data'!H164</f>
        <v>0</v>
      </c>
      <c r="J164" s="18">
        <f>'Sampling Data'!I164</f>
        <v>0</v>
      </c>
      <c r="K164" s="18">
        <f>'Sampling Data'!J164</f>
        <v>0</v>
      </c>
      <c r="L164" s="18">
        <f>'Sampling Data'!K164</f>
        <v>0</v>
      </c>
      <c r="M164" s="18">
        <f>'Sampling Data'!L164</f>
        <v>0</v>
      </c>
      <c r="N164" s="18">
        <f>'Sampling Data'!M164</f>
        <v>0</v>
      </c>
      <c r="O164" s="17">
        <f>'Sampling Data'!N164</f>
        <v>0</v>
      </c>
      <c r="P164" s="17">
        <f>'Sampling Data'!O164</f>
        <v>9</v>
      </c>
      <c r="Q164" s="17">
        <f>'Sampling Data'!P164</f>
        <v>214</v>
      </c>
      <c r="R164" s="17">
        <f>'Sampling Data'!AJ164</f>
        <v>0</v>
      </c>
      <c r="S164" s="111"/>
      <c r="T164" s="111"/>
      <c r="U164" s="112"/>
      <c r="V164" s="112"/>
      <c r="W164" s="111"/>
      <c r="X164" s="111"/>
      <c r="Y164" s="111"/>
      <c r="Z164" s="111"/>
      <c r="AA164" s="14"/>
      <c r="AB164" s="14"/>
      <c r="AC164" s="14"/>
      <c r="AD164" s="14"/>
      <c r="AE164" s="113" t="str">
        <f>IF(NOT(ISBLANK(Audit[[#This Row],[Audit Winning Candidate]])), Audit[[#This Row],[Audit Winning Candidate]]-Audit[[#This Row],[Winning Candidate]], "")</f>
        <v/>
      </c>
      <c r="AF164" s="17" t="str">
        <f>IF(NOT(ISBLANK(Audit[[#This Row],[Audit Losing Candidate]])), Audit[[#This Row],[Audit Losing Candidate]]-Audit[[#This Row],[Losing Candidate]], "")</f>
        <v/>
      </c>
      <c r="AG164" s="17" t="str">
        <f>IF(NOT(ISBLANK(Audit[[#This Row],[Audit Candidate 3]])), Audit[[#This Row],[Audit Candidate 3]]-Audit[[#This Row],[Candidate 3]], "")</f>
        <v/>
      </c>
      <c r="AH164" s="17" t="str">
        <f>IF(NOT(ISBLANK(Audit[[#This Row],[Audit Candidate 4]])),Audit[[#This Row],[Audit Candidate 4]]-Audit[[#This Row],[Candidate 4]], "")</f>
        <v/>
      </c>
      <c r="AI164" s="17" t="str">
        <f>IF(NOT(ISBLANK(Audit[[#This Row],[Audit Candidate 5]])), Audit[[#This Row],[Audit Candidate 5]]-Audit[[#This Row],[Candidate 5]], "")</f>
        <v/>
      </c>
      <c r="AJ164" s="17" t="str">
        <f>IF(NOT(ISBLANK(Audit[[#This Row],[Audit Candidate 6]])), Audit[[#This Row],[Audit Candidate 6]]-Audit[[#This Row],[Candidate 6]], "")</f>
        <v/>
      </c>
      <c r="AK164" s="17" t="str">
        <f>IF(NOT(ISBLANK(Audit[[#This Row],[Audit Candidate 7]])), Audit[[#This Row],[Audit Candidate 7]]-Audit[[#This Row],[Candidate 7]], "")</f>
        <v/>
      </c>
      <c r="AL164" s="17" t="str">
        <f>IF(NOT(ISBLANK(Audit[[#This Row],[Audit Candidate 8]])), Audit[[#This Row],[Audit Candidate 8]]-Audit[[#This Row],[Candidate 8]], "")</f>
        <v/>
      </c>
      <c r="AM164" s="17" t="str">
        <f>IF(NOT(ISBLANK(Audit[[#This Row],[Audit Candidate 9]])), Audit[[#This Row],[Audit Candidate 9]]-Audit[[#This Row],[Candidate 9]], "")</f>
        <v/>
      </c>
      <c r="AN164" s="17" t="str">
        <f>IF(NOT(ISBLANK(Audit[[#This Row],[Audit Candidate 10]])), Audit[[#This Row],[Audit Candidate 10]]-Audit[[#This Row],[Candidate 10]], "")</f>
        <v/>
      </c>
      <c r="AO164" s="17" t="str">
        <f>IF(NOT(ISBLANK(Audit[[#This Row],[Audit Candidate 11]])), Audit[[#This Row],[Audit Candidate 11]]-Audit[[#This Row],[Candidate 11]], "")</f>
        <v/>
      </c>
      <c r="AP164" s="17" t="str">
        <f>IF(NOT(ISBLANK(Audit[[#This Row],[Audit Candidate 12]])), Audit[[#This Row],[Audit Candidate 12]]-Audit[[#This Row],[Candidate 12]], "")</f>
        <v/>
      </c>
      <c r="AQ164" s="17">
        <f>SUMIF(Audit[[#This Row],[Difference Winner]:[Difference Candidate 12]], "&gt;0")</f>
        <v>0</v>
      </c>
      <c r="AR164" s="17">
        <f>SUM(Audit[[#This Row],[Difference Winner]:[Difference Candidate 12]])</f>
        <v>0</v>
      </c>
      <c r="AS164" s="17">
        <f>IF(Audit[[#This Row],[Times p Drawn - With Replacement]]&gt;0, IF(Audit[[#This Row],[Canceled Differences]]&lt;0, Audit[[#This Row],[Max Differences]]+ABS(Audit[[#This Row],[Canceled Differences]]), Audit[[#This Row],[Max Differences]]), 0)</f>
        <v>0</v>
      </c>
      <c r="AT164" s="17">
        <f>'Sampling Data'!AB164</f>
        <v>1.565948056357155E-2</v>
      </c>
      <c r="AU164" s="17">
        <f>IF(
      SUM(Audit[[#This Row],[Audit Losing Candidate]:[Audit Candidate 12]])
      &lt;&gt;0,
      (Audit[[#This Row],[Winning Candidate]]-Audit[[#This Row],[Losing Candidate]]-(Audit[[#This Row],[Audit Winning Candidate]]-Audit[[#This Row],[Audit Losing Candidate]]))/(Audit[[#Totals],[Winning Candidate]]-Audit[[#Totals],[Losing Candidate]]),
      0
)</f>
        <v>0</v>
      </c>
      <c r="AV1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4" s="17">
        <f>IF(Audit[[#This Row],[Max Relative Error (ep)]] = 0, 0, Audit[[#This Row],[Max Relative Error (ep)]]/Audit[[#This Row],[Error Bound (up) - Max. possible relative overstatement]])</f>
        <v>0</v>
      </c>
      <c r="BH1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64" s="17">
        <f t="shared" si="3"/>
        <v>1</v>
      </c>
      <c r="BJ164" s="17">
        <f>PRODUCT($BI$5:BI164)</f>
        <v>0.68031947676209759</v>
      </c>
      <c r="BK164" s="19">
        <f>1 - Audit[[#This Row],[K-M P Value]]</f>
        <v>0.31968052323790241</v>
      </c>
      <c r="BL164" s="17" t="str">
        <f>IF(Audit[[#This Row],[K-M P Value]]&gt;1-'General Info'!$B$12,"Continue", "Stop")</f>
        <v>Continue</v>
      </c>
      <c r="BM164" s="22" t="b">
        <f>IF(Audit[[#This Row],[Status - Continue or stop audit]] = "Continue", TRUE, IF(BL163 = "Continue", TRUE, FALSE))</f>
        <v>1</v>
      </c>
      <c r="BN164" s="22"/>
    </row>
    <row r="165" spans="1:66" ht="15" hidden="1" customHeight="1" x14ac:dyDescent="0.35">
      <c r="A165" s="17" t="str">
        <f>'Sampling Data'!AI165</f>
        <v/>
      </c>
      <c r="B165" s="17" t="str">
        <f>'Sampling Data'!A165</f>
        <v>2502 CIN 25-B   (AV)</v>
      </c>
      <c r="C165" s="17">
        <f>'Sampling Data'!B165</f>
        <v>72</v>
      </c>
      <c r="D165" s="17">
        <f>'Sampling Data'!C165</f>
        <v>47</v>
      </c>
      <c r="E165" s="18">
        <f>'Sampling Data'!D165</f>
        <v>0</v>
      </c>
      <c r="F165" s="18">
        <f>'Sampling Data'!E165</f>
        <v>0</v>
      </c>
      <c r="G165" s="18">
        <f>'Sampling Data'!F165</f>
        <v>0</v>
      </c>
      <c r="H165" s="18">
        <f>'Sampling Data'!G165</f>
        <v>0</v>
      </c>
      <c r="I165" s="18">
        <f>'Sampling Data'!H165</f>
        <v>0</v>
      </c>
      <c r="J165" s="18">
        <f>'Sampling Data'!I165</f>
        <v>0</v>
      </c>
      <c r="K165" s="18">
        <f>'Sampling Data'!J165</f>
        <v>0</v>
      </c>
      <c r="L165" s="18">
        <f>'Sampling Data'!K165</f>
        <v>0</v>
      </c>
      <c r="M165" s="18">
        <f>'Sampling Data'!L165</f>
        <v>0</v>
      </c>
      <c r="N165" s="18">
        <f>'Sampling Data'!M165</f>
        <v>0</v>
      </c>
      <c r="O165" s="17">
        <f>'Sampling Data'!N165</f>
        <v>0</v>
      </c>
      <c r="P165" s="17">
        <f>'Sampling Data'!O165</f>
        <v>9</v>
      </c>
      <c r="Q165" s="17">
        <f>'Sampling Data'!P165</f>
        <v>128</v>
      </c>
      <c r="R165" s="17">
        <f>'Sampling Data'!AJ165</f>
        <v>0</v>
      </c>
      <c r="S165" s="111"/>
      <c r="T165" s="111"/>
      <c r="U165" s="112"/>
      <c r="V165" s="112"/>
      <c r="W165" s="111"/>
      <c r="X165" s="111"/>
      <c r="Y165" s="111"/>
      <c r="Z165" s="111"/>
      <c r="AA165" s="14"/>
      <c r="AB165" s="14"/>
      <c r="AC165" s="14"/>
      <c r="AD165" s="14"/>
      <c r="AE165" s="113" t="str">
        <f>IF(NOT(ISBLANK(Audit[[#This Row],[Audit Winning Candidate]])), Audit[[#This Row],[Audit Winning Candidate]]-Audit[[#This Row],[Winning Candidate]], "")</f>
        <v/>
      </c>
      <c r="AF165" s="17" t="str">
        <f>IF(NOT(ISBLANK(Audit[[#This Row],[Audit Losing Candidate]])), Audit[[#This Row],[Audit Losing Candidate]]-Audit[[#This Row],[Losing Candidate]], "")</f>
        <v/>
      </c>
      <c r="AG165" s="17" t="str">
        <f>IF(NOT(ISBLANK(Audit[[#This Row],[Audit Candidate 3]])), Audit[[#This Row],[Audit Candidate 3]]-Audit[[#This Row],[Candidate 3]], "")</f>
        <v/>
      </c>
      <c r="AH165" s="17" t="str">
        <f>IF(NOT(ISBLANK(Audit[[#This Row],[Audit Candidate 4]])),Audit[[#This Row],[Audit Candidate 4]]-Audit[[#This Row],[Candidate 4]], "")</f>
        <v/>
      </c>
      <c r="AI165" s="17" t="str">
        <f>IF(NOT(ISBLANK(Audit[[#This Row],[Audit Candidate 5]])), Audit[[#This Row],[Audit Candidate 5]]-Audit[[#This Row],[Candidate 5]], "")</f>
        <v/>
      </c>
      <c r="AJ165" s="17" t="str">
        <f>IF(NOT(ISBLANK(Audit[[#This Row],[Audit Candidate 6]])), Audit[[#This Row],[Audit Candidate 6]]-Audit[[#This Row],[Candidate 6]], "")</f>
        <v/>
      </c>
      <c r="AK165" s="17" t="str">
        <f>IF(NOT(ISBLANK(Audit[[#This Row],[Audit Candidate 7]])), Audit[[#This Row],[Audit Candidate 7]]-Audit[[#This Row],[Candidate 7]], "")</f>
        <v/>
      </c>
      <c r="AL165" s="17" t="str">
        <f>IF(NOT(ISBLANK(Audit[[#This Row],[Audit Candidate 8]])), Audit[[#This Row],[Audit Candidate 8]]-Audit[[#This Row],[Candidate 8]], "")</f>
        <v/>
      </c>
      <c r="AM165" s="17" t="str">
        <f>IF(NOT(ISBLANK(Audit[[#This Row],[Audit Candidate 9]])), Audit[[#This Row],[Audit Candidate 9]]-Audit[[#This Row],[Candidate 9]], "")</f>
        <v/>
      </c>
      <c r="AN165" s="17" t="str">
        <f>IF(NOT(ISBLANK(Audit[[#This Row],[Audit Candidate 10]])), Audit[[#This Row],[Audit Candidate 10]]-Audit[[#This Row],[Candidate 10]], "")</f>
        <v/>
      </c>
      <c r="AO165" s="17" t="str">
        <f>IF(NOT(ISBLANK(Audit[[#This Row],[Audit Candidate 11]])), Audit[[#This Row],[Audit Candidate 11]]-Audit[[#This Row],[Candidate 11]], "")</f>
        <v/>
      </c>
      <c r="AP165" s="17" t="str">
        <f>IF(NOT(ISBLANK(Audit[[#This Row],[Audit Candidate 12]])), Audit[[#This Row],[Audit Candidate 12]]-Audit[[#This Row],[Candidate 12]], "")</f>
        <v/>
      </c>
      <c r="AQ165" s="17">
        <f>SUMIF(Audit[[#This Row],[Difference Winner]:[Difference Candidate 12]], "&gt;0")</f>
        <v>0</v>
      </c>
      <c r="AR165" s="17">
        <f>SUM(Audit[[#This Row],[Difference Winner]:[Difference Candidate 12]])</f>
        <v>0</v>
      </c>
      <c r="AS165" s="17">
        <f>IF(Audit[[#This Row],[Times p Drawn - With Replacement]]&gt;0, IF(Audit[[#This Row],[Canceled Differences]]&lt;0, Audit[[#This Row],[Max Differences]]+ABS(Audit[[#This Row],[Canceled Differences]]), Audit[[#This Row],[Max Differences]]), 0)</f>
        <v>0</v>
      </c>
      <c r="AT165" s="17">
        <f>'Sampling Data'!AB165</f>
        <v>6.4929553556272281E-3</v>
      </c>
      <c r="AU165" s="17">
        <f>IF(
      SUM(Audit[[#This Row],[Audit Losing Candidate]:[Audit Candidate 12]])
      &lt;&gt;0,
      (Audit[[#This Row],[Winning Candidate]]-Audit[[#This Row],[Losing Candidate]]-(Audit[[#This Row],[Audit Winning Candidate]]-Audit[[#This Row],[Audit Losing Candidate]]))/(Audit[[#Totals],[Winning Candidate]]-Audit[[#Totals],[Losing Candidate]]),
      0
)</f>
        <v>0</v>
      </c>
      <c r="AV1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5" s="17">
        <f>IF(Audit[[#This Row],[Max Relative Error (ep)]] = 0, 0, Audit[[#This Row],[Max Relative Error (ep)]]/Audit[[#This Row],[Error Bound (up) - Max. possible relative overstatement]])</f>
        <v>0</v>
      </c>
      <c r="BH1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65" s="17">
        <f t="shared" si="3"/>
        <v>1</v>
      </c>
      <c r="BJ165" s="17">
        <f>PRODUCT($BI$5:BI165)</f>
        <v>0.68031947676209759</v>
      </c>
      <c r="BK165" s="19">
        <f>1 - Audit[[#This Row],[K-M P Value]]</f>
        <v>0.31968052323790241</v>
      </c>
      <c r="BL165" s="17" t="str">
        <f>IF(Audit[[#This Row],[K-M P Value]]&gt;1-'General Info'!$B$12,"Continue", "Stop")</f>
        <v>Continue</v>
      </c>
      <c r="BM165" s="22" t="b">
        <f>IF(Audit[[#This Row],[Status - Continue or stop audit]] = "Continue", TRUE, IF(BL164 = "Continue", TRUE, FALSE))</f>
        <v>1</v>
      </c>
      <c r="BN165" s="22"/>
    </row>
    <row r="166" spans="1:66" ht="15" hidden="1" customHeight="1" x14ac:dyDescent="0.35">
      <c r="A166" s="17" t="str">
        <f>'Sampling Data'!AI166</f>
        <v/>
      </c>
      <c r="B166" s="17" t="str">
        <f>'Sampling Data'!A166</f>
        <v>2503 CIN 25-C   (AV)</v>
      </c>
      <c r="C166" s="17">
        <f>'Sampling Data'!B166</f>
        <v>140</v>
      </c>
      <c r="D166" s="17">
        <f>'Sampling Data'!C166</f>
        <v>101</v>
      </c>
      <c r="E166" s="18">
        <f>'Sampling Data'!D166</f>
        <v>0</v>
      </c>
      <c r="F166" s="18">
        <f>'Sampling Data'!E166</f>
        <v>0</v>
      </c>
      <c r="G166" s="18">
        <f>'Sampling Data'!F166</f>
        <v>0</v>
      </c>
      <c r="H166" s="18">
        <f>'Sampling Data'!G166</f>
        <v>0</v>
      </c>
      <c r="I166" s="18">
        <f>'Sampling Data'!H166</f>
        <v>0</v>
      </c>
      <c r="J166" s="18">
        <f>'Sampling Data'!I166</f>
        <v>0</v>
      </c>
      <c r="K166" s="18">
        <f>'Sampling Data'!J166</f>
        <v>0</v>
      </c>
      <c r="L166" s="18">
        <f>'Sampling Data'!K166</f>
        <v>0</v>
      </c>
      <c r="M166" s="18">
        <f>'Sampling Data'!L166</f>
        <v>0</v>
      </c>
      <c r="N166" s="18">
        <f>'Sampling Data'!M166</f>
        <v>0</v>
      </c>
      <c r="O166" s="17">
        <f>'Sampling Data'!N166</f>
        <v>0</v>
      </c>
      <c r="P166" s="17">
        <f>'Sampling Data'!O166</f>
        <v>12</v>
      </c>
      <c r="Q166" s="17">
        <f>'Sampling Data'!P166</f>
        <v>253</v>
      </c>
      <c r="R166" s="17">
        <f>'Sampling Data'!AJ166</f>
        <v>0</v>
      </c>
      <c r="S166" s="111"/>
      <c r="T166" s="111"/>
      <c r="U166" s="112"/>
      <c r="V166" s="112"/>
      <c r="W166" s="111"/>
      <c r="X166" s="111"/>
      <c r="Y166" s="111"/>
      <c r="Z166" s="111"/>
      <c r="AA166" s="14"/>
      <c r="AB166" s="14"/>
      <c r="AC166" s="14"/>
      <c r="AD166" s="14"/>
      <c r="AE166" s="113" t="str">
        <f>IF(NOT(ISBLANK(Audit[[#This Row],[Audit Winning Candidate]])), Audit[[#This Row],[Audit Winning Candidate]]-Audit[[#This Row],[Winning Candidate]], "")</f>
        <v/>
      </c>
      <c r="AF166" s="17" t="str">
        <f>IF(NOT(ISBLANK(Audit[[#This Row],[Audit Losing Candidate]])), Audit[[#This Row],[Audit Losing Candidate]]-Audit[[#This Row],[Losing Candidate]], "")</f>
        <v/>
      </c>
      <c r="AG166" s="17" t="str">
        <f>IF(NOT(ISBLANK(Audit[[#This Row],[Audit Candidate 3]])), Audit[[#This Row],[Audit Candidate 3]]-Audit[[#This Row],[Candidate 3]], "")</f>
        <v/>
      </c>
      <c r="AH166" s="17" t="str">
        <f>IF(NOT(ISBLANK(Audit[[#This Row],[Audit Candidate 4]])),Audit[[#This Row],[Audit Candidate 4]]-Audit[[#This Row],[Candidate 4]], "")</f>
        <v/>
      </c>
      <c r="AI166" s="17" t="str">
        <f>IF(NOT(ISBLANK(Audit[[#This Row],[Audit Candidate 5]])), Audit[[#This Row],[Audit Candidate 5]]-Audit[[#This Row],[Candidate 5]], "")</f>
        <v/>
      </c>
      <c r="AJ166" s="17" t="str">
        <f>IF(NOT(ISBLANK(Audit[[#This Row],[Audit Candidate 6]])), Audit[[#This Row],[Audit Candidate 6]]-Audit[[#This Row],[Candidate 6]], "")</f>
        <v/>
      </c>
      <c r="AK166" s="17" t="str">
        <f>IF(NOT(ISBLANK(Audit[[#This Row],[Audit Candidate 7]])), Audit[[#This Row],[Audit Candidate 7]]-Audit[[#This Row],[Candidate 7]], "")</f>
        <v/>
      </c>
      <c r="AL166" s="17" t="str">
        <f>IF(NOT(ISBLANK(Audit[[#This Row],[Audit Candidate 8]])), Audit[[#This Row],[Audit Candidate 8]]-Audit[[#This Row],[Candidate 8]], "")</f>
        <v/>
      </c>
      <c r="AM166" s="17" t="str">
        <f>IF(NOT(ISBLANK(Audit[[#This Row],[Audit Candidate 9]])), Audit[[#This Row],[Audit Candidate 9]]-Audit[[#This Row],[Candidate 9]], "")</f>
        <v/>
      </c>
      <c r="AN166" s="17" t="str">
        <f>IF(NOT(ISBLANK(Audit[[#This Row],[Audit Candidate 10]])), Audit[[#This Row],[Audit Candidate 10]]-Audit[[#This Row],[Candidate 10]], "")</f>
        <v/>
      </c>
      <c r="AO166" s="17" t="str">
        <f>IF(NOT(ISBLANK(Audit[[#This Row],[Audit Candidate 11]])), Audit[[#This Row],[Audit Candidate 11]]-Audit[[#This Row],[Candidate 11]], "")</f>
        <v/>
      </c>
      <c r="AP166" s="17" t="str">
        <f>IF(NOT(ISBLANK(Audit[[#This Row],[Audit Candidate 12]])), Audit[[#This Row],[Audit Candidate 12]]-Audit[[#This Row],[Candidate 12]], "")</f>
        <v/>
      </c>
      <c r="AQ166" s="17">
        <f>SUMIF(Audit[[#This Row],[Difference Winner]:[Difference Candidate 12]], "&gt;0")</f>
        <v>0</v>
      </c>
      <c r="AR166" s="17">
        <f>SUM(Audit[[#This Row],[Difference Winner]:[Difference Candidate 12]])</f>
        <v>0</v>
      </c>
      <c r="AS166" s="17">
        <f>IF(Audit[[#This Row],[Times p Drawn - With Replacement]]&gt;0, IF(Audit[[#This Row],[Canceled Differences]]&lt;0, Audit[[#This Row],[Max Differences]]+ABS(Audit[[#This Row],[Canceled Differences]]), Audit[[#This Row],[Max Differences]]), 0)</f>
        <v>0</v>
      </c>
      <c r="AT166" s="17">
        <f>'Sampling Data'!AB166</f>
        <v>1.2391784077406213E-2</v>
      </c>
      <c r="AU166" s="17">
        <f>IF(
      SUM(Audit[[#This Row],[Audit Losing Candidate]:[Audit Candidate 12]])
      &lt;&gt;0,
      (Audit[[#This Row],[Winning Candidate]]-Audit[[#This Row],[Losing Candidate]]-(Audit[[#This Row],[Audit Winning Candidate]]-Audit[[#This Row],[Audit Losing Candidate]]))/(Audit[[#Totals],[Winning Candidate]]-Audit[[#Totals],[Losing Candidate]]),
      0
)</f>
        <v>0</v>
      </c>
      <c r="AV1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6" s="17">
        <f>IF(Audit[[#This Row],[Max Relative Error (ep)]] = 0, 0, Audit[[#This Row],[Max Relative Error (ep)]]/Audit[[#This Row],[Error Bound (up) - Max. possible relative overstatement]])</f>
        <v>0</v>
      </c>
      <c r="BH1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66" s="17">
        <f t="shared" si="3"/>
        <v>1</v>
      </c>
      <c r="BJ166" s="17">
        <f>PRODUCT($BI$5:BI166)</f>
        <v>0.68031947676209759</v>
      </c>
      <c r="BK166" s="19">
        <f>1 - Audit[[#This Row],[K-M P Value]]</f>
        <v>0.31968052323790241</v>
      </c>
      <c r="BL166" s="17" t="str">
        <f>IF(Audit[[#This Row],[K-M P Value]]&gt;1-'General Info'!$B$12,"Continue", "Stop")</f>
        <v>Continue</v>
      </c>
      <c r="BM166" s="22" t="b">
        <f>IF(Audit[[#This Row],[Status - Continue or stop audit]] = "Continue", TRUE, IF(BL165 = "Continue", TRUE, FALSE))</f>
        <v>1</v>
      </c>
      <c r="BN166" s="22"/>
    </row>
    <row r="167" spans="1:66" ht="15" hidden="1" customHeight="1" x14ac:dyDescent="0.35">
      <c r="A167" s="17" t="str">
        <f>'Sampling Data'!AI167</f>
        <v/>
      </c>
      <c r="B167" s="17" t="str">
        <f>'Sampling Data'!A167</f>
        <v>2504 CIN 25-D   (AV)</v>
      </c>
      <c r="C167" s="17">
        <f>'Sampling Data'!B167</f>
        <v>97</v>
      </c>
      <c r="D167" s="17">
        <f>'Sampling Data'!C167</f>
        <v>108</v>
      </c>
      <c r="E167" s="18">
        <f>'Sampling Data'!D167</f>
        <v>0</v>
      </c>
      <c r="F167" s="18">
        <f>'Sampling Data'!E167</f>
        <v>0</v>
      </c>
      <c r="G167" s="18">
        <f>'Sampling Data'!F167</f>
        <v>0</v>
      </c>
      <c r="H167" s="18">
        <f>'Sampling Data'!G167</f>
        <v>0</v>
      </c>
      <c r="I167" s="18">
        <f>'Sampling Data'!H167</f>
        <v>0</v>
      </c>
      <c r="J167" s="18">
        <f>'Sampling Data'!I167</f>
        <v>0</v>
      </c>
      <c r="K167" s="18">
        <f>'Sampling Data'!J167</f>
        <v>0</v>
      </c>
      <c r="L167" s="18">
        <f>'Sampling Data'!K167</f>
        <v>0</v>
      </c>
      <c r="M167" s="18">
        <f>'Sampling Data'!L167</f>
        <v>0</v>
      </c>
      <c r="N167" s="18">
        <f>'Sampling Data'!M167</f>
        <v>0</v>
      </c>
      <c r="O167" s="17">
        <f>'Sampling Data'!N167</f>
        <v>0</v>
      </c>
      <c r="P167" s="17">
        <f>'Sampling Data'!O167</f>
        <v>7</v>
      </c>
      <c r="Q167" s="17">
        <f>'Sampling Data'!P167</f>
        <v>212</v>
      </c>
      <c r="R167" s="17">
        <f>'Sampling Data'!AJ167</f>
        <v>0</v>
      </c>
      <c r="S167" s="111"/>
      <c r="T167" s="111"/>
      <c r="U167" s="112"/>
      <c r="V167" s="112"/>
      <c r="W167" s="111"/>
      <c r="X167" s="111"/>
      <c r="Y167" s="111"/>
      <c r="Z167" s="111"/>
      <c r="AA167" s="14"/>
      <c r="AB167" s="14"/>
      <c r="AC167" s="14"/>
      <c r="AD167" s="14"/>
      <c r="AE167" s="113" t="str">
        <f>IF(NOT(ISBLANK(Audit[[#This Row],[Audit Winning Candidate]])), Audit[[#This Row],[Audit Winning Candidate]]-Audit[[#This Row],[Winning Candidate]], "")</f>
        <v/>
      </c>
      <c r="AF167" s="17" t="str">
        <f>IF(NOT(ISBLANK(Audit[[#This Row],[Audit Losing Candidate]])), Audit[[#This Row],[Audit Losing Candidate]]-Audit[[#This Row],[Losing Candidate]], "")</f>
        <v/>
      </c>
      <c r="AG167" s="17" t="str">
        <f>IF(NOT(ISBLANK(Audit[[#This Row],[Audit Candidate 3]])), Audit[[#This Row],[Audit Candidate 3]]-Audit[[#This Row],[Candidate 3]], "")</f>
        <v/>
      </c>
      <c r="AH167" s="17" t="str">
        <f>IF(NOT(ISBLANK(Audit[[#This Row],[Audit Candidate 4]])),Audit[[#This Row],[Audit Candidate 4]]-Audit[[#This Row],[Candidate 4]], "")</f>
        <v/>
      </c>
      <c r="AI167" s="17" t="str">
        <f>IF(NOT(ISBLANK(Audit[[#This Row],[Audit Candidate 5]])), Audit[[#This Row],[Audit Candidate 5]]-Audit[[#This Row],[Candidate 5]], "")</f>
        <v/>
      </c>
      <c r="AJ167" s="17" t="str">
        <f>IF(NOT(ISBLANK(Audit[[#This Row],[Audit Candidate 6]])), Audit[[#This Row],[Audit Candidate 6]]-Audit[[#This Row],[Candidate 6]], "")</f>
        <v/>
      </c>
      <c r="AK167" s="17" t="str">
        <f>IF(NOT(ISBLANK(Audit[[#This Row],[Audit Candidate 7]])), Audit[[#This Row],[Audit Candidate 7]]-Audit[[#This Row],[Candidate 7]], "")</f>
        <v/>
      </c>
      <c r="AL167" s="17" t="str">
        <f>IF(NOT(ISBLANK(Audit[[#This Row],[Audit Candidate 8]])), Audit[[#This Row],[Audit Candidate 8]]-Audit[[#This Row],[Candidate 8]], "")</f>
        <v/>
      </c>
      <c r="AM167" s="17" t="str">
        <f>IF(NOT(ISBLANK(Audit[[#This Row],[Audit Candidate 9]])), Audit[[#This Row],[Audit Candidate 9]]-Audit[[#This Row],[Candidate 9]], "")</f>
        <v/>
      </c>
      <c r="AN167" s="17" t="str">
        <f>IF(NOT(ISBLANK(Audit[[#This Row],[Audit Candidate 10]])), Audit[[#This Row],[Audit Candidate 10]]-Audit[[#This Row],[Candidate 10]], "")</f>
        <v/>
      </c>
      <c r="AO167" s="17" t="str">
        <f>IF(NOT(ISBLANK(Audit[[#This Row],[Audit Candidate 11]])), Audit[[#This Row],[Audit Candidate 11]]-Audit[[#This Row],[Candidate 11]], "")</f>
        <v/>
      </c>
      <c r="AP167" s="17" t="str">
        <f>IF(NOT(ISBLANK(Audit[[#This Row],[Audit Candidate 12]])), Audit[[#This Row],[Audit Candidate 12]]-Audit[[#This Row],[Candidate 12]], "")</f>
        <v/>
      </c>
      <c r="AQ167" s="17">
        <f>SUMIF(Audit[[#This Row],[Difference Winner]:[Difference Candidate 12]], "&gt;0")</f>
        <v>0</v>
      </c>
      <c r="AR167" s="17">
        <f>SUM(Audit[[#This Row],[Difference Winner]:[Difference Candidate 12]])</f>
        <v>0</v>
      </c>
      <c r="AS167" s="17">
        <f>IF(Audit[[#This Row],[Times p Drawn - With Replacement]]&gt;0, IF(Audit[[#This Row],[Canceled Differences]]&lt;0, Audit[[#This Row],[Max Differences]]+ABS(Audit[[#This Row],[Canceled Differences]]), Audit[[#This Row],[Max Differences]]), 0)</f>
        <v>0</v>
      </c>
      <c r="AT167" s="17">
        <f>'Sampling Data'!AB167</f>
        <v>8.5299609573926335E-3</v>
      </c>
      <c r="AU167" s="17">
        <f>IF(
      SUM(Audit[[#This Row],[Audit Losing Candidate]:[Audit Candidate 12]])
      &lt;&gt;0,
      (Audit[[#This Row],[Winning Candidate]]-Audit[[#This Row],[Losing Candidate]]-(Audit[[#This Row],[Audit Winning Candidate]]-Audit[[#This Row],[Audit Losing Candidate]]))/(Audit[[#Totals],[Winning Candidate]]-Audit[[#Totals],[Losing Candidate]]),
      0
)</f>
        <v>0</v>
      </c>
      <c r="AV1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7" s="17">
        <f>IF(Audit[[#This Row],[Max Relative Error (ep)]] = 0, 0, Audit[[#This Row],[Max Relative Error (ep)]]/Audit[[#This Row],[Error Bound (up) - Max. possible relative overstatement]])</f>
        <v>0</v>
      </c>
      <c r="BH1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67" s="17">
        <f t="shared" si="3"/>
        <v>1</v>
      </c>
      <c r="BJ167" s="17">
        <f>PRODUCT($BI$5:BI167)</f>
        <v>0.68031947676209759</v>
      </c>
      <c r="BK167" s="19">
        <f>1 - Audit[[#This Row],[K-M P Value]]</f>
        <v>0.31968052323790241</v>
      </c>
      <c r="BL167" s="17" t="str">
        <f>IF(Audit[[#This Row],[K-M P Value]]&gt;1-'General Info'!$B$12,"Continue", "Stop")</f>
        <v>Continue</v>
      </c>
      <c r="BM167" s="22" t="b">
        <f>IF(Audit[[#This Row],[Status - Continue or stop audit]] = "Continue", TRUE, IF(BL166 = "Continue", TRUE, FALSE))</f>
        <v>1</v>
      </c>
      <c r="BN167" s="22"/>
    </row>
    <row r="168" spans="1:66" ht="15" hidden="1" customHeight="1" x14ac:dyDescent="0.35">
      <c r="A168" s="17" t="str">
        <f>'Sampling Data'!AI168</f>
        <v/>
      </c>
      <c r="B168" s="17" t="str">
        <f>'Sampling Data'!A168</f>
        <v>2505 CIN 25-E   (AV)</v>
      </c>
      <c r="C168" s="17">
        <f>'Sampling Data'!B168</f>
        <v>139</v>
      </c>
      <c r="D168" s="17">
        <f>'Sampling Data'!C168</f>
        <v>121</v>
      </c>
      <c r="E168" s="18">
        <f>'Sampling Data'!D168</f>
        <v>0</v>
      </c>
      <c r="F168" s="18">
        <f>'Sampling Data'!E168</f>
        <v>0</v>
      </c>
      <c r="G168" s="18">
        <f>'Sampling Data'!F168</f>
        <v>0</v>
      </c>
      <c r="H168" s="18">
        <f>'Sampling Data'!G168</f>
        <v>0</v>
      </c>
      <c r="I168" s="18">
        <f>'Sampling Data'!H168</f>
        <v>0</v>
      </c>
      <c r="J168" s="18">
        <f>'Sampling Data'!I168</f>
        <v>0</v>
      </c>
      <c r="K168" s="18">
        <f>'Sampling Data'!J168</f>
        <v>0</v>
      </c>
      <c r="L168" s="18">
        <f>'Sampling Data'!K168</f>
        <v>0</v>
      </c>
      <c r="M168" s="18">
        <f>'Sampling Data'!L168</f>
        <v>0</v>
      </c>
      <c r="N168" s="18">
        <f>'Sampling Data'!M168</f>
        <v>0</v>
      </c>
      <c r="O168" s="17">
        <f>'Sampling Data'!N168</f>
        <v>1</v>
      </c>
      <c r="P168" s="17">
        <f>'Sampling Data'!O168</f>
        <v>10</v>
      </c>
      <c r="Q168" s="17">
        <f>'Sampling Data'!P168</f>
        <v>271</v>
      </c>
      <c r="R168" s="17">
        <f>'Sampling Data'!AJ168</f>
        <v>0</v>
      </c>
      <c r="S168" s="111"/>
      <c r="T168" s="111"/>
      <c r="U168" s="112"/>
      <c r="V168" s="112"/>
      <c r="W168" s="111"/>
      <c r="X168" s="111"/>
      <c r="Y168" s="111"/>
      <c r="Z168" s="111"/>
      <c r="AA168" s="14"/>
      <c r="AB168" s="14"/>
      <c r="AC168" s="14"/>
      <c r="AD168" s="14"/>
      <c r="AE168" s="113" t="str">
        <f>IF(NOT(ISBLANK(Audit[[#This Row],[Audit Winning Candidate]])), Audit[[#This Row],[Audit Winning Candidate]]-Audit[[#This Row],[Winning Candidate]], "")</f>
        <v/>
      </c>
      <c r="AF168" s="17" t="str">
        <f>IF(NOT(ISBLANK(Audit[[#This Row],[Audit Losing Candidate]])), Audit[[#This Row],[Audit Losing Candidate]]-Audit[[#This Row],[Losing Candidate]], "")</f>
        <v/>
      </c>
      <c r="AG168" s="17" t="str">
        <f>IF(NOT(ISBLANK(Audit[[#This Row],[Audit Candidate 3]])), Audit[[#This Row],[Audit Candidate 3]]-Audit[[#This Row],[Candidate 3]], "")</f>
        <v/>
      </c>
      <c r="AH168" s="17" t="str">
        <f>IF(NOT(ISBLANK(Audit[[#This Row],[Audit Candidate 4]])),Audit[[#This Row],[Audit Candidate 4]]-Audit[[#This Row],[Candidate 4]], "")</f>
        <v/>
      </c>
      <c r="AI168" s="17" t="str">
        <f>IF(NOT(ISBLANK(Audit[[#This Row],[Audit Candidate 5]])), Audit[[#This Row],[Audit Candidate 5]]-Audit[[#This Row],[Candidate 5]], "")</f>
        <v/>
      </c>
      <c r="AJ168" s="17" t="str">
        <f>IF(NOT(ISBLANK(Audit[[#This Row],[Audit Candidate 6]])), Audit[[#This Row],[Audit Candidate 6]]-Audit[[#This Row],[Candidate 6]], "")</f>
        <v/>
      </c>
      <c r="AK168" s="17" t="str">
        <f>IF(NOT(ISBLANK(Audit[[#This Row],[Audit Candidate 7]])), Audit[[#This Row],[Audit Candidate 7]]-Audit[[#This Row],[Candidate 7]], "")</f>
        <v/>
      </c>
      <c r="AL168" s="17" t="str">
        <f>IF(NOT(ISBLANK(Audit[[#This Row],[Audit Candidate 8]])), Audit[[#This Row],[Audit Candidate 8]]-Audit[[#This Row],[Candidate 8]], "")</f>
        <v/>
      </c>
      <c r="AM168" s="17" t="str">
        <f>IF(NOT(ISBLANK(Audit[[#This Row],[Audit Candidate 9]])), Audit[[#This Row],[Audit Candidate 9]]-Audit[[#This Row],[Candidate 9]], "")</f>
        <v/>
      </c>
      <c r="AN168" s="17" t="str">
        <f>IF(NOT(ISBLANK(Audit[[#This Row],[Audit Candidate 10]])), Audit[[#This Row],[Audit Candidate 10]]-Audit[[#This Row],[Candidate 10]], "")</f>
        <v/>
      </c>
      <c r="AO168" s="17" t="str">
        <f>IF(NOT(ISBLANK(Audit[[#This Row],[Audit Candidate 11]])), Audit[[#This Row],[Audit Candidate 11]]-Audit[[#This Row],[Candidate 11]], "")</f>
        <v/>
      </c>
      <c r="AP168" s="17" t="str">
        <f>IF(NOT(ISBLANK(Audit[[#This Row],[Audit Candidate 12]])), Audit[[#This Row],[Audit Candidate 12]]-Audit[[#This Row],[Candidate 12]], "")</f>
        <v/>
      </c>
      <c r="AQ168" s="17">
        <f>SUMIF(Audit[[#This Row],[Difference Winner]:[Difference Candidate 12]], "&gt;0")</f>
        <v>0</v>
      </c>
      <c r="AR168" s="17">
        <f>SUM(Audit[[#This Row],[Difference Winner]:[Difference Candidate 12]])</f>
        <v>0</v>
      </c>
      <c r="AS168" s="17">
        <f>IF(Audit[[#This Row],[Times p Drawn - With Replacement]]&gt;0, IF(Audit[[#This Row],[Canceled Differences]]&lt;0, Audit[[#This Row],[Max Differences]]+ABS(Audit[[#This Row],[Canceled Differences]]), Audit[[#This Row],[Max Differences]]), 0)</f>
        <v>0</v>
      </c>
      <c r="AT168" s="17">
        <f>'Sampling Data'!AB168</f>
        <v>1.2264471227295876E-2</v>
      </c>
      <c r="AU168" s="17">
        <f>IF(
      SUM(Audit[[#This Row],[Audit Losing Candidate]:[Audit Candidate 12]])
      &lt;&gt;0,
      (Audit[[#This Row],[Winning Candidate]]-Audit[[#This Row],[Losing Candidate]]-(Audit[[#This Row],[Audit Winning Candidate]]-Audit[[#This Row],[Audit Losing Candidate]]))/(Audit[[#Totals],[Winning Candidate]]-Audit[[#Totals],[Losing Candidate]]),
      0
)</f>
        <v>0</v>
      </c>
      <c r="AV1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8" s="17">
        <f>IF(Audit[[#This Row],[Max Relative Error (ep)]] = 0, 0, Audit[[#This Row],[Max Relative Error (ep)]]/Audit[[#This Row],[Error Bound (up) - Max. possible relative overstatement]])</f>
        <v>0</v>
      </c>
      <c r="BH1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68" s="17">
        <f t="shared" si="3"/>
        <v>1</v>
      </c>
      <c r="BJ168" s="17">
        <f>PRODUCT($BI$5:BI168)</f>
        <v>0.68031947676209759</v>
      </c>
      <c r="BK168" s="19">
        <f>1 - Audit[[#This Row],[K-M P Value]]</f>
        <v>0.31968052323790241</v>
      </c>
      <c r="BL168" s="17" t="str">
        <f>IF(Audit[[#This Row],[K-M P Value]]&gt;1-'General Info'!$B$12,"Continue", "Stop")</f>
        <v>Continue</v>
      </c>
      <c r="BM168" s="22" t="b">
        <f>IF(Audit[[#This Row],[Status - Continue or stop audit]] = "Continue", TRUE, IF(BL167 = "Continue", TRUE, FALSE))</f>
        <v>1</v>
      </c>
      <c r="BN168" s="22"/>
    </row>
    <row r="169" spans="1:66" ht="15" hidden="1" customHeight="1" x14ac:dyDescent="0.35">
      <c r="A169" s="17" t="str">
        <f>'Sampling Data'!AI169</f>
        <v/>
      </c>
      <c r="B169" s="17" t="str">
        <f>'Sampling Data'!A169</f>
        <v>2506 CIN 25-F   (AV)</v>
      </c>
      <c r="C169" s="17">
        <f>'Sampling Data'!B169</f>
        <v>122</v>
      </c>
      <c r="D169" s="17">
        <f>'Sampling Data'!C169</f>
        <v>83</v>
      </c>
      <c r="E169" s="18">
        <f>'Sampling Data'!D169</f>
        <v>0</v>
      </c>
      <c r="F169" s="18">
        <f>'Sampling Data'!E169</f>
        <v>0</v>
      </c>
      <c r="G169" s="18">
        <f>'Sampling Data'!F169</f>
        <v>0</v>
      </c>
      <c r="H169" s="18">
        <f>'Sampling Data'!G169</f>
        <v>0</v>
      </c>
      <c r="I169" s="18">
        <f>'Sampling Data'!H169</f>
        <v>0</v>
      </c>
      <c r="J169" s="18">
        <f>'Sampling Data'!I169</f>
        <v>0</v>
      </c>
      <c r="K169" s="18">
        <f>'Sampling Data'!J169</f>
        <v>0</v>
      </c>
      <c r="L169" s="18">
        <f>'Sampling Data'!K169</f>
        <v>0</v>
      </c>
      <c r="M169" s="18">
        <f>'Sampling Data'!L169</f>
        <v>0</v>
      </c>
      <c r="N169" s="18">
        <f>'Sampling Data'!M169</f>
        <v>0</v>
      </c>
      <c r="O169" s="17">
        <f>'Sampling Data'!N169</f>
        <v>0</v>
      </c>
      <c r="P169" s="17">
        <f>'Sampling Data'!O169</f>
        <v>16</v>
      </c>
      <c r="Q169" s="17">
        <f>'Sampling Data'!P169</f>
        <v>221</v>
      </c>
      <c r="R169" s="17">
        <f>'Sampling Data'!AJ169</f>
        <v>0</v>
      </c>
      <c r="S169" s="111"/>
      <c r="T169" s="111"/>
      <c r="U169" s="112"/>
      <c r="V169" s="112"/>
      <c r="W169" s="111"/>
      <c r="X169" s="111"/>
      <c r="Y169" s="111"/>
      <c r="Z169" s="111"/>
      <c r="AA169" s="14"/>
      <c r="AB169" s="14"/>
      <c r="AC169" s="14"/>
      <c r="AD169" s="14"/>
      <c r="AE169" s="113" t="str">
        <f>IF(NOT(ISBLANK(Audit[[#This Row],[Audit Winning Candidate]])), Audit[[#This Row],[Audit Winning Candidate]]-Audit[[#This Row],[Winning Candidate]], "")</f>
        <v/>
      </c>
      <c r="AF169" s="17" t="str">
        <f>IF(NOT(ISBLANK(Audit[[#This Row],[Audit Losing Candidate]])), Audit[[#This Row],[Audit Losing Candidate]]-Audit[[#This Row],[Losing Candidate]], "")</f>
        <v/>
      </c>
      <c r="AG169" s="17" t="str">
        <f>IF(NOT(ISBLANK(Audit[[#This Row],[Audit Candidate 3]])), Audit[[#This Row],[Audit Candidate 3]]-Audit[[#This Row],[Candidate 3]], "")</f>
        <v/>
      </c>
      <c r="AH169" s="17" t="str">
        <f>IF(NOT(ISBLANK(Audit[[#This Row],[Audit Candidate 4]])),Audit[[#This Row],[Audit Candidate 4]]-Audit[[#This Row],[Candidate 4]], "")</f>
        <v/>
      </c>
      <c r="AI169" s="17" t="str">
        <f>IF(NOT(ISBLANK(Audit[[#This Row],[Audit Candidate 5]])), Audit[[#This Row],[Audit Candidate 5]]-Audit[[#This Row],[Candidate 5]], "")</f>
        <v/>
      </c>
      <c r="AJ169" s="17" t="str">
        <f>IF(NOT(ISBLANK(Audit[[#This Row],[Audit Candidate 6]])), Audit[[#This Row],[Audit Candidate 6]]-Audit[[#This Row],[Candidate 6]], "")</f>
        <v/>
      </c>
      <c r="AK169" s="17" t="str">
        <f>IF(NOT(ISBLANK(Audit[[#This Row],[Audit Candidate 7]])), Audit[[#This Row],[Audit Candidate 7]]-Audit[[#This Row],[Candidate 7]], "")</f>
        <v/>
      </c>
      <c r="AL169" s="17" t="str">
        <f>IF(NOT(ISBLANK(Audit[[#This Row],[Audit Candidate 8]])), Audit[[#This Row],[Audit Candidate 8]]-Audit[[#This Row],[Candidate 8]], "")</f>
        <v/>
      </c>
      <c r="AM169" s="17" t="str">
        <f>IF(NOT(ISBLANK(Audit[[#This Row],[Audit Candidate 9]])), Audit[[#This Row],[Audit Candidate 9]]-Audit[[#This Row],[Candidate 9]], "")</f>
        <v/>
      </c>
      <c r="AN169" s="17" t="str">
        <f>IF(NOT(ISBLANK(Audit[[#This Row],[Audit Candidate 10]])), Audit[[#This Row],[Audit Candidate 10]]-Audit[[#This Row],[Candidate 10]], "")</f>
        <v/>
      </c>
      <c r="AO169" s="17" t="str">
        <f>IF(NOT(ISBLANK(Audit[[#This Row],[Audit Candidate 11]])), Audit[[#This Row],[Audit Candidate 11]]-Audit[[#This Row],[Candidate 11]], "")</f>
        <v/>
      </c>
      <c r="AP169" s="17" t="str">
        <f>IF(NOT(ISBLANK(Audit[[#This Row],[Audit Candidate 12]])), Audit[[#This Row],[Audit Candidate 12]]-Audit[[#This Row],[Candidate 12]], "")</f>
        <v/>
      </c>
      <c r="AQ169" s="17">
        <f>SUMIF(Audit[[#This Row],[Difference Winner]:[Difference Candidate 12]], "&gt;0")</f>
        <v>0</v>
      </c>
      <c r="AR169" s="17">
        <f>SUM(Audit[[#This Row],[Difference Winner]:[Difference Candidate 12]])</f>
        <v>0</v>
      </c>
      <c r="AS169" s="17">
        <f>IF(Audit[[#This Row],[Times p Drawn - With Replacement]]&gt;0, IF(Audit[[#This Row],[Canceled Differences]]&lt;0, Audit[[#This Row],[Max Differences]]+ABS(Audit[[#This Row],[Canceled Differences]]), Audit[[#This Row],[Max Differences]]), 0)</f>
        <v>0</v>
      </c>
      <c r="AT169" s="17">
        <f>'Sampling Data'!AB169</f>
        <v>1.1033780342895943E-2</v>
      </c>
      <c r="AU169" s="17">
        <f>IF(
      SUM(Audit[[#This Row],[Audit Losing Candidate]:[Audit Candidate 12]])
      &lt;&gt;0,
      (Audit[[#This Row],[Winning Candidate]]-Audit[[#This Row],[Losing Candidate]]-(Audit[[#This Row],[Audit Winning Candidate]]-Audit[[#This Row],[Audit Losing Candidate]]))/(Audit[[#Totals],[Winning Candidate]]-Audit[[#Totals],[Losing Candidate]]),
      0
)</f>
        <v>0</v>
      </c>
      <c r="AV1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9" s="17">
        <f>IF(Audit[[#This Row],[Max Relative Error (ep)]] = 0, 0, Audit[[#This Row],[Max Relative Error (ep)]]/Audit[[#This Row],[Error Bound (up) - Max. possible relative overstatement]])</f>
        <v>0</v>
      </c>
      <c r="BH1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69" s="17">
        <f t="shared" si="3"/>
        <v>1</v>
      </c>
      <c r="BJ169" s="17">
        <f>PRODUCT($BI$5:BI169)</f>
        <v>0.68031947676209759</v>
      </c>
      <c r="BK169" s="19">
        <f>1 - Audit[[#This Row],[K-M P Value]]</f>
        <v>0.31968052323790241</v>
      </c>
      <c r="BL169" s="17" t="str">
        <f>IF(Audit[[#This Row],[K-M P Value]]&gt;1-'General Info'!$B$12,"Continue", "Stop")</f>
        <v>Continue</v>
      </c>
      <c r="BM169" s="22" t="b">
        <f>IF(Audit[[#This Row],[Status - Continue or stop audit]] = "Continue", TRUE, IF(BL168 = "Continue", TRUE, FALSE))</f>
        <v>1</v>
      </c>
      <c r="BN169" s="22"/>
    </row>
    <row r="170" spans="1:66" ht="15" hidden="1" customHeight="1" x14ac:dyDescent="0.35">
      <c r="A170" s="17" t="str">
        <f>'Sampling Data'!AI170</f>
        <v/>
      </c>
      <c r="B170" s="17" t="str">
        <f>'Sampling Data'!A170</f>
        <v>2507 CIN 25-G   (AV)</v>
      </c>
      <c r="C170" s="17">
        <f>'Sampling Data'!B170</f>
        <v>76</v>
      </c>
      <c r="D170" s="17">
        <f>'Sampling Data'!C170</f>
        <v>39</v>
      </c>
      <c r="E170" s="18">
        <f>'Sampling Data'!D170</f>
        <v>0</v>
      </c>
      <c r="F170" s="18">
        <f>'Sampling Data'!E170</f>
        <v>0</v>
      </c>
      <c r="G170" s="18">
        <f>'Sampling Data'!F170</f>
        <v>0</v>
      </c>
      <c r="H170" s="18">
        <f>'Sampling Data'!G170</f>
        <v>0</v>
      </c>
      <c r="I170" s="18">
        <f>'Sampling Data'!H170</f>
        <v>0</v>
      </c>
      <c r="J170" s="18">
        <f>'Sampling Data'!I170</f>
        <v>0</v>
      </c>
      <c r="K170" s="18">
        <f>'Sampling Data'!J170</f>
        <v>0</v>
      </c>
      <c r="L170" s="18">
        <f>'Sampling Data'!K170</f>
        <v>0</v>
      </c>
      <c r="M170" s="18">
        <f>'Sampling Data'!L170</f>
        <v>0</v>
      </c>
      <c r="N170" s="18">
        <f>'Sampling Data'!M170</f>
        <v>0</v>
      </c>
      <c r="O170" s="17">
        <f>'Sampling Data'!N170</f>
        <v>0</v>
      </c>
      <c r="P170" s="17">
        <f>'Sampling Data'!O170</f>
        <v>3</v>
      </c>
      <c r="Q170" s="17">
        <f>'Sampling Data'!P170</f>
        <v>118</v>
      </c>
      <c r="R170" s="17">
        <f>'Sampling Data'!AJ170</f>
        <v>0</v>
      </c>
      <c r="S170" s="111"/>
      <c r="T170" s="111"/>
      <c r="U170" s="112"/>
      <c r="V170" s="112"/>
      <c r="W170" s="111"/>
      <c r="X170" s="111"/>
      <c r="Y170" s="111"/>
      <c r="Z170" s="111"/>
      <c r="AA170" s="14"/>
      <c r="AB170" s="14"/>
      <c r="AC170" s="14"/>
      <c r="AD170" s="14"/>
      <c r="AE170" s="113" t="str">
        <f>IF(NOT(ISBLANK(Audit[[#This Row],[Audit Winning Candidate]])), Audit[[#This Row],[Audit Winning Candidate]]-Audit[[#This Row],[Winning Candidate]], "")</f>
        <v/>
      </c>
      <c r="AF170" s="17" t="str">
        <f>IF(NOT(ISBLANK(Audit[[#This Row],[Audit Losing Candidate]])), Audit[[#This Row],[Audit Losing Candidate]]-Audit[[#This Row],[Losing Candidate]], "")</f>
        <v/>
      </c>
      <c r="AG170" s="17" t="str">
        <f>IF(NOT(ISBLANK(Audit[[#This Row],[Audit Candidate 3]])), Audit[[#This Row],[Audit Candidate 3]]-Audit[[#This Row],[Candidate 3]], "")</f>
        <v/>
      </c>
      <c r="AH170" s="17" t="str">
        <f>IF(NOT(ISBLANK(Audit[[#This Row],[Audit Candidate 4]])),Audit[[#This Row],[Audit Candidate 4]]-Audit[[#This Row],[Candidate 4]], "")</f>
        <v/>
      </c>
      <c r="AI170" s="17" t="str">
        <f>IF(NOT(ISBLANK(Audit[[#This Row],[Audit Candidate 5]])), Audit[[#This Row],[Audit Candidate 5]]-Audit[[#This Row],[Candidate 5]], "")</f>
        <v/>
      </c>
      <c r="AJ170" s="17" t="str">
        <f>IF(NOT(ISBLANK(Audit[[#This Row],[Audit Candidate 6]])), Audit[[#This Row],[Audit Candidate 6]]-Audit[[#This Row],[Candidate 6]], "")</f>
        <v/>
      </c>
      <c r="AK170" s="17" t="str">
        <f>IF(NOT(ISBLANK(Audit[[#This Row],[Audit Candidate 7]])), Audit[[#This Row],[Audit Candidate 7]]-Audit[[#This Row],[Candidate 7]], "")</f>
        <v/>
      </c>
      <c r="AL170" s="17" t="str">
        <f>IF(NOT(ISBLANK(Audit[[#This Row],[Audit Candidate 8]])), Audit[[#This Row],[Audit Candidate 8]]-Audit[[#This Row],[Candidate 8]], "")</f>
        <v/>
      </c>
      <c r="AM170" s="17" t="str">
        <f>IF(NOT(ISBLANK(Audit[[#This Row],[Audit Candidate 9]])), Audit[[#This Row],[Audit Candidate 9]]-Audit[[#This Row],[Candidate 9]], "")</f>
        <v/>
      </c>
      <c r="AN170" s="17" t="str">
        <f>IF(NOT(ISBLANK(Audit[[#This Row],[Audit Candidate 10]])), Audit[[#This Row],[Audit Candidate 10]]-Audit[[#This Row],[Candidate 10]], "")</f>
        <v/>
      </c>
      <c r="AO170" s="17" t="str">
        <f>IF(NOT(ISBLANK(Audit[[#This Row],[Audit Candidate 11]])), Audit[[#This Row],[Audit Candidate 11]]-Audit[[#This Row],[Candidate 11]], "")</f>
        <v/>
      </c>
      <c r="AP170" s="17" t="str">
        <f>IF(NOT(ISBLANK(Audit[[#This Row],[Audit Candidate 12]])), Audit[[#This Row],[Audit Candidate 12]]-Audit[[#This Row],[Candidate 12]], "")</f>
        <v/>
      </c>
      <c r="AQ170" s="17">
        <f>SUMIF(Audit[[#This Row],[Difference Winner]:[Difference Candidate 12]], "&gt;0")</f>
        <v>0</v>
      </c>
      <c r="AR170" s="17">
        <f>SUM(Audit[[#This Row],[Difference Winner]:[Difference Candidate 12]])</f>
        <v>0</v>
      </c>
      <c r="AS170" s="17">
        <f>IF(Audit[[#This Row],[Times p Drawn - With Replacement]]&gt;0, IF(Audit[[#This Row],[Canceled Differences]]&lt;0, Audit[[#This Row],[Max Differences]]+ABS(Audit[[#This Row],[Canceled Differences]]), Audit[[#This Row],[Max Differences]]), 0)</f>
        <v>0</v>
      </c>
      <c r="AT170" s="17">
        <f>'Sampling Data'!AB170</f>
        <v>6.5778305890341199E-3</v>
      </c>
      <c r="AU170" s="17">
        <f>IF(
      SUM(Audit[[#This Row],[Audit Losing Candidate]:[Audit Candidate 12]])
      &lt;&gt;0,
      (Audit[[#This Row],[Winning Candidate]]-Audit[[#This Row],[Losing Candidate]]-(Audit[[#This Row],[Audit Winning Candidate]]-Audit[[#This Row],[Audit Losing Candidate]]))/(Audit[[#Totals],[Winning Candidate]]-Audit[[#Totals],[Losing Candidate]]),
      0
)</f>
        <v>0</v>
      </c>
      <c r="AV1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0" s="17">
        <f>IF(Audit[[#This Row],[Max Relative Error (ep)]] = 0, 0, Audit[[#This Row],[Max Relative Error (ep)]]/Audit[[#This Row],[Error Bound (up) - Max. possible relative overstatement]])</f>
        <v>0</v>
      </c>
      <c r="BH1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70" s="17">
        <f t="shared" si="3"/>
        <v>1</v>
      </c>
      <c r="BJ170" s="17">
        <f>PRODUCT($BI$5:BI170)</f>
        <v>0.68031947676209759</v>
      </c>
      <c r="BK170" s="19">
        <f>1 - Audit[[#This Row],[K-M P Value]]</f>
        <v>0.31968052323790241</v>
      </c>
      <c r="BL170" s="17" t="str">
        <f>IF(Audit[[#This Row],[K-M P Value]]&gt;1-'General Info'!$B$12,"Continue", "Stop")</f>
        <v>Continue</v>
      </c>
      <c r="BM170" s="22" t="b">
        <f>IF(Audit[[#This Row],[Status - Continue or stop audit]] = "Continue", TRUE, IF(BL169 = "Continue", TRUE, FALSE))</f>
        <v>1</v>
      </c>
      <c r="BN170" s="22"/>
    </row>
    <row r="171" spans="1:66" ht="15" hidden="1" customHeight="1" x14ac:dyDescent="0.35">
      <c r="A171" s="17" t="str">
        <f>'Sampling Data'!AI171</f>
        <v/>
      </c>
      <c r="B171" s="17" t="str">
        <f>'Sampling Data'!A171</f>
        <v>2508 CIN 25-H   (AV)</v>
      </c>
      <c r="C171" s="17">
        <f>'Sampling Data'!B171</f>
        <v>161</v>
      </c>
      <c r="D171" s="17">
        <f>'Sampling Data'!C171</f>
        <v>86</v>
      </c>
      <c r="E171" s="18">
        <f>'Sampling Data'!D171</f>
        <v>0</v>
      </c>
      <c r="F171" s="18">
        <f>'Sampling Data'!E171</f>
        <v>0</v>
      </c>
      <c r="G171" s="18">
        <f>'Sampling Data'!F171</f>
        <v>0</v>
      </c>
      <c r="H171" s="18">
        <f>'Sampling Data'!G171</f>
        <v>0</v>
      </c>
      <c r="I171" s="18">
        <f>'Sampling Data'!H171</f>
        <v>0</v>
      </c>
      <c r="J171" s="18">
        <f>'Sampling Data'!I171</f>
        <v>0</v>
      </c>
      <c r="K171" s="18">
        <f>'Sampling Data'!J171</f>
        <v>0</v>
      </c>
      <c r="L171" s="18">
        <f>'Sampling Data'!K171</f>
        <v>0</v>
      </c>
      <c r="M171" s="18">
        <f>'Sampling Data'!L171</f>
        <v>0</v>
      </c>
      <c r="N171" s="18">
        <f>'Sampling Data'!M171</f>
        <v>0</v>
      </c>
      <c r="O171" s="17">
        <f>'Sampling Data'!N171</f>
        <v>0</v>
      </c>
      <c r="P171" s="17">
        <f>'Sampling Data'!O171</f>
        <v>7</v>
      </c>
      <c r="Q171" s="17">
        <f>'Sampling Data'!P171</f>
        <v>254</v>
      </c>
      <c r="R171" s="17">
        <f>'Sampling Data'!AJ171</f>
        <v>0</v>
      </c>
      <c r="S171" s="111"/>
      <c r="T171" s="111"/>
      <c r="U171" s="112"/>
      <c r="V171" s="112"/>
      <c r="W171" s="111"/>
      <c r="X171" s="111"/>
      <c r="Y171" s="111"/>
      <c r="Z171" s="111"/>
      <c r="AA171" s="14"/>
      <c r="AB171" s="14"/>
      <c r="AC171" s="14"/>
      <c r="AD171" s="14"/>
      <c r="AE171" s="113" t="str">
        <f>IF(NOT(ISBLANK(Audit[[#This Row],[Audit Winning Candidate]])), Audit[[#This Row],[Audit Winning Candidate]]-Audit[[#This Row],[Winning Candidate]], "")</f>
        <v/>
      </c>
      <c r="AF171" s="17" t="str">
        <f>IF(NOT(ISBLANK(Audit[[#This Row],[Audit Losing Candidate]])), Audit[[#This Row],[Audit Losing Candidate]]-Audit[[#This Row],[Losing Candidate]], "")</f>
        <v/>
      </c>
      <c r="AG171" s="17" t="str">
        <f>IF(NOT(ISBLANK(Audit[[#This Row],[Audit Candidate 3]])), Audit[[#This Row],[Audit Candidate 3]]-Audit[[#This Row],[Candidate 3]], "")</f>
        <v/>
      </c>
      <c r="AH171" s="17" t="str">
        <f>IF(NOT(ISBLANK(Audit[[#This Row],[Audit Candidate 4]])),Audit[[#This Row],[Audit Candidate 4]]-Audit[[#This Row],[Candidate 4]], "")</f>
        <v/>
      </c>
      <c r="AI171" s="17" t="str">
        <f>IF(NOT(ISBLANK(Audit[[#This Row],[Audit Candidate 5]])), Audit[[#This Row],[Audit Candidate 5]]-Audit[[#This Row],[Candidate 5]], "")</f>
        <v/>
      </c>
      <c r="AJ171" s="17" t="str">
        <f>IF(NOT(ISBLANK(Audit[[#This Row],[Audit Candidate 6]])), Audit[[#This Row],[Audit Candidate 6]]-Audit[[#This Row],[Candidate 6]], "")</f>
        <v/>
      </c>
      <c r="AK171" s="17" t="str">
        <f>IF(NOT(ISBLANK(Audit[[#This Row],[Audit Candidate 7]])), Audit[[#This Row],[Audit Candidate 7]]-Audit[[#This Row],[Candidate 7]], "")</f>
        <v/>
      </c>
      <c r="AL171" s="17" t="str">
        <f>IF(NOT(ISBLANK(Audit[[#This Row],[Audit Candidate 8]])), Audit[[#This Row],[Audit Candidate 8]]-Audit[[#This Row],[Candidate 8]], "")</f>
        <v/>
      </c>
      <c r="AM171" s="17" t="str">
        <f>IF(NOT(ISBLANK(Audit[[#This Row],[Audit Candidate 9]])), Audit[[#This Row],[Audit Candidate 9]]-Audit[[#This Row],[Candidate 9]], "")</f>
        <v/>
      </c>
      <c r="AN171" s="17" t="str">
        <f>IF(NOT(ISBLANK(Audit[[#This Row],[Audit Candidate 10]])), Audit[[#This Row],[Audit Candidate 10]]-Audit[[#This Row],[Candidate 10]], "")</f>
        <v/>
      </c>
      <c r="AO171" s="17" t="str">
        <f>IF(NOT(ISBLANK(Audit[[#This Row],[Audit Candidate 11]])), Audit[[#This Row],[Audit Candidate 11]]-Audit[[#This Row],[Candidate 11]], "")</f>
        <v/>
      </c>
      <c r="AP171" s="17" t="str">
        <f>IF(NOT(ISBLANK(Audit[[#This Row],[Audit Candidate 12]])), Audit[[#This Row],[Audit Candidate 12]]-Audit[[#This Row],[Candidate 12]], "")</f>
        <v/>
      </c>
      <c r="AQ171" s="17">
        <f>SUMIF(Audit[[#This Row],[Difference Winner]:[Difference Candidate 12]], "&gt;0")</f>
        <v>0</v>
      </c>
      <c r="AR171" s="17">
        <f>SUM(Audit[[#This Row],[Difference Winner]:[Difference Candidate 12]])</f>
        <v>0</v>
      </c>
      <c r="AS171" s="17">
        <f>IF(Audit[[#This Row],[Times p Drawn - With Replacement]]&gt;0, IF(Audit[[#This Row],[Canceled Differences]]&lt;0, Audit[[#This Row],[Max Differences]]+ABS(Audit[[#This Row],[Canceled Differences]]), Audit[[#This Row],[Max Differences]]), 0)</f>
        <v>0</v>
      </c>
      <c r="AT171" s="17">
        <f>'Sampling Data'!AB171</f>
        <v>1.3961975895433713E-2</v>
      </c>
      <c r="AU171" s="17">
        <f>IF(
      SUM(Audit[[#This Row],[Audit Losing Candidate]:[Audit Candidate 12]])
      &lt;&gt;0,
      (Audit[[#This Row],[Winning Candidate]]-Audit[[#This Row],[Losing Candidate]]-(Audit[[#This Row],[Audit Winning Candidate]]-Audit[[#This Row],[Audit Losing Candidate]]))/(Audit[[#Totals],[Winning Candidate]]-Audit[[#Totals],[Losing Candidate]]),
      0
)</f>
        <v>0</v>
      </c>
      <c r="AV1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1" s="17">
        <f>IF(Audit[[#This Row],[Max Relative Error (ep)]] = 0, 0, Audit[[#This Row],[Max Relative Error (ep)]]/Audit[[#This Row],[Error Bound (up) - Max. possible relative overstatement]])</f>
        <v>0</v>
      </c>
      <c r="BH1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71" s="17">
        <f t="shared" si="3"/>
        <v>1</v>
      </c>
      <c r="BJ171" s="17">
        <f>PRODUCT($BI$5:BI171)</f>
        <v>0.68031947676209759</v>
      </c>
      <c r="BK171" s="19">
        <f>1 - Audit[[#This Row],[K-M P Value]]</f>
        <v>0.31968052323790241</v>
      </c>
      <c r="BL171" s="17" t="str">
        <f>IF(Audit[[#This Row],[K-M P Value]]&gt;1-'General Info'!$B$12,"Continue", "Stop")</f>
        <v>Continue</v>
      </c>
      <c r="BM171" s="22" t="b">
        <f>IF(Audit[[#This Row],[Status - Continue or stop audit]] = "Continue", TRUE, IF(BL170 = "Continue", TRUE, FALSE))</f>
        <v>1</v>
      </c>
      <c r="BN171" s="22"/>
    </row>
    <row r="172" spans="1:66" ht="15" hidden="1" customHeight="1" x14ac:dyDescent="0.35">
      <c r="A172" s="17" t="str">
        <f>'Sampling Data'!AI172</f>
        <v/>
      </c>
      <c r="B172" s="17" t="str">
        <f>'Sampling Data'!A172</f>
        <v>2509 CIN 25-I   (AV)</v>
      </c>
      <c r="C172" s="17">
        <f>'Sampling Data'!B172</f>
        <v>106</v>
      </c>
      <c r="D172" s="17">
        <f>'Sampling Data'!C172</f>
        <v>80</v>
      </c>
      <c r="E172" s="18">
        <f>'Sampling Data'!D172</f>
        <v>0</v>
      </c>
      <c r="F172" s="18">
        <f>'Sampling Data'!E172</f>
        <v>0</v>
      </c>
      <c r="G172" s="18">
        <f>'Sampling Data'!F172</f>
        <v>0</v>
      </c>
      <c r="H172" s="18">
        <f>'Sampling Data'!G172</f>
        <v>0</v>
      </c>
      <c r="I172" s="18">
        <f>'Sampling Data'!H172</f>
        <v>0</v>
      </c>
      <c r="J172" s="18">
        <f>'Sampling Data'!I172</f>
        <v>0</v>
      </c>
      <c r="K172" s="18">
        <f>'Sampling Data'!J172</f>
        <v>0</v>
      </c>
      <c r="L172" s="18">
        <f>'Sampling Data'!K172</f>
        <v>0</v>
      </c>
      <c r="M172" s="18">
        <f>'Sampling Data'!L172</f>
        <v>0</v>
      </c>
      <c r="N172" s="18">
        <f>'Sampling Data'!M172</f>
        <v>0</v>
      </c>
      <c r="O172" s="17">
        <f>'Sampling Data'!N172</f>
        <v>0</v>
      </c>
      <c r="P172" s="17">
        <f>'Sampling Data'!O172</f>
        <v>12</v>
      </c>
      <c r="Q172" s="17">
        <f>'Sampling Data'!P172</f>
        <v>198</v>
      </c>
      <c r="R172" s="17">
        <f>'Sampling Data'!AJ172</f>
        <v>0</v>
      </c>
      <c r="S172" s="111"/>
      <c r="T172" s="111"/>
      <c r="U172" s="112"/>
      <c r="V172" s="112"/>
      <c r="W172" s="111"/>
      <c r="X172" s="111"/>
      <c r="Y172" s="111"/>
      <c r="Z172" s="111"/>
      <c r="AA172" s="14"/>
      <c r="AB172" s="14"/>
      <c r="AC172" s="14"/>
      <c r="AD172" s="14"/>
      <c r="AE172" s="113" t="str">
        <f>IF(NOT(ISBLANK(Audit[[#This Row],[Audit Winning Candidate]])), Audit[[#This Row],[Audit Winning Candidate]]-Audit[[#This Row],[Winning Candidate]], "")</f>
        <v/>
      </c>
      <c r="AF172" s="17" t="str">
        <f>IF(NOT(ISBLANK(Audit[[#This Row],[Audit Losing Candidate]])), Audit[[#This Row],[Audit Losing Candidate]]-Audit[[#This Row],[Losing Candidate]], "")</f>
        <v/>
      </c>
      <c r="AG172" s="17" t="str">
        <f>IF(NOT(ISBLANK(Audit[[#This Row],[Audit Candidate 3]])), Audit[[#This Row],[Audit Candidate 3]]-Audit[[#This Row],[Candidate 3]], "")</f>
        <v/>
      </c>
      <c r="AH172" s="17" t="str">
        <f>IF(NOT(ISBLANK(Audit[[#This Row],[Audit Candidate 4]])),Audit[[#This Row],[Audit Candidate 4]]-Audit[[#This Row],[Candidate 4]], "")</f>
        <v/>
      </c>
      <c r="AI172" s="17" t="str">
        <f>IF(NOT(ISBLANK(Audit[[#This Row],[Audit Candidate 5]])), Audit[[#This Row],[Audit Candidate 5]]-Audit[[#This Row],[Candidate 5]], "")</f>
        <v/>
      </c>
      <c r="AJ172" s="17" t="str">
        <f>IF(NOT(ISBLANK(Audit[[#This Row],[Audit Candidate 6]])), Audit[[#This Row],[Audit Candidate 6]]-Audit[[#This Row],[Candidate 6]], "")</f>
        <v/>
      </c>
      <c r="AK172" s="17" t="str">
        <f>IF(NOT(ISBLANK(Audit[[#This Row],[Audit Candidate 7]])), Audit[[#This Row],[Audit Candidate 7]]-Audit[[#This Row],[Candidate 7]], "")</f>
        <v/>
      </c>
      <c r="AL172" s="17" t="str">
        <f>IF(NOT(ISBLANK(Audit[[#This Row],[Audit Candidate 8]])), Audit[[#This Row],[Audit Candidate 8]]-Audit[[#This Row],[Candidate 8]], "")</f>
        <v/>
      </c>
      <c r="AM172" s="17" t="str">
        <f>IF(NOT(ISBLANK(Audit[[#This Row],[Audit Candidate 9]])), Audit[[#This Row],[Audit Candidate 9]]-Audit[[#This Row],[Candidate 9]], "")</f>
        <v/>
      </c>
      <c r="AN172" s="17" t="str">
        <f>IF(NOT(ISBLANK(Audit[[#This Row],[Audit Candidate 10]])), Audit[[#This Row],[Audit Candidate 10]]-Audit[[#This Row],[Candidate 10]], "")</f>
        <v/>
      </c>
      <c r="AO172" s="17" t="str">
        <f>IF(NOT(ISBLANK(Audit[[#This Row],[Audit Candidate 11]])), Audit[[#This Row],[Audit Candidate 11]]-Audit[[#This Row],[Candidate 11]], "")</f>
        <v/>
      </c>
      <c r="AP172" s="17" t="str">
        <f>IF(NOT(ISBLANK(Audit[[#This Row],[Audit Candidate 12]])), Audit[[#This Row],[Audit Candidate 12]]-Audit[[#This Row],[Candidate 12]], "")</f>
        <v/>
      </c>
      <c r="AQ172" s="17">
        <f>SUMIF(Audit[[#This Row],[Difference Winner]:[Difference Candidate 12]], "&gt;0")</f>
        <v>0</v>
      </c>
      <c r="AR172" s="17">
        <f>SUM(Audit[[#This Row],[Difference Winner]:[Difference Candidate 12]])</f>
        <v>0</v>
      </c>
      <c r="AS172" s="17">
        <f>IF(Audit[[#This Row],[Times p Drawn - With Replacement]]&gt;0, IF(Audit[[#This Row],[Canceled Differences]]&lt;0, Audit[[#This Row],[Max Differences]]+ABS(Audit[[#This Row],[Canceled Differences]]), Audit[[#This Row],[Max Differences]]), 0)</f>
        <v>0</v>
      </c>
      <c r="AT172" s="17">
        <f>'Sampling Data'!AB172</f>
        <v>9.5060261415718886E-3</v>
      </c>
      <c r="AU172" s="17">
        <f>IF(
      SUM(Audit[[#This Row],[Audit Losing Candidate]:[Audit Candidate 12]])
      &lt;&gt;0,
      (Audit[[#This Row],[Winning Candidate]]-Audit[[#This Row],[Losing Candidate]]-(Audit[[#This Row],[Audit Winning Candidate]]-Audit[[#This Row],[Audit Losing Candidate]]))/(Audit[[#Totals],[Winning Candidate]]-Audit[[#Totals],[Losing Candidate]]),
      0
)</f>
        <v>0</v>
      </c>
      <c r="AV1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2" s="17">
        <f>IF(Audit[[#This Row],[Max Relative Error (ep)]] = 0, 0, Audit[[#This Row],[Max Relative Error (ep)]]/Audit[[#This Row],[Error Bound (up) - Max. possible relative overstatement]])</f>
        <v>0</v>
      </c>
      <c r="BH1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72" s="17">
        <f t="shared" si="3"/>
        <v>1</v>
      </c>
      <c r="BJ172" s="17">
        <f>PRODUCT($BI$5:BI172)</f>
        <v>0.68031947676209759</v>
      </c>
      <c r="BK172" s="19">
        <f>1 - Audit[[#This Row],[K-M P Value]]</f>
        <v>0.31968052323790241</v>
      </c>
      <c r="BL172" s="17" t="str">
        <f>IF(Audit[[#This Row],[K-M P Value]]&gt;1-'General Info'!$B$12,"Continue", "Stop")</f>
        <v>Continue</v>
      </c>
      <c r="BM172" s="22" t="b">
        <f>IF(Audit[[#This Row],[Status - Continue or stop audit]] = "Continue", TRUE, IF(BL171 = "Continue", TRUE, FALSE))</f>
        <v>1</v>
      </c>
      <c r="BN172" s="22"/>
    </row>
    <row r="173" spans="1:66" ht="15" hidden="1" customHeight="1" x14ac:dyDescent="0.35">
      <c r="A173" s="17" t="str">
        <f>'Sampling Data'!AI173</f>
        <v/>
      </c>
      <c r="B173" s="17" t="str">
        <f>'Sampling Data'!A173</f>
        <v>2510 CIN 25-J   (AV)</v>
      </c>
      <c r="C173" s="17">
        <f>'Sampling Data'!B173</f>
        <v>168</v>
      </c>
      <c r="D173" s="17">
        <f>'Sampling Data'!C173</f>
        <v>67</v>
      </c>
      <c r="E173" s="18">
        <f>'Sampling Data'!D173</f>
        <v>0</v>
      </c>
      <c r="F173" s="18">
        <f>'Sampling Data'!E173</f>
        <v>0</v>
      </c>
      <c r="G173" s="18">
        <f>'Sampling Data'!F173</f>
        <v>0</v>
      </c>
      <c r="H173" s="18">
        <f>'Sampling Data'!G173</f>
        <v>0</v>
      </c>
      <c r="I173" s="18">
        <f>'Sampling Data'!H173</f>
        <v>0</v>
      </c>
      <c r="J173" s="18">
        <f>'Sampling Data'!I173</f>
        <v>0</v>
      </c>
      <c r="K173" s="18">
        <f>'Sampling Data'!J173</f>
        <v>0</v>
      </c>
      <c r="L173" s="18">
        <f>'Sampling Data'!K173</f>
        <v>0</v>
      </c>
      <c r="M173" s="18">
        <f>'Sampling Data'!L173</f>
        <v>0</v>
      </c>
      <c r="N173" s="18">
        <f>'Sampling Data'!M173</f>
        <v>0</v>
      </c>
      <c r="O173" s="17">
        <f>'Sampling Data'!N173</f>
        <v>1</v>
      </c>
      <c r="P173" s="17">
        <f>'Sampling Data'!O173</f>
        <v>10</v>
      </c>
      <c r="Q173" s="17">
        <f>'Sampling Data'!P173</f>
        <v>246</v>
      </c>
      <c r="R173" s="17">
        <f>'Sampling Data'!AJ173</f>
        <v>0</v>
      </c>
      <c r="S173" s="111"/>
      <c r="T173" s="111"/>
      <c r="U173" s="112"/>
      <c r="V173" s="112"/>
      <c r="W173" s="111"/>
      <c r="X173" s="111"/>
      <c r="Y173" s="111"/>
      <c r="Z173" s="111"/>
      <c r="AA173" s="14"/>
      <c r="AB173" s="14"/>
      <c r="AC173" s="14"/>
      <c r="AD173" s="14"/>
      <c r="AE173" s="113" t="str">
        <f>IF(NOT(ISBLANK(Audit[[#This Row],[Audit Winning Candidate]])), Audit[[#This Row],[Audit Winning Candidate]]-Audit[[#This Row],[Winning Candidate]], "")</f>
        <v/>
      </c>
      <c r="AF173" s="17" t="str">
        <f>IF(NOT(ISBLANK(Audit[[#This Row],[Audit Losing Candidate]])), Audit[[#This Row],[Audit Losing Candidate]]-Audit[[#This Row],[Losing Candidate]], "")</f>
        <v/>
      </c>
      <c r="AG173" s="17" t="str">
        <f>IF(NOT(ISBLANK(Audit[[#This Row],[Audit Candidate 3]])), Audit[[#This Row],[Audit Candidate 3]]-Audit[[#This Row],[Candidate 3]], "")</f>
        <v/>
      </c>
      <c r="AH173" s="17" t="str">
        <f>IF(NOT(ISBLANK(Audit[[#This Row],[Audit Candidate 4]])),Audit[[#This Row],[Audit Candidate 4]]-Audit[[#This Row],[Candidate 4]], "")</f>
        <v/>
      </c>
      <c r="AI173" s="17" t="str">
        <f>IF(NOT(ISBLANK(Audit[[#This Row],[Audit Candidate 5]])), Audit[[#This Row],[Audit Candidate 5]]-Audit[[#This Row],[Candidate 5]], "")</f>
        <v/>
      </c>
      <c r="AJ173" s="17" t="str">
        <f>IF(NOT(ISBLANK(Audit[[#This Row],[Audit Candidate 6]])), Audit[[#This Row],[Audit Candidate 6]]-Audit[[#This Row],[Candidate 6]], "")</f>
        <v/>
      </c>
      <c r="AK173" s="17" t="str">
        <f>IF(NOT(ISBLANK(Audit[[#This Row],[Audit Candidate 7]])), Audit[[#This Row],[Audit Candidate 7]]-Audit[[#This Row],[Candidate 7]], "")</f>
        <v/>
      </c>
      <c r="AL173" s="17" t="str">
        <f>IF(NOT(ISBLANK(Audit[[#This Row],[Audit Candidate 8]])), Audit[[#This Row],[Audit Candidate 8]]-Audit[[#This Row],[Candidate 8]], "")</f>
        <v/>
      </c>
      <c r="AM173" s="17" t="str">
        <f>IF(NOT(ISBLANK(Audit[[#This Row],[Audit Candidate 9]])), Audit[[#This Row],[Audit Candidate 9]]-Audit[[#This Row],[Candidate 9]], "")</f>
        <v/>
      </c>
      <c r="AN173" s="17" t="str">
        <f>IF(NOT(ISBLANK(Audit[[#This Row],[Audit Candidate 10]])), Audit[[#This Row],[Audit Candidate 10]]-Audit[[#This Row],[Candidate 10]], "")</f>
        <v/>
      </c>
      <c r="AO173" s="17" t="str">
        <f>IF(NOT(ISBLANK(Audit[[#This Row],[Audit Candidate 11]])), Audit[[#This Row],[Audit Candidate 11]]-Audit[[#This Row],[Candidate 11]], "")</f>
        <v/>
      </c>
      <c r="AP173" s="17" t="str">
        <f>IF(NOT(ISBLANK(Audit[[#This Row],[Audit Candidate 12]])), Audit[[#This Row],[Audit Candidate 12]]-Audit[[#This Row],[Candidate 12]], "")</f>
        <v/>
      </c>
      <c r="AQ173" s="17">
        <f>SUMIF(Audit[[#This Row],[Difference Winner]:[Difference Candidate 12]], "&gt;0")</f>
        <v>0</v>
      </c>
      <c r="AR173" s="17">
        <f>SUM(Audit[[#This Row],[Difference Winner]:[Difference Candidate 12]])</f>
        <v>0</v>
      </c>
      <c r="AS173" s="17">
        <f>IF(Audit[[#This Row],[Times p Drawn - With Replacement]]&gt;0, IF(Audit[[#This Row],[Canceled Differences]]&lt;0, Audit[[#This Row],[Max Differences]]+ABS(Audit[[#This Row],[Canceled Differences]]), Audit[[#This Row],[Max Differences]]), 0)</f>
        <v>0</v>
      </c>
      <c r="AT173" s="17">
        <f>'Sampling Data'!AB173</f>
        <v>1.472585299609574E-2</v>
      </c>
      <c r="AU173" s="17">
        <f>IF(
      SUM(Audit[[#This Row],[Audit Losing Candidate]:[Audit Candidate 12]])
      &lt;&gt;0,
      (Audit[[#This Row],[Winning Candidate]]-Audit[[#This Row],[Losing Candidate]]-(Audit[[#This Row],[Audit Winning Candidate]]-Audit[[#This Row],[Audit Losing Candidate]]))/(Audit[[#Totals],[Winning Candidate]]-Audit[[#Totals],[Losing Candidate]]),
      0
)</f>
        <v>0</v>
      </c>
      <c r="AV1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3" s="17">
        <f>IF(Audit[[#This Row],[Max Relative Error (ep)]] = 0, 0, Audit[[#This Row],[Max Relative Error (ep)]]/Audit[[#This Row],[Error Bound (up) - Max. possible relative overstatement]])</f>
        <v>0</v>
      </c>
      <c r="BH1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73" s="17">
        <f t="shared" si="3"/>
        <v>1</v>
      </c>
      <c r="BJ173" s="17">
        <f>PRODUCT($BI$5:BI173)</f>
        <v>0.68031947676209759</v>
      </c>
      <c r="BK173" s="19">
        <f>1 - Audit[[#This Row],[K-M P Value]]</f>
        <v>0.31968052323790241</v>
      </c>
      <c r="BL173" s="17" t="str">
        <f>IF(Audit[[#This Row],[K-M P Value]]&gt;1-'General Info'!$B$12,"Continue", "Stop")</f>
        <v>Continue</v>
      </c>
      <c r="BM173" s="22" t="b">
        <f>IF(Audit[[#This Row],[Status - Continue or stop audit]] = "Continue", TRUE, IF(BL172 = "Continue", TRUE, FALSE))</f>
        <v>1</v>
      </c>
      <c r="BN173" s="22"/>
    </row>
    <row r="174" spans="1:66" ht="15" hidden="1" customHeight="1" x14ac:dyDescent="0.35">
      <c r="A174" s="17" t="str">
        <f>'Sampling Data'!AI174</f>
        <v/>
      </c>
      <c r="B174" s="17" t="str">
        <f>'Sampling Data'!A174</f>
        <v>2511 CIN 25-K   (AV)</v>
      </c>
      <c r="C174" s="17">
        <f>'Sampling Data'!B174</f>
        <v>132</v>
      </c>
      <c r="D174" s="17">
        <f>'Sampling Data'!C174</f>
        <v>58</v>
      </c>
      <c r="E174" s="18">
        <f>'Sampling Data'!D174</f>
        <v>0</v>
      </c>
      <c r="F174" s="18">
        <f>'Sampling Data'!E174</f>
        <v>0</v>
      </c>
      <c r="G174" s="18">
        <f>'Sampling Data'!F174</f>
        <v>0</v>
      </c>
      <c r="H174" s="18">
        <f>'Sampling Data'!G174</f>
        <v>0</v>
      </c>
      <c r="I174" s="18">
        <f>'Sampling Data'!H174</f>
        <v>0</v>
      </c>
      <c r="J174" s="18">
        <f>'Sampling Data'!I174</f>
        <v>0</v>
      </c>
      <c r="K174" s="18">
        <f>'Sampling Data'!J174</f>
        <v>0</v>
      </c>
      <c r="L174" s="18">
        <f>'Sampling Data'!K174</f>
        <v>0</v>
      </c>
      <c r="M174" s="18">
        <f>'Sampling Data'!L174</f>
        <v>0</v>
      </c>
      <c r="N174" s="18">
        <f>'Sampling Data'!M174</f>
        <v>0</v>
      </c>
      <c r="O174" s="17">
        <f>'Sampling Data'!N174</f>
        <v>1</v>
      </c>
      <c r="P174" s="17">
        <f>'Sampling Data'!O174</f>
        <v>14</v>
      </c>
      <c r="Q174" s="17">
        <f>'Sampling Data'!P174</f>
        <v>205</v>
      </c>
      <c r="R174" s="17">
        <f>'Sampling Data'!AJ174</f>
        <v>0</v>
      </c>
      <c r="S174" s="111"/>
      <c r="T174" s="111"/>
      <c r="U174" s="112"/>
      <c r="V174" s="112"/>
      <c r="W174" s="111"/>
      <c r="X174" s="111"/>
      <c r="Y174" s="111"/>
      <c r="Z174" s="111"/>
      <c r="AA174" s="14"/>
      <c r="AB174" s="14"/>
      <c r="AC174" s="14"/>
      <c r="AD174" s="14"/>
      <c r="AE174" s="113" t="str">
        <f>IF(NOT(ISBLANK(Audit[[#This Row],[Audit Winning Candidate]])), Audit[[#This Row],[Audit Winning Candidate]]-Audit[[#This Row],[Winning Candidate]], "")</f>
        <v/>
      </c>
      <c r="AF174" s="17" t="str">
        <f>IF(NOT(ISBLANK(Audit[[#This Row],[Audit Losing Candidate]])), Audit[[#This Row],[Audit Losing Candidate]]-Audit[[#This Row],[Losing Candidate]], "")</f>
        <v/>
      </c>
      <c r="AG174" s="17" t="str">
        <f>IF(NOT(ISBLANK(Audit[[#This Row],[Audit Candidate 3]])), Audit[[#This Row],[Audit Candidate 3]]-Audit[[#This Row],[Candidate 3]], "")</f>
        <v/>
      </c>
      <c r="AH174" s="17" t="str">
        <f>IF(NOT(ISBLANK(Audit[[#This Row],[Audit Candidate 4]])),Audit[[#This Row],[Audit Candidate 4]]-Audit[[#This Row],[Candidate 4]], "")</f>
        <v/>
      </c>
      <c r="AI174" s="17" t="str">
        <f>IF(NOT(ISBLANK(Audit[[#This Row],[Audit Candidate 5]])), Audit[[#This Row],[Audit Candidate 5]]-Audit[[#This Row],[Candidate 5]], "")</f>
        <v/>
      </c>
      <c r="AJ174" s="17" t="str">
        <f>IF(NOT(ISBLANK(Audit[[#This Row],[Audit Candidate 6]])), Audit[[#This Row],[Audit Candidate 6]]-Audit[[#This Row],[Candidate 6]], "")</f>
        <v/>
      </c>
      <c r="AK174" s="17" t="str">
        <f>IF(NOT(ISBLANK(Audit[[#This Row],[Audit Candidate 7]])), Audit[[#This Row],[Audit Candidate 7]]-Audit[[#This Row],[Candidate 7]], "")</f>
        <v/>
      </c>
      <c r="AL174" s="17" t="str">
        <f>IF(NOT(ISBLANK(Audit[[#This Row],[Audit Candidate 8]])), Audit[[#This Row],[Audit Candidate 8]]-Audit[[#This Row],[Candidate 8]], "")</f>
        <v/>
      </c>
      <c r="AM174" s="17" t="str">
        <f>IF(NOT(ISBLANK(Audit[[#This Row],[Audit Candidate 9]])), Audit[[#This Row],[Audit Candidate 9]]-Audit[[#This Row],[Candidate 9]], "")</f>
        <v/>
      </c>
      <c r="AN174" s="17" t="str">
        <f>IF(NOT(ISBLANK(Audit[[#This Row],[Audit Candidate 10]])), Audit[[#This Row],[Audit Candidate 10]]-Audit[[#This Row],[Candidate 10]], "")</f>
        <v/>
      </c>
      <c r="AO174" s="17" t="str">
        <f>IF(NOT(ISBLANK(Audit[[#This Row],[Audit Candidate 11]])), Audit[[#This Row],[Audit Candidate 11]]-Audit[[#This Row],[Candidate 11]], "")</f>
        <v/>
      </c>
      <c r="AP174" s="17" t="str">
        <f>IF(NOT(ISBLANK(Audit[[#This Row],[Audit Candidate 12]])), Audit[[#This Row],[Audit Candidate 12]]-Audit[[#This Row],[Candidate 12]], "")</f>
        <v/>
      </c>
      <c r="AQ174" s="17">
        <f>SUMIF(Audit[[#This Row],[Difference Winner]:[Difference Candidate 12]], "&gt;0")</f>
        <v>0</v>
      </c>
      <c r="AR174" s="17">
        <f>SUM(Audit[[#This Row],[Difference Winner]:[Difference Candidate 12]])</f>
        <v>0</v>
      </c>
      <c r="AS174" s="17">
        <f>IF(Audit[[#This Row],[Times p Drawn - With Replacement]]&gt;0, IF(Audit[[#This Row],[Canceled Differences]]&lt;0, Audit[[#This Row],[Max Differences]]+ABS(Audit[[#This Row],[Canceled Differences]]), Audit[[#This Row],[Max Differences]]), 0)</f>
        <v>0</v>
      </c>
      <c r="AT174" s="17">
        <f>'Sampling Data'!AB174</f>
        <v>1.1840095060261416E-2</v>
      </c>
      <c r="AU174" s="17">
        <f>IF(
      SUM(Audit[[#This Row],[Audit Losing Candidate]:[Audit Candidate 12]])
      &lt;&gt;0,
      (Audit[[#This Row],[Winning Candidate]]-Audit[[#This Row],[Losing Candidate]]-(Audit[[#This Row],[Audit Winning Candidate]]-Audit[[#This Row],[Audit Losing Candidate]]))/(Audit[[#Totals],[Winning Candidate]]-Audit[[#Totals],[Losing Candidate]]),
      0
)</f>
        <v>0</v>
      </c>
      <c r="AV1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4" s="17">
        <f>IF(Audit[[#This Row],[Max Relative Error (ep)]] = 0, 0, Audit[[#This Row],[Max Relative Error (ep)]]/Audit[[#This Row],[Error Bound (up) - Max. possible relative overstatement]])</f>
        <v>0</v>
      </c>
      <c r="BH1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74" s="17">
        <f t="shared" si="3"/>
        <v>1</v>
      </c>
      <c r="BJ174" s="17">
        <f>PRODUCT($BI$5:BI174)</f>
        <v>0.68031947676209759</v>
      </c>
      <c r="BK174" s="19">
        <f>1 - Audit[[#This Row],[K-M P Value]]</f>
        <v>0.31968052323790241</v>
      </c>
      <c r="BL174" s="17" t="str">
        <f>IF(Audit[[#This Row],[K-M P Value]]&gt;1-'General Info'!$B$12,"Continue", "Stop")</f>
        <v>Continue</v>
      </c>
      <c r="BM174" s="22" t="b">
        <f>IF(Audit[[#This Row],[Status - Continue or stop audit]] = "Continue", TRUE, IF(BL173 = "Continue", TRUE, FALSE))</f>
        <v>1</v>
      </c>
      <c r="BN174" s="22"/>
    </row>
    <row r="175" spans="1:66" ht="15" hidden="1" customHeight="1" x14ac:dyDescent="0.35">
      <c r="A175" s="17" t="str">
        <f>'Sampling Data'!AI175</f>
        <v/>
      </c>
      <c r="B175" s="17" t="str">
        <f>'Sampling Data'!A175</f>
        <v>2512 CIN 25-L   (AV)</v>
      </c>
      <c r="C175" s="17">
        <f>'Sampling Data'!B175</f>
        <v>82</v>
      </c>
      <c r="D175" s="17">
        <f>'Sampling Data'!C175</f>
        <v>26</v>
      </c>
      <c r="E175" s="18">
        <f>'Sampling Data'!D175</f>
        <v>0</v>
      </c>
      <c r="F175" s="18">
        <f>'Sampling Data'!E175</f>
        <v>0</v>
      </c>
      <c r="G175" s="18">
        <f>'Sampling Data'!F175</f>
        <v>0</v>
      </c>
      <c r="H175" s="18">
        <f>'Sampling Data'!G175</f>
        <v>0</v>
      </c>
      <c r="I175" s="18">
        <f>'Sampling Data'!H175</f>
        <v>0</v>
      </c>
      <c r="J175" s="18">
        <f>'Sampling Data'!I175</f>
        <v>0</v>
      </c>
      <c r="K175" s="18">
        <f>'Sampling Data'!J175</f>
        <v>0</v>
      </c>
      <c r="L175" s="18">
        <f>'Sampling Data'!K175</f>
        <v>0</v>
      </c>
      <c r="M175" s="18">
        <f>'Sampling Data'!L175</f>
        <v>0</v>
      </c>
      <c r="N175" s="18">
        <f>'Sampling Data'!M175</f>
        <v>0</v>
      </c>
      <c r="O175" s="17">
        <f>'Sampling Data'!N175</f>
        <v>0</v>
      </c>
      <c r="P175" s="17">
        <f>'Sampling Data'!O175</f>
        <v>4</v>
      </c>
      <c r="Q175" s="17">
        <f>'Sampling Data'!P175</f>
        <v>112</v>
      </c>
      <c r="R175" s="17">
        <f>'Sampling Data'!AJ175</f>
        <v>0</v>
      </c>
      <c r="S175" s="111"/>
      <c r="T175" s="111"/>
      <c r="U175" s="112"/>
      <c r="V175" s="112"/>
      <c r="W175" s="111"/>
      <c r="X175" s="111"/>
      <c r="Y175" s="111"/>
      <c r="Z175" s="111"/>
      <c r="AA175" s="14"/>
      <c r="AB175" s="14"/>
      <c r="AC175" s="14"/>
      <c r="AD175" s="14"/>
      <c r="AE175" s="113" t="str">
        <f>IF(NOT(ISBLANK(Audit[[#This Row],[Audit Winning Candidate]])), Audit[[#This Row],[Audit Winning Candidate]]-Audit[[#This Row],[Winning Candidate]], "")</f>
        <v/>
      </c>
      <c r="AF175" s="17" t="str">
        <f>IF(NOT(ISBLANK(Audit[[#This Row],[Audit Losing Candidate]])), Audit[[#This Row],[Audit Losing Candidate]]-Audit[[#This Row],[Losing Candidate]], "")</f>
        <v/>
      </c>
      <c r="AG175" s="17" t="str">
        <f>IF(NOT(ISBLANK(Audit[[#This Row],[Audit Candidate 3]])), Audit[[#This Row],[Audit Candidate 3]]-Audit[[#This Row],[Candidate 3]], "")</f>
        <v/>
      </c>
      <c r="AH175" s="17" t="str">
        <f>IF(NOT(ISBLANK(Audit[[#This Row],[Audit Candidate 4]])),Audit[[#This Row],[Audit Candidate 4]]-Audit[[#This Row],[Candidate 4]], "")</f>
        <v/>
      </c>
      <c r="AI175" s="17" t="str">
        <f>IF(NOT(ISBLANK(Audit[[#This Row],[Audit Candidate 5]])), Audit[[#This Row],[Audit Candidate 5]]-Audit[[#This Row],[Candidate 5]], "")</f>
        <v/>
      </c>
      <c r="AJ175" s="17" t="str">
        <f>IF(NOT(ISBLANK(Audit[[#This Row],[Audit Candidate 6]])), Audit[[#This Row],[Audit Candidate 6]]-Audit[[#This Row],[Candidate 6]], "")</f>
        <v/>
      </c>
      <c r="AK175" s="17" t="str">
        <f>IF(NOT(ISBLANK(Audit[[#This Row],[Audit Candidate 7]])), Audit[[#This Row],[Audit Candidate 7]]-Audit[[#This Row],[Candidate 7]], "")</f>
        <v/>
      </c>
      <c r="AL175" s="17" t="str">
        <f>IF(NOT(ISBLANK(Audit[[#This Row],[Audit Candidate 8]])), Audit[[#This Row],[Audit Candidate 8]]-Audit[[#This Row],[Candidate 8]], "")</f>
        <v/>
      </c>
      <c r="AM175" s="17" t="str">
        <f>IF(NOT(ISBLANK(Audit[[#This Row],[Audit Candidate 9]])), Audit[[#This Row],[Audit Candidate 9]]-Audit[[#This Row],[Candidate 9]], "")</f>
        <v/>
      </c>
      <c r="AN175" s="17" t="str">
        <f>IF(NOT(ISBLANK(Audit[[#This Row],[Audit Candidate 10]])), Audit[[#This Row],[Audit Candidate 10]]-Audit[[#This Row],[Candidate 10]], "")</f>
        <v/>
      </c>
      <c r="AO175" s="17" t="str">
        <f>IF(NOT(ISBLANK(Audit[[#This Row],[Audit Candidate 11]])), Audit[[#This Row],[Audit Candidate 11]]-Audit[[#This Row],[Candidate 11]], "")</f>
        <v/>
      </c>
      <c r="AP175" s="17" t="str">
        <f>IF(NOT(ISBLANK(Audit[[#This Row],[Audit Candidate 12]])), Audit[[#This Row],[Audit Candidate 12]]-Audit[[#This Row],[Candidate 12]], "")</f>
        <v/>
      </c>
      <c r="AQ175" s="17">
        <f>SUMIF(Audit[[#This Row],[Difference Winner]:[Difference Candidate 12]], "&gt;0")</f>
        <v>0</v>
      </c>
      <c r="AR175" s="17">
        <f>SUM(Audit[[#This Row],[Difference Winner]:[Difference Candidate 12]])</f>
        <v>0</v>
      </c>
      <c r="AS175" s="17">
        <f>IF(Audit[[#This Row],[Times p Drawn - With Replacement]]&gt;0, IF(Audit[[#This Row],[Canceled Differences]]&lt;0, Audit[[#This Row],[Max Differences]]+ABS(Audit[[#This Row],[Canceled Differences]]), Audit[[#This Row],[Max Differences]]), 0)</f>
        <v>0</v>
      </c>
      <c r="AT175" s="17">
        <f>'Sampling Data'!AB175</f>
        <v>7.1295196061789169E-3</v>
      </c>
      <c r="AU175" s="17">
        <f>IF(
      SUM(Audit[[#This Row],[Audit Losing Candidate]:[Audit Candidate 12]])
      &lt;&gt;0,
      (Audit[[#This Row],[Winning Candidate]]-Audit[[#This Row],[Losing Candidate]]-(Audit[[#This Row],[Audit Winning Candidate]]-Audit[[#This Row],[Audit Losing Candidate]]))/(Audit[[#Totals],[Winning Candidate]]-Audit[[#Totals],[Losing Candidate]]),
      0
)</f>
        <v>0</v>
      </c>
      <c r="AV1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5" s="17">
        <f>IF(Audit[[#This Row],[Max Relative Error (ep)]] = 0, 0, Audit[[#This Row],[Max Relative Error (ep)]]/Audit[[#This Row],[Error Bound (up) - Max. possible relative overstatement]])</f>
        <v>0</v>
      </c>
      <c r="BH1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75" s="17">
        <f t="shared" si="3"/>
        <v>1</v>
      </c>
      <c r="BJ175" s="17">
        <f>PRODUCT($BI$5:BI175)</f>
        <v>0.68031947676209759</v>
      </c>
      <c r="BK175" s="19">
        <f>1 - Audit[[#This Row],[K-M P Value]]</f>
        <v>0.31968052323790241</v>
      </c>
      <c r="BL175" s="17" t="str">
        <f>IF(Audit[[#This Row],[K-M P Value]]&gt;1-'General Info'!$B$12,"Continue", "Stop")</f>
        <v>Continue</v>
      </c>
      <c r="BM175" s="22" t="b">
        <f>IF(Audit[[#This Row],[Status - Continue or stop audit]] = "Continue", TRUE, IF(BL174 = "Continue", TRUE, FALSE))</f>
        <v>1</v>
      </c>
      <c r="BN175" s="22"/>
    </row>
    <row r="176" spans="1:66" ht="15" hidden="1" customHeight="1" x14ac:dyDescent="0.35">
      <c r="A176" s="17" t="str">
        <f>'Sampling Data'!AI176</f>
        <v/>
      </c>
      <c r="B176" s="17" t="str">
        <f>'Sampling Data'!A176</f>
        <v>2601 CIN 26-A   (AV)</v>
      </c>
      <c r="C176" s="17">
        <f>'Sampling Data'!B176</f>
        <v>199</v>
      </c>
      <c r="D176" s="17">
        <f>'Sampling Data'!C176</f>
        <v>126</v>
      </c>
      <c r="E176" s="18">
        <f>'Sampling Data'!D176</f>
        <v>0</v>
      </c>
      <c r="F176" s="18">
        <f>'Sampling Data'!E176</f>
        <v>0</v>
      </c>
      <c r="G176" s="18">
        <f>'Sampling Data'!F176</f>
        <v>0</v>
      </c>
      <c r="H176" s="18">
        <f>'Sampling Data'!G176</f>
        <v>0</v>
      </c>
      <c r="I176" s="18">
        <f>'Sampling Data'!H176</f>
        <v>0</v>
      </c>
      <c r="J176" s="18">
        <f>'Sampling Data'!I176</f>
        <v>0</v>
      </c>
      <c r="K176" s="18">
        <f>'Sampling Data'!J176</f>
        <v>0</v>
      </c>
      <c r="L176" s="18">
        <f>'Sampling Data'!K176</f>
        <v>0</v>
      </c>
      <c r="M176" s="18">
        <f>'Sampling Data'!L176</f>
        <v>0</v>
      </c>
      <c r="N176" s="18">
        <f>'Sampling Data'!M176</f>
        <v>0</v>
      </c>
      <c r="O176" s="17">
        <f>'Sampling Data'!N176</f>
        <v>0</v>
      </c>
      <c r="P176" s="17">
        <f>'Sampling Data'!O176</f>
        <v>22</v>
      </c>
      <c r="Q176" s="17">
        <f>'Sampling Data'!P176</f>
        <v>347</v>
      </c>
      <c r="R176" s="17">
        <f>'Sampling Data'!AJ176</f>
        <v>0</v>
      </c>
      <c r="S176" s="111"/>
      <c r="T176" s="111"/>
      <c r="U176" s="112"/>
      <c r="V176" s="112"/>
      <c r="W176" s="111"/>
      <c r="X176" s="111"/>
      <c r="Y176" s="111"/>
      <c r="Z176" s="111"/>
      <c r="AA176" s="14"/>
      <c r="AB176" s="14"/>
      <c r="AC176" s="14"/>
      <c r="AD176" s="14"/>
      <c r="AE176" s="113" t="str">
        <f>IF(NOT(ISBLANK(Audit[[#This Row],[Audit Winning Candidate]])), Audit[[#This Row],[Audit Winning Candidate]]-Audit[[#This Row],[Winning Candidate]], "")</f>
        <v/>
      </c>
      <c r="AF176" s="17" t="str">
        <f>IF(NOT(ISBLANK(Audit[[#This Row],[Audit Losing Candidate]])), Audit[[#This Row],[Audit Losing Candidate]]-Audit[[#This Row],[Losing Candidate]], "")</f>
        <v/>
      </c>
      <c r="AG176" s="17" t="str">
        <f>IF(NOT(ISBLANK(Audit[[#This Row],[Audit Candidate 3]])), Audit[[#This Row],[Audit Candidate 3]]-Audit[[#This Row],[Candidate 3]], "")</f>
        <v/>
      </c>
      <c r="AH176" s="17" t="str">
        <f>IF(NOT(ISBLANK(Audit[[#This Row],[Audit Candidate 4]])),Audit[[#This Row],[Audit Candidate 4]]-Audit[[#This Row],[Candidate 4]], "")</f>
        <v/>
      </c>
      <c r="AI176" s="17" t="str">
        <f>IF(NOT(ISBLANK(Audit[[#This Row],[Audit Candidate 5]])), Audit[[#This Row],[Audit Candidate 5]]-Audit[[#This Row],[Candidate 5]], "")</f>
        <v/>
      </c>
      <c r="AJ176" s="17" t="str">
        <f>IF(NOT(ISBLANK(Audit[[#This Row],[Audit Candidate 6]])), Audit[[#This Row],[Audit Candidate 6]]-Audit[[#This Row],[Candidate 6]], "")</f>
        <v/>
      </c>
      <c r="AK176" s="17" t="str">
        <f>IF(NOT(ISBLANK(Audit[[#This Row],[Audit Candidate 7]])), Audit[[#This Row],[Audit Candidate 7]]-Audit[[#This Row],[Candidate 7]], "")</f>
        <v/>
      </c>
      <c r="AL176" s="17" t="str">
        <f>IF(NOT(ISBLANK(Audit[[#This Row],[Audit Candidate 8]])), Audit[[#This Row],[Audit Candidate 8]]-Audit[[#This Row],[Candidate 8]], "")</f>
        <v/>
      </c>
      <c r="AM176" s="17" t="str">
        <f>IF(NOT(ISBLANK(Audit[[#This Row],[Audit Candidate 9]])), Audit[[#This Row],[Audit Candidate 9]]-Audit[[#This Row],[Candidate 9]], "")</f>
        <v/>
      </c>
      <c r="AN176" s="17" t="str">
        <f>IF(NOT(ISBLANK(Audit[[#This Row],[Audit Candidate 10]])), Audit[[#This Row],[Audit Candidate 10]]-Audit[[#This Row],[Candidate 10]], "")</f>
        <v/>
      </c>
      <c r="AO176" s="17" t="str">
        <f>IF(NOT(ISBLANK(Audit[[#This Row],[Audit Candidate 11]])), Audit[[#This Row],[Audit Candidate 11]]-Audit[[#This Row],[Candidate 11]], "")</f>
        <v/>
      </c>
      <c r="AP176" s="17" t="str">
        <f>IF(NOT(ISBLANK(Audit[[#This Row],[Audit Candidate 12]])), Audit[[#This Row],[Audit Candidate 12]]-Audit[[#This Row],[Candidate 12]], "")</f>
        <v/>
      </c>
      <c r="AQ176" s="17">
        <f>SUMIF(Audit[[#This Row],[Difference Winner]:[Difference Candidate 12]], "&gt;0")</f>
        <v>0</v>
      </c>
      <c r="AR176" s="17">
        <f>SUM(Audit[[#This Row],[Difference Winner]:[Difference Candidate 12]])</f>
        <v>0</v>
      </c>
      <c r="AS176" s="17">
        <f>IF(Audit[[#This Row],[Times p Drawn - With Replacement]]&gt;0, IF(Audit[[#This Row],[Canceled Differences]]&lt;0, Audit[[#This Row],[Max Differences]]+ABS(Audit[[#This Row],[Canceled Differences]]), Audit[[#This Row],[Max Differences]]), 0)</f>
        <v>0</v>
      </c>
      <c r="AT176" s="17">
        <f>'Sampling Data'!AB176</f>
        <v>1.7823799015447294E-2</v>
      </c>
      <c r="AU176" s="17">
        <f>IF(
      SUM(Audit[[#This Row],[Audit Losing Candidate]:[Audit Candidate 12]])
      &lt;&gt;0,
      (Audit[[#This Row],[Winning Candidate]]-Audit[[#This Row],[Losing Candidate]]-(Audit[[#This Row],[Audit Winning Candidate]]-Audit[[#This Row],[Audit Losing Candidate]]))/(Audit[[#Totals],[Winning Candidate]]-Audit[[#Totals],[Losing Candidate]]),
      0
)</f>
        <v>0</v>
      </c>
      <c r="AV1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6" s="17">
        <f>IF(Audit[[#This Row],[Max Relative Error (ep)]] = 0, 0, Audit[[#This Row],[Max Relative Error (ep)]]/Audit[[#This Row],[Error Bound (up) - Max. possible relative overstatement]])</f>
        <v>0</v>
      </c>
      <c r="BH1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76" s="17">
        <f t="shared" si="3"/>
        <v>1</v>
      </c>
      <c r="BJ176" s="17">
        <f>PRODUCT($BI$5:BI176)</f>
        <v>0.68031947676209759</v>
      </c>
      <c r="BK176" s="19">
        <f>1 - Audit[[#This Row],[K-M P Value]]</f>
        <v>0.31968052323790241</v>
      </c>
      <c r="BL176" s="17" t="str">
        <f>IF(Audit[[#This Row],[K-M P Value]]&gt;1-'General Info'!$B$12,"Continue", "Stop")</f>
        <v>Continue</v>
      </c>
      <c r="BM176" s="22" t="b">
        <f>IF(Audit[[#This Row],[Status - Continue or stop audit]] = "Continue", TRUE, IF(BL175 = "Continue", TRUE, FALSE))</f>
        <v>1</v>
      </c>
      <c r="BN176" s="22"/>
    </row>
    <row r="177" spans="1:66" ht="15" hidden="1" customHeight="1" x14ac:dyDescent="0.35">
      <c r="A177" s="17" t="str">
        <f>'Sampling Data'!AI177</f>
        <v/>
      </c>
      <c r="B177" s="17" t="str">
        <f>'Sampling Data'!A177</f>
        <v>2602 CIN 26-B   (AV)</v>
      </c>
      <c r="C177" s="17">
        <f>'Sampling Data'!B177</f>
        <v>204</v>
      </c>
      <c r="D177" s="17">
        <f>'Sampling Data'!C177</f>
        <v>54</v>
      </c>
      <c r="E177" s="18">
        <f>'Sampling Data'!D177</f>
        <v>0</v>
      </c>
      <c r="F177" s="18">
        <f>'Sampling Data'!E177</f>
        <v>0</v>
      </c>
      <c r="G177" s="18">
        <f>'Sampling Data'!F177</f>
        <v>0</v>
      </c>
      <c r="H177" s="18">
        <f>'Sampling Data'!G177</f>
        <v>0</v>
      </c>
      <c r="I177" s="18">
        <f>'Sampling Data'!H177</f>
        <v>0</v>
      </c>
      <c r="J177" s="18">
        <f>'Sampling Data'!I177</f>
        <v>0</v>
      </c>
      <c r="K177" s="18">
        <f>'Sampling Data'!J177</f>
        <v>0</v>
      </c>
      <c r="L177" s="18">
        <f>'Sampling Data'!K177</f>
        <v>0</v>
      </c>
      <c r="M177" s="18">
        <f>'Sampling Data'!L177</f>
        <v>0</v>
      </c>
      <c r="N177" s="18">
        <f>'Sampling Data'!M177</f>
        <v>0</v>
      </c>
      <c r="O177" s="17">
        <f>'Sampling Data'!N177</f>
        <v>1</v>
      </c>
      <c r="P177" s="17">
        <f>'Sampling Data'!O177</f>
        <v>16</v>
      </c>
      <c r="Q177" s="17">
        <f>'Sampling Data'!P177</f>
        <v>275</v>
      </c>
      <c r="R177" s="17">
        <f>'Sampling Data'!AJ177</f>
        <v>0</v>
      </c>
      <c r="S177" s="111"/>
      <c r="T177" s="111"/>
      <c r="U177" s="112"/>
      <c r="V177" s="112"/>
      <c r="W177" s="111"/>
      <c r="X177" s="111"/>
      <c r="Y177" s="111"/>
      <c r="Z177" s="111"/>
      <c r="AA177" s="14"/>
      <c r="AB177" s="14"/>
      <c r="AC177" s="14"/>
      <c r="AD177" s="14"/>
      <c r="AE177" s="113" t="str">
        <f>IF(NOT(ISBLANK(Audit[[#This Row],[Audit Winning Candidate]])), Audit[[#This Row],[Audit Winning Candidate]]-Audit[[#This Row],[Winning Candidate]], "")</f>
        <v/>
      </c>
      <c r="AF177" s="17" t="str">
        <f>IF(NOT(ISBLANK(Audit[[#This Row],[Audit Losing Candidate]])), Audit[[#This Row],[Audit Losing Candidate]]-Audit[[#This Row],[Losing Candidate]], "")</f>
        <v/>
      </c>
      <c r="AG177" s="17" t="str">
        <f>IF(NOT(ISBLANK(Audit[[#This Row],[Audit Candidate 3]])), Audit[[#This Row],[Audit Candidate 3]]-Audit[[#This Row],[Candidate 3]], "")</f>
        <v/>
      </c>
      <c r="AH177" s="17" t="str">
        <f>IF(NOT(ISBLANK(Audit[[#This Row],[Audit Candidate 4]])),Audit[[#This Row],[Audit Candidate 4]]-Audit[[#This Row],[Candidate 4]], "")</f>
        <v/>
      </c>
      <c r="AI177" s="17" t="str">
        <f>IF(NOT(ISBLANK(Audit[[#This Row],[Audit Candidate 5]])), Audit[[#This Row],[Audit Candidate 5]]-Audit[[#This Row],[Candidate 5]], "")</f>
        <v/>
      </c>
      <c r="AJ177" s="17" t="str">
        <f>IF(NOT(ISBLANK(Audit[[#This Row],[Audit Candidate 6]])), Audit[[#This Row],[Audit Candidate 6]]-Audit[[#This Row],[Candidate 6]], "")</f>
        <v/>
      </c>
      <c r="AK177" s="17" t="str">
        <f>IF(NOT(ISBLANK(Audit[[#This Row],[Audit Candidate 7]])), Audit[[#This Row],[Audit Candidate 7]]-Audit[[#This Row],[Candidate 7]], "")</f>
        <v/>
      </c>
      <c r="AL177" s="17" t="str">
        <f>IF(NOT(ISBLANK(Audit[[#This Row],[Audit Candidate 8]])), Audit[[#This Row],[Audit Candidate 8]]-Audit[[#This Row],[Candidate 8]], "")</f>
        <v/>
      </c>
      <c r="AM177" s="17" t="str">
        <f>IF(NOT(ISBLANK(Audit[[#This Row],[Audit Candidate 9]])), Audit[[#This Row],[Audit Candidate 9]]-Audit[[#This Row],[Candidate 9]], "")</f>
        <v/>
      </c>
      <c r="AN177" s="17" t="str">
        <f>IF(NOT(ISBLANK(Audit[[#This Row],[Audit Candidate 10]])), Audit[[#This Row],[Audit Candidate 10]]-Audit[[#This Row],[Candidate 10]], "")</f>
        <v/>
      </c>
      <c r="AO177" s="17" t="str">
        <f>IF(NOT(ISBLANK(Audit[[#This Row],[Audit Candidate 11]])), Audit[[#This Row],[Audit Candidate 11]]-Audit[[#This Row],[Candidate 11]], "")</f>
        <v/>
      </c>
      <c r="AP177" s="17" t="str">
        <f>IF(NOT(ISBLANK(Audit[[#This Row],[Audit Candidate 12]])), Audit[[#This Row],[Audit Candidate 12]]-Audit[[#This Row],[Candidate 12]], "")</f>
        <v/>
      </c>
      <c r="AQ177" s="17">
        <f>SUMIF(Audit[[#This Row],[Difference Winner]:[Difference Candidate 12]], "&gt;0")</f>
        <v>0</v>
      </c>
      <c r="AR177" s="17">
        <f>SUM(Audit[[#This Row],[Difference Winner]:[Difference Candidate 12]])</f>
        <v>0</v>
      </c>
      <c r="AS177" s="17">
        <f>IF(Audit[[#This Row],[Times p Drawn - With Replacement]]&gt;0, IF(Audit[[#This Row],[Canceled Differences]]&lt;0, Audit[[#This Row],[Max Differences]]+ABS(Audit[[#This Row],[Canceled Differences]]), Audit[[#This Row],[Max Differences]]), 0)</f>
        <v>0</v>
      </c>
      <c r="AT177" s="17">
        <f>'Sampling Data'!AB177</f>
        <v>1.803598709896452E-2</v>
      </c>
      <c r="AU177" s="17">
        <f>IF(
      SUM(Audit[[#This Row],[Audit Losing Candidate]:[Audit Candidate 12]])
      &lt;&gt;0,
      (Audit[[#This Row],[Winning Candidate]]-Audit[[#This Row],[Losing Candidate]]-(Audit[[#This Row],[Audit Winning Candidate]]-Audit[[#This Row],[Audit Losing Candidate]]))/(Audit[[#Totals],[Winning Candidate]]-Audit[[#Totals],[Losing Candidate]]),
      0
)</f>
        <v>0</v>
      </c>
      <c r="AV1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7" s="17">
        <f>IF(Audit[[#This Row],[Max Relative Error (ep)]] = 0, 0, Audit[[#This Row],[Max Relative Error (ep)]]/Audit[[#This Row],[Error Bound (up) - Max. possible relative overstatement]])</f>
        <v>0</v>
      </c>
      <c r="BH1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77" s="17">
        <f t="shared" si="3"/>
        <v>1</v>
      </c>
      <c r="BJ177" s="17">
        <f>PRODUCT($BI$5:BI177)</f>
        <v>0.68031947676209759</v>
      </c>
      <c r="BK177" s="19">
        <f>1 - Audit[[#This Row],[K-M P Value]]</f>
        <v>0.31968052323790241</v>
      </c>
      <c r="BL177" s="17" t="str">
        <f>IF(Audit[[#This Row],[K-M P Value]]&gt;1-'General Info'!$B$12,"Continue", "Stop")</f>
        <v>Continue</v>
      </c>
      <c r="BM177" s="22" t="b">
        <f>IF(Audit[[#This Row],[Status - Continue or stop audit]] = "Continue", TRUE, IF(BL176 = "Continue", TRUE, FALSE))</f>
        <v>1</v>
      </c>
      <c r="BN177" s="22"/>
    </row>
    <row r="178" spans="1:66" ht="15" hidden="1" customHeight="1" x14ac:dyDescent="0.35">
      <c r="A178" s="17" t="str">
        <f>'Sampling Data'!AI178</f>
        <v/>
      </c>
      <c r="B178" s="17" t="str">
        <f>'Sampling Data'!A178</f>
        <v>2603 CIN 26-C   (AV)</v>
      </c>
      <c r="C178" s="17">
        <f>'Sampling Data'!B178</f>
        <v>99</v>
      </c>
      <c r="D178" s="17">
        <f>'Sampling Data'!C178</f>
        <v>31</v>
      </c>
      <c r="E178" s="18">
        <f>'Sampling Data'!D178</f>
        <v>0</v>
      </c>
      <c r="F178" s="18">
        <f>'Sampling Data'!E178</f>
        <v>0</v>
      </c>
      <c r="G178" s="18">
        <f>'Sampling Data'!F178</f>
        <v>0</v>
      </c>
      <c r="H178" s="18">
        <f>'Sampling Data'!G178</f>
        <v>0</v>
      </c>
      <c r="I178" s="18">
        <f>'Sampling Data'!H178</f>
        <v>0</v>
      </c>
      <c r="J178" s="18">
        <f>'Sampling Data'!I178</f>
        <v>0</v>
      </c>
      <c r="K178" s="18">
        <f>'Sampling Data'!J178</f>
        <v>0</v>
      </c>
      <c r="L178" s="18">
        <f>'Sampling Data'!K178</f>
        <v>0</v>
      </c>
      <c r="M178" s="18">
        <f>'Sampling Data'!L178</f>
        <v>0</v>
      </c>
      <c r="N178" s="18">
        <f>'Sampling Data'!M178</f>
        <v>0</v>
      </c>
      <c r="O178" s="17">
        <f>'Sampling Data'!N178</f>
        <v>0</v>
      </c>
      <c r="P178" s="17">
        <f>'Sampling Data'!O178</f>
        <v>5</v>
      </c>
      <c r="Q178" s="17">
        <f>'Sampling Data'!P178</f>
        <v>135</v>
      </c>
      <c r="R178" s="17">
        <f>'Sampling Data'!AJ178</f>
        <v>0</v>
      </c>
      <c r="S178" s="111"/>
      <c r="T178" s="111"/>
      <c r="U178" s="112"/>
      <c r="V178" s="112"/>
      <c r="W178" s="111"/>
      <c r="X178" s="111"/>
      <c r="Y178" s="111"/>
      <c r="Z178" s="111"/>
      <c r="AA178" s="14"/>
      <c r="AB178" s="14"/>
      <c r="AC178" s="14"/>
      <c r="AD178" s="14"/>
      <c r="AE178" s="113" t="str">
        <f>IF(NOT(ISBLANK(Audit[[#This Row],[Audit Winning Candidate]])), Audit[[#This Row],[Audit Winning Candidate]]-Audit[[#This Row],[Winning Candidate]], "")</f>
        <v/>
      </c>
      <c r="AF178" s="17" t="str">
        <f>IF(NOT(ISBLANK(Audit[[#This Row],[Audit Losing Candidate]])), Audit[[#This Row],[Audit Losing Candidate]]-Audit[[#This Row],[Losing Candidate]], "")</f>
        <v/>
      </c>
      <c r="AG178" s="17" t="str">
        <f>IF(NOT(ISBLANK(Audit[[#This Row],[Audit Candidate 3]])), Audit[[#This Row],[Audit Candidate 3]]-Audit[[#This Row],[Candidate 3]], "")</f>
        <v/>
      </c>
      <c r="AH178" s="17" t="str">
        <f>IF(NOT(ISBLANK(Audit[[#This Row],[Audit Candidate 4]])),Audit[[#This Row],[Audit Candidate 4]]-Audit[[#This Row],[Candidate 4]], "")</f>
        <v/>
      </c>
      <c r="AI178" s="17" t="str">
        <f>IF(NOT(ISBLANK(Audit[[#This Row],[Audit Candidate 5]])), Audit[[#This Row],[Audit Candidate 5]]-Audit[[#This Row],[Candidate 5]], "")</f>
        <v/>
      </c>
      <c r="AJ178" s="17" t="str">
        <f>IF(NOT(ISBLANK(Audit[[#This Row],[Audit Candidate 6]])), Audit[[#This Row],[Audit Candidate 6]]-Audit[[#This Row],[Candidate 6]], "")</f>
        <v/>
      </c>
      <c r="AK178" s="17" t="str">
        <f>IF(NOT(ISBLANK(Audit[[#This Row],[Audit Candidate 7]])), Audit[[#This Row],[Audit Candidate 7]]-Audit[[#This Row],[Candidate 7]], "")</f>
        <v/>
      </c>
      <c r="AL178" s="17" t="str">
        <f>IF(NOT(ISBLANK(Audit[[#This Row],[Audit Candidate 8]])), Audit[[#This Row],[Audit Candidate 8]]-Audit[[#This Row],[Candidate 8]], "")</f>
        <v/>
      </c>
      <c r="AM178" s="17" t="str">
        <f>IF(NOT(ISBLANK(Audit[[#This Row],[Audit Candidate 9]])), Audit[[#This Row],[Audit Candidate 9]]-Audit[[#This Row],[Candidate 9]], "")</f>
        <v/>
      </c>
      <c r="AN178" s="17" t="str">
        <f>IF(NOT(ISBLANK(Audit[[#This Row],[Audit Candidate 10]])), Audit[[#This Row],[Audit Candidate 10]]-Audit[[#This Row],[Candidate 10]], "")</f>
        <v/>
      </c>
      <c r="AO178" s="17" t="str">
        <f>IF(NOT(ISBLANK(Audit[[#This Row],[Audit Candidate 11]])), Audit[[#This Row],[Audit Candidate 11]]-Audit[[#This Row],[Candidate 11]], "")</f>
        <v/>
      </c>
      <c r="AP178" s="17" t="str">
        <f>IF(NOT(ISBLANK(Audit[[#This Row],[Audit Candidate 12]])), Audit[[#This Row],[Audit Candidate 12]]-Audit[[#This Row],[Candidate 12]], "")</f>
        <v/>
      </c>
      <c r="AQ178" s="17">
        <f>SUMIF(Audit[[#This Row],[Difference Winner]:[Difference Candidate 12]], "&gt;0")</f>
        <v>0</v>
      </c>
      <c r="AR178" s="17">
        <f>SUM(Audit[[#This Row],[Difference Winner]:[Difference Candidate 12]])</f>
        <v>0</v>
      </c>
      <c r="AS178" s="17">
        <f>IF(Audit[[#This Row],[Times p Drawn - With Replacement]]&gt;0, IF(Audit[[#This Row],[Canceled Differences]]&lt;0, Audit[[#This Row],[Max Differences]]+ABS(Audit[[#This Row],[Canceled Differences]]), Audit[[#This Row],[Max Differences]]), 0)</f>
        <v>0</v>
      </c>
      <c r="AT178" s="17">
        <f>'Sampling Data'!AB178</f>
        <v>8.6148361907995245E-3</v>
      </c>
      <c r="AU178" s="17">
        <f>IF(
      SUM(Audit[[#This Row],[Audit Losing Candidate]:[Audit Candidate 12]])
      &lt;&gt;0,
      (Audit[[#This Row],[Winning Candidate]]-Audit[[#This Row],[Losing Candidate]]-(Audit[[#This Row],[Audit Winning Candidate]]-Audit[[#This Row],[Audit Losing Candidate]]))/(Audit[[#Totals],[Winning Candidate]]-Audit[[#Totals],[Losing Candidate]]),
      0
)</f>
        <v>0</v>
      </c>
      <c r="AV1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8" s="17">
        <f>IF(Audit[[#This Row],[Max Relative Error (ep)]] = 0, 0, Audit[[#This Row],[Max Relative Error (ep)]]/Audit[[#This Row],[Error Bound (up) - Max. possible relative overstatement]])</f>
        <v>0</v>
      </c>
      <c r="BH1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78" s="17">
        <f t="shared" si="3"/>
        <v>1</v>
      </c>
      <c r="BJ178" s="17">
        <f>PRODUCT($BI$5:BI178)</f>
        <v>0.68031947676209759</v>
      </c>
      <c r="BK178" s="19">
        <f>1 - Audit[[#This Row],[K-M P Value]]</f>
        <v>0.31968052323790241</v>
      </c>
      <c r="BL178" s="17" t="str">
        <f>IF(Audit[[#This Row],[K-M P Value]]&gt;1-'General Info'!$B$12,"Continue", "Stop")</f>
        <v>Continue</v>
      </c>
      <c r="BM178" s="22" t="b">
        <f>IF(Audit[[#This Row],[Status - Continue or stop audit]] = "Continue", TRUE, IF(BL177 = "Continue", TRUE, FALSE))</f>
        <v>1</v>
      </c>
      <c r="BN178" s="22"/>
    </row>
    <row r="179" spans="1:66" ht="15" hidden="1" customHeight="1" x14ac:dyDescent="0.35">
      <c r="A179" s="17" t="str">
        <f>'Sampling Data'!AI179</f>
        <v/>
      </c>
      <c r="B179" s="17" t="str">
        <f>'Sampling Data'!A179</f>
        <v>2604 CIN 26-D   (AV)</v>
      </c>
      <c r="C179" s="17">
        <f>'Sampling Data'!B179</f>
        <v>130</v>
      </c>
      <c r="D179" s="17">
        <f>'Sampling Data'!C179</f>
        <v>27</v>
      </c>
      <c r="E179" s="18">
        <f>'Sampling Data'!D179</f>
        <v>0</v>
      </c>
      <c r="F179" s="18">
        <f>'Sampling Data'!E179</f>
        <v>0</v>
      </c>
      <c r="G179" s="18">
        <f>'Sampling Data'!F179</f>
        <v>0</v>
      </c>
      <c r="H179" s="18">
        <f>'Sampling Data'!G179</f>
        <v>0</v>
      </c>
      <c r="I179" s="18">
        <f>'Sampling Data'!H179</f>
        <v>0</v>
      </c>
      <c r="J179" s="18">
        <f>'Sampling Data'!I179</f>
        <v>0</v>
      </c>
      <c r="K179" s="18">
        <f>'Sampling Data'!J179</f>
        <v>0</v>
      </c>
      <c r="L179" s="18">
        <f>'Sampling Data'!K179</f>
        <v>0</v>
      </c>
      <c r="M179" s="18">
        <f>'Sampling Data'!L179</f>
        <v>0</v>
      </c>
      <c r="N179" s="18">
        <f>'Sampling Data'!M179</f>
        <v>0</v>
      </c>
      <c r="O179" s="17">
        <f>'Sampling Data'!N179</f>
        <v>0</v>
      </c>
      <c r="P179" s="17">
        <f>'Sampling Data'!O179</f>
        <v>12</v>
      </c>
      <c r="Q179" s="17">
        <f>'Sampling Data'!P179</f>
        <v>169</v>
      </c>
      <c r="R179" s="17">
        <f>'Sampling Data'!AJ179</f>
        <v>0</v>
      </c>
      <c r="S179" s="111"/>
      <c r="T179" s="111"/>
      <c r="U179" s="112"/>
      <c r="V179" s="112"/>
      <c r="W179" s="111"/>
      <c r="X179" s="111"/>
      <c r="Y179" s="111"/>
      <c r="Z179" s="111"/>
      <c r="AA179" s="14"/>
      <c r="AB179" s="14"/>
      <c r="AC179" s="14"/>
      <c r="AD179" s="14"/>
      <c r="AE179" s="113" t="str">
        <f>IF(NOT(ISBLANK(Audit[[#This Row],[Audit Winning Candidate]])), Audit[[#This Row],[Audit Winning Candidate]]-Audit[[#This Row],[Winning Candidate]], "")</f>
        <v/>
      </c>
      <c r="AF179" s="17" t="str">
        <f>IF(NOT(ISBLANK(Audit[[#This Row],[Audit Losing Candidate]])), Audit[[#This Row],[Audit Losing Candidate]]-Audit[[#This Row],[Losing Candidate]], "")</f>
        <v/>
      </c>
      <c r="AG179" s="17" t="str">
        <f>IF(NOT(ISBLANK(Audit[[#This Row],[Audit Candidate 3]])), Audit[[#This Row],[Audit Candidate 3]]-Audit[[#This Row],[Candidate 3]], "")</f>
        <v/>
      </c>
      <c r="AH179" s="17" t="str">
        <f>IF(NOT(ISBLANK(Audit[[#This Row],[Audit Candidate 4]])),Audit[[#This Row],[Audit Candidate 4]]-Audit[[#This Row],[Candidate 4]], "")</f>
        <v/>
      </c>
      <c r="AI179" s="17" t="str">
        <f>IF(NOT(ISBLANK(Audit[[#This Row],[Audit Candidate 5]])), Audit[[#This Row],[Audit Candidate 5]]-Audit[[#This Row],[Candidate 5]], "")</f>
        <v/>
      </c>
      <c r="AJ179" s="17" t="str">
        <f>IF(NOT(ISBLANK(Audit[[#This Row],[Audit Candidate 6]])), Audit[[#This Row],[Audit Candidate 6]]-Audit[[#This Row],[Candidate 6]], "")</f>
        <v/>
      </c>
      <c r="AK179" s="17" t="str">
        <f>IF(NOT(ISBLANK(Audit[[#This Row],[Audit Candidate 7]])), Audit[[#This Row],[Audit Candidate 7]]-Audit[[#This Row],[Candidate 7]], "")</f>
        <v/>
      </c>
      <c r="AL179" s="17" t="str">
        <f>IF(NOT(ISBLANK(Audit[[#This Row],[Audit Candidate 8]])), Audit[[#This Row],[Audit Candidate 8]]-Audit[[#This Row],[Candidate 8]], "")</f>
        <v/>
      </c>
      <c r="AM179" s="17" t="str">
        <f>IF(NOT(ISBLANK(Audit[[#This Row],[Audit Candidate 9]])), Audit[[#This Row],[Audit Candidate 9]]-Audit[[#This Row],[Candidate 9]], "")</f>
        <v/>
      </c>
      <c r="AN179" s="17" t="str">
        <f>IF(NOT(ISBLANK(Audit[[#This Row],[Audit Candidate 10]])), Audit[[#This Row],[Audit Candidate 10]]-Audit[[#This Row],[Candidate 10]], "")</f>
        <v/>
      </c>
      <c r="AO179" s="17" t="str">
        <f>IF(NOT(ISBLANK(Audit[[#This Row],[Audit Candidate 11]])), Audit[[#This Row],[Audit Candidate 11]]-Audit[[#This Row],[Candidate 11]], "")</f>
        <v/>
      </c>
      <c r="AP179" s="17" t="str">
        <f>IF(NOT(ISBLANK(Audit[[#This Row],[Audit Candidate 12]])), Audit[[#This Row],[Audit Candidate 12]]-Audit[[#This Row],[Candidate 12]], "")</f>
        <v/>
      </c>
      <c r="AQ179" s="17">
        <f>SUMIF(Audit[[#This Row],[Difference Winner]:[Difference Candidate 12]], "&gt;0")</f>
        <v>0</v>
      </c>
      <c r="AR179" s="17">
        <f>SUM(Audit[[#This Row],[Difference Winner]:[Difference Candidate 12]])</f>
        <v>0</v>
      </c>
      <c r="AS179" s="17">
        <f>IF(Audit[[#This Row],[Times p Drawn - With Replacement]]&gt;0, IF(Audit[[#This Row],[Canceled Differences]]&lt;0, Audit[[#This Row],[Max Differences]]+ABS(Audit[[#This Row],[Canceled Differences]]), Audit[[#This Row],[Max Differences]]), 0)</f>
        <v>0</v>
      </c>
      <c r="AT179" s="17">
        <f>'Sampling Data'!AB179</f>
        <v>1.1543031743337295E-2</v>
      </c>
      <c r="AU179" s="17">
        <f>IF(
      SUM(Audit[[#This Row],[Audit Losing Candidate]:[Audit Candidate 12]])
      &lt;&gt;0,
      (Audit[[#This Row],[Winning Candidate]]-Audit[[#This Row],[Losing Candidate]]-(Audit[[#This Row],[Audit Winning Candidate]]-Audit[[#This Row],[Audit Losing Candidate]]))/(Audit[[#Totals],[Winning Candidate]]-Audit[[#Totals],[Losing Candidate]]),
      0
)</f>
        <v>0</v>
      </c>
      <c r="AV1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9" s="17">
        <f>IF(Audit[[#This Row],[Max Relative Error (ep)]] = 0, 0, Audit[[#This Row],[Max Relative Error (ep)]]/Audit[[#This Row],[Error Bound (up) - Max. possible relative overstatement]])</f>
        <v>0</v>
      </c>
      <c r="BH1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79" s="17">
        <f t="shared" si="3"/>
        <v>1</v>
      </c>
      <c r="BJ179" s="17">
        <f>PRODUCT($BI$5:BI179)</f>
        <v>0.68031947676209759</v>
      </c>
      <c r="BK179" s="19">
        <f>1 - Audit[[#This Row],[K-M P Value]]</f>
        <v>0.31968052323790241</v>
      </c>
      <c r="BL179" s="17" t="str">
        <f>IF(Audit[[#This Row],[K-M P Value]]&gt;1-'General Info'!$B$12,"Continue", "Stop")</f>
        <v>Continue</v>
      </c>
      <c r="BM179" s="22" t="b">
        <f>IF(Audit[[#This Row],[Status - Continue or stop audit]] = "Continue", TRUE, IF(BL178 = "Continue", TRUE, FALSE))</f>
        <v>1</v>
      </c>
      <c r="BN179" s="22"/>
    </row>
    <row r="180" spans="1:66" ht="15" hidden="1" customHeight="1" x14ac:dyDescent="0.35">
      <c r="A180" s="17" t="str">
        <f>'Sampling Data'!AI180</f>
        <v/>
      </c>
      <c r="B180" s="17" t="str">
        <f>'Sampling Data'!A180</f>
        <v>2605 CIN 26-E   (AV)</v>
      </c>
      <c r="C180" s="17">
        <f>'Sampling Data'!B180</f>
        <v>163</v>
      </c>
      <c r="D180" s="17">
        <f>'Sampling Data'!C180</f>
        <v>29</v>
      </c>
      <c r="E180" s="18">
        <f>'Sampling Data'!D180</f>
        <v>0</v>
      </c>
      <c r="F180" s="18">
        <f>'Sampling Data'!E180</f>
        <v>0</v>
      </c>
      <c r="G180" s="18">
        <f>'Sampling Data'!F180</f>
        <v>0</v>
      </c>
      <c r="H180" s="18">
        <f>'Sampling Data'!G180</f>
        <v>0</v>
      </c>
      <c r="I180" s="18">
        <f>'Sampling Data'!H180</f>
        <v>0</v>
      </c>
      <c r="J180" s="18">
        <f>'Sampling Data'!I180</f>
        <v>0</v>
      </c>
      <c r="K180" s="18">
        <f>'Sampling Data'!J180</f>
        <v>0</v>
      </c>
      <c r="L180" s="18">
        <f>'Sampling Data'!K180</f>
        <v>0</v>
      </c>
      <c r="M180" s="18">
        <f>'Sampling Data'!L180</f>
        <v>0</v>
      </c>
      <c r="N180" s="18">
        <f>'Sampling Data'!M180</f>
        <v>0</v>
      </c>
      <c r="O180" s="17">
        <f>'Sampling Data'!N180</f>
        <v>0</v>
      </c>
      <c r="P180" s="17">
        <f>'Sampling Data'!O180</f>
        <v>16</v>
      </c>
      <c r="Q180" s="17">
        <f>'Sampling Data'!P180</f>
        <v>208</v>
      </c>
      <c r="R180" s="17">
        <f>'Sampling Data'!AJ180</f>
        <v>0</v>
      </c>
      <c r="S180" s="111"/>
      <c r="T180" s="111"/>
      <c r="U180" s="112"/>
      <c r="V180" s="112"/>
      <c r="W180" s="111"/>
      <c r="X180" s="111"/>
      <c r="Y180" s="111"/>
      <c r="Z180" s="111"/>
      <c r="AA180" s="14"/>
      <c r="AB180" s="14"/>
      <c r="AC180" s="14"/>
      <c r="AD180" s="14"/>
      <c r="AE180" s="113" t="str">
        <f>IF(NOT(ISBLANK(Audit[[#This Row],[Audit Winning Candidate]])), Audit[[#This Row],[Audit Winning Candidate]]-Audit[[#This Row],[Winning Candidate]], "")</f>
        <v/>
      </c>
      <c r="AF180" s="17" t="str">
        <f>IF(NOT(ISBLANK(Audit[[#This Row],[Audit Losing Candidate]])), Audit[[#This Row],[Audit Losing Candidate]]-Audit[[#This Row],[Losing Candidate]], "")</f>
        <v/>
      </c>
      <c r="AG180" s="17" t="str">
        <f>IF(NOT(ISBLANK(Audit[[#This Row],[Audit Candidate 3]])), Audit[[#This Row],[Audit Candidate 3]]-Audit[[#This Row],[Candidate 3]], "")</f>
        <v/>
      </c>
      <c r="AH180" s="17" t="str">
        <f>IF(NOT(ISBLANK(Audit[[#This Row],[Audit Candidate 4]])),Audit[[#This Row],[Audit Candidate 4]]-Audit[[#This Row],[Candidate 4]], "")</f>
        <v/>
      </c>
      <c r="AI180" s="17" t="str">
        <f>IF(NOT(ISBLANK(Audit[[#This Row],[Audit Candidate 5]])), Audit[[#This Row],[Audit Candidate 5]]-Audit[[#This Row],[Candidate 5]], "")</f>
        <v/>
      </c>
      <c r="AJ180" s="17" t="str">
        <f>IF(NOT(ISBLANK(Audit[[#This Row],[Audit Candidate 6]])), Audit[[#This Row],[Audit Candidate 6]]-Audit[[#This Row],[Candidate 6]], "")</f>
        <v/>
      </c>
      <c r="AK180" s="17" t="str">
        <f>IF(NOT(ISBLANK(Audit[[#This Row],[Audit Candidate 7]])), Audit[[#This Row],[Audit Candidate 7]]-Audit[[#This Row],[Candidate 7]], "")</f>
        <v/>
      </c>
      <c r="AL180" s="17" t="str">
        <f>IF(NOT(ISBLANK(Audit[[#This Row],[Audit Candidate 8]])), Audit[[#This Row],[Audit Candidate 8]]-Audit[[#This Row],[Candidate 8]], "")</f>
        <v/>
      </c>
      <c r="AM180" s="17" t="str">
        <f>IF(NOT(ISBLANK(Audit[[#This Row],[Audit Candidate 9]])), Audit[[#This Row],[Audit Candidate 9]]-Audit[[#This Row],[Candidate 9]], "")</f>
        <v/>
      </c>
      <c r="AN180" s="17" t="str">
        <f>IF(NOT(ISBLANK(Audit[[#This Row],[Audit Candidate 10]])), Audit[[#This Row],[Audit Candidate 10]]-Audit[[#This Row],[Candidate 10]], "")</f>
        <v/>
      </c>
      <c r="AO180" s="17" t="str">
        <f>IF(NOT(ISBLANK(Audit[[#This Row],[Audit Candidate 11]])), Audit[[#This Row],[Audit Candidate 11]]-Audit[[#This Row],[Candidate 11]], "")</f>
        <v/>
      </c>
      <c r="AP180" s="17" t="str">
        <f>IF(NOT(ISBLANK(Audit[[#This Row],[Audit Candidate 12]])), Audit[[#This Row],[Audit Candidate 12]]-Audit[[#This Row],[Candidate 12]], "")</f>
        <v/>
      </c>
      <c r="AQ180" s="17">
        <f>SUMIF(Audit[[#This Row],[Difference Winner]:[Difference Candidate 12]], "&gt;0")</f>
        <v>0</v>
      </c>
      <c r="AR180" s="17">
        <f>SUM(Audit[[#This Row],[Difference Winner]:[Difference Candidate 12]])</f>
        <v>0</v>
      </c>
      <c r="AS180" s="17">
        <f>IF(Audit[[#This Row],[Times p Drawn - With Replacement]]&gt;0, IF(Audit[[#This Row],[Canceled Differences]]&lt;0, Audit[[#This Row],[Max Differences]]+ABS(Audit[[#This Row],[Canceled Differences]]), Audit[[#This Row],[Max Differences]]), 0)</f>
        <v>0</v>
      </c>
      <c r="AT180" s="17">
        <f>'Sampling Data'!AB180</f>
        <v>1.451366491257851E-2</v>
      </c>
      <c r="AU180" s="17">
        <f>IF(
      SUM(Audit[[#This Row],[Audit Losing Candidate]:[Audit Candidate 12]])
      &lt;&gt;0,
      (Audit[[#This Row],[Winning Candidate]]-Audit[[#This Row],[Losing Candidate]]-(Audit[[#This Row],[Audit Winning Candidate]]-Audit[[#This Row],[Audit Losing Candidate]]))/(Audit[[#Totals],[Winning Candidate]]-Audit[[#Totals],[Losing Candidate]]),
      0
)</f>
        <v>0</v>
      </c>
      <c r="AV1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0" s="17">
        <f>IF(Audit[[#This Row],[Max Relative Error (ep)]] = 0, 0, Audit[[#This Row],[Max Relative Error (ep)]]/Audit[[#This Row],[Error Bound (up) - Max. possible relative overstatement]])</f>
        <v>0</v>
      </c>
      <c r="BH1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80" s="17">
        <f t="shared" si="3"/>
        <v>1</v>
      </c>
      <c r="BJ180" s="17">
        <f>PRODUCT($BI$5:BI180)</f>
        <v>0.68031947676209759</v>
      </c>
      <c r="BK180" s="19">
        <f>1 - Audit[[#This Row],[K-M P Value]]</f>
        <v>0.31968052323790241</v>
      </c>
      <c r="BL180" s="17" t="str">
        <f>IF(Audit[[#This Row],[K-M P Value]]&gt;1-'General Info'!$B$12,"Continue", "Stop")</f>
        <v>Continue</v>
      </c>
      <c r="BM180" s="22" t="b">
        <f>IF(Audit[[#This Row],[Status - Continue or stop audit]] = "Continue", TRUE, IF(BL179 = "Continue", TRUE, FALSE))</f>
        <v>1</v>
      </c>
      <c r="BN180" s="22"/>
    </row>
    <row r="181" spans="1:66" ht="15" hidden="1" customHeight="1" x14ac:dyDescent="0.35">
      <c r="A181" s="17" t="str">
        <f>'Sampling Data'!AI181</f>
        <v/>
      </c>
      <c r="B181" s="17" t="str">
        <f>'Sampling Data'!A181</f>
        <v>2606 CIN 26-F   (AV)</v>
      </c>
      <c r="C181" s="17">
        <f>'Sampling Data'!B181</f>
        <v>124</v>
      </c>
      <c r="D181" s="17">
        <f>'Sampling Data'!C181</f>
        <v>35</v>
      </c>
      <c r="E181" s="18">
        <f>'Sampling Data'!D181</f>
        <v>0</v>
      </c>
      <c r="F181" s="18">
        <f>'Sampling Data'!E181</f>
        <v>0</v>
      </c>
      <c r="G181" s="18">
        <f>'Sampling Data'!F181</f>
        <v>0</v>
      </c>
      <c r="H181" s="18">
        <f>'Sampling Data'!G181</f>
        <v>0</v>
      </c>
      <c r="I181" s="18">
        <f>'Sampling Data'!H181</f>
        <v>0</v>
      </c>
      <c r="J181" s="18">
        <f>'Sampling Data'!I181</f>
        <v>0</v>
      </c>
      <c r="K181" s="18">
        <f>'Sampling Data'!J181</f>
        <v>0</v>
      </c>
      <c r="L181" s="18">
        <f>'Sampling Data'!K181</f>
        <v>0</v>
      </c>
      <c r="M181" s="18">
        <f>'Sampling Data'!L181</f>
        <v>0</v>
      </c>
      <c r="N181" s="18">
        <f>'Sampling Data'!M181</f>
        <v>0</v>
      </c>
      <c r="O181" s="17">
        <f>'Sampling Data'!N181</f>
        <v>0</v>
      </c>
      <c r="P181" s="17">
        <f>'Sampling Data'!O181</f>
        <v>4</v>
      </c>
      <c r="Q181" s="17">
        <f>'Sampling Data'!P181</f>
        <v>163</v>
      </c>
      <c r="R181" s="17">
        <f>'Sampling Data'!AJ181</f>
        <v>0</v>
      </c>
      <c r="S181" s="111"/>
      <c r="T181" s="111"/>
      <c r="U181" s="112"/>
      <c r="V181" s="112"/>
      <c r="W181" s="111"/>
      <c r="X181" s="111"/>
      <c r="Y181" s="111"/>
      <c r="Z181" s="111"/>
      <c r="AA181" s="14"/>
      <c r="AB181" s="14"/>
      <c r="AC181" s="14"/>
      <c r="AD181" s="14"/>
      <c r="AE181" s="113" t="str">
        <f>IF(NOT(ISBLANK(Audit[[#This Row],[Audit Winning Candidate]])), Audit[[#This Row],[Audit Winning Candidate]]-Audit[[#This Row],[Winning Candidate]], "")</f>
        <v/>
      </c>
      <c r="AF181" s="17" t="str">
        <f>IF(NOT(ISBLANK(Audit[[#This Row],[Audit Losing Candidate]])), Audit[[#This Row],[Audit Losing Candidate]]-Audit[[#This Row],[Losing Candidate]], "")</f>
        <v/>
      </c>
      <c r="AG181" s="17" t="str">
        <f>IF(NOT(ISBLANK(Audit[[#This Row],[Audit Candidate 3]])), Audit[[#This Row],[Audit Candidate 3]]-Audit[[#This Row],[Candidate 3]], "")</f>
        <v/>
      </c>
      <c r="AH181" s="17" t="str">
        <f>IF(NOT(ISBLANK(Audit[[#This Row],[Audit Candidate 4]])),Audit[[#This Row],[Audit Candidate 4]]-Audit[[#This Row],[Candidate 4]], "")</f>
        <v/>
      </c>
      <c r="AI181" s="17" t="str">
        <f>IF(NOT(ISBLANK(Audit[[#This Row],[Audit Candidate 5]])), Audit[[#This Row],[Audit Candidate 5]]-Audit[[#This Row],[Candidate 5]], "")</f>
        <v/>
      </c>
      <c r="AJ181" s="17" t="str">
        <f>IF(NOT(ISBLANK(Audit[[#This Row],[Audit Candidate 6]])), Audit[[#This Row],[Audit Candidate 6]]-Audit[[#This Row],[Candidate 6]], "")</f>
        <v/>
      </c>
      <c r="AK181" s="17" t="str">
        <f>IF(NOT(ISBLANK(Audit[[#This Row],[Audit Candidate 7]])), Audit[[#This Row],[Audit Candidate 7]]-Audit[[#This Row],[Candidate 7]], "")</f>
        <v/>
      </c>
      <c r="AL181" s="17" t="str">
        <f>IF(NOT(ISBLANK(Audit[[#This Row],[Audit Candidate 8]])), Audit[[#This Row],[Audit Candidate 8]]-Audit[[#This Row],[Candidate 8]], "")</f>
        <v/>
      </c>
      <c r="AM181" s="17" t="str">
        <f>IF(NOT(ISBLANK(Audit[[#This Row],[Audit Candidate 9]])), Audit[[#This Row],[Audit Candidate 9]]-Audit[[#This Row],[Candidate 9]], "")</f>
        <v/>
      </c>
      <c r="AN181" s="17" t="str">
        <f>IF(NOT(ISBLANK(Audit[[#This Row],[Audit Candidate 10]])), Audit[[#This Row],[Audit Candidate 10]]-Audit[[#This Row],[Candidate 10]], "")</f>
        <v/>
      </c>
      <c r="AO181" s="17" t="str">
        <f>IF(NOT(ISBLANK(Audit[[#This Row],[Audit Candidate 11]])), Audit[[#This Row],[Audit Candidate 11]]-Audit[[#This Row],[Candidate 11]], "")</f>
        <v/>
      </c>
      <c r="AP181" s="17" t="str">
        <f>IF(NOT(ISBLANK(Audit[[#This Row],[Audit Candidate 12]])), Audit[[#This Row],[Audit Candidate 12]]-Audit[[#This Row],[Candidate 12]], "")</f>
        <v/>
      </c>
      <c r="AQ181" s="17">
        <f>SUMIF(Audit[[#This Row],[Difference Winner]:[Difference Candidate 12]], "&gt;0")</f>
        <v>0</v>
      </c>
      <c r="AR181" s="17">
        <f>SUM(Audit[[#This Row],[Difference Winner]:[Difference Candidate 12]])</f>
        <v>0</v>
      </c>
      <c r="AS181" s="17">
        <f>IF(Audit[[#This Row],[Times p Drawn - With Replacement]]&gt;0, IF(Audit[[#This Row],[Canceled Differences]]&lt;0, Audit[[#This Row],[Max Differences]]+ABS(Audit[[#This Row],[Canceled Differences]]), Audit[[#This Row],[Max Differences]]), 0)</f>
        <v>0</v>
      </c>
      <c r="AT181" s="17">
        <f>'Sampling Data'!AB181</f>
        <v>1.0694279409268375E-2</v>
      </c>
      <c r="AU181" s="17">
        <f>IF(
      SUM(Audit[[#This Row],[Audit Losing Candidate]:[Audit Candidate 12]])
      &lt;&gt;0,
      (Audit[[#This Row],[Winning Candidate]]-Audit[[#This Row],[Losing Candidate]]-(Audit[[#This Row],[Audit Winning Candidate]]-Audit[[#This Row],[Audit Losing Candidate]]))/(Audit[[#Totals],[Winning Candidate]]-Audit[[#Totals],[Losing Candidate]]),
      0
)</f>
        <v>0</v>
      </c>
      <c r="AV1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1" s="17">
        <f>IF(Audit[[#This Row],[Max Relative Error (ep)]] = 0, 0, Audit[[#This Row],[Max Relative Error (ep)]]/Audit[[#This Row],[Error Bound (up) - Max. possible relative overstatement]])</f>
        <v>0</v>
      </c>
      <c r="BH1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81" s="17">
        <f t="shared" si="3"/>
        <v>1</v>
      </c>
      <c r="BJ181" s="17">
        <f>PRODUCT($BI$5:BI181)</f>
        <v>0.68031947676209759</v>
      </c>
      <c r="BK181" s="19">
        <f>1 - Audit[[#This Row],[K-M P Value]]</f>
        <v>0.31968052323790241</v>
      </c>
      <c r="BL181" s="17" t="str">
        <f>IF(Audit[[#This Row],[K-M P Value]]&gt;1-'General Info'!$B$12,"Continue", "Stop")</f>
        <v>Continue</v>
      </c>
      <c r="BM181" s="22" t="b">
        <f>IF(Audit[[#This Row],[Status - Continue or stop audit]] = "Continue", TRUE, IF(BL180 = "Continue", TRUE, FALSE))</f>
        <v>1</v>
      </c>
      <c r="BN181" s="22"/>
    </row>
    <row r="182" spans="1:66" ht="15" hidden="1" customHeight="1" x14ac:dyDescent="0.35">
      <c r="A182" s="17" t="str">
        <f>'Sampling Data'!AI182</f>
        <v/>
      </c>
      <c r="B182" s="17" t="str">
        <f>'Sampling Data'!A182</f>
        <v>2607 CIN 26-G   (AV)</v>
      </c>
      <c r="C182" s="17">
        <f>'Sampling Data'!B182</f>
        <v>121</v>
      </c>
      <c r="D182" s="17">
        <f>'Sampling Data'!C182</f>
        <v>64</v>
      </c>
      <c r="E182" s="18">
        <f>'Sampling Data'!D182</f>
        <v>0</v>
      </c>
      <c r="F182" s="18">
        <f>'Sampling Data'!E182</f>
        <v>0</v>
      </c>
      <c r="G182" s="18">
        <f>'Sampling Data'!F182</f>
        <v>0</v>
      </c>
      <c r="H182" s="18">
        <f>'Sampling Data'!G182</f>
        <v>0</v>
      </c>
      <c r="I182" s="18">
        <f>'Sampling Data'!H182</f>
        <v>0</v>
      </c>
      <c r="J182" s="18">
        <f>'Sampling Data'!I182</f>
        <v>0</v>
      </c>
      <c r="K182" s="18">
        <f>'Sampling Data'!J182</f>
        <v>0</v>
      </c>
      <c r="L182" s="18">
        <f>'Sampling Data'!K182</f>
        <v>0</v>
      </c>
      <c r="M182" s="18">
        <f>'Sampling Data'!L182</f>
        <v>0</v>
      </c>
      <c r="N182" s="18">
        <f>'Sampling Data'!M182</f>
        <v>0</v>
      </c>
      <c r="O182" s="17">
        <f>'Sampling Data'!N182</f>
        <v>0</v>
      </c>
      <c r="P182" s="17">
        <f>'Sampling Data'!O182</f>
        <v>14</v>
      </c>
      <c r="Q182" s="17">
        <f>'Sampling Data'!P182</f>
        <v>199</v>
      </c>
      <c r="R182" s="17">
        <f>'Sampling Data'!AJ182</f>
        <v>0</v>
      </c>
      <c r="S182" s="111"/>
      <c r="T182" s="111"/>
      <c r="U182" s="112"/>
      <c r="V182" s="112"/>
      <c r="W182" s="111"/>
      <c r="X182" s="111"/>
      <c r="Y182" s="111"/>
      <c r="Z182" s="111"/>
      <c r="AA182" s="14"/>
      <c r="AB182" s="14"/>
      <c r="AC182" s="14"/>
      <c r="AD182" s="14"/>
      <c r="AE182" s="113" t="str">
        <f>IF(NOT(ISBLANK(Audit[[#This Row],[Audit Winning Candidate]])), Audit[[#This Row],[Audit Winning Candidate]]-Audit[[#This Row],[Winning Candidate]], "")</f>
        <v/>
      </c>
      <c r="AF182" s="17" t="str">
        <f>IF(NOT(ISBLANK(Audit[[#This Row],[Audit Losing Candidate]])), Audit[[#This Row],[Audit Losing Candidate]]-Audit[[#This Row],[Losing Candidate]], "")</f>
        <v/>
      </c>
      <c r="AG182" s="17" t="str">
        <f>IF(NOT(ISBLANK(Audit[[#This Row],[Audit Candidate 3]])), Audit[[#This Row],[Audit Candidate 3]]-Audit[[#This Row],[Candidate 3]], "")</f>
        <v/>
      </c>
      <c r="AH182" s="17" t="str">
        <f>IF(NOT(ISBLANK(Audit[[#This Row],[Audit Candidate 4]])),Audit[[#This Row],[Audit Candidate 4]]-Audit[[#This Row],[Candidate 4]], "")</f>
        <v/>
      </c>
      <c r="AI182" s="17" t="str">
        <f>IF(NOT(ISBLANK(Audit[[#This Row],[Audit Candidate 5]])), Audit[[#This Row],[Audit Candidate 5]]-Audit[[#This Row],[Candidate 5]], "")</f>
        <v/>
      </c>
      <c r="AJ182" s="17" t="str">
        <f>IF(NOT(ISBLANK(Audit[[#This Row],[Audit Candidate 6]])), Audit[[#This Row],[Audit Candidate 6]]-Audit[[#This Row],[Candidate 6]], "")</f>
        <v/>
      </c>
      <c r="AK182" s="17" t="str">
        <f>IF(NOT(ISBLANK(Audit[[#This Row],[Audit Candidate 7]])), Audit[[#This Row],[Audit Candidate 7]]-Audit[[#This Row],[Candidate 7]], "")</f>
        <v/>
      </c>
      <c r="AL182" s="17" t="str">
        <f>IF(NOT(ISBLANK(Audit[[#This Row],[Audit Candidate 8]])), Audit[[#This Row],[Audit Candidate 8]]-Audit[[#This Row],[Candidate 8]], "")</f>
        <v/>
      </c>
      <c r="AM182" s="17" t="str">
        <f>IF(NOT(ISBLANK(Audit[[#This Row],[Audit Candidate 9]])), Audit[[#This Row],[Audit Candidate 9]]-Audit[[#This Row],[Candidate 9]], "")</f>
        <v/>
      </c>
      <c r="AN182" s="17" t="str">
        <f>IF(NOT(ISBLANK(Audit[[#This Row],[Audit Candidate 10]])), Audit[[#This Row],[Audit Candidate 10]]-Audit[[#This Row],[Candidate 10]], "")</f>
        <v/>
      </c>
      <c r="AO182" s="17" t="str">
        <f>IF(NOT(ISBLANK(Audit[[#This Row],[Audit Candidate 11]])), Audit[[#This Row],[Audit Candidate 11]]-Audit[[#This Row],[Candidate 11]], "")</f>
        <v/>
      </c>
      <c r="AP182" s="17" t="str">
        <f>IF(NOT(ISBLANK(Audit[[#This Row],[Audit Candidate 12]])), Audit[[#This Row],[Audit Candidate 12]]-Audit[[#This Row],[Candidate 12]], "")</f>
        <v/>
      </c>
      <c r="AQ182" s="17">
        <f>SUMIF(Audit[[#This Row],[Difference Winner]:[Difference Candidate 12]], "&gt;0")</f>
        <v>0</v>
      </c>
      <c r="AR182" s="17">
        <f>SUM(Audit[[#This Row],[Difference Winner]:[Difference Candidate 12]])</f>
        <v>0</v>
      </c>
      <c r="AS182" s="17">
        <f>IF(Audit[[#This Row],[Times p Drawn - With Replacement]]&gt;0, IF(Audit[[#This Row],[Canceled Differences]]&lt;0, Audit[[#This Row],[Max Differences]]+ABS(Audit[[#This Row],[Canceled Differences]]), Audit[[#This Row],[Max Differences]]), 0)</f>
        <v>0</v>
      </c>
      <c r="AT182" s="17">
        <f>'Sampling Data'!AB182</f>
        <v>1.0864029876082159E-2</v>
      </c>
      <c r="AU182" s="17">
        <f>IF(
      SUM(Audit[[#This Row],[Audit Losing Candidate]:[Audit Candidate 12]])
      &lt;&gt;0,
      (Audit[[#This Row],[Winning Candidate]]-Audit[[#This Row],[Losing Candidate]]-(Audit[[#This Row],[Audit Winning Candidate]]-Audit[[#This Row],[Audit Losing Candidate]]))/(Audit[[#Totals],[Winning Candidate]]-Audit[[#Totals],[Losing Candidate]]),
      0
)</f>
        <v>0</v>
      </c>
      <c r="AV1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2" s="17">
        <f>IF(Audit[[#This Row],[Max Relative Error (ep)]] = 0, 0, Audit[[#This Row],[Max Relative Error (ep)]]/Audit[[#This Row],[Error Bound (up) - Max. possible relative overstatement]])</f>
        <v>0</v>
      </c>
      <c r="BH1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82" s="17">
        <f t="shared" si="3"/>
        <v>1</v>
      </c>
      <c r="BJ182" s="17">
        <f>PRODUCT($BI$5:BI182)</f>
        <v>0.68031947676209759</v>
      </c>
      <c r="BK182" s="19">
        <f>1 - Audit[[#This Row],[K-M P Value]]</f>
        <v>0.31968052323790241</v>
      </c>
      <c r="BL182" s="17" t="str">
        <f>IF(Audit[[#This Row],[K-M P Value]]&gt;1-'General Info'!$B$12,"Continue", "Stop")</f>
        <v>Continue</v>
      </c>
      <c r="BM182" s="22" t="b">
        <f>IF(Audit[[#This Row],[Status - Continue or stop audit]] = "Continue", TRUE, IF(BL181 = "Continue", TRUE, FALSE))</f>
        <v>1</v>
      </c>
      <c r="BN182" s="22"/>
    </row>
    <row r="183" spans="1:66" ht="15" hidden="1" customHeight="1" x14ac:dyDescent="0.35">
      <c r="A183" s="17" t="str">
        <f>'Sampling Data'!AI183</f>
        <v/>
      </c>
      <c r="B183" s="17" t="str">
        <f>'Sampling Data'!A183</f>
        <v>2608 CIN 26-H   (AV)</v>
      </c>
      <c r="C183" s="17">
        <f>'Sampling Data'!B183</f>
        <v>26</v>
      </c>
      <c r="D183" s="17">
        <f>'Sampling Data'!C183</f>
        <v>7</v>
      </c>
      <c r="E183" s="18">
        <f>'Sampling Data'!D183</f>
        <v>0</v>
      </c>
      <c r="F183" s="18">
        <f>'Sampling Data'!E183</f>
        <v>0</v>
      </c>
      <c r="G183" s="18">
        <f>'Sampling Data'!F183</f>
        <v>0</v>
      </c>
      <c r="H183" s="18">
        <f>'Sampling Data'!G183</f>
        <v>0</v>
      </c>
      <c r="I183" s="18">
        <f>'Sampling Data'!H183</f>
        <v>0</v>
      </c>
      <c r="J183" s="18">
        <f>'Sampling Data'!I183</f>
        <v>0</v>
      </c>
      <c r="K183" s="18">
        <f>'Sampling Data'!J183</f>
        <v>0</v>
      </c>
      <c r="L183" s="18">
        <f>'Sampling Data'!K183</f>
        <v>0</v>
      </c>
      <c r="M183" s="18">
        <f>'Sampling Data'!L183</f>
        <v>0</v>
      </c>
      <c r="N183" s="18">
        <f>'Sampling Data'!M183</f>
        <v>0</v>
      </c>
      <c r="O183" s="17">
        <f>'Sampling Data'!N183</f>
        <v>0</v>
      </c>
      <c r="P183" s="17">
        <f>'Sampling Data'!O183</f>
        <v>2</v>
      </c>
      <c r="Q183" s="17">
        <f>'Sampling Data'!P183</f>
        <v>35</v>
      </c>
      <c r="R183" s="17">
        <f>'Sampling Data'!AJ183</f>
        <v>0</v>
      </c>
      <c r="S183" s="111"/>
      <c r="T183" s="111"/>
      <c r="U183" s="112"/>
      <c r="V183" s="112"/>
      <c r="W183" s="111"/>
      <c r="X183" s="111"/>
      <c r="Y183" s="111"/>
      <c r="Z183" s="111"/>
      <c r="AA183" s="14"/>
      <c r="AB183" s="14"/>
      <c r="AC183" s="14"/>
      <c r="AD183" s="14"/>
      <c r="AE183" s="113" t="str">
        <f>IF(NOT(ISBLANK(Audit[[#This Row],[Audit Winning Candidate]])), Audit[[#This Row],[Audit Winning Candidate]]-Audit[[#This Row],[Winning Candidate]], "")</f>
        <v/>
      </c>
      <c r="AF183" s="17" t="str">
        <f>IF(NOT(ISBLANK(Audit[[#This Row],[Audit Losing Candidate]])), Audit[[#This Row],[Audit Losing Candidate]]-Audit[[#This Row],[Losing Candidate]], "")</f>
        <v/>
      </c>
      <c r="AG183" s="17" t="str">
        <f>IF(NOT(ISBLANK(Audit[[#This Row],[Audit Candidate 3]])), Audit[[#This Row],[Audit Candidate 3]]-Audit[[#This Row],[Candidate 3]], "")</f>
        <v/>
      </c>
      <c r="AH183" s="17" t="str">
        <f>IF(NOT(ISBLANK(Audit[[#This Row],[Audit Candidate 4]])),Audit[[#This Row],[Audit Candidate 4]]-Audit[[#This Row],[Candidate 4]], "")</f>
        <v/>
      </c>
      <c r="AI183" s="17" t="str">
        <f>IF(NOT(ISBLANK(Audit[[#This Row],[Audit Candidate 5]])), Audit[[#This Row],[Audit Candidate 5]]-Audit[[#This Row],[Candidate 5]], "")</f>
        <v/>
      </c>
      <c r="AJ183" s="17" t="str">
        <f>IF(NOT(ISBLANK(Audit[[#This Row],[Audit Candidate 6]])), Audit[[#This Row],[Audit Candidate 6]]-Audit[[#This Row],[Candidate 6]], "")</f>
        <v/>
      </c>
      <c r="AK183" s="17" t="str">
        <f>IF(NOT(ISBLANK(Audit[[#This Row],[Audit Candidate 7]])), Audit[[#This Row],[Audit Candidate 7]]-Audit[[#This Row],[Candidate 7]], "")</f>
        <v/>
      </c>
      <c r="AL183" s="17" t="str">
        <f>IF(NOT(ISBLANK(Audit[[#This Row],[Audit Candidate 8]])), Audit[[#This Row],[Audit Candidate 8]]-Audit[[#This Row],[Candidate 8]], "")</f>
        <v/>
      </c>
      <c r="AM183" s="17" t="str">
        <f>IF(NOT(ISBLANK(Audit[[#This Row],[Audit Candidate 9]])), Audit[[#This Row],[Audit Candidate 9]]-Audit[[#This Row],[Candidate 9]], "")</f>
        <v/>
      </c>
      <c r="AN183" s="17" t="str">
        <f>IF(NOT(ISBLANK(Audit[[#This Row],[Audit Candidate 10]])), Audit[[#This Row],[Audit Candidate 10]]-Audit[[#This Row],[Candidate 10]], "")</f>
        <v/>
      </c>
      <c r="AO183" s="17" t="str">
        <f>IF(NOT(ISBLANK(Audit[[#This Row],[Audit Candidate 11]])), Audit[[#This Row],[Audit Candidate 11]]-Audit[[#This Row],[Candidate 11]], "")</f>
        <v/>
      </c>
      <c r="AP183" s="17" t="str">
        <f>IF(NOT(ISBLANK(Audit[[#This Row],[Audit Candidate 12]])), Audit[[#This Row],[Audit Candidate 12]]-Audit[[#This Row],[Candidate 12]], "")</f>
        <v/>
      </c>
      <c r="AQ183" s="17">
        <f>SUMIF(Audit[[#This Row],[Difference Winner]:[Difference Candidate 12]], "&gt;0")</f>
        <v>0</v>
      </c>
      <c r="AR183" s="17">
        <f>SUM(Audit[[#This Row],[Difference Winner]:[Difference Candidate 12]])</f>
        <v>0</v>
      </c>
      <c r="AS183" s="17">
        <f>IF(Audit[[#This Row],[Times p Drawn - With Replacement]]&gt;0, IF(Audit[[#This Row],[Canceled Differences]]&lt;0, Audit[[#This Row],[Max Differences]]+ABS(Audit[[#This Row],[Canceled Differences]]), Audit[[#This Row],[Max Differences]]), 0)</f>
        <v>0</v>
      </c>
      <c r="AT183" s="17">
        <f>'Sampling Data'!AB183</f>
        <v>2.2916313019860804E-3</v>
      </c>
      <c r="AU183" s="17">
        <f>IF(
      SUM(Audit[[#This Row],[Audit Losing Candidate]:[Audit Candidate 12]])
      &lt;&gt;0,
      (Audit[[#This Row],[Winning Candidate]]-Audit[[#This Row],[Losing Candidate]]-(Audit[[#This Row],[Audit Winning Candidate]]-Audit[[#This Row],[Audit Losing Candidate]]))/(Audit[[#Totals],[Winning Candidate]]-Audit[[#Totals],[Losing Candidate]]),
      0
)</f>
        <v>0</v>
      </c>
      <c r="AV1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3" s="17">
        <f>IF(Audit[[#This Row],[Max Relative Error (ep)]] = 0, 0, Audit[[#This Row],[Max Relative Error (ep)]]/Audit[[#This Row],[Error Bound (up) - Max. possible relative overstatement]])</f>
        <v>0</v>
      </c>
      <c r="BH1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83" s="17">
        <f t="shared" si="3"/>
        <v>1</v>
      </c>
      <c r="BJ183" s="17">
        <f>PRODUCT($BI$5:BI183)</f>
        <v>0.68031947676209759</v>
      </c>
      <c r="BK183" s="19">
        <f>1 - Audit[[#This Row],[K-M P Value]]</f>
        <v>0.31968052323790241</v>
      </c>
      <c r="BL183" s="17" t="str">
        <f>IF(Audit[[#This Row],[K-M P Value]]&gt;1-'General Info'!$B$12,"Continue", "Stop")</f>
        <v>Continue</v>
      </c>
      <c r="BM183" s="22" t="b">
        <f>IF(Audit[[#This Row],[Status - Continue or stop audit]] = "Continue", TRUE, IF(BL182 = "Continue", TRUE, FALSE))</f>
        <v>1</v>
      </c>
      <c r="BN183" s="22"/>
    </row>
    <row r="184" spans="1:66" ht="15" hidden="1" customHeight="1" x14ac:dyDescent="0.35">
      <c r="A184" s="17" t="str">
        <f>'Sampling Data'!AI184</f>
        <v/>
      </c>
      <c r="B184" s="17" t="str">
        <f>'Sampling Data'!A184</f>
        <v>2609 CIN 26-I   (AV)</v>
      </c>
      <c r="C184" s="17">
        <f>'Sampling Data'!B184</f>
        <v>149</v>
      </c>
      <c r="D184" s="17">
        <f>'Sampling Data'!C184</f>
        <v>112</v>
      </c>
      <c r="E184" s="18">
        <f>'Sampling Data'!D184</f>
        <v>0</v>
      </c>
      <c r="F184" s="18">
        <f>'Sampling Data'!E184</f>
        <v>0</v>
      </c>
      <c r="G184" s="18">
        <f>'Sampling Data'!F184</f>
        <v>0</v>
      </c>
      <c r="H184" s="18">
        <f>'Sampling Data'!G184</f>
        <v>0</v>
      </c>
      <c r="I184" s="18">
        <f>'Sampling Data'!H184</f>
        <v>0</v>
      </c>
      <c r="J184" s="18">
        <f>'Sampling Data'!I184</f>
        <v>0</v>
      </c>
      <c r="K184" s="18">
        <f>'Sampling Data'!J184</f>
        <v>0</v>
      </c>
      <c r="L184" s="18">
        <f>'Sampling Data'!K184</f>
        <v>0</v>
      </c>
      <c r="M184" s="18">
        <f>'Sampling Data'!L184</f>
        <v>0</v>
      </c>
      <c r="N184" s="18">
        <f>'Sampling Data'!M184</f>
        <v>0</v>
      </c>
      <c r="O184" s="17">
        <f>'Sampling Data'!N184</f>
        <v>0</v>
      </c>
      <c r="P184" s="17">
        <f>'Sampling Data'!O184</f>
        <v>12</v>
      </c>
      <c r="Q184" s="17">
        <f>'Sampling Data'!P184</f>
        <v>273</v>
      </c>
      <c r="R184" s="17">
        <f>'Sampling Data'!AJ184</f>
        <v>0</v>
      </c>
      <c r="S184" s="111"/>
      <c r="T184" s="111"/>
      <c r="U184" s="112"/>
      <c r="V184" s="112"/>
      <c r="W184" s="111"/>
      <c r="X184" s="111"/>
      <c r="Y184" s="111"/>
      <c r="Z184" s="111"/>
      <c r="AA184" s="14"/>
      <c r="AB184" s="14"/>
      <c r="AC184" s="14"/>
      <c r="AD184" s="14"/>
      <c r="AE184" s="113" t="str">
        <f>IF(NOT(ISBLANK(Audit[[#This Row],[Audit Winning Candidate]])), Audit[[#This Row],[Audit Winning Candidate]]-Audit[[#This Row],[Winning Candidate]], "")</f>
        <v/>
      </c>
      <c r="AF184" s="17" t="str">
        <f>IF(NOT(ISBLANK(Audit[[#This Row],[Audit Losing Candidate]])), Audit[[#This Row],[Audit Losing Candidate]]-Audit[[#This Row],[Losing Candidate]], "")</f>
        <v/>
      </c>
      <c r="AG184" s="17" t="str">
        <f>IF(NOT(ISBLANK(Audit[[#This Row],[Audit Candidate 3]])), Audit[[#This Row],[Audit Candidate 3]]-Audit[[#This Row],[Candidate 3]], "")</f>
        <v/>
      </c>
      <c r="AH184" s="17" t="str">
        <f>IF(NOT(ISBLANK(Audit[[#This Row],[Audit Candidate 4]])),Audit[[#This Row],[Audit Candidate 4]]-Audit[[#This Row],[Candidate 4]], "")</f>
        <v/>
      </c>
      <c r="AI184" s="17" t="str">
        <f>IF(NOT(ISBLANK(Audit[[#This Row],[Audit Candidate 5]])), Audit[[#This Row],[Audit Candidate 5]]-Audit[[#This Row],[Candidate 5]], "")</f>
        <v/>
      </c>
      <c r="AJ184" s="17" t="str">
        <f>IF(NOT(ISBLANK(Audit[[#This Row],[Audit Candidate 6]])), Audit[[#This Row],[Audit Candidate 6]]-Audit[[#This Row],[Candidate 6]], "")</f>
        <v/>
      </c>
      <c r="AK184" s="17" t="str">
        <f>IF(NOT(ISBLANK(Audit[[#This Row],[Audit Candidate 7]])), Audit[[#This Row],[Audit Candidate 7]]-Audit[[#This Row],[Candidate 7]], "")</f>
        <v/>
      </c>
      <c r="AL184" s="17" t="str">
        <f>IF(NOT(ISBLANK(Audit[[#This Row],[Audit Candidate 8]])), Audit[[#This Row],[Audit Candidate 8]]-Audit[[#This Row],[Candidate 8]], "")</f>
        <v/>
      </c>
      <c r="AM184" s="17" t="str">
        <f>IF(NOT(ISBLANK(Audit[[#This Row],[Audit Candidate 9]])), Audit[[#This Row],[Audit Candidate 9]]-Audit[[#This Row],[Candidate 9]], "")</f>
        <v/>
      </c>
      <c r="AN184" s="17" t="str">
        <f>IF(NOT(ISBLANK(Audit[[#This Row],[Audit Candidate 10]])), Audit[[#This Row],[Audit Candidate 10]]-Audit[[#This Row],[Candidate 10]], "")</f>
        <v/>
      </c>
      <c r="AO184" s="17" t="str">
        <f>IF(NOT(ISBLANK(Audit[[#This Row],[Audit Candidate 11]])), Audit[[#This Row],[Audit Candidate 11]]-Audit[[#This Row],[Candidate 11]], "")</f>
        <v/>
      </c>
      <c r="AP184" s="17" t="str">
        <f>IF(NOT(ISBLANK(Audit[[#This Row],[Audit Candidate 12]])), Audit[[#This Row],[Audit Candidate 12]]-Audit[[#This Row],[Candidate 12]], "")</f>
        <v/>
      </c>
      <c r="AQ184" s="17">
        <f>SUMIF(Audit[[#This Row],[Difference Winner]:[Difference Candidate 12]], "&gt;0")</f>
        <v>0</v>
      </c>
      <c r="AR184" s="17">
        <f>SUM(Audit[[#This Row],[Difference Winner]:[Difference Candidate 12]])</f>
        <v>0</v>
      </c>
      <c r="AS184" s="17">
        <f>IF(Audit[[#This Row],[Times p Drawn - With Replacement]]&gt;0, IF(Audit[[#This Row],[Canceled Differences]]&lt;0, Audit[[#This Row],[Max Differences]]+ABS(Audit[[#This Row],[Canceled Differences]]), Audit[[#This Row],[Max Differences]]), 0)</f>
        <v>0</v>
      </c>
      <c r="AT184" s="17">
        <f>'Sampling Data'!AB184</f>
        <v>1.315566117806824E-2</v>
      </c>
      <c r="AU184" s="17">
        <f>IF(
      SUM(Audit[[#This Row],[Audit Losing Candidate]:[Audit Candidate 12]])
      &lt;&gt;0,
      (Audit[[#This Row],[Winning Candidate]]-Audit[[#This Row],[Losing Candidate]]-(Audit[[#This Row],[Audit Winning Candidate]]-Audit[[#This Row],[Audit Losing Candidate]]))/(Audit[[#Totals],[Winning Candidate]]-Audit[[#Totals],[Losing Candidate]]),
      0
)</f>
        <v>0</v>
      </c>
      <c r="AV1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4" s="17">
        <f>IF(Audit[[#This Row],[Max Relative Error (ep)]] = 0, 0, Audit[[#This Row],[Max Relative Error (ep)]]/Audit[[#This Row],[Error Bound (up) - Max. possible relative overstatement]])</f>
        <v>0</v>
      </c>
      <c r="BH1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84" s="17">
        <f t="shared" si="3"/>
        <v>1</v>
      </c>
      <c r="BJ184" s="17">
        <f>PRODUCT($BI$5:BI184)</f>
        <v>0.68031947676209759</v>
      </c>
      <c r="BK184" s="19">
        <f>1 - Audit[[#This Row],[K-M P Value]]</f>
        <v>0.31968052323790241</v>
      </c>
      <c r="BL184" s="17" t="str">
        <f>IF(Audit[[#This Row],[K-M P Value]]&gt;1-'General Info'!$B$12,"Continue", "Stop")</f>
        <v>Continue</v>
      </c>
      <c r="BM184" s="22" t="b">
        <f>IF(Audit[[#This Row],[Status - Continue or stop audit]] = "Continue", TRUE, IF(BL183 = "Continue", TRUE, FALSE))</f>
        <v>1</v>
      </c>
      <c r="BN184" s="22"/>
    </row>
    <row r="185" spans="1:66" ht="15" hidden="1" customHeight="1" x14ac:dyDescent="0.35">
      <c r="A185" s="17" t="str">
        <f>'Sampling Data'!AI185</f>
        <v/>
      </c>
      <c r="B185" s="17" t="str">
        <f>'Sampling Data'!A185</f>
        <v>2610 CIN 26-J   (AV)</v>
      </c>
      <c r="C185" s="17">
        <f>'Sampling Data'!B185</f>
        <v>233</v>
      </c>
      <c r="D185" s="17">
        <f>'Sampling Data'!C185</f>
        <v>44</v>
      </c>
      <c r="E185" s="18">
        <f>'Sampling Data'!D185</f>
        <v>0</v>
      </c>
      <c r="F185" s="18">
        <f>'Sampling Data'!E185</f>
        <v>0</v>
      </c>
      <c r="G185" s="18">
        <f>'Sampling Data'!F185</f>
        <v>0</v>
      </c>
      <c r="H185" s="18">
        <f>'Sampling Data'!G185</f>
        <v>0</v>
      </c>
      <c r="I185" s="18">
        <f>'Sampling Data'!H185</f>
        <v>0</v>
      </c>
      <c r="J185" s="18">
        <f>'Sampling Data'!I185</f>
        <v>0</v>
      </c>
      <c r="K185" s="18">
        <f>'Sampling Data'!J185</f>
        <v>0</v>
      </c>
      <c r="L185" s="18">
        <f>'Sampling Data'!K185</f>
        <v>0</v>
      </c>
      <c r="M185" s="18">
        <f>'Sampling Data'!L185</f>
        <v>0</v>
      </c>
      <c r="N185" s="18">
        <f>'Sampling Data'!M185</f>
        <v>0</v>
      </c>
      <c r="O185" s="17">
        <f>'Sampling Data'!N185</f>
        <v>0</v>
      </c>
      <c r="P185" s="17">
        <f>'Sampling Data'!O185</f>
        <v>20</v>
      </c>
      <c r="Q185" s="17">
        <f>'Sampling Data'!P185</f>
        <v>297</v>
      </c>
      <c r="R185" s="17">
        <f>'Sampling Data'!AJ185</f>
        <v>0</v>
      </c>
      <c r="S185" s="111"/>
      <c r="T185" s="111"/>
      <c r="U185" s="112"/>
      <c r="V185" s="112"/>
      <c r="W185" s="111"/>
      <c r="X185" s="111"/>
      <c r="Y185" s="111"/>
      <c r="Z185" s="111"/>
      <c r="AA185" s="14"/>
      <c r="AB185" s="14"/>
      <c r="AC185" s="14"/>
      <c r="AD185" s="14"/>
      <c r="AE185" s="113" t="str">
        <f>IF(NOT(ISBLANK(Audit[[#This Row],[Audit Winning Candidate]])), Audit[[#This Row],[Audit Winning Candidate]]-Audit[[#This Row],[Winning Candidate]], "")</f>
        <v/>
      </c>
      <c r="AF185" s="17" t="str">
        <f>IF(NOT(ISBLANK(Audit[[#This Row],[Audit Losing Candidate]])), Audit[[#This Row],[Audit Losing Candidate]]-Audit[[#This Row],[Losing Candidate]], "")</f>
        <v/>
      </c>
      <c r="AG185" s="17" t="str">
        <f>IF(NOT(ISBLANK(Audit[[#This Row],[Audit Candidate 3]])), Audit[[#This Row],[Audit Candidate 3]]-Audit[[#This Row],[Candidate 3]], "")</f>
        <v/>
      </c>
      <c r="AH185" s="17" t="str">
        <f>IF(NOT(ISBLANK(Audit[[#This Row],[Audit Candidate 4]])),Audit[[#This Row],[Audit Candidate 4]]-Audit[[#This Row],[Candidate 4]], "")</f>
        <v/>
      </c>
      <c r="AI185" s="17" t="str">
        <f>IF(NOT(ISBLANK(Audit[[#This Row],[Audit Candidate 5]])), Audit[[#This Row],[Audit Candidate 5]]-Audit[[#This Row],[Candidate 5]], "")</f>
        <v/>
      </c>
      <c r="AJ185" s="17" t="str">
        <f>IF(NOT(ISBLANK(Audit[[#This Row],[Audit Candidate 6]])), Audit[[#This Row],[Audit Candidate 6]]-Audit[[#This Row],[Candidate 6]], "")</f>
        <v/>
      </c>
      <c r="AK185" s="17" t="str">
        <f>IF(NOT(ISBLANK(Audit[[#This Row],[Audit Candidate 7]])), Audit[[#This Row],[Audit Candidate 7]]-Audit[[#This Row],[Candidate 7]], "")</f>
        <v/>
      </c>
      <c r="AL185" s="17" t="str">
        <f>IF(NOT(ISBLANK(Audit[[#This Row],[Audit Candidate 8]])), Audit[[#This Row],[Audit Candidate 8]]-Audit[[#This Row],[Candidate 8]], "")</f>
        <v/>
      </c>
      <c r="AM185" s="17" t="str">
        <f>IF(NOT(ISBLANK(Audit[[#This Row],[Audit Candidate 9]])), Audit[[#This Row],[Audit Candidate 9]]-Audit[[#This Row],[Candidate 9]], "")</f>
        <v/>
      </c>
      <c r="AN185" s="17" t="str">
        <f>IF(NOT(ISBLANK(Audit[[#This Row],[Audit Candidate 10]])), Audit[[#This Row],[Audit Candidate 10]]-Audit[[#This Row],[Candidate 10]], "")</f>
        <v/>
      </c>
      <c r="AO185" s="17" t="str">
        <f>IF(NOT(ISBLANK(Audit[[#This Row],[Audit Candidate 11]])), Audit[[#This Row],[Audit Candidate 11]]-Audit[[#This Row],[Candidate 11]], "")</f>
        <v/>
      </c>
      <c r="AP185" s="17" t="str">
        <f>IF(NOT(ISBLANK(Audit[[#This Row],[Audit Candidate 12]])), Audit[[#This Row],[Audit Candidate 12]]-Audit[[#This Row],[Candidate 12]], "")</f>
        <v/>
      </c>
      <c r="AQ185" s="17">
        <f>SUMIF(Audit[[#This Row],[Difference Winner]:[Difference Candidate 12]], "&gt;0")</f>
        <v>0</v>
      </c>
      <c r="AR185" s="17">
        <f>SUM(Audit[[#This Row],[Difference Winner]:[Difference Candidate 12]])</f>
        <v>0</v>
      </c>
      <c r="AS185" s="17">
        <f>IF(Audit[[#This Row],[Times p Drawn - With Replacement]]&gt;0, IF(Audit[[#This Row],[Canceled Differences]]&lt;0, Audit[[#This Row],[Max Differences]]+ABS(Audit[[#This Row],[Canceled Differences]]), Audit[[#This Row],[Max Differences]]), 0)</f>
        <v>0</v>
      </c>
      <c r="AT185" s="17">
        <f>'Sampling Data'!AB185</f>
        <v>2.0624681717874724E-2</v>
      </c>
      <c r="AU185" s="17">
        <f>IF(
      SUM(Audit[[#This Row],[Audit Losing Candidate]:[Audit Candidate 12]])
      &lt;&gt;0,
      (Audit[[#This Row],[Winning Candidate]]-Audit[[#This Row],[Losing Candidate]]-(Audit[[#This Row],[Audit Winning Candidate]]-Audit[[#This Row],[Audit Losing Candidate]]))/(Audit[[#Totals],[Winning Candidate]]-Audit[[#Totals],[Losing Candidate]]),
      0
)</f>
        <v>0</v>
      </c>
      <c r="AV1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5" s="17">
        <f>IF(Audit[[#This Row],[Max Relative Error (ep)]] = 0, 0, Audit[[#This Row],[Max Relative Error (ep)]]/Audit[[#This Row],[Error Bound (up) - Max. possible relative overstatement]])</f>
        <v>0</v>
      </c>
      <c r="BH1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85" s="17">
        <f t="shared" si="3"/>
        <v>1</v>
      </c>
      <c r="BJ185" s="17">
        <f>PRODUCT($BI$5:BI185)</f>
        <v>0.68031947676209759</v>
      </c>
      <c r="BK185" s="19">
        <f>1 - Audit[[#This Row],[K-M P Value]]</f>
        <v>0.31968052323790241</v>
      </c>
      <c r="BL185" s="17" t="str">
        <f>IF(Audit[[#This Row],[K-M P Value]]&gt;1-'General Info'!$B$12,"Continue", "Stop")</f>
        <v>Continue</v>
      </c>
      <c r="BM185" s="22" t="b">
        <f>IF(Audit[[#This Row],[Status - Continue or stop audit]] = "Continue", TRUE, IF(BL184 = "Continue", TRUE, FALSE))</f>
        <v>1</v>
      </c>
      <c r="BN185" s="22"/>
    </row>
    <row r="186" spans="1:66" ht="15" hidden="1" customHeight="1" x14ac:dyDescent="0.35">
      <c r="A186" s="17" t="str">
        <f>'Sampling Data'!AI186</f>
        <v/>
      </c>
      <c r="B186" s="17" t="str">
        <f>'Sampling Data'!A186</f>
        <v>2611 CIN 26-K   (AV)</v>
      </c>
      <c r="C186" s="17">
        <f>'Sampling Data'!B186</f>
        <v>168</v>
      </c>
      <c r="D186" s="17">
        <f>'Sampling Data'!C186</f>
        <v>88</v>
      </c>
      <c r="E186" s="18">
        <f>'Sampling Data'!D186</f>
        <v>0</v>
      </c>
      <c r="F186" s="18">
        <f>'Sampling Data'!E186</f>
        <v>0</v>
      </c>
      <c r="G186" s="18">
        <f>'Sampling Data'!F186</f>
        <v>0</v>
      </c>
      <c r="H186" s="18">
        <f>'Sampling Data'!G186</f>
        <v>0</v>
      </c>
      <c r="I186" s="18">
        <f>'Sampling Data'!H186</f>
        <v>0</v>
      </c>
      <c r="J186" s="18">
        <f>'Sampling Data'!I186</f>
        <v>0</v>
      </c>
      <c r="K186" s="18">
        <f>'Sampling Data'!J186</f>
        <v>0</v>
      </c>
      <c r="L186" s="18">
        <f>'Sampling Data'!K186</f>
        <v>0</v>
      </c>
      <c r="M186" s="18">
        <f>'Sampling Data'!L186</f>
        <v>0</v>
      </c>
      <c r="N186" s="18">
        <f>'Sampling Data'!M186</f>
        <v>0</v>
      </c>
      <c r="O186" s="17">
        <f>'Sampling Data'!N186</f>
        <v>2</v>
      </c>
      <c r="P186" s="17">
        <f>'Sampling Data'!O186</f>
        <v>14</v>
      </c>
      <c r="Q186" s="17">
        <f>'Sampling Data'!P186</f>
        <v>272</v>
      </c>
      <c r="R186" s="17">
        <f>'Sampling Data'!AJ186</f>
        <v>0</v>
      </c>
      <c r="S186" s="111"/>
      <c r="T186" s="111"/>
      <c r="U186" s="112"/>
      <c r="V186" s="112"/>
      <c r="W186" s="111"/>
      <c r="X186" s="111"/>
      <c r="Y186" s="111"/>
      <c r="Z186" s="111"/>
      <c r="AA186" s="14"/>
      <c r="AB186" s="14"/>
      <c r="AC186" s="14"/>
      <c r="AD186" s="14"/>
      <c r="AE186" s="113" t="str">
        <f>IF(NOT(ISBLANK(Audit[[#This Row],[Audit Winning Candidate]])), Audit[[#This Row],[Audit Winning Candidate]]-Audit[[#This Row],[Winning Candidate]], "")</f>
        <v/>
      </c>
      <c r="AF186" s="17" t="str">
        <f>IF(NOT(ISBLANK(Audit[[#This Row],[Audit Losing Candidate]])), Audit[[#This Row],[Audit Losing Candidate]]-Audit[[#This Row],[Losing Candidate]], "")</f>
        <v/>
      </c>
      <c r="AG186" s="17" t="str">
        <f>IF(NOT(ISBLANK(Audit[[#This Row],[Audit Candidate 3]])), Audit[[#This Row],[Audit Candidate 3]]-Audit[[#This Row],[Candidate 3]], "")</f>
        <v/>
      </c>
      <c r="AH186" s="17" t="str">
        <f>IF(NOT(ISBLANK(Audit[[#This Row],[Audit Candidate 4]])),Audit[[#This Row],[Audit Candidate 4]]-Audit[[#This Row],[Candidate 4]], "")</f>
        <v/>
      </c>
      <c r="AI186" s="17" t="str">
        <f>IF(NOT(ISBLANK(Audit[[#This Row],[Audit Candidate 5]])), Audit[[#This Row],[Audit Candidate 5]]-Audit[[#This Row],[Candidate 5]], "")</f>
        <v/>
      </c>
      <c r="AJ186" s="17" t="str">
        <f>IF(NOT(ISBLANK(Audit[[#This Row],[Audit Candidate 6]])), Audit[[#This Row],[Audit Candidate 6]]-Audit[[#This Row],[Candidate 6]], "")</f>
        <v/>
      </c>
      <c r="AK186" s="17" t="str">
        <f>IF(NOT(ISBLANK(Audit[[#This Row],[Audit Candidate 7]])), Audit[[#This Row],[Audit Candidate 7]]-Audit[[#This Row],[Candidate 7]], "")</f>
        <v/>
      </c>
      <c r="AL186" s="17" t="str">
        <f>IF(NOT(ISBLANK(Audit[[#This Row],[Audit Candidate 8]])), Audit[[#This Row],[Audit Candidate 8]]-Audit[[#This Row],[Candidate 8]], "")</f>
        <v/>
      </c>
      <c r="AM186" s="17" t="str">
        <f>IF(NOT(ISBLANK(Audit[[#This Row],[Audit Candidate 9]])), Audit[[#This Row],[Audit Candidate 9]]-Audit[[#This Row],[Candidate 9]], "")</f>
        <v/>
      </c>
      <c r="AN186" s="17" t="str">
        <f>IF(NOT(ISBLANK(Audit[[#This Row],[Audit Candidate 10]])), Audit[[#This Row],[Audit Candidate 10]]-Audit[[#This Row],[Candidate 10]], "")</f>
        <v/>
      </c>
      <c r="AO186" s="17" t="str">
        <f>IF(NOT(ISBLANK(Audit[[#This Row],[Audit Candidate 11]])), Audit[[#This Row],[Audit Candidate 11]]-Audit[[#This Row],[Candidate 11]], "")</f>
        <v/>
      </c>
      <c r="AP186" s="17" t="str">
        <f>IF(NOT(ISBLANK(Audit[[#This Row],[Audit Candidate 12]])), Audit[[#This Row],[Audit Candidate 12]]-Audit[[#This Row],[Candidate 12]], "")</f>
        <v/>
      </c>
      <c r="AQ186" s="17">
        <f>SUMIF(Audit[[#This Row],[Difference Winner]:[Difference Candidate 12]], "&gt;0")</f>
        <v>0</v>
      </c>
      <c r="AR186" s="17">
        <f>SUM(Audit[[#This Row],[Difference Winner]:[Difference Candidate 12]])</f>
        <v>0</v>
      </c>
      <c r="AS186" s="17">
        <f>IF(Audit[[#This Row],[Times p Drawn - With Replacement]]&gt;0, IF(Audit[[#This Row],[Canceled Differences]]&lt;0, Audit[[#This Row],[Max Differences]]+ABS(Audit[[#This Row],[Canceled Differences]]), Audit[[#This Row],[Max Differences]]), 0)</f>
        <v>0</v>
      </c>
      <c r="AT186" s="17">
        <f>'Sampling Data'!AB186</f>
        <v>1.4938041079612968E-2</v>
      </c>
      <c r="AU186" s="17">
        <f>IF(
      SUM(Audit[[#This Row],[Audit Losing Candidate]:[Audit Candidate 12]])
      &lt;&gt;0,
      (Audit[[#This Row],[Winning Candidate]]-Audit[[#This Row],[Losing Candidate]]-(Audit[[#This Row],[Audit Winning Candidate]]-Audit[[#This Row],[Audit Losing Candidate]]))/(Audit[[#Totals],[Winning Candidate]]-Audit[[#Totals],[Losing Candidate]]),
      0
)</f>
        <v>0</v>
      </c>
      <c r="AV1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6" s="17">
        <f>IF(Audit[[#This Row],[Max Relative Error (ep)]] = 0, 0, Audit[[#This Row],[Max Relative Error (ep)]]/Audit[[#This Row],[Error Bound (up) - Max. possible relative overstatement]])</f>
        <v>0</v>
      </c>
      <c r="BH1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86" s="17">
        <f t="shared" si="3"/>
        <v>1</v>
      </c>
      <c r="BJ186" s="17">
        <f>PRODUCT($BI$5:BI186)</f>
        <v>0.68031947676209759</v>
      </c>
      <c r="BK186" s="19">
        <f>1 - Audit[[#This Row],[K-M P Value]]</f>
        <v>0.31968052323790241</v>
      </c>
      <c r="BL186" s="17" t="str">
        <f>IF(Audit[[#This Row],[K-M P Value]]&gt;1-'General Info'!$B$12,"Continue", "Stop")</f>
        <v>Continue</v>
      </c>
      <c r="BM186" s="22" t="b">
        <f>IF(Audit[[#This Row],[Status - Continue or stop audit]] = "Continue", TRUE, IF(BL185 = "Continue", TRUE, FALSE))</f>
        <v>1</v>
      </c>
      <c r="BN186" s="22"/>
    </row>
    <row r="187" spans="1:66" ht="15" hidden="1" customHeight="1" x14ac:dyDescent="0.35">
      <c r="A187" s="17" t="str">
        <f>'Sampling Data'!AI187</f>
        <v/>
      </c>
      <c r="B187" s="17" t="str">
        <f>'Sampling Data'!A187</f>
        <v>2612 CIN 26-L   (AV)</v>
      </c>
      <c r="C187" s="17">
        <f>'Sampling Data'!B187</f>
        <v>112</v>
      </c>
      <c r="D187" s="17">
        <f>'Sampling Data'!C187</f>
        <v>58</v>
      </c>
      <c r="E187" s="18">
        <f>'Sampling Data'!D187</f>
        <v>0</v>
      </c>
      <c r="F187" s="18">
        <f>'Sampling Data'!E187</f>
        <v>0</v>
      </c>
      <c r="G187" s="18">
        <f>'Sampling Data'!F187</f>
        <v>0</v>
      </c>
      <c r="H187" s="18">
        <f>'Sampling Data'!G187</f>
        <v>0</v>
      </c>
      <c r="I187" s="18">
        <f>'Sampling Data'!H187</f>
        <v>0</v>
      </c>
      <c r="J187" s="18">
        <f>'Sampling Data'!I187</f>
        <v>0</v>
      </c>
      <c r="K187" s="18">
        <f>'Sampling Data'!J187</f>
        <v>0</v>
      </c>
      <c r="L187" s="18">
        <f>'Sampling Data'!K187</f>
        <v>0</v>
      </c>
      <c r="M187" s="18">
        <f>'Sampling Data'!L187</f>
        <v>0</v>
      </c>
      <c r="N187" s="18">
        <f>'Sampling Data'!M187</f>
        <v>0</v>
      </c>
      <c r="O187" s="17">
        <f>'Sampling Data'!N187</f>
        <v>0</v>
      </c>
      <c r="P187" s="17">
        <f>'Sampling Data'!O187</f>
        <v>9</v>
      </c>
      <c r="Q187" s="17">
        <f>'Sampling Data'!P187</f>
        <v>179</v>
      </c>
      <c r="R187" s="17">
        <f>'Sampling Data'!AJ187</f>
        <v>0</v>
      </c>
      <c r="S187" s="111"/>
      <c r="T187" s="111"/>
      <c r="U187" s="112"/>
      <c r="V187" s="112"/>
      <c r="W187" s="111"/>
      <c r="X187" s="111"/>
      <c r="Y187" s="111"/>
      <c r="Z187" s="111"/>
      <c r="AA187" s="14"/>
      <c r="AB187" s="14"/>
      <c r="AC187" s="14"/>
      <c r="AD187" s="14"/>
      <c r="AE187" s="113" t="str">
        <f>IF(NOT(ISBLANK(Audit[[#This Row],[Audit Winning Candidate]])), Audit[[#This Row],[Audit Winning Candidate]]-Audit[[#This Row],[Winning Candidate]], "")</f>
        <v/>
      </c>
      <c r="AF187" s="17" t="str">
        <f>IF(NOT(ISBLANK(Audit[[#This Row],[Audit Losing Candidate]])), Audit[[#This Row],[Audit Losing Candidate]]-Audit[[#This Row],[Losing Candidate]], "")</f>
        <v/>
      </c>
      <c r="AG187" s="17" t="str">
        <f>IF(NOT(ISBLANK(Audit[[#This Row],[Audit Candidate 3]])), Audit[[#This Row],[Audit Candidate 3]]-Audit[[#This Row],[Candidate 3]], "")</f>
        <v/>
      </c>
      <c r="AH187" s="17" t="str">
        <f>IF(NOT(ISBLANK(Audit[[#This Row],[Audit Candidate 4]])),Audit[[#This Row],[Audit Candidate 4]]-Audit[[#This Row],[Candidate 4]], "")</f>
        <v/>
      </c>
      <c r="AI187" s="17" t="str">
        <f>IF(NOT(ISBLANK(Audit[[#This Row],[Audit Candidate 5]])), Audit[[#This Row],[Audit Candidate 5]]-Audit[[#This Row],[Candidate 5]], "")</f>
        <v/>
      </c>
      <c r="AJ187" s="17" t="str">
        <f>IF(NOT(ISBLANK(Audit[[#This Row],[Audit Candidate 6]])), Audit[[#This Row],[Audit Candidate 6]]-Audit[[#This Row],[Candidate 6]], "")</f>
        <v/>
      </c>
      <c r="AK187" s="17" t="str">
        <f>IF(NOT(ISBLANK(Audit[[#This Row],[Audit Candidate 7]])), Audit[[#This Row],[Audit Candidate 7]]-Audit[[#This Row],[Candidate 7]], "")</f>
        <v/>
      </c>
      <c r="AL187" s="17" t="str">
        <f>IF(NOT(ISBLANK(Audit[[#This Row],[Audit Candidate 8]])), Audit[[#This Row],[Audit Candidate 8]]-Audit[[#This Row],[Candidate 8]], "")</f>
        <v/>
      </c>
      <c r="AM187" s="17" t="str">
        <f>IF(NOT(ISBLANK(Audit[[#This Row],[Audit Candidate 9]])), Audit[[#This Row],[Audit Candidate 9]]-Audit[[#This Row],[Candidate 9]], "")</f>
        <v/>
      </c>
      <c r="AN187" s="17" t="str">
        <f>IF(NOT(ISBLANK(Audit[[#This Row],[Audit Candidate 10]])), Audit[[#This Row],[Audit Candidate 10]]-Audit[[#This Row],[Candidate 10]], "")</f>
        <v/>
      </c>
      <c r="AO187" s="17" t="str">
        <f>IF(NOT(ISBLANK(Audit[[#This Row],[Audit Candidate 11]])), Audit[[#This Row],[Audit Candidate 11]]-Audit[[#This Row],[Candidate 11]], "")</f>
        <v/>
      </c>
      <c r="AP187" s="17" t="str">
        <f>IF(NOT(ISBLANK(Audit[[#This Row],[Audit Candidate 12]])), Audit[[#This Row],[Audit Candidate 12]]-Audit[[#This Row],[Candidate 12]], "")</f>
        <v/>
      </c>
      <c r="AQ187" s="17">
        <f>SUMIF(Audit[[#This Row],[Difference Winner]:[Difference Candidate 12]], "&gt;0")</f>
        <v>0</v>
      </c>
      <c r="AR187" s="17">
        <f>SUM(Audit[[#This Row],[Difference Winner]:[Difference Candidate 12]])</f>
        <v>0</v>
      </c>
      <c r="AS187" s="17">
        <f>IF(Audit[[#This Row],[Times p Drawn - With Replacement]]&gt;0, IF(Audit[[#This Row],[Canceled Differences]]&lt;0, Audit[[#This Row],[Max Differences]]+ABS(Audit[[#This Row],[Canceled Differences]]), Audit[[#This Row],[Max Differences]]), 0)</f>
        <v>0</v>
      </c>
      <c r="AT187" s="17">
        <f>'Sampling Data'!AB187</f>
        <v>9.8879646919029021E-3</v>
      </c>
      <c r="AU187" s="17">
        <f>IF(
      SUM(Audit[[#This Row],[Audit Losing Candidate]:[Audit Candidate 12]])
      &lt;&gt;0,
      (Audit[[#This Row],[Winning Candidate]]-Audit[[#This Row],[Losing Candidate]]-(Audit[[#This Row],[Audit Winning Candidate]]-Audit[[#This Row],[Audit Losing Candidate]]))/(Audit[[#Totals],[Winning Candidate]]-Audit[[#Totals],[Losing Candidate]]),
      0
)</f>
        <v>0</v>
      </c>
      <c r="AV1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7" s="17">
        <f>IF(Audit[[#This Row],[Max Relative Error (ep)]] = 0, 0, Audit[[#This Row],[Max Relative Error (ep)]]/Audit[[#This Row],[Error Bound (up) - Max. possible relative overstatement]])</f>
        <v>0</v>
      </c>
      <c r="BH1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87" s="17">
        <f t="shared" si="3"/>
        <v>1</v>
      </c>
      <c r="BJ187" s="17">
        <f>PRODUCT($BI$5:BI187)</f>
        <v>0.68031947676209759</v>
      </c>
      <c r="BK187" s="19">
        <f>1 - Audit[[#This Row],[K-M P Value]]</f>
        <v>0.31968052323790241</v>
      </c>
      <c r="BL187" s="17" t="str">
        <f>IF(Audit[[#This Row],[K-M P Value]]&gt;1-'General Info'!$B$12,"Continue", "Stop")</f>
        <v>Continue</v>
      </c>
      <c r="BM187" s="22" t="b">
        <f>IF(Audit[[#This Row],[Status - Continue or stop audit]] = "Continue", TRUE, IF(BL186 = "Continue", TRUE, FALSE))</f>
        <v>1</v>
      </c>
      <c r="BN187" s="22"/>
    </row>
    <row r="188" spans="1:66" ht="15" hidden="1" customHeight="1" x14ac:dyDescent="0.35">
      <c r="A188" s="17" t="str">
        <f>'Sampling Data'!AI188</f>
        <v/>
      </c>
      <c r="B188" s="17" t="str">
        <f>'Sampling Data'!A188</f>
        <v>2613 CIN 26-M   (AV)</v>
      </c>
      <c r="C188" s="17">
        <f>'Sampling Data'!B188</f>
        <v>84</v>
      </c>
      <c r="D188" s="17">
        <f>'Sampling Data'!C188</f>
        <v>22</v>
      </c>
      <c r="E188" s="18">
        <f>'Sampling Data'!D188</f>
        <v>0</v>
      </c>
      <c r="F188" s="18">
        <f>'Sampling Data'!E188</f>
        <v>0</v>
      </c>
      <c r="G188" s="18">
        <f>'Sampling Data'!F188</f>
        <v>0</v>
      </c>
      <c r="H188" s="18">
        <f>'Sampling Data'!G188</f>
        <v>0</v>
      </c>
      <c r="I188" s="18">
        <f>'Sampling Data'!H188</f>
        <v>0</v>
      </c>
      <c r="J188" s="18">
        <f>'Sampling Data'!I188</f>
        <v>0</v>
      </c>
      <c r="K188" s="18">
        <f>'Sampling Data'!J188</f>
        <v>0</v>
      </c>
      <c r="L188" s="18">
        <f>'Sampling Data'!K188</f>
        <v>0</v>
      </c>
      <c r="M188" s="18">
        <f>'Sampling Data'!L188</f>
        <v>0</v>
      </c>
      <c r="N188" s="18">
        <f>'Sampling Data'!M188</f>
        <v>0</v>
      </c>
      <c r="O188" s="17">
        <f>'Sampling Data'!N188</f>
        <v>0</v>
      </c>
      <c r="P188" s="17">
        <f>'Sampling Data'!O188</f>
        <v>1</v>
      </c>
      <c r="Q188" s="17">
        <f>'Sampling Data'!P188</f>
        <v>107</v>
      </c>
      <c r="R188" s="17">
        <f>'Sampling Data'!AJ188</f>
        <v>0</v>
      </c>
      <c r="S188" s="111"/>
      <c r="T188" s="111"/>
      <c r="U188" s="112"/>
      <c r="V188" s="112"/>
      <c r="W188" s="111"/>
      <c r="X188" s="111"/>
      <c r="Y188" s="111"/>
      <c r="Z188" s="111"/>
      <c r="AA188" s="14"/>
      <c r="AB188" s="14"/>
      <c r="AC188" s="14"/>
      <c r="AD188" s="14"/>
      <c r="AE188" s="113" t="str">
        <f>IF(NOT(ISBLANK(Audit[[#This Row],[Audit Winning Candidate]])), Audit[[#This Row],[Audit Winning Candidate]]-Audit[[#This Row],[Winning Candidate]], "")</f>
        <v/>
      </c>
      <c r="AF188" s="17" t="str">
        <f>IF(NOT(ISBLANK(Audit[[#This Row],[Audit Losing Candidate]])), Audit[[#This Row],[Audit Losing Candidate]]-Audit[[#This Row],[Losing Candidate]], "")</f>
        <v/>
      </c>
      <c r="AG188" s="17" t="str">
        <f>IF(NOT(ISBLANK(Audit[[#This Row],[Audit Candidate 3]])), Audit[[#This Row],[Audit Candidate 3]]-Audit[[#This Row],[Candidate 3]], "")</f>
        <v/>
      </c>
      <c r="AH188" s="17" t="str">
        <f>IF(NOT(ISBLANK(Audit[[#This Row],[Audit Candidate 4]])),Audit[[#This Row],[Audit Candidate 4]]-Audit[[#This Row],[Candidate 4]], "")</f>
        <v/>
      </c>
      <c r="AI188" s="17" t="str">
        <f>IF(NOT(ISBLANK(Audit[[#This Row],[Audit Candidate 5]])), Audit[[#This Row],[Audit Candidate 5]]-Audit[[#This Row],[Candidate 5]], "")</f>
        <v/>
      </c>
      <c r="AJ188" s="17" t="str">
        <f>IF(NOT(ISBLANK(Audit[[#This Row],[Audit Candidate 6]])), Audit[[#This Row],[Audit Candidate 6]]-Audit[[#This Row],[Candidate 6]], "")</f>
        <v/>
      </c>
      <c r="AK188" s="17" t="str">
        <f>IF(NOT(ISBLANK(Audit[[#This Row],[Audit Candidate 7]])), Audit[[#This Row],[Audit Candidate 7]]-Audit[[#This Row],[Candidate 7]], "")</f>
        <v/>
      </c>
      <c r="AL188" s="17" t="str">
        <f>IF(NOT(ISBLANK(Audit[[#This Row],[Audit Candidate 8]])), Audit[[#This Row],[Audit Candidate 8]]-Audit[[#This Row],[Candidate 8]], "")</f>
        <v/>
      </c>
      <c r="AM188" s="17" t="str">
        <f>IF(NOT(ISBLANK(Audit[[#This Row],[Audit Candidate 9]])), Audit[[#This Row],[Audit Candidate 9]]-Audit[[#This Row],[Candidate 9]], "")</f>
        <v/>
      </c>
      <c r="AN188" s="17" t="str">
        <f>IF(NOT(ISBLANK(Audit[[#This Row],[Audit Candidate 10]])), Audit[[#This Row],[Audit Candidate 10]]-Audit[[#This Row],[Candidate 10]], "")</f>
        <v/>
      </c>
      <c r="AO188" s="17" t="str">
        <f>IF(NOT(ISBLANK(Audit[[#This Row],[Audit Candidate 11]])), Audit[[#This Row],[Audit Candidate 11]]-Audit[[#This Row],[Candidate 11]], "")</f>
        <v/>
      </c>
      <c r="AP188" s="17" t="str">
        <f>IF(NOT(ISBLANK(Audit[[#This Row],[Audit Candidate 12]])), Audit[[#This Row],[Audit Candidate 12]]-Audit[[#This Row],[Candidate 12]], "")</f>
        <v/>
      </c>
      <c r="AQ188" s="17">
        <f>SUMIF(Audit[[#This Row],[Difference Winner]:[Difference Candidate 12]], "&gt;0")</f>
        <v>0</v>
      </c>
      <c r="AR188" s="17">
        <f>SUM(Audit[[#This Row],[Difference Winner]:[Difference Candidate 12]])</f>
        <v>0</v>
      </c>
      <c r="AS188" s="17">
        <f>IF(Audit[[#This Row],[Times p Drawn - With Replacement]]&gt;0, IF(Audit[[#This Row],[Canceled Differences]]&lt;0, Audit[[#This Row],[Max Differences]]+ABS(Audit[[#This Row],[Canceled Differences]]), Audit[[#This Row],[Max Differences]]), 0)</f>
        <v>0</v>
      </c>
      <c r="AT188" s="17">
        <f>'Sampling Data'!AB188</f>
        <v>7.1719572228823632E-3</v>
      </c>
      <c r="AU188" s="17">
        <f>IF(
      SUM(Audit[[#This Row],[Audit Losing Candidate]:[Audit Candidate 12]])
      &lt;&gt;0,
      (Audit[[#This Row],[Winning Candidate]]-Audit[[#This Row],[Losing Candidate]]-(Audit[[#This Row],[Audit Winning Candidate]]-Audit[[#This Row],[Audit Losing Candidate]]))/(Audit[[#Totals],[Winning Candidate]]-Audit[[#Totals],[Losing Candidate]]),
      0
)</f>
        <v>0</v>
      </c>
      <c r="AV1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8" s="17">
        <f>IF(Audit[[#This Row],[Max Relative Error (ep)]] = 0, 0, Audit[[#This Row],[Max Relative Error (ep)]]/Audit[[#This Row],[Error Bound (up) - Max. possible relative overstatement]])</f>
        <v>0</v>
      </c>
      <c r="BH1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88" s="17">
        <f t="shared" si="3"/>
        <v>1</v>
      </c>
      <c r="BJ188" s="17">
        <f>PRODUCT($BI$5:BI188)</f>
        <v>0.68031947676209759</v>
      </c>
      <c r="BK188" s="19">
        <f>1 - Audit[[#This Row],[K-M P Value]]</f>
        <v>0.31968052323790241</v>
      </c>
      <c r="BL188" s="17" t="str">
        <f>IF(Audit[[#This Row],[K-M P Value]]&gt;1-'General Info'!$B$12,"Continue", "Stop")</f>
        <v>Continue</v>
      </c>
      <c r="BM188" s="22" t="b">
        <f>IF(Audit[[#This Row],[Status - Continue or stop audit]] = "Continue", TRUE, IF(BL187 = "Continue", TRUE, FALSE))</f>
        <v>1</v>
      </c>
      <c r="BN188" s="22"/>
    </row>
    <row r="189" spans="1:66" ht="15" hidden="1" customHeight="1" x14ac:dyDescent="0.35">
      <c r="A189" s="17" t="str">
        <f>'Sampling Data'!AI189</f>
        <v/>
      </c>
      <c r="B189" s="17" t="str">
        <f>'Sampling Data'!A189</f>
        <v>2614 CIN 26-N   (AV)</v>
      </c>
      <c r="C189" s="17">
        <f>'Sampling Data'!B189</f>
        <v>168</v>
      </c>
      <c r="D189" s="17">
        <f>'Sampling Data'!C189</f>
        <v>60</v>
      </c>
      <c r="E189" s="18">
        <f>'Sampling Data'!D189</f>
        <v>0</v>
      </c>
      <c r="F189" s="18">
        <f>'Sampling Data'!E189</f>
        <v>0</v>
      </c>
      <c r="G189" s="18">
        <f>'Sampling Data'!F189</f>
        <v>0</v>
      </c>
      <c r="H189" s="18">
        <f>'Sampling Data'!G189</f>
        <v>0</v>
      </c>
      <c r="I189" s="18">
        <f>'Sampling Data'!H189</f>
        <v>0</v>
      </c>
      <c r="J189" s="18">
        <f>'Sampling Data'!I189</f>
        <v>0</v>
      </c>
      <c r="K189" s="18">
        <f>'Sampling Data'!J189</f>
        <v>0</v>
      </c>
      <c r="L189" s="18">
        <f>'Sampling Data'!K189</f>
        <v>0</v>
      </c>
      <c r="M189" s="18">
        <f>'Sampling Data'!L189</f>
        <v>0</v>
      </c>
      <c r="N189" s="18">
        <f>'Sampling Data'!M189</f>
        <v>0</v>
      </c>
      <c r="O189" s="17">
        <f>'Sampling Data'!N189</f>
        <v>0</v>
      </c>
      <c r="P189" s="17">
        <f>'Sampling Data'!O189</f>
        <v>9</v>
      </c>
      <c r="Q189" s="17">
        <f>'Sampling Data'!P189</f>
        <v>237</v>
      </c>
      <c r="R189" s="17">
        <f>'Sampling Data'!AJ189</f>
        <v>0</v>
      </c>
      <c r="S189" s="111"/>
      <c r="T189" s="111"/>
      <c r="U189" s="112"/>
      <c r="V189" s="112"/>
      <c r="W189" s="111"/>
      <c r="X189" s="111"/>
      <c r="Y189" s="111"/>
      <c r="Z189" s="111"/>
      <c r="AA189" s="14"/>
      <c r="AB189" s="14"/>
      <c r="AC189" s="14"/>
      <c r="AD189" s="14"/>
      <c r="AE189" s="113" t="str">
        <f>IF(NOT(ISBLANK(Audit[[#This Row],[Audit Winning Candidate]])), Audit[[#This Row],[Audit Winning Candidate]]-Audit[[#This Row],[Winning Candidate]], "")</f>
        <v/>
      </c>
      <c r="AF189" s="17" t="str">
        <f>IF(NOT(ISBLANK(Audit[[#This Row],[Audit Losing Candidate]])), Audit[[#This Row],[Audit Losing Candidate]]-Audit[[#This Row],[Losing Candidate]], "")</f>
        <v/>
      </c>
      <c r="AG189" s="17" t="str">
        <f>IF(NOT(ISBLANK(Audit[[#This Row],[Audit Candidate 3]])), Audit[[#This Row],[Audit Candidate 3]]-Audit[[#This Row],[Candidate 3]], "")</f>
        <v/>
      </c>
      <c r="AH189" s="17" t="str">
        <f>IF(NOT(ISBLANK(Audit[[#This Row],[Audit Candidate 4]])),Audit[[#This Row],[Audit Candidate 4]]-Audit[[#This Row],[Candidate 4]], "")</f>
        <v/>
      </c>
      <c r="AI189" s="17" t="str">
        <f>IF(NOT(ISBLANK(Audit[[#This Row],[Audit Candidate 5]])), Audit[[#This Row],[Audit Candidate 5]]-Audit[[#This Row],[Candidate 5]], "")</f>
        <v/>
      </c>
      <c r="AJ189" s="17" t="str">
        <f>IF(NOT(ISBLANK(Audit[[#This Row],[Audit Candidate 6]])), Audit[[#This Row],[Audit Candidate 6]]-Audit[[#This Row],[Candidate 6]], "")</f>
        <v/>
      </c>
      <c r="AK189" s="17" t="str">
        <f>IF(NOT(ISBLANK(Audit[[#This Row],[Audit Candidate 7]])), Audit[[#This Row],[Audit Candidate 7]]-Audit[[#This Row],[Candidate 7]], "")</f>
        <v/>
      </c>
      <c r="AL189" s="17" t="str">
        <f>IF(NOT(ISBLANK(Audit[[#This Row],[Audit Candidate 8]])), Audit[[#This Row],[Audit Candidate 8]]-Audit[[#This Row],[Candidate 8]], "")</f>
        <v/>
      </c>
      <c r="AM189" s="17" t="str">
        <f>IF(NOT(ISBLANK(Audit[[#This Row],[Audit Candidate 9]])), Audit[[#This Row],[Audit Candidate 9]]-Audit[[#This Row],[Candidate 9]], "")</f>
        <v/>
      </c>
      <c r="AN189" s="17" t="str">
        <f>IF(NOT(ISBLANK(Audit[[#This Row],[Audit Candidate 10]])), Audit[[#This Row],[Audit Candidate 10]]-Audit[[#This Row],[Candidate 10]], "")</f>
        <v/>
      </c>
      <c r="AO189" s="17" t="str">
        <f>IF(NOT(ISBLANK(Audit[[#This Row],[Audit Candidate 11]])), Audit[[#This Row],[Audit Candidate 11]]-Audit[[#This Row],[Candidate 11]], "")</f>
        <v/>
      </c>
      <c r="AP189" s="17" t="str">
        <f>IF(NOT(ISBLANK(Audit[[#This Row],[Audit Candidate 12]])), Audit[[#This Row],[Audit Candidate 12]]-Audit[[#This Row],[Candidate 12]], "")</f>
        <v/>
      </c>
      <c r="AQ189" s="17">
        <f>SUMIF(Audit[[#This Row],[Difference Winner]:[Difference Candidate 12]], "&gt;0")</f>
        <v>0</v>
      </c>
      <c r="AR189" s="17">
        <f>SUM(Audit[[#This Row],[Difference Winner]:[Difference Candidate 12]])</f>
        <v>0</v>
      </c>
      <c r="AS189" s="17">
        <f>IF(Audit[[#This Row],[Times p Drawn - With Replacement]]&gt;0, IF(Audit[[#This Row],[Canceled Differences]]&lt;0, Audit[[#This Row],[Max Differences]]+ABS(Audit[[#This Row],[Canceled Differences]]), Audit[[#This Row],[Max Differences]]), 0)</f>
        <v>0</v>
      </c>
      <c r="AT189" s="17">
        <f>'Sampling Data'!AB189</f>
        <v>1.4640977762688847E-2</v>
      </c>
      <c r="AU189" s="17">
        <f>IF(
      SUM(Audit[[#This Row],[Audit Losing Candidate]:[Audit Candidate 12]])
      &lt;&gt;0,
      (Audit[[#This Row],[Winning Candidate]]-Audit[[#This Row],[Losing Candidate]]-(Audit[[#This Row],[Audit Winning Candidate]]-Audit[[#This Row],[Audit Losing Candidate]]))/(Audit[[#Totals],[Winning Candidate]]-Audit[[#Totals],[Losing Candidate]]),
      0
)</f>
        <v>0</v>
      </c>
      <c r="AV1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9" s="17">
        <f>IF(Audit[[#This Row],[Max Relative Error (ep)]] = 0, 0, Audit[[#This Row],[Max Relative Error (ep)]]/Audit[[#This Row],[Error Bound (up) - Max. possible relative overstatement]])</f>
        <v>0</v>
      </c>
      <c r="BH1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89" s="17">
        <f t="shared" si="3"/>
        <v>1</v>
      </c>
      <c r="BJ189" s="17">
        <f>PRODUCT($BI$5:BI189)</f>
        <v>0.68031947676209759</v>
      </c>
      <c r="BK189" s="19">
        <f>1 - Audit[[#This Row],[K-M P Value]]</f>
        <v>0.31968052323790241</v>
      </c>
      <c r="BL189" s="17" t="str">
        <f>IF(Audit[[#This Row],[K-M P Value]]&gt;1-'General Info'!$B$12,"Continue", "Stop")</f>
        <v>Continue</v>
      </c>
      <c r="BM189" s="22" t="b">
        <f>IF(Audit[[#This Row],[Status - Continue or stop audit]] = "Continue", TRUE, IF(BL188 = "Continue", TRUE, FALSE))</f>
        <v>1</v>
      </c>
      <c r="BN189" s="22"/>
    </row>
    <row r="190" spans="1:66" ht="15" hidden="1" customHeight="1" x14ac:dyDescent="0.35">
      <c r="A190" s="17" t="str">
        <f>'Sampling Data'!AI190</f>
        <v/>
      </c>
      <c r="B190" s="17" t="str">
        <f>'Sampling Data'!A190</f>
        <v>2615 CIN 26-O   (AV)</v>
      </c>
      <c r="C190" s="17">
        <f>'Sampling Data'!B190</f>
        <v>173</v>
      </c>
      <c r="D190" s="17">
        <f>'Sampling Data'!C190</f>
        <v>63</v>
      </c>
      <c r="E190" s="18">
        <f>'Sampling Data'!D190</f>
        <v>0</v>
      </c>
      <c r="F190" s="18">
        <f>'Sampling Data'!E190</f>
        <v>0</v>
      </c>
      <c r="G190" s="18">
        <f>'Sampling Data'!F190</f>
        <v>0</v>
      </c>
      <c r="H190" s="18">
        <f>'Sampling Data'!G190</f>
        <v>0</v>
      </c>
      <c r="I190" s="18">
        <f>'Sampling Data'!H190</f>
        <v>0</v>
      </c>
      <c r="J190" s="18">
        <f>'Sampling Data'!I190</f>
        <v>0</v>
      </c>
      <c r="K190" s="18">
        <f>'Sampling Data'!J190</f>
        <v>0</v>
      </c>
      <c r="L190" s="18">
        <f>'Sampling Data'!K190</f>
        <v>0</v>
      </c>
      <c r="M190" s="18">
        <f>'Sampling Data'!L190</f>
        <v>0</v>
      </c>
      <c r="N190" s="18">
        <f>'Sampling Data'!M190</f>
        <v>0</v>
      </c>
      <c r="O190" s="17">
        <f>'Sampling Data'!N190</f>
        <v>0</v>
      </c>
      <c r="P190" s="17">
        <f>'Sampling Data'!O190</f>
        <v>14</v>
      </c>
      <c r="Q190" s="17">
        <f>'Sampling Data'!P190</f>
        <v>250</v>
      </c>
      <c r="R190" s="17">
        <f>'Sampling Data'!AJ190</f>
        <v>0</v>
      </c>
      <c r="S190" s="111"/>
      <c r="T190" s="111"/>
      <c r="U190" s="112"/>
      <c r="V190" s="112"/>
      <c r="W190" s="111"/>
      <c r="X190" s="111"/>
      <c r="Y190" s="111"/>
      <c r="Z190" s="111"/>
      <c r="AA190" s="14"/>
      <c r="AB190" s="14"/>
      <c r="AC190" s="14"/>
      <c r="AD190" s="14"/>
      <c r="AE190" s="113" t="str">
        <f>IF(NOT(ISBLANK(Audit[[#This Row],[Audit Winning Candidate]])), Audit[[#This Row],[Audit Winning Candidate]]-Audit[[#This Row],[Winning Candidate]], "")</f>
        <v/>
      </c>
      <c r="AF190" s="17" t="str">
        <f>IF(NOT(ISBLANK(Audit[[#This Row],[Audit Losing Candidate]])), Audit[[#This Row],[Audit Losing Candidate]]-Audit[[#This Row],[Losing Candidate]], "")</f>
        <v/>
      </c>
      <c r="AG190" s="17" t="str">
        <f>IF(NOT(ISBLANK(Audit[[#This Row],[Audit Candidate 3]])), Audit[[#This Row],[Audit Candidate 3]]-Audit[[#This Row],[Candidate 3]], "")</f>
        <v/>
      </c>
      <c r="AH190" s="17" t="str">
        <f>IF(NOT(ISBLANK(Audit[[#This Row],[Audit Candidate 4]])),Audit[[#This Row],[Audit Candidate 4]]-Audit[[#This Row],[Candidate 4]], "")</f>
        <v/>
      </c>
      <c r="AI190" s="17" t="str">
        <f>IF(NOT(ISBLANK(Audit[[#This Row],[Audit Candidate 5]])), Audit[[#This Row],[Audit Candidate 5]]-Audit[[#This Row],[Candidate 5]], "")</f>
        <v/>
      </c>
      <c r="AJ190" s="17" t="str">
        <f>IF(NOT(ISBLANK(Audit[[#This Row],[Audit Candidate 6]])), Audit[[#This Row],[Audit Candidate 6]]-Audit[[#This Row],[Candidate 6]], "")</f>
        <v/>
      </c>
      <c r="AK190" s="17" t="str">
        <f>IF(NOT(ISBLANK(Audit[[#This Row],[Audit Candidate 7]])), Audit[[#This Row],[Audit Candidate 7]]-Audit[[#This Row],[Candidate 7]], "")</f>
        <v/>
      </c>
      <c r="AL190" s="17" t="str">
        <f>IF(NOT(ISBLANK(Audit[[#This Row],[Audit Candidate 8]])), Audit[[#This Row],[Audit Candidate 8]]-Audit[[#This Row],[Candidate 8]], "")</f>
        <v/>
      </c>
      <c r="AM190" s="17" t="str">
        <f>IF(NOT(ISBLANK(Audit[[#This Row],[Audit Candidate 9]])), Audit[[#This Row],[Audit Candidate 9]]-Audit[[#This Row],[Candidate 9]], "")</f>
        <v/>
      </c>
      <c r="AN190" s="17" t="str">
        <f>IF(NOT(ISBLANK(Audit[[#This Row],[Audit Candidate 10]])), Audit[[#This Row],[Audit Candidate 10]]-Audit[[#This Row],[Candidate 10]], "")</f>
        <v/>
      </c>
      <c r="AO190" s="17" t="str">
        <f>IF(NOT(ISBLANK(Audit[[#This Row],[Audit Candidate 11]])), Audit[[#This Row],[Audit Candidate 11]]-Audit[[#This Row],[Candidate 11]], "")</f>
        <v/>
      </c>
      <c r="AP190" s="17" t="str">
        <f>IF(NOT(ISBLANK(Audit[[#This Row],[Audit Candidate 12]])), Audit[[#This Row],[Audit Candidate 12]]-Audit[[#This Row],[Candidate 12]], "")</f>
        <v/>
      </c>
      <c r="AQ190" s="17">
        <f>SUMIF(Audit[[#This Row],[Difference Winner]:[Difference Candidate 12]], "&gt;0")</f>
        <v>0</v>
      </c>
      <c r="AR190" s="17">
        <f>SUM(Audit[[#This Row],[Difference Winner]:[Difference Candidate 12]])</f>
        <v>0</v>
      </c>
      <c r="AS190" s="17">
        <f>IF(Audit[[#This Row],[Times p Drawn - With Replacement]]&gt;0, IF(Audit[[#This Row],[Canceled Differences]]&lt;0, Audit[[#This Row],[Max Differences]]+ABS(Audit[[#This Row],[Canceled Differences]]), Audit[[#This Row],[Max Differences]]), 0)</f>
        <v>0</v>
      </c>
      <c r="AT190" s="17">
        <f>'Sampling Data'!AB190</f>
        <v>1.5277542013240537E-2</v>
      </c>
      <c r="AU190" s="17">
        <f>IF(
      SUM(Audit[[#This Row],[Audit Losing Candidate]:[Audit Candidate 12]])
      &lt;&gt;0,
      (Audit[[#This Row],[Winning Candidate]]-Audit[[#This Row],[Losing Candidate]]-(Audit[[#This Row],[Audit Winning Candidate]]-Audit[[#This Row],[Audit Losing Candidate]]))/(Audit[[#Totals],[Winning Candidate]]-Audit[[#Totals],[Losing Candidate]]),
      0
)</f>
        <v>0</v>
      </c>
      <c r="AV1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0" s="17">
        <f>IF(Audit[[#This Row],[Max Relative Error (ep)]] = 0, 0, Audit[[#This Row],[Max Relative Error (ep)]]/Audit[[#This Row],[Error Bound (up) - Max. possible relative overstatement]])</f>
        <v>0</v>
      </c>
      <c r="BH1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90" s="17">
        <f t="shared" si="3"/>
        <v>1</v>
      </c>
      <c r="BJ190" s="17">
        <f>PRODUCT($BI$5:BI190)</f>
        <v>0.68031947676209759</v>
      </c>
      <c r="BK190" s="19">
        <f>1 - Audit[[#This Row],[K-M P Value]]</f>
        <v>0.31968052323790241</v>
      </c>
      <c r="BL190" s="17" t="str">
        <f>IF(Audit[[#This Row],[K-M P Value]]&gt;1-'General Info'!$B$12,"Continue", "Stop")</f>
        <v>Continue</v>
      </c>
      <c r="BM190" s="22" t="b">
        <f>IF(Audit[[#This Row],[Status - Continue or stop audit]] = "Continue", TRUE, IF(BL189 = "Continue", TRUE, FALSE))</f>
        <v>1</v>
      </c>
      <c r="BN190" s="22"/>
    </row>
    <row r="191" spans="1:66" ht="15" hidden="1" customHeight="1" x14ac:dyDescent="0.35">
      <c r="A191" s="17" t="str">
        <f>'Sampling Data'!AI191</f>
        <v/>
      </c>
      <c r="B191" s="17" t="str">
        <f>'Sampling Data'!A191</f>
        <v>2616 CIN 26-P   (AV)</v>
      </c>
      <c r="C191" s="17">
        <f>'Sampling Data'!B191</f>
        <v>278</v>
      </c>
      <c r="D191" s="17">
        <f>'Sampling Data'!C191</f>
        <v>75</v>
      </c>
      <c r="E191" s="18">
        <f>'Sampling Data'!D191</f>
        <v>0</v>
      </c>
      <c r="F191" s="18">
        <f>'Sampling Data'!E191</f>
        <v>0</v>
      </c>
      <c r="G191" s="18">
        <f>'Sampling Data'!F191</f>
        <v>0</v>
      </c>
      <c r="H191" s="18">
        <f>'Sampling Data'!G191</f>
        <v>0</v>
      </c>
      <c r="I191" s="18">
        <f>'Sampling Data'!H191</f>
        <v>0</v>
      </c>
      <c r="J191" s="18">
        <f>'Sampling Data'!I191</f>
        <v>0</v>
      </c>
      <c r="K191" s="18">
        <f>'Sampling Data'!J191</f>
        <v>0</v>
      </c>
      <c r="L191" s="18">
        <f>'Sampling Data'!K191</f>
        <v>0</v>
      </c>
      <c r="M191" s="18">
        <f>'Sampling Data'!L191</f>
        <v>0</v>
      </c>
      <c r="N191" s="18">
        <f>'Sampling Data'!M191</f>
        <v>0</v>
      </c>
      <c r="O191" s="17">
        <f>'Sampling Data'!N191</f>
        <v>0</v>
      </c>
      <c r="P191" s="17">
        <f>'Sampling Data'!O191</f>
        <v>19</v>
      </c>
      <c r="Q191" s="17">
        <f>'Sampling Data'!P191</f>
        <v>372</v>
      </c>
      <c r="R191" s="17">
        <f>'Sampling Data'!AJ191</f>
        <v>0</v>
      </c>
      <c r="S191" s="111"/>
      <c r="T191" s="111"/>
      <c r="U191" s="112"/>
      <c r="V191" s="112"/>
      <c r="W191" s="111"/>
      <c r="X191" s="111"/>
      <c r="Y191" s="111"/>
      <c r="Z191" s="111"/>
      <c r="AA191" s="14"/>
      <c r="AB191" s="14"/>
      <c r="AC191" s="14"/>
      <c r="AD191" s="14"/>
      <c r="AE191" s="113" t="str">
        <f>IF(NOT(ISBLANK(Audit[[#This Row],[Audit Winning Candidate]])), Audit[[#This Row],[Audit Winning Candidate]]-Audit[[#This Row],[Winning Candidate]], "")</f>
        <v/>
      </c>
      <c r="AF191" s="17" t="str">
        <f>IF(NOT(ISBLANK(Audit[[#This Row],[Audit Losing Candidate]])), Audit[[#This Row],[Audit Losing Candidate]]-Audit[[#This Row],[Losing Candidate]], "")</f>
        <v/>
      </c>
      <c r="AG191" s="17" t="str">
        <f>IF(NOT(ISBLANK(Audit[[#This Row],[Audit Candidate 3]])), Audit[[#This Row],[Audit Candidate 3]]-Audit[[#This Row],[Candidate 3]], "")</f>
        <v/>
      </c>
      <c r="AH191" s="17" t="str">
        <f>IF(NOT(ISBLANK(Audit[[#This Row],[Audit Candidate 4]])),Audit[[#This Row],[Audit Candidate 4]]-Audit[[#This Row],[Candidate 4]], "")</f>
        <v/>
      </c>
      <c r="AI191" s="17" t="str">
        <f>IF(NOT(ISBLANK(Audit[[#This Row],[Audit Candidate 5]])), Audit[[#This Row],[Audit Candidate 5]]-Audit[[#This Row],[Candidate 5]], "")</f>
        <v/>
      </c>
      <c r="AJ191" s="17" t="str">
        <f>IF(NOT(ISBLANK(Audit[[#This Row],[Audit Candidate 6]])), Audit[[#This Row],[Audit Candidate 6]]-Audit[[#This Row],[Candidate 6]], "")</f>
        <v/>
      </c>
      <c r="AK191" s="17" t="str">
        <f>IF(NOT(ISBLANK(Audit[[#This Row],[Audit Candidate 7]])), Audit[[#This Row],[Audit Candidate 7]]-Audit[[#This Row],[Candidate 7]], "")</f>
        <v/>
      </c>
      <c r="AL191" s="17" t="str">
        <f>IF(NOT(ISBLANK(Audit[[#This Row],[Audit Candidate 8]])), Audit[[#This Row],[Audit Candidate 8]]-Audit[[#This Row],[Candidate 8]], "")</f>
        <v/>
      </c>
      <c r="AM191" s="17" t="str">
        <f>IF(NOT(ISBLANK(Audit[[#This Row],[Audit Candidate 9]])), Audit[[#This Row],[Audit Candidate 9]]-Audit[[#This Row],[Candidate 9]], "")</f>
        <v/>
      </c>
      <c r="AN191" s="17" t="str">
        <f>IF(NOT(ISBLANK(Audit[[#This Row],[Audit Candidate 10]])), Audit[[#This Row],[Audit Candidate 10]]-Audit[[#This Row],[Candidate 10]], "")</f>
        <v/>
      </c>
      <c r="AO191" s="17" t="str">
        <f>IF(NOT(ISBLANK(Audit[[#This Row],[Audit Candidate 11]])), Audit[[#This Row],[Audit Candidate 11]]-Audit[[#This Row],[Candidate 11]], "")</f>
        <v/>
      </c>
      <c r="AP191" s="17" t="str">
        <f>IF(NOT(ISBLANK(Audit[[#This Row],[Audit Candidate 12]])), Audit[[#This Row],[Audit Candidate 12]]-Audit[[#This Row],[Candidate 12]], "")</f>
        <v/>
      </c>
      <c r="AQ191" s="17">
        <f>SUMIF(Audit[[#This Row],[Difference Winner]:[Difference Candidate 12]], "&gt;0")</f>
        <v>0</v>
      </c>
      <c r="AR191" s="17">
        <f>SUM(Audit[[#This Row],[Difference Winner]:[Difference Candidate 12]])</f>
        <v>0</v>
      </c>
      <c r="AS191" s="17">
        <f>IF(Audit[[#This Row],[Times p Drawn - With Replacement]]&gt;0, IF(Audit[[#This Row],[Canceled Differences]]&lt;0, Audit[[#This Row],[Max Differences]]+ABS(Audit[[#This Row],[Canceled Differences]]), Audit[[#This Row],[Max Differences]]), 0)</f>
        <v>0</v>
      </c>
      <c r="AT191" s="17">
        <f>'Sampling Data'!AB191</f>
        <v>2.4401629604481414E-2</v>
      </c>
      <c r="AU191" s="17">
        <f>IF(
      SUM(Audit[[#This Row],[Audit Losing Candidate]:[Audit Candidate 12]])
      &lt;&gt;0,
      (Audit[[#This Row],[Winning Candidate]]-Audit[[#This Row],[Losing Candidate]]-(Audit[[#This Row],[Audit Winning Candidate]]-Audit[[#This Row],[Audit Losing Candidate]]))/(Audit[[#Totals],[Winning Candidate]]-Audit[[#Totals],[Losing Candidate]]),
      0
)</f>
        <v>0</v>
      </c>
      <c r="AV1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1" s="17">
        <f>IF(Audit[[#This Row],[Max Relative Error (ep)]] = 0, 0, Audit[[#This Row],[Max Relative Error (ep)]]/Audit[[#This Row],[Error Bound (up) - Max. possible relative overstatement]])</f>
        <v>0</v>
      </c>
      <c r="BH1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91" s="17">
        <f t="shared" si="3"/>
        <v>1</v>
      </c>
      <c r="BJ191" s="17">
        <f>PRODUCT($BI$5:BI191)</f>
        <v>0.68031947676209759</v>
      </c>
      <c r="BK191" s="19">
        <f>1 - Audit[[#This Row],[K-M P Value]]</f>
        <v>0.31968052323790241</v>
      </c>
      <c r="BL191" s="17" t="str">
        <f>IF(Audit[[#This Row],[K-M P Value]]&gt;1-'General Info'!$B$12,"Continue", "Stop")</f>
        <v>Continue</v>
      </c>
      <c r="BM191" s="22" t="b">
        <f>IF(Audit[[#This Row],[Status - Continue or stop audit]] = "Continue", TRUE, IF(BL190 = "Continue", TRUE, FALSE))</f>
        <v>1</v>
      </c>
      <c r="BN191" s="22"/>
    </row>
    <row r="192" spans="1:66" ht="15" hidden="1" customHeight="1" x14ac:dyDescent="0.35">
      <c r="A192" s="17" t="str">
        <f>'Sampling Data'!AI192</f>
        <v/>
      </c>
      <c r="B192" s="17" t="str">
        <f>'Sampling Data'!A192</f>
        <v>2617 CIN 26-Q   (AV)</v>
      </c>
      <c r="C192" s="17">
        <f>'Sampling Data'!B192</f>
        <v>108</v>
      </c>
      <c r="D192" s="17">
        <f>'Sampling Data'!C192</f>
        <v>24</v>
      </c>
      <c r="E192" s="18">
        <f>'Sampling Data'!D192</f>
        <v>0</v>
      </c>
      <c r="F192" s="18">
        <f>'Sampling Data'!E192</f>
        <v>0</v>
      </c>
      <c r="G192" s="18">
        <f>'Sampling Data'!F192</f>
        <v>0</v>
      </c>
      <c r="H192" s="18">
        <f>'Sampling Data'!G192</f>
        <v>0</v>
      </c>
      <c r="I192" s="18">
        <f>'Sampling Data'!H192</f>
        <v>0</v>
      </c>
      <c r="J192" s="18">
        <f>'Sampling Data'!I192</f>
        <v>0</v>
      </c>
      <c r="K192" s="18">
        <f>'Sampling Data'!J192</f>
        <v>0</v>
      </c>
      <c r="L192" s="18">
        <f>'Sampling Data'!K192</f>
        <v>0</v>
      </c>
      <c r="M192" s="18">
        <f>'Sampling Data'!L192</f>
        <v>0</v>
      </c>
      <c r="N192" s="18">
        <f>'Sampling Data'!M192</f>
        <v>0</v>
      </c>
      <c r="O192" s="17">
        <f>'Sampling Data'!N192</f>
        <v>0</v>
      </c>
      <c r="P192" s="17">
        <f>'Sampling Data'!O192</f>
        <v>12</v>
      </c>
      <c r="Q192" s="17">
        <f>'Sampling Data'!P192</f>
        <v>144</v>
      </c>
      <c r="R192" s="17">
        <f>'Sampling Data'!AJ192</f>
        <v>0</v>
      </c>
      <c r="S192" s="111"/>
      <c r="T192" s="111"/>
      <c r="U192" s="112"/>
      <c r="V192" s="112"/>
      <c r="W192" s="111"/>
      <c r="X192" s="111"/>
      <c r="Y192" s="111"/>
      <c r="Z192" s="111"/>
      <c r="AA192" s="14"/>
      <c r="AB192" s="14"/>
      <c r="AC192" s="14"/>
      <c r="AD192" s="14"/>
      <c r="AE192" s="113" t="str">
        <f>IF(NOT(ISBLANK(Audit[[#This Row],[Audit Winning Candidate]])), Audit[[#This Row],[Audit Winning Candidate]]-Audit[[#This Row],[Winning Candidate]], "")</f>
        <v/>
      </c>
      <c r="AF192" s="17" t="str">
        <f>IF(NOT(ISBLANK(Audit[[#This Row],[Audit Losing Candidate]])), Audit[[#This Row],[Audit Losing Candidate]]-Audit[[#This Row],[Losing Candidate]], "")</f>
        <v/>
      </c>
      <c r="AG192" s="17" t="str">
        <f>IF(NOT(ISBLANK(Audit[[#This Row],[Audit Candidate 3]])), Audit[[#This Row],[Audit Candidate 3]]-Audit[[#This Row],[Candidate 3]], "")</f>
        <v/>
      </c>
      <c r="AH192" s="17" t="str">
        <f>IF(NOT(ISBLANK(Audit[[#This Row],[Audit Candidate 4]])),Audit[[#This Row],[Audit Candidate 4]]-Audit[[#This Row],[Candidate 4]], "")</f>
        <v/>
      </c>
      <c r="AI192" s="17" t="str">
        <f>IF(NOT(ISBLANK(Audit[[#This Row],[Audit Candidate 5]])), Audit[[#This Row],[Audit Candidate 5]]-Audit[[#This Row],[Candidate 5]], "")</f>
        <v/>
      </c>
      <c r="AJ192" s="17" t="str">
        <f>IF(NOT(ISBLANK(Audit[[#This Row],[Audit Candidate 6]])), Audit[[#This Row],[Audit Candidate 6]]-Audit[[#This Row],[Candidate 6]], "")</f>
        <v/>
      </c>
      <c r="AK192" s="17" t="str">
        <f>IF(NOT(ISBLANK(Audit[[#This Row],[Audit Candidate 7]])), Audit[[#This Row],[Audit Candidate 7]]-Audit[[#This Row],[Candidate 7]], "")</f>
        <v/>
      </c>
      <c r="AL192" s="17" t="str">
        <f>IF(NOT(ISBLANK(Audit[[#This Row],[Audit Candidate 8]])), Audit[[#This Row],[Audit Candidate 8]]-Audit[[#This Row],[Candidate 8]], "")</f>
        <v/>
      </c>
      <c r="AM192" s="17" t="str">
        <f>IF(NOT(ISBLANK(Audit[[#This Row],[Audit Candidate 9]])), Audit[[#This Row],[Audit Candidate 9]]-Audit[[#This Row],[Candidate 9]], "")</f>
        <v/>
      </c>
      <c r="AN192" s="17" t="str">
        <f>IF(NOT(ISBLANK(Audit[[#This Row],[Audit Candidate 10]])), Audit[[#This Row],[Audit Candidate 10]]-Audit[[#This Row],[Candidate 10]], "")</f>
        <v/>
      </c>
      <c r="AO192" s="17" t="str">
        <f>IF(NOT(ISBLANK(Audit[[#This Row],[Audit Candidate 11]])), Audit[[#This Row],[Audit Candidate 11]]-Audit[[#This Row],[Candidate 11]], "")</f>
        <v/>
      </c>
      <c r="AP192" s="17" t="str">
        <f>IF(NOT(ISBLANK(Audit[[#This Row],[Audit Candidate 12]])), Audit[[#This Row],[Audit Candidate 12]]-Audit[[#This Row],[Candidate 12]], "")</f>
        <v/>
      </c>
      <c r="AQ192" s="17">
        <f>SUMIF(Audit[[#This Row],[Difference Winner]:[Difference Candidate 12]], "&gt;0")</f>
        <v>0</v>
      </c>
      <c r="AR192" s="17">
        <f>SUM(Audit[[#This Row],[Difference Winner]:[Difference Candidate 12]])</f>
        <v>0</v>
      </c>
      <c r="AS192" s="17">
        <f>IF(Audit[[#This Row],[Times p Drawn - With Replacement]]&gt;0, IF(Audit[[#This Row],[Canceled Differences]]&lt;0, Audit[[#This Row],[Max Differences]]+ABS(Audit[[#This Row],[Canceled Differences]]), Audit[[#This Row],[Max Differences]]), 0)</f>
        <v>0</v>
      </c>
      <c r="AT192" s="17">
        <f>'Sampling Data'!AB192</f>
        <v>9.6757766083856722E-3</v>
      </c>
      <c r="AU192" s="17">
        <f>IF(
      SUM(Audit[[#This Row],[Audit Losing Candidate]:[Audit Candidate 12]])
      &lt;&gt;0,
      (Audit[[#This Row],[Winning Candidate]]-Audit[[#This Row],[Losing Candidate]]-(Audit[[#This Row],[Audit Winning Candidate]]-Audit[[#This Row],[Audit Losing Candidate]]))/(Audit[[#Totals],[Winning Candidate]]-Audit[[#Totals],[Losing Candidate]]),
      0
)</f>
        <v>0</v>
      </c>
      <c r="AV1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2" s="17">
        <f>IF(Audit[[#This Row],[Max Relative Error (ep)]] = 0, 0, Audit[[#This Row],[Max Relative Error (ep)]]/Audit[[#This Row],[Error Bound (up) - Max. possible relative overstatement]])</f>
        <v>0</v>
      </c>
      <c r="BH1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92" s="17">
        <f t="shared" si="3"/>
        <v>1</v>
      </c>
      <c r="BJ192" s="17">
        <f>PRODUCT($BI$5:BI192)</f>
        <v>0.68031947676209759</v>
      </c>
      <c r="BK192" s="19">
        <f>1 - Audit[[#This Row],[K-M P Value]]</f>
        <v>0.31968052323790241</v>
      </c>
      <c r="BL192" s="17" t="str">
        <f>IF(Audit[[#This Row],[K-M P Value]]&gt;1-'General Info'!$B$12,"Continue", "Stop")</f>
        <v>Continue</v>
      </c>
      <c r="BM192" s="22" t="b">
        <f>IF(Audit[[#This Row],[Status - Continue or stop audit]] = "Continue", TRUE, IF(BL191 = "Continue", TRUE, FALSE))</f>
        <v>1</v>
      </c>
      <c r="BN192" s="22"/>
    </row>
    <row r="193" spans="1:66" ht="15" hidden="1" customHeight="1" x14ac:dyDescent="0.35">
      <c r="A193" s="17" t="str">
        <f>'Sampling Data'!AI193</f>
        <v/>
      </c>
      <c r="B193" s="17" t="str">
        <f>'Sampling Data'!A193</f>
        <v>2618 CIN 26-R   (AV)</v>
      </c>
      <c r="C193" s="17">
        <f>'Sampling Data'!B193</f>
        <v>116</v>
      </c>
      <c r="D193" s="17">
        <f>'Sampling Data'!C193</f>
        <v>21</v>
      </c>
      <c r="E193" s="18">
        <f>'Sampling Data'!D193</f>
        <v>0</v>
      </c>
      <c r="F193" s="18">
        <f>'Sampling Data'!E193</f>
        <v>0</v>
      </c>
      <c r="G193" s="18">
        <f>'Sampling Data'!F193</f>
        <v>0</v>
      </c>
      <c r="H193" s="18">
        <f>'Sampling Data'!G193</f>
        <v>0</v>
      </c>
      <c r="I193" s="18">
        <f>'Sampling Data'!H193</f>
        <v>0</v>
      </c>
      <c r="J193" s="18">
        <f>'Sampling Data'!I193</f>
        <v>0</v>
      </c>
      <c r="K193" s="18">
        <f>'Sampling Data'!J193</f>
        <v>0</v>
      </c>
      <c r="L193" s="18">
        <f>'Sampling Data'!K193</f>
        <v>0</v>
      </c>
      <c r="M193" s="18">
        <f>'Sampling Data'!L193</f>
        <v>0</v>
      </c>
      <c r="N193" s="18">
        <f>'Sampling Data'!M193</f>
        <v>0</v>
      </c>
      <c r="O193" s="17">
        <f>'Sampling Data'!N193</f>
        <v>1</v>
      </c>
      <c r="P193" s="17">
        <f>'Sampling Data'!O193</f>
        <v>8</v>
      </c>
      <c r="Q193" s="17">
        <f>'Sampling Data'!P193</f>
        <v>146</v>
      </c>
      <c r="R193" s="17">
        <f>'Sampling Data'!AJ193</f>
        <v>0</v>
      </c>
      <c r="S193" s="111"/>
      <c r="T193" s="111"/>
      <c r="U193" s="112"/>
      <c r="V193" s="112"/>
      <c r="W193" s="111"/>
      <c r="X193" s="111"/>
      <c r="Y193" s="111"/>
      <c r="Z193" s="111"/>
      <c r="AA193" s="14"/>
      <c r="AB193" s="14"/>
      <c r="AC193" s="14"/>
      <c r="AD193" s="14"/>
      <c r="AE193" s="113" t="str">
        <f>IF(NOT(ISBLANK(Audit[[#This Row],[Audit Winning Candidate]])), Audit[[#This Row],[Audit Winning Candidate]]-Audit[[#This Row],[Winning Candidate]], "")</f>
        <v/>
      </c>
      <c r="AF193" s="17" t="str">
        <f>IF(NOT(ISBLANK(Audit[[#This Row],[Audit Losing Candidate]])), Audit[[#This Row],[Audit Losing Candidate]]-Audit[[#This Row],[Losing Candidate]], "")</f>
        <v/>
      </c>
      <c r="AG193" s="17" t="str">
        <f>IF(NOT(ISBLANK(Audit[[#This Row],[Audit Candidate 3]])), Audit[[#This Row],[Audit Candidate 3]]-Audit[[#This Row],[Candidate 3]], "")</f>
        <v/>
      </c>
      <c r="AH193" s="17" t="str">
        <f>IF(NOT(ISBLANK(Audit[[#This Row],[Audit Candidate 4]])),Audit[[#This Row],[Audit Candidate 4]]-Audit[[#This Row],[Candidate 4]], "")</f>
        <v/>
      </c>
      <c r="AI193" s="17" t="str">
        <f>IF(NOT(ISBLANK(Audit[[#This Row],[Audit Candidate 5]])), Audit[[#This Row],[Audit Candidate 5]]-Audit[[#This Row],[Candidate 5]], "")</f>
        <v/>
      </c>
      <c r="AJ193" s="17" t="str">
        <f>IF(NOT(ISBLANK(Audit[[#This Row],[Audit Candidate 6]])), Audit[[#This Row],[Audit Candidate 6]]-Audit[[#This Row],[Candidate 6]], "")</f>
        <v/>
      </c>
      <c r="AK193" s="17" t="str">
        <f>IF(NOT(ISBLANK(Audit[[#This Row],[Audit Candidate 7]])), Audit[[#This Row],[Audit Candidate 7]]-Audit[[#This Row],[Candidate 7]], "")</f>
        <v/>
      </c>
      <c r="AL193" s="17" t="str">
        <f>IF(NOT(ISBLANK(Audit[[#This Row],[Audit Candidate 8]])), Audit[[#This Row],[Audit Candidate 8]]-Audit[[#This Row],[Candidate 8]], "")</f>
        <v/>
      </c>
      <c r="AM193" s="17" t="str">
        <f>IF(NOT(ISBLANK(Audit[[#This Row],[Audit Candidate 9]])), Audit[[#This Row],[Audit Candidate 9]]-Audit[[#This Row],[Candidate 9]], "")</f>
        <v/>
      </c>
      <c r="AN193" s="17" t="str">
        <f>IF(NOT(ISBLANK(Audit[[#This Row],[Audit Candidate 10]])), Audit[[#This Row],[Audit Candidate 10]]-Audit[[#This Row],[Candidate 10]], "")</f>
        <v/>
      </c>
      <c r="AO193" s="17" t="str">
        <f>IF(NOT(ISBLANK(Audit[[#This Row],[Audit Candidate 11]])), Audit[[#This Row],[Audit Candidate 11]]-Audit[[#This Row],[Candidate 11]], "")</f>
        <v/>
      </c>
      <c r="AP193" s="17" t="str">
        <f>IF(NOT(ISBLANK(Audit[[#This Row],[Audit Candidate 12]])), Audit[[#This Row],[Audit Candidate 12]]-Audit[[#This Row],[Candidate 12]], "")</f>
        <v/>
      </c>
      <c r="AQ193" s="17">
        <f>SUMIF(Audit[[#This Row],[Difference Winner]:[Difference Candidate 12]], "&gt;0")</f>
        <v>0</v>
      </c>
      <c r="AR193" s="17">
        <f>SUM(Audit[[#This Row],[Difference Winner]:[Difference Candidate 12]])</f>
        <v>0</v>
      </c>
      <c r="AS193" s="17">
        <f>IF(Audit[[#This Row],[Times p Drawn - With Replacement]]&gt;0, IF(Audit[[#This Row],[Canceled Differences]]&lt;0, Audit[[#This Row],[Max Differences]]+ABS(Audit[[#This Row],[Canceled Differences]]), Audit[[#This Row],[Max Differences]]), 0)</f>
        <v>0</v>
      </c>
      <c r="AT193" s="17">
        <f>'Sampling Data'!AB193</f>
        <v>1.0227465625530471E-2</v>
      </c>
      <c r="AU193" s="17">
        <f>IF(
      SUM(Audit[[#This Row],[Audit Losing Candidate]:[Audit Candidate 12]])
      &lt;&gt;0,
      (Audit[[#This Row],[Winning Candidate]]-Audit[[#This Row],[Losing Candidate]]-(Audit[[#This Row],[Audit Winning Candidate]]-Audit[[#This Row],[Audit Losing Candidate]]))/(Audit[[#Totals],[Winning Candidate]]-Audit[[#Totals],[Losing Candidate]]),
      0
)</f>
        <v>0</v>
      </c>
      <c r="AV1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3" s="17">
        <f>IF(Audit[[#This Row],[Max Relative Error (ep)]] = 0, 0, Audit[[#This Row],[Max Relative Error (ep)]]/Audit[[#This Row],[Error Bound (up) - Max. possible relative overstatement]])</f>
        <v>0</v>
      </c>
      <c r="BH1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93" s="17">
        <f t="shared" si="3"/>
        <v>1</v>
      </c>
      <c r="BJ193" s="17">
        <f>PRODUCT($BI$5:BI193)</f>
        <v>0.68031947676209759</v>
      </c>
      <c r="BK193" s="19">
        <f>1 - Audit[[#This Row],[K-M P Value]]</f>
        <v>0.31968052323790241</v>
      </c>
      <c r="BL193" s="17" t="str">
        <f>IF(Audit[[#This Row],[K-M P Value]]&gt;1-'General Info'!$B$12,"Continue", "Stop")</f>
        <v>Continue</v>
      </c>
      <c r="BM193" s="22" t="b">
        <f>IF(Audit[[#This Row],[Status - Continue or stop audit]] = "Continue", TRUE, IF(BL192 = "Continue", TRUE, FALSE))</f>
        <v>1</v>
      </c>
      <c r="BN193" s="22"/>
    </row>
    <row r="194" spans="1:66" ht="15" hidden="1" customHeight="1" x14ac:dyDescent="0.35">
      <c r="A194" s="17" t="str">
        <f>'Sampling Data'!AI194</f>
        <v/>
      </c>
      <c r="B194" s="17" t="str">
        <f>'Sampling Data'!A194</f>
        <v>2619 CIN 26-S   (AV)</v>
      </c>
      <c r="C194" s="17">
        <f>'Sampling Data'!B194</f>
        <v>115</v>
      </c>
      <c r="D194" s="17">
        <f>'Sampling Data'!C194</f>
        <v>66</v>
      </c>
      <c r="E194" s="18">
        <f>'Sampling Data'!D194</f>
        <v>0</v>
      </c>
      <c r="F194" s="18">
        <f>'Sampling Data'!E194</f>
        <v>0</v>
      </c>
      <c r="G194" s="18">
        <f>'Sampling Data'!F194</f>
        <v>0</v>
      </c>
      <c r="H194" s="18">
        <f>'Sampling Data'!G194</f>
        <v>0</v>
      </c>
      <c r="I194" s="18">
        <f>'Sampling Data'!H194</f>
        <v>0</v>
      </c>
      <c r="J194" s="18">
        <f>'Sampling Data'!I194</f>
        <v>0</v>
      </c>
      <c r="K194" s="18">
        <f>'Sampling Data'!J194</f>
        <v>0</v>
      </c>
      <c r="L194" s="18">
        <f>'Sampling Data'!K194</f>
        <v>0</v>
      </c>
      <c r="M194" s="18">
        <f>'Sampling Data'!L194</f>
        <v>0</v>
      </c>
      <c r="N194" s="18">
        <f>'Sampling Data'!M194</f>
        <v>0</v>
      </c>
      <c r="O194" s="17">
        <f>'Sampling Data'!N194</f>
        <v>1</v>
      </c>
      <c r="P194" s="17">
        <f>'Sampling Data'!O194</f>
        <v>11</v>
      </c>
      <c r="Q194" s="17">
        <f>'Sampling Data'!P194</f>
        <v>193</v>
      </c>
      <c r="R194" s="17">
        <f>'Sampling Data'!AJ194</f>
        <v>0</v>
      </c>
      <c r="S194" s="111"/>
      <c r="T194" s="111"/>
      <c r="U194" s="112"/>
      <c r="V194" s="112"/>
      <c r="W194" s="111"/>
      <c r="X194" s="111"/>
      <c r="Y194" s="111"/>
      <c r="Z194" s="111"/>
      <c r="AA194" s="14"/>
      <c r="AB194" s="14"/>
      <c r="AC194" s="14"/>
      <c r="AD194" s="14"/>
      <c r="AE194" s="113" t="str">
        <f>IF(NOT(ISBLANK(Audit[[#This Row],[Audit Winning Candidate]])), Audit[[#This Row],[Audit Winning Candidate]]-Audit[[#This Row],[Winning Candidate]], "")</f>
        <v/>
      </c>
      <c r="AF194" s="17" t="str">
        <f>IF(NOT(ISBLANK(Audit[[#This Row],[Audit Losing Candidate]])), Audit[[#This Row],[Audit Losing Candidate]]-Audit[[#This Row],[Losing Candidate]], "")</f>
        <v/>
      </c>
      <c r="AG194" s="17" t="str">
        <f>IF(NOT(ISBLANK(Audit[[#This Row],[Audit Candidate 3]])), Audit[[#This Row],[Audit Candidate 3]]-Audit[[#This Row],[Candidate 3]], "")</f>
        <v/>
      </c>
      <c r="AH194" s="17" t="str">
        <f>IF(NOT(ISBLANK(Audit[[#This Row],[Audit Candidate 4]])),Audit[[#This Row],[Audit Candidate 4]]-Audit[[#This Row],[Candidate 4]], "")</f>
        <v/>
      </c>
      <c r="AI194" s="17" t="str">
        <f>IF(NOT(ISBLANK(Audit[[#This Row],[Audit Candidate 5]])), Audit[[#This Row],[Audit Candidate 5]]-Audit[[#This Row],[Candidate 5]], "")</f>
        <v/>
      </c>
      <c r="AJ194" s="17" t="str">
        <f>IF(NOT(ISBLANK(Audit[[#This Row],[Audit Candidate 6]])), Audit[[#This Row],[Audit Candidate 6]]-Audit[[#This Row],[Candidate 6]], "")</f>
        <v/>
      </c>
      <c r="AK194" s="17" t="str">
        <f>IF(NOT(ISBLANK(Audit[[#This Row],[Audit Candidate 7]])), Audit[[#This Row],[Audit Candidate 7]]-Audit[[#This Row],[Candidate 7]], "")</f>
        <v/>
      </c>
      <c r="AL194" s="17" t="str">
        <f>IF(NOT(ISBLANK(Audit[[#This Row],[Audit Candidate 8]])), Audit[[#This Row],[Audit Candidate 8]]-Audit[[#This Row],[Candidate 8]], "")</f>
        <v/>
      </c>
      <c r="AM194" s="17" t="str">
        <f>IF(NOT(ISBLANK(Audit[[#This Row],[Audit Candidate 9]])), Audit[[#This Row],[Audit Candidate 9]]-Audit[[#This Row],[Candidate 9]], "")</f>
        <v/>
      </c>
      <c r="AN194" s="17" t="str">
        <f>IF(NOT(ISBLANK(Audit[[#This Row],[Audit Candidate 10]])), Audit[[#This Row],[Audit Candidate 10]]-Audit[[#This Row],[Candidate 10]], "")</f>
        <v/>
      </c>
      <c r="AO194" s="17" t="str">
        <f>IF(NOT(ISBLANK(Audit[[#This Row],[Audit Candidate 11]])), Audit[[#This Row],[Audit Candidate 11]]-Audit[[#This Row],[Candidate 11]], "")</f>
        <v/>
      </c>
      <c r="AP194" s="17" t="str">
        <f>IF(NOT(ISBLANK(Audit[[#This Row],[Audit Candidate 12]])), Audit[[#This Row],[Audit Candidate 12]]-Audit[[#This Row],[Candidate 12]], "")</f>
        <v/>
      </c>
      <c r="AQ194" s="17">
        <f>SUMIF(Audit[[#This Row],[Difference Winner]:[Difference Candidate 12]], "&gt;0")</f>
        <v>0</v>
      </c>
      <c r="AR194" s="17">
        <f>SUM(Audit[[#This Row],[Difference Winner]:[Difference Candidate 12]])</f>
        <v>0</v>
      </c>
      <c r="AS194" s="17">
        <f>IF(Audit[[#This Row],[Times p Drawn - With Replacement]]&gt;0, IF(Audit[[#This Row],[Canceled Differences]]&lt;0, Audit[[#This Row],[Max Differences]]+ABS(Audit[[#This Row],[Canceled Differences]]), Audit[[#This Row],[Max Differences]]), 0)</f>
        <v>0</v>
      </c>
      <c r="AT194" s="17">
        <f>'Sampling Data'!AB194</f>
        <v>1.0269903242233916E-2</v>
      </c>
      <c r="AU194" s="17">
        <f>IF(
      SUM(Audit[[#This Row],[Audit Losing Candidate]:[Audit Candidate 12]])
      &lt;&gt;0,
      (Audit[[#This Row],[Winning Candidate]]-Audit[[#This Row],[Losing Candidate]]-(Audit[[#This Row],[Audit Winning Candidate]]-Audit[[#This Row],[Audit Losing Candidate]]))/(Audit[[#Totals],[Winning Candidate]]-Audit[[#Totals],[Losing Candidate]]),
      0
)</f>
        <v>0</v>
      </c>
      <c r="AV1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4" s="17">
        <f>IF(Audit[[#This Row],[Max Relative Error (ep)]] = 0, 0, Audit[[#This Row],[Max Relative Error (ep)]]/Audit[[#This Row],[Error Bound (up) - Max. possible relative overstatement]])</f>
        <v>0</v>
      </c>
      <c r="BH1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94" s="17">
        <f t="shared" si="3"/>
        <v>1</v>
      </c>
      <c r="BJ194" s="17">
        <f>PRODUCT($BI$5:BI194)</f>
        <v>0.68031947676209759</v>
      </c>
      <c r="BK194" s="19">
        <f>1 - Audit[[#This Row],[K-M P Value]]</f>
        <v>0.31968052323790241</v>
      </c>
      <c r="BL194" s="17" t="str">
        <f>IF(Audit[[#This Row],[K-M P Value]]&gt;1-'General Info'!$B$12,"Continue", "Stop")</f>
        <v>Continue</v>
      </c>
      <c r="BM194" s="22" t="b">
        <f>IF(Audit[[#This Row],[Status - Continue or stop audit]] = "Continue", TRUE, IF(BL193 = "Continue", TRUE, FALSE))</f>
        <v>1</v>
      </c>
      <c r="BN194" s="22"/>
    </row>
    <row r="195" spans="1:66" ht="15" hidden="1" customHeight="1" x14ac:dyDescent="0.35">
      <c r="A195" s="17" t="str">
        <f>'Sampling Data'!AI195</f>
        <v/>
      </c>
      <c r="B195" s="17" t="str">
        <f>'Sampling Data'!A195</f>
        <v>2811 BLUE 1-A   (AV)</v>
      </c>
      <c r="C195" s="17">
        <f>'Sampling Data'!B195</f>
        <v>152</v>
      </c>
      <c r="D195" s="17">
        <f>'Sampling Data'!C195</f>
        <v>136</v>
      </c>
      <c r="E195" s="18">
        <f>'Sampling Data'!D195</f>
        <v>0</v>
      </c>
      <c r="F195" s="18">
        <f>'Sampling Data'!E195</f>
        <v>0</v>
      </c>
      <c r="G195" s="18">
        <f>'Sampling Data'!F195</f>
        <v>0</v>
      </c>
      <c r="H195" s="18">
        <f>'Sampling Data'!G195</f>
        <v>0</v>
      </c>
      <c r="I195" s="18">
        <f>'Sampling Data'!H195</f>
        <v>0</v>
      </c>
      <c r="J195" s="18">
        <f>'Sampling Data'!I195</f>
        <v>0</v>
      </c>
      <c r="K195" s="18">
        <f>'Sampling Data'!J195</f>
        <v>0</v>
      </c>
      <c r="L195" s="18">
        <f>'Sampling Data'!K195</f>
        <v>0</v>
      </c>
      <c r="M195" s="18">
        <f>'Sampling Data'!L195</f>
        <v>0</v>
      </c>
      <c r="N195" s="18">
        <f>'Sampling Data'!M195</f>
        <v>0</v>
      </c>
      <c r="O195" s="17">
        <f>'Sampling Data'!N195</f>
        <v>0</v>
      </c>
      <c r="P195" s="17">
        <f>'Sampling Data'!O195</f>
        <v>20</v>
      </c>
      <c r="Q195" s="17">
        <f>'Sampling Data'!P195</f>
        <v>308</v>
      </c>
      <c r="R195" s="17">
        <f>'Sampling Data'!AJ195</f>
        <v>0</v>
      </c>
      <c r="S195" s="111"/>
      <c r="T195" s="111"/>
      <c r="U195" s="112"/>
      <c r="V195" s="112"/>
      <c r="W195" s="111"/>
      <c r="X195" s="111"/>
      <c r="Y195" s="111"/>
      <c r="Z195" s="111"/>
      <c r="AA195" s="14"/>
      <c r="AB195" s="14"/>
      <c r="AC195" s="14"/>
      <c r="AD195" s="14"/>
      <c r="AE195" s="113" t="str">
        <f>IF(NOT(ISBLANK(Audit[[#This Row],[Audit Winning Candidate]])), Audit[[#This Row],[Audit Winning Candidate]]-Audit[[#This Row],[Winning Candidate]], "")</f>
        <v/>
      </c>
      <c r="AF195" s="17" t="str">
        <f>IF(NOT(ISBLANK(Audit[[#This Row],[Audit Losing Candidate]])), Audit[[#This Row],[Audit Losing Candidate]]-Audit[[#This Row],[Losing Candidate]], "")</f>
        <v/>
      </c>
      <c r="AG195" s="17" t="str">
        <f>IF(NOT(ISBLANK(Audit[[#This Row],[Audit Candidate 3]])), Audit[[#This Row],[Audit Candidate 3]]-Audit[[#This Row],[Candidate 3]], "")</f>
        <v/>
      </c>
      <c r="AH195" s="17" t="str">
        <f>IF(NOT(ISBLANK(Audit[[#This Row],[Audit Candidate 4]])),Audit[[#This Row],[Audit Candidate 4]]-Audit[[#This Row],[Candidate 4]], "")</f>
        <v/>
      </c>
      <c r="AI195" s="17" t="str">
        <f>IF(NOT(ISBLANK(Audit[[#This Row],[Audit Candidate 5]])), Audit[[#This Row],[Audit Candidate 5]]-Audit[[#This Row],[Candidate 5]], "")</f>
        <v/>
      </c>
      <c r="AJ195" s="17" t="str">
        <f>IF(NOT(ISBLANK(Audit[[#This Row],[Audit Candidate 6]])), Audit[[#This Row],[Audit Candidate 6]]-Audit[[#This Row],[Candidate 6]], "")</f>
        <v/>
      </c>
      <c r="AK195" s="17" t="str">
        <f>IF(NOT(ISBLANK(Audit[[#This Row],[Audit Candidate 7]])), Audit[[#This Row],[Audit Candidate 7]]-Audit[[#This Row],[Candidate 7]], "")</f>
        <v/>
      </c>
      <c r="AL195" s="17" t="str">
        <f>IF(NOT(ISBLANK(Audit[[#This Row],[Audit Candidate 8]])), Audit[[#This Row],[Audit Candidate 8]]-Audit[[#This Row],[Candidate 8]], "")</f>
        <v/>
      </c>
      <c r="AM195" s="17" t="str">
        <f>IF(NOT(ISBLANK(Audit[[#This Row],[Audit Candidate 9]])), Audit[[#This Row],[Audit Candidate 9]]-Audit[[#This Row],[Candidate 9]], "")</f>
        <v/>
      </c>
      <c r="AN195" s="17" t="str">
        <f>IF(NOT(ISBLANK(Audit[[#This Row],[Audit Candidate 10]])), Audit[[#This Row],[Audit Candidate 10]]-Audit[[#This Row],[Candidate 10]], "")</f>
        <v/>
      </c>
      <c r="AO195" s="17" t="str">
        <f>IF(NOT(ISBLANK(Audit[[#This Row],[Audit Candidate 11]])), Audit[[#This Row],[Audit Candidate 11]]-Audit[[#This Row],[Candidate 11]], "")</f>
        <v/>
      </c>
      <c r="AP195" s="17" t="str">
        <f>IF(NOT(ISBLANK(Audit[[#This Row],[Audit Candidate 12]])), Audit[[#This Row],[Audit Candidate 12]]-Audit[[#This Row],[Candidate 12]], "")</f>
        <v/>
      </c>
      <c r="AQ195" s="17">
        <f>SUMIF(Audit[[#This Row],[Difference Winner]:[Difference Candidate 12]], "&gt;0")</f>
        <v>0</v>
      </c>
      <c r="AR195" s="17">
        <f>SUM(Audit[[#This Row],[Difference Winner]:[Difference Candidate 12]])</f>
        <v>0</v>
      </c>
      <c r="AS195" s="17">
        <f>IF(Audit[[#This Row],[Times p Drawn - With Replacement]]&gt;0, IF(Audit[[#This Row],[Canceled Differences]]&lt;0, Audit[[#This Row],[Max Differences]]+ABS(Audit[[#This Row],[Canceled Differences]]), Audit[[#This Row],[Max Differences]]), 0)</f>
        <v>0</v>
      </c>
      <c r="AT195" s="17">
        <f>'Sampling Data'!AB195</f>
        <v>1.3749787811916483E-2</v>
      </c>
      <c r="AU195" s="17">
        <f>IF(
      SUM(Audit[[#This Row],[Audit Losing Candidate]:[Audit Candidate 12]])
      &lt;&gt;0,
      (Audit[[#This Row],[Winning Candidate]]-Audit[[#This Row],[Losing Candidate]]-(Audit[[#This Row],[Audit Winning Candidate]]-Audit[[#This Row],[Audit Losing Candidate]]))/(Audit[[#Totals],[Winning Candidate]]-Audit[[#Totals],[Losing Candidate]]),
      0
)</f>
        <v>0</v>
      </c>
      <c r="AV1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5" s="17">
        <f>IF(Audit[[#This Row],[Max Relative Error (ep)]] = 0, 0, Audit[[#This Row],[Max Relative Error (ep)]]/Audit[[#This Row],[Error Bound (up) - Max. possible relative overstatement]])</f>
        <v>0</v>
      </c>
      <c r="BH1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95" s="17">
        <f t="shared" si="3"/>
        <v>1</v>
      </c>
      <c r="BJ195" s="17">
        <f>PRODUCT($BI$5:BI195)</f>
        <v>0.68031947676209759</v>
      </c>
      <c r="BK195" s="19">
        <f>1 - Audit[[#This Row],[K-M P Value]]</f>
        <v>0.31968052323790241</v>
      </c>
      <c r="BL195" s="17" t="str">
        <f>IF(Audit[[#This Row],[K-M P Value]]&gt;1-'General Info'!$B$12,"Continue", "Stop")</f>
        <v>Continue</v>
      </c>
      <c r="BM195" s="22" t="b">
        <f>IF(Audit[[#This Row],[Status - Continue or stop audit]] = "Continue", TRUE, IF(BL194 = "Continue", TRUE, FALSE))</f>
        <v>1</v>
      </c>
      <c r="BN195" s="22"/>
    </row>
    <row r="196" spans="1:66" ht="15" hidden="1" customHeight="1" x14ac:dyDescent="0.35">
      <c r="A196" s="17" t="str">
        <f>'Sampling Data'!AI196</f>
        <v/>
      </c>
      <c r="B196" s="17" t="str">
        <f>'Sampling Data'!A196</f>
        <v>2812 BLUE 1-B   (AV)</v>
      </c>
      <c r="C196" s="17">
        <f>'Sampling Data'!B196</f>
        <v>167</v>
      </c>
      <c r="D196" s="17">
        <f>'Sampling Data'!C196</f>
        <v>132</v>
      </c>
      <c r="E196" s="18">
        <f>'Sampling Data'!D196</f>
        <v>0</v>
      </c>
      <c r="F196" s="18">
        <f>'Sampling Data'!E196</f>
        <v>0</v>
      </c>
      <c r="G196" s="18">
        <f>'Sampling Data'!F196</f>
        <v>0</v>
      </c>
      <c r="H196" s="18">
        <f>'Sampling Data'!G196</f>
        <v>0</v>
      </c>
      <c r="I196" s="18">
        <f>'Sampling Data'!H196</f>
        <v>0</v>
      </c>
      <c r="J196" s="18">
        <f>'Sampling Data'!I196</f>
        <v>0</v>
      </c>
      <c r="K196" s="18">
        <f>'Sampling Data'!J196</f>
        <v>0</v>
      </c>
      <c r="L196" s="18">
        <f>'Sampling Data'!K196</f>
        <v>0</v>
      </c>
      <c r="M196" s="18">
        <f>'Sampling Data'!L196</f>
        <v>0</v>
      </c>
      <c r="N196" s="18">
        <f>'Sampling Data'!M196</f>
        <v>0</v>
      </c>
      <c r="O196" s="17">
        <f>'Sampling Data'!N196</f>
        <v>0</v>
      </c>
      <c r="P196" s="17">
        <f>'Sampling Data'!O196</f>
        <v>27</v>
      </c>
      <c r="Q196" s="17">
        <f>'Sampling Data'!P196</f>
        <v>326</v>
      </c>
      <c r="R196" s="17">
        <f>'Sampling Data'!AJ196</f>
        <v>0</v>
      </c>
      <c r="S196" s="111"/>
      <c r="T196" s="111"/>
      <c r="U196" s="112"/>
      <c r="V196" s="112"/>
      <c r="W196" s="111"/>
      <c r="X196" s="111"/>
      <c r="Y196" s="111"/>
      <c r="Z196" s="111"/>
      <c r="AA196" s="14"/>
      <c r="AB196" s="14"/>
      <c r="AC196" s="14"/>
      <c r="AD196" s="14"/>
      <c r="AE196" s="113" t="str">
        <f>IF(NOT(ISBLANK(Audit[[#This Row],[Audit Winning Candidate]])), Audit[[#This Row],[Audit Winning Candidate]]-Audit[[#This Row],[Winning Candidate]], "")</f>
        <v/>
      </c>
      <c r="AF196" s="17" t="str">
        <f>IF(NOT(ISBLANK(Audit[[#This Row],[Audit Losing Candidate]])), Audit[[#This Row],[Audit Losing Candidate]]-Audit[[#This Row],[Losing Candidate]], "")</f>
        <v/>
      </c>
      <c r="AG196" s="17" t="str">
        <f>IF(NOT(ISBLANK(Audit[[#This Row],[Audit Candidate 3]])), Audit[[#This Row],[Audit Candidate 3]]-Audit[[#This Row],[Candidate 3]], "")</f>
        <v/>
      </c>
      <c r="AH196" s="17" t="str">
        <f>IF(NOT(ISBLANK(Audit[[#This Row],[Audit Candidate 4]])),Audit[[#This Row],[Audit Candidate 4]]-Audit[[#This Row],[Candidate 4]], "")</f>
        <v/>
      </c>
      <c r="AI196" s="17" t="str">
        <f>IF(NOT(ISBLANK(Audit[[#This Row],[Audit Candidate 5]])), Audit[[#This Row],[Audit Candidate 5]]-Audit[[#This Row],[Candidate 5]], "")</f>
        <v/>
      </c>
      <c r="AJ196" s="17" t="str">
        <f>IF(NOT(ISBLANK(Audit[[#This Row],[Audit Candidate 6]])), Audit[[#This Row],[Audit Candidate 6]]-Audit[[#This Row],[Candidate 6]], "")</f>
        <v/>
      </c>
      <c r="AK196" s="17" t="str">
        <f>IF(NOT(ISBLANK(Audit[[#This Row],[Audit Candidate 7]])), Audit[[#This Row],[Audit Candidate 7]]-Audit[[#This Row],[Candidate 7]], "")</f>
        <v/>
      </c>
      <c r="AL196" s="17" t="str">
        <f>IF(NOT(ISBLANK(Audit[[#This Row],[Audit Candidate 8]])), Audit[[#This Row],[Audit Candidate 8]]-Audit[[#This Row],[Candidate 8]], "")</f>
        <v/>
      </c>
      <c r="AM196" s="17" t="str">
        <f>IF(NOT(ISBLANK(Audit[[#This Row],[Audit Candidate 9]])), Audit[[#This Row],[Audit Candidate 9]]-Audit[[#This Row],[Candidate 9]], "")</f>
        <v/>
      </c>
      <c r="AN196" s="17" t="str">
        <f>IF(NOT(ISBLANK(Audit[[#This Row],[Audit Candidate 10]])), Audit[[#This Row],[Audit Candidate 10]]-Audit[[#This Row],[Candidate 10]], "")</f>
        <v/>
      </c>
      <c r="AO196" s="17" t="str">
        <f>IF(NOT(ISBLANK(Audit[[#This Row],[Audit Candidate 11]])), Audit[[#This Row],[Audit Candidate 11]]-Audit[[#This Row],[Candidate 11]], "")</f>
        <v/>
      </c>
      <c r="AP196" s="17" t="str">
        <f>IF(NOT(ISBLANK(Audit[[#This Row],[Audit Candidate 12]])), Audit[[#This Row],[Audit Candidate 12]]-Audit[[#This Row],[Candidate 12]], "")</f>
        <v/>
      </c>
      <c r="AQ196" s="17">
        <f>SUMIF(Audit[[#This Row],[Difference Winner]:[Difference Candidate 12]], "&gt;0")</f>
        <v>0</v>
      </c>
      <c r="AR196" s="17">
        <f>SUM(Audit[[#This Row],[Difference Winner]:[Difference Candidate 12]])</f>
        <v>0</v>
      </c>
      <c r="AS196" s="17">
        <f>IF(Audit[[#This Row],[Times p Drawn - With Replacement]]&gt;0, IF(Audit[[#This Row],[Canceled Differences]]&lt;0, Audit[[#This Row],[Max Differences]]+ABS(Audit[[#This Row],[Canceled Differences]]), Audit[[#This Row],[Max Differences]]), 0)</f>
        <v>0</v>
      </c>
      <c r="AT196" s="17">
        <f>'Sampling Data'!AB196</f>
        <v>1.5319979629943982E-2</v>
      </c>
      <c r="AU196" s="17">
        <f>IF(
      SUM(Audit[[#This Row],[Audit Losing Candidate]:[Audit Candidate 12]])
      &lt;&gt;0,
      (Audit[[#This Row],[Winning Candidate]]-Audit[[#This Row],[Losing Candidate]]-(Audit[[#This Row],[Audit Winning Candidate]]-Audit[[#This Row],[Audit Losing Candidate]]))/(Audit[[#Totals],[Winning Candidate]]-Audit[[#Totals],[Losing Candidate]]),
      0
)</f>
        <v>0</v>
      </c>
      <c r="AV1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6" s="17">
        <f>IF(Audit[[#This Row],[Max Relative Error (ep)]] = 0, 0, Audit[[#This Row],[Max Relative Error (ep)]]/Audit[[#This Row],[Error Bound (up) - Max. possible relative overstatement]])</f>
        <v>0</v>
      </c>
      <c r="BH1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96" s="17">
        <f t="shared" si="3"/>
        <v>1</v>
      </c>
      <c r="BJ196" s="17">
        <f>PRODUCT($BI$5:BI196)</f>
        <v>0.68031947676209759</v>
      </c>
      <c r="BK196" s="19">
        <f>1 - Audit[[#This Row],[K-M P Value]]</f>
        <v>0.31968052323790241</v>
      </c>
      <c r="BL196" s="17" t="str">
        <f>IF(Audit[[#This Row],[K-M P Value]]&gt;1-'General Info'!$B$12,"Continue", "Stop")</f>
        <v>Continue</v>
      </c>
      <c r="BM196" s="22" t="b">
        <f>IF(Audit[[#This Row],[Status - Continue or stop audit]] = "Continue", TRUE, IF(BL195 = "Continue", TRUE, FALSE))</f>
        <v>1</v>
      </c>
      <c r="BN196" s="22"/>
    </row>
    <row r="197" spans="1:66" ht="15" hidden="1" customHeight="1" x14ac:dyDescent="0.35">
      <c r="A197" s="17" t="str">
        <f>'Sampling Data'!AI197</f>
        <v/>
      </c>
      <c r="B197" s="17" t="str">
        <f>'Sampling Data'!A197</f>
        <v>2821 BLUE 2-A   (AV)</v>
      </c>
      <c r="C197" s="17">
        <f>'Sampling Data'!B197</f>
        <v>121</v>
      </c>
      <c r="D197" s="17">
        <f>'Sampling Data'!C197</f>
        <v>128</v>
      </c>
      <c r="E197" s="18">
        <f>'Sampling Data'!D197</f>
        <v>0</v>
      </c>
      <c r="F197" s="18">
        <f>'Sampling Data'!E197</f>
        <v>0</v>
      </c>
      <c r="G197" s="18">
        <f>'Sampling Data'!F197</f>
        <v>0</v>
      </c>
      <c r="H197" s="18">
        <f>'Sampling Data'!G197</f>
        <v>0</v>
      </c>
      <c r="I197" s="18">
        <f>'Sampling Data'!H197</f>
        <v>0</v>
      </c>
      <c r="J197" s="18">
        <f>'Sampling Data'!I197</f>
        <v>0</v>
      </c>
      <c r="K197" s="18">
        <f>'Sampling Data'!J197</f>
        <v>0</v>
      </c>
      <c r="L197" s="18">
        <f>'Sampling Data'!K197</f>
        <v>0</v>
      </c>
      <c r="M197" s="18">
        <f>'Sampling Data'!L197</f>
        <v>0</v>
      </c>
      <c r="N197" s="18">
        <f>'Sampling Data'!M197</f>
        <v>0</v>
      </c>
      <c r="O197" s="17">
        <f>'Sampling Data'!N197</f>
        <v>1</v>
      </c>
      <c r="P197" s="17">
        <f>'Sampling Data'!O197</f>
        <v>11</v>
      </c>
      <c r="Q197" s="17">
        <f>'Sampling Data'!P197</f>
        <v>261</v>
      </c>
      <c r="R197" s="17">
        <f>'Sampling Data'!AJ197</f>
        <v>0</v>
      </c>
      <c r="S197" s="111"/>
      <c r="T197" s="111"/>
      <c r="U197" s="112"/>
      <c r="V197" s="112"/>
      <c r="W197" s="111"/>
      <c r="X197" s="111"/>
      <c r="Y197" s="111"/>
      <c r="Z197" s="111"/>
      <c r="AA197" s="14"/>
      <c r="AB197" s="14"/>
      <c r="AC197" s="14"/>
      <c r="AD197" s="14"/>
      <c r="AE197" s="113" t="str">
        <f>IF(NOT(ISBLANK(Audit[[#This Row],[Audit Winning Candidate]])), Audit[[#This Row],[Audit Winning Candidate]]-Audit[[#This Row],[Winning Candidate]], "")</f>
        <v/>
      </c>
      <c r="AF197" s="17" t="str">
        <f>IF(NOT(ISBLANK(Audit[[#This Row],[Audit Losing Candidate]])), Audit[[#This Row],[Audit Losing Candidate]]-Audit[[#This Row],[Losing Candidate]], "")</f>
        <v/>
      </c>
      <c r="AG197" s="17" t="str">
        <f>IF(NOT(ISBLANK(Audit[[#This Row],[Audit Candidate 3]])), Audit[[#This Row],[Audit Candidate 3]]-Audit[[#This Row],[Candidate 3]], "")</f>
        <v/>
      </c>
      <c r="AH197" s="17" t="str">
        <f>IF(NOT(ISBLANK(Audit[[#This Row],[Audit Candidate 4]])),Audit[[#This Row],[Audit Candidate 4]]-Audit[[#This Row],[Candidate 4]], "")</f>
        <v/>
      </c>
      <c r="AI197" s="17" t="str">
        <f>IF(NOT(ISBLANK(Audit[[#This Row],[Audit Candidate 5]])), Audit[[#This Row],[Audit Candidate 5]]-Audit[[#This Row],[Candidate 5]], "")</f>
        <v/>
      </c>
      <c r="AJ197" s="17" t="str">
        <f>IF(NOT(ISBLANK(Audit[[#This Row],[Audit Candidate 6]])), Audit[[#This Row],[Audit Candidate 6]]-Audit[[#This Row],[Candidate 6]], "")</f>
        <v/>
      </c>
      <c r="AK197" s="17" t="str">
        <f>IF(NOT(ISBLANK(Audit[[#This Row],[Audit Candidate 7]])), Audit[[#This Row],[Audit Candidate 7]]-Audit[[#This Row],[Candidate 7]], "")</f>
        <v/>
      </c>
      <c r="AL197" s="17" t="str">
        <f>IF(NOT(ISBLANK(Audit[[#This Row],[Audit Candidate 8]])), Audit[[#This Row],[Audit Candidate 8]]-Audit[[#This Row],[Candidate 8]], "")</f>
        <v/>
      </c>
      <c r="AM197" s="17" t="str">
        <f>IF(NOT(ISBLANK(Audit[[#This Row],[Audit Candidate 9]])), Audit[[#This Row],[Audit Candidate 9]]-Audit[[#This Row],[Candidate 9]], "")</f>
        <v/>
      </c>
      <c r="AN197" s="17" t="str">
        <f>IF(NOT(ISBLANK(Audit[[#This Row],[Audit Candidate 10]])), Audit[[#This Row],[Audit Candidate 10]]-Audit[[#This Row],[Candidate 10]], "")</f>
        <v/>
      </c>
      <c r="AO197" s="17" t="str">
        <f>IF(NOT(ISBLANK(Audit[[#This Row],[Audit Candidate 11]])), Audit[[#This Row],[Audit Candidate 11]]-Audit[[#This Row],[Candidate 11]], "")</f>
        <v/>
      </c>
      <c r="AP197" s="17" t="str">
        <f>IF(NOT(ISBLANK(Audit[[#This Row],[Audit Candidate 12]])), Audit[[#This Row],[Audit Candidate 12]]-Audit[[#This Row],[Candidate 12]], "")</f>
        <v/>
      </c>
      <c r="AQ197" s="17">
        <f>SUMIF(Audit[[#This Row],[Difference Winner]:[Difference Candidate 12]], "&gt;0")</f>
        <v>0</v>
      </c>
      <c r="AR197" s="17">
        <f>SUM(Audit[[#This Row],[Difference Winner]:[Difference Candidate 12]])</f>
        <v>0</v>
      </c>
      <c r="AS197" s="17">
        <f>IF(Audit[[#This Row],[Times p Drawn - With Replacement]]&gt;0, IF(Audit[[#This Row],[Canceled Differences]]&lt;0, Audit[[#This Row],[Max Differences]]+ABS(Audit[[#This Row],[Canceled Differences]]), Audit[[#This Row],[Max Differences]]), 0)</f>
        <v>0</v>
      </c>
      <c r="AT197" s="17">
        <f>'Sampling Data'!AB197</f>
        <v>1.0779154642675268E-2</v>
      </c>
      <c r="AU197" s="17">
        <f>IF(
      SUM(Audit[[#This Row],[Audit Losing Candidate]:[Audit Candidate 12]])
      &lt;&gt;0,
      (Audit[[#This Row],[Winning Candidate]]-Audit[[#This Row],[Losing Candidate]]-(Audit[[#This Row],[Audit Winning Candidate]]-Audit[[#This Row],[Audit Losing Candidate]]))/(Audit[[#Totals],[Winning Candidate]]-Audit[[#Totals],[Losing Candidate]]),
      0
)</f>
        <v>0</v>
      </c>
      <c r="AV1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7" s="17">
        <f>IF(Audit[[#This Row],[Max Relative Error (ep)]] = 0, 0, Audit[[#This Row],[Max Relative Error (ep)]]/Audit[[#This Row],[Error Bound (up) - Max. possible relative overstatement]])</f>
        <v>0</v>
      </c>
      <c r="BH1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97" s="17">
        <f t="shared" si="3"/>
        <v>1</v>
      </c>
      <c r="BJ197" s="17">
        <f>PRODUCT($BI$5:BI197)</f>
        <v>0.68031947676209759</v>
      </c>
      <c r="BK197" s="19">
        <f>1 - Audit[[#This Row],[K-M P Value]]</f>
        <v>0.31968052323790241</v>
      </c>
      <c r="BL197" s="17" t="str">
        <f>IF(Audit[[#This Row],[K-M P Value]]&gt;1-'General Info'!$B$12,"Continue", "Stop")</f>
        <v>Continue</v>
      </c>
      <c r="BM197" s="22" t="b">
        <f>IF(Audit[[#This Row],[Status - Continue or stop audit]] = "Continue", TRUE, IF(BL196 = "Continue", TRUE, FALSE))</f>
        <v>1</v>
      </c>
      <c r="BN197" s="22"/>
    </row>
    <row r="198" spans="1:66" ht="15" hidden="1" customHeight="1" x14ac:dyDescent="0.35">
      <c r="A198" s="17" t="str">
        <f>'Sampling Data'!AI198</f>
        <v/>
      </c>
      <c r="B198" s="17" t="str">
        <f>'Sampling Data'!A198</f>
        <v>2822 BLUE 2-B   (AV)</v>
      </c>
      <c r="C198" s="17">
        <f>'Sampling Data'!B198</f>
        <v>127</v>
      </c>
      <c r="D198" s="17">
        <f>'Sampling Data'!C198</f>
        <v>103</v>
      </c>
      <c r="E198" s="18">
        <f>'Sampling Data'!D198</f>
        <v>0</v>
      </c>
      <c r="F198" s="18">
        <f>'Sampling Data'!E198</f>
        <v>0</v>
      </c>
      <c r="G198" s="18">
        <f>'Sampling Data'!F198</f>
        <v>0</v>
      </c>
      <c r="H198" s="18">
        <f>'Sampling Data'!G198</f>
        <v>0</v>
      </c>
      <c r="I198" s="18">
        <f>'Sampling Data'!H198</f>
        <v>0</v>
      </c>
      <c r="J198" s="18">
        <f>'Sampling Data'!I198</f>
        <v>0</v>
      </c>
      <c r="K198" s="18">
        <f>'Sampling Data'!J198</f>
        <v>0</v>
      </c>
      <c r="L198" s="18">
        <f>'Sampling Data'!K198</f>
        <v>0</v>
      </c>
      <c r="M198" s="18">
        <f>'Sampling Data'!L198</f>
        <v>0</v>
      </c>
      <c r="N198" s="18">
        <f>'Sampling Data'!M198</f>
        <v>0</v>
      </c>
      <c r="O198" s="17">
        <f>'Sampling Data'!N198</f>
        <v>0</v>
      </c>
      <c r="P198" s="17">
        <f>'Sampling Data'!O198</f>
        <v>17</v>
      </c>
      <c r="Q198" s="17">
        <f>'Sampling Data'!P198</f>
        <v>247</v>
      </c>
      <c r="R198" s="17">
        <f>'Sampling Data'!AJ198</f>
        <v>0</v>
      </c>
      <c r="S198" s="111"/>
      <c r="T198" s="111"/>
      <c r="U198" s="112"/>
      <c r="V198" s="112"/>
      <c r="W198" s="111"/>
      <c r="X198" s="111"/>
      <c r="Y198" s="111"/>
      <c r="Z198" s="111"/>
      <c r="AA198" s="14"/>
      <c r="AB198" s="14"/>
      <c r="AC198" s="14"/>
      <c r="AD198" s="14"/>
      <c r="AE198" s="113" t="str">
        <f>IF(NOT(ISBLANK(Audit[[#This Row],[Audit Winning Candidate]])), Audit[[#This Row],[Audit Winning Candidate]]-Audit[[#This Row],[Winning Candidate]], "")</f>
        <v/>
      </c>
      <c r="AF198" s="17" t="str">
        <f>IF(NOT(ISBLANK(Audit[[#This Row],[Audit Losing Candidate]])), Audit[[#This Row],[Audit Losing Candidate]]-Audit[[#This Row],[Losing Candidate]], "")</f>
        <v/>
      </c>
      <c r="AG198" s="17" t="str">
        <f>IF(NOT(ISBLANK(Audit[[#This Row],[Audit Candidate 3]])), Audit[[#This Row],[Audit Candidate 3]]-Audit[[#This Row],[Candidate 3]], "")</f>
        <v/>
      </c>
      <c r="AH198" s="17" t="str">
        <f>IF(NOT(ISBLANK(Audit[[#This Row],[Audit Candidate 4]])),Audit[[#This Row],[Audit Candidate 4]]-Audit[[#This Row],[Candidate 4]], "")</f>
        <v/>
      </c>
      <c r="AI198" s="17" t="str">
        <f>IF(NOT(ISBLANK(Audit[[#This Row],[Audit Candidate 5]])), Audit[[#This Row],[Audit Candidate 5]]-Audit[[#This Row],[Candidate 5]], "")</f>
        <v/>
      </c>
      <c r="AJ198" s="17" t="str">
        <f>IF(NOT(ISBLANK(Audit[[#This Row],[Audit Candidate 6]])), Audit[[#This Row],[Audit Candidate 6]]-Audit[[#This Row],[Candidate 6]], "")</f>
        <v/>
      </c>
      <c r="AK198" s="17" t="str">
        <f>IF(NOT(ISBLANK(Audit[[#This Row],[Audit Candidate 7]])), Audit[[#This Row],[Audit Candidate 7]]-Audit[[#This Row],[Candidate 7]], "")</f>
        <v/>
      </c>
      <c r="AL198" s="17" t="str">
        <f>IF(NOT(ISBLANK(Audit[[#This Row],[Audit Candidate 8]])), Audit[[#This Row],[Audit Candidate 8]]-Audit[[#This Row],[Candidate 8]], "")</f>
        <v/>
      </c>
      <c r="AM198" s="17" t="str">
        <f>IF(NOT(ISBLANK(Audit[[#This Row],[Audit Candidate 9]])), Audit[[#This Row],[Audit Candidate 9]]-Audit[[#This Row],[Candidate 9]], "")</f>
        <v/>
      </c>
      <c r="AN198" s="17" t="str">
        <f>IF(NOT(ISBLANK(Audit[[#This Row],[Audit Candidate 10]])), Audit[[#This Row],[Audit Candidate 10]]-Audit[[#This Row],[Candidate 10]], "")</f>
        <v/>
      </c>
      <c r="AO198" s="17" t="str">
        <f>IF(NOT(ISBLANK(Audit[[#This Row],[Audit Candidate 11]])), Audit[[#This Row],[Audit Candidate 11]]-Audit[[#This Row],[Candidate 11]], "")</f>
        <v/>
      </c>
      <c r="AP198" s="17" t="str">
        <f>IF(NOT(ISBLANK(Audit[[#This Row],[Audit Candidate 12]])), Audit[[#This Row],[Audit Candidate 12]]-Audit[[#This Row],[Candidate 12]], "")</f>
        <v/>
      </c>
      <c r="AQ198" s="17">
        <f>SUMIF(Audit[[#This Row],[Difference Winner]:[Difference Candidate 12]], "&gt;0")</f>
        <v>0</v>
      </c>
      <c r="AR198" s="17">
        <f>SUM(Audit[[#This Row],[Difference Winner]:[Difference Candidate 12]])</f>
        <v>0</v>
      </c>
      <c r="AS198" s="17">
        <f>IF(Audit[[#This Row],[Times p Drawn - With Replacement]]&gt;0, IF(Audit[[#This Row],[Canceled Differences]]&lt;0, Audit[[#This Row],[Max Differences]]+ABS(Audit[[#This Row],[Canceled Differences]]), Audit[[#This Row],[Max Differences]]), 0)</f>
        <v>0</v>
      </c>
      <c r="AT198" s="17">
        <f>'Sampling Data'!AB198</f>
        <v>1.1500594126633849E-2</v>
      </c>
      <c r="AU198" s="17">
        <f>IF(
      SUM(Audit[[#This Row],[Audit Losing Candidate]:[Audit Candidate 12]])
      &lt;&gt;0,
      (Audit[[#This Row],[Winning Candidate]]-Audit[[#This Row],[Losing Candidate]]-(Audit[[#This Row],[Audit Winning Candidate]]-Audit[[#This Row],[Audit Losing Candidate]]))/(Audit[[#Totals],[Winning Candidate]]-Audit[[#Totals],[Losing Candidate]]),
      0
)</f>
        <v>0</v>
      </c>
      <c r="AV1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8" s="17">
        <f>IF(Audit[[#This Row],[Max Relative Error (ep)]] = 0, 0, Audit[[#This Row],[Max Relative Error (ep)]]/Audit[[#This Row],[Error Bound (up) - Max. possible relative overstatement]])</f>
        <v>0</v>
      </c>
      <c r="BH1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98" s="17">
        <f t="shared" si="3"/>
        <v>1</v>
      </c>
      <c r="BJ198" s="17">
        <f>PRODUCT($BI$5:BI198)</f>
        <v>0.68031947676209759</v>
      </c>
      <c r="BK198" s="19">
        <f>1 - Audit[[#This Row],[K-M P Value]]</f>
        <v>0.31968052323790241</v>
      </c>
      <c r="BL198" s="17" t="str">
        <f>IF(Audit[[#This Row],[K-M P Value]]&gt;1-'General Info'!$B$12,"Continue", "Stop")</f>
        <v>Continue</v>
      </c>
      <c r="BM198" s="22" t="b">
        <f>IF(Audit[[#This Row],[Status - Continue or stop audit]] = "Continue", TRUE, IF(BL197 = "Continue", TRUE, FALSE))</f>
        <v>1</v>
      </c>
      <c r="BN198" s="22"/>
    </row>
    <row r="199" spans="1:66" ht="15" customHeight="1" x14ac:dyDescent="0.35">
      <c r="A199" s="17">
        <f>'Sampling Data'!AI199</f>
        <v>41</v>
      </c>
      <c r="B199" s="17" t="str">
        <f>'Sampling Data'!A199</f>
        <v>2823 BLUE 2-C   (AV)</v>
      </c>
      <c r="C199" s="17">
        <f>'Sampling Data'!B199</f>
        <v>271</v>
      </c>
      <c r="D199" s="17">
        <f>'Sampling Data'!C199</f>
        <v>170</v>
      </c>
      <c r="E199" s="18">
        <f>'Sampling Data'!D199</f>
        <v>0</v>
      </c>
      <c r="F199" s="18">
        <f>'Sampling Data'!E199</f>
        <v>0</v>
      </c>
      <c r="G199" s="18">
        <f>'Sampling Data'!F199</f>
        <v>0</v>
      </c>
      <c r="H199" s="18">
        <f>'Sampling Data'!G199</f>
        <v>0</v>
      </c>
      <c r="I199" s="18">
        <f>'Sampling Data'!H199</f>
        <v>0</v>
      </c>
      <c r="J199" s="18">
        <f>'Sampling Data'!I199</f>
        <v>0</v>
      </c>
      <c r="K199" s="18">
        <f>'Sampling Data'!J199</f>
        <v>0</v>
      </c>
      <c r="L199" s="18">
        <f>'Sampling Data'!K199</f>
        <v>0</v>
      </c>
      <c r="M199" s="18">
        <f>'Sampling Data'!L199</f>
        <v>0</v>
      </c>
      <c r="N199" s="18">
        <f>'Sampling Data'!M199</f>
        <v>0</v>
      </c>
      <c r="O199" s="17">
        <f>'Sampling Data'!N199</f>
        <v>0</v>
      </c>
      <c r="P199" s="17">
        <f>'Sampling Data'!O199</f>
        <v>16</v>
      </c>
      <c r="Q199" s="17">
        <f>'Sampling Data'!P199</f>
        <v>457</v>
      </c>
      <c r="R199" s="17">
        <f>'Sampling Data'!AJ199</f>
        <v>1</v>
      </c>
      <c r="S199" s="111">
        <v>271</v>
      </c>
      <c r="T199" s="111">
        <v>170</v>
      </c>
      <c r="U199" s="112"/>
      <c r="V199" s="112"/>
      <c r="W199" s="111"/>
      <c r="X199" s="111"/>
      <c r="Y199" s="111"/>
      <c r="Z199" s="111"/>
      <c r="AA199" s="14"/>
      <c r="AB199" s="14"/>
      <c r="AC199" s="14"/>
      <c r="AD199" s="14"/>
      <c r="AE199" s="113">
        <f>IF(NOT(ISBLANK(Audit[[#This Row],[Audit Winning Candidate]])), Audit[[#This Row],[Audit Winning Candidate]]-Audit[[#This Row],[Winning Candidate]], "")</f>
        <v>0</v>
      </c>
      <c r="AF199" s="17">
        <f>IF(NOT(ISBLANK(Audit[[#This Row],[Audit Losing Candidate]])), Audit[[#This Row],[Audit Losing Candidate]]-Audit[[#This Row],[Losing Candidate]], "")</f>
        <v>0</v>
      </c>
      <c r="AG199" s="17" t="str">
        <f>IF(NOT(ISBLANK(Audit[[#This Row],[Audit Candidate 3]])), Audit[[#This Row],[Audit Candidate 3]]-Audit[[#This Row],[Candidate 3]], "")</f>
        <v/>
      </c>
      <c r="AH199" s="17" t="str">
        <f>IF(NOT(ISBLANK(Audit[[#This Row],[Audit Candidate 4]])),Audit[[#This Row],[Audit Candidate 4]]-Audit[[#This Row],[Candidate 4]], "")</f>
        <v/>
      </c>
      <c r="AI199" s="17" t="str">
        <f>IF(NOT(ISBLANK(Audit[[#This Row],[Audit Candidate 5]])), Audit[[#This Row],[Audit Candidate 5]]-Audit[[#This Row],[Candidate 5]], "")</f>
        <v/>
      </c>
      <c r="AJ199" s="17" t="str">
        <f>IF(NOT(ISBLANK(Audit[[#This Row],[Audit Candidate 6]])), Audit[[#This Row],[Audit Candidate 6]]-Audit[[#This Row],[Candidate 6]], "")</f>
        <v/>
      </c>
      <c r="AK199" s="17" t="str">
        <f>IF(NOT(ISBLANK(Audit[[#This Row],[Audit Candidate 7]])), Audit[[#This Row],[Audit Candidate 7]]-Audit[[#This Row],[Candidate 7]], "")</f>
        <v/>
      </c>
      <c r="AL199" s="17" t="str">
        <f>IF(NOT(ISBLANK(Audit[[#This Row],[Audit Candidate 8]])), Audit[[#This Row],[Audit Candidate 8]]-Audit[[#This Row],[Candidate 8]], "")</f>
        <v/>
      </c>
      <c r="AM199" s="17" t="str">
        <f>IF(NOT(ISBLANK(Audit[[#This Row],[Audit Candidate 9]])), Audit[[#This Row],[Audit Candidate 9]]-Audit[[#This Row],[Candidate 9]], "")</f>
        <v/>
      </c>
      <c r="AN199" s="17" t="str">
        <f>IF(NOT(ISBLANK(Audit[[#This Row],[Audit Candidate 10]])), Audit[[#This Row],[Audit Candidate 10]]-Audit[[#This Row],[Candidate 10]], "")</f>
        <v/>
      </c>
      <c r="AO199" s="17" t="str">
        <f>IF(NOT(ISBLANK(Audit[[#This Row],[Audit Candidate 11]])), Audit[[#This Row],[Audit Candidate 11]]-Audit[[#This Row],[Candidate 11]], "")</f>
        <v/>
      </c>
      <c r="AP199" s="17" t="str">
        <f>IF(NOT(ISBLANK(Audit[[#This Row],[Audit Candidate 12]])), Audit[[#This Row],[Audit Candidate 12]]-Audit[[#This Row],[Candidate 12]], "")</f>
        <v/>
      </c>
      <c r="AQ199" s="17">
        <f>SUMIF(Audit[[#This Row],[Difference Winner]:[Difference Candidate 12]], "&gt;0")</f>
        <v>0</v>
      </c>
      <c r="AR199" s="17">
        <f>SUM(Audit[[#This Row],[Difference Winner]:[Difference Candidate 12]])</f>
        <v>0</v>
      </c>
      <c r="AS199" s="17">
        <f>IF(Audit[[#This Row],[Times p Drawn - With Replacement]]&gt;0, IF(Audit[[#This Row],[Canceled Differences]]&lt;0, Audit[[#This Row],[Max Differences]]+ABS(Audit[[#This Row],[Canceled Differences]]), Audit[[#This Row],[Max Differences]]), 0)</f>
        <v>0</v>
      </c>
      <c r="AT199" s="17">
        <f>'Sampling Data'!AB199</f>
        <v>2.3680190120522832E-2</v>
      </c>
      <c r="AU199" s="17">
        <f>IF(
      SUM(Audit[[#This Row],[Audit Losing Candidate]:[Audit Candidate 12]])
      &lt;&gt;0,
      (Audit[[#This Row],[Winning Candidate]]-Audit[[#This Row],[Losing Candidate]]-(Audit[[#This Row],[Audit Winning Candidate]]-Audit[[#This Row],[Audit Losing Candidate]]))/(Audit[[#Totals],[Winning Candidate]]-Audit[[#Totals],[Losing Candidate]]),
      0
)</f>
        <v>0</v>
      </c>
      <c r="AV1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9" s="17">
        <f>IF(Audit[[#This Row],[Max Relative Error (ep)]] = 0, 0, Audit[[#This Row],[Max Relative Error (ep)]]/Audit[[#This Row],[Error Bound (up) - Max. possible relative overstatement]])</f>
        <v>0</v>
      </c>
      <c r="BH1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99" s="17">
        <f t="shared" si="3"/>
        <v>0.94645908314247273</v>
      </c>
      <c r="BJ199" s="17">
        <f>PRODUCT($BI$5:BI199)</f>
        <v>0.64389454822022163</v>
      </c>
      <c r="BK199" s="19">
        <f>1 - Audit[[#This Row],[K-M P Value]]</f>
        <v>0.35610545177977837</v>
      </c>
      <c r="BL199" s="17" t="str">
        <f>IF(Audit[[#This Row],[K-M P Value]]&gt;1-'General Info'!$B$12,"Continue", "Stop")</f>
        <v>Continue</v>
      </c>
      <c r="BM199" s="22" t="b">
        <f>IF(Audit[[#This Row],[Status - Continue or stop audit]] = "Continue", TRUE, IF(BL198 = "Continue", TRUE, FALSE))</f>
        <v>1</v>
      </c>
      <c r="BN199" s="22"/>
    </row>
    <row r="200" spans="1:66" ht="15" hidden="1" customHeight="1" x14ac:dyDescent="0.35">
      <c r="A200" s="17" t="str">
        <f>'Sampling Data'!AI200</f>
        <v/>
      </c>
      <c r="B200" s="17" t="str">
        <f>'Sampling Data'!A200</f>
        <v>2831 BLUE 3-A   (AV)</v>
      </c>
      <c r="C200" s="17">
        <f>'Sampling Data'!B200</f>
        <v>238</v>
      </c>
      <c r="D200" s="17">
        <f>'Sampling Data'!C200</f>
        <v>161</v>
      </c>
      <c r="E200" s="18">
        <f>'Sampling Data'!D200</f>
        <v>0</v>
      </c>
      <c r="F200" s="18">
        <f>'Sampling Data'!E200</f>
        <v>0</v>
      </c>
      <c r="G200" s="18">
        <f>'Sampling Data'!F200</f>
        <v>0</v>
      </c>
      <c r="H200" s="18">
        <f>'Sampling Data'!G200</f>
        <v>0</v>
      </c>
      <c r="I200" s="18">
        <f>'Sampling Data'!H200</f>
        <v>0</v>
      </c>
      <c r="J200" s="18">
        <f>'Sampling Data'!I200</f>
        <v>0</v>
      </c>
      <c r="K200" s="18">
        <f>'Sampling Data'!J200</f>
        <v>0</v>
      </c>
      <c r="L200" s="18">
        <f>'Sampling Data'!K200</f>
        <v>0</v>
      </c>
      <c r="M200" s="18">
        <f>'Sampling Data'!L200</f>
        <v>0</v>
      </c>
      <c r="N200" s="18">
        <f>'Sampling Data'!M200</f>
        <v>0</v>
      </c>
      <c r="O200" s="17">
        <f>'Sampling Data'!N200</f>
        <v>0</v>
      </c>
      <c r="P200" s="17">
        <f>'Sampling Data'!O200</f>
        <v>22</v>
      </c>
      <c r="Q200" s="17">
        <f>'Sampling Data'!P200</f>
        <v>421</v>
      </c>
      <c r="R200" s="17">
        <f>'Sampling Data'!AJ200</f>
        <v>0</v>
      </c>
      <c r="S200" s="111"/>
      <c r="T200" s="111"/>
      <c r="U200" s="112"/>
      <c r="V200" s="112"/>
      <c r="W200" s="111"/>
      <c r="X200" s="111"/>
      <c r="Y200" s="111"/>
      <c r="Z200" s="111"/>
      <c r="AA200" s="14"/>
      <c r="AB200" s="14"/>
      <c r="AC200" s="14"/>
      <c r="AD200" s="14"/>
      <c r="AE200" s="113" t="str">
        <f>IF(NOT(ISBLANK(Audit[[#This Row],[Audit Winning Candidate]])), Audit[[#This Row],[Audit Winning Candidate]]-Audit[[#This Row],[Winning Candidate]], "")</f>
        <v/>
      </c>
      <c r="AF200" s="17" t="str">
        <f>IF(NOT(ISBLANK(Audit[[#This Row],[Audit Losing Candidate]])), Audit[[#This Row],[Audit Losing Candidate]]-Audit[[#This Row],[Losing Candidate]], "")</f>
        <v/>
      </c>
      <c r="AG200" s="17" t="str">
        <f>IF(NOT(ISBLANK(Audit[[#This Row],[Audit Candidate 3]])), Audit[[#This Row],[Audit Candidate 3]]-Audit[[#This Row],[Candidate 3]], "")</f>
        <v/>
      </c>
      <c r="AH200" s="17" t="str">
        <f>IF(NOT(ISBLANK(Audit[[#This Row],[Audit Candidate 4]])),Audit[[#This Row],[Audit Candidate 4]]-Audit[[#This Row],[Candidate 4]], "")</f>
        <v/>
      </c>
      <c r="AI200" s="17" t="str">
        <f>IF(NOT(ISBLANK(Audit[[#This Row],[Audit Candidate 5]])), Audit[[#This Row],[Audit Candidate 5]]-Audit[[#This Row],[Candidate 5]], "")</f>
        <v/>
      </c>
      <c r="AJ200" s="17" t="str">
        <f>IF(NOT(ISBLANK(Audit[[#This Row],[Audit Candidate 6]])), Audit[[#This Row],[Audit Candidate 6]]-Audit[[#This Row],[Candidate 6]], "")</f>
        <v/>
      </c>
      <c r="AK200" s="17" t="str">
        <f>IF(NOT(ISBLANK(Audit[[#This Row],[Audit Candidate 7]])), Audit[[#This Row],[Audit Candidate 7]]-Audit[[#This Row],[Candidate 7]], "")</f>
        <v/>
      </c>
      <c r="AL200" s="17" t="str">
        <f>IF(NOT(ISBLANK(Audit[[#This Row],[Audit Candidate 8]])), Audit[[#This Row],[Audit Candidate 8]]-Audit[[#This Row],[Candidate 8]], "")</f>
        <v/>
      </c>
      <c r="AM200" s="17" t="str">
        <f>IF(NOT(ISBLANK(Audit[[#This Row],[Audit Candidate 9]])), Audit[[#This Row],[Audit Candidate 9]]-Audit[[#This Row],[Candidate 9]], "")</f>
        <v/>
      </c>
      <c r="AN200" s="17" t="str">
        <f>IF(NOT(ISBLANK(Audit[[#This Row],[Audit Candidate 10]])), Audit[[#This Row],[Audit Candidate 10]]-Audit[[#This Row],[Candidate 10]], "")</f>
        <v/>
      </c>
      <c r="AO200" s="17" t="str">
        <f>IF(NOT(ISBLANK(Audit[[#This Row],[Audit Candidate 11]])), Audit[[#This Row],[Audit Candidate 11]]-Audit[[#This Row],[Candidate 11]], "")</f>
        <v/>
      </c>
      <c r="AP200" s="17" t="str">
        <f>IF(NOT(ISBLANK(Audit[[#This Row],[Audit Candidate 12]])), Audit[[#This Row],[Audit Candidate 12]]-Audit[[#This Row],[Candidate 12]], "")</f>
        <v/>
      </c>
      <c r="AQ200" s="17">
        <f>SUMIF(Audit[[#This Row],[Difference Winner]:[Difference Candidate 12]], "&gt;0")</f>
        <v>0</v>
      </c>
      <c r="AR200" s="17">
        <f>SUM(Audit[[#This Row],[Difference Winner]:[Difference Candidate 12]])</f>
        <v>0</v>
      </c>
      <c r="AS200" s="17">
        <f>IF(Audit[[#This Row],[Times p Drawn - With Replacement]]&gt;0, IF(Audit[[#This Row],[Canceled Differences]]&lt;0, Audit[[#This Row],[Max Differences]]+ABS(Audit[[#This Row],[Canceled Differences]]), Audit[[#This Row],[Max Differences]]), 0)</f>
        <v>0</v>
      </c>
      <c r="AT200" s="17">
        <f>'Sampling Data'!AB200</f>
        <v>2.1133933118316076E-2</v>
      </c>
      <c r="AU200" s="17">
        <f>IF(
      SUM(Audit[[#This Row],[Audit Losing Candidate]:[Audit Candidate 12]])
      &lt;&gt;0,
      (Audit[[#This Row],[Winning Candidate]]-Audit[[#This Row],[Losing Candidate]]-(Audit[[#This Row],[Audit Winning Candidate]]-Audit[[#This Row],[Audit Losing Candidate]]))/(Audit[[#Totals],[Winning Candidate]]-Audit[[#Totals],[Losing Candidate]]),
      0
)</f>
        <v>0</v>
      </c>
      <c r="AV2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0" s="17">
        <f>IF(Audit[[#This Row],[Max Relative Error (ep)]] = 0, 0, Audit[[#This Row],[Max Relative Error (ep)]]/Audit[[#This Row],[Error Bound (up) - Max. possible relative overstatement]])</f>
        <v>0</v>
      </c>
      <c r="BH2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00" s="17">
        <f t="shared" si="3"/>
        <v>1</v>
      </c>
      <c r="BJ200" s="17">
        <f>PRODUCT($BI$5:BI200)</f>
        <v>0.64389454822022163</v>
      </c>
      <c r="BK200" s="19">
        <f>1 - Audit[[#This Row],[K-M P Value]]</f>
        <v>0.35610545177977837</v>
      </c>
      <c r="BL200" s="17" t="str">
        <f>IF(Audit[[#This Row],[K-M P Value]]&gt;1-'General Info'!$B$12,"Continue", "Stop")</f>
        <v>Continue</v>
      </c>
      <c r="BM200" s="22" t="b">
        <f>IF(Audit[[#This Row],[Status - Continue or stop audit]] = "Continue", TRUE, IF(BL199 = "Continue", TRUE, FALSE))</f>
        <v>1</v>
      </c>
      <c r="BN200" s="22"/>
    </row>
    <row r="201" spans="1:66" ht="15" hidden="1" customHeight="1" x14ac:dyDescent="0.35">
      <c r="A201" s="17" t="str">
        <f>'Sampling Data'!AI201</f>
        <v/>
      </c>
      <c r="B201" s="17" t="str">
        <f>'Sampling Data'!A201</f>
        <v>2832 BLUE 3-B   (AV)</v>
      </c>
      <c r="C201" s="17">
        <f>'Sampling Data'!B201</f>
        <v>169</v>
      </c>
      <c r="D201" s="17">
        <f>'Sampling Data'!C201</f>
        <v>110</v>
      </c>
      <c r="E201" s="18">
        <f>'Sampling Data'!D201</f>
        <v>0</v>
      </c>
      <c r="F201" s="18">
        <f>'Sampling Data'!E201</f>
        <v>0</v>
      </c>
      <c r="G201" s="18">
        <f>'Sampling Data'!F201</f>
        <v>0</v>
      </c>
      <c r="H201" s="18">
        <f>'Sampling Data'!G201</f>
        <v>0</v>
      </c>
      <c r="I201" s="18">
        <f>'Sampling Data'!H201</f>
        <v>0</v>
      </c>
      <c r="J201" s="18">
        <f>'Sampling Data'!I201</f>
        <v>0</v>
      </c>
      <c r="K201" s="18">
        <f>'Sampling Data'!J201</f>
        <v>0</v>
      </c>
      <c r="L201" s="18">
        <f>'Sampling Data'!K201</f>
        <v>0</v>
      </c>
      <c r="M201" s="18">
        <f>'Sampling Data'!L201</f>
        <v>0</v>
      </c>
      <c r="N201" s="18">
        <f>'Sampling Data'!M201</f>
        <v>0</v>
      </c>
      <c r="O201" s="17">
        <f>'Sampling Data'!N201</f>
        <v>1</v>
      </c>
      <c r="P201" s="17">
        <f>'Sampling Data'!O201</f>
        <v>9</v>
      </c>
      <c r="Q201" s="17">
        <f>'Sampling Data'!P201</f>
        <v>289</v>
      </c>
      <c r="R201" s="17">
        <f>'Sampling Data'!AJ201</f>
        <v>0</v>
      </c>
      <c r="S201" s="111"/>
      <c r="T201" s="111"/>
      <c r="U201" s="112"/>
      <c r="V201" s="112"/>
      <c r="W201" s="111"/>
      <c r="X201" s="111"/>
      <c r="Y201" s="111"/>
      <c r="Z201" s="111"/>
      <c r="AA201" s="14"/>
      <c r="AB201" s="14"/>
      <c r="AC201" s="14"/>
      <c r="AD201" s="14"/>
      <c r="AE201" s="113" t="str">
        <f>IF(NOT(ISBLANK(Audit[[#This Row],[Audit Winning Candidate]])), Audit[[#This Row],[Audit Winning Candidate]]-Audit[[#This Row],[Winning Candidate]], "")</f>
        <v/>
      </c>
      <c r="AF201" s="17" t="str">
        <f>IF(NOT(ISBLANK(Audit[[#This Row],[Audit Losing Candidate]])), Audit[[#This Row],[Audit Losing Candidate]]-Audit[[#This Row],[Losing Candidate]], "")</f>
        <v/>
      </c>
      <c r="AG201" s="17" t="str">
        <f>IF(NOT(ISBLANK(Audit[[#This Row],[Audit Candidate 3]])), Audit[[#This Row],[Audit Candidate 3]]-Audit[[#This Row],[Candidate 3]], "")</f>
        <v/>
      </c>
      <c r="AH201" s="17" t="str">
        <f>IF(NOT(ISBLANK(Audit[[#This Row],[Audit Candidate 4]])),Audit[[#This Row],[Audit Candidate 4]]-Audit[[#This Row],[Candidate 4]], "")</f>
        <v/>
      </c>
      <c r="AI201" s="17" t="str">
        <f>IF(NOT(ISBLANK(Audit[[#This Row],[Audit Candidate 5]])), Audit[[#This Row],[Audit Candidate 5]]-Audit[[#This Row],[Candidate 5]], "")</f>
        <v/>
      </c>
      <c r="AJ201" s="17" t="str">
        <f>IF(NOT(ISBLANK(Audit[[#This Row],[Audit Candidate 6]])), Audit[[#This Row],[Audit Candidate 6]]-Audit[[#This Row],[Candidate 6]], "")</f>
        <v/>
      </c>
      <c r="AK201" s="17" t="str">
        <f>IF(NOT(ISBLANK(Audit[[#This Row],[Audit Candidate 7]])), Audit[[#This Row],[Audit Candidate 7]]-Audit[[#This Row],[Candidate 7]], "")</f>
        <v/>
      </c>
      <c r="AL201" s="17" t="str">
        <f>IF(NOT(ISBLANK(Audit[[#This Row],[Audit Candidate 8]])), Audit[[#This Row],[Audit Candidate 8]]-Audit[[#This Row],[Candidate 8]], "")</f>
        <v/>
      </c>
      <c r="AM201" s="17" t="str">
        <f>IF(NOT(ISBLANK(Audit[[#This Row],[Audit Candidate 9]])), Audit[[#This Row],[Audit Candidate 9]]-Audit[[#This Row],[Candidate 9]], "")</f>
        <v/>
      </c>
      <c r="AN201" s="17" t="str">
        <f>IF(NOT(ISBLANK(Audit[[#This Row],[Audit Candidate 10]])), Audit[[#This Row],[Audit Candidate 10]]-Audit[[#This Row],[Candidate 10]], "")</f>
        <v/>
      </c>
      <c r="AO201" s="17" t="str">
        <f>IF(NOT(ISBLANK(Audit[[#This Row],[Audit Candidate 11]])), Audit[[#This Row],[Audit Candidate 11]]-Audit[[#This Row],[Candidate 11]], "")</f>
        <v/>
      </c>
      <c r="AP201" s="17" t="str">
        <f>IF(NOT(ISBLANK(Audit[[#This Row],[Audit Candidate 12]])), Audit[[#This Row],[Audit Candidate 12]]-Audit[[#This Row],[Candidate 12]], "")</f>
        <v/>
      </c>
      <c r="AQ201" s="17">
        <f>SUMIF(Audit[[#This Row],[Difference Winner]:[Difference Candidate 12]], "&gt;0")</f>
        <v>0</v>
      </c>
      <c r="AR201" s="17">
        <f>SUM(Audit[[#This Row],[Difference Winner]:[Difference Candidate 12]])</f>
        <v>0</v>
      </c>
      <c r="AS201" s="17">
        <f>IF(Audit[[#This Row],[Times p Drawn - With Replacement]]&gt;0, IF(Audit[[#This Row],[Canceled Differences]]&lt;0, Audit[[#This Row],[Max Differences]]+ABS(Audit[[#This Row],[Canceled Differences]]), Audit[[#This Row],[Max Differences]]), 0)</f>
        <v>0</v>
      </c>
      <c r="AT201" s="17">
        <f>'Sampling Data'!AB201</f>
        <v>1.4768290612799185E-2</v>
      </c>
      <c r="AU201" s="17">
        <f>IF(
      SUM(Audit[[#This Row],[Audit Losing Candidate]:[Audit Candidate 12]])
      &lt;&gt;0,
      (Audit[[#This Row],[Winning Candidate]]-Audit[[#This Row],[Losing Candidate]]-(Audit[[#This Row],[Audit Winning Candidate]]-Audit[[#This Row],[Audit Losing Candidate]]))/(Audit[[#Totals],[Winning Candidate]]-Audit[[#Totals],[Losing Candidate]]),
      0
)</f>
        <v>0</v>
      </c>
      <c r="AV2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1" s="17">
        <f>IF(Audit[[#This Row],[Max Relative Error (ep)]] = 0, 0, Audit[[#This Row],[Max Relative Error (ep)]]/Audit[[#This Row],[Error Bound (up) - Max. possible relative overstatement]])</f>
        <v>0</v>
      </c>
      <c r="BH2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01" s="17">
        <f t="shared" si="3"/>
        <v>1</v>
      </c>
      <c r="BJ201" s="17">
        <f>PRODUCT($BI$5:BI201)</f>
        <v>0.64389454822022163</v>
      </c>
      <c r="BK201" s="19">
        <f>1 - Audit[[#This Row],[K-M P Value]]</f>
        <v>0.35610545177977837</v>
      </c>
      <c r="BL201" s="17" t="str">
        <f>IF(Audit[[#This Row],[K-M P Value]]&gt;1-'General Info'!$B$12,"Continue", "Stop")</f>
        <v>Continue</v>
      </c>
      <c r="BM201" s="22" t="b">
        <f>IF(Audit[[#This Row],[Status - Continue or stop audit]] = "Continue", TRUE, IF(BL200 = "Continue", TRUE, FALSE))</f>
        <v>1</v>
      </c>
      <c r="BN201" s="22"/>
    </row>
    <row r="202" spans="1:66" ht="15" hidden="1" customHeight="1" x14ac:dyDescent="0.35">
      <c r="A202" s="17" t="str">
        <f>'Sampling Data'!AI202</f>
        <v/>
      </c>
      <c r="B202" s="17" t="str">
        <f>'Sampling Data'!A202</f>
        <v>2841 BLUE 4-A   (AV)</v>
      </c>
      <c r="C202" s="17">
        <f>'Sampling Data'!B202</f>
        <v>152</v>
      </c>
      <c r="D202" s="17">
        <f>'Sampling Data'!C202</f>
        <v>84</v>
      </c>
      <c r="E202" s="18">
        <f>'Sampling Data'!D202</f>
        <v>0</v>
      </c>
      <c r="F202" s="18">
        <f>'Sampling Data'!E202</f>
        <v>0</v>
      </c>
      <c r="G202" s="18">
        <f>'Sampling Data'!F202</f>
        <v>0</v>
      </c>
      <c r="H202" s="18">
        <f>'Sampling Data'!G202</f>
        <v>0</v>
      </c>
      <c r="I202" s="18">
        <f>'Sampling Data'!H202</f>
        <v>0</v>
      </c>
      <c r="J202" s="18">
        <f>'Sampling Data'!I202</f>
        <v>0</v>
      </c>
      <c r="K202" s="18">
        <f>'Sampling Data'!J202</f>
        <v>0</v>
      </c>
      <c r="L202" s="18">
        <f>'Sampling Data'!K202</f>
        <v>0</v>
      </c>
      <c r="M202" s="18">
        <f>'Sampling Data'!L202</f>
        <v>0</v>
      </c>
      <c r="N202" s="18">
        <f>'Sampling Data'!M202</f>
        <v>0</v>
      </c>
      <c r="O202" s="17">
        <f>'Sampling Data'!N202</f>
        <v>0</v>
      </c>
      <c r="P202" s="17">
        <f>'Sampling Data'!O202</f>
        <v>14</v>
      </c>
      <c r="Q202" s="17">
        <f>'Sampling Data'!P202</f>
        <v>250</v>
      </c>
      <c r="R202" s="17">
        <f>'Sampling Data'!AJ202</f>
        <v>0</v>
      </c>
      <c r="S202" s="111"/>
      <c r="T202" s="111"/>
      <c r="U202" s="112"/>
      <c r="V202" s="112"/>
      <c r="W202" s="111"/>
      <c r="X202" s="111"/>
      <c r="Y202" s="111"/>
      <c r="Z202" s="111"/>
      <c r="AA202" s="14"/>
      <c r="AB202" s="14"/>
      <c r="AC202" s="14"/>
      <c r="AD202" s="14"/>
      <c r="AE202" s="113" t="str">
        <f>IF(NOT(ISBLANK(Audit[[#This Row],[Audit Winning Candidate]])), Audit[[#This Row],[Audit Winning Candidate]]-Audit[[#This Row],[Winning Candidate]], "")</f>
        <v/>
      </c>
      <c r="AF202" s="17" t="str">
        <f>IF(NOT(ISBLANK(Audit[[#This Row],[Audit Losing Candidate]])), Audit[[#This Row],[Audit Losing Candidate]]-Audit[[#This Row],[Losing Candidate]], "")</f>
        <v/>
      </c>
      <c r="AG202" s="17" t="str">
        <f>IF(NOT(ISBLANK(Audit[[#This Row],[Audit Candidate 3]])), Audit[[#This Row],[Audit Candidate 3]]-Audit[[#This Row],[Candidate 3]], "")</f>
        <v/>
      </c>
      <c r="AH202" s="17" t="str">
        <f>IF(NOT(ISBLANK(Audit[[#This Row],[Audit Candidate 4]])),Audit[[#This Row],[Audit Candidate 4]]-Audit[[#This Row],[Candidate 4]], "")</f>
        <v/>
      </c>
      <c r="AI202" s="17" t="str">
        <f>IF(NOT(ISBLANK(Audit[[#This Row],[Audit Candidate 5]])), Audit[[#This Row],[Audit Candidate 5]]-Audit[[#This Row],[Candidate 5]], "")</f>
        <v/>
      </c>
      <c r="AJ202" s="17" t="str">
        <f>IF(NOT(ISBLANK(Audit[[#This Row],[Audit Candidate 6]])), Audit[[#This Row],[Audit Candidate 6]]-Audit[[#This Row],[Candidate 6]], "")</f>
        <v/>
      </c>
      <c r="AK202" s="17" t="str">
        <f>IF(NOT(ISBLANK(Audit[[#This Row],[Audit Candidate 7]])), Audit[[#This Row],[Audit Candidate 7]]-Audit[[#This Row],[Candidate 7]], "")</f>
        <v/>
      </c>
      <c r="AL202" s="17" t="str">
        <f>IF(NOT(ISBLANK(Audit[[#This Row],[Audit Candidate 8]])), Audit[[#This Row],[Audit Candidate 8]]-Audit[[#This Row],[Candidate 8]], "")</f>
        <v/>
      </c>
      <c r="AM202" s="17" t="str">
        <f>IF(NOT(ISBLANK(Audit[[#This Row],[Audit Candidate 9]])), Audit[[#This Row],[Audit Candidate 9]]-Audit[[#This Row],[Candidate 9]], "")</f>
        <v/>
      </c>
      <c r="AN202" s="17" t="str">
        <f>IF(NOT(ISBLANK(Audit[[#This Row],[Audit Candidate 10]])), Audit[[#This Row],[Audit Candidate 10]]-Audit[[#This Row],[Candidate 10]], "")</f>
        <v/>
      </c>
      <c r="AO202" s="17" t="str">
        <f>IF(NOT(ISBLANK(Audit[[#This Row],[Audit Candidate 11]])), Audit[[#This Row],[Audit Candidate 11]]-Audit[[#This Row],[Candidate 11]], "")</f>
        <v/>
      </c>
      <c r="AP202" s="17" t="str">
        <f>IF(NOT(ISBLANK(Audit[[#This Row],[Audit Candidate 12]])), Audit[[#This Row],[Audit Candidate 12]]-Audit[[#This Row],[Candidate 12]], "")</f>
        <v/>
      </c>
      <c r="AQ202" s="17">
        <f>SUMIF(Audit[[#This Row],[Difference Winner]:[Difference Candidate 12]], "&gt;0")</f>
        <v>0</v>
      </c>
      <c r="AR202" s="17">
        <f>SUM(Audit[[#This Row],[Difference Winner]:[Difference Candidate 12]])</f>
        <v>0</v>
      </c>
      <c r="AS202" s="17">
        <f>IF(Audit[[#This Row],[Times p Drawn - With Replacement]]&gt;0, IF(Audit[[#This Row],[Canceled Differences]]&lt;0, Audit[[#This Row],[Max Differences]]+ABS(Audit[[#This Row],[Canceled Differences]]), Audit[[#This Row],[Max Differences]]), 0)</f>
        <v>0</v>
      </c>
      <c r="AT202" s="17">
        <f>'Sampling Data'!AB202</f>
        <v>1.3495162111695807E-2</v>
      </c>
      <c r="AU202" s="17">
        <f>IF(
      SUM(Audit[[#This Row],[Audit Losing Candidate]:[Audit Candidate 12]])
      &lt;&gt;0,
      (Audit[[#This Row],[Winning Candidate]]-Audit[[#This Row],[Losing Candidate]]-(Audit[[#This Row],[Audit Winning Candidate]]-Audit[[#This Row],[Audit Losing Candidate]]))/(Audit[[#Totals],[Winning Candidate]]-Audit[[#Totals],[Losing Candidate]]),
      0
)</f>
        <v>0</v>
      </c>
      <c r="AV2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2" s="17">
        <f>IF(Audit[[#This Row],[Max Relative Error (ep)]] = 0, 0, Audit[[#This Row],[Max Relative Error (ep)]]/Audit[[#This Row],[Error Bound (up) - Max. possible relative overstatement]])</f>
        <v>0</v>
      </c>
      <c r="BH2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02" s="17">
        <f t="shared" si="3"/>
        <v>1</v>
      </c>
      <c r="BJ202" s="17">
        <f>PRODUCT($BI$5:BI202)</f>
        <v>0.64389454822022163</v>
      </c>
      <c r="BK202" s="19">
        <f>1 - Audit[[#This Row],[K-M P Value]]</f>
        <v>0.35610545177977837</v>
      </c>
      <c r="BL202" s="17" t="str">
        <f>IF(Audit[[#This Row],[K-M P Value]]&gt;1-'General Info'!$B$12,"Continue", "Stop")</f>
        <v>Continue</v>
      </c>
      <c r="BM202" s="22" t="b">
        <f>IF(Audit[[#This Row],[Status - Continue or stop audit]] = "Continue", TRUE, IF(BL201 = "Continue", TRUE, FALSE))</f>
        <v>1</v>
      </c>
      <c r="BN202" s="22"/>
    </row>
    <row r="203" spans="1:66" ht="15" hidden="1" customHeight="1" x14ac:dyDescent="0.35">
      <c r="A203" s="17" t="str">
        <f>'Sampling Data'!AI203</f>
        <v/>
      </c>
      <c r="B203" s="17" t="str">
        <f>'Sampling Data'!A203</f>
        <v>2842 BLUE 4-B   (AV)</v>
      </c>
      <c r="C203" s="17">
        <f>'Sampling Data'!B203</f>
        <v>164</v>
      </c>
      <c r="D203" s="17">
        <f>'Sampling Data'!C203</f>
        <v>139</v>
      </c>
      <c r="E203" s="18">
        <f>'Sampling Data'!D203</f>
        <v>0</v>
      </c>
      <c r="F203" s="18">
        <f>'Sampling Data'!E203</f>
        <v>0</v>
      </c>
      <c r="G203" s="18">
        <f>'Sampling Data'!F203</f>
        <v>0</v>
      </c>
      <c r="H203" s="18">
        <f>'Sampling Data'!G203</f>
        <v>0</v>
      </c>
      <c r="I203" s="18">
        <f>'Sampling Data'!H203</f>
        <v>0</v>
      </c>
      <c r="J203" s="18">
        <f>'Sampling Data'!I203</f>
        <v>0</v>
      </c>
      <c r="K203" s="18">
        <f>'Sampling Data'!J203</f>
        <v>0</v>
      </c>
      <c r="L203" s="18">
        <f>'Sampling Data'!K203</f>
        <v>0</v>
      </c>
      <c r="M203" s="18">
        <f>'Sampling Data'!L203</f>
        <v>0</v>
      </c>
      <c r="N203" s="18">
        <f>'Sampling Data'!M203</f>
        <v>0</v>
      </c>
      <c r="O203" s="17">
        <f>'Sampling Data'!N203</f>
        <v>0</v>
      </c>
      <c r="P203" s="17">
        <f>'Sampling Data'!O203</f>
        <v>19</v>
      </c>
      <c r="Q203" s="17">
        <f>'Sampling Data'!P203</f>
        <v>322</v>
      </c>
      <c r="R203" s="17">
        <f>'Sampling Data'!AJ203</f>
        <v>0</v>
      </c>
      <c r="S203" s="111"/>
      <c r="T203" s="111"/>
      <c r="U203" s="112"/>
      <c r="V203" s="112"/>
      <c r="W203" s="111"/>
      <c r="X203" s="111"/>
      <c r="Y203" s="111"/>
      <c r="Z203" s="111"/>
      <c r="AA203" s="14"/>
      <c r="AB203" s="14"/>
      <c r="AC203" s="14"/>
      <c r="AD203" s="14"/>
      <c r="AE203" s="113" t="str">
        <f>IF(NOT(ISBLANK(Audit[[#This Row],[Audit Winning Candidate]])), Audit[[#This Row],[Audit Winning Candidate]]-Audit[[#This Row],[Winning Candidate]], "")</f>
        <v/>
      </c>
      <c r="AF203" s="17" t="str">
        <f>IF(NOT(ISBLANK(Audit[[#This Row],[Audit Losing Candidate]])), Audit[[#This Row],[Audit Losing Candidate]]-Audit[[#This Row],[Losing Candidate]], "")</f>
        <v/>
      </c>
      <c r="AG203" s="17" t="str">
        <f>IF(NOT(ISBLANK(Audit[[#This Row],[Audit Candidate 3]])), Audit[[#This Row],[Audit Candidate 3]]-Audit[[#This Row],[Candidate 3]], "")</f>
        <v/>
      </c>
      <c r="AH203" s="17" t="str">
        <f>IF(NOT(ISBLANK(Audit[[#This Row],[Audit Candidate 4]])),Audit[[#This Row],[Audit Candidate 4]]-Audit[[#This Row],[Candidate 4]], "")</f>
        <v/>
      </c>
      <c r="AI203" s="17" t="str">
        <f>IF(NOT(ISBLANK(Audit[[#This Row],[Audit Candidate 5]])), Audit[[#This Row],[Audit Candidate 5]]-Audit[[#This Row],[Candidate 5]], "")</f>
        <v/>
      </c>
      <c r="AJ203" s="17" t="str">
        <f>IF(NOT(ISBLANK(Audit[[#This Row],[Audit Candidate 6]])), Audit[[#This Row],[Audit Candidate 6]]-Audit[[#This Row],[Candidate 6]], "")</f>
        <v/>
      </c>
      <c r="AK203" s="17" t="str">
        <f>IF(NOT(ISBLANK(Audit[[#This Row],[Audit Candidate 7]])), Audit[[#This Row],[Audit Candidate 7]]-Audit[[#This Row],[Candidate 7]], "")</f>
        <v/>
      </c>
      <c r="AL203" s="17" t="str">
        <f>IF(NOT(ISBLANK(Audit[[#This Row],[Audit Candidate 8]])), Audit[[#This Row],[Audit Candidate 8]]-Audit[[#This Row],[Candidate 8]], "")</f>
        <v/>
      </c>
      <c r="AM203" s="17" t="str">
        <f>IF(NOT(ISBLANK(Audit[[#This Row],[Audit Candidate 9]])), Audit[[#This Row],[Audit Candidate 9]]-Audit[[#This Row],[Candidate 9]], "")</f>
        <v/>
      </c>
      <c r="AN203" s="17" t="str">
        <f>IF(NOT(ISBLANK(Audit[[#This Row],[Audit Candidate 10]])), Audit[[#This Row],[Audit Candidate 10]]-Audit[[#This Row],[Candidate 10]], "")</f>
        <v/>
      </c>
      <c r="AO203" s="17" t="str">
        <f>IF(NOT(ISBLANK(Audit[[#This Row],[Audit Candidate 11]])), Audit[[#This Row],[Audit Candidate 11]]-Audit[[#This Row],[Candidate 11]], "")</f>
        <v/>
      </c>
      <c r="AP203" s="17" t="str">
        <f>IF(NOT(ISBLANK(Audit[[#This Row],[Audit Candidate 12]])), Audit[[#This Row],[Audit Candidate 12]]-Audit[[#This Row],[Candidate 12]], "")</f>
        <v/>
      </c>
      <c r="AQ203" s="17">
        <f>SUMIF(Audit[[#This Row],[Difference Winner]:[Difference Candidate 12]], "&gt;0")</f>
        <v>0</v>
      </c>
      <c r="AR203" s="17">
        <f>SUM(Audit[[#This Row],[Difference Winner]:[Difference Candidate 12]])</f>
        <v>0</v>
      </c>
      <c r="AS203" s="17">
        <f>IF(Audit[[#This Row],[Times p Drawn - With Replacement]]&gt;0, IF(Audit[[#This Row],[Canceled Differences]]&lt;0, Audit[[#This Row],[Max Differences]]+ABS(Audit[[#This Row],[Canceled Differences]]), Audit[[#This Row],[Max Differences]]), 0)</f>
        <v>0</v>
      </c>
      <c r="AT203" s="17">
        <f>'Sampling Data'!AB203</f>
        <v>1.472585299609574E-2</v>
      </c>
      <c r="AU203" s="17">
        <f>IF(
      SUM(Audit[[#This Row],[Audit Losing Candidate]:[Audit Candidate 12]])
      &lt;&gt;0,
      (Audit[[#This Row],[Winning Candidate]]-Audit[[#This Row],[Losing Candidate]]-(Audit[[#This Row],[Audit Winning Candidate]]-Audit[[#This Row],[Audit Losing Candidate]]))/(Audit[[#Totals],[Winning Candidate]]-Audit[[#Totals],[Losing Candidate]]),
      0
)</f>
        <v>0</v>
      </c>
      <c r="AV2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3" s="17">
        <f>IF(Audit[[#This Row],[Max Relative Error (ep)]] = 0, 0, Audit[[#This Row],[Max Relative Error (ep)]]/Audit[[#This Row],[Error Bound (up) - Max. possible relative overstatement]])</f>
        <v>0</v>
      </c>
      <c r="BH2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03" s="17">
        <f t="shared" si="3"/>
        <v>1</v>
      </c>
      <c r="BJ203" s="17">
        <f>PRODUCT($BI$5:BI203)</f>
        <v>0.64389454822022163</v>
      </c>
      <c r="BK203" s="19">
        <f>1 - Audit[[#This Row],[K-M P Value]]</f>
        <v>0.35610545177977837</v>
      </c>
      <c r="BL203" s="17" t="str">
        <f>IF(Audit[[#This Row],[K-M P Value]]&gt;1-'General Info'!$B$12,"Continue", "Stop")</f>
        <v>Continue</v>
      </c>
      <c r="BM203" s="22" t="b">
        <f>IF(Audit[[#This Row],[Status - Continue or stop audit]] = "Continue", TRUE, IF(BL202 = "Continue", TRUE, FALSE))</f>
        <v>1</v>
      </c>
      <c r="BN203" s="22"/>
    </row>
    <row r="204" spans="1:66" ht="15" hidden="1" customHeight="1" x14ac:dyDescent="0.35">
      <c r="A204" s="17" t="str">
        <f>'Sampling Data'!AI204</f>
        <v/>
      </c>
      <c r="B204" s="17" t="str">
        <f>'Sampling Data'!A204</f>
        <v>2851 BLUE 5-A   (AV)</v>
      </c>
      <c r="C204" s="17">
        <f>'Sampling Data'!B204</f>
        <v>283</v>
      </c>
      <c r="D204" s="17">
        <f>'Sampling Data'!C204</f>
        <v>206</v>
      </c>
      <c r="E204" s="18">
        <f>'Sampling Data'!D204</f>
        <v>0</v>
      </c>
      <c r="F204" s="18">
        <f>'Sampling Data'!E204</f>
        <v>0</v>
      </c>
      <c r="G204" s="18">
        <f>'Sampling Data'!F204</f>
        <v>0</v>
      </c>
      <c r="H204" s="18">
        <f>'Sampling Data'!G204</f>
        <v>0</v>
      </c>
      <c r="I204" s="18">
        <f>'Sampling Data'!H204</f>
        <v>0</v>
      </c>
      <c r="J204" s="18">
        <f>'Sampling Data'!I204</f>
        <v>0</v>
      </c>
      <c r="K204" s="18">
        <f>'Sampling Data'!J204</f>
        <v>0</v>
      </c>
      <c r="L204" s="18">
        <f>'Sampling Data'!K204</f>
        <v>0</v>
      </c>
      <c r="M204" s="18">
        <f>'Sampling Data'!L204</f>
        <v>0</v>
      </c>
      <c r="N204" s="18">
        <f>'Sampling Data'!M204</f>
        <v>0</v>
      </c>
      <c r="O204" s="17">
        <f>'Sampling Data'!N204</f>
        <v>0</v>
      </c>
      <c r="P204" s="17">
        <f>'Sampling Data'!O204</f>
        <v>26</v>
      </c>
      <c r="Q204" s="17">
        <f>'Sampling Data'!P204</f>
        <v>515</v>
      </c>
      <c r="R204" s="17">
        <f>'Sampling Data'!AJ204</f>
        <v>0</v>
      </c>
      <c r="S204" s="111"/>
      <c r="T204" s="111"/>
      <c r="U204" s="112"/>
      <c r="V204" s="112"/>
      <c r="W204" s="111"/>
      <c r="X204" s="111"/>
      <c r="Y204" s="111"/>
      <c r="Z204" s="111"/>
      <c r="AA204" s="14"/>
      <c r="AB204" s="14"/>
      <c r="AC204" s="14"/>
      <c r="AD204" s="14"/>
      <c r="AE204" s="113" t="str">
        <f>IF(NOT(ISBLANK(Audit[[#This Row],[Audit Winning Candidate]])), Audit[[#This Row],[Audit Winning Candidate]]-Audit[[#This Row],[Winning Candidate]], "")</f>
        <v/>
      </c>
      <c r="AF204" s="17" t="str">
        <f>IF(NOT(ISBLANK(Audit[[#This Row],[Audit Losing Candidate]])), Audit[[#This Row],[Audit Losing Candidate]]-Audit[[#This Row],[Losing Candidate]], "")</f>
        <v/>
      </c>
      <c r="AG204" s="17" t="str">
        <f>IF(NOT(ISBLANK(Audit[[#This Row],[Audit Candidate 3]])), Audit[[#This Row],[Audit Candidate 3]]-Audit[[#This Row],[Candidate 3]], "")</f>
        <v/>
      </c>
      <c r="AH204" s="17" t="str">
        <f>IF(NOT(ISBLANK(Audit[[#This Row],[Audit Candidate 4]])),Audit[[#This Row],[Audit Candidate 4]]-Audit[[#This Row],[Candidate 4]], "")</f>
        <v/>
      </c>
      <c r="AI204" s="17" t="str">
        <f>IF(NOT(ISBLANK(Audit[[#This Row],[Audit Candidate 5]])), Audit[[#This Row],[Audit Candidate 5]]-Audit[[#This Row],[Candidate 5]], "")</f>
        <v/>
      </c>
      <c r="AJ204" s="17" t="str">
        <f>IF(NOT(ISBLANK(Audit[[#This Row],[Audit Candidate 6]])), Audit[[#This Row],[Audit Candidate 6]]-Audit[[#This Row],[Candidate 6]], "")</f>
        <v/>
      </c>
      <c r="AK204" s="17" t="str">
        <f>IF(NOT(ISBLANK(Audit[[#This Row],[Audit Candidate 7]])), Audit[[#This Row],[Audit Candidate 7]]-Audit[[#This Row],[Candidate 7]], "")</f>
        <v/>
      </c>
      <c r="AL204" s="17" t="str">
        <f>IF(NOT(ISBLANK(Audit[[#This Row],[Audit Candidate 8]])), Audit[[#This Row],[Audit Candidate 8]]-Audit[[#This Row],[Candidate 8]], "")</f>
        <v/>
      </c>
      <c r="AM204" s="17" t="str">
        <f>IF(NOT(ISBLANK(Audit[[#This Row],[Audit Candidate 9]])), Audit[[#This Row],[Audit Candidate 9]]-Audit[[#This Row],[Candidate 9]], "")</f>
        <v/>
      </c>
      <c r="AN204" s="17" t="str">
        <f>IF(NOT(ISBLANK(Audit[[#This Row],[Audit Candidate 10]])), Audit[[#This Row],[Audit Candidate 10]]-Audit[[#This Row],[Candidate 10]], "")</f>
        <v/>
      </c>
      <c r="AO204" s="17" t="str">
        <f>IF(NOT(ISBLANK(Audit[[#This Row],[Audit Candidate 11]])), Audit[[#This Row],[Audit Candidate 11]]-Audit[[#This Row],[Candidate 11]], "")</f>
        <v/>
      </c>
      <c r="AP204" s="17" t="str">
        <f>IF(NOT(ISBLANK(Audit[[#This Row],[Audit Candidate 12]])), Audit[[#This Row],[Audit Candidate 12]]-Audit[[#This Row],[Candidate 12]], "")</f>
        <v/>
      </c>
      <c r="AQ204" s="17">
        <f>SUMIF(Audit[[#This Row],[Difference Winner]:[Difference Candidate 12]], "&gt;0")</f>
        <v>0</v>
      </c>
      <c r="AR204" s="17">
        <f>SUM(Audit[[#This Row],[Difference Winner]:[Difference Candidate 12]])</f>
        <v>0</v>
      </c>
      <c r="AS204" s="17">
        <f>IF(Audit[[#This Row],[Times p Drawn - With Replacement]]&gt;0, IF(Audit[[#This Row],[Canceled Differences]]&lt;0, Audit[[#This Row],[Max Differences]]+ABS(Audit[[#This Row],[Canceled Differences]]), Audit[[#This Row],[Max Differences]]), 0)</f>
        <v>0</v>
      </c>
      <c r="AT204" s="17">
        <f>'Sampling Data'!AB204</f>
        <v>2.5123069088439993E-2</v>
      </c>
      <c r="AU204" s="17">
        <f>IF(
      SUM(Audit[[#This Row],[Audit Losing Candidate]:[Audit Candidate 12]])
      &lt;&gt;0,
      (Audit[[#This Row],[Winning Candidate]]-Audit[[#This Row],[Losing Candidate]]-(Audit[[#This Row],[Audit Winning Candidate]]-Audit[[#This Row],[Audit Losing Candidate]]))/(Audit[[#Totals],[Winning Candidate]]-Audit[[#Totals],[Losing Candidate]]),
      0
)</f>
        <v>0</v>
      </c>
      <c r="AV2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4" s="17">
        <f>IF(Audit[[#This Row],[Max Relative Error (ep)]] = 0, 0, Audit[[#This Row],[Max Relative Error (ep)]]/Audit[[#This Row],[Error Bound (up) - Max. possible relative overstatement]])</f>
        <v>0</v>
      </c>
      <c r="BH2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04" s="17">
        <f t="shared" si="3"/>
        <v>1</v>
      </c>
      <c r="BJ204" s="17">
        <f>PRODUCT($BI$5:BI204)</f>
        <v>0.64389454822022163</v>
      </c>
      <c r="BK204" s="19">
        <f>1 - Audit[[#This Row],[K-M P Value]]</f>
        <v>0.35610545177977837</v>
      </c>
      <c r="BL204" s="17" t="str">
        <f>IF(Audit[[#This Row],[K-M P Value]]&gt;1-'General Info'!$B$12,"Continue", "Stop")</f>
        <v>Continue</v>
      </c>
      <c r="BM204" s="22" t="b">
        <f>IF(Audit[[#This Row],[Status - Continue or stop audit]] = "Continue", TRUE, IF(BL203 = "Continue", TRUE, FALSE))</f>
        <v>1</v>
      </c>
      <c r="BN204" s="22"/>
    </row>
    <row r="205" spans="1:66" ht="15" hidden="1" customHeight="1" x14ac:dyDescent="0.35">
      <c r="A205" s="17" t="str">
        <f>'Sampling Data'!AI205</f>
        <v/>
      </c>
      <c r="B205" s="17" t="str">
        <f>'Sampling Data'!A205</f>
        <v>2852 BLUE 5-B   (AV)</v>
      </c>
      <c r="C205" s="17">
        <f>'Sampling Data'!B205</f>
        <v>192</v>
      </c>
      <c r="D205" s="17">
        <f>'Sampling Data'!C205</f>
        <v>129</v>
      </c>
      <c r="E205" s="18">
        <f>'Sampling Data'!D205</f>
        <v>0</v>
      </c>
      <c r="F205" s="18">
        <f>'Sampling Data'!E205</f>
        <v>0</v>
      </c>
      <c r="G205" s="18">
        <f>'Sampling Data'!F205</f>
        <v>0</v>
      </c>
      <c r="H205" s="18">
        <f>'Sampling Data'!G205</f>
        <v>0</v>
      </c>
      <c r="I205" s="18">
        <f>'Sampling Data'!H205</f>
        <v>0</v>
      </c>
      <c r="J205" s="18">
        <f>'Sampling Data'!I205</f>
        <v>0</v>
      </c>
      <c r="K205" s="18">
        <f>'Sampling Data'!J205</f>
        <v>0</v>
      </c>
      <c r="L205" s="18">
        <f>'Sampling Data'!K205</f>
        <v>0</v>
      </c>
      <c r="M205" s="18">
        <f>'Sampling Data'!L205</f>
        <v>0</v>
      </c>
      <c r="N205" s="18">
        <f>'Sampling Data'!M205</f>
        <v>0</v>
      </c>
      <c r="O205" s="17">
        <f>'Sampling Data'!N205</f>
        <v>0</v>
      </c>
      <c r="P205" s="17">
        <f>'Sampling Data'!O205</f>
        <v>15</v>
      </c>
      <c r="Q205" s="17">
        <f>'Sampling Data'!P205</f>
        <v>336</v>
      </c>
      <c r="R205" s="17">
        <f>'Sampling Data'!AJ205</f>
        <v>0</v>
      </c>
      <c r="S205" s="111"/>
      <c r="T205" s="111"/>
      <c r="U205" s="112"/>
      <c r="V205" s="112"/>
      <c r="W205" s="111"/>
      <c r="X205" s="111"/>
      <c r="Y205" s="111"/>
      <c r="Z205" s="111"/>
      <c r="AA205" s="14"/>
      <c r="AB205" s="14"/>
      <c r="AC205" s="14"/>
      <c r="AD205" s="14"/>
      <c r="AE205" s="113" t="str">
        <f>IF(NOT(ISBLANK(Audit[[#This Row],[Audit Winning Candidate]])), Audit[[#This Row],[Audit Winning Candidate]]-Audit[[#This Row],[Winning Candidate]], "")</f>
        <v/>
      </c>
      <c r="AF205" s="17" t="str">
        <f>IF(NOT(ISBLANK(Audit[[#This Row],[Audit Losing Candidate]])), Audit[[#This Row],[Audit Losing Candidate]]-Audit[[#This Row],[Losing Candidate]], "")</f>
        <v/>
      </c>
      <c r="AG205" s="17" t="str">
        <f>IF(NOT(ISBLANK(Audit[[#This Row],[Audit Candidate 3]])), Audit[[#This Row],[Audit Candidate 3]]-Audit[[#This Row],[Candidate 3]], "")</f>
        <v/>
      </c>
      <c r="AH205" s="17" t="str">
        <f>IF(NOT(ISBLANK(Audit[[#This Row],[Audit Candidate 4]])),Audit[[#This Row],[Audit Candidate 4]]-Audit[[#This Row],[Candidate 4]], "")</f>
        <v/>
      </c>
      <c r="AI205" s="17" t="str">
        <f>IF(NOT(ISBLANK(Audit[[#This Row],[Audit Candidate 5]])), Audit[[#This Row],[Audit Candidate 5]]-Audit[[#This Row],[Candidate 5]], "")</f>
        <v/>
      </c>
      <c r="AJ205" s="17" t="str">
        <f>IF(NOT(ISBLANK(Audit[[#This Row],[Audit Candidate 6]])), Audit[[#This Row],[Audit Candidate 6]]-Audit[[#This Row],[Candidate 6]], "")</f>
        <v/>
      </c>
      <c r="AK205" s="17" t="str">
        <f>IF(NOT(ISBLANK(Audit[[#This Row],[Audit Candidate 7]])), Audit[[#This Row],[Audit Candidate 7]]-Audit[[#This Row],[Candidate 7]], "")</f>
        <v/>
      </c>
      <c r="AL205" s="17" t="str">
        <f>IF(NOT(ISBLANK(Audit[[#This Row],[Audit Candidate 8]])), Audit[[#This Row],[Audit Candidate 8]]-Audit[[#This Row],[Candidate 8]], "")</f>
        <v/>
      </c>
      <c r="AM205" s="17" t="str">
        <f>IF(NOT(ISBLANK(Audit[[#This Row],[Audit Candidate 9]])), Audit[[#This Row],[Audit Candidate 9]]-Audit[[#This Row],[Candidate 9]], "")</f>
        <v/>
      </c>
      <c r="AN205" s="17" t="str">
        <f>IF(NOT(ISBLANK(Audit[[#This Row],[Audit Candidate 10]])), Audit[[#This Row],[Audit Candidate 10]]-Audit[[#This Row],[Candidate 10]], "")</f>
        <v/>
      </c>
      <c r="AO205" s="17" t="str">
        <f>IF(NOT(ISBLANK(Audit[[#This Row],[Audit Candidate 11]])), Audit[[#This Row],[Audit Candidate 11]]-Audit[[#This Row],[Candidate 11]], "")</f>
        <v/>
      </c>
      <c r="AP205" s="17" t="str">
        <f>IF(NOT(ISBLANK(Audit[[#This Row],[Audit Candidate 12]])), Audit[[#This Row],[Audit Candidate 12]]-Audit[[#This Row],[Candidate 12]], "")</f>
        <v/>
      </c>
      <c r="AQ205" s="17">
        <f>SUMIF(Audit[[#This Row],[Difference Winner]:[Difference Candidate 12]], "&gt;0")</f>
        <v>0</v>
      </c>
      <c r="AR205" s="17">
        <f>SUM(Audit[[#This Row],[Difference Winner]:[Difference Candidate 12]])</f>
        <v>0</v>
      </c>
      <c r="AS205" s="17">
        <f>IF(Audit[[#This Row],[Times p Drawn - With Replacement]]&gt;0, IF(Audit[[#This Row],[Canceled Differences]]&lt;0, Audit[[#This Row],[Max Differences]]+ABS(Audit[[#This Row],[Canceled Differences]]), Audit[[#This Row],[Max Differences]]), 0)</f>
        <v>0</v>
      </c>
      <c r="AT205" s="17">
        <f>'Sampling Data'!AB205</f>
        <v>1.6932609064674926E-2</v>
      </c>
      <c r="AU205" s="17">
        <f>IF(
      SUM(Audit[[#This Row],[Audit Losing Candidate]:[Audit Candidate 12]])
      &lt;&gt;0,
      (Audit[[#This Row],[Winning Candidate]]-Audit[[#This Row],[Losing Candidate]]-(Audit[[#This Row],[Audit Winning Candidate]]-Audit[[#This Row],[Audit Losing Candidate]]))/(Audit[[#Totals],[Winning Candidate]]-Audit[[#Totals],[Losing Candidate]]),
      0
)</f>
        <v>0</v>
      </c>
      <c r="AV2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5" s="17">
        <f>IF(Audit[[#This Row],[Max Relative Error (ep)]] = 0, 0, Audit[[#This Row],[Max Relative Error (ep)]]/Audit[[#This Row],[Error Bound (up) - Max. possible relative overstatement]])</f>
        <v>0</v>
      </c>
      <c r="BH2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05" s="17">
        <f t="shared" si="3"/>
        <v>1</v>
      </c>
      <c r="BJ205" s="17">
        <f>PRODUCT($BI$5:BI205)</f>
        <v>0.64389454822022163</v>
      </c>
      <c r="BK205" s="19">
        <f>1 - Audit[[#This Row],[K-M P Value]]</f>
        <v>0.35610545177977837</v>
      </c>
      <c r="BL205" s="17" t="str">
        <f>IF(Audit[[#This Row],[K-M P Value]]&gt;1-'General Info'!$B$12,"Continue", "Stop")</f>
        <v>Continue</v>
      </c>
      <c r="BM205" s="22" t="b">
        <f>IF(Audit[[#This Row],[Status - Continue or stop audit]] = "Continue", TRUE, IF(BL204 = "Continue", TRUE, FALSE))</f>
        <v>1</v>
      </c>
      <c r="BN205" s="22"/>
    </row>
    <row r="206" spans="1:66" ht="15" hidden="1" customHeight="1" x14ac:dyDescent="0.35">
      <c r="A206" s="17" t="str">
        <f>'Sampling Data'!AI206</f>
        <v/>
      </c>
      <c r="B206" s="17" t="str">
        <f>'Sampling Data'!A206</f>
        <v>2911 CHEV 1-A   (AV)</v>
      </c>
      <c r="C206" s="17">
        <f>'Sampling Data'!B206</f>
        <v>140</v>
      </c>
      <c r="D206" s="17">
        <f>'Sampling Data'!C206</f>
        <v>127</v>
      </c>
      <c r="E206" s="18">
        <f>'Sampling Data'!D206</f>
        <v>0</v>
      </c>
      <c r="F206" s="18">
        <f>'Sampling Data'!E206</f>
        <v>0</v>
      </c>
      <c r="G206" s="18">
        <f>'Sampling Data'!F206</f>
        <v>0</v>
      </c>
      <c r="H206" s="18">
        <f>'Sampling Data'!G206</f>
        <v>0</v>
      </c>
      <c r="I206" s="18">
        <f>'Sampling Data'!H206</f>
        <v>0</v>
      </c>
      <c r="J206" s="18">
        <f>'Sampling Data'!I206</f>
        <v>0</v>
      </c>
      <c r="K206" s="18">
        <f>'Sampling Data'!J206</f>
        <v>0</v>
      </c>
      <c r="L206" s="18">
        <f>'Sampling Data'!K206</f>
        <v>0</v>
      </c>
      <c r="M206" s="18">
        <f>'Sampling Data'!L206</f>
        <v>0</v>
      </c>
      <c r="N206" s="18">
        <f>'Sampling Data'!M206</f>
        <v>0</v>
      </c>
      <c r="O206" s="17">
        <f>'Sampling Data'!N206</f>
        <v>0</v>
      </c>
      <c r="P206" s="17">
        <f>'Sampling Data'!O206</f>
        <v>21</v>
      </c>
      <c r="Q206" s="17">
        <f>'Sampling Data'!P206</f>
        <v>288</v>
      </c>
      <c r="R206" s="17">
        <f>'Sampling Data'!AJ206</f>
        <v>0</v>
      </c>
      <c r="S206" s="111"/>
      <c r="T206" s="111"/>
      <c r="U206" s="112"/>
      <c r="V206" s="112"/>
      <c r="W206" s="111"/>
      <c r="X206" s="111"/>
      <c r="Y206" s="111"/>
      <c r="Z206" s="111"/>
      <c r="AA206" s="14"/>
      <c r="AB206" s="14"/>
      <c r="AC206" s="14"/>
      <c r="AD206" s="14"/>
      <c r="AE206" s="113" t="str">
        <f>IF(NOT(ISBLANK(Audit[[#This Row],[Audit Winning Candidate]])), Audit[[#This Row],[Audit Winning Candidate]]-Audit[[#This Row],[Winning Candidate]], "")</f>
        <v/>
      </c>
      <c r="AF206" s="17" t="str">
        <f>IF(NOT(ISBLANK(Audit[[#This Row],[Audit Losing Candidate]])), Audit[[#This Row],[Audit Losing Candidate]]-Audit[[#This Row],[Losing Candidate]], "")</f>
        <v/>
      </c>
      <c r="AG206" s="17" t="str">
        <f>IF(NOT(ISBLANK(Audit[[#This Row],[Audit Candidate 3]])), Audit[[#This Row],[Audit Candidate 3]]-Audit[[#This Row],[Candidate 3]], "")</f>
        <v/>
      </c>
      <c r="AH206" s="17" t="str">
        <f>IF(NOT(ISBLANK(Audit[[#This Row],[Audit Candidate 4]])),Audit[[#This Row],[Audit Candidate 4]]-Audit[[#This Row],[Candidate 4]], "")</f>
        <v/>
      </c>
      <c r="AI206" s="17" t="str">
        <f>IF(NOT(ISBLANK(Audit[[#This Row],[Audit Candidate 5]])), Audit[[#This Row],[Audit Candidate 5]]-Audit[[#This Row],[Candidate 5]], "")</f>
        <v/>
      </c>
      <c r="AJ206" s="17" t="str">
        <f>IF(NOT(ISBLANK(Audit[[#This Row],[Audit Candidate 6]])), Audit[[#This Row],[Audit Candidate 6]]-Audit[[#This Row],[Candidate 6]], "")</f>
        <v/>
      </c>
      <c r="AK206" s="17" t="str">
        <f>IF(NOT(ISBLANK(Audit[[#This Row],[Audit Candidate 7]])), Audit[[#This Row],[Audit Candidate 7]]-Audit[[#This Row],[Candidate 7]], "")</f>
        <v/>
      </c>
      <c r="AL206" s="17" t="str">
        <f>IF(NOT(ISBLANK(Audit[[#This Row],[Audit Candidate 8]])), Audit[[#This Row],[Audit Candidate 8]]-Audit[[#This Row],[Candidate 8]], "")</f>
        <v/>
      </c>
      <c r="AM206" s="17" t="str">
        <f>IF(NOT(ISBLANK(Audit[[#This Row],[Audit Candidate 9]])), Audit[[#This Row],[Audit Candidate 9]]-Audit[[#This Row],[Candidate 9]], "")</f>
        <v/>
      </c>
      <c r="AN206" s="17" t="str">
        <f>IF(NOT(ISBLANK(Audit[[#This Row],[Audit Candidate 10]])), Audit[[#This Row],[Audit Candidate 10]]-Audit[[#This Row],[Candidate 10]], "")</f>
        <v/>
      </c>
      <c r="AO206" s="17" t="str">
        <f>IF(NOT(ISBLANK(Audit[[#This Row],[Audit Candidate 11]])), Audit[[#This Row],[Audit Candidate 11]]-Audit[[#This Row],[Candidate 11]], "")</f>
        <v/>
      </c>
      <c r="AP206" s="17" t="str">
        <f>IF(NOT(ISBLANK(Audit[[#This Row],[Audit Candidate 12]])), Audit[[#This Row],[Audit Candidate 12]]-Audit[[#This Row],[Candidate 12]], "")</f>
        <v/>
      </c>
      <c r="AQ206" s="17">
        <f>SUMIF(Audit[[#This Row],[Difference Winner]:[Difference Candidate 12]], "&gt;0")</f>
        <v>0</v>
      </c>
      <c r="AR206" s="17">
        <f>SUM(Audit[[#This Row],[Difference Winner]:[Difference Candidate 12]])</f>
        <v>0</v>
      </c>
      <c r="AS206" s="17">
        <f>IF(Audit[[#This Row],[Times p Drawn - With Replacement]]&gt;0, IF(Audit[[#This Row],[Canceled Differences]]&lt;0, Audit[[#This Row],[Max Differences]]+ABS(Audit[[#This Row],[Canceled Differences]]), Audit[[#This Row],[Max Differences]]), 0)</f>
        <v>0</v>
      </c>
      <c r="AT206" s="17">
        <f>'Sampling Data'!AB206</f>
        <v>1.2773722627737226E-2</v>
      </c>
      <c r="AU206" s="17">
        <f>IF(
      SUM(Audit[[#This Row],[Audit Losing Candidate]:[Audit Candidate 12]])
      &lt;&gt;0,
      (Audit[[#This Row],[Winning Candidate]]-Audit[[#This Row],[Losing Candidate]]-(Audit[[#This Row],[Audit Winning Candidate]]-Audit[[#This Row],[Audit Losing Candidate]]))/(Audit[[#Totals],[Winning Candidate]]-Audit[[#Totals],[Losing Candidate]]),
      0
)</f>
        <v>0</v>
      </c>
      <c r="AV2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6" s="17">
        <f>IF(Audit[[#This Row],[Max Relative Error (ep)]] = 0, 0, Audit[[#This Row],[Max Relative Error (ep)]]/Audit[[#This Row],[Error Bound (up) - Max. possible relative overstatement]])</f>
        <v>0</v>
      </c>
      <c r="BH2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06" s="17">
        <f t="shared" si="3"/>
        <v>1</v>
      </c>
      <c r="BJ206" s="17">
        <f>PRODUCT($BI$5:BI206)</f>
        <v>0.64389454822022163</v>
      </c>
      <c r="BK206" s="19">
        <f>1 - Audit[[#This Row],[K-M P Value]]</f>
        <v>0.35610545177977837</v>
      </c>
      <c r="BL206" s="17" t="str">
        <f>IF(Audit[[#This Row],[K-M P Value]]&gt;1-'General Info'!$B$12,"Continue", "Stop")</f>
        <v>Continue</v>
      </c>
      <c r="BM206" s="22" t="b">
        <f>IF(Audit[[#This Row],[Status - Continue or stop audit]] = "Continue", TRUE, IF(BL205 = "Continue", TRUE, FALSE))</f>
        <v>1</v>
      </c>
      <c r="BN206" s="22"/>
    </row>
    <row r="207" spans="1:66" ht="15" hidden="1" customHeight="1" x14ac:dyDescent="0.35">
      <c r="A207" s="17" t="str">
        <f>'Sampling Data'!AI207</f>
        <v/>
      </c>
      <c r="B207" s="17" t="str">
        <f>'Sampling Data'!A207</f>
        <v>2921 CHEV 2-A   (AV)</v>
      </c>
      <c r="C207" s="17">
        <f>'Sampling Data'!B207</f>
        <v>145</v>
      </c>
      <c r="D207" s="17">
        <f>'Sampling Data'!C207</f>
        <v>126</v>
      </c>
      <c r="E207" s="18">
        <f>'Sampling Data'!D207</f>
        <v>0</v>
      </c>
      <c r="F207" s="18">
        <f>'Sampling Data'!E207</f>
        <v>0</v>
      </c>
      <c r="G207" s="18">
        <f>'Sampling Data'!F207</f>
        <v>0</v>
      </c>
      <c r="H207" s="18">
        <f>'Sampling Data'!G207</f>
        <v>0</v>
      </c>
      <c r="I207" s="18">
        <f>'Sampling Data'!H207</f>
        <v>0</v>
      </c>
      <c r="J207" s="18">
        <f>'Sampling Data'!I207</f>
        <v>0</v>
      </c>
      <c r="K207" s="18">
        <f>'Sampling Data'!J207</f>
        <v>0</v>
      </c>
      <c r="L207" s="18">
        <f>'Sampling Data'!K207</f>
        <v>0</v>
      </c>
      <c r="M207" s="18">
        <f>'Sampling Data'!L207</f>
        <v>0</v>
      </c>
      <c r="N207" s="18">
        <f>'Sampling Data'!M207</f>
        <v>0</v>
      </c>
      <c r="O207" s="17">
        <f>'Sampling Data'!N207</f>
        <v>0</v>
      </c>
      <c r="P207" s="17">
        <f>'Sampling Data'!O207</f>
        <v>3</v>
      </c>
      <c r="Q207" s="17">
        <f>'Sampling Data'!P207</f>
        <v>274</v>
      </c>
      <c r="R207" s="17">
        <f>'Sampling Data'!AJ207</f>
        <v>0</v>
      </c>
      <c r="S207" s="111"/>
      <c r="T207" s="111"/>
      <c r="U207" s="112"/>
      <c r="V207" s="112"/>
      <c r="W207" s="111"/>
      <c r="X207" s="111"/>
      <c r="Y207" s="111"/>
      <c r="Z207" s="111"/>
      <c r="AA207" s="14"/>
      <c r="AB207" s="14"/>
      <c r="AC207" s="14"/>
      <c r="AD207" s="14"/>
      <c r="AE207" s="113" t="str">
        <f>IF(NOT(ISBLANK(Audit[[#This Row],[Audit Winning Candidate]])), Audit[[#This Row],[Audit Winning Candidate]]-Audit[[#This Row],[Winning Candidate]], "")</f>
        <v/>
      </c>
      <c r="AF207" s="17" t="str">
        <f>IF(NOT(ISBLANK(Audit[[#This Row],[Audit Losing Candidate]])), Audit[[#This Row],[Audit Losing Candidate]]-Audit[[#This Row],[Losing Candidate]], "")</f>
        <v/>
      </c>
      <c r="AG207" s="17" t="str">
        <f>IF(NOT(ISBLANK(Audit[[#This Row],[Audit Candidate 3]])), Audit[[#This Row],[Audit Candidate 3]]-Audit[[#This Row],[Candidate 3]], "")</f>
        <v/>
      </c>
      <c r="AH207" s="17" t="str">
        <f>IF(NOT(ISBLANK(Audit[[#This Row],[Audit Candidate 4]])),Audit[[#This Row],[Audit Candidate 4]]-Audit[[#This Row],[Candidate 4]], "")</f>
        <v/>
      </c>
      <c r="AI207" s="17" t="str">
        <f>IF(NOT(ISBLANK(Audit[[#This Row],[Audit Candidate 5]])), Audit[[#This Row],[Audit Candidate 5]]-Audit[[#This Row],[Candidate 5]], "")</f>
        <v/>
      </c>
      <c r="AJ207" s="17" t="str">
        <f>IF(NOT(ISBLANK(Audit[[#This Row],[Audit Candidate 6]])), Audit[[#This Row],[Audit Candidate 6]]-Audit[[#This Row],[Candidate 6]], "")</f>
        <v/>
      </c>
      <c r="AK207" s="17" t="str">
        <f>IF(NOT(ISBLANK(Audit[[#This Row],[Audit Candidate 7]])), Audit[[#This Row],[Audit Candidate 7]]-Audit[[#This Row],[Candidate 7]], "")</f>
        <v/>
      </c>
      <c r="AL207" s="17" t="str">
        <f>IF(NOT(ISBLANK(Audit[[#This Row],[Audit Candidate 8]])), Audit[[#This Row],[Audit Candidate 8]]-Audit[[#This Row],[Candidate 8]], "")</f>
        <v/>
      </c>
      <c r="AM207" s="17" t="str">
        <f>IF(NOT(ISBLANK(Audit[[#This Row],[Audit Candidate 9]])), Audit[[#This Row],[Audit Candidate 9]]-Audit[[#This Row],[Candidate 9]], "")</f>
        <v/>
      </c>
      <c r="AN207" s="17" t="str">
        <f>IF(NOT(ISBLANK(Audit[[#This Row],[Audit Candidate 10]])), Audit[[#This Row],[Audit Candidate 10]]-Audit[[#This Row],[Candidate 10]], "")</f>
        <v/>
      </c>
      <c r="AO207" s="17" t="str">
        <f>IF(NOT(ISBLANK(Audit[[#This Row],[Audit Candidate 11]])), Audit[[#This Row],[Audit Candidate 11]]-Audit[[#This Row],[Candidate 11]], "")</f>
        <v/>
      </c>
      <c r="AP207" s="17" t="str">
        <f>IF(NOT(ISBLANK(Audit[[#This Row],[Audit Candidate 12]])), Audit[[#This Row],[Audit Candidate 12]]-Audit[[#This Row],[Candidate 12]], "")</f>
        <v/>
      </c>
      <c r="AQ207" s="17">
        <f>SUMIF(Audit[[#This Row],[Difference Winner]:[Difference Candidate 12]], "&gt;0")</f>
        <v>0</v>
      </c>
      <c r="AR207" s="17">
        <f>SUM(Audit[[#This Row],[Difference Winner]:[Difference Candidate 12]])</f>
        <v>0</v>
      </c>
      <c r="AS207" s="17">
        <f>IF(Audit[[#This Row],[Times p Drawn - With Replacement]]&gt;0, IF(Audit[[#This Row],[Canceled Differences]]&lt;0, Audit[[#This Row],[Max Differences]]+ABS(Audit[[#This Row],[Canceled Differences]]), Audit[[#This Row],[Max Differences]]), 0)</f>
        <v>0</v>
      </c>
      <c r="AT207" s="17">
        <f>'Sampling Data'!AB207</f>
        <v>1.2434221694109659E-2</v>
      </c>
      <c r="AU207" s="17">
        <f>IF(
      SUM(Audit[[#This Row],[Audit Losing Candidate]:[Audit Candidate 12]])
      &lt;&gt;0,
      (Audit[[#This Row],[Winning Candidate]]-Audit[[#This Row],[Losing Candidate]]-(Audit[[#This Row],[Audit Winning Candidate]]-Audit[[#This Row],[Audit Losing Candidate]]))/(Audit[[#Totals],[Winning Candidate]]-Audit[[#Totals],[Losing Candidate]]),
      0
)</f>
        <v>0</v>
      </c>
      <c r="AV2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7" s="17">
        <f>IF(Audit[[#This Row],[Max Relative Error (ep)]] = 0, 0, Audit[[#This Row],[Max Relative Error (ep)]]/Audit[[#This Row],[Error Bound (up) - Max. possible relative overstatement]])</f>
        <v>0</v>
      </c>
      <c r="BH2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07" s="17">
        <f t="shared" ref="BI207:BI270" si="4">IF(ISERR(POWER(BH207,R207)), 0, POWER(BH207,R207))</f>
        <v>1</v>
      </c>
      <c r="BJ207" s="17">
        <f>PRODUCT($BI$5:BI207)</f>
        <v>0.64389454822022163</v>
      </c>
      <c r="BK207" s="19">
        <f>1 - Audit[[#This Row],[K-M P Value]]</f>
        <v>0.35610545177977837</v>
      </c>
      <c r="BL207" s="17" t="str">
        <f>IF(Audit[[#This Row],[K-M P Value]]&gt;1-'General Info'!$B$12,"Continue", "Stop")</f>
        <v>Continue</v>
      </c>
      <c r="BM207" s="22" t="b">
        <f>IF(Audit[[#This Row],[Status - Continue or stop audit]] = "Continue", TRUE, IF(BL206 = "Continue", TRUE, FALSE))</f>
        <v>1</v>
      </c>
      <c r="BN207" s="22"/>
    </row>
    <row r="208" spans="1:66" ht="15" hidden="1" customHeight="1" x14ac:dyDescent="0.35">
      <c r="A208" s="17" t="str">
        <f>'Sampling Data'!AI208</f>
        <v/>
      </c>
      <c r="B208" s="17" t="str">
        <f>'Sampling Data'!A208</f>
        <v>2931 CHEV 3-A   (AV)</v>
      </c>
      <c r="C208" s="17">
        <f>'Sampling Data'!B208</f>
        <v>134</v>
      </c>
      <c r="D208" s="17">
        <f>'Sampling Data'!C208</f>
        <v>78</v>
      </c>
      <c r="E208" s="18">
        <f>'Sampling Data'!D208</f>
        <v>0</v>
      </c>
      <c r="F208" s="18">
        <f>'Sampling Data'!E208</f>
        <v>0</v>
      </c>
      <c r="G208" s="18">
        <f>'Sampling Data'!F208</f>
        <v>0</v>
      </c>
      <c r="H208" s="18">
        <f>'Sampling Data'!G208</f>
        <v>0</v>
      </c>
      <c r="I208" s="18">
        <f>'Sampling Data'!H208</f>
        <v>0</v>
      </c>
      <c r="J208" s="18">
        <f>'Sampling Data'!I208</f>
        <v>0</v>
      </c>
      <c r="K208" s="18">
        <f>'Sampling Data'!J208</f>
        <v>0</v>
      </c>
      <c r="L208" s="18">
        <f>'Sampling Data'!K208</f>
        <v>0</v>
      </c>
      <c r="M208" s="18">
        <f>'Sampling Data'!L208</f>
        <v>0</v>
      </c>
      <c r="N208" s="18">
        <f>'Sampling Data'!M208</f>
        <v>0</v>
      </c>
      <c r="O208" s="17">
        <f>'Sampling Data'!N208</f>
        <v>0</v>
      </c>
      <c r="P208" s="17">
        <f>'Sampling Data'!O208</f>
        <v>8</v>
      </c>
      <c r="Q208" s="17">
        <f>'Sampling Data'!P208</f>
        <v>220</v>
      </c>
      <c r="R208" s="17">
        <f>'Sampling Data'!AJ208</f>
        <v>0</v>
      </c>
      <c r="S208" s="111"/>
      <c r="T208" s="111"/>
      <c r="U208" s="112"/>
      <c r="V208" s="112"/>
      <c r="W208" s="111"/>
      <c r="X208" s="111"/>
      <c r="Y208" s="111"/>
      <c r="Z208" s="111"/>
      <c r="AA208" s="14"/>
      <c r="AB208" s="14"/>
      <c r="AC208" s="14"/>
      <c r="AD208" s="14"/>
      <c r="AE208" s="113" t="str">
        <f>IF(NOT(ISBLANK(Audit[[#This Row],[Audit Winning Candidate]])), Audit[[#This Row],[Audit Winning Candidate]]-Audit[[#This Row],[Winning Candidate]], "")</f>
        <v/>
      </c>
      <c r="AF208" s="17" t="str">
        <f>IF(NOT(ISBLANK(Audit[[#This Row],[Audit Losing Candidate]])), Audit[[#This Row],[Audit Losing Candidate]]-Audit[[#This Row],[Losing Candidate]], "")</f>
        <v/>
      </c>
      <c r="AG208" s="17" t="str">
        <f>IF(NOT(ISBLANK(Audit[[#This Row],[Audit Candidate 3]])), Audit[[#This Row],[Audit Candidate 3]]-Audit[[#This Row],[Candidate 3]], "")</f>
        <v/>
      </c>
      <c r="AH208" s="17" t="str">
        <f>IF(NOT(ISBLANK(Audit[[#This Row],[Audit Candidate 4]])),Audit[[#This Row],[Audit Candidate 4]]-Audit[[#This Row],[Candidate 4]], "")</f>
        <v/>
      </c>
      <c r="AI208" s="17" t="str">
        <f>IF(NOT(ISBLANK(Audit[[#This Row],[Audit Candidate 5]])), Audit[[#This Row],[Audit Candidate 5]]-Audit[[#This Row],[Candidate 5]], "")</f>
        <v/>
      </c>
      <c r="AJ208" s="17" t="str">
        <f>IF(NOT(ISBLANK(Audit[[#This Row],[Audit Candidate 6]])), Audit[[#This Row],[Audit Candidate 6]]-Audit[[#This Row],[Candidate 6]], "")</f>
        <v/>
      </c>
      <c r="AK208" s="17" t="str">
        <f>IF(NOT(ISBLANK(Audit[[#This Row],[Audit Candidate 7]])), Audit[[#This Row],[Audit Candidate 7]]-Audit[[#This Row],[Candidate 7]], "")</f>
        <v/>
      </c>
      <c r="AL208" s="17" t="str">
        <f>IF(NOT(ISBLANK(Audit[[#This Row],[Audit Candidate 8]])), Audit[[#This Row],[Audit Candidate 8]]-Audit[[#This Row],[Candidate 8]], "")</f>
        <v/>
      </c>
      <c r="AM208" s="17" t="str">
        <f>IF(NOT(ISBLANK(Audit[[#This Row],[Audit Candidate 9]])), Audit[[#This Row],[Audit Candidate 9]]-Audit[[#This Row],[Candidate 9]], "")</f>
        <v/>
      </c>
      <c r="AN208" s="17" t="str">
        <f>IF(NOT(ISBLANK(Audit[[#This Row],[Audit Candidate 10]])), Audit[[#This Row],[Audit Candidate 10]]-Audit[[#This Row],[Candidate 10]], "")</f>
        <v/>
      </c>
      <c r="AO208" s="17" t="str">
        <f>IF(NOT(ISBLANK(Audit[[#This Row],[Audit Candidate 11]])), Audit[[#This Row],[Audit Candidate 11]]-Audit[[#This Row],[Candidate 11]], "")</f>
        <v/>
      </c>
      <c r="AP208" s="17" t="str">
        <f>IF(NOT(ISBLANK(Audit[[#This Row],[Audit Candidate 12]])), Audit[[#This Row],[Audit Candidate 12]]-Audit[[#This Row],[Candidate 12]], "")</f>
        <v/>
      </c>
      <c r="AQ208" s="17">
        <f>SUMIF(Audit[[#This Row],[Difference Winner]:[Difference Candidate 12]], "&gt;0")</f>
        <v>0</v>
      </c>
      <c r="AR208" s="17">
        <f>SUM(Audit[[#This Row],[Difference Winner]:[Difference Candidate 12]])</f>
        <v>0</v>
      </c>
      <c r="AS208" s="17">
        <f>IF(Audit[[#This Row],[Times p Drawn - With Replacement]]&gt;0, IF(Audit[[#This Row],[Canceled Differences]]&lt;0, Audit[[#This Row],[Max Differences]]+ABS(Audit[[#This Row],[Canceled Differences]]), Audit[[#This Row],[Max Differences]]), 0)</f>
        <v>0</v>
      </c>
      <c r="AT208" s="17">
        <f>'Sampling Data'!AB208</f>
        <v>1.1712782210151079E-2</v>
      </c>
      <c r="AU208" s="17">
        <f>IF(
      SUM(Audit[[#This Row],[Audit Losing Candidate]:[Audit Candidate 12]])
      &lt;&gt;0,
      (Audit[[#This Row],[Winning Candidate]]-Audit[[#This Row],[Losing Candidate]]-(Audit[[#This Row],[Audit Winning Candidate]]-Audit[[#This Row],[Audit Losing Candidate]]))/(Audit[[#Totals],[Winning Candidate]]-Audit[[#Totals],[Losing Candidate]]),
      0
)</f>
        <v>0</v>
      </c>
      <c r="AV2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8" s="17">
        <f>IF(Audit[[#This Row],[Max Relative Error (ep)]] = 0, 0, Audit[[#This Row],[Max Relative Error (ep)]]/Audit[[#This Row],[Error Bound (up) - Max. possible relative overstatement]])</f>
        <v>0</v>
      </c>
      <c r="BH2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08" s="17">
        <f t="shared" si="4"/>
        <v>1</v>
      </c>
      <c r="BJ208" s="17">
        <f>PRODUCT($BI$5:BI208)</f>
        <v>0.64389454822022163</v>
      </c>
      <c r="BK208" s="19">
        <f>1 - Audit[[#This Row],[K-M P Value]]</f>
        <v>0.35610545177977837</v>
      </c>
      <c r="BL208" s="17" t="str">
        <f>IF(Audit[[#This Row],[K-M P Value]]&gt;1-'General Info'!$B$12,"Continue", "Stop")</f>
        <v>Continue</v>
      </c>
      <c r="BM208" s="22" t="b">
        <f>IF(Audit[[#This Row],[Status - Continue or stop audit]] = "Continue", TRUE, IF(BL207 = "Continue", TRUE, FALSE))</f>
        <v>1</v>
      </c>
      <c r="BN208" s="22"/>
    </row>
    <row r="209" spans="1:66" ht="15" hidden="1" customHeight="1" x14ac:dyDescent="0.35">
      <c r="A209" s="17" t="str">
        <f>'Sampling Data'!AI209</f>
        <v/>
      </c>
      <c r="B209" s="17" t="str">
        <f>'Sampling Data'!A209</f>
        <v>2941 CHEV 4-A   (AV)</v>
      </c>
      <c r="C209" s="17">
        <f>'Sampling Data'!B209</f>
        <v>175</v>
      </c>
      <c r="D209" s="17">
        <f>'Sampling Data'!C209</f>
        <v>116</v>
      </c>
      <c r="E209" s="18">
        <f>'Sampling Data'!D209</f>
        <v>0</v>
      </c>
      <c r="F209" s="18">
        <f>'Sampling Data'!E209</f>
        <v>0</v>
      </c>
      <c r="G209" s="18">
        <f>'Sampling Data'!F209</f>
        <v>0</v>
      </c>
      <c r="H209" s="18">
        <f>'Sampling Data'!G209</f>
        <v>0</v>
      </c>
      <c r="I209" s="18">
        <f>'Sampling Data'!H209</f>
        <v>0</v>
      </c>
      <c r="J209" s="18">
        <f>'Sampling Data'!I209</f>
        <v>0</v>
      </c>
      <c r="K209" s="18">
        <f>'Sampling Data'!J209</f>
        <v>0</v>
      </c>
      <c r="L209" s="18">
        <f>'Sampling Data'!K209</f>
        <v>0</v>
      </c>
      <c r="M209" s="18">
        <f>'Sampling Data'!L209</f>
        <v>0</v>
      </c>
      <c r="N209" s="18">
        <f>'Sampling Data'!M209</f>
        <v>0</v>
      </c>
      <c r="O209" s="17">
        <f>'Sampling Data'!N209</f>
        <v>0</v>
      </c>
      <c r="P209" s="17">
        <f>'Sampling Data'!O209</f>
        <v>11</v>
      </c>
      <c r="Q209" s="17">
        <f>'Sampling Data'!P209</f>
        <v>302</v>
      </c>
      <c r="R209" s="17">
        <f>'Sampling Data'!AJ209</f>
        <v>0</v>
      </c>
      <c r="S209" s="111"/>
      <c r="T209" s="111"/>
      <c r="U209" s="112"/>
      <c r="V209" s="112"/>
      <c r="W209" s="111"/>
      <c r="X209" s="111"/>
      <c r="Y209" s="111"/>
      <c r="Z209" s="111"/>
      <c r="AA209" s="14"/>
      <c r="AB209" s="14"/>
      <c r="AC209" s="14"/>
      <c r="AD209" s="14"/>
      <c r="AE209" s="113" t="str">
        <f>IF(NOT(ISBLANK(Audit[[#This Row],[Audit Winning Candidate]])), Audit[[#This Row],[Audit Winning Candidate]]-Audit[[#This Row],[Winning Candidate]], "")</f>
        <v/>
      </c>
      <c r="AF209" s="17" t="str">
        <f>IF(NOT(ISBLANK(Audit[[#This Row],[Audit Losing Candidate]])), Audit[[#This Row],[Audit Losing Candidate]]-Audit[[#This Row],[Losing Candidate]], "")</f>
        <v/>
      </c>
      <c r="AG209" s="17" t="str">
        <f>IF(NOT(ISBLANK(Audit[[#This Row],[Audit Candidate 3]])), Audit[[#This Row],[Audit Candidate 3]]-Audit[[#This Row],[Candidate 3]], "")</f>
        <v/>
      </c>
      <c r="AH209" s="17" t="str">
        <f>IF(NOT(ISBLANK(Audit[[#This Row],[Audit Candidate 4]])),Audit[[#This Row],[Audit Candidate 4]]-Audit[[#This Row],[Candidate 4]], "")</f>
        <v/>
      </c>
      <c r="AI209" s="17" t="str">
        <f>IF(NOT(ISBLANK(Audit[[#This Row],[Audit Candidate 5]])), Audit[[#This Row],[Audit Candidate 5]]-Audit[[#This Row],[Candidate 5]], "")</f>
        <v/>
      </c>
      <c r="AJ209" s="17" t="str">
        <f>IF(NOT(ISBLANK(Audit[[#This Row],[Audit Candidate 6]])), Audit[[#This Row],[Audit Candidate 6]]-Audit[[#This Row],[Candidate 6]], "")</f>
        <v/>
      </c>
      <c r="AK209" s="17" t="str">
        <f>IF(NOT(ISBLANK(Audit[[#This Row],[Audit Candidate 7]])), Audit[[#This Row],[Audit Candidate 7]]-Audit[[#This Row],[Candidate 7]], "")</f>
        <v/>
      </c>
      <c r="AL209" s="17" t="str">
        <f>IF(NOT(ISBLANK(Audit[[#This Row],[Audit Candidate 8]])), Audit[[#This Row],[Audit Candidate 8]]-Audit[[#This Row],[Candidate 8]], "")</f>
        <v/>
      </c>
      <c r="AM209" s="17" t="str">
        <f>IF(NOT(ISBLANK(Audit[[#This Row],[Audit Candidate 9]])), Audit[[#This Row],[Audit Candidate 9]]-Audit[[#This Row],[Candidate 9]], "")</f>
        <v/>
      </c>
      <c r="AN209" s="17" t="str">
        <f>IF(NOT(ISBLANK(Audit[[#This Row],[Audit Candidate 10]])), Audit[[#This Row],[Audit Candidate 10]]-Audit[[#This Row],[Candidate 10]], "")</f>
        <v/>
      </c>
      <c r="AO209" s="17" t="str">
        <f>IF(NOT(ISBLANK(Audit[[#This Row],[Audit Candidate 11]])), Audit[[#This Row],[Audit Candidate 11]]-Audit[[#This Row],[Candidate 11]], "")</f>
        <v/>
      </c>
      <c r="AP209" s="17" t="str">
        <f>IF(NOT(ISBLANK(Audit[[#This Row],[Audit Candidate 12]])), Audit[[#This Row],[Audit Candidate 12]]-Audit[[#This Row],[Candidate 12]], "")</f>
        <v/>
      </c>
      <c r="AQ209" s="17">
        <f>SUMIF(Audit[[#This Row],[Difference Winner]:[Difference Candidate 12]], "&gt;0")</f>
        <v>0</v>
      </c>
      <c r="AR209" s="17">
        <f>SUM(Audit[[#This Row],[Difference Winner]:[Difference Candidate 12]])</f>
        <v>0</v>
      </c>
      <c r="AS209" s="17">
        <f>IF(Audit[[#This Row],[Times p Drawn - With Replacement]]&gt;0, IF(Audit[[#This Row],[Canceled Differences]]&lt;0, Audit[[#This Row],[Max Differences]]+ABS(Audit[[#This Row],[Canceled Differences]]), Audit[[#This Row],[Max Differences]]), 0)</f>
        <v>0</v>
      </c>
      <c r="AT209" s="17">
        <f>'Sampling Data'!AB209</f>
        <v>1.5319979629943982E-2</v>
      </c>
      <c r="AU209" s="17">
        <f>IF(
      SUM(Audit[[#This Row],[Audit Losing Candidate]:[Audit Candidate 12]])
      &lt;&gt;0,
      (Audit[[#This Row],[Winning Candidate]]-Audit[[#This Row],[Losing Candidate]]-(Audit[[#This Row],[Audit Winning Candidate]]-Audit[[#This Row],[Audit Losing Candidate]]))/(Audit[[#Totals],[Winning Candidate]]-Audit[[#Totals],[Losing Candidate]]),
      0
)</f>
        <v>0</v>
      </c>
      <c r="AV2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9" s="17">
        <f>IF(Audit[[#This Row],[Max Relative Error (ep)]] = 0, 0, Audit[[#This Row],[Max Relative Error (ep)]]/Audit[[#This Row],[Error Bound (up) - Max. possible relative overstatement]])</f>
        <v>0</v>
      </c>
      <c r="BH2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09" s="17">
        <f t="shared" si="4"/>
        <v>1</v>
      </c>
      <c r="BJ209" s="17">
        <f>PRODUCT($BI$5:BI209)</f>
        <v>0.64389454822022163</v>
      </c>
      <c r="BK209" s="19">
        <f>1 - Audit[[#This Row],[K-M P Value]]</f>
        <v>0.35610545177977837</v>
      </c>
      <c r="BL209" s="17" t="str">
        <f>IF(Audit[[#This Row],[K-M P Value]]&gt;1-'General Info'!$B$12,"Continue", "Stop")</f>
        <v>Continue</v>
      </c>
      <c r="BM209" s="22" t="b">
        <f>IF(Audit[[#This Row],[Status - Continue or stop audit]] = "Continue", TRUE, IF(BL208 = "Continue", TRUE, FALSE))</f>
        <v>1</v>
      </c>
      <c r="BN209" s="22"/>
    </row>
    <row r="210" spans="1:66" ht="15" hidden="1" customHeight="1" x14ac:dyDescent="0.35">
      <c r="A210" s="17" t="str">
        <f>'Sampling Data'!AI210</f>
        <v/>
      </c>
      <c r="B210" s="17" t="str">
        <f>'Sampling Data'!A210</f>
        <v>3111 DR PK 1-A   (AV)</v>
      </c>
      <c r="C210" s="17">
        <f>'Sampling Data'!B210</f>
        <v>169</v>
      </c>
      <c r="D210" s="17">
        <f>'Sampling Data'!C210</f>
        <v>96</v>
      </c>
      <c r="E210" s="18">
        <f>'Sampling Data'!D210</f>
        <v>0</v>
      </c>
      <c r="F210" s="18">
        <f>'Sampling Data'!E210</f>
        <v>0</v>
      </c>
      <c r="G210" s="18">
        <f>'Sampling Data'!F210</f>
        <v>0</v>
      </c>
      <c r="H210" s="18">
        <f>'Sampling Data'!G210</f>
        <v>0</v>
      </c>
      <c r="I210" s="18">
        <f>'Sampling Data'!H210</f>
        <v>0</v>
      </c>
      <c r="J210" s="18">
        <f>'Sampling Data'!I210</f>
        <v>0</v>
      </c>
      <c r="K210" s="18">
        <f>'Sampling Data'!J210</f>
        <v>0</v>
      </c>
      <c r="L210" s="18">
        <f>'Sampling Data'!K210</f>
        <v>0</v>
      </c>
      <c r="M210" s="18">
        <f>'Sampling Data'!L210</f>
        <v>0</v>
      </c>
      <c r="N210" s="18">
        <f>'Sampling Data'!M210</f>
        <v>0</v>
      </c>
      <c r="O210" s="17">
        <f>'Sampling Data'!N210</f>
        <v>0</v>
      </c>
      <c r="P210" s="17">
        <f>'Sampling Data'!O210</f>
        <v>11</v>
      </c>
      <c r="Q210" s="17">
        <f>'Sampling Data'!P210</f>
        <v>276</v>
      </c>
      <c r="R210" s="17">
        <f>'Sampling Data'!AJ210</f>
        <v>0</v>
      </c>
      <c r="S210" s="111"/>
      <c r="T210" s="111"/>
      <c r="U210" s="112"/>
      <c r="V210" s="112"/>
      <c r="W210" s="111"/>
      <c r="X210" s="111"/>
      <c r="Y210" s="111"/>
      <c r="Z210" s="111"/>
      <c r="AA210" s="14"/>
      <c r="AB210" s="14"/>
      <c r="AC210" s="14"/>
      <c r="AD210" s="14"/>
      <c r="AE210" s="113" t="str">
        <f>IF(NOT(ISBLANK(Audit[[#This Row],[Audit Winning Candidate]])), Audit[[#This Row],[Audit Winning Candidate]]-Audit[[#This Row],[Winning Candidate]], "")</f>
        <v/>
      </c>
      <c r="AF210" s="17" t="str">
        <f>IF(NOT(ISBLANK(Audit[[#This Row],[Audit Losing Candidate]])), Audit[[#This Row],[Audit Losing Candidate]]-Audit[[#This Row],[Losing Candidate]], "")</f>
        <v/>
      </c>
      <c r="AG210" s="17" t="str">
        <f>IF(NOT(ISBLANK(Audit[[#This Row],[Audit Candidate 3]])), Audit[[#This Row],[Audit Candidate 3]]-Audit[[#This Row],[Candidate 3]], "")</f>
        <v/>
      </c>
      <c r="AH210" s="17" t="str">
        <f>IF(NOT(ISBLANK(Audit[[#This Row],[Audit Candidate 4]])),Audit[[#This Row],[Audit Candidate 4]]-Audit[[#This Row],[Candidate 4]], "")</f>
        <v/>
      </c>
      <c r="AI210" s="17" t="str">
        <f>IF(NOT(ISBLANK(Audit[[#This Row],[Audit Candidate 5]])), Audit[[#This Row],[Audit Candidate 5]]-Audit[[#This Row],[Candidate 5]], "")</f>
        <v/>
      </c>
      <c r="AJ210" s="17" t="str">
        <f>IF(NOT(ISBLANK(Audit[[#This Row],[Audit Candidate 6]])), Audit[[#This Row],[Audit Candidate 6]]-Audit[[#This Row],[Candidate 6]], "")</f>
        <v/>
      </c>
      <c r="AK210" s="17" t="str">
        <f>IF(NOT(ISBLANK(Audit[[#This Row],[Audit Candidate 7]])), Audit[[#This Row],[Audit Candidate 7]]-Audit[[#This Row],[Candidate 7]], "")</f>
        <v/>
      </c>
      <c r="AL210" s="17" t="str">
        <f>IF(NOT(ISBLANK(Audit[[#This Row],[Audit Candidate 8]])), Audit[[#This Row],[Audit Candidate 8]]-Audit[[#This Row],[Candidate 8]], "")</f>
        <v/>
      </c>
      <c r="AM210" s="17" t="str">
        <f>IF(NOT(ISBLANK(Audit[[#This Row],[Audit Candidate 9]])), Audit[[#This Row],[Audit Candidate 9]]-Audit[[#This Row],[Candidate 9]], "")</f>
        <v/>
      </c>
      <c r="AN210" s="17" t="str">
        <f>IF(NOT(ISBLANK(Audit[[#This Row],[Audit Candidate 10]])), Audit[[#This Row],[Audit Candidate 10]]-Audit[[#This Row],[Candidate 10]], "")</f>
        <v/>
      </c>
      <c r="AO210" s="17" t="str">
        <f>IF(NOT(ISBLANK(Audit[[#This Row],[Audit Candidate 11]])), Audit[[#This Row],[Audit Candidate 11]]-Audit[[#This Row],[Candidate 11]], "")</f>
        <v/>
      </c>
      <c r="AP210" s="17" t="str">
        <f>IF(NOT(ISBLANK(Audit[[#This Row],[Audit Candidate 12]])), Audit[[#This Row],[Audit Candidate 12]]-Audit[[#This Row],[Candidate 12]], "")</f>
        <v/>
      </c>
      <c r="AQ210" s="17">
        <f>SUMIF(Audit[[#This Row],[Difference Winner]:[Difference Candidate 12]], "&gt;0")</f>
        <v>0</v>
      </c>
      <c r="AR210" s="17">
        <f>SUM(Audit[[#This Row],[Difference Winner]:[Difference Candidate 12]])</f>
        <v>0</v>
      </c>
      <c r="AS210" s="17">
        <f>IF(Audit[[#This Row],[Times p Drawn - With Replacement]]&gt;0, IF(Audit[[#This Row],[Canceled Differences]]&lt;0, Audit[[#This Row],[Max Differences]]+ABS(Audit[[#This Row],[Canceled Differences]]), Audit[[#This Row],[Max Differences]]), 0)</f>
        <v>0</v>
      </c>
      <c r="AT210" s="17">
        <f>'Sampling Data'!AB210</f>
        <v>1.4810728229502631E-2</v>
      </c>
      <c r="AU210" s="17">
        <f>IF(
      SUM(Audit[[#This Row],[Audit Losing Candidate]:[Audit Candidate 12]])
      &lt;&gt;0,
      (Audit[[#This Row],[Winning Candidate]]-Audit[[#This Row],[Losing Candidate]]-(Audit[[#This Row],[Audit Winning Candidate]]-Audit[[#This Row],[Audit Losing Candidate]]))/(Audit[[#Totals],[Winning Candidate]]-Audit[[#Totals],[Losing Candidate]]),
      0
)</f>
        <v>0</v>
      </c>
      <c r="AV2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0" s="17">
        <f>IF(Audit[[#This Row],[Max Relative Error (ep)]] = 0, 0, Audit[[#This Row],[Max Relative Error (ep)]]/Audit[[#This Row],[Error Bound (up) - Max. possible relative overstatement]])</f>
        <v>0</v>
      </c>
      <c r="BH2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10" s="17">
        <f t="shared" si="4"/>
        <v>1</v>
      </c>
      <c r="BJ210" s="17">
        <f>PRODUCT($BI$5:BI210)</f>
        <v>0.64389454822022163</v>
      </c>
      <c r="BK210" s="19">
        <f>1 - Audit[[#This Row],[K-M P Value]]</f>
        <v>0.35610545177977837</v>
      </c>
      <c r="BL210" s="17" t="str">
        <f>IF(Audit[[#This Row],[K-M P Value]]&gt;1-'General Info'!$B$12,"Continue", "Stop")</f>
        <v>Continue</v>
      </c>
      <c r="BM210" s="22" t="b">
        <f>IF(Audit[[#This Row],[Status - Continue or stop audit]] = "Continue", TRUE, IF(BL209 = "Continue", TRUE, FALSE))</f>
        <v>1</v>
      </c>
      <c r="BN210" s="22"/>
    </row>
    <row r="211" spans="1:66" ht="15" hidden="1" customHeight="1" x14ac:dyDescent="0.35">
      <c r="A211" s="17" t="str">
        <f>'Sampling Data'!AI211</f>
        <v/>
      </c>
      <c r="B211" s="17" t="str">
        <f>'Sampling Data'!A211</f>
        <v>3121 DR PK 2-A   (AV)</v>
      </c>
      <c r="C211" s="17">
        <f>'Sampling Data'!B211</f>
        <v>130</v>
      </c>
      <c r="D211" s="17">
        <f>'Sampling Data'!C211</f>
        <v>127</v>
      </c>
      <c r="E211" s="18">
        <f>'Sampling Data'!D211</f>
        <v>0</v>
      </c>
      <c r="F211" s="18">
        <f>'Sampling Data'!E211</f>
        <v>0</v>
      </c>
      <c r="G211" s="18">
        <f>'Sampling Data'!F211</f>
        <v>0</v>
      </c>
      <c r="H211" s="18">
        <f>'Sampling Data'!G211</f>
        <v>0</v>
      </c>
      <c r="I211" s="18">
        <f>'Sampling Data'!H211</f>
        <v>0</v>
      </c>
      <c r="J211" s="18">
        <f>'Sampling Data'!I211</f>
        <v>0</v>
      </c>
      <c r="K211" s="18">
        <f>'Sampling Data'!J211</f>
        <v>0</v>
      </c>
      <c r="L211" s="18">
        <f>'Sampling Data'!K211</f>
        <v>0</v>
      </c>
      <c r="M211" s="18">
        <f>'Sampling Data'!L211</f>
        <v>0</v>
      </c>
      <c r="N211" s="18">
        <f>'Sampling Data'!M211</f>
        <v>0</v>
      </c>
      <c r="O211" s="17">
        <f>'Sampling Data'!N211</f>
        <v>0</v>
      </c>
      <c r="P211" s="17">
        <f>'Sampling Data'!O211</f>
        <v>17</v>
      </c>
      <c r="Q211" s="17">
        <f>'Sampling Data'!P211</f>
        <v>274</v>
      </c>
      <c r="R211" s="17">
        <f>'Sampling Data'!AJ211</f>
        <v>0</v>
      </c>
      <c r="S211" s="111"/>
      <c r="T211" s="111"/>
      <c r="U211" s="112"/>
      <c r="V211" s="112"/>
      <c r="W211" s="111"/>
      <c r="X211" s="111"/>
      <c r="Y211" s="111"/>
      <c r="Z211" s="111"/>
      <c r="AA211" s="14"/>
      <c r="AB211" s="14"/>
      <c r="AC211" s="14"/>
      <c r="AD211" s="14"/>
      <c r="AE211" s="113" t="str">
        <f>IF(NOT(ISBLANK(Audit[[#This Row],[Audit Winning Candidate]])), Audit[[#This Row],[Audit Winning Candidate]]-Audit[[#This Row],[Winning Candidate]], "")</f>
        <v/>
      </c>
      <c r="AF211" s="17" t="str">
        <f>IF(NOT(ISBLANK(Audit[[#This Row],[Audit Losing Candidate]])), Audit[[#This Row],[Audit Losing Candidate]]-Audit[[#This Row],[Losing Candidate]], "")</f>
        <v/>
      </c>
      <c r="AG211" s="17" t="str">
        <f>IF(NOT(ISBLANK(Audit[[#This Row],[Audit Candidate 3]])), Audit[[#This Row],[Audit Candidate 3]]-Audit[[#This Row],[Candidate 3]], "")</f>
        <v/>
      </c>
      <c r="AH211" s="17" t="str">
        <f>IF(NOT(ISBLANK(Audit[[#This Row],[Audit Candidate 4]])),Audit[[#This Row],[Audit Candidate 4]]-Audit[[#This Row],[Candidate 4]], "")</f>
        <v/>
      </c>
      <c r="AI211" s="17" t="str">
        <f>IF(NOT(ISBLANK(Audit[[#This Row],[Audit Candidate 5]])), Audit[[#This Row],[Audit Candidate 5]]-Audit[[#This Row],[Candidate 5]], "")</f>
        <v/>
      </c>
      <c r="AJ211" s="17" t="str">
        <f>IF(NOT(ISBLANK(Audit[[#This Row],[Audit Candidate 6]])), Audit[[#This Row],[Audit Candidate 6]]-Audit[[#This Row],[Candidate 6]], "")</f>
        <v/>
      </c>
      <c r="AK211" s="17" t="str">
        <f>IF(NOT(ISBLANK(Audit[[#This Row],[Audit Candidate 7]])), Audit[[#This Row],[Audit Candidate 7]]-Audit[[#This Row],[Candidate 7]], "")</f>
        <v/>
      </c>
      <c r="AL211" s="17" t="str">
        <f>IF(NOT(ISBLANK(Audit[[#This Row],[Audit Candidate 8]])), Audit[[#This Row],[Audit Candidate 8]]-Audit[[#This Row],[Candidate 8]], "")</f>
        <v/>
      </c>
      <c r="AM211" s="17" t="str">
        <f>IF(NOT(ISBLANK(Audit[[#This Row],[Audit Candidate 9]])), Audit[[#This Row],[Audit Candidate 9]]-Audit[[#This Row],[Candidate 9]], "")</f>
        <v/>
      </c>
      <c r="AN211" s="17" t="str">
        <f>IF(NOT(ISBLANK(Audit[[#This Row],[Audit Candidate 10]])), Audit[[#This Row],[Audit Candidate 10]]-Audit[[#This Row],[Candidate 10]], "")</f>
        <v/>
      </c>
      <c r="AO211" s="17" t="str">
        <f>IF(NOT(ISBLANK(Audit[[#This Row],[Audit Candidate 11]])), Audit[[#This Row],[Audit Candidate 11]]-Audit[[#This Row],[Candidate 11]], "")</f>
        <v/>
      </c>
      <c r="AP211" s="17" t="str">
        <f>IF(NOT(ISBLANK(Audit[[#This Row],[Audit Candidate 12]])), Audit[[#This Row],[Audit Candidate 12]]-Audit[[#This Row],[Candidate 12]], "")</f>
        <v/>
      </c>
      <c r="AQ211" s="17">
        <f>SUMIF(Audit[[#This Row],[Difference Winner]:[Difference Candidate 12]], "&gt;0")</f>
        <v>0</v>
      </c>
      <c r="AR211" s="17">
        <f>SUM(Audit[[#This Row],[Difference Winner]:[Difference Candidate 12]])</f>
        <v>0</v>
      </c>
      <c r="AS211" s="17">
        <f>IF(Audit[[#This Row],[Times p Drawn - With Replacement]]&gt;0, IF(Audit[[#This Row],[Canceled Differences]]&lt;0, Audit[[#This Row],[Max Differences]]+ABS(Audit[[#This Row],[Canceled Differences]]), Audit[[#This Row],[Max Differences]]), 0)</f>
        <v>0</v>
      </c>
      <c r="AT211" s="17">
        <f>'Sampling Data'!AB211</f>
        <v>1.1755219826854523E-2</v>
      </c>
      <c r="AU211" s="17">
        <f>IF(
      SUM(Audit[[#This Row],[Audit Losing Candidate]:[Audit Candidate 12]])
      &lt;&gt;0,
      (Audit[[#This Row],[Winning Candidate]]-Audit[[#This Row],[Losing Candidate]]-(Audit[[#This Row],[Audit Winning Candidate]]-Audit[[#This Row],[Audit Losing Candidate]]))/(Audit[[#Totals],[Winning Candidate]]-Audit[[#Totals],[Losing Candidate]]),
      0
)</f>
        <v>0</v>
      </c>
      <c r="AV2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1" s="17">
        <f>IF(Audit[[#This Row],[Max Relative Error (ep)]] = 0, 0, Audit[[#This Row],[Max Relative Error (ep)]]/Audit[[#This Row],[Error Bound (up) - Max. possible relative overstatement]])</f>
        <v>0</v>
      </c>
      <c r="BH2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11" s="17">
        <f t="shared" si="4"/>
        <v>1</v>
      </c>
      <c r="BJ211" s="17">
        <f>PRODUCT($BI$5:BI211)</f>
        <v>0.64389454822022163</v>
      </c>
      <c r="BK211" s="19">
        <f>1 - Audit[[#This Row],[K-M P Value]]</f>
        <v>0.35610545177977837</v>
      </c>
      <c r="BL211" s="17" t="str">
        <f>IF(Audit[[#This Row],[K-M P Value]]&gt;1-'General Info'!$B$12,"Continue", "Stop")</f>
        <v>Continue</v>
      </c>
      <c r="BM211" s="22" t="b">
        <f>IF(Audit[[#This Row],[Status - Continue or stop audit]] = "Continue", TRUE, IF(BL210 = "Continue", TRUE, FALSE))</f>
        <v>1</v>
      </c>
      <c r="BN211" s="22"/>
    </row>
    <row r="212" spans="1:66" ht="15" hidden="1" customHeight="1" x14ac:dyDescent="0.35">
      <c r="A212" s="17" t="str">
        <f>'Sampling Data'!AI212</f>
        <v/>
      </c>
      <c r="B212" s="17" t="str">
        <f>'Sampling Data'!A212</f>
        <v>3131 DR PK 3-A   (AV)</v>
      </c>
      <c r="C212" s="17">
        <f>'Sampling Data'!B212</f>
        <v>135</v>
      </c>
      <c r="D212" s="17">
        <f>'Sampling Data'!C212</f>
        <v>96</v>
      </c>
      <c r="E212" s="18">
        <f>'Sampling Data'!D212</f>
        <v>0</v>
      </c>
      <c r="F212" s="18">
        <f>'Sampling Data'!E212</f>
        <v>0</v>
      </c>
      <c r="G212" s="18">
        <f>'Sampling Data'!F212</f>
        <v>0</v>
      </c>
      <c r="H212" s="18">
        <f>'Sampling Data'!G212</f>
        <v>0</v>
      </c>
      <c r="I212" s="18">
        <f>'Sampling Data'!H212</f>
        <v>0</v>
      </c>
      <c r="J212" s="18">
        <f>'Sampling Data'!I212</f>
        <v>0</v>
      </c>
      <c r="K212" s="18">
        <f>'Sampling Data'!J212</f>
        <v>0</v>
      </c>
      <c r="L212" s="18">
        <f>'Sampling Data'!K212</f>
        <v>0</v>
      </c>
      <c r="M212" s="18">
        <f>'Sampling Data'!L212</f>
        <v>0</v>
      </c>
      <c r="N212" s="18">
        <f>'Sampling Data'!M212</f>
        <v>0</v>
      </c>
      <c r="O212" s="17">
        <f>'Sampling Data'!N212</f>
        <v>0</v>
      </c>
      <c r="P212" s="17">
        <f>'Sampling Data'!O212</f>
        <v>16</v>
      </c>
      <c r="Q212" s="17">
        <f>'Sampling Data'!P212</f>
        <v>247</v>
      </c>
      <c r="R212" s="17">
        <f>'Sampling Data'!AJ212</f>
        <v>0</v>
      </c>
      <c r="S212" s="111"/>
      <c r="T212" s="111"/>
      <c r="U212" s="112"/>
      <c r="V212" s="112"/>
      <c r="W212" s="111"/>
      <c r="X212" s="111"/>
      <c r="Y212" s="111"/>
      <c r="Z212" s="111"/>
      <c r="AA212" s="14"/>
      <c r="AB212" s="14"/>
      <c r="AC212" s="14"/>
      <c r="AD212" s="14"/>
      <c r="AE212" s="113" t="str">
        <f>IF(NOT(ISBLANK(Audit[[#This Row],[Audit Winning Candidate]])), Audit[[#This Row],[Audit Winning Candidate]]-Audit[[#This Row],[Winning Candidate]], "")</f>
        <v/>
      </c>
      <c r="AF212" s="17" t="str">
        <f>IF(NOT(ISBLANK(Audit[[#This Row],[Audit Losing Candidate]])), Audit[[#This Row],[Audit Losing Candidate]]-Audit[[#This Row],[Losing Candidate]], "")</f>
        <v/>
      </c>
      <c r="AG212" s="17" t="str">
        <f>IF(NOT(ISBLANK(Audit[[#This Row],[Audit Candidate 3]])), Audit[[#This Row],[Audit Candidate 3]]-Audit[[#This Row],[Candidate 3]], "")</f>
        <v/>
      </c>
      <c r="AH212" s="17" t="str">
        <f>IF(NOT(ISBLANK(Audit[[#This Row],[Audit Candidate 4]])),Audit[[#This Row],[Audit Candidate 4]]-Audit[[#This Row],[Candidate 4]], "")</f>
        <v/>
      </c>
      <c r="AI212" s="17" t="str">
        <f>IF(NOT(ISBLANK(Audit[[#This Row],[Audit Candidate 5]])), Audit[[#This Row],[Audit Candidate 5]]-Audit[[#This Row],[Candidate 5]], "")</f>
        <v/>
      </c>
      <c r="AJ212" s="17" t="str">
        <f>IF(NOT(ISBLANK(Audit[[#This Row],[Audit Candidate 6]])), Audit[[#This Row],[Audit Candidate 6]]-Audit[[#This Row],[Candidate 6]], "")</f>
        <v/>
      </c>
      <c r="AK212" s="17" t="str">
        <f>IF(NOT(ISBLANK(Audit[[#This Row],[Audit Candidate 7]])), Audit[[#This Row],[Audit Candidate 7]]-Audit[[#This Row],[Candidate 7]], "")</f>
        <v/>
      </c>
      <c r="AL212" s="17" t="str">
        <f>IF(NOT(ISBLANK(Audit[[#This Row],[Audit Candidate 8]])), Audit[[#This Row],[Audit Candidate 8]]-Audit[[#This Row],[Candidate 8]], "")</f>
        <v/>
      </c>
      <c r="AM212" s="17" t="str">
        <f>IF(NOT(ISBLANK(Audit[[#This Row],[Audit Candidate 9]])), Audit[[#This Row],[Audit Candidate 9]]-Audit[[#This Row],[Candidate 9]], "")</f>
        <v/>
      </c>
      <c r="AN212" s="17" t="str">
        <f>IF(NOT(ISBLANK(Audit[[#This Row],[Audit Candidate 10]])), Audit[[#This Row],[Audit Candidate 10]]-Audit[[#This Row],[Candidate 10]], "")</f>
        <v/>
      </c>
      <c r="AO212" s="17" t="str">
        <f>IF(NOT(ISBLANK(Audit[[#This Row],[Audit Candidate 11]])), Audit[[#This Row],[Audit Candidate 11]]-Audit[[#This Row],[Candidate 11]], "")</f>
        <v/>
      </c>
      <c r="AP212" s="17" t="str">
        <f>IF(NOT(ISBLANK(Audit[[#This Row],[Audit Candidate 12]])), Audit[[#This Row],[Audit Candidate 12]]-Audit[[#This Row],[Candidate 12]], "")</f>
        <v/>
      </c>
      <c r="AQ212" s="17">
        <f>SUMIF(Audit[[#This Row],[Difference Winner]:[Difference Candidate 12]], "&gt;0")</f>
        <v>0</v>
      </c>
      <c r="AR212" s="17">
        <f>SUM(Audit[[#This Row],[Difference Winner]:[Difference Candidate 12]])</f>
        <v>0</v>
      </c>
      <c r="AS212" s="17">
        <f>IF(Audit[[#This Row],[Times p Drawn - With Replacement]]&gt;0, IF(Audit[[#This Row],[Canceled Differences]]&lt;0, Audit[[#This Row],[Max Differences]]+ABS(Audit[[#This Row],[Canceled Differences]]), Audit[[#This Row],[Max Differences]]), 0)</f>
        <v>0</v>
      </c>
      <c r="AT212" s="17">
        <f>'Sampling Data'!AB212</f>
        <v>1.2137158377185537E-2</v>
      </c>
      <c r="AU212" s="17">
        <f>IF(
      SUM(Audit[[#This Row],[Audit Losing Candidate]:[Audit Candidate 12]])
      &lt;&gt;0,
      (Audit[[#This Row],[Winning Candidate]]-Audit[[#This Row],[Losing Candidate]]-(Audit[[#This Row],[Audit Winning Candidate]]-Audit[[#This Row],[Audit Losing Candidate]]))/(Audit[[#Totals],[Winning Candidate]]-Audit[[#Totals],[Losing Candidate]]),
      0
)</f>
        <v>0</v>
      </c>
      <c r="AV2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2" s="17">
        <f>IF(Audit[[#This Row],[Max Relative Error (ep)]] = 0, 0, Audit[[#This Row],[Max Relative Error (ep)]]/Audit[[#This Row],[Error Bound (up) - Max. possible relative overstatement]])</f>
        <v>0</v>
      </c>
      <c r="BH2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12" s="17">
        <f t="shared" si="4"/>
        <v>1</v>
      </c>
      <c r="BJ212" s="17">
        <f>PRODUCT($BI$5:BI212)</f>
        <v>0.64389454822022163</v>
      </c>
      <c r="BK212" s="19">
        <f>1 - Audit[[#This Row],[K-M P Value]]</f>
        <v>0.35610545177977837</v>
      </c>
      <c r="BL212" s="17" t="str">
        <f>IF(Audit[[#This Row],[K-M P Value]]&gt;1-'General Info'!$B$12,"Continue", "Stop")</f>
        <v>Continue</v>
      </c>
      <c r="BM212" s="22" t="b">
        <f>IF(Audit[[#This Row],[Status - Continue or stop audit]] = "Continue", TRUE, IF(BL211 = "Continue", TRUE, FALSE))</f>
        <v>1</v>
      </c>
      <c r="BN212" s="22"/>
    </row>
    <row r="213" spans="1:66" ht="15" hidden="1" customHeight="1" x14ac:dyDescent="0.35">
      <c r="A213" s="17" t="str">
        <f>'Sampling Data'!AI213</f>
        <v/>
      </c>
      <c r="B213" s="17" t="str">
        <f>'Sampling Data'!A213</f>
        <v>3141 DR PK 4-A   (AV)</v>
      </c>
      <c r="C213" s="17">
        <f>'Sampling Data'!B213</f>
        <v>171</v>
      </c>
      <c r="D213" s="17">
        <f>'Sampling Data'!C213</f>
        <v>162</v>
      </c>
      <c r="E213" s="18">
        <f>'Sampling Data'!D213</f>
        <v>0</v>
      </c>
      <c r="F213" s="18">
        <f>'Sampling Data'!E213</f>
        <v>0</v>
      </c>
      <c r="G213" s="18">
        <f>'Sampling Data'!F213</f>
        <v>0</v>
      </c>
      <c r="H213" s="18">
        <f>'Sampling Data'!G213</f>
        <v>0</v>
      </c>
      <c r="I213" s="18">
        <f>'Sampling Data'!H213</f>
        <v>0</v>
      </c>
      <c r="J213" s="18">
        <f>'Sampling Data'!I213</f>
        <v>0</v>
      </c>
      <c r="K213" s="18">
        <f>'Sampling Data'!J213</f>
        <v>0</v>
      </c>
      <c r="L213" s="18">
        <f>'Sampling Data'!K213</f>
        <v>0</v>
      </c>
      <c r="M213" s="18">
        <f>'Sampling Data'!L213</f>
        <v>0</v>
      </c>
      <c r="N213" s="18">
        <f>'Sampling Data'!M213</f>
        <v>0</v>
      </c>
      <c r="O213" s="17">
        <f>'Sampling Data'!N213</f>
        <v>0</v>
      </c>
      <c r="P213" s="17">
        <f>'Sampling Data'!O213</f>
        <v>18</v>
      </c>
      <c r="Q213" s="17">
        <f>'Sampling Data'!P213</f>
        <v>351</v>
      </c>
      <c r="R213" s="17">
        <f>'Sampling Data'!AJ213</f>
        <v>0</v>
      </c>
      <c r="S213" s="111"/>
      <c r="T213" s="111"/>
      <c r="U213" s="112"/>
      <c r="V213" s="112"/>
      <c r="W213" s="111"/>
      <c r="X213" s="111"/>
      <c r="Y213" s="111"/>
      <c r="Z213" s="111"/>
      <c r="AA213" s="14"/>
      <c r="AB213" s="14"/>
      <c r="AC213" s="14"/>
      <c r="AD213" s="14"/>
      <c r="AE213" s="113" t="str">
        <f>IF(NOT(ISBLANK(Audit[[#This Row],[Audit Winning Candidate]])), Audit[[#This Row],[Audit Winning Candidate]]-Audit[[#This Row],[Winning Candidate]], "")</f>
        <v/>
      </c>
      <c r="AF213" s="17" t="str">
        <f>IF(NOT(ISBLANK(Audit[[#This Row],[Audit Losing Candidate]])), Audit[[#This Row],[Audit Losing Candidate]]-Audit[[#This Row],[Losing Candidate]], "")</f>
        <v/>
      </c>
      <c r="AG213" s="17" t="str">
        <f>IF(NOT(ISBLANK(Audit[[#This Row],[Audit Candidate 3]])), Audit[[#This Row],[Audit Candidate 3]]-Audit[[#This Row],[Candidate 3]], "")</f>
        <v/>
      </c>
      <c r="AH213" s="17" t="str">
        <f>IF(NOT(ISBLANK(Audit[[#This Row],[Audit Candidate 4]])),Audit[[#This Row],[Audit Candidate 4]]-Audit[[#This Row],[Candidate 4]], "")</f>
        <v/>
      </c>
      <c r="AI213" s="17" t="str">
        <f>IF(NOT(ISBLANK(Audit[[#This Row],[Audit Candidate 5]])), Audit[[#This Row],[Audit Candidate 5]]-Audit[[#This Row],[Candidate 5]], "")</f>
        <v/>
      </c>
      <c r="AJ213" s="17" t="str">
        <f>IF(NOT(ISBLANK(Audit[[#This Row],[Audit Candidate 6]])), Audit[[#This Row],[Audit Candidate 6]]-Audit[[#This Row],[Candidate 6]], "")</f>
        <v/>
      </c>
      <c r="AK213" s="17" t="str">
        <f>IF(NOT(ISBLANK(Audit[[#This Row],[Audit Candidate 7]])), Audit[[#This Row],[Audit Candidate 7]]-Audit[[#This Row],[Candidate 7]], "")</f>
        <v/>
      </c>
      <c r="AL213" s="17" t="str">
        <f>IF(NOT(ISBLANK(Audit[[#This Row],[Audit Candidate 8]])), Audit[[#This Row],[Audit Candidate 8]]-Audit[[#This Row],[Candidate 8]], "")</f>
        <v/>
      </c>
      <c r="AM213" s="17" t="str">
        <f>IF(NOT(ISBLANK(Audit[[#This Row],[Audit Candidate 9]])), Audit[[#This Row],[Audit Candidate 9]]-Audit[[#This Row],[Candidate 9]], "")</f>
        <v/>
      </c>
      <c r="AN213" s="17" t="str">
        <f>IF(NOT(ISBLANK(Audit[[#This Row],[Audit Candidate 10]])), Audit[[#This Row],[Audit Candidate 10]]-Audit[[#This Row],[Candidate 10]], "")</f>
        <v/>
      </c>
      <c r="AO213" s="17" t="str">
        <f>IF(NOT(ISBLANK(Audit[[#This Row],[Audit Candidate 11]])), Audit[[#This Row],[Audit Candidate 11]]-Audit[[#This Row],[Candidate 11]], "")</f>
        <v/>
      </c>
      <c r="AP213" s="17" t="str">
        <f>IF(NOT(ISBLANK(Audit[[#This Row],[Audit Candidate 12]])), Audit[[#This Row],[Audit Candidate 12]]-Audit[[#This Row],[Candidate 12]], "")</f>
        <v/>
      </c>
      <c r="AQ213" s="17">
        <f>SUMIF(Audit[[#This Row],[Difference Winner]:[Difference Candidate 12]], "&gt;0")</f>
        <v>0</v>
      </c>
      <c r="AR213" s="17">
        <f>SUM(Audit[[#This Row],[Difference Winner]:[Difference Candidate 12]])</f>
        <v>0</v>
      </c>
      <c r="AS213" s="17">
        <f>IF(Audit[[#This Row],[Times p Drawn - With Replacement]]&gt;0, IF(Audit[[#This Row],[Canceled Differences]]&lt;0, Audit[[#This Row],[Max Differences]]+ABS(Audit[[#This Row],[Canceled Differences]]), Audit[[#This Row],[Max Differences]]), 0)</f>
        <v>0</v>
      </c>
      <c r="AT213" s="17">
        <f>'Sampling Data'!AB213</f>
        <v>1.5277542013240537E-2</v>
      </c>
      <c r="AU213" s="17">
        <f>IF(
      SUM(Audit[[#This Row],[Audit Losing Candidate]:[Audit Candidate 12]])
      &lt;&gt;0,
      (Audit[[#This Row],[Winning Candidate]]-Audit[[#This Row],[Losing Candidate]]-(Audit[[#This Row],[Audit Winning Candidate]]-Audit[[#This Row],[Audit Losing Candidate]]))/(Audit[[#Totals],[Winning Candidate]]-Audit[[#Totals],[Losing Candidate]]),
      0
)</f>
        <v>0</v>
      </c>
      <c r="AV2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3" s="17">
        <f>IF(Audit[[#This Row],[Max Relative Error (ep)]] = 0, 0, Audit[[#This Row],[Max Relative Error (ep)]]/Audit[[#This Row],[Error Bound (up) - Max. possible relative overstatement]])</f>
        <v>0</v>
      </c>
      <c r="BH2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13" s="17">
        <f t="shared" si="4"/>
        <v>1</v>
      </c>
      <c r="BJ213" s="17">
        <f>PRODUCT($BI$5:BI213)</f>
        <v>0.64389454822022163</v>
      </c>
      <c r="BK213" s="19">
        <f>1 - Audit[[#This Row],[K-M P Value]]</f>
        <v>0.35610545177977837</v>
      </c>
      <c r="BL213" s="17" t="str">
        <f>IF(Audit[[#This Row],[K-M P Value]]&gt;1-'General Info'!$B$12,"Continue", "Stop")</f>
        <v>Continue</v>
      </c>
      <c r="BM213" s="22" t="b">
        <f>IF(Audit[[#This Row],[Status - Continue or stop audit]] = "Continue", TRUE, IF(BL212 = "Continue", TRUE, FALSE))</f>
        <v>1</v>
      </c>
      <c r="BN213" s="22"/>
    </row>
    <row r="214" spans="1:66" ht="15" hidden="1" customHeight="1" x14ac:dyDescent="0.35">
      <c r="A214" s="17" t="str">
        <f>'Sampling Data'!AI214</f>
        <v/>
      </c>
      <c r="B214" s="17" t="str">
        <f>'Sampling Data'!A214</f>
        <v>3201 FR PK A   (AV)</v>
      </c>
      <c r="C214" s="17">
        <f>'Sampling Data'!B214</f>
        <v>150</v>
      </c>
      <c r="D214" s="17">
        <f>'Sampling Data'!C214</f>
        <v>18</v>
      </c>
      <c r="E214" s="18">
        <f>'Sampling Data'!D214</f>
        <v>0</v>
      </c>
      <c r="F214" s="18">
        <f>'Sampling Data'!E214</f>
        <v>0</v>
      </c>
      <c r="G214" s="18">
        <f>'Sampling Data'!F214</f>
        <v>0</v>
      </c>
      <c r="H214" s="18">
        <f>'Sampling Data'!G214</f>
        <v>0</v>
      </c>
      <c r="I214" s="18">
        <f>'Sampling Data'!H214</f>
        <v>0</v>
      </c>
      <c r="J214" s="18">
        <f>'Sampling Data'!I214</f>
        <v>0</v>
      </c>
      <c r="K214" s="18">
        <f>'Sampling Data'!J214</f>
        <v>0</v>
      </c>
      <c r="L214" s="18">
        <f>'Sampling Data'!K214</f>
        <v>0</v>
      </c>
      <c r="M214" s="18">
        <f>'Sampling Data'!L214</f>
        <v>0</v>
      </c>
      <c r="N214" s="18">
        <f>'Sampling Data'!M214</f>
        <v>0</v>
      </c>
      <c r="O214" s="17">
        <f>'Sampling Data'!N214</f>
        <v>0</v>
      </c>
      <c r="P214" s="17">
        <f>'Sampling Data'!O214</f>
        <v>13</v>
      </c>
      <c r="Q214" s="17">
        <f>'Sampling Data'!P214</f>
        <v>181</v>
      </c>
      <c r="R214" s="17">
        <f>'Sampling Data'!AJ214</f>
        <v>0</v>
      </c>
      <c r="S214" s="111"/>
      <c r="T214" s="111"/>
      <c r="U214" s="112"/>
      <c r="V214" s="112"/>
      <c r="W214" s="111"/>
      <c r="X214" s="111"/>
      <c r="Y214" s="111"/>
      <c r="Z214" s="111"/>
      <c r="AA214" s="14"/>
      <c r="AB214" s="14"/>
      <c r="AC214" s="14"/>
      <c r="AD214" s="14"/>
      <c r="AE214" s="113" t="str">
        <f>IF(NOT(ISBLANK(Audit[[#This Row],[Audit Winning Candidate]])), Audit[[#This Row],[Audit Winning Candidate]]-Audit[[#This Row],[Winning Candidate]], "")</f>
        <v/>
      </c>
      <c r="AF214" s="17" t="str">
        <f>IF(NOT(ISBLANK(Audit[[#This Row],[Audit Losing Candidate]])), Audit[[#This Row],[Audit Losing Candidate]]-Audit[[#This Row],[Losing Candidate]], "")</f>
        <v/>
      </c>
      <c r="AG214" s="17" t="str">
        <f>IF(NOT(ISBLANK(Audit[[#This Row],[Audit Candidate 3]])), Audit[[#This Row],[Audit Candidate 3]]-Audit[[#This Row],[Candidate 3]], "")</f>
        <v/>
      </c>
      <c r="AH214" s="17" t="str">
        <f>IF(NOT(ISBLANK(Audit[[#This Row],[Audit Candidate 4]])),Audit[[#This Row],[Audit Candidate 4]]-Audit[[#This Row],[Candidate 4]], "")</f>
        <v/>
      </c>
      <c r="AI214" s="17" t="str">
        <f>IF(NOT(ISBLANK(Audit[[#This Row],[Audit Candidate 5]])), Audit[[#This Row],[Audit Candidate 5]]-Audit[[#This Row],[Candidate 5]], "")</f>
        <v/>
      </c>
      <c r="AJ214" s="17" t="str">
        <f>IF(NOT(ISBLANK(Audit[[#This Row],[Audit Candidate 6]])), Audit[[#This Row],[Audit Candidate 6]]-Audit[[#This Row],[Candidate 6]], "")</f>
        <v/>
      </c>
      <c r="AK214" s="17" t="str">
        <f>IF(NOT(ISBLANK(Audit[[#This Row],[Audit Candidate 7]])), Audit[[#This Row],[Audit Candidate 7]]-Audit[[#This Row],[Candidate 7]], "")</f>
        <v/>
      </c>
      <c r="AL214" s="17" t="str">
        <f>IF(NOT(ISBLANK(Audit[[#This Row],[Audit Candidate 8]])), Audit[[#This Row],[Audit Candidate 8]]-Audit[[#This Row],[Candidate 8]], "")</f>
        <v/>
      </c>
      <c r="AM214" s="17" t="str">
        <f>IF(NOT(ISBLANK(Audit[[#This Row],[Audit Candidate 9]])), Audit[[#This Row],[Audit Candidate 9]]-Audit[[#This Row],[Candidate 9]], "")</f>
        <v/>
      </c>
      <c r="AN214" s="17" t="str">
        <f>IF(NOT(ISBLANK(Audit[[#This Row],[Audit Candidate 10]])), Audit[[#This Row],[Audit Candidate 10]]-Audit[[#This Row],[Candidate 10]], "")</f>
        <v/>
      </c>
      <c r="AO214" s="17" t="str">
        <f>IF(NOT(ISBLANK(Audit[[#This Row],[Audit Candidate 11]])), Audit[[#This Row],[Audit Candidate 11]]-Audit[[#This Row],[Candidate 11]], "")</f>
        <v/>
      </c>
      <c r="AP214" s="17" t="str">
        <f>IF(NOT(ISBLANK(Audit[[#This Row],[Audit Candidate 12]])), Audit[[#This Row],[Audit Candidate 12]]-Audit[[#This Row],[Candidate 12]], "")</f>
        <v/>
      </c>
      <c r="AQ214" s="17">
        <f>SUMIF(Audit[[#This Row],[Difference Winner]:[Difference Candidate 12]], "&gt;0")</f>
        <v>0</v>
      </c>
      <c r="AR214" s="17">
        <f>SUM(Audit[[#This Row],[Difference Winner]:[Difference Candidate 12]])</f>
        <v>0</v>
      </c>
      <c r="AS214" s="17">
        <f>IF(Audit[[#This Row],[Times p Drawn - With Replacement]]&gt;0, IF(Audit[[#This Row],[Canceled Differences]]&lt;0, Audit[[#This Row],[Max Differences]]+ABS(Audit[[#This Row],[Canceled Differences]]), Audit[[#This Row],[Max Differences]]), 0)</f>
        <v>0</v>
      </c>
      <c r="AT214" s="17">
        <f>'Sampling Data'!AB214</f>
        <v>1.3282974028178577E-2</v>
      </c>
      <c r="AU214" s="17">
        <f>IF(
      SUM(Audit[[#This Row],[Audit Losing Candidate]:[Audit Candidate 12]])
      &lt;&gt;0,
      (Audit[[#This Row],[Winning Candidate]]-Audit[[#This Row],[Losing Candidate]]-(Audit[[#This Row],[Audit Winning Candidate]]-Audit[[#This Row],[Audit Losing Candidate]]))/(Audit[[#Totals],[Winning Candidate]]-Audit[[#Totals],[Losing Candidate]]),
      0
)</f>
        <v>0</v>
      </c>
      <c r="AV2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4" s="17">
        <f>IF(Audit[[#This Row],[Max Relative Error (ep)]] = 0, 0, Audit[[#This Row],[Max Relative Error (ep)]]/Audit[[#This Row],[Error Bound (up) - Max. possible relative overstatement]])</f>
        <v>0</v>
      </c>
      <c r="BH2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14" s="17">
        <f t="shared" si="4"/>
        <v>1</v>
      </c>
      <c r="BJ214" s="17">
        <f>PRODUCT($BI$5:BI214)</f>
        <v>0.64389454822022163</v>
      </c>
      <c r="BK214" s="19">
        <f>1 - Audit[[#This Row],[K-M P Value]]</f>
        <v>0.35610545177977837</v>
      </c>
      <c r="BL214" s="17" t="str">
        <f>IF(Audit[[#This Row],[K-M P Value]]&gt;1-'General Info'!$B$12,"Continue", "Stop")</f>
        <v>Continue</v>
      </c>
      <c r="BM214" s="22" t="b">
        <f>IF(Audit[[#This Row],[Status - Continue or stop audit]] = "Continue", TRUE, IF(BL213 = "Continue", TRUE, FALSE))</f>
        <v>1</v>
      </c>
      <c r="BN214" s="22"/>
    </row>
    <row r="215" spans="1:66" ht="15" hidden="1" customHeight="1" x14ac:dyDescent="0.35">
      <c r="A215" s="17" t="str">
        <f>'Sampling Data'!AI215</f>
        <v/>
      </c>
      <c r="B215" s="17" t="str">
        <f>'Sampling Data'!A215</f>
        <v>3202 FR PK B   (AV)</v>
      </c>
      <c r="C215" s="17">
        <f>'Sampling Data'!B215</f>
        <v>186</v>
      </c>
      <c r="D215" s="17">
        <f>'Sampling Data'!C215</f>
        <v>61</v>
      </c>
      <c r="E215" s="18">
        <f>'Sampling Data'!D215</f>
        <v>0</v>
      </c>
      <c r="F215" s="18">
        <f>'Sampling Data'!E215</f>
        <v>0</v>
      </c>
      <c r="G215" s="18">
        <f>'Sampling Data'!F215</f>
        <v>0</v>
      </c>
      <c r="H215" s="18">
        <f>'Sampling Data'!G215</f>
        <v>0</v>
      </c>
      <c r="I215" s="18">
        <f>'Sampling Data'!H215</f>
        <v>0</v>
      </c>
      <c r="J215" s="18">
        <f>'Sampling Data'!I215</f>
        <v>0</v>
      </c>
      <c r="K215" s="18">
        <f>'Sampling Data'!J215</f>
        <v>0</v>
      </c>
      <c r="L215" s="18">
        <f>'Sampling Data'!K215</f>
        <v>0</v>
      </c>
      <c r="M215" s="18">
        <f>'Sampling Data'!L215</f>
        <v>0</v>
      </c>
      <c r="N215" s="18">
        <f>'Sampling Data'!M215</f>
        <v>0</v>
      </c>
      <c r="O215" s="17">
        <f>'Sampling Data'!N215</f>
        <v>0</v>
      </c>
      <c r="P215" s="17">
        <f>'Sampling Data'!O215</f>
        <v>6</v>
      </c>
      <c r="Q215" s="17">
        <f>'Sampling Data'!P215</f>
        <v>253</v>
      </c>
      <c r="R215" s="17">
        <f>'Sampling Data'!AJ215</f>
        <v>0</v>
      </c>
      <c r="S215" s="111"/>
      <c r="T215" s="111"/>
      <c r="U215" s="112"/>
      <c r="V215" s="112"/>
      <c r="W215" s="111"/>
      <c r="X215" s="111"/>
      <c r="Y215" s="111"/>
      <c r="Z215" s="111"/>
      <c r="AA215" s="14"/>
      <c r="AB215" s="14"/>
      <c r="AC215" s="14"/>
      <c r="AD215" s="14"/>
      <c r="AE215" s="113" t="str">
        <f>IF(NOT(ISBLANK(Audit[[#This Row],[Audit Winning Candidate]])), Audit[[#This Row],[Audit Winning Candidate]]-Audit[[#This Row],[Winning Candidate]], "")</f>
        <v/>
      </c>
      <c r="AF215" s="17" t="str">
        <f>IF(NOT(ISBLANK(Audit[[#This Row],[Audit Losing Candidate]])), Audit[[#This Row],[Audit Losing Candidate]]-Audit[[#This Row],[Losing Candidate]], "")</f>
        <v/>
      </c>
      <c r="AG215" s="17" t="str">
        <f>IF(NOT(ISBLANK(Audit[[#This Row],[Audit Candidate 3]])), Audit[[#This Row],[Audit Candidate 3]]-Audit[[#This Row],[Candidate 3]], "")</f>
        <v/>
      </c>
      <c r="AH215" s="17" t="str">
        <f>IF(NOT(ISBLANK(Audit[[#This Row],[Audit Candidate 4]])),Audit[[#This Row],[Audit Candidate 4]]-Audit[[#This Row],[Candidate 4]], "")</f>
        <v/>
      </c>
      <c r="AI215" s="17" t="str">
        <f>IF(NOT(ISBLANK(Audit[[#This Row],[Audit Candidate 5]])), Audit[[#This Row],[Audit Candidate 5]]-Audit[[#This Row],[Candidate 5]], "")</f>
        <v/>
      </c>
      <c r="AJ215" s="17" t="str">
        <f>IF(NOT(ISBLANK(Audit[[#This Row],[Audit Candidate 6]])), Audit[[#This Row],[Audit Candidate 6]]-Audit[[#This Row],[Candidate 6]], "")</f>
        <v/>
      </c>
      <c r="AK215" s="17" t="str">
        <f>IF(NOT(ISBLANK(Audit[[#This Row],[Audit Candidate 7]])), Audit[[#This Row],[Audit Candidate 7]]-Audit[[#This Row],[Candidate 7]], "")</f>
        <v/>
      </c>
      <c r="AL215" s="17" t="str">
        <f>IF(NOT(ISBLANK(Audit[[#This Row],[Audit Candidate 8]])), Audit[[#This Row],[Audit Candidate 8]]-Audit[[#This Row],[Candidate 8]], "")</f>
        <v/>
      </c>
      <c r="AM215" s="17" t="str">
        <f>IF(NOT(ISBLANK(Audit[[#This Row],[Audit Candidate 9]])), Audit[[#This Row],[Audit Candidate 9]]-Audit[[#This Row],[Candidate 9]], "")</f>
        <v/>
      </c>
      <c r="AN215" s="17" t="str">
        <f>IF(NOT(ISBLANK(Audit[[#This Row],[Audit Candidate 10]])), Audit[[#This Row],[Audit Candidate 10]]-Audit[[#This Row],[Candidate 10]], "")</f>
        <v/>
      </c>
      <c r="AO215" s="17" t="str">
        <f>IF(NOT(ISBLANK(Audit[[#This Row],[Audit Candidate 11]])), Audit[[#This Row],[Audit Candidate 11]]-Audit[[#This Row],[Candidate 11]], "")</f>
        <v/>
      </c>
      <c r="AP215" s="17" t="str">
        <f>IF(NOT(ISBLANK(Audit[[#This Row],[Audit Candidate 12]])), Audit[[#This Row],[Audit Candidate 12]]-Audit[[#This Row],[Candidate 12]], "")</f>
        <v/>
      </c>
      <c r="AQ215" s="17">
        <f>SUMIF(Audit[[#This Row],[Difference Winner]:[Difference Candidate 12]], "&gt;0")</f>
        <v>0</v>
      </c>
      <c r="AR215" s="17">
        <f>SUM(Audit[[#This Row],[Difference Winner]:[Difference Candidate 12]])</f>
        <v>0</v>
      </c>
      <c r="AS215" s="17">
        <f>IF(Audit[[#This Row],[Times p Drawn - With Replacement]]&gt;0, IF(Audit[[#This Row],[Canceled Differences]]&lt;0, Audit[[#This Row],[Max Differences]]+ABS(Audit[[#This Row],[Canceled Differences]]), Audit[[#This Row],[Max Differences]]), 0)</f>
        <v>0</v>
      </c>
      <c r="AT215" s="17">
        <f>'Sampling Data'!AB215</f>
        <v>1.6041419113902562E-2</v>
      </c>
      <c r="AU215" s="17">
        <f>IF(
      SUM(Audit[[#This Row],[Audit Losing Candidate]:[Audit Candidate 12]])
      &lt;&gt;0,
      (Audit[[#This Row],[Winning Candidate]]-Audit[[#This Row],[Losing Candidate]]-(Audit[[#This Row],[Audit Winning Candidate]]-Audit[[#This Row],[Audit Losing Candidate]]))/(Audit[[#Totals],[Winning Candidate]]-Audit[[#Totals],[Losing Candidate]]),
      0
)</f>
        <v>0</v>
      </c>
      <c r="AV2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5" s="17">
        <f>IF(Audit[[#This Row],[Max Relative Error (ep)]] = 0, 0, Audit[[#This Row],[Max Relative Error (ep)]]/Audit[[#This Row],[Error Bound (up) - Max. possible relative overstatement]])</f>
        <v>0</v>
      </c>
      <c r="BH2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15" s="17">
        <f t="shared" si="4"/>
        <v>1</v>
      </c>
      <c r="BJ215" s="17">
        <f>PRODUCT($BI$5:BI215)</f>
        <v>0.64389454822022163</v>
      </c>
      <c r="BK215" s="19">
        <f>1 - Audit[[#This Row],[K-M P Value]]</f>
        <v>0.35610545177977837</v>
      </c>
      <c r="BL215" s="17" t="str">
        <f>IF(Audit[[#This Row],[K-M P Value]]&gt;1-'General Info'!$B$12,"Continue", "Stop")</f>
        <v>Continue</v>
      </c>
      <c r="BM215" s="22" t="b">
        <f>IF(Audit[[#This Row],[Status - Continue or stop audit]] = "Continue", TRUE, IF(BL214 = "Continue", TRUE, FALSE))</f>
        <v>1</v>
      </c>
      <c r="BN215" s="22"/>
    </row>
    <row r="216" spans="1:66" ht="15" hidden="1" customHeight="1" x14ac:dyDescent="0.35">
      <c r="A216" s="17" t="str">
        <f>'Sampling Data'!AI216</f>
        <v/>
      </c>
      <c r="B216" s="17" t="str">
        <f>'Sampling Data'!A216</f>
        <v>3203 FR PK C   (AV)</v>
      </c>
      <c r="C216" s="17">
        <f>'Sampling Data'!B216</f>
        <v>223</v>
      </c>
      <c r="D216" s="17">
        <f>'Sampling Data'!C216</f>
        <v>30</v>
      </c>
      <c r="E216" s="18">
        <f>'Sampling Data'!D216</f>
        <v>0</v>
      </c>
      <c r="F216" s="18">
        <f>'Sampling Data'!E216</f>
        <v>0</v>
      </c>
      <c r="G216" s="18">
        <f>'Sampling Data'!F216</f>
        <v>0</v>
      </c>
      <c r="H216" s="18">
        <f>'Sampling Data'!G216</f>
        <v>0</v>
      </c>
      <c r="I216" s="18">
        <f>'Sampling Data'!H216</f>
        <v>0</v>
      </c>
      <c r="J216" s="18">
        <f>'Sampling Data'!I216</f>
        <v>0</v>
      </c>
      <c r="K216" s="18">
        <f>'Sampling Data'!J216</f>
        <v>0</v>
      </c>
      <c r="L216" s="18">
        <f>'Sampling Data'!K216</f>
        <v>0</v>
      </c>
      <c r="M216" s="18">
        <f>'Sampling Data'!L216</f>
        <v>0</v>
      </c>
      <c r="N216" s="18">
        <f>'Sampling Data'!M216</f>
        <v>0</v>
      </c>
      <c r="O216" s="17">
        <f>'Sampling Data'!N216</f>
        <v>0</v>
      </c>
      <c r="P216" s="17">
        <f>'Sampling Data'!O216</f>
        <v>8</v>
      </c>
      <c r="Q216" s="17">
        <f>'Sampling Data'!P216</f>
        <v>261</v>
      </c>
      <c r="R216" s="17">
        <f>'Sampling Data'!AJ216</f>
        <v>0</v>
      </c>
      <c r="S216" s="111"/>
      <c r="T216" s="111"/>
      <c r="U216" s="112"/>
      <c r="V216" s="112"/>
      <c r="W216" s="111"/>
      <c r="X216" s="111"/>
      <c r="Y216" s="111"/>
      <c r="Z216" s="111"/>
      <c r="AA216" s="14"/>
      <c r="AB216" s="14"/>
      <c r="AC216" s="14"/>
      <c r="AD216" s="14"/>
      <c r="AE216" s="113" t="str">
        <f>IF(NOT(ISBLANK(Audit[[#This Row],[Audit Winning Candidate]])), Audit[[#This Row],[Audit Winning Candidate]]-Audit[[#This Row],[Winning Candidate]], "")</f>
        <v/>
      </c>
      <c r="AF216" s="17" t="str">
        <f>IF(NOT(ISBLANK(Audit[[#This Row],[Audit Losing Candidate]])), Audit[[#This Row],[Audit Losing Candidate]]-Audit[[#This Row],[Losing Candidate]], "")</f>
        <v/>
      </c>
      <c r="AG216" s="17" t="str">
        <f>IF(NOT(ISBLANK(Audit[[#This Row],[Audit Candidate 3]])), Audit[[#This Row],[Audit Candidate 3]]-Audit[[#This Row],[Candidate 3]], "")</f>
        <v/>
      </c>
      <c r="AH216" s="17" t="str">
        <f>IF(NOT(ISBLANK(Audit[[#This Row],[Audit Candidate 4]])),Audit[[#This Row],[Audit Candidate 4]]-Audit[[#This Row],[Candidate 4]], "")</f>
        <v/>
      </c>
      <c r="AI216" s="17" t="str">
        <f>IF(NOT(ISBLANK(Audit[[#This Row],[Audit Candidate 5]])), Audit[[#This Row],[Audit Candidate 5]]-Audit[[#This Row],[Candidate 5]], "")</f>
        <v/>
      </c>
      <c r="AJ216" s="17" t="str">
        <f>IF(NOT(ISBLANK(Audit[[#This Row],[Audit Candidate 6]])), Audit[[#This Row],[Audit Candidate 6]]-Audit[[#This Row],[Candidate 6]], "")</f>
        <v/>
      </c>
      <c r="AK216" s="17" t="str">
        <f>IF(NOT(ISBLANK(Audit[[#This Row],[Audit Candidate 7]])), Audit[[#This Row],[Audit Candidate 7]]-Audit[[#This Row],[Candidate 7]], "")</f>
        <v/>
      </c>
      <c r="AL216" s="17" t="str">
        <f>IF(NOT(ISBLANK(Audit[[#This Row],[Audit Candidate 8]])), Audit[[#This Row],[Audit Candidate 8]]-Audit[[#This Row],[Candidate 8]], "")</f>
        <v/>
      </c>
      <c r="AM216" s="17" t="str">
        <f>IF(NOT(ISBLANK(Audit[[#This Row],[Audit Candidate 9]])), Audit[[#This Row],[Audit Candidate 9]]-Audit[[#This Row],[Candidate 9]], "")</f>
        <v/>
      </c>
      <c r="AN216" s="17" t="str">
        <f>IF(NOT(ISBLANK(Audit[[#This Row],[Audit Candidate 10]])), Audit[[#This Row],[Audit Candidate 10]]-Audit[[#This Row],[Candidate 10]], "")</f>
        <v/>
      </c>
      <c r="AO216" s="17" t="str">
        <f>IF(NOT(ISBLANK(Audit[[#This Row],[Audit Candidate 11]])), Audit[[#This Row],[Audit Candidate 11]]-Audit[[#This Row],[Candidate 11]], "")</f>
        <v/>
      </c>
      <c r="AP216" s="17" t="str">
        <f>IF(NOT(ISBLANK(Audit[[#This Row],[Audit Candidate 12]])), Audit[[#This Row],[Audit Candidate 12]]-Audit[[#This Row],[Candidate 12]], "")</f>
        <v/>
      </c>
      <c r="AQ216" s="17">
        <f>SUMIF(Audit[[#This Row],[Difference Winner]:[Difference Candidate 12]], "&gt;0")</f>
        <v>0</v>
      </c>
      <c r="AR216" s="17">
        <f>SUM(Audit[[#This Row],[Difference Winner]:[Difference Candidate 12]])</f>
        <v>0</v>
      </c>
      <c r="AS216" s="17">
        <f>IF(Audit[[#This Row],[Times p Drawn - With Replacement]]&gt;0, IF(Audit[[#This Row],[Canceled Differences]]&lt;0, Audit[[#This Row],[Max Differences]]+ABS(Audit[[#This Row],[Canceled Differences]]), Audit[[#This Row],[Max Differences]]), 0)</f>
        <v>0</v>
      </c>
      <c r="AT216" s="17">
        <f>'Sampling Data'!AB216</f>
        <v>1.9266677983364455E-2</v>
      </c>
      <c r="AU216" s="17">
        <f>IF(
      SUM(Audit[[#This Row],[Audit Losing Candidate]:[Audit Candidate 12]])
      &lt;&gt;0,
      (Audit[[#This Row],[Winning Candidate]]-Audit[[#This Row],[Losing Candidate]]-(Audit[[#This Row],[Audit Winning Candidate]]-Audit[[#This Row],[Audit Losing Candidate]]))/(Audit[[#Totals],[Winning Candidate]]-Audit[[#Totals],[Losing Candidate]]),
      0
)</f>
        <v>0</v>
      </c>
      <c r="AV2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6" s="17">
        <f>IF(Audit[[#This Row],[Max Relative Error (ep)]] = 0, 0, Audit[[#This Row],[Max Relative Error (ep)]]/Audit[[#This Row],[Error Bound (up) - Max. possible relative overstatement]])</f>
        <v>0</v>
      </c>
      <c r="BH2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16" s="17">
        <f t="shared" si="4"/>
        <v>1</v>
      </c>
      <c r="BJ216" s="17">
        <f>PRODUCT($BI$5:BI216)</f>
        <v>0.64389454822022163</v>
      </c>
      <c r="BK216" s="19">
        <f>1 - Audit[[#This Row],[K-M P Value]]</f>
        <v>0.35610545177977837</v>
      </c>
      <c r="BL216" s="17" t="str">
        <f>IF(Audit[[#This Row],[K-M P Value]]&gt;1-'General Info'!$B$12,"Continue", "Stop")</f>
        <v>Continue</v>
      </c>
      <c r="BM216" s="22" t="b">
        <f>IF(Audit[[#This Row],[Status - Continue or stop audit]] = "Continue", TRUE, IF(BL215 = "Continue", TRUE, FALSE))</f>
        <v>1</v>
      </c>
      <c r="BN216" s="22"/>
    </row>
    <row r="217" spans="1:66" ht="15" hidden="1" customHeight="1" x14ac:dyDescent="0.35">
      <c r="A217" s="17" t="str">
        <f>'Sampling Data'!AI217</f>
        <v/>
      </c>
      <c r="B217" s="17" t="str">
        <f>'Sampling Data'!A217</f>
        <v>3204 FR PK D   (AV)</v>
      </c>
      <c r="C217" s="17">
        <f>'Sampling Data'!B217</f>
        <v>178</v>
      </c>
      <c r="D217" s="17">
        <f>'Sampling Data'!C217</f>
        <v>26</v>
      </c>
      <c r="E217" s="18">
        <f>'Sampling Data'!D217</f>
        <v>0</v>
      </c>
      <c r="F217" s="18">
        <f>'Sampling Data'!E217</f>
        <v>0</v>
      </c>
      <c r="G217" s="18">
        <f>'Sampling Data'!F217</f>
        <v>0</v>
      </c>
      <c r="H217" s="18">
        <f>'Sampling Data'!G217</f>
        <v>0</v>
      </c>
      <c r="I217" s="18">
        <f>'Sampling Data'!H217</f>
        <v>0</v>
      </c>
      <c r="J217" s="18">
        <f>'Sampling Data'!I217</f>
        <v>0</v>
      </c>
      <c r="K217" s="18">
        <f>'Sampling Data'!J217</f>
        <v>0</v>
      </c>
      <c r="L217" s="18">
        <f>'Sampling Data'!K217</f>
        <v>0</v>
      </c>
      <c r="M217" s="18">
        <f>'Sampling Data'!L217</f>
        <v>0</v>
      </c>
      <c r="N217" s="18">
        <f>'Sampling Data'!M217</f>
        <v>0</v>
      </c>
      <c r="O217" s="17">
        <f>'Sampling Data'!N217</f>
        <v>0</v>
      </c>
      <c r="P217" s="17">
        <f>'Sampling Data'!O217</f>
        <v>6</v>
      </c>
      <c r="Q217" s="17">
        <f>'Sampling Data'!P217</f>
        <v>210</v>
      </c>
      <c r="R217" s="17">
        <f>'Sampling Data'!AJ217</f>
        <v>0</v>
      </c>
      <c r="S217" s="111"/>
      <c r="T217" s="111"/>
      <c r="U217" s="112"/>
      <c r="V217" s="112"/>
      <c r="W217" s="111"/>
      <c r="X217" s="111"/>
      <c r="Y217" s="111"/>
      <c r="Z217" s="111"/>
      <c r="AA217" s="14"/>
      <c r="AB217" s="14"/>
      <c r="AC217" s="14"/>
      <c r="AD217" s="14"/>
      <c r="AE217" s="113" t="str">
        <f>IF(NOT(ISBLANK(Audit[[#This Row],[Audit Winning Candidate]])), Audit[[#This Row],[Audit Winning Candidate]]-Audit[[#This Row],[Winning Candidate]], "")</f>
        <v/>
      </c>
      <c r="AF217" s="17" t="str">
        <f>IF(NOT(ISBLANK(Audit[[#This Row],[Audit Losing Candidate]])), Audit[[#This Row],[Audit Losing Candidate]]-Audit[[#This Row],[Losing Candidate]], "")</f>
        <v/>
      </c>
      <c r="AG217" s="17" t="str">
        <f>IF(NOT(ISBLANK(Audit[[#This Row],[Audit Candidate 3]])), Audit[[#This Row],[Audit Candidate 3]]-Audit[[#This Row],[Candidate 3]], "")</f>
        <v/>
      </c>
      <c r="AH217" s="17" t="str">
        <f>IF(NOT(ISBLANK(Audit[[#This Row],[Audit Candidate 4]])),Audit[[#This Row],[Audit Candidate 4]]-Audit[[#This Row],[Candidate 4]], "")</f>
        <v/>
      </c>
      <c r="AI217" s="17" t="str">
        <f>IF(NOT(ISBLANK(Audit[[#This Row],[Audit Candidate 5]])), Audit[[#This Row],[Audit Candidate 5]]-Audit[[#This Row],[Candidate 5]], "")</f>
        <v/>
      </c>
      <c r="AJ217" s="17" t="str">
        <f>IF(NOT(ISBLANK(Audit[[#This Row],[Audit Candidate 6]])), Audit[[#This Row],[Audit Candidate 6]]-Audit[[#This Row],[Candidate 6]], "")</f>
        <v/>
      </c>
      <c r="AK217" s="17" t="str">
        <f>IF(NOT(ISBLANK(Audit[[#This Row],[Audit Candidate 7]])), Audit[[#This Row],[Audit Candidate 7]]-Audit[[#This Row],[Candidate 7]], "")</f>
        <v/>
      </c>
      <c r="AL217" s="17" t="str">
        <f>IF(NOT(ISBLANK(Audit[[#This Row],[Audit Candidate 8]])), Audit[[#This Row],[Audit Candidate 8]]-Audit[[#This Row],[Candidate 8]], "")</f>
        <v/>
      </c>
      <c r="AM217" s="17" t="str">
        <f>IF(NOT(ISBLANK(Audit[[#This Row],[Audit Candidate 9]])), Audit[[#This Row],[Audit Candidate 9]]-Audit[[#This Row],[Candidate 9]], "")</f>
        <v/>
      </c>
      <c r="AN217" s="17" t="str">
        <f>IF(NOT(ISBLANK(Audit[[#This Row],[Audit Candidate 10]])), Audit[[#This Row],[Audit Candidate 10]]-Audit[[#This Row],[Candidate 10]], "")</f>
        <v/>
      </c>
      <c r="AO217" s="17" t="str">
        <f>IF(NOT(ISBLANK(Audit[[#This Row],[Audit Candidate 11]])), Audit[[#This Row],[Audit Candidate 11]]-Audit[[#This Row],[Candidate 11]], "")</f>
        <v/>
      </c>
      <c r="AP217" s="17" t="str">
        <f>IF(NOT(ISBLANK(Audit[[#This Row],[Audit Candidate 12]])), Audit[[#This Row],[Audit Candidate 12]]-Audit[[#This Row],[Candidate 12]], "")</f>
        <v/>
      </c>
      <c r="AQ217" s="17">
        <f>SUMIF(Audit[[#This Row],[Difference Winner]:[Difference Candidate 12]], "&gt;0")</f>
        <v>0</v>
      </c>
      <c r="AR217" s="17">
        <f>SUM(Audit[[#This Row],[Difference Winner]:[Difference Candidate 12]])</f>
        <v>0</v>
      </c>
      <c r="AS217" s="17">
        <f>IF(Audit[[#This Row],[Times p Drawn - With Replacement]]&gt;0, IF(Audit[[#This Row],[Canceled Differences]]&lt;0, Audit[[#This Row],[Max Differences]]+ABS(Audit[[#This Row],[Canceled Differences]]), Audit[[#This Row],[Max Differences]]), 0)</f>
        <v>0</v>
      </c>
      <c r="AT217" s="17">
        <f>'Sampling Data'!AB217</f>
        <v>1.5362417246647428E-2</v>
      </c>
      <c r="AU217" s="17">
        <f>IF(
      SUM(Audit[[#This Row],[Audit Losing Candidate]:[Audit Candidate 12]])
      &lt;&gt;0,
      (Audit[[#This Row],[Winning Candidate]]-Audit[[#This Row],[Losing Candidate]]-(Audit[[#This Row],[Audit Winning Candidate]]-Audit[[#This Row],[Audit Losing Candidate]]))/(Audit[[#Totals],[Winning Candidate]]-Audit[[#Totals],[Losing Candidate]]),
      0
)</f>
        <v>0</v>
      </c>
      <c r="AV2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7" s="17">
        <f>IF(Audit[[#This Row],[Max Relative Error (ep)]] = 0, 0, Audit[[#This Row],[Max Relative Error (ep)]]/Audit[[#This Row],[Error Bound (up) - Max. possible relative overstatement]])</f>
        <v>0</v>
      </c>
      <c r="BH2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17" s="17">
        <f t="shared" si="4"/>
        <v>1</v>
      </c>
      <c r="BJ217" s="17">
        <f>PRODUCT($BI$5:BI217)</f>
        <v>0.64389454822022163</v>
      </c>
      <c r="BK217" s="19">
        <f>1 - Audit[[#This Row],[K-M P Value]]</f>
        <v>0.35610545177977837</v>
      </c>
      <c r="BL217" s="17" t="str">
        <f>IF(Audit[[#This Row],[K-M P Value]]&gt;1-'General Info'!$B$12,"Continue", "Stop")</f>
        <v>Continue</v>
      </c>
      <c r="BM217" s="22" t="b">
        <f>IF(Audit[[#This Row],[Status - Continue or stop audit]] = "Continue", TRUE, IF(BL216 = "Continue", TRUE, FALSE))</f>
        <v>1</v>
      </c>
      <c r="BN217" s="22"/>
    </row>
    <row r="218" spans="1:66" ht="15" hidden="1" customHeight="1" x14ac:dyDescent="0.35">
      <c r="A218" s="17" t="str">
        <f>'Sampling Data'!AI218</f>
        <v/>
      </c>
      <c r="B218" s="17" t="str">
        <f>'Sampling Data'!A218</f>
        <v>3205 FR PK E   (AV)</v>
      </c>
      <c r="C218" s="17">
        <f>'Sampling Data'!B218</f>
        <v>183</v>
      </c>
      <c r="D218" s="17">
        <f>'Sampling Data'!C218</f>
        <v>60</v>
      </c>
      <c r="E218" s="18">
        <f>'Sampling Data'!D218</f>
        <v>0</v>
      </c>
      <c r="F218" s="18">
        <f>'Sampling Data'!E218</f>
        <v>0</v>
      </c>
      <c r="G218" s="18">
        <f>'Sampling Data'!F218</f>
        <v>0</v>
      </c>
      <c r="H218" s="18">
        <f>'Sampling Data'!G218</f>
        <v>0</v>
      </c>
      <c r="I218" s="18">
        <f>'Sampling Data'!H218</f>
        <v>0</v>
      </c>
      <c r="J218" s="18">
        <f>'Sampling Data'!I218</f>
        <v>0</v>
      </c>
      <c r="K218" s="18">
        <f>'Sampling Data'!J218</f>
        <v>0</v>
      </c>
      <c r="L218" s="18">
        <f>'Sampling Data'!K218</f>
        <v>0</v>
      </c>
      <c r="M218" s="18">
        <f>'Sampling Data'!L218</f>
        <v>0</v>
      </c>
      <c r="N218" s="18">
        <f>'Sampling Data'!M218</f>
        <v>0</v>
      </c>
      <c r="O218" s="17">
        <f>'Sampling Data'!N218</f>
        <v>1</v>
      </c>
      <c r="P218" s="17">
        <f>'Sampling Data'!O218</f>
        <v>7</v>
      </c>
      <c r="Q218" s="17">
        <f>'Sampling Data'!P218</f>
        <v>251</v>
      </c>
      <c r="R218" s="17">
        <f>'Sampling Data'!AJ218</f>
        <v>0</v>
      </c>
      <c r="S218" s="111"/>
      <c r="T218" s="111"/>
      <c r="U218" s="112"/>
      <c r="V218" s="112"/>
      <c r="W218" s="111"/>
      <c r="X218" s="111"/>
      <c r="Y218" s="111"/>
      <c r="Z218" s="111"/>
      <c r="AA218" s="14"/>
      <c r="AB218" s="14"/>
      <c r="AC218" s="14"/>
      <c r="AD218" s="14"/>
      <c r="AE218" s="113" t="str">
        <f>IF(NOT(ISBLANK(Audit[[#This Row],[Audit Winning Candidate]])), Audit[[#This Row],[Audit Winning Candidate]]-Audit[[#This Row],[Winning Candidate]], "")</f>
        <v/>
      </c>
      <c r="AF218" s="17" t="str">
        <f>IF(NOT(ISBLANK(Audit[[#This Row],[Audit Losing Candidate]])), Audit[[#This Row],[Audit Losing Candidate]]-Audit[[#This Row],[Losing Candidate]], "")</f>
        <v/>
      </c>
      <c r="AG218" s="17" t="str">
        <f>IF(NOT(ISBLANK(Audit[[#This Row],[Audit Candidate 3]])), Audit[[#This Row],[Audit Candidate 3]]-Audit[[#This Row],[Candidate 3]], "")</f>
        <v/>
      </c>
      <c r="AH218" s="17" t="str">
        <f>IF(NOT(ISBLANK(Audit[[#This Row],[Audit Candidate 4]])),Audit[[#This Row],[Audit Candidate 4]]-Audit[[#This Row],[Candidate 4]], "")</f>
        <v/>
      </c>
      <c r="AI218" s="17" t="str">
        <f>IF(NOT(ISBLANK(Audit[[#This Row],[Audit Candidate 5]])), Audit[[#This Row],[Audit Candidate 5]]-Audit[[#This Row],[Candidate 5]], "")</f>
        <v/>
      </c>
      <c r="AJ218" s="17" t="str">
        <f>IF(NOT(ISBLANK(Audit[[#This Row],[Audit Candidate 6]])), Audit[[#This Row],[Audit Candidate 6]]-Audit[[#This Row],[Candidate 6]], "")</f>
        <v/>
      </c>
      <c r="AK218" s="17" t="str">
        <f>IF(NOT(ISBLANK(Audit[[#This Row],[Audit Candidate 7]])), Audit[[#This Row],[Audit Candidate 7]]-Audit[[#This Row],[Candidate 7]], "")</f>
        <v/>
      </c>
      <c r="AL218" s="17" t="str">
        <f>IF(NOT(ISBLANK(Audit[[#This Row],[Audit Candidate 8]])), Audit[[#This Row],[Audit Candidate 8]]-Audit[[#This Row],[Candidate 8]], "")</f>
        <v/>
      </c>
      <c r="AM218" s="17" t="str">
        <f>IF(NOT(ISBLANK(Audit[[#This Row],[Audit Candidate 9]])), Audit[[#This Row],[Audit Candidate 9]]-Audit[[#This Row],[Candidate 9]], "")</f>
        <v/>
      </c>
      <c r="AN218" s="17" t="str">
        <f>IF(NOT(ISBLANK(Audit[[#This Row],[Audit Candidate 10]])), Audit[[#This Row],[Audit Candidate 10]]-Audit[[#This Row],[Candidate 10]], "")</f>
        <v/>
      </c>
      <c r="AO218" s="17" t="str">
        <f>IF(NOT(ISBLANK(Audit[[#This Row],[Audit Candidate 11]])), Audit[[#This Row],[Audit Candidate 11]]-Audit[[#This Row],[Candidate 11]], "")</f>
        <v/>
      </c>
      <c r="AP218" s="17" t="str">
        <f>IF(NOT(ISBLANK(Audit[[#This Row],[Audit Candidate 12]])), Audit[[#This Row],[Audit Candidate 12]]-Audit[[#This Row],[Candidate 12]], "")</f>
        <v/>
      </c>
      <c r="AQ218" s="17">
        <f>SUMIF(Audit[[#This Row],[Difference Winner]:[Difference Candidate 12]], "&gt;0")</f>
        <v>0</v>
      </c>
      <c r="AR218" s="17">
        <f>SUM(Audit[[#This Row],[Difference Winner]:[Difference Candidate 12]])</f>
        <v>0</v>
      </c>
      <c r="AS218" s="17">
        <f>IF(Audit[[#This Row],[Times p Drawn - With Replacement]]&gt;0, IF(Audit[[#This Row],[Canceled Differences]]&lt;0, Audit[[#This Row],[Max Differences]]+ABS(Audit[[#This Row],[Canceled Differences]]), Audit[[#This Row],[Max Differences]]), 0)</f>
        <v>0</v>
      </c>
      <c r="AT218" s="17">
        <f>'Sampling Data'!AB218</f>
        <v>1.587166864708878E-2</v>
      </c>
      <c r="AU218" s="17">
        <f>IF(
      SUM(Audit[[#This Row],[Audit Losing Candidate]:[Audit Candidate 12]])
      &lt;&gt;0,
      (Audit[[#This Row],[Winning Candidate]]-Audit[[#This Row],[Losing Candidate]]-(Audit[[#This Row],[Audit Winning Candidate]]-Audit[[#This Row],[Audit Losing Candidate]]))/(Audit[[#Totals],[Winning Candidate]]-Audit[[#Totals],[Losing Candidate]]),
      0
)</f>
        <v>0</v>
      </c>
      <c r="AV2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8" s="17">
        <f>IF(Audit[[#This Row],[Max Relative Error (ep)]] = 0, 0, Audit[[#This Row],[Max Relative Error (ep)]]/Audit[[#This Row],[Error Bound (up) - Max. possible relative overstatement]])</f>
        <v>0</v>
      </c>
      <c r="BH2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18" s="17">
        <f t="shared" si="4"/>
        <v>1</v>
      </c>
      <c r="BJ218" s="17">
        <f>PRODUCT($BI$5:BI218)</f>
        <v>0.64389454822022163</v>
      </c>
      <c r="BK218" s="19">
        <f>1 - Audit[[#This Row],[K-M P Value]]</f>
        <v>0.35610545177977837</v>
      </c>
      <c r="BL218" s="17" t="str">
        <f>IF(Audit[[#This Row],[K-M P Value]]&gt;1-'General Info'!$B$12,"Continue", "Stop")</f>
        <v>Continue</v>
      </c>
      <c r="BM218" s="22" t="b">
        <f>IF(Audit[[#This Row],[Status - Continue or stop audit]] = "Continue", TRUE, IF(BL217 = "Continue", TRUE, FALSE))</f>
        <v>1</v>
      </c>
      <c r="BN218" s="22"/>
    </row>
    <row r="219" spans="1:66" ht="15" hidden="1" customHeight="1" x14ac:dyDescent="0.35">
      <c r="A219" s="17" t="str">
        <f>'Sampling Data'!AI219</f>
        <v/>
      </c>
      <c r="B219" s="17" t="str">
        <f>'Sampling Data'!A219</f>
        <v>3206 FR PK F   (AV)</v>
      </c>
      <c r="C219" s="17">
        <f>'Sampling Data'!B219</f>
        <v>133</v>
      </c>
      <c r="D219" s="17">
        <f>'Sampling Data'!C219</f>
        <v>26</v>
      </c>
      <c r="E219" s="18">
        <f>'Sampling Data'!D219</f>
        <v>0</v>
      </c>
      <c r="F219" s="18">
        <f>'Sampling Data'!E219</f>
        <v>0</v>
      </c>
      <c r="G219" s="18">
        <f>'Sampling Data'!F219</f>
        <v>0</v>
      </c>
      <c r="H219" s="18">
        <f>'Sampling Data'!G219</f>
        <v>0</v>
      </c>
      <c r="I219" s="18">
        <f>'Sampling Data'!H219</f>
        <v>0</v>
      </c>
      <c r="J219" s="18">
        <f>'Sampling Data'!I219</f>
        <v>0</v>
      </c>
      <c r="K219" s="18">
        <f>'Sampling Data'!J219</f>
        <v>0</v>
      </c>
      <c r="L219" s="18">
        <f>'Sampling Data'!K219</f>
        <v>0</v>
      </c>
      <c r="M219" s="18">
        <f>'Sampling Data'!L219</f>
        <v>0</v>
      </c>
      <c r="N219" s="18">
        <f>'Sampling Data'!M219</f>
        <v>0</v>
      </c>
      <c r="O219" s="17">
        <f>'Sampling Data'!N219</f>
        <v>0</v>
      </c>
      <c r="P219" s="17">
        <f>'Sampling Data'!O219</f>
        <v>7</v>
      </c>
      <c r="Q219" s="17">
        <f>'Sampling Data'!P219</f>
        <v>166</v>
      </c>
      <c r="R219" s="17">
        <f>'Sampling Data'!AJ219</f>
        <v>0</v>
      </c>
      <c r="S219" s="111"/>
      <c r="T219" s="111"/>
      <c r="U219" s="112"/>
      <c r="V219" s="112"/>
      <c r="W219" s="111"/>
      <c r="X219" s="111"/>
      <c r="Y219" s="111"/>
      <c r="Z219" s="111"/>
      <c r="AA219" s="14"/>
      <c r="AB219" s="14"/>
      <c r="AC219" s="14"/>
      <c r="AD219" s="14"/>
      <c r="AE219" s="113" t="str">
        <f>IF(NOT(ISBLANK(Audit[[#This Row],[Audit Winning Candidate]])), Audit[[#This Row],[Audit Winning Candidate]]-Audit[[#This Row],[Winning Candidate]], "")</f>
        <v/>
      </c>
      <c r="AF219" s="17" t="str">
        <f>IF(NOT(ISBLANK(Audit[[#This Row],[Audit Losing Candidate]])), Audit[[#This Row],[Audit Losing Candidate]]-Audit[[#This Row],[Losing Candidate]], "")</f>
        <v/>
      </c>
      <c r="AG219" s="17" t="str">
        <f>IF(NOT(ISBLANK(Audit[[#This Row],[Audit Candidate 3]])), Audit[[#This Row],[Audit Candidate 3]]-Audit[[#This Row],[Candidate 3]], "")</f>
        <v/>
      </c>
      <c r="AH219" s="17" t="str">
        <f>IF(NOT(ISBLANK(Audit[[#This Row],[Audit Candidate 4]])),Audit[[#This Row],[Audit Candidate 4]]-Audit[[#This Row],[Candidate 4]], "")</f>
        <v/>
      </c>
      <c r="AI219" s="17" t="str">
        <f>IF(NOT(ISBLANK(Audit[[#This Row],[Audit Candidate 5]])), Audit[[#This Row],[Audit Candidate 5]]-Audit[[#This Row],[Candidate 5]], "")</f>
        <v/>
      </c>
      <c r="AJ219" s="17" t="str">
        <f>IF(NOT(ISBLANK(Audit[[#This Row],[Audit Candidate 6]])), Audit[[#This Row],[Audit Candidate 6]]-Audit[[#This Row],[Candidate 6]], "")</f>
        <v/>
      </c>
      <c r="AK219" s="17" t="str">
        <f>IF(NOT(ISBLANK(Audit[[#This Row],[Audit Candidate 7]])), Audit[[#This Row],[Audit Candidate 7]]-Audit[[#This Row],[Candidate 7]], "")</f>
        <v/>
      </c>
      <c r="AL219" s="17" t="str">
        <f>IF(NOT(ISBLANK(Audit[[#This Row],[Audit Candidate 8]])), Audit[[#This Row],[Audit Candidate 8]]-Audit[[#This Row],[Candidate 8]], "")</f>
        <v/>
      </c>
      <c r="AM219" s="17" t="str">
        <f>IF(NOT(ISBLANK(Audit[[#This Row],[Audit Candidate 9]])), Audit[[#This Row],[Audit Candidate 9]]-Audit[[#This Row],[Candidate 9]], "")</f>
        <v/>
      </c>
      <c r="AN219" s="17" t="str">
        <f>IF(NOT(ISBLANK(Audit[[#This Row],[Audit Candidate 10]])), Audit[[#This Row],[Audit Candidate 10]]-Audit[[#This Row],[Candidate 10]], "")</f>
        <v/>
      </c>
      <c r="AO219" s="17" t="str">
        <f>IF(NOT(ISBLANK(Audit[[#This Row],[Audit Candidate 11]])), Audit[[#This Row],[Audit Candidate 11]]-Audit[[#This Row],[Candidate 11]], "")</f>
        <v/>
      </c>
      <c r="AP219" s="17" t="str">
        <f>IF(NOT(ISBLANK(Audit[[#This Row],[Audit Candidate 12]])), Audit[[#This Row],[Audit Candidate 12]]-Audit[[#This Row],[Candidate 12]], "")</f>
        <v/>
      </c>
      <c r="AQ219" s="17">
        <f>SUMIF(Audit[[#This Row],[Difference Winner]:[Difference Candidate 12]], "&gt;0")</f>
        <v>0</v>
      </c>
      <c r="AR219" s="17">
        <f>SUM(Audit[[#This Row],[Difference Winner]:[Difference Candidate 12]])</f>
        <v>0</v>
      </c>
      <c r="AS219" s="17">
        <f>IF(Audit[[#This Row],[Times p Drawn - With Replacement]]&gt;0, IF(Audit[[#This Row],[Canceled Differences]]&lt;0, Audit[[#This Row],[Max Differences]]+ABS(Audit[[#This Row],[Canceled Differences]]), Audit[[#This Row],[Max Differences]]), 0)</f>
        <v>0</v>
      </c>
      <c r="AT219" s="17">
        <f>'Sampling Data'!AB219</f>
        <v>1.158546936004074E-2</v>
      </c>
      <c r="AU219" s="17">
        <f>IF(
      SUM(Audit[[#This Row],[Audit Losing Candidate]:[Audit Candidate 12]])
      &lt;&gt;0,
      (Audit[[#This Row],[Winning Candidate]]-Audit[[#This Row],[Losing Candidate]]-(Audit[[#This Row],[Audit Winning Candidate]]-Audit[[#This Row],[Audit Losing Candidate]]))/(Audit[[#Totals],[Winning Candidate]]-Audit[[#Totals],[Losing Candidate]]),
      0
)</f>
        <v>0</v>
      </c>
      <c r="AV2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9" s="17">
        <f>IF(Audit[[#This Row],[Max Relative Error (ep)]] = 0, 0, Audit[[#This Row],[Max Relative Error (ep)]]/Audit[[#This Row],[Error Bound (up) - Max. possible relative overstatement]])</f>
        <v>0</v>
      </c>
      <c r="BH2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19" s="17">
        <f t="shared" si="4"/>
        <v>1</v>
      </c>
      <c r="BJ219" s="17">
        <f>PRODUCT($BI$5:BI219)</f>
        <v>0.64389454822022163</v>
      </c>
      <c r="BK219" s="19">
        <f>1 - Audit[[#This Row],[K-M P Value]]</f>
        <v>0.35610545177977837</v>
      </c>
      <c r="BL219" s="17" t="str">
        <f>IF(Audit[[#This Row],[K-M P Value]]&gt;1-'General Info'!$B$12,"Continue", "Stop")</f>
        <v>Continue</v>
      </c>
      <c r="BM219" s="22" t="b">
        <f>IF(Audit[[#This Row],[Status - Continue or stop audit]] = "Continue", TRUE, IF(BL218 = "Continue", TRUE, FALSE))</f>
        <v>1</v>
      </c>
      <c r="BN219" s="22"/>
    </row>
    <row r="220" spans="1:66" ht="15" hidden="1" customHeight="1" x14ac:dyDescent="0.35">
      <c r="A220" s="17" t="str">
        <f>'Sampling Data'!AI220</f>
        <v/>
      </c>
      <c r="B220" s="17" t="str">
        <f>'Sampling Data'!A220</f>
        <v>3207 FR PK G   (AV)</v>
      </c>
      <c r="C220" s="17">
        <f>'Sampling Data'!B220</f>
        <v>184</v>
      </c>
      <c r="D220" s="17">
        <f>'Sampling Data'!C220</f>
        <v>15</v>
      </c>
      <c r="E220" s="18">
        <f>'Sampling Data'!D220</f>
        <v>0</v>
      </c>
      <c r="F220" s="18">
        <f>'Sampling Data'!E220</f>
        <v>0</v>
      </c>
      <c r="G220" s="18">
        <f>'Sampling Data'!F220</f>
        <v>0</v>
      </c>
      <c r="H220" s="18">
        <f>'Sampling Data'!G220</f>
        <v>0</v>
      </c>
      <c r="I220" s="18">
        <f>'Sampling Data'!H220</f>
        <v>0</v>
      </c>
      <c r="J220" s="18">
        <f>'Sampling Data'!I220</f>
        <v>0</v>
      </c>
      <c r="K220" s="18">
        <f>'Sampling Data'!J220</f>
        <v>0</v>
      </c>
      <c r="L220" s="18">
        <f>'Sampling Data'!K220</f>
        <v>0</v>
      </c>
      <c r="M220" s="18">
        <f>'Sampling Data'!L220</f>
        <v>0</v>
      </c>
      <c r="N220" s="18">
        <f>'Sampling Data'!M220</f>
        <v>0</v>
      </c>
      <c r="O220" s="17">
        <f>'Sampling Data'!N220</f>
        <v>0</v>
      </c>
      <c r="P220" s="17">
        <f>'Sampling Data'!O220</f>
        <v>9</v>
      </c>
      <c r="Q220" s="17">
        <f>'Sampling Data'!P220</f>
        <v>208</v>
      </c>
      <c r="R220" s="17">
        <f>'Sampling Data'!AJ220</f>
        <v>0</v>
      </c>
      <c r="S220" s="111"/>
      <c r="T220" s="111"/>
      <c r="U220" s="112"/>
      <c r="V220" s="112"/>
      <c r="W220" s="111"/>
      <c r="X220" s="111"/>
      <c r="Y220" s="111"/>
      <c r="Z220" s="111"/>
      <c r="AA220" s="14"/>
      <c r="AB220" s="14"/>
      <c r="AC220" s="14"/>
      <c r="AD220" s="14"/>
      <c r="AE220" s="113" t="str">
        <f>IF(NOT(ISBLANK(Audit[[#This Row],[Audit Winning Candidate]])), Audit[[#This Row],[Audit Winning Candidate]]-Audit[[#This Row],[Winning Candidate]], "")</f>
        <v/>
      </c>
      <c r="AF220" s="17" t="str">
        <f>IF(NOT(ISBLANK(Audit[[#This Row],[Audit Losing Candidate]])), Audit[[#This Row],[Audit Losing Candidate]]-Audit[[#This Row],[Losing Candidate]], "")</f>
        <v/>
      </c>
      <c r="AG220" s="17" t="str">
        <f>IF(NOT(ISBLANK(Audit[[#This Row],[Audit Candidate 3]])), Audit[[#This Row],[Audit Candidate 3]]-Audit[[#This Row],[Candidate 3]], "")</f>
        <v/>
      </c>
      <c r="AH220" s="17" t="str">
        <f>IF(NOT(ISBLANK(Audit[[#This Row],[Audit Candidate 4]])),Audit[[#This Row],[Audit Candidate 4]]-Audit[[#This Row],[Candidate 4]], "")</f>
        <v/>
      </c>
      <c r="AI220" s="17" t="str">
        <f>IF(NOT(ISBLANK(Audit[[#This Row],[Audit Candidate 5]])), Audit[[#This Row],[Audit Candidate 5]]-Audit[[#This Row],[Candidate 5]], "")</f>
        <v/>
      </c>
      <c r="AJ220" s="17" t="str">
        <f>IF(NOT(ISBLANK(Audit[[#This Row],[Audit Candidate 6]])), Audit[[#This Row],[Audit Candidate 6]]-Audit[[#This Row],[Candidate 6]], "")</f>
        <v/>
      </c>
      <c r="AK220" s="17" t="str">
        <f>IF(NOT(ISBLANK(Audit[[#This Row],[Audit Candidate 7]])), Audit[[#This Row],[Audit Candidate 7]]-Audit[[#This Row],[Candidate 7]], "")</f>
        <v/>
      </c>
      <c r="AL220" s="17" t="str">
        <f>IF(NOT(ISBLANK(Audit[[#This Row],[Audit Candidate 8]])), Audit[[#This Row],[Audit Candidate 8]]-Audit[[#This Row],[Candidate 8]], "")</f>
        <v/>
      </c>
      <c r="AM220" s="17" t="str">
        <f>IF(NOT(ISBLANK(Audit[[#This Row],[Audit Candidate 9]])), Audit[[#This Row],[Audit Candidate 9]]-Audit[[#This Row],[Candidate 9]], "")</f>
        <v/>
      </c>
      <c r="AN220" s="17" t="str">
        <f>IF(NOT(ISBLANK(Audit[[#This Row],[Audit Candidate 10]])), Audit[[#This Row],[Audit Candidate 10]]-Audit[[#This Row],[Candidate 10]], "")</f>
        <v/>
      </c>
      <c r="AO220" s="17" t="str">
        <f>IF(NOT(ISBLANK(Audit[[#This Row],[Audit Candidate 11]])), Audit[[#This Row],[Audit Candidate 11]]-Audit[[#This Row],[Candidate 11]], "")</f>
        <v/>
      </c>
      <c r="AP220" s="17" t="str">
        <f>IF(NOT(ISBLANK(Audit[[#This Row],[Audit Candidate 12]])), Audit[[#This Row],[Audit Candidate 12]]-Audit[[#This Row],[Candidate 12]], "")</f>
        <v/>
      </c>
      <c r="AQ220" s="17">
        <f>SUMIF(Audit[[#This Row],[Difference Winner]:[Difference Candidate 12]], "&gt;0")</f>
        <v>0</v>
      </c>
      <c r="AR220" s="17">
        <f>SUM(Audit[[#This Row],[Difference Winner]:[Difference Candidate 12]])</f>
        <v>0</v>
      </c>
      <c r="AS220" s="17">
        <f>IF(Audit[[#This Row],[Times p Drawn - With Replacement]]&gt;0, IF(Audit[[#This Row],[Canceled Differences]]&lt;0, Audit[[#This Row],[Max Differences]]+ABS(Audit[[#This Row],[Canceled Differences]]), Audit[[#This Row],[Max Differences]]), 0)</f>
        <v>0</v>
      </c>
      <c r="AT220" s="17">
        <f>'Sampling Data'!AB220</f>
        <v>1.5998981497199118E-2</v>
      </c>
      <c r="AU220" s="17">
        <f>IF(
      SUM(Audit[[#This Row],[Audit Losing Candidate]:[Audit Candidate 12]])
      &lt;&gt;0,
      (Audit[[#This Row],[Winning Candidate]]-Audit[[#This Row],[Losing Candidate]]-(Audit[[#This Row],[Audit Winning Candidate]]-Audit[[#This Row],[Audit Losing Candidate]]))/(Audit[[#Totals],[Winning Candidate]]-Audit[[#Totals],[Losing Candidate]]),
      0
)</f>
        <v>0</v>
      </c>
      <c r="AV2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0" s="17">
        <f>IF(Audit[[#This Row],[Max Relative Error (ep)]] = 0, 0, Audit[[#This Row],[Max Relative Error (ep)]]/Audit[[#This Row],[Error Bound (up) - Max. possible relative overstatement]])</f>
        <v>0</v>
      </c>
      <c r="BH2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20" s="17">
        <f t="shared" si="4"/>
        <v>1</v>
      </c>
      <c r="BJ220" s="17">
        <f>PRODUCT($BI$5:BI220)</f>
        <v>0.64389454822022163</v>
      </c>
      <c r="BK220" s="19">
        <f>1 - Audit[[#This Row],[K-M P Value]]</f>
        <v>0.35610545177977837</v>
      </c>
      <c r="BL220" s="17" t="str">
        <f>IF(Audit[[#This Row],[K-M P Value]]&gt;1-'General Info'!$B$12,"Continue", "Stop")</f>
        <v>Continue</v>
      </c>
      <c r="BM220" s="22" t="b">
        <f>IF(Audit[[#This Row],[Status - Continue or stop audit]] = "Continue", TRUE, IF(BL219 = "Continue", TRUE, FALSE))</f>
        <v>1</v>
      </c>
      <c r="BN220" s="22"/>
    </row>
    <row r="221" spans="1:66" ht="15" hidden="1" customHeight="1" x14ac:dyDescent="0.35">
      <c r="A221" s="17" t="str">
        <f>'Sampling Data'!AI221</f>
        <v/>
      </c>
      <c r="B221" s="17" t="str">
        <f>'Sampling Data'!A221</f>
        <v>3208 FR PK H   (AV)</v>
      </c>
      <c r="C221" s="17">
        <f>'Sampling Data'!B221</f>
        <v>169</v>
      </c>
      <c r="D221" s="17">
        <f>'Sampling Data'!C221</f>
        <v>19</v>
      </c>
      <c r="E221" s="18">
        <f>'Sampling Data'!D221</f>
        <v>0</v>
      </c>
      <c r="F221" s="18">
        <f>'Sampling Data'!E221</f>
        <v>0</v>
      </c>
      <c r="G221" s="18">
        <f>'Sampling Data'!F221</f>
        <v>0</v>
      </c>
      <c r="H221" s="18">
        <f>'Sampling Data'!G221</f>
        <v>0</v>
      </c>
      <c r="I221" s="18">
        <f>'Sampling Data'!H221</f>
        <v>0</v>
      </c>
      <c r="J221" s="18">
        <f>'Sampling Data'!I221</f>
        <v>0</v>
      </c>
      <c r="K221" s="18">
        <f>'Sampling Data'!J221</f>
        <v>0</v>
      </c>
      <c r="L221" s="18">
        <f>'Sampling Data'!K221</f>
        <v>0</v>
      </c>
      <c r="M221" s="18">
        <f>'Sampling Data'!L221</f>
        <v>0</v>
      </c>
      <c r="N221" s="18">
        <f>'Sampling Data'!M221</f>
        <v>0</v>
      </c>
      <c r="O221" s="17">
        <f>'Sampling Data'!N221</f>
        <v>0</v>
      </c>
      <c r="P221" s="17">
        <f>'Sampling Data'!O221</f>
        <v>5</v>
      </c>
      <c r="Q221" s="17">
        <f>'Sampling Data'!P221</f>
        <v>193</v>
      </c>
      <c r="R221" s="17">
        <f>'Sampling Data'!AJ221</f>
        <v>0</v>
      </c>
      <c r="S221" s="111"/>
      <c r="T221" s="111"/>
      <c r="U221" s="112"/>
      <c r="V221" s="112"/>
      <c r="W221" s="111"/>
      <c r="X221" s="111"/>
      <c r="Y221" s="111"/>
      <c r="Z221" s="111"/>
      <c r="AA221" s="14"/>
      <c r="AB221" s="14"/>
      <c r="AC221" s="14"/>
      <c r="AD221" s="14"/>
      <c r="AE221" s="113" t="str">
        <f>IF(NOT(ISBLANK(Audit[[#This Row],[Audit Winning Candidate]])), Audit[[#This Row],[Audit Winning Candidate]]-Audit[[#This Row],[Winning Candidate]], "")</f>
        <v/>
      </c>
      <c r="AF221" s="17" t="str">
        <f>IF(NOT(ISBLANK(Audit[[#This Row],[Audit Losing Candidate]])), Audit[[#This Row],[Audit Losing Candidate]]-Audit[[#This Row],[Losing Candidate]], "")</f>
        <v/>
      </c>
      <c r="AG221" s="17" t="str">
        <f>IF(NOT(ISBLANK(Audit[[#This Row],[Audit Candidate 3]])), Audit[[#This Row],[Audit Candidate 3]]-Audit[[#This Row],[Candidate 3]], "")</f>
        <v/>
      </c>
      <c r="AH221" s="17" t="str">
        <f>IF(NOT(ISBLANK(Audit[[#This Row],[Audit Candidate 4]])),Audit[[#This Row],[Audit Candidate 4]]-Audit[[#This Row],[Candidate 4]], "")</f>
        <v/>
      </c>
      <c r="AI221" s="17" t="str">
        <f>IF(NOT(ISBLANK(Audit[[#This Row],[Audit Candidate 5]])), Audit[[#This Row],[Audit Candidate 5]]-Audit[[#This Row],[Candidate 5]], "")</f>
        <v/>
      </c>
      <c r="AJ221" s="17" t="str">
        <f>IF(NOT(ISBLANK(Audit[[#This Row],[Audit Candidate 6]])), Audit[[#This Row],[Audit Candidate 6]]-Audit[[#This Row],[Candidate 6]], "")</f>
        <v/>
      </c>
      <c r="AK221" s="17" t="str">
        <f>IF(NOT(ISBLANK(Audit[[#This Row],[Audit Candidate 7]])), Audit[[#This Row],[Audit Candidate 7]]-Audit[[#This Row],[Candidate 7]], "")</f>
        <v/>
      </c>
      <c r="AL221" s="17" t="str">
        <f>IF(NOT(ISBLANK(Audit[[#This Row],[Audit Candidate 8]])), Audit[[#This Row],[Audit Candidate 8]]-Audit[[#This Row],[Candidate 8]], "")</f>
        <v/>
      </c>
      <c r="AM221" s="17" t="str">
        <f>IF(NOT(ISBLANK(Audit[[#This Row],[Audit Candidate 9]])), Audit[[#This Row],[Audit Candidate 9]]-Audit[[#This Row],[Candidate 9]], "")</f>
        <v/>
      </c>
      <c r="AN221" s="17" t="str">
        <f>IF(NOT(ISBLANK(Audit[[#This Row],[Audit Candidate 10]])), Audit[[#This Row],[Audit Candidate 10]]-Audit[[#This Row],[Candidate 10]], "")</f>
        <v/>
      </c>
      <c r="AO221" s="17" t="str">
        <f>IF(NOT(ISBLANK(Audit[[#This Row],[Audit Candidate 11]])), Audit[[#This Row],[Audit Candidate 11]]-Audit[[#This Row],[Candidate 11]], "")</f>
        <v/>
      </c>
      <c r="AP221" s="17" t="str">
        <f>IF(NOT(ISBLANK(Audit[[#This Row],[Audit Candidate 12]])), Audit[[#This Row],[Audit Candidate 12]]-Audit[[#This Row],[Candidate 12]], "")</f>
        <v/>
      </c>
      <c r="AQ221" s="17">
        <f>SUMIF(Audit[[#This Row],[Difference Winner]:[Difference Candidate 12]], "&gt;0")</f>
        <v>0</v>
      </c>
      <c r="AR221" s="17">
        <f>SUM(Audit[[#This Row],[Difference Winner]:[Difference Candidate 12]])</f>
        <v>0</v>
      </c>
      <c r="AS221" s="17">
        <f>IF(Audit[[#This Row],[Times p Drawn - With Replacement]]&gt;0, IF(Audit[[#This Row],[Canceled Differences]]&lt;0, Audit[[#This Row],[Max Differences]]+ABS(Audit[[#This Row],[Canceled Differences]]), Audit[[#This Row],[Max Differences]]), 0)</f>
        <v>0</v>
      </c>
      <c r="AT221" s="17">
        <f>'Sampling Data'!AB221</f>
        <v>1.4556102529281956E-2</v>
      </c>
      <c r="AU221" s="17">
        <f>IF(
      SUM(Audit[[#This Row],[Audit Losing Candidate]:[Audit Candidate 12]])
      &lt;&gt;0,
      (Audit[[#This Row],[Winning Candidate]]-Audit[[#This Row],[Losing Candidate]]-(Audit[[#This Row],[Audit Winning Candidate]]-Audit[[#This Row],[Audit Losing Candidate]]))/(Audit[[#Totals],[Winning Candidate]]-Audit[[#Totals],[Losing Candidate]]),
      0
)</f>
        <v>0</v>
      </c>
      <c r="AV2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1" s="17">
        <f>IF(Audit[[#This Row],[Max Relative Error (ep)]] = 0, 0, Audit[[#This Row],[Max Relative Error (ep)]]/Audit[[#This Row],[Error Bound (up) - Max. possible relative overstatement]])</f>
        <v>0</v>
      </c>
      <c r="BH2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21" s="17">
        <f t="shared" si="4"/>
        <v>1</v>
      </c>
      <c r="BJ221" s="17">
        <f>PRODUCT($BI$5:BI221)</f>
        <v>0.64389454822022163</v>
      </c>
      <c r="BK221" s="19">
        <f>1 - Audit[[#This Row],[K-M P Value]]</f>
        <v>0.35610545177977837</v>
      </c>
      <c r="BL221" s="17" t="str">
        <f>IF(Audit[[#This Row],[K-M P Value]]&gt;1-'General Info'!$B$12,"Continue", "Stop")</f>
        <v>Continue</v>
      </c>
      <c r="BM221" s="22" t="b">
        <f>IF(Audit[[#This Row],[Status - Continue or stop audit]] = "Continue", TRUE, IF(BL220 = "Continue", TRUE, FALSE))</f>
        <v>1</v>
      </c>
      <c r="BN221" s="22"/>
    </row>
    <row r="222" spans="1:66" ht="15" hidden="1" customHeight="1" x14ac:dyDescent="0.35">
      <c r="A222" s="17" t="str">
        <f>'Sampling Data'!AI222</f>
        <v/>
      </c>
      <c r="B222" s="17" t="str">
        <f>'Sampling Data'!A222</f>
        <v>3209 FR PK I   (AV)</v>
      </c>
      <c r="C222" s="17">
        <f>'Sampling Data'!B222</f>
        <v>297</v>
      </c>
      <c r="D222" s="17">
        <f>'Sampling Data'!C222</f>
        <v>76</v>
      </c>
      <c r="E222" s="18">
        <f>'Sampling Data'!D222</f>
        <v>0</v>
      </c>
      <c r="F222" s="18">
        <f>'Sampling Data'!E222</f>
        <v>0</v>
      </c>
      <c r="G222" s="18">
        <f>'Sampling Data'!F222</f>
        <v>0</v>
      </c>
      <c r="H222" s="18">
        <f>'Sampling Data'!G222</f>
        <v>0</v>
      </c>
      <c r="I222" s="18">
        <f>'Sampling Data'!H222</f>
        <v>0</v>
      </c>
      <c r="J222" s="18">
        <f>'Sampling Data'!I222</f>
        <v>0</v>
      </c>
      <c r="K222" s="18">
        <f>'Sampling Data'!J222</f>
        <v>0</v>
      </c>
      <c r="L222" s="18">
        <f>'Sampling Data'!K222</f>
        <v>0</v>
      </c>
      <c r="M222" s="18">
        <f>'Sampling Data'!L222</f>
        <v>0</v>
      </c>
      <c r="N222" s="18">
        <f>'Sampling Data'!M222</f>
        <v>0</v>
      </c>
      <c r="O222" s="17">
        <f>'Sampling Data'!N222</f>
        <v>0</v>
      </c>
      <c r="P222" s="17">
        <f>'Sampling Data'!O222</f>
        <v>14</v>
      </c>
      <c r="Q222" s="17">
        <f>'Sampling Data'!P222</f>
        <v>387</v>
      </c>
      <c r="R222" s="17">
        <f>'Sampling Data'!AJ222</f>
        <v>0</v>
      </c>
      <c r="S222" s="111"/>
      <c r="T222" s="111"/>
      <c r="U222" s="112"/>
      <c r="V222" s="112"/>
      <c r="W222" s="111"/>
      <c r="X222" s="111"/>
      <c r="Y222" s="111"/>
      <c r="Z222" s="111"/>
      <c r="AA222" s="14"/>
      <c r="AB222" s="14"/>
      <c r="AC222" s="14"/>
      <c r="AD222" s="14"/>
      <c r="AE222" s="113" t="str">
        <f>IF(NOT(ISBLANK(Audit[[#This Row],[Audit Winning Candidate]])), Audit[[#This Row],[Audit Winning Candidate]]-Audit[[#This Row],[Winning Candidate]], "")</f>
        <v/>
      </c>
      <c r="AF222" s="17" t="str">
        <f>IF(NOT(ISBLANK(Audit[[#This Row],[Audit Losing Candidate]])), Audit[[#This Row],[Audit Losing Candidate]]-Audit[[#This Row],[Losing Candidate]], "")</f>
        <v/>
      </c>
      <c r="AG222" s="17" t="str">
        <f>IF(NOT(ISBLANK(Audit[[#This Row],[Audit Candidate 3]])), Audit[[#This Row],[Audit Candidate 3]]-Audit[[#This Row],[Candidate 3]], "")</f>
        <v/>
      </c>
      <c r="AH222" s="17" t="str">
        <f>IF(NOT(ISBLANK(Audit[[#This Row],[Audit Candidate 4]])),Audit[[#This Row],[Audit Candidate 4]]-Audit[[#This Row],[Candidate 4]], "")</f>
        <v/>
      </c>
      <c r="AI222" s="17" t="str">
        <f>IF(NOT(ISBLANK(Audit[[#This Row],[Audit Candidate 5]])), Audit[[#This Row],[Audit Candidate 5]]-Audit[[#This Row],[Candidate 5]], "")</f>
        <v/>
      </c>
      <c r="AJ222" s="17" t="str">
        <f>IF(NOT(ISBLANK(Audit[[#This Row],[Audit Candidate 6]])), Audit[[#This Row],[Audit Candidate 6]]-Audit[[#This Row],[Candidate 6]], "")</f>
        <v/>
      </c>
      <c r="AK222" s="17" t="str">
        <f>IF(NOT(ISBLANK(Audit[[#This Row],[Audit Candidate 7]])), Audit[[#This Row],[Audit Candidate 7]]-Audit[[#This Row],[Candidate 7]], "")</f>
        <v/>
      </c>
      <c r="AL222" s="17" t="str">
        <f>IF(NOT(ISBLANK(Audit[[#This Row],[Audit Candidate 8]])), Audit[[#This Row],[Audit Candidate 8]]-Audit[[#This Row],[Candidate 8]], "")</f>
        <v/>
      </c>
      <c r="AM222" s="17" t="str">
        <f>IF(NOT(ISBLANK(Audit[[#This Row],[Audit Candidate 9]])), Audit[[#This Row],[Audit Candidate 9]]-Audit[[#This Row],[Candidate 9]], "")</f>
        <v/>
      </c>
      <c r="AN222" s="17" t="str">
        <f>IF(NOT(ISBLANK(Audit[[#This Row],[Audit Candidate 10]])), Audit[[#This Row],[Audit Candidate 10]]-Audit[[#This Row],[Candidate 10]], "")</f>
        <v/>
      </c>
      <c r="AO222" s="17" t="str">
        <f>IF(NOT(ISBLANK(Audit[[#This Row],[Audit Candidate 11]])), Audit[[#This Row],[Audit Candidate 11]]-Audit[[#This Row],[Candidate 11]], "")</f>
        <v/>
      </c>
      <c r="AP222" s="17" t="str">
        <f>IF(NOT(ISBLANK(Audit[[#This Row],[Audit Candidate 12]])), Audit[[#This Row],[Audit Candidate 12]]-Audit[[#This Row],[Candidate 12]], "")</f>
        <v/>
      </c>
      <c r="AQ222" s="17">
        <f>SUMIF(Audit[[#This Row],[Difference Winner]:[Difference Candidate 12]], "&gt;0")</f>
        <v>0</v>
      </c>
      <c r="AR222" s="17">
        <f>SUM(Audit[[#This Row],[Difference Winner]:[Difference Candidate 12]])</f>
        <v>0</v>
      </c>
      <c r="AS222" s="17">
        <f>IF(Audit[[#This Row],[Times p Drawn - With Replacement]]&gt;0, IF(Audit[[#This Row],[Canceled Differences]]&lt;0, Audit[[#This Row],[Max Differences]]+ABS(Audit[[#This Row],[Canceled Differences]]), Audit[[#This Row],[Max Differences]]), 0)</f>
        <v>0</v>
      </c>
      <c r="AT222" s="17">
        <f>'Sampling Data'!AB222</f>
        <v>2.5802070955695127E-2</v>
      </c>
      <c r="AU222" s="17">
        <f>IF(
      SUM(Audit[[#This Row],[Audit Losing Candidate]:[Audit Candidate 12]])
      &lt;&gt;0,
      (Audit[[#This Row],[Winning Candidate]]-Audit[[#This Row],[Losing Candidate]]-(Audit[[#This Row],[Audit Winning Candidate]]-Audit[[#This Row],[Audit Losing Candidate]]))/(Audit[[#Totals],[Winning Candidate]]-Audit[[#Totals],[Losing Candidate]]),
      0
)</f>
        <v>0</v>
      </c>
      <c r="AV2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2" s="17">
        <f>IF(Audit[[#This Row],[Max Relative Error (ep)]] = 0, 0, Audit[[#This Row],[Max Relative Error (ep)]]/Audit[[#This Row],[Error Bound (up) - Max. possible relative overstatement]])</f>
        <v>0</v>
      </c>
      <c r="BH2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22" s="17">
        <f t="shared" si="4"/>
        <v>1</v>
      </c>
      <c r="BJ222" s="17">
        <f>PRODUCT($BI$5:BI222)</f>
        <v>0.64389454822022163</v>
      </c>
      <c r="BK222" s="19">
        <f>1 - Audit[[#This Row],[K-M P Value]]</f>
        <v>0.35610545177977837</v>
      </c>
      <c r="BL222" s="17" t="str">
        <f>IF(Audit[[#This Row],[K-M P Value]]&gt;1-'General Info'!$B$12,"Continue", "Stop")</f>
        <v>Continue</v>
      </c>
      <c r="BM222" s="22" t="b">
        <f>IF(Audit[[#This Row],[Status - Continue or stop audit]] = "Continue", TRUE, IF(BL221 = "Continue", TRUE, FALSE))</f>
        <v>1</v>
      </c>
      <c r="BN222" s="22"/>
    </row>
    <row r="223" spans="1:66" ht="15" hidden="1" customHeight="1" x14ac:dyDescent="0.35">
      <c r="A223" s="17" t="str">
        <f>'Sampling Data'!AI223</f>
        <v/>
      </c>
      <c r="B223" s="17" t="str">
        <f>'Sampling Data'!A223</f>
        <v>3210 FR PK J   (AV)</v>
      </c>
      <c r="C223" s="17">
        <f>'Sampling Data'!B223</f>
        <v>206</v>
      </c>
      <c r="D223" s="17">
        <f>'Sampling Data'!C223</f>
        <v>21</v>
      </c>
      <c r="E223" s="18">
        <f>'Sampling Data'!D223</f>
        <v>0</v>
      </c>
      <c r="F223" s="18">
        <f>'Sampling Data'!E223</f>
        <v>0</v>
      </c>
      <c r="G223" s="18">
        <f>'Sampling Data'!F223</f>
        <v>0</v>
      </c>
      <c r="H223" s="18">
        <f>'Sampling Data'!G223</f>
        <v>0</v>
      </c>
      <c r="I223" s="18">
        <f>'Sampling Data'!H223</f>
        <v>0</v>
      </c>
      <c r="J223" s="18">
        <f>'Sampling Data'!I223</f>
        <v>0</v>
      </c>
      <c r="K223" s="18">
        <f>'Sampling Data'!J223</f>
        <v>0</v>
      </c>
      <c r="L223" s="18">
        <f>'Sampling Data'!K223</f>
        <v>0</v>
      </c>
      <c r="M223" s="18">
        <f>'Sampling Data'!L223</f>
        <v>0</v>
      </c>
      <c r="N223" s="18">
        <f>'Sampling Data'!M223</f>
        <v>0</v>
      </c>
      <c r="O223" s="17">
        <f>'Sampling Data'!N223</f>
        <v>0</v>
      </c>
      <c r="P223" s="17">
        <f>'Sampling Data'!O223</f>
        <v>8</v>
      </c>
      <c r="Q223" s="17">
        <f>'Sampling Data'!P223</f>
        <v>235</v>
      </c>
      <c r="R223" s="17">
        <f>'Sampling Data'!AJ223</f>
        <v>0</v>
      </c>
      <c r="S223" s="111"/>
      <c r="T223" s="111"/>
      <c r="U223" s="112"/>
      <c r="V223" s="112"/>
      <c r="W223" s="111"/>
      <c r="X223" s="111"/>
      <c r="Y223" s="111"/>
      <c r="Z223" s="111"/>
      <c r="AA223" s="14"/>
      <c r="AB223" s="14"/>
      <c r="AC223" s="14"/>
      <c r="AD223" s="14"/>
      <c r="AE223" s="113" t="str">
        <f>IF(NOT(ISBLANK(Audit[[#This Row],[Audit Winning Candidate]])), Audit[[#This Row],[Audit Winning Candidate]]-Audit[[#This Row],[Winning Candidate]], "")</f>
        <v/>
      </c>
      <c r="AF223" s="17" t="str">
        <f>IF(NOT(ISBLANK(Audit[[#This Row],[Audit Losing Candidate]])), Audit[[#This Row],[Audit Losing Candidate]]-Audit[[#This Row],[Losing Candidate]], "")</f>
        <v/>
      </c>
      <c r="AG223" s="17" t="str">
        <f>IF(NOT(ISBLANK(Audit[[#This Row],[Audit Candidate 3]])), Audit[[#This Row],[Audit Candidate 3]]-Audit[[#This Row],[Candidate 3]], "")</f>
        <v/>
      </c>
      <c r="AH223" s="17" t="str">
        <f>IF(NOT(ISBLANK(Audit[[#This Row],[Audit Candidate 4]])),Audit[[#This Row],[Audit Candidate 4]]-Audit[[#This Row],[Candidate 4]], "")</f>
        <v/>
      </c>
      <c r="AI223" s="17" t="str">
        <f>IF(NOT(ISBLANK(Audit[[#This Row],[Audit Candidate 5]])), Audit[[#This Row],[Audit Candidate 5]]-Audit[[#This Row],[Candidate 5]], "")</f>
        <v/>
      </c>
      <c r="AJ223" s="17" t="str">
        <f>IF(NOT(ISBLANK(Audit[[#This Row],[Audit Candidate 6]])), Audit[[#This Row],[Audit Candidate 6]]-Audit[[#This Row],[Candidate 6]], "")</f>
        <v/>
      </c>
      <c r="AK223" s="17" t="str">
        <f>IF(NOT(ISBLANK(Audit[[#This Row],[Audit Candidate 7]])), Audit[[#This Row],[Audit Candidate 7]]-Audit[[#This Row],[Candidate 7]], "")</f>
        <v/>
      </c>
      <c r="AL223" s="17" t="str">
        <f>IF(NOT(ISBLANK(Audit[[#This Row],[Audit Candidate 8]])), Audit[[#This Row],[Audit Candidate 8]]-Audit[[#This Row],[Candidate 8]], "")</f>
        <v/>
      </c>
      <c r="AM223" s="17" t="str">
        <f>IF(NOT(ISBLANK(Audit[[#This Row],[Audit Candidate 9]])), Audit[[#This Row],[Audit Candidate 9]]-Audit[[#This Row],[Candidate 9]], "")</f>
        <v/>
      </c>
      <c r="AN223" s="17" t="str">
        <f>IF(NOT(ISBLANK(Audit[[#This Row],[Audit Candidate 10]])), Audit[[#This Row],[Audit Candidate 10]]-Audit[[#This Row],[Candidate 10]], "")</f>
        <v/>
      </c>
      <c r="AO223" s="17" t="str">
        <f>IF(NOT(ISBLANK(Audit[[#This Row],[Audit Candidate 11]])), Audit[[#This Row],[Audit Candidate 11]]-Audit[[#This Row],[Candidate 11]], "")</f>
        <v/>
      </c>
      <c r="AP223" s="17" t="str">
        <f>IF(NOT(ISBLANK(Audit[[#This Row],[Audit Candidate 12]])), Audit[[#This Row],[Audit Candidate 12]]-Audit[[#This Row],[Candidate 12]], "")</f>
        <v/>
      </c>
      <c r="AQ223" s="17">
        <f>SUMIF(Audit[[#This Row],[Difference Winner]:[Difference Candidate 12]], "&gt;0")</f>
        <v>0</v>
      </c>
      <c r="AR223" s="17">
        <f>SUM(Audit[[#This Row],[Difference Winner]:[Difference Candidate 12]])</f>
        <v>0</v>
      </c>
      <c r="AS223" s="17">
        <f>IF(Audit[[#This Row],[Times p Drawn - With Replacement]]&gt;0, IF(Audit[[#This Row],[Canceled Differences]]&lt;0, Audit[[#This Row],[Max Differences]]+ABS(Audit[[#This Row],[Canceled Differences]]), Audit[[#This Row],[Max Differences]]), 0)</f>
        <v>0</v>
      </c>
      <c r="AT223" s="17">
        <f>'Sampling Data'!AB223</f>
        <v>1.7823799015447294E-2</v>
      </c>
      <c r="AU223" s="17">
        <f>IF(
      SUM(Audit[[#This Row],[Audit Losing Candidate]:[Audit Candidate 12]])
      &lt;&gt;0,
      (Audit[[#This Row],[Winning Candidate]]-Audit[[#This Row],[Losing Candidate]]-(Audit[[#This Row],[Audit Winning Candidate]]-Audit[[#This Row],[Audit Losing Candidate]]))/(Audit[[#Totals],[Winning Candidate]]-Audit[[#Totals],[Losing Candidate]]),
      0
)</f>
        <v>0</v>
      </c>
      <c r="AV2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3" s="17">
        <f>IF(Audit[[#This Row],[Max Relative Error (ep)]] = 0, 0, Audit[[#This Row],[Max Relative Error (ep)]]/Audit[[#This Row],[Error Bound (up) - Max. possible relative overstatement]])</f>
        <v>0</v>
      </c>
      <c r="BH2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23" s="17">
        <f t="shared" si="4"/>
        <v>1</v>
      </c>
      <c r="BJ223" s="17">
        <f>PRODUCT($BI$5:BI223)</f>
        <v>0.64389454822022163</v>
      </c>
      <c r="BK223" s="19">
        <f>1 - Audit[[#This Row],[K-M P Value]]</f>
        <v>0.35610545177977837</v>
      </c>
      <c r="BL223" s="17" t="str">
        <f>IF(Audit[[#This Row],[K-M P Value]]&gt;1-'General Info'!$B$12,"Continue", "Stop")</f>
        <v>Continue</v>
      </c>
      <c r="BM223" s="22" t="b">
        <f>IF(Audit[[#This Row],[Status - Continue or stop audit]] = "Continue", TRUE, IF(BL222 = "Continue", TRUE, FALSE))</f>
        <v>1</v>
      </c>
      <c r="BN223" s="22"/>
    </row>
    <row r="224" spans="1:66" ht="15" hidden="1" customHeight="1" x14ac:dyDescent="0.35">
      <c r="A224" s="17" t="str">
        <f>'Sampling Data'!AI224</f>
        <v/>
      </c>
      <c r="B224" s="17" t="str">
        <f>'Sampling Data'!A224</f>
        <v>3211 FR PK K   (AV)</v>
      </c>
      <c r="C224" s="17">
        <f>'Sampling Data'!B224</f>
        <v>181</v>
      </c>
      <c r="D224" s="17">
        <f>'Sampling Data'!C224</f>
        <v>55</v>
      </c>
      <c r="E224" s="18">
        <f>'Sampling Data'!D224</f>
        <v>0</v>
      </c>
      <c r="F224" s="18">
        <f>'Sampling Data'!E224</f>
        <v>0</v>
      </c>
      <c r="G224" s="18">
        <f>'Sampling Data'!F224</f>
        <v>0</v>
      </c>
      <c r="H224" s="18">
        <f>'Sampling Data'!G224</f>
        <v>0</v>
      </c>
      <c r="I224" s="18">
        <f>'Sampling Data'!H224</f>
        <v>0</v>
      </c>
      <c r="J224" s="18">
        <f>'Sampling Data'!I224</f>
        <v>0</v>
      </c>
      <c r="K224" s="18">
        <f>'Sampling Data'!J224</f>
        <v>0</v>
      </c>
      <c r="L224" s="18">
        <f>'Sampling Data'!K224</f>
        <v>0</v>
      </c>
      <c r="M224" s="18">
        <f>'Sampling Data'!L224</f>
        <v>0</v>
      </c>
      <c r="N224" s="18">
        <f>'Sampling Data'!M224</f>
        <v>0</v>
      </c>
      <c r="O224" s="17">
        <f>'Sampling Data'!N224</f>
        <v>0</v>
      </c>
      <c r="P224" s="17">
        <f>'Sampling Data'!O224</f>
        <v>11</v>
      </c>
      <c r="Q224" s="17">
        <f>'Sampling Data'!P224</f>
        <v>247</v>
      </c>
      <c r="R224" s="17">
        <f>'Sampling Data'!AJ224</f>
        <v>0</v>
      </c>
      <c r="S224" s="111"/>
      <c r="T224" s="111"/>
      <c r="U224" s="112"/>
      <c r="V224" s="112"/>
      <c r="W224" s="111"/>
      <c r="X224" s="111"/>
      <c r="Y224" s="111"/>
      <c r="Z224" s="111"/>
      <c r="AA224" s="14"/>
      <c r="AB224" s="14"/>
      <c r="AC224" s="14"/>
      <c r="AD224" s="14"/>
      <c r="AE224" s="113" t="str">
        <f>IF(NOT(ISBLANK(Audit[[#This Row],[Audit Winning Candidate]])), Audit[[#This Row],[Audit Winning Candidate]]-Audit[[#This Row],[Winning Candidate]], "")</f>
        <v/>
      </c>
      <c r="AF224" s="17" t="str">
        <f>IF(NOT(ISBLANK(Audit[[#This Row],[Audit Losing Candidate]])), Audit[[#This Row],[Audit Losing Candidate]]-Audit[[#This Row],[Losing Candidate]], "")</f>
        <v/>
      </c>
      <c r="AG224" s="17" t="str">
        <f>IF(NOT(ISBLANK(Audit[[#This Row],[Audit Candidate 3]])), Audit[[#This Row],[Audit Candidate 3]]-Audit[[#This Row],[Candidate 3]], "")</f>
        <v/>
      </c>
      <c r="AH224" s="17" t="str">
        <f>IF(NOT(ISBLANK(Audit[[#This Row],[Audit Candidate 4]])),Audit[[#This Row],[Audit Candidate 4]]-Audit[[#This Row],[Candidate 4]], "")</f>
        <v/>
      </c>
      <c r="AI224" s="17" t="str">
        <f>IF(NOT(ISBLANK(Audit[[#This Row],[Audit Candidate 5]])), Audit[[#This Row],[Audit Candidate 5]]-Audit[[#This Row],[Candidate 5]], "")</f>
        <v/>
      </c>
      <c r="AJ224" s="17" t="str">
        <f>IF(NOT(ISBLANK(Audit[[#This Row],[Audit Candidate 6]])), Audit[[#This Row],[Audit Candidate 6]]-Audit[[#This Row],[Candidate 6]], "")</f>
        <v/>
      </c>
      <c r="AK224" s="17" t="str">
        <f>IF(NOT(ISBLANK(Audit[[#This Row],[Audit Candidate 7]])), Audit[[#This Row],[Audit Candidate 7]]-Audit[[#This Row],[Candidate 7]], "")</f>
        <v/>
      </c>
      <c r="AL224" s="17" t="str">
        <f>IF(NOT(ISBLANK(Audit[[#This Row],[Audit Candidate 8]])), Audit[[#This Row],[Audit Candidate 8]]-Audit[[#This Row],[Candidate 8]], "")</f>
        <v/>
      </c>
      <c r="AM224" s="17" t="str">
        <f>IF(NOT(ISBLANK(Audit[[#This Row],[Audit Candidate 9]])), Audit[[#This Row],[Audit Candidate 9]]-Audit[[#This Row],[Candidate 9]], "")</f>
        <v/>
      </c>
      <c r="AN224" s="17" t="str">
        <f>IF(NOT(ISBLANK(Audit[[#This Row],[Audit Candidate 10]])), Audit[[#This Row],[Audit Candidate 10]]-Audit[[#This Row],[Candidate 10]], "")</f>
        <v/>
      </c>
      <c r="AO224" s="17" t="str">
        <f>IF(NOT(ISBLANK(Audit[[#This Row],[Audit Candidate 11]])), Audit[[#This Row],[Audit Candidate 11]]-Audit[[#This Row],[Candidate 11]], "")</f>
        <v/>
      </c>
      <c r="AP224" s="17" t="str">
        <f>IF(NOT(ISBLANK(Audit[[#This Row],[Audit Candidate 12]])), Audit[[#This Row],[Audit Candidate 12]]-Audit[[#This Row],[Candidate 12]], "")</f>
        <v/>
      </c>
      <c r="AQ224" s="17">
        <f>SUMIF(Audit[[#This Row],[Difference Winner]:[Difference Candidate 12]], "&gt;0")</f>
        <v>0</v>
      </c>
      <c r="AR224" s="17">
        <f>SUM(Audit[[#This Row],[Difference Winner]:[Difference Candidate 12]])</f>
        <v>0</v>
      </c>
      <c r="AS224" s="17">
        <f>IF(Audit[[#This Row],[Times p Drawn - With Replacement]]&gt;0, IF(Audit[[#This Row],[Canceled Differences]]&lt;0, Audit[[#This Row],[Max Differences]]+ABS(Audit[[#This Row],[Canceled Differences]]), Audit[[#This Row],[Max Differences]]), 0)</f>
        <v>0</v>
      </c>
      <c r="AT224" s="17">
        <f>'Sampling Data'!AB224</f>
        <v>1.5829231030385332E-2</v>
      </c>
      <c r="AU224" s="17">
        <f>IF(
      SUM(Audit[[#This Row],[Audit Losing Candidate]:[Audit Candidate 12]])
      &lt;&gt;0,
      (Audit[[#This Row],[Winning Candidate]]-Audit[[#This Row],[Losing Candidate]]-(Audit[[#This Row],[Audit Winning Candidate]]-Audit[[#This Row],[Audit Losing Candidate]]))/(Audit[[#Totals],[Winning Candidate]]-Audit[[#Totals],[Losing Candidate]]),
      0
)</f>
        <v>0</v>
      </c>
      <c r="AV2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4" s="17">
        <f>IF(Audit[[#This Row],[Max Relative Error (ep)]] = 0, 0, Audit[[#This Row],[Max Relative Error (ep)]]/Audit[[#This Row],[Error Bound (up) - Max. possible relative overstatement]])</f>
        <v>0</v>
      </c>
      <c r="BH2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24" s="17">
        <f t="shared" si="4"/>
        <v>1</v>
      </c>
      <c r="BJ224" s="17">
        <f>PRODUCT($BI$5:BI224)</f>
        <v>0.64389454822022163</v>
      </c>
      <c r="BK224" s="19">
        <f>1 - Audit[[#This Row],[K-M P Value]]</f>
        <v>0.35610545177977837</v>
      </c>
      <c r="BL224" s="17" t="str">
        <f>IF(Audit[[#This Row],[K-M P Value]]&gt;1-'General Info'!$B$12,"Continue", "Stop")</f>
        <v>Continue</v>
      </c>
      <c r="BM224" s="22" t="b">
        <f>IF(Audit[[#This Row],[Status - Continue or stop audit]] = "Continue", TRUE, IF(BL223 = "Continue", TRUE, FALSE))</f>
        <v>1</v>
      </c>
      <c r="BN224" s="22"/>
    </row>
    <row r="225" spans="1:66" ht="15" hidden="1" customHeight="1" x14ac:dyDescent="0.35">
      <c r="A225" s="17" t="str">
        <f>'Sampling Data'!AI225</f>
        <v/>
      </c>
      <c r="B225" s="17" t="str">
        <f>'Sampling Data'!A225</f>
        <v>3212 FR PK L   (AV)</v>
      </c>
      <c r="C225" s="17">
        <f>'Sampling Data'!B225</f>
        <v>223</v>
      </c>
      <c r="D225" s="17">
        <f>'Sampling Data'!C225</f>
        <v>43</v>
      </c>
      <c r="E225" s="18">
        <f>'Sampling Data'!D225</f>
        <v>0</v>
      </c>
      <c r="F225" s="18">
        <f>'Sampling Data'!E225</f>
        <v>0</v>
      </c>
      <c r="G225" s="18">
        <f>'Sampling Data'!F225</f>
        <v>0</v>
      </c>
      <c r="H225" s="18">
        <f>'Sampling Data'!G225</f>
        <v>0</v>
      </c>
      <c r="I225" s="18">
        <f>'Sampling Data'!H225</f>
        <v>0</v>
      </c>
      <c r="J225" s="18">
        <f>'Sampling Data'!I225</f>
        <v>0</v>
      </c>
      <c r="K225" s="18">
        <f>'Sampling Data'!J225</f>
        <v>0</v>
      </c>
      <c r="L225" s="18">
        <f>'Sampling Data'!K225</f>
        <v>0</v>
      </c>
      <c r="M225" s="18">
        <f>'Sampling Data'!L225</f>
        <v>0</v>
      </c>
      <c r="N225" s="18">
        <f>'Sampling Data'!M225</f>
        <v>0</v>
      </c>
      <c r="O225" s="17">
        <f>'Sampling Data'!N225</f>
        <v>0</v>
      </c>
      <c r="P225" s="17">
        <f>'Sampling Data'!O225</f>
        <v>9</v>
      </c>
      <c r="Q225" s="17">
        <f>'Sampling Data'!P225</f>
        <v>275</v>
      </c>
      <c r="R225" s="17">
        <f>'Sampling Data'!AJ225</f>
        <v>0</v>
      </c>
      <c r="S225" s="111"/>
      <c r="T225" s="111"/>
      <c r="U225" s="112"/>
      <c r="V225" s="112"/>
      <c r="W225" s="111"/>
      <c r="X225" s="111"/>
      <c r="Y225" s="111"/>
      <c r="Z225" s="111"/>
      <c r="AA225" s="14"/>
      <c r="AB225" s="14"/>
      <c r="AC225" s="14"/>
      <c r="AD225" s="14"/>
      <c r="AE225" s="113" t="str">
        <f>IF(NOT(ISBLANK(Audit[[#This Row],[Audit Winning Candidate]])), Audit[[#This Row],[Audit Winning Candidate]]-Audit[[#This Row],[Winning Candidate]], "")</f>
        <v/>
      </c>
      <c r="AF225" s="17" t="str">
        <f>IF(NOT(ISBLANK(Audit[[#This Row],[Audit Losing Candidate]])), Audit[[#This Row],[Audit Losing Candidate]]-Audit[[#This Row],[Losing Candidate]], "")</f>
        <v/>
      </c>
      <c r="AG225" s="17" t="str">
        <f>IF(NOT(ISBLANK(Audit[[#This Row],[Audit Candidate 3]])), Audit[[#This Row],[Audit Candidate 3]]-Audit[[#This Row],[Candidate 3]], "")</f>
        <v/>
      </c>
      <c r="AH225" s="17" t="str">
        <f>IF(NOT(ISBLANK(Audit[[#This Row],[Audit Candidate 4]])),Audit[[#This Row],[Audit Candidate 4]]-Audit[[#This Row],[Candidate 4]], "")</f>
        <v/>
      </c>
      <c r="AI225" s="17" t="str">
        <f>IF(NOT(ISBLANK(Audit[[#This Row],[Audit Candidate 5]])), Audit[[#This Row],[Audit Candidate 5]]-Audit[[#This Row],[Candidate 5]], "")</f>
        <v/>
      </c>
      <c r="AJ225" s="17" t="str">
        <f>IF(NOT(ISBLANK(Audit[[#This Row],[Audit Candidate 6]])), Audit[[#This Row],[Audit Candidate 6]]-Audit[[#This Row],[Candidate 6]], "")</f>
        <v/>
      </c>
      <c r="AK225" s="17" t="str">
        <f>IF(NOT(ISBLANK(Audit[[#This Row],[Audit Candidate 7]])), Audit[[#This Row],[Audit Candidate 7]]-Audit[[#This Row],[Candidate 7]], "")</f>
        <v/>
      </c>
      <c r="AL225" s="17" t="str">
        <f>IF(NOT(ISBLANK(Audit[[#This Row],[Audit Candidate 8]])), Audit[[#This Row],[Audit Candidate 8]]-Audit[[#This Row],[Candidate 8]], "")</f>
        <v/>
      </c>
      <c r="AM225" s="17" t="str">
        <f>IF(NOT(ISBLANK(Audit[[#This Row],[Audit Candidate 9]])), Audit[[#This Row],[Audit Candidate 9]]-Audit[[#This Row],[Candidate 9]], "")</f>
        <v/>
      </c>
      <c r="AN225" s="17" t="str">
        <f>IF(NOT(ISBLANK(Audit[[#This Row],[Audit Candidate 10]])), Audit[[#This Row],[Audit Candidate 10]]-Audit[[#This Row],[Candidate 10]], "")</f>
        <v/>
      </c>
      <c r="AO225" s="17" t="str">
        <f>IF(NOT(ISBLANK(Audit[[#This Row],[Audit Candidate 11]])), Audit[[#This Row],[Audit Candidate 11]]-Audit[[#This Row],[Candidate 11]], "")</f>
        <v/>
      </c>
      <c r="AP225" s="17" t="str">
        <f>IF(NOT(ISBLANK(Audit[[#This Row],[Audit Candidate 12]])), Audit[[#This Row],[Audit Candidate 12]]-Audit[[#This Row],[Candidate 12]], "")</f>
        <v/>
      </c>
      <c r="AQ225" s="17">
        <f>SUMIF(Audit[[#This Row],[Difference Winner]:[Difference Candidate 12]], "&gt;0")</f>
        <v>0</v>
      </c>
      <c r="AR225" s="17">
        <f>SUM(Audit[[#This Row],[Difference Winner]:[Difference Candidate 12]])</f>
        <v>0</v>
      </c>
      <c r="AS225" s="17">
        <f>IF(Audit[[#This Row],[Times p Drawn - With Replacement]]&gt;0, IF(Audit[[#This Row],[Canceled Differences]]&lt;0, Audit[[#This Row],[Max Differences]]+ABS(Audit[[#This Row],[Canceled Differences]]), Audit[[#This Row],[Max Differences]]), 0)</f>
        <v>0</v>
      </c>
      <c r="AT225" s="17">
        <f>'Sampling Data'!AB225</f>
        <v>1.93091156000679E-2</v>
      </c>
      <c r="AU225" s="17">
        <f>IF(
      SUM(Audit[[#This Row],[Audit Losing Candidate]:[Audit Candidate 12]])
      &lt;&gt;0,
      (Audit[[#This Row],[Winning Candidate]]-Audit[[#This Row],[Losing Candidate]]-(Audit[[#This Row],[Audit Winning Candidate]]-Audit[[#This Row],[Audit Losing Candidate]]))/(Audit[[#Totals],[Winning Candidate]]-Audit[[#Totals],[Losing Candidate]]),
      0
)</f>
        <v>0</v>
      </c>
      <c r="AV2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5" s="17">
        <f>IF(Audit[[#This Row],[Max Relative Error (ep)]] = 0, 0, Audit[[#This Row],[Max Relative Error (ep)]]/Audit[[#This Row],[Error Bound (up) - Max. possible relative overstatement]])</f>
        <v>0</v>
      </c>
      <c r="BH2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25" s="17">
        <f t="shared" si="4"/>
        <v>1</v>
      </c>
      <c r="BJ225" s="17">
        <f>PRODUCT($BI$5:BI225)</f>
        <v>0.64389454822022163</v>
      </c>
      <c r="BK225" s="19">
        <f>1 - Audit[[#This Row],[K-M P Value]]</f>
        <v>0.35610545177977837</v>
      </c>
      <c r="BL225" s="17" t="str">
        <f>IF(Audit[[#This Row],[K-M P Value]]&gt;1-'General Info'!$B$12,"Continue", "Stop")</f>
        <v>Continue</v>
      </c>
      <c r="BM225" s="22" t="b">
        <f>IF(Audit[[#This Row],[Status - Continue or stop audit]] = "Continue", TRUE, IF(BL224 = "Continue", TRUE, FALSE))</f>
        <v>1</v>
      </c>
      <c r="BN225" s="22"/>
    </row>
    <row r="226" spans="1:66" ht="15" hidden="1" customHeight="1" x14ac:dyDescent="0.35">
      <c r="A226" s="17" t="str">
        <f>'Sampling Data'!AI226</f>
        <v/>
      </c>
      <c r="B226" s="17" t="str">
        <f>'Sampling Data'!A226</f>
        <v>3213 FR PK M   (AV)</v>
      </c>
      <c r="C226" s="17">
        <f>'Sampling Data'!B226</f>
        <v>235</v>
      </c>
      <c r="D226" s="17">
        <f>'Sampling Data'!C226</f>
        <v>32</v>
      </c>
      <c r="E226" s="18">
        <f>'Sampling Data'!D226</f>
        <v>0</v>
      </c>
      <c r="F226" s="18">
        <f>'Sampling Data'!E226</f>
        <v>0</v>
      </c>
      <c r="G226" s="18">
        <f>'Sampling Data'!F226</f>
        <v>0</v>
      </c>
      <c r="H226" s="18">
        <f>'Sampling Data'!G226</f>
        <v>0</v>
      </c>
      <c r="I226" s="18">
        <f>'Sampling Data'!H226</f>
        <v>0</v>
      </c>
      <c r="J226" s="18">
        <f>'Sampling Data'!I226</f>
        <v>0</v>
      </c>
      <c r="K226" s="18">
        <f>'Sampling Data'!J226</f>
        <v>0</v>
      </c>
      <c r="L226" s="18">
        <f>'Sampling Data'!K226</f>
        <v>0</v>
      </c>
      <c r="M226" s="18">
        <f>'Sampling Data'!L226</f>
        <v>0</v>
      </c>
      <c r="N226" s="18">
        <f>'Sampling Data'!M226</f>
        <v>0</v>
      </c>
      <c r="O226" s="17">
        <f>'Sampling Data'!N226</f>
        <v>0</v>
      </c>
      <c r="P226" s="17">
        <f>'Sampling Data'!O226</f>
        <v>9</v>
      </c>
      <c r="Q226" s="17">
        <f>'Sampling Data'!P226</f>
        <v>276</v>
      </c>
      <c r="R226" s="17">
        <f>'Sampling Data'!AJ226</f>
        <v>0</v>
      </c>
      <c r="S226" s="111"/>
      <c r="T226" s="111"/>
      <c r="U226" s="112"/>
      <c r="V226" s="112"/>
      <c r="W226" s="111"/>
      <c r="X226" s="111"/>
      <c r="Y226" s="111"/>
      <c r="Z226" s="111"/>
      <c r="AA226" s="14"/>
      <c r="AB226" s="14"/>
      <c r="AC226" s="14"/>
      <c r="AD226" s="14"/>
      <c r="AE226" s="113" t="str">
        <f>IF(NOT(ISBLANK(Audit[[#This Row],[Audit Winning Candidate]])), Audit[[#This Row],[Audit Winning Candidate]]-Audit[[#This Row],[Winning Candidate]], "")</f>
        <v/>
      </c>
      <c r="AF226" s="17" t="str">
        <f>IF(NOT(ISBLANK(Audit[[#This Row],[Audit Losing Candidate]])), Audit[[#This Row],[Audit Losing Candidate]]-Audit[[#This Row],[Losing Candidate]], "")</f>
        <v/>
      </c>
      <c r="AG226" s="17" t="str">
        <f>IF(NOT(ISBLANK(Audit[[#This Row],[Audit Candidate 3]])), Audit[[#This Row],[Audit Candidate 3]]-Audit[[#This Row],[Candidate 3]], "")</f>
        <v/>
      </c>
      <c r="AH226" s="17" t="str">
        <f>IF(NOT(ISBLANK(Audit[[#This Row],[Audit Candidate 4]])),Audit[[#This Row],[Audit Candidate 4]]-Audit[[#This Row],[Candidate 4]], "")</f>
        <v/>
      </c>
      <c r="AI226" s="17" t="str">
        <f>IF(NOT(ISBLANK(Audit[[#This Row],[Audit Candidate 5]])), Audit[[#This Row],[Audit Candidate 5]]-Audit[[#This Row],[Candidate 5]], "")</f>
        <v/>
      </c>
      <c r="AJ226" s="17" t="str">
        <f>IF(NOT(ISBLANK(Audit[[#This Row],[Audit Candidate 6]])), Audit[[#This Row],[Audit Candidate 6]]-Audit[[#This Row],[Candidate 6]], "")</f>
        <v/>
      </c>
      <c r="AK226" s="17" t="str">
        <f>IF(NOT(ISBLANK(Audit[[#This Row],[Audit Candidate 7]])), Audit[[#This Row],[Audit Candidate 7]]-Audit[[#This Row],[Candidate 7]], "")</f>
        <v/>
      </c>
      <c r="AL226" s="17" t="str">
        <f>IF(NOT(ISBLANK(Audit[[#This Row],[Audit Candidate 8]])), Audit[[#This Row],[Audit Candidate 8]]-Audit[[#This Row],[Candidate 8]], "")</f>
        <v/>
      </c>
      <c r="AM226" s="17" t="str">
        <f>IF(NOT(ISBLANK(Audit[[#This Row],[Audit Candidate 9]])), Audit[[#This Row],[Audit Candidate 9]]-Audit[[#This Row],[Candidate 9]], "")</f>
        <v/>
      </c>
      <c r="AN226" s="17" t="str">
        <f>IF(NOT(ISBLANK(Audit[[#This Row],[Audit Candidate 10]])), Audit[[#This Row],[Audit Candidate 10]]-Audit[[#This Row],[Candidate 10]], "")</f>
        <v/>
      </c>
      <c r="AO226" s="17" t="str">
        <f>IF(NOT(ISBLANK(Audit[[#This Row],[Audit Candidate 11]])), Audit[[#This Row],[Audit Candidate 11]]-Audit[[#This Row],[Candidate 11]], "")</f>
        <v/>
      </c>
      <c r="AP226" s="17" t="str">
        <f>IF(NOT(ISBLANK(Audit[[#This Row],[Audit Candidate 12]])), Audit[[#This Row],[Audit Candidate 12]]-Audit[[#This Row],[Candidate 12]], "")</f>
        <v/>
      </c>
      <c r="AQ226" s="17">
        <f>SUMIF(Audit[[#This Row],[Difference Winner]:[Difference Candidate 12]], "&gt;0")</f>
        <v>0</v>
      </c>
      <c r="AR226" s="17">
        <f>SUM(Audit[[#This Row],[Difference Winner]:[Difference Candidate 12]])</f>
        <v>0</v>
      </c>
      <c r="AS226" s="17">
        <f>IF(Audit[[#This Row],[Times p Drawn - With Replacement]]&gt;0, IF(Audit[[#This Row],[Canceled Differences]]&lt;0, Audit[[#This Row],[Max Differences]]+ABS(Audit[[#This Row],[Canceled Differences]]), Audit[[#This Row],[Max Differences]]), 0)</f>
        <v>0</v>
      </c>
      <c r="AT226" s="17">
        <f>'Sampling Data'!AB226</f>
        <v>2.0327618400950601E-2</v>
      </c>
      <c r="AU226" s="17">
        <f>IF(
      SUM(Audit[[#This Row],[Audit Losing Candidate]:[Audit Candidate 12]])
      &lt;&gt;0,
      (Audit[[#This Row],[Winning Candidate]]-Audit[[#This Row],[Losing Candidate]]-(Audit[[#This Row],[Audit Winning Candidate]]-Audit[[#This Row],[Audit Losing Candidate]]))/(Audit[[#Totals],[Winning Candidate]]-Audit[[#Totals],[Losing Candidate]]),
      0
)</f>
        <v>0</v>
      </c>
      <c r="AV2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6" s="17">
        <f>IF(Audit[[#This Row],[Max Relative Error (ep)]] = 0, 0, Audit[[#This Row],[Max Relative Error (ep)]]/Audit[[#This Row],[Error Bound (up) - Max. possible relative overstatement]])</f>
        <v>0</v>
      </c>
      <c r="BH2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26" s="17">
        <f t="shared" si="4"/>
        <v>1</v>
      </c>
      <c r="BJ226" s="17">
        <f>PRODUCT($BI$5:BI226)</f>
        <v>0.64389454822022163</v>
      </c>
      <c r="BK226" s="19">
        <f>1 - Audit[[#This Row],[K-M P Value]]</f>
        <v>0.35610545177977837</v>
      </c>
      <c r="BL226" s="17" t="str">
        <f>IF(Audit[[#This Row],[K-M P Value]]&gt;1-'General Info'!$B$12,"Continue", "Stop")</f>
        <v>Continue</v>
      </c>
      <c r="BM226" s="22" t="b">
        <f>IF(Audit[[#This Row],[Status - Continue or stop audit]] = "Continue", TRUE, IF(BL225 = "Continue", TRUE, FALSE))</f>
        <v>1</v>
      </c>
      <c r="BN226" s="22"/>
    </row>
    <row r="227" spans="1:66" ht="15" hidden="1" customHeight="1" x14ac:dyDescent="0.35">
      <c r="A227" s="17" t="str">
        <f>'Sampling Data'!AI227</f>
        <v/>
      </c>
      <c r="B227" s="17" t="str">
        <f>'Sampling Data'!A227</f>
        <v>3401 HARR A   (AV)</v>
      </c>
      <c r="C227" s="17">
        <f>'Sampling Data'!B227</f>
        <v>54</v>
      </c>
      <c r="D227" s="17">
        <f>'Sampling Data'!C227</f>
        <v>122</v>
      </c>
      <c r="E227" s="18">
        <f>'Sampling Data'!D227</f>
        <v>0</v>
      </c>
      <c r="F227" s="18">
        <f>'Sampling Data'!E227</f>
        <v>0</v>
      </c>
      <c r="G227" s="18">
        <f>'Sampling Data'!F227</f>
        <v>0</v>
      </c>
      <c r="H227" s="18">
        <f>'Sampling Data'!G227</f>
        <v>0</v>
      </c>
      <c r="I227" s="18">
        <f>'Sampling Data'!H227</f>
        <v>0</v>
      </c>
      <c r="J227" s="18">
        <f>'Sampling Data'!I227</f>
        <v>0</v>
      </c>
      <c r="K227" s="18">
        <f>'Sampling Data'!J227</f>
        <v>0</v>
      </c>
      <c r="L227" s="18">
        <f>'Sampling Data'!K227</f>
        <v>0</v>
      </c>
      <c r="M227" s="18">
        <f>'Sampling Data'!L227</f>
        <v>0</v>
      </c>
      <c r="N227" s="18">
        <f>'Sampling Data'!M227</f>
        <v>0</v>
      </c>
      <c r="O227" s="17">
        <f>'Sampling Data'!N227</f>
        <v>0</v>
      </c>
      <c r="P227" s="17">
        <f>'Sampling Data'!O227</f>
        <v>5</v>
      </c>
      <c r="Q227" s="17">
        <f>'Sampling Data'!P227</f>
        <v>181</v>
      </c>
      <c r="R227" s="17">
        <f>'Sampling Data'!AJ227</f>
        <v>0</v>
      </c>
      <c r="S227" s="111"/>
      <c r="T227" s="111"/>
      <c r="U227" s="112"/>
      <c r="V227" s="112"/>
      <c r="W227" s="111"/>
      <c r="X227" s="111"/>
      <c r="Y227" s="111"/>
      <c r="Z227" s="111"/>
      <c r="AA227" s="14"/>
      <c r="AB227" s="14"/>
      <c r="AC227" s="14"/>
      <c r="AD227" s="14"/>
      <c r="AE227" s="113" t="str">
        <f>IF(NOT(ISBLANK(Audit[[#This Row],[Audit Winning Candidate]])), Audit[[#This Row],[Audit Winning Candidate]]-Audit[[#This Row],[Winning Candidate]], "")</f>
        <v/>
      </c>
      <c r="AF227" s="17" t="str">
        <f>IF(NOT(ISBLANK(Audit[[#This Row],[Audit Losing Candidate]])), Audit[[#This Row],[Audit Losing Candidate]]-Audit[[#This Row],[Losing Candidate]], "")</f>
        <v/>
      </c>
      <c r="AG227" s="17" t="str">
        <f>IF(NOT(ISBLANK(Audit[[#This Row],[Audit Candidate 3]])), Audit[[#This Row],[Audit Candidate 3]]-Audit[[#This Row],[Candidate 3]], "")</f>
        <v/>
      </c>
      <c r="AH227" s="17" t="str">
        <f>IF(NOT(ISBLANK(Audit[[#This Row],[Audit Candidate 4]])),Audit[[#This Row],[Audit Candidate 4]]-Audit[[#This Row],[Candidate 4]], "")</f>
        <v/>
      </c>
      <c r="AI227" s="17" t="str">
        <f>IF(NOT(ISBLANK(Audit[[#This Row],[Audit Candidate 5]])), Audit[[#This Row],[Audit Candidate 5]]-Audit[[#This Row],[Candidate 5]], "")</f>
        <v/>
      </c>
      <c r="AJ227" s="17" t="str">
        <f>IF(NOT(ISBLANK(Audit[[#This Row],[Audit Candidate 6]])), Audit[[#This Row],[Audit Candidate 6]]-Audit[[#This Row],[Candidate 6]], "")</f>
        <v/>
      </c>
      <c r="AK227" s="17" t="str">
        <f>IF(NOT(ISBLANK(Audit[[#This Row],[Audit Candidate 7]])), Audit[[#This Row],[Audit Candidate 7]]-Audit[[#This Row],[Candidate 7]], "")</f>
        <v/>
      </c>
      <c r="AL227" s="17" t="str">
        <f>IF(NOT(ISBLANK(Audit[[#This Row],[Audit Candidate 8]])), Audit[[#This Row],[Audit Candidate 8]]-Audit[[#This Row],[Candidate 8]], "")</f>
        <v/>
      </c>
      <c r="AM227" s="17" t="str">
        <f>IF(NOT(ISBLANK(Audit[[#This Row],[Audit Candidate 9]])), Audit[[#This Row],[Audit Candidate 9]]-Audit[[#This Row],[Candidate 9]], "")</f>
        <v/>
      </c>
      <c r="AN227" s="17" t="str">
        <f>IF(NOT(ISBLANK(Audit[[#This Row],[Audit Candidate 10]])), Audit[[#This Row],[Audit Candidate 10]]-Audit[[#This Row],[Candidate 10]], "")</f>
        <v/>
      </c>
      <c r="AO227" s="17" t="str">
        <f>IF(NOT(ISBLANK(Audit[[#This Row],[Audit Candidate 11]])), Audit[[#This Row],[Audit Candidate 11]]-Audit[[#This Row],[Candidate 11]], "")</f>
        <v/>
      </c>
      <c r="AP227" s="17" t="str">
        <f>IF(NOT(ISBLANK(Audit[[#This Row],[Audit Candidate 12]])), Audit[[#This Row],[Audit Candidate 12]]-Audit[[#This Row],[Candidate 12]], "")</f>
        <v/>
      </c>
      <c r="AQ227" s="17">
        <f>SUMIF(Audit[[#This Row],[Difference Winner]:[Difference Candidate 12]], "&gt;0")</f>
        <v>0</v>
      </c>
      <c r="AR227" s="17">
        <f>SUM(Audit[[#This Row],[Difference Winner]:[Difference Candidate 12]])</f>
        <v>0</v>
      </c>
      <c r="AS227" s="17">
        <f>IF(Audit[[#This Row],[Times p Drawn - With Replacement]]&gt;0, IF(Audit[[#This Row],[Canceled Differences]]&lt;0, Audit[[#This Row],[Max Differences]]+ABS(Audit[[#This Row],[Canceled Differences]]), Audit[[#This Row],[Max Differences]]), 0)</f>
        <v>0</v>
      </c>
      <c r="AT227" s="17">
        <f>'Sampling Data'!AB227</f>
        <v>4.7954506874893906E-3</v>
      </c>
      <c r="AU227" s="17">
        <f>IF(
      SUM(Audit[[#This Row],[Audit Losing Candidate]:[Audit Candidate 12]])
      &lt;&gt;0,
      (Audit[[#This Row],[Winning Candidate]]-Audit[[#This Row],[Losing Candidate]]-(Audit[[#This Row],[Audit Winning Candidate]]-Audit[[#This Row],[Audit Losing Candidate]]))/(Audit[[#Totals],[Winning Candidate]]-Audit[[#Totals],[Losing Candidate]]),
      0
)</f>
        <v>0</v>
      </c>
      <c r="AV2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7" s="17">
        <f>IF(Audit[[#This Row],[Max Relative Error (ep)]] = 0, 0, Audit[[#This Row],[Max Relative Error (ep)]]/Audit[[#This Row],[Error Bound (up) - Max. possible relative overstatement]])</f>
        <v>0</v>
      </c>
      <c r="BH2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27" s="17">
        <f t="shared" si="4"/>
        <v>1</v>
      </c>
      <c r="BJ227" s="17">
        <f>PRODUCT($BI$5:BI227)</f>
        <v>0.64389454822022163</v>
      </c>
      <c r="BK227" s="19">
        <f>1 - Audit[[#This Row],[K-M P Value]]</f>
        <v>0.35610545177977837</v>
      </c>
      <c r="BL227" s="17" t="str">
        <f>IF(Audit[[#This Row],[K-M P Value]]&gt;1-'General Info'!$B$12,"Continue", "Stop")</f>
        <v>Continue</v>
      </c>
      <c r="BM227" s="22" t="b">
        <f>IF(Audit[[#This Row],[Status - Continue or stop audit]] = "Continue", TRUE, IF(BL226 = "Continue", TRUE, FALSE))</f>
        <v>1</v>
      </c>
      <c r="BN227" s="22"/>
    </row>
    <row r="228" spans="1:66" ht="15" hidden="1" customHeight="1" x14ac:dyDescent="0.35">
      <c r="A228" s="17" t="str">
        <f>'Sampling Data'!AI228</f>
        <v/>
      </c>
      <c r="B228" s="17" t="str">
        <f>'Sampling Data'!A228</f>
        <v>3402 HARR B   (AV)</v>
      </c>
      <c r="C228" s="17">
        <f>'Sampling Data'!B228</f>
        <v>49</v>
      </c>
      <c r="D228" s="17">
        <f>'Sampling Data'!C228</f>
        <v>120</v>
      </c>
      <c r="E228" s="18">
        <f>'Sampling Data'!D228</f>
        <v>0</v>
      </c>
      <c r="F228" s="18">
        <f>'Sampling Data'!E228</f>
        <v>0</v>
      </c>
      <c r="G228" s="18">
        <f>'Sampling Data'!F228</f>
        <v>0</v>
      </c>
      <c r="H228" s="18">
        <f>'Sampling Data'!G228</f>
        <v>0</v>
      </c>
      <c r="I228" s="18">
        <f>'Sampling Data'!H228</f>
        <v>0</v>
      </c>
      <c r="J228" s="18">
        <f>'Sampling Data'!I228</f>
        <v>0</v>
      </c>
      <c r="K228" s="18">
        <f>'Sampling Data'!J228</f>
        <v>0</v>
      </c>
      <c r="L228" s="18">
        <f>'Sampling Data'!K228</f>
        <v>0</v>
      </c>
      <c r="M228" s="18">
        <f>'Sampling Data'!L228</f>
        <v>0</v>
      </c>
      <c r="N228" s="18">
        <f>'Sampling Data'!M228</f>
        <v>0</v>
      </c>
      <c r="O228" s="17">
        <f>'Sampling Data'!N228</f>
        <v>0</v>
      </c>
      <c r="P228" s="17">
        <f>'Sampling Data'!O228</f>
        <v>7</v>
      </c>
      <c r="Q228" s="17">
        <f>'Sampling Data'!P228</f>
        <v>176</v>
      </c>
      <c r="R228" s="17">
        <f>'Sampling Data'!AJ228</f>
        <v>0</v>
      </c>
      <c r="S228" s="111"/>
      <c r="T228" s="111"/>
      <c r="U228" s="112"/>
      <c r="V228" s="112"/>
      <c r="W228" s="111"/>
      <c r="X228" s="111"/>
      <c r="Y228" s="111"/>
      <c r="Z228" s="111"/>
      <c r="AA228" s="14"/>
      <c r="AB228" s="14"/>
      <c r="AC228" s="14"/>
      <c r="AD228" s="14"/>
      <c r="AE228" s="113" t="str">
        <f>IF(NOT(ISBLANK(Audit[[#This Row],[Audit Winning Candidate]])), Audit[[#This Row],[Audit Winning Candidate]]-Audit[[#This Row],[Winning Candidate]], "")</f>
        <v/>
      </c>
      <c r="AF228" s="17" t="str">
        <f>IF(NOT(ISBLANK(Audit[[#This Row],[Audit Losing Candidate]])), Audit[[#This Row],[Audit Losing Candidate]]-Audit[[#This Row],[Losing Candidate]], "")</f>
        <v/>
      </c>
      <c r="AG228" s="17" t="str">
        <f>IF(NOT(ISBLANK(Audit[[#This Row],[Audit Candidate 3]])), Audit[[#This Row],[Audit Candidate 3]]-Audit[[#This Row],[Candidate 3]], "")</f>
        <v/>
      </c>
      <c r="AH228" s="17" t="str">
        <f>IF(NOT(ISBLANK(Audit[[#This Row],[Audit Candidate 4]])),Audit[[#This Row],[Audit Candidate 4]]-Audit[[#This Row],[Candidate 4]], "")</f>
        <v/>
      </c>
      <c r="AI228" s="17" t="str">
        <f>IF(NOT(ISBLANK(Audit[[#This Row],[Audit Candidate 5]])), Audit[[#This Row],[Audit Candidate 5]]-Audit[[#This Row],[Candidate 5]], "")</f>
        <v/>
      </c>
      <c r="AJ228" s="17" t="str">
        <f>IF(NOT(ISBLANK(Audit[[#This Row],[Audit Candidate 6]])), Audit[[#This Row],[Audit Candidate 6]]-Audit[[#This Row],[Candidate 6]], "")</f>
        <v/>
      </c>
      <c r="AK228" s="17" t="str">
        <f>IF(NOT(ISBLANK(Audit[[#This Row],[Audit Candidate 7]])), Audit[[#This Row],[Audit Candidate 7]]-Audit[[#This Row],[Candidate 7]], "")</f>
        <v/>
      </c>
      <c r="AL228" s="17" t="str">
        <f>IF(NOT(ISBLANK(Audit[[#This Row],[Audit Candidate 8]])), Audit[[#This Row],[Audit Candidate 8]]-Audit[[#This Row],[Candidate 8]], "")</f>
        <v/>
      </c>
      <c r="AM228" s="17" t="str">
        <f>IF(NOT(ISBLANK(Audit[[#This Row],[Audit Candidate 9]])), Audit[[#This Row],[Audit Candidate 9]]-Audit[[#This Row],[Candidate 9]], "")</f>
        <v/>
      </c>
      <c r="AN228" s="17" t="str">
        <f>IF(NOT(ISBLANK(Audit[[#This Row],[Audit Candidate 10]])), Audit[[#This Row],[Audit Candidate 10]]-Audit[[#This Row],[Candidate 10]], "")</f>
        <v/>
      </c>
      <c r="AO228" s="17" t="str">
        <f>IF(NOT(ISBLANK(Audit[[#This Row],[Audit Candidate 11]])), Audit[[#This Row],[Audit Candidate 11]]-Audit[[#This Row],[Candidate 11]], "")</f>
        <v/>
      </c>
      <c r="AP228" s="17" t="str">
        <f>IF(NOT(ISBLANK(Audit[[#This Row],[Audit Candidate 12]])), Audit[[#This Row],[Audit Candidate 12]]-Audit[[#This Row],[Candidate 12]], "")</f>
        <v/>
      </c>
      <c r="AQ228" s="17">
        <f>SUMIF(Audit[[#This Row],[Difference Winner]:[Difference Candidate 12]], "&gt;0")</f>
        <v>0</v>
      </c>
      <c r="AR228" s="17">
        <f>SUM(Audit[[#This Row],[Difference Winner]:[Difference Candidate 12]])</f>
        <v>0</v>
      </c>
      <c r="AS228" s="17">
        <f>IF(Audit[[#This Row],[Times p Drawn - With Replacement]]&gt;0, IF(Audit[[#This Row],[Canceled Differences]]&lt;0, Audit[[#This Row],[Max Differences]]+ABS(Audit[[#This Row],[Canceled Differences]]), Audit[[#This Row],[Max Differences]]), 0)</f>
        <v>0</v>
      </c>
      <c r="AT228" s="17">
        <f>'Sampling Data'!AB228</f>
        <v>4.4559497538618235E-3</v>
      </c>
      <c r="AU228" s="17">
        <f>IF(
      SUM(Audit[[#This Row],[Audit Losing Candidate]:[Audit Candidate 12]])
      &lt;&gt;0,
      (Audit[[#This Row],[Winning Candidate]]-Audit[[#This Row],[Losing Candidate]]-(Audit[[#This Row],[Audit Winning Candidate]]-Audit[[#This Row],[Audit Losing Candidate]]))/(Audit[[#Totals],[Winning Candidate]]-Audit[[#Totals],[Losing Candidate]]),
      0
)</f>
        <v>0</v>
      </c>
      <c r="AV2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8" s="17">
        <f>IF(Audit[[#This Row],[Max Relative Error (ep)]] = 0, 0, Audit[[#This Row],[Max Relative Error (ep)]]/Audit[[#This Row],[Error Bound (up) - Max. possible relative overstatement]])</f>
        <v>0</v>
      </c>
      <c r="BH2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28" s="17">
        <f t="shared" si="4"/>
        <v>1</v>
      </c>
      <c r="BJ228" s="17">
        <f>PRODUCT($BI$5:BI228)</f>
        <v>0.64389454822022163</v>
      </c>
      <c r="BK228" s="19">
        <f>1 - Audit[[#This Row],[K-M P Value]]</f>
        <v>0.35610545177977837</v>
      </c>
      <c r="BL228" s="17" t="str">
        <f>IF(Audit[[#This Row],[K-M P Value]]&gt;1-'General Info'!$B$12,"Continue", "Stop")</f>
        <v>Continue</v>
      </c>
      <c r="BM228" s="22" t="b">
        <f>IF(Audit[[#This Row],[Status - Continue or stop audit]] = "Continue", TRUE, IF(BL227 = "Continue", TRUE, FALSE))</f>
        <v>1</v>
      </c>
      <c r="BN228" s="22"/>
    </row>
    <row r="229" spans="1:66" ht="15" hidden="1" customHeight="1" x14ac:dyDescent="0.35">
      <c r="A229" s="17" t="str">
        <f>'Sampling Data'!AI229</f>
        <v/>
      </c>
      <c r="B229" s="17" t="str">
        <f>'Sampling Data'!A229</f>
        <v>3403 HARR C   (AV)</v>
      </c>
      <c r="C229" s="17">
        <f>'Sampling Data'!B229</f>
        <v>82</v>
      </c>
      <c r="D229" s="17">
        <f>'Sampling Data'!C229</f>
        <v>209</v>
      </c>
      <c r="E229" s="18">
        <f>'Sampling Data'!D229</f>
        <v>0</v>
      </c>
      <c r="F229" s="18">
        <f>'Sampling Data'!E229</f>
        <v>0</v>
      </c>
      <c r="G229" s="18">
        <f>'Sampling Data'!F229</f>
        <v>0</v>
      </c>
      <c r="H229" s="18">
        <f>'Sampling Data'!G229</f>
        <v>0</v>
      </c>
      <c r="I229" s="18">
        <f>'Sampling Data'!H229</f>
        <v>0</v>
      </c>
      <c r="J229" s="18">
        <f>'Sampling Data'!I229</f>
        <v>0</v>
      </c>
      <c r="K229" s="18">
        <f>'Sampling Data'!J229</f>
        <v>0</v>
      </c>
      <c r="L229" s="18">
        <f>'Sampling Data'!K229</f>
        <v>0</v>
      </c>
      <c r="M229" s="18">
        <f>'Sampling Data'!L229</f>
        <v>0</v>
      </c>
      <c r="N229" s="18">
        <f>'Sampling Data'!M229</f>
        <v>0</v>
      </c>
      <c r="O229" s="17">
        <f>'Sampling Data'!N229</f>
        <v>0</v>
      </c>
      <c r="P229" s="17">
        <f>'Sampling Data'!O229</f>
        <v>17</v>
      </c>
      <c r="Q229" s="17">
        <f>'Sampling Data'!P229</f>
        <v>308</v>
      </c>
      <c r="R229" s="17">
        <f>'Sampling Data'!AJ229</f>
        <v>0</v>
      </c>
      <c r="S229" s="111"/>
      <c r="T229" s="111"/>
      <c r="U229" s="112"/>
      <c r="V229" s="112"/>
      <c r="W229" s="111"/>
      <c r="X229" s="111"/>
      <c r="Y229" s="111"/>
      <c r="Z229" s="111"/>
      <c r="AA229" s="14"/>
      <c r="AB229" s="14"/>
      <c r="AC229" s="14"/>
      <c r="AD229" s="14"/>
      <c r="AE229" s="113" t="str">
        <f>IF(NOT(ISBLANK(Audit[[#This Row],[Audit Winning Candidate]])), Audit[[#This Row],[Audit Winning Candidate]]-Audit[[#This Row],[Winning Candidate]], "")</f>
        <v/>
      </c>
      <c r="AF229" s="17" t="str">
        <f>IF(NOT(ISBLANK(Audit[[#This Row],[Audit Losing Candidate]])), Audit[[#This Row],[Audit Losing Candidate]]-Audit[[#This Row],[Losing Candidate]], "")</f>
        <v/>
      </c>
      <c r="AG229" s="17" t="str">
        <f>IF(NOT(ISBLANK(Audit[[#This Row],[Audit Candidate 3]])), Audit[[#This Row],[Audit Candidate 3]]-Audit[[#This Row],[Candidate 3]], "")</f>
        <v/>
      </c>
      <c r="AH229" s="17" t="str">
        <f>IF(NOT(ISBLANK(Audit[[#This Row],[Audit Candidate 4]])),Audit[[#This Row],[Audit Candidate 4]]-Audit[[#This Row],[Candidate 4]], "")</f>
        <v/>
      </c>
      <c r="AI229" s="17" t="str">
        <f>IF(NOT(ISBLANK(Audit[[#This Row],[Audit Candidate 5]])), Audit[[#This Row],[Audit Candidate 5]]-Audit[[#This Row],[Candidate 5]], "")</f>
        <v/>
      </c>
      <c r="AJ229" s="17" t="str">
        <f>IF(NOT(ISBLANK(Audit[[#This Row],[Audit Candidate 6]])), Audit[[#This Row],[Audit Candidate 6]]-Audit[[#This Row],[Candidate 6]], "")</f>
        <v/>
      </c>
      <c r="AK229" s="17" t="str">
        <f>IF(NOT(ISBLANK(Audit[[#This Row],[Audit Candidate 7]])), Audit[[#This Row],[Audit Candidate 7]]-Audit[[#This Row],[Candidate 7]], "")</f>
        <v/>
      </c>
      <c r="AL229" s="17" t="str">
        <f>IF(NOT(ISBLANK(Audit[[#This Row],[Audit Candidate 8]])), Audit[[#This Row],[Audit Candidate 8]]-Audit[[#This Row],[Candidate 8]], "")</f>
        <v/>
      </c>
      <c r="AM229" s="17" t="str">
        <f>IF(NOT(ISBLANK(Audit[[#This Row],[Audit Candidate 9]])), Audit[[#This Row],[Audit Candidate 9]]-Audit[[#This Row],[Candidate 9]], "")</f>
        <v/>
      </c>
      <c r="AN229" s="17" t="str">
        <f>IF(NOT(ISBLANK(Audit[[#This Row],[Audit Candidate 10]])), Audit[[#This Row],[Audit Candidate 10]]-Audit[[#This Row],[Candidate 10]], "")</f>
        <v/>
      </c>
      <c r="AO229" s="17" t="str">
        <f>IF(NOT(ISBLANK(Audit[[#This Row],[Audit Candidate 11]])), Audit[[#This Row],[Audit Candidate 11]]-Audit[[#This Row],[Candidate 11]], "")</f>
        <v/>
      </c>
      <c r="AP229" s="17" t="str">
        <f>IF(NOT(ISBLANK(Audit[[#This Row],[Audit Candidate 12]])), Audit[[#This Row],[Audit Candidate 12]]-Audit[[#This Row],[Candidate 12]], "")</f>
        <v/>
      </c>
      <c r="AQ229" s="17">
        <f>SUMIF(Audit[[#This Row],[Difference Winner]:[Difference Candidate 12]], "&gt;0")</f>
        <v>0</v>
      </c>
      <c r="AR229" s="17">
        <f>SUM(Audit[[#This Row],[Difference Winner]:[Difference Candidate 12]])</f>
        <v>0</v>
      </c>
      <c r="AS229" s="17">
        <f>IF(Audit[[#This Row],[Times p Drawn - With Replacement]]&gt;0, IF(Audit[[#This Row],[Canceled Differences]]&lt;0, Audit[[#This Row],[Max Differences]]+ABS(Audit[[#This Row],[Canceled Differences]]), Audit[[#This Row],[Max Differences]]), 0)</f>
        <v>0</v>
      </c>
      <c r="AT229" s="17">
        <f>'Sampling Data'!AB229</f>
        <v>7.681208623323714E-3</v>
      </c>
      <c r="AU229" s="17">
        <f>IF(
      SUM(Audit[[#This Row],[Audit Losing Candidate]:[Audit Candidate 12]])
      &lt;&gt;0,
      (Audit[[#This Row],[Winning Candidate]]-Audit[[#This Row],[Losing Candidate]]-(Audit[[#This Row],[Audit Winning Candidate]]-Audit[[#This Row],[Audit Losing Candidate]]))/(Audit[[#Totals],[Winning Candidate]]-Audit[[#Totals],[Losing Candidate]]),
      0
)</f>
        <v>0</v>
      </c>
      <c r="AV2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9" s="17">
        <f>IF(Audit[[#This Row],[Max Relative Error (ep)]] = 0, 0, Audit[[#This Row],[Max Relative Error (ep)]]/Audit[[#This Row],[Error Bound (up) - Max. possible relative overstatement]])</f>
        <v>0</v>
      </c>
      <c r="BH2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29" s="17">
        <f t="shared" si="4"/>
        <v>1</v>
      </c>
      <c r="BJ229" s="17">
        <f>PRODUCT($BI$5:BI229)</f>
        <v>0.64389454822022163</v>
      </c>
      <c r="BK229" s="19">
        <f>1 - Audit[[#This Row],[K-M P Value]]</f>
        <v>0.35610545177977837</v>
      </c>
      <c r="BL229" s="17" t="str">
        <f>IF(Audit[[#This Row],[K-M P Value]]&gt;1-'General Info'!$B$12,"Continue", "Stop")</f>
        <v>Continue</v>
      </c>
      <c r="BM229" s="22" t="b">
        <f>IF(Audit[[#This Row],[Status - Continue or stop audit]] = "Continue", TRUE, IF(BL228 = "Continue", TRUE, FALSE))</f>
        <v>1</v>
      </c>
      <c r="BN229" s="22"/>
    </row>
    <row r="230" spans="1:66" ht="15" hidden="1" customHeight="1" x14ac:dyDescent="0.35">
      <c r="A230" s="17" t="str">
        <f>'Sampling Data'!AI230</f>
        <v/>
      </c>
      <c r="B230" s="17" t="str">
        <f>'Sampling Data'!A230</f>
        <v>3404 HARR D   (AV)</v>
      </c>
      <c r="C230" s="17">
        <f>'Sampling Data'!B230</f>
        <v>76</v>
      </c>
      <c r="D230" s="17">
        <f>'Sampling Data'!C230</f>
        <v>176</v>
      </c>
      <c r="E230" s="18">
        <f>'Sampling Data'!D230</f>
        <v>0</v>
      </c>
      <c r="F230" s="18">
        <f>'Sampling Data'!E230</f>
        <v>0</v>
      </c>
      <c r="G230" s="18">
        <f>'Sampling Data'!F230</f>
        <v>0</v>
      </c>
      <c r="H230" s="18">
        <f>'Sampling Data'!G230</f>
        <v>0</v>
      </c>
      <c r="I230" s="18">
        <f>'Sampling Data'!H230</f>
        <v>0</v>
      </c>
      <c r="J230" s="18">
        <f>'Sampling Data'!I230</f>
        <v>0</v>
      </c>
      <c r="K230" s="18">
        <f>'Sampling Data'!J230</f>
        <v>0</v>
      </c>
      <c r="L230" s="18">
        <f>'Sampling Data'!K230</f>
        <v>0</v>
      </c>
      <c r="M230" s="18">
        <f>'Sampling Data'!L230</f>
        <v>0</v>
      </c>
      <c r="N230" s="18">
        <f>'Sampling Data'!M230</f>
        <v>0</v>
      </c>
      <c r="O230" s="17">
        <f>'Sampling Data'!N230</f>
        <v>0</v>
      </c>
      <c r="P230" s="17">
        <f>'Sampling Data'!O230</f>
        <v>17</v>
      </c>
      <c r="Q230" s="17">
        <f>'Sampling Data'!P230</f>
        <v>269</v>
      </c>
      <c r="R230" s="17">
        <f>'Sampling Data'!AJ230</f>
        <v>0</v>
      </c>
      <c r="S230" s="111"/>
      <c r="T230" s="111"/>
      <c r="U230" s="112"/>
      <c r="V230" s="112"/>
      <c r="W230" s="111"/>
      <c r="X230" s="111"/>
      <c r="Y230" s="111"/>
      <c r="Z230" s="111"/>
      <c r="AA230" s="14"/>
      <c r="AB230" s="14"/>
      <c r="AC230" s="14"/>
      <c r="AD230" s="14"/>
      <c r="AE230" s="113" t="str">
        <f>IF(NOT(ISBLANK(Audit[[#This Row],[Audit Winning Candidate]])), Audit[[#This Row],[Audit Winning Candidate]]-Audit[[#This Row],[Winning Candidate]], "")</f>
        <v/>
      </c>
      <c r="AF230" s="17" t="str">
        <f>IF(NOT(ISBLANK(Audit[[#This Row],[Audit Losing Candidate]])), Audit[[#This Row],[Audit Losing Candidate]]-Audit[[#This Row],[Losing Candidate]], "")</f>
        <v/>
      </c>
      <c r="AG230" s="17" t="str">
        <f>IF(NOT(ISBLANK(Audit[[#This Row],[Audit Candidate 3]])), Audit[[#This Row],[Audit Candidate 3]]-Audit[[#This Row],[Candidate 3]], "")</f>
        <v/>
      </c>
      <c r="AH230" s="17" t="str">
        <f>IF(NOT(ISBLANK(Audit[[#This Row],[Audit Candidate 4]])),Audit[[#This Row],[Audit Candidate 4]]-Audit[[#This Row],[Candidate 4]], "")</f>
        <v/>
      </c>
      <c r="AI230" s="17" t="str">
        <f>IF(NOT(ISBLANK(Audit[[#This Row],[Audit Candidate 5]])), Audit[[#This Row],[Audit Candidate 5]]-Audit[[#This Row],[Candidate 5]], "")</f>
        <v/>
      </c>
      <c r="AJ230" s="17" t="str">
        <f>IF(NOT(ISBLANK(Audit[[#This Row],[Audit Candidate 6]])), Audit[[#This Row],[Audit Candidate 6]]-Audit[[#This Row],[Candidate 6]], "")</f>
        <v/>
      </c>
      <c r="AK230" s="17" t="str">
        <f>IF(NOT(ISBLANK(Audit[[#This Row],[Audit Candidate 7]])), Audit[[#This Row],[Audit Candidate 7]]-Audit[[#This Row],[Candidate 7]], "")</f>
        <v/>
      </c>
      <c r="AL230" s="17" t="str">
        <f>IF(NOT(ISBLANK(Audit[[#This Row],[Audit Candidate 8]])), Audit[[#This Row],[Audit Candidate 8]]-Audit[[#This Row],[Candidate 8]], "")</f>
        <v/>
      </c>
      <c r="AM230" s="17" t="str">
        <f>IF(NOT(ISBLANK(Audit[[#This Row],[Audit Candidate 9]])), Audit[[#This Row],[Audit Candidate 9]]-Audit[[#This Row],[Candidate 9]], "")</f>
        <v/>
      </c>
      <c r="AN230" s="17" t="str">
        <f>IF(NOT(ISBLANK(Audit[[#This Row],[Audit Candidate 10]])), Audit[[#This Row],[Audit Candidate 10]]-Audit[[#This Row],[Candidate 10]], "")</f>
        <v/>
      </c>
      <c r="AO230" s="17" t="str">
        <f>IF(NOT(ISBLANK(Audit[[#This Row],[Audit Candidate 11]])), Audit[[#This Row],[Audit Candidate 11]]-Audit[[#This Row],[Candidate 11]], "")</f>
        <v/>
      </c>
      <c r="AP230" s="17" t="str">
        <f>IF(NOT(ISBLANK(Audit[[#This Row],[Audit Candidate 12]])), Audit[[#This Row],[Audit Candidate 12]]-Audit[[#This Row],[Candidate 12]], "")</f>
        <v/>
      </c>
      <c r="AQ230" s="17">
        <f>SUMIF(Audit[[#This Row],[Difference Winner]:[Difference Candidate 12]], "&gt;0")</f>
        <v>0</v>
      </c>
      <c r="AR230" s="17">
        <f>SUM(Audit[[#This Row],[Difference Winner]:[Difference Candidate 12]])</f>
        <v>0</v>
      </c>
      <c r="AS230" s="17">
        <f>IF(Audit[[#This Row],[Times p Drawn - With Replacement]]&gt;0, IF(Audit[[#This Row],[Canceled Differences]]&lt;0, Audit[[#This Row],[Max Differences]]+ABS(Audit[[#This Row],[Canceled Differences]]), Audit[[#This Row],[Max Differences]]), 0)</f>
        <v>0</v>
      </c>
      <c r="AT230" s="17">
        <f>'Sampling Data'!AB230</f>
        <v>7.1719572228823632E-3</v>
      </c>
      <c r="AU230" s="17">
        <f>IF(
      SUM(Audit[[#This Row],[Audit Losing Candidate]:[Audit Candidate 12]])
      &lt;&gt;0,
      (Audit[[#This Row],[Winning Candidate]]-Audit[[#This Row],[Losing Candidate]]-(Audit[[#This Row],[Audit Winning Candidate]]-Audit[[#This Row],[Audit Losing Candidate]]))/(Audit[[#Totals],[Winning Candidate]]-Audit[[#Totals],[Losing Candidate]]),
      0
)</f>
        <v>0</v>
      </c>
      <c r="AV2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0" s="17">
        <f>IF(Audit[[#This Row],[Max Relative Error (ep)]] = 0, 0, Audit[[#This Row],[Max Relative Error (ep)]]/Audit[[#This Row],[Error Bound (up) - Max. possible relative overstatement]])</f>
        <v>0</v>
      </c>
      <c r="BH2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30" s="17">
        <f t="shared" si="4"/>
        <v>1</v>
      </c>
      <c r="BJ230" s="17">
        <f>PRODUCT($BI$5:BI230)</f>
        <v>0.64389454822022163</v>
      </c>
      <c r="BK230" s="19">
        <f>1 - Audit[[#This Row],[K-M P Value]]</f>
        <v>0.35610545177977837</v>
      </c>
      <c r="BL230" s="17" t="str">
        <f>IF(Audit[[#This Row],[K-M P Value]]&gt;1-'General Info'!$B$12,"Continue", "Stop")</f>
        <v>Continue</v>
      </c>
      <c r="BM230" s="22" t="b">
        <f>IF(Audit[[#This Row],[Status - Continue or stop audit]] = "Continue", TRUE, IF(BL229 = "Continue", TRUE, FALSE))</f>
        <v>1</v>
      </c>
      <c r="BN230" s="22"/>
    </row>
    <row r="231" spans="1:66" ht="15" hidden="1" customHeight="1" x14ac:dyDescent="0.35">
      <c r="A231" s="17" t="str">
        <f>'Sampling Data'!AI231</f>
        <v/>
      </c>
      <c r="B231" s="17" t="str">
        <f>'Sampling Data'!A231</f>
        <v>3405 HARR E   (AV)</v>
      </c>
      <c r="C231" s="17">
        <f>'Sampling Data'!B231</f>
        <v>55</v>
      </c>
      <c r="D231" s="17">
        <f>'Sampling Data'!C231</f>
        <v>204</v>
      </c>
      <c r="E231" s="18">
        <f>'Sampling Data'!D231</f>
        <v>0</v>
      </c>
      <c r="F231" s="18">
        <f>'Sampling Data'!E231</f>
        <v>0</v>
      </c>
      <c r="G231" s="18">
        <f>'Sampling Data'!F231</f>
        <v>0</v>
      </c>
      <c r="H231" s="18">
        <f>'Sampling Data'!G231</f>
        <v>0</v>
      </c>
      <c r="I231" s="18">
        <f>'Sampling Data'!H231</f>
        <v>0</v>
      </c>
      <c r="J231" s="18">
        <f>'Sampling Data'!I231</f>
        <v>0</v>
      </c>
      <c r="K231" s="18">
        <f>'Sampling Data'!J231</f>
        <v>0</v>
      </c>
      <c r="L231" s="18">
        <f>'Sampling Data'!K231</f>
        <v>0</v>
      </c>
      <c r="M231" s="18">
        <f>'Sampling Data'!L231</f>
        <v>0</v>
      </c>
      <c r="N231" s="18">
        <f>'Sampling Data'!M231</f>
        <v>0</v>
      </c>
      <c r="O231" s="17">
        <f>'Sampling Data'!N231</f>
        <v>0</v>
      </c>
      <c r="P231" s="17">
        <f>'Sampling Data'!O231</f>
        <v>23</v>
      </c>
      <c r="Q231" s="17">
        <f>'Sampling Data'!P231</f>
        <v>282</v>
      </c>
      <c r="R231" s="17">
        <f>'Sampling Data'!AJ231</f>
        <v>0</v>
      </c>
      <c r="S231" s="111"/>
      <c r="T231" s="111"/>
      <c r="U231" s="112"/>
      <c r="V231" s="112"/>
      <c r="W231" s="111"/>
      <c r="X231" s="111"/>
      <c r="Y231" s="111"/>
      <c r="Z231" s="111"/>
      <c r="AA231" s="14"/>
      <c r="AB231" s="14"/>
      <c r="AC231" s="14"/>
      <c r="AD231" s="14"/>
      <c r="AE231" s="113" t="str">
        <f>IF(NOT(ISBLANK(Audit[[#This Row],[Audit Winning Candidate]])), Audit[[#This Row],[Audit Winning Candidate]]-Audit[[#This Row],[Winning Candidate]], "")</f>
        <v/>
      </c>
      <c r="AF231" s="17" t="str">
        <f>IF(NOT(ISBLANK(Audit[[#This Row],[Audit Losing Candidate]])), Audit[[#This Row],[Audit Losing Candidate]]-Audit[[#This Row],[Losing Candidate]], "")</f>
        <v/>
      </c>
      <c r="AG231" s="17" t="str">
        <f>IF(NOT(ISBLANK(Audit[[#This Row],[Audit Candidate 3]])), Audit[[#This Row],[Audit Candidate 3]]-Audit[[#This Row],[Candidate 3]], "")</f>
        <v/>
      </c>
      <c r="AH231" s="17" t="str">
        <f>IF(NOT(ISBLANK(Audit[[#This Row],[Audit Candidate 4]])),Audit[[#This Row],[Audit Candidate 4]]-Audit[[#This Row],[Candidate 4]], "")</f>
        <v/>
      </c>
      <c r="AI231" s="17" t="str">
        <f>IF(NOT(ISBLANK(Audit[[#This Row],[Audit Candidate 5]])), Audit[[#This Row],[Audit Candidate 5]]-Audit[[#This Row],[Candidate 5]], "")</f>
        <v/>
      </c>
      <c r="AJ231" s="17" t="str">
        <f>IF(NOT(ISBLANK(Audit[[#This Row],[Audit Candidate 6]])), Audit[[#This Row],[Audit Candidate 6]]-Audit[[#This Row],[Candidate 6]], "")</f>
        <v/>
      </c>
      <c r="AK231" s="17" t="str">
        <f>IF(NOT(ISBLANK(Audit[[#This Row],[Audit Candidate 7]])), Audit[[#This Row],[Audit Candidate 7]]-Audit[[#This Row],[Candidate 7]], "")</f>
        <v/>
      </c>
      <c r="AL231" s="17" t="str">
        <f>IF(NOT(ISBLANK(Audit[[#This Row],[Audit Candidate 8]])), Audit[[#This Row],[Audit Candidate 8]]-Audit[[#This Row],[Candidate 8]], "")</f>
        <v/>
      </c>
      <c r="AM231" s="17" t="str">
        <f>IF(NOT(ISBLANK(Audit[[#This Row],[Audit Candidate 9]])), Audit[[#This Row],[Audit Candidate 9]]-Audit[[#This Row],[Candidate 9]], "")</f>
        <v/>
      </c>
      <c r="AN231" s="17" t="str">
        <f>IF(NOT(ISBLANK(Audit[[#This Row],[Audit Candidate 10]])), Audit[[#This Row],[Audit Candidate 10]]-Audit[[#This Row],[Candidate 10]], "")</f>
        <v/>
      </c>
      <c r="AO231" s="17" t="str">
        <f>IF(NOT(ISBLANK(Audit[[#This Row],[Audit Candidate 11]])), Audit[[#This Row],[Audit Candidate 11]]-Audit[[#This Row],[Candidate 11]], "")</f>
        <v/>
      </c>
      <c r="AP231" s="17" t="str">
        <f>IF(NOT(ISBLANK(Audit[[#This Row],[Audit Candidate 12]])), Audit[[#This Row],[Audit Candidate 12]]-Audit[[#This Row],[Candidate 12]], "")</f>
        <v/>
      </c>
      <c r="AQ231" s="17">
        <f>SUMIF(Audit[[#This Row],[Difference Winner]:[Difference Candidate 12]], "&gt;0")</f>
        <v>0</v>
      </c>
      <c r="AR231" s="17">
        <f>SUM(Audit[[#This Row],[Difference Winner]:[Difference Candidate 12]])</f>
        <v>0</v>
      </c>
      <c r="AS231" s="17">
        <f>IF(Audit[[#This Row],[Times p Drawn - With Replacement]]&gt;0, IF(Audit[[#This Row],[Canceled Differences]]&lt;0, Audit[[#This Row],[Max Differences]]+ABS(Audit[[#This Row],[Canceled Differences]]), Audit[[#This Row],[Max Differences]]), 0)</f>
        <v>0</v>
      </c>
      <c r="AT231" s="17">
        <f>'Sampling Data'!AB231</f>
        <v>5.6442030215583094E-3</v>
      </c>
      <c r="AU231" s="17">
        <f>IF(
      SUM(Audit[[#This Row],[Audit Losing Candidate]:[Audit Candidate 12]])
      &lt;&gt;0,
      (Audit[[#This Row],[Winning Candidate]]-Audit[[#This Row],[Losing Candidate]]-(Audit[[#This Row],[Audit Winning Candidate]]-Audit[[#This Row],[Audit Losing Candidate]]))/(Audit[[#Totals],[Winning Candidate]]-Audit[[#Totals],[Losing Candidate]]),
      0
)</f>
        <v>0</v>
      </c>
      <c r="AV2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1" s="17">
        <f>IF(Audit[[#This Row],[Max Relative Error (ep)]] = 0, 0, Audit[[#This Row],[Max Relative Error (ep)]]/Audit[[#This Row],[Error Bound (up) - Max. possible relative overstatement]])</f>
        <v>0</v>
      </c>
      <c r="BH2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31" s="17">
        <f t="shared" si="4"/>
        <v>1</v>
      </c>
      <c r="BJ231" s="17">
        <f>PRODUCT($BI$5:BI231)</f>
        <v>0.64389454822022163</v>
      </c>
      <c r="BK231" s="19">
        <f>1 - Audit[[#This Row],[K-M P Value]]</f>
        <v>0.35610545177977837</v>
      </c>
      <c r="BL231" s="17" t="str">
        <f>IF(Audit[[#This Row],[K-M P Value]]&gt;1-'General Info'!$B$12,"Continue", "Stop")</f>
        <v>Continue</v>
      </c>
      <c r="BM231" s="22" t="b">
        <f>IF(Audit[[#This Row],[Status - Continue or stop audit]] = "Continue", TRUE, IF(BL230 = "Continue", TRUE, FALSE))</f>
        <v>1</v>
      </c>
      <c r="BN231" s="22"/>
    </row>
    <row r="232" spans="1:66" ht="15" hidden="1" customHeight="1" x14ac:dyDescent="0.35">
      <c r="A232" s="17" t="str">
        <f>'Sampling Data'!AI232</f>
        <v/>
      </c>
      <c r="B232" s="17" t="str">
        <f>'Sampling Data'!A232</f>
        <v>3406 HARR F   (AV)</v>
      </c>
      <c r="C232" s="17">
        <f>'Sampling Data'!B232</f>
        <v>99</v>
      </c>
      <c r="D232" s="17">
        <f>'Sampling Data'!C232</f>
        <v>262</v>
      </c>
      <c r="E232" s="18">
        <f>'Sampling Data'!D232</f>
        <v>0</v>
      </c>
      <c r="F232" s="18">
        <f>'Sampling Data'!E232</f>
        <v>0</v>
      </c>
      <c r="G232" s="18">
        <f>'Sampling Data'!F232</f>
        <v>0</v>
      </c>
      <c r="H232" s="18">
        <f>'Sampling Data'!G232</f>
        <v>0</v>
      </c>
      <c r="I232" s="18">
        <f>'Sampling Data'!H232</f>
        <v>0</v>
      </c>
      <c r="J232" s="18">
        <f>'Sampling Data'!I232</f>
        <v>0</v>
      </c>
      <c r="K232" s="18">
        <f>'Sampling Data'!J232</f>
        <v>0</v>
      </c>
      <c r="L232" s="18">
        <f>'Sampling Data'!K232</f>
        <v>0</v>
      </c>
      <c r="M232" s="18">
        <f>'Sampling Data'!L232</f>
        <v>0</v>
      </c>
      <c r="N232" s="18">
        <f>'Sampling Data'!M232</f>
        <v>0</v>
      </c>
      <c r="O232" s="17">
        <f>'Sampling Data'!N232</f>
        <v>0</v>
      </c>
      <c r="P232" s="17">
        <f>'Sampling Data'!O232</f>
        <v>16</v>
      </c>
      <c r="Q232" s="17">
        <f>'Sampling Data'!P232</f>
        <v>377</v>
      </c>
      <c r="R232" s="17">
        <f>'Sampling Data'!AJ232</f>
        <v>0</v>
      </c>
      <c r="S232" s="111"/>
      <c r="T232" s="111"/>
      <c r="U232" s="112"/>
      <c r="V232" s="112"/>
      <c r="W232" s="111"/>
      <c r="X232" s="111"/>
      <c r="Y232" s="111"/>
      <c r="Z232" s="111"/>
      <c r="AA232" s="14"/>
      <c r="AB232" s="14"/>
      <c r="AC232" s="14"/>
      <c r="AD232" s="14"/>
      <c r="AE232" s="113" t="str">
        <f>IF(NOT(ISBLANK(Audit[[#This Row],[Audit Winning Candidate]])), Audit[[#This Row],[Audit Winning Candidate]]-Audit[[#This Row],[Winning Candidate]], "")</f>
        <v/>
      </c>
      <c r="AF232" s="17" t="str">
        <f>IF(NOT(ISBLANK(Audit[[#This Row],[Audit Losing Candidate]])), Audit[[#This Row],[Audit Losing Candidate]]-Audit[[#This Row],[Losing Candidate]], "")</f>
        <v/>
      </c>
      <c r="AG232" s="17" t="str">
        <f>IF(NOT(ISBLANK(Audit[[#This Row],[Audit Candidate 3]])), Audit[[#This Row],[Audit Candidate 3]]-Audit[[#This Row],[Candidate 3]], "")</f>
        <v/>
      </c>
      <c r="AH232" s="17" t="str">
        <f>IF(NOT(ISBLANK(Audit[[#This Row],[Audit Candidate 4]])),Audit[[#This Row],[Audit Candidate 4]]-Audit[[#This Row],[Candidate 4]], "")</f>
        <v/>
      </c>
      <c r="AI232" s="17" t="str">
        <f>IF(NOT(ISBLANK(Audit[[#This Row],[Audit Candidate 5]])), Audit[[#This Row],[Audit Candidate 5]]-Audit[[#This Row],[Candidate 5]], "")</f>
        <v/>
      </c>
      <c r="AJ232" s="17" t="str">
        <f>IF(NOT(ISBLANK(Audit[[#This Row],[Audit Candidate 6]])), Audit[[#This Row],[Audit Candidate 6]]-Audit[[#This Row],[Candidate 6]], "")</f>
        <v/>
      </c>
      <c r="AK232" s="17" t="str">
        <f>IF(NOT(ISBLANK(Audit[[#This Row],[Audit Candidate 7]])), Audit[[#This Row],[Audit Candidate 7]]-Audit[[#This Row],[Candidate 7]], "")</f>
        <v/>
      </c>
      <c r="AL232" s="17" t="str">
        <f>IF(NOT(ISBLANK(Audit[[#This Row],[Audit Candidate 8]])), Audit[[#This Row],[Audit Candidate 8]]-Audit[[#This Row],[Candidate 8]], "")</f>
        <v/>
      </c>
      <c r="AM232" s="17" t="str">
        <f>IF(NOT(ISBLANK(Audit[[#This Row],[Audit Candidate 9]])), Audit[[#This Row],[Audit Candidate 9]]-Audit[[#This Row],[Candidate 9]], "")</f>
        <v/>
      </c>
      <c r="AN232" s="17" t="str">
        <f>IF(NOT(ISBLANK(Audit[[#This Row],[Audit Candidate 10]])), Audit[[#This Row],[Audit Candidate 10]]-Audit[[#This Row],[Candidate 10]], "")</f>
        <v/>
      </c>
      <c r="AO232" s="17" t="str">
        <f>IF(NOT(ISBLANK(Audit[[#This Row],[Audit Candidate 11]])), Audit[[#This Row],[Audit Candidate 11]]-Audit[[#This Row],[Candidate 11]], "")</f>
        <v/>
      </c>
      <c r="AP232" s="17" t="str">
        <f>IF(NOT(ISBLANK(Audit[[#This Row],[Audit Candidate 12]])), Audit[[#This Row],[Audit Candidate 12]]-Audit[[#This Row],[Candidate 12]], "")</f>
        <v/>
      </c>
      <c r="AQ232" s="17">
        <f>SUMIF(Audit[[#This Row],[Difference Winner]:[Difference Candidate 12]], "&gt;0")</f>
        <v>0</v>
      </c>
      <c r="AR232" s="17">
        <f>SUM(Audit[[#This Row],[Difference Winner]:[Difference Candidate 12]])</f>
        <v>0</v>
      </c>
      <c r="AS232" s="17">
        <f>IF(Audit[[#This Row],[Times p Drawn - With Replacement]]&gt;0, IF(Audit[[#This Row],[Canceled Differences]]&lt;0, Audit[[#This Row],[Max Differences]]+ABS(Audit[[#This Row],[Canceled Differences]]), Audit[[#This Row],[Max Differences]]), 0)</f>
        <v>0</v>
      </c>
      <c r="AT232" s="17">
        <f>'Sampling Data'!AB232</f>
        <v>9.0816499745374306E-3</v>
      </c>
      <c r="AU232" s="17">
        <f>IF(
      SUM(Audit[[#This Row],[Audit Losing Candidate]:[Audit Candidate 12]])
      &lt;&gt;0,
      (Audit[[#This Row],[Winning Candidate]]-Audit[[#This Row],[Losing Candidate]]-(Audit[[#This Row],[Audit Winning Candidate]]-Audit[[#This Row],[Audit Losing Candidate]]))/(Audit[[#Totals],[Winning Candidate]]-Audit[[#Totals],[Losing Candidate]]),
      0
)</f>
        <v>0</v>
      </c>
      <c r="AV2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2" s="17">
        <f>IF(Audit[[#This Row],[Max Relative Error (ep)]] = 0, 0, Audit[[#This Row],[Max Relative Error (ep)]]/Audit[[#This Row],[Error Bound (up) - Max. possible relative overstatement]])</f>
        <v>0</v>
      </c>
      <c r="BH2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32" s="17">
        <f t="shared" si="4"/>
        <v>1</v>
      </c>
      <c r="BJ232" s="17">
        <f>PRODUCT($BI$5:BI232)</f>
        <v>0.64389454822022163</v>
      </c>
      <c r="BK232" s="19">
        <f>1 - Audit[[#This Row],[K-M P Value]]</f>
        <v>0.35610545177977837</v>
      </c>
      <c r="BL232" s="17" t="str">
        <f>IF(Audit[[#This Row],[K-M P Value]]&gt;1-'General Info'!$B$12,"Continue", "Stop")</f>
        <v>Continue</v>
      </c>
      <c r="BM232" s="22" t="b">
        <f>IF(Audit[[#This Row],[Status - Continue or stop audit]] = "Continue", TRUE, IF(BL231 = "Continue", TRUE, FALSE))</f>
        <v>1</v>
      </c>
      <c r="BN232" s="22"/>
    </row>
    <row r="233" spans="1:66" ht="15" hidden="1" customHeight="1" x14ac:dyDescent="0.35">
      <c r="A233" s="17" t="str">
        <f>'Sampling Data'!AI233</f>
        <v/>
      </c>
      <c r="B233" s="17" t="str">
        <f>'Sampling Data'!A233</f>
        <v>3407 HARR G   (AV)</v>
      </c>
      <c r="C233" s="17">
        <f>'Sampling Data'!B233</f>
        <v>57</v>
      </c>
      <c r="D233" s="17">
        <f>'Sampling Data'!C233</f>
        <v>98</v>
      </c>
      <c r="E233" s="18">
        <f>'Sampling Data'!D233</f>
        <v>0</v>
      </c>
      <c r="F233" s="18">
        <f>'Sampling Data'!E233</f>
        <v>0</v>
      </c>
      <c r="G233" s="18">
        <f>'Sampling Data'!F233</f>
        <v>0</v>
      </c>
      <c r="H233" s="18">
        <f>'Sampling Data'!G233</f>
        <v>0</v>
      </c>
      <c r="I233" s="18">
        <f>'Sampling Data'!H233</f>
        <v>0</v>
      </c>
      <c r="J233" s="18">
        <f>'Sampling Data'!I233</f>
        <v>0</v>
      </c>
      <c r="K233" s="18">
        <f>'Sampling Data'!J233</f>
        <v>0</v>
      </c>
      <c r="L233" s="18">
        <f>'Sampling Data'!K233</f>
        <v>0</v>
      </c>
      <c r="M233" s="18">
        <f>'Sampling Data'!L233</f>
        <v>0</v>
      </c>
      <c r="N233" s="18">
        <f>'Sampling Data'!M233</f>
        <v>0</v>
      </c>
      <c r="O233" s="17">
        <f>'Sampling Data'!N233</f>
        <v>0</v>
      </c>
      <c r="P233" s="17">
        <f>'Sampling Data'!O233</f>
        <v>6</v>
      </c>
      <c r="Q233" s="17">
        <f>'Sampling Data'!P233</f>
        <v>161</v>
      </c>
      <c r="R233" s="17">
        <f>'Sampling Data'!AJ233</f>
        <v>0</v>
      </c>
      <c r="S233" s="111"/>
      <c r="T233" s="111"/>
      <c r="U233" s="112"/>
      <c r="V233" s="112"/>
      <c r="W233" s="111"/>
      <c r="X233" s="111"/>
      <c r="Y233" s="111"/>
      <c r="Z233" s="111"/>
      <c r="AA233" s="14"/>
      <c r="AB233" s="14"/>
      <c r="AC233" s="14"/>
      <c r="AD233" s="14"/>
      <c r="AE233" s="113" t="str">
        <f>IF(NOT(ISBLANK(Audit[[#This Row],[Audit Winning Candidate]])), Audit[[#This Row],[Audit Winning Candidate]]-Audit[[#This Row],[Winning Candidate]], "")</f>
        <v/>
      </c>
      <c r="AF233" s="17" t="str">
        <f>IF(NOT(ISBLANK(Audit[[#This Row],[Audit Losing Candidate]])), Audit[[#This Row],[Audit Losing Candidate]]-Audit[[#This Row],[Losing Candidate]], "")</f>
        <v/>
      </c>
      <c r="AG233" s="17" t="str">
        <f>IF(NOT(ISBLANK(Audit[[#This Row],[Audit Candidate 3]])), Audit[[#This Row],[Audit Candidate 3]]-Audit[[#This Row],[Candidate 3]], "")</f>
        <v/>
      </c>
      <c r="AH233" s="17" t="str">
        <f>IF(NOT(ISBLANK(Audit[[#This Row],[Audit Candidate 4]])),Audit[[#This Row],[Audit Candidate 4]]-Audit[[#This Row],[Candidate 4]], "")</f>
        <v/>
      </c>
      <c r="AI233" s="17" t="str">
        <f>IF(NOT(ISBLANK(Audit[[#This Row],[Audit Candidate 5]])), Audit[[#This Row],[Audit Candidate 5]]-Audit[[#This Row],[Candidate 5]], "")</f>
        <v/>
      </c>
      <c r="AJ233" s="17" t="str">
        <f>IF(NOT(ISBLANK(Audit[[#This Row],[Audit Candidate 6]])), Audit[[#This Row],[Audit Candidate 6]]-Audit[[#This Row],[Candidate 6]], "")</f>
        <v/>
      </c>
      <c r="AK233" s="17" t="str">
        <f>IF(NOT(ISBLANK(Audit[[#This Row],[Audit Candidate 7]])), Audit[[#This Row],[Audit Candidate 7]]-Audit[[#This Row],[Candidate 7]], "")</f>
        <v/>
      </c>
      <c r="AL233" s="17" t="str">
        <f>IF(NOT(ISBLANK(Audit[[#This Row],[Audit Candidate 8]])), Audit[[#This Row],[Audit Candidate 8]]-Audit[[#This Row],[Candidate 8]], "")</f>
        <v/>
      </c>
      <c r="AM233" s="17" t="str">
        <f>IF(NOT(ISBLANK(Audit[[#This Row],[Audit Candidate 9]])), Audit[[#This Row],[Audit Candidate 9]]-Audit[[#This Row],[Candidate 9]], "")</f>
        <v/>
      </c>
      <c r="AN233" s="17" t="str">
        <f>IF(NOT(ISBLANK(Audit[[#This Row],[Audit Candidate 10]])), Audit[[#This Row],[Audit Candidate 10]]-Audit[[#This Row],[Candidate 10]], "")</f>
        <v/>
      </c>
      <c r="AO233" s="17" t="str">
        <f>IF(NOT(ISBLANK(Audit[[#This Row],[Audit Candidate 11]])), Audit[[#This Row],[Audit Candidate 11]]-Audit[[#This Row],[Candidate 11]], "")</f>
        <v/>
      </c>
      <c r="AP233" s="17" t="str">
        <f>IF(NOT(ISBLANK(Audit[[#This Row],[Audit Candidate 12]])), Audit[[#This Row],[Audit Candidate 12]]-Audit[[#This Row],[Candidate 12]], "")</f>
        <v/>
      </c>
      <c r="AQ233" s="17">
        <f>SUMIF(Audit[[#This Row],[Difference Winner]:[Difference Candidate 12]], "&gt;0")</f>
        <v>0</v>
      </c>
      <c r="AR233" s="17">
        <f>SUM(Audit[[#This Row],[Difference Winner]:[Difference Candidate 12]])</f>
        <v>0</v>
      </c>
      <c r="AS233" s="17">
        <f>IF(Audit[[#This Row],[Times p Drawn - With Replacement]]&gt;0, IF(Audit[[#This Row],[Canceled Differences]]&lt;0, Audit[[#This Row],[Max Differences]]+ABS(Audit[[#This Row],[Canceled Differences]]), Audit[[#This Row],[Max Differences]]), 0)</f>
        <v>0</v>
      </c>
      <c r="AT233" s="17">
        <f>'Sampling Data'!AB233</f>
        <v>5.0925140044135123E-3</v>
      </c>
      <c r="AU233" s="17">
        <f>IF(
      SUM(Audit[[#This Row],[Audit Losing Candidate]:[Audit Candidate 12]])
      &lt;&gt;0,
      (Audit[[#This Row],[Winning Candidate]]-Audit[[#This Row],[Losing Candidate]]-(Audit[[#This Row],[Audit Winning Candidate]]-Audit[[#This Row],[Audit Losing Candidate]]))/(Audit[[#Totals],[Winning Candidate]]-Audit[[#Totals],[Losing Candidate]]),
      0
)</f>
        <v>0</v>
      </c>
      <c r="AV2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3" s="17">
        <f>IF(Audit[[#This Row],[Max Relative Error (ep)]] = 0, 0, Audit[[#This Row],[Max Relative Error (ep)]]/Audit[[#This Row],[Error Bound (up) - Max. possible relative overstatement]])</f>
        <v>0</v>
      </c>
      <c r="BH2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33" s="17">
        <f t="shared" si="4"/>
        <v>1</v>
      </c>
      <c r="BJ233" s="17">
        <f>PRODUCT($BI$5:BI233)</f>
        <v>0.64389454822022163</v>
      </c>
      <c r="BK233" s="19">
        <f>1 - Audit[[#This Row],[K-M P Value]]</f>
        <v>0.35610545177977837</v>
      </c>
      <c r="BL233" s="17" t="str">
        <f>IF(Audit[[#This Row],[K-M P Value]]&gt;1-'General Info'!$B$12,"Continue", "Stop")</f>
        <v>Continue</v>
      </c>
      <c r="BM233" s="22" t="b">
        <f>IF(Audit[[#This Row],[Status - Continue or stop audit]] = "Continue", TRUE, IF(BL232 = "Continue", TRUE, FALSE))</f>
        <v>1</v>
      </c>
      <c r="BN233" s="22"/>
    </row>
    <row r="234" spans="1:66" ht="15" hidden="1" customHeight="1" x14ac:dyDescent="0.35">
      <c r="A234" s="17" t="str">
        <f>'Sampling Data'!AI234</f>
        <v/>
      </c>
      <c r="B234" s="17" t="str">
        <f>'Sampling Data'!A234</f>
        <v>3501 IND HLL A   (AV)</v>
      </c>
      <c r="C234" s="17">
        <f>'Sampling Data'!B234</f>
        <v>103</v>
      </c>
      <c r="D234" s="17">
        <f>'Sampling Data'!C234</f>
        <v>141</v>
      </c>
      <c r="E234" s="18">
        <f>'Sampling Data'!D234</f>
        <v>0</v>
      </c>
      <c r="F234" s="18">
        <f>'Sampling Data'!E234</f>
        <v>0</v>
      </c>
      <c r="G234" s="18">
        <f>'Sampling Data'!F234</f>
        <v>0</v>
      </c>
      <c r="H234" s="18">
        <f>'Sampling Data'!G234</f>
        <v>0</v>
      </c>
      <c r="I234" s="18">
        <f>'Sampling Data'!H234</f>
        <v>0</v>
      </c>
      <c r="J234" s="18">
        <f>'Sampling Data'!I234</f>
        <v>0</v>
      </c>
      <c r="K234" s="18">
        <f>'Sampling Data'!J234</f>
        <v>0</v>
      </c>
      <c r="L234" s="18">
        <f>'Sampling Data'!K234</f>
        <v>0</v>
      </c>
      <c r="M234" s="18">
        <f>'Sampling Data'!L234</f>
        <v>0</v>
      </c>
      <c r="N234" s="18">
        <f>'Sampling Data'!M234</f>
        <v>0</v>
      </c>
      <c r="O234" s="17">
        <f>'Sampling Data'!N234</f>
        <v>0</v>
      </c>
      <c r="P234" s="17">
        <f>'Sampling Data'!O234</f>
        <v>19</v>
      </c>
      <c r="Q234" s="17">
        <f>'Sampling Data'!P234</f>
        <v>263</v>
      </c>
      <c r="R234" s="17">
        <f>'Sampling Data'!AJ234</f>
        <v>0</v>
      </c>
      <c r="S234" s="111"/>
      <c r="T234" s="111"/>
      <c r="U234" s="112"/>
      <c r="V234" s="112"/>
      <c r="W234" s="111"/>
      <c r="X234" s="111"/>
      <c r="Y234" s="111"/>
      <c r="Z234" s="111"/>
      <c r="AA234" s="14"/>
      <c r="AB234" s="14"/>
      <c r="AC234" s="14"/>
      <c r="AD234" s="14"/>
      <c r="AE234" s="113" t="str">
        <f>IF(NOT(ISBLANK(Audit[[#This Row],[Audit Winning Candidate]])), Audit[[#This Row],[Audit Winning Candidate]]-Audit[[#This Row],[Winning Candidate]], "")</f>
        <v/>
      </c>
      <c r="AF234" s="17" t="str">
        <f>IF(NOT(ISBLANK(Audit[[#This Row],[Audit Losing Candidate]])), Audit[[#This Row],[Audit Losing Candidate]]-Audit[[#This Row],[Losing Candidate]], "")</f>
        <v/>
      </c>
      <c r="AG234" s="17" t="str">
        <f>IF(NOT(ISBLANK(Audit[[#This Row],[Audit Candidate 3]])), Audit[[#This Row],[Audit Candidate 3]]-Audit[[#This Row],[Candidate 3]], "")</f>
        <v/>
      </c>
      <c r="AH234" s="17" t="str">
        <f>IF(NOT(ISBLANK(Audit[[#This Row],[Audit Candidate 4]])),Audit[[#This Row],[Audit Candidate 4]]-Audit[[#This Row],[Candidate 4]], "")</f>
        <v/>
      </c>
      <c r="AI234" s="17" t="str">
        <f>IF(NOT(ISBLANK(Audit[[#This Row],[Audit Candidate 5]])), Audit[[#This Row],[Audit Candidate 5]]-Audit[[#This Row],[Candidate 5]], "")</f>
        <v/>
      </c>
      <c r="AJ234" s="17" t="str">
        <f>IF(NOT(ISBLANK(Audit[[#This Row],[Audit Candidate 6]])), Audit[[#This Row],[Audit Candidate 6]]-Audit[[#This Row],[Candidate 6]], "")</f>
        <v/>
      </c>
      <c r="AK234" s="17" t="str">
        <f>IF(NOT(ISBLANK(Audit[[#This Row],[Audit Candidate 7]])), Audit[[#This Row],[Audit Candidate 7]]-Audit[[#This Row],[Candidate 7]], "")</f>
        <v/>
      </c>
      <c r="AL234" s="17" t="str">
        <f>IF(NOT(ISBLANK(Audit[[#This Row],[Audit Candidate 8]])), Audit[[#This Row],[Audit Candidate 8]]-Audit[[#This Row],[Candidate 8]], "")</f>
        <v/>
      </c>
      <c r="AM234" s="17" t="str">
        <f>IF(NOT(ISBLANK(Audit[[#This Row],[Audit Candidate 9]])), Audit[[#This Row],[Audit Candidate 9]]-Audit[[#This Row],[Candidate 9]], "")</f>
        <v/>
      </c>
      <c r="AN234" s="17" t="str">
        <f>IF(NOT(ISBLANK(Audit[[#This Row],[Audit Candidate 10]])), Audit[[#This Row],[Audit Candidate 10]]-Audit[[#This Row],[Candidate 10]], "")</f>
        <v/>
      </c>
      <c r="AO234" s="17" t="str">
        <f>IF(NOT(ISBLANK(Audit[[#This Row],[Audit Candidate 11]])), Audit[[#This Row],[Audit Candidate 11]]-Audit[[#This Row],[Candidate 11]], "")</f>
        <v/>
      </c>
      <c r="AP234" s="17" t="str">
        <f>IF(NOT(ISBLANK(Audit[[#This Row],[Audit Candidate 12]])), Audit[[#This Row],[Audit Candidate 12]]-Audit[[#This Row],[Candidate 12]], "")</f>
        <v/>
      </c>
      <c r="AQ234" s="17">
        <f>SUMIF(Audit[[#This Row],[Difference Winner]:[Difference Candidate 12]], "&gt;0")</f>
        <v>0</v>
      </c>
      <c r="AR234" s="17">
        <f>SUM(Audit[[#This Row],[Difference Winner]:[Difference Candidate 12]])</f>
        <v>0</v>
      </c>
      <c r="AS234" s="17">
        <f>IF(Audit[[#This Row],[Times p Drawn - With Replacement]]&gt;0, IF(Audit[[#This Row],[Canceled Differences]]&lt;0, Audit[[#This Row],[Max Differences]]+ABS(Audit[[#This Row],[Canceled Differences]]), Audit[[#This Row],[Max Differences]]), 0)</f>
        <v>0</v>
      </c>
      <c r="AT234" s="17">
        <f>'Sampling Data'!AB234</f>
        <v>9.548463758275335E-3</v>
      </c>
      <c r="AU234" s="17">
        <f>IF(
      SUM(Audit[[#This Row],[Audit Losing Candidate]:[Audit Candidate 12]])
      &lt;&gt;0,
      (Audit[[#This Row],[Winning Candidate]]-Audit[[#This Row],[Losing Candidate]]-(Audit[[#This Row],[Audit Winning Candidate]]-Audit[[#This Row],[Audit Losing Candidate]]))/(Audit[[#Totals],[Winning Candidate]]-Audit[[#Totals],[Losing Candidate]]),
      0
)</f>
        <v>0</v>
      </c>
      <c r="AV2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4" s="17">
        <f>IF(Audit[[#This Row],[Max Relative Error (ep)]] = 0, 0, Audit[[#This Row],[Max Relative Error (ep)]]/Audit[[#This Row],[Error Bound (up) - Max. possible relative overstatement]])</f>
        <v>0</v>
      </c>
      <c r="BH2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34" s="17">
        <f t="shared" si="4"/>
        <v>1</v>
      </c>
      <c r="BJ234" s="17">
        <f>PRODUCT($BI$5:BI234)</f>
        <v>0.64389454822022163</v>
      </c>
      <c r="BK234" s="19">
        <f>1 - Audit[[#This Row],[K-M P Value]]</f>
        <v>0.35610545177977837</v>
      </c>
      <c r="BL234" s="17" t="str">
        <f>IF(Audit[[#This Row],[K-M P Value]]&gt;1-'General Info'!$B$12,"Continue", "Stop")</f>
        <v>Continue</v>
      </c>
      <c r="BM234" s="22" t="b">
        <f>IF(Audit[[#This Row],[Status - Continue or stop audit]] = "Continue", TRUE, IF(BL233 = "Continue", TRUE, FALSE))</f>
        <v>1</v>
      </c>
      <c r="BN234" s="22"/>
    </row>
    <row r="235" spans="1:66" ht="15" hidden="1" customHeight="1" x14ac:dyDescent="0.35">
      <c r="A235" s="17" t="str">
        <f>'Sampling Data'!AI235</f>
        <v/>
      </c>
      <c r="B235" s="17" t="str">
        <f>'Sampling Data'!A235</f>
        <v>3502 IND HLL B   (AV)</v>
      </c>
      <c r="C235" s="17">
        <f>'Sampling Data'!B235</f>
        <v>143</v>
      </c>
      <c r="D235" s="17">
        <f>'Sampling Data'!C235</f>
        <v>326</v>
      </c>
      <c r="E235" s="18">
        <f>'Sampling Data'!D235</f>
        <v>0</v>
      </c>
      <c r="F235" s="18">
        <f>'Sampling Data'!E235</f>
        <v>0</v>
      </c>
      <c r="G235" s="18">
        <f>'Sampling Data'!F235</f>
        <v>0</v>
      </c>
      <c r="H235" s="18">
        <f>'Sampling Data'!G235</f>
        <v>0</v>
      </c>
      <c r="I235" s="18">
        <f>'Sampling Data'!H235</f>
        <v>0</v>
      </c>
      <c r="J235" s="18">
        <f>'Sampling Data'!I235</f>
        <v>0</v>
      </c>
      <c r="K235" s="18">
        <f>'Sampling Data'!J235</f>
        <v>0</v>
      </c>
      <c r="L235" s="18">
        <f>'Sampling Data'!K235</f>
        <v>0</v>
      </c>
      <c r="M235" s="18">
        <f>'Sampling Data'!L235</f>
        <v>0</v>
      </c>
      <c r="N235" s="18">
        <f>'Sampling Data'!M235</f>
        <v>0</v>
      </c>
      <c r="O235" s="17">
        <f>'Sampling Data'!N235</f>
        <v>3</v>
      </c>
      <c r="P235" s="17">
        <f>'Sampling Data'!O235</f>
        <v>16</v>
      </c>
      <c r="Q235" s="17">
        <f>'Sampling Data'!P235</f>
        <v>488</v>
      </c>
      <c r="R235" s="17">
        <f>'Sampling Data'!AJ235</f>
        <v>0</v>
      </c>
      <c r="S235" s="111"/>
      <c r="T235" s="111"/>
      <c r="U235" s="112"/>
      <c r="V235" s="112"/>
      <c r="W235" s="111"/>
      <c r="X235" s="111"/>
      <c r="Y235" s="111"/>
      <c r="Z235" s="111"/>
      <c r="AA235" s="14"/>
      <c r="AB235" s="14"/>
      <c r="AC235" s="14"/>
      <c r="AD235" s="14"/>
      <c r="AE235" s="113" t="str">
        <f>IF(NOT(ISBLANK(Audit[[#This Row],[Audit Winning Candidate]])), Audit[[#This Row],[Audit Winning Candidate]]-Audit[[#This Row],[Winning Candidate]], "")</f>
        <v/>
      </c>
      <c r="AF235" s="17" t="str">
        <f>IF(NOT(ISBLANK(Audit[[#This Row],[Audit Losing Candidate]])), Audit[[#This Row],[Audit Losing Candidate]]-Audit[[#This Row],[Losing Candidate]], "")</f>
        <v/>
      </c>
      <c r="AG235" s="17" t="str">
        <f>IF(NOT(ISBLANK(Audit[[#This Row],[Audit Candidate 3]])), Audit[[#This Row],[Audit Candidate 3]]-Audit[[#This Row],[Candidate 3]], "")</f>
        <v/>
      </c>
      <c r="AH235" s="17" t="str">
        <f>IF(NOT(ISBLANK(Audit[[#This Row],[Audit Candidate 4]])),Audit[[#This Row],[Audit Candidate 4]]-Audit[[#This Row],[Candidate 4]], "")</f>
        <v/>
      </c>
      <c r="AI235" s="17" t="str">
        <f>IF(NOT(ISBLANK(Audit[[#This Row],[Audit Candidate 5]])), Audit[[#This Row],[Audit Candidate 5]]-Audit[[#This Row],[Candidate 5]], "")</f>
        <v/>
      </c>
      <c r="AJ235" s="17" t="str">
        <f>IF(NOT(ISBLANK(Audit[[#This Row],[Audit Candidate 6]])), Audit[[#This Row],[Audit Candidate 6]]-Audit[[#This Row],[Candidate 6]], "")</f>
        <v/>
      </c>
      <c r="AK235" s="17" t="str">
        <f>IF(NOT(ISBLANK(Audit[[#This Row],[Audit Candidate 7]])), Audit[[#This Row],[Audit Candidate 7]]-Audit[[#This Row],[Candidate 7]], "")</f>
        <v/>
      </c>
      <c r="AL235" s="17" t="str">
        <f>IF(NOT(ISBLANK(Audit[[#This Row],[Audit Candidate 8]])), Audit[[#This Row],[Audit Candidate 8]]-Audit[[#This Row],[Candidate 8]], "")</f>
        <v/>
      </c>
      <c r="AM235" s="17" t="str">
        <f>IF(NOT(ISBLANK(Audit[[#This Row],[Audit Candidate 9]])), Audit[[#This Row],[Audit Candidate 9]]-Audit[[#This Row],[Candidate 9]], "")</f>
        <v/>
      </c>
      <c r="AN235" s="17" t="str">
        <f>IF(NOT(ISBLANK(Audit[[#This Row],[Audit Candidate 10]])), Audit[[#This Row],[Audit Candidate 10]]-Audit[[#This Row],[Candidate 10]], "")</f>
        <v/>
      </c>
      <c r="AO235" s="17" t="str">
        <f>IF(NOT(ISBLANK(Audit[[#This Row],[Audit Candidate 11]])), Audit[[#This Row],[Audit Candidate 11]]-Audit[[#This Row],[Candidate 11]], "")</f>
        <v/>
      </c>
      <c r="AP235" s="17" t="str">
        <f>IF(NOT(ISBLANK(Audit[[#This Row],[Audit Candidate 12]])), Audit[[#This Row],[Audit Candidate 12]]-Audit[[#This Row],[Candidate 12]], "")</f>
        <v/>
      </c>
      <c r="AQ235" s="17">
        <f>SUMIF(Audit[[#This Row],[Difference Winner]:[Difference Candidate 12]], "&gt;0")</f>
        <v>0</v>
      </c>
      <c r="AR235" s="17">
        <f>SUM(Audit[[#This Row],[Difference Winner]:[Difference Candidate 12]])</f>
        <v>0</v>
      </c>
      <c r="AS235" s="17">
        <f>IF(Audit[[#This Row],[Times p Drawn - With Replacement]]&gt;0, IF(Audit[[#This Row],[Canceled Differences]]&lt;0, Audit[[#This Row],[Max Differences]]+ABS(Audit[[#This Row],[Canceled Differences]]), Audit[[#This Row],[Max Differences]]), 0)</f>
        <v>0</v>
      </c>
      <c r="AT235" s="17">
        <f>'Sampling Data'!AB235</f>
        <v>1.294347309455101E-2</v>
      </c>
      <c r="AU235" s="17">
        <f>IF(
      SUM(Audit[[#This Row],[Audit Losing Candidate]:[Audit Candidate 12]])
      &lt;&gt;0,
      (Audit[[#This Row],[Winning Candidate]]-Audit[[#This Row],[Losing Candidate]]-(Audit[[#This Row],[Audit Winning Candidate]]-Audit[[#This Row],[Audit Losing Candidate]]))/(Audit[[#Totals],[Winning Candidate]]-Audit[[#Totals],[Losing Candidate]]),
      0
)</f>
        <v>0</v>
      </c>
      <c r="AV2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5" s="17">
        <f>IF(Audit[[#This Row],[Max Relative Error (ep)]] = 0, 0, Audit[[#This Row],[Max Relative Error (ep)]]/Audit[[#This Row],[Error Bound (up) - Max. possible relative overstatement]])</f>
        <v>0</v>
      </c>
      <c r="BH2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35" s="17">
        <f t="shared" si="4"/>
        <v>1</v>
      </c>
      <c r="BJ235" s="17">
        <f>PRODUCT($BI$5:BI235)</f>
        <v>0.64389454822022163</v>
      </c>
      <c r="BK235" s="19">
        <f>1 - Audit[[#This Row],[K-M P Value]]</f>
        <v>0.35610545177977837</v>
      </c>
      <c r="BL235" s="17" t="str">
        <f>IF(Audit[[#This Row],[K-M P Value]]&gt;1-'General Info'!$B$12,"Continue", "Stop")</f>
        <v>Continue</v>
      </c>
      <c r="BM235" s="22" t="b">
        <f>IF(Audit[[#This Row],[Status - Continue or stop audit]] = "Continue", TRUE, IF(BL234 = "Continue", TRUE, FALSE))</f>
        <v>1</v>
      </c>
      <c r="BN235" s="22"/>
    </row>
    <row r="236" spans="1:66" ht="15" hidden="1" customHeight="1" x14ac:dyDescent="0.35">
      <c r="A236" s="17" t="str">
        <f>'Sampling Data'!AI236</f>
        <v/>
      </c>
      <c r="B236" s="17" t="str">
        <f>'Sampling Data'!A236</f>
        <v>3503 IND HLL C   (AV)</v>
      </c>
      <c r="C236" s="17">
        <f>'Sampling Data'!B236</f>
        <v>132</v>
      </c>
      <c r="D236" s="17">
        <f>'Sampling Data'!C236</f>
        <v>176</v>
      </c>
      <c r="E236" s="18">
        <f>'Sampling Data'!D236</f>
        <v>0</v>
      </c>
      <c r="F236" s="18">
        <f>'Sampling Data'!E236</f>
        <v>0</v>
      </c>
      <c r="G236" s="18">
        <f>'Sampling Data'!F236</f>
        <v>0</v>
      </c>
      <c r="H236" s="18">
        <f>'Sampling Data'!G236</f>
        <v>0</v>
      </c>
      <c r="I236" s="18">
        <f>'Sampling Data'!H236</f>
        <v>0</v>
      </c>
      <c r="J236" s="18">
        <f>'Sampling Data'!I236</f>
        <v>0</v>
      </c>
      <c r="K236" s="18">
        <f>'Sampling Data'!J236</f>
        <v>0</v>
      </c>
      <c r="L236" s="18">
        <f>'Sampling Data'!K236</f>
        <v>0</v>
      </c>
      <c r="M236" s="18">
        <f>'Sampling Data'!L236</f>
        <v>0</v>
      </c>
      <c r="N236" s="18">
        <f>'Sampling Data'!M236</f>
        <v>0</v>
      </c>
      <c r="O236" s="17">
        <f>'Sampling Data'!N236</f>
        <v>0</v>
      </c>
      <c r="P236" s="17">
        <f>'Sampling Data'!O236</f>
        <v>11</v>
      </c>
      <c r="Q236" s="17">
        <f>'Sampling Data'!P236</f>
        <v>319</v>
      </c>
      <c r="R236" s="17">
        <f>'Sampling Data'!AJ236</f>
        <v>0</v>
      </c>
      <c r="S236" s="111"/>
      <c r="T236" s="111"/>
      <c r="U236" s="112"/>
      <c r="V236" s="112"/>
      <c r="W236" s="111"/>
      <c r="X236" s="111"/>
      <c r="Y236" s="111"/>
      <c r="Z236" s="111"/>
      <c r="AA236" s="14"/>
      <c r="AB236" s="14"/>
      <c r="AC236" s="14"/>
      <c r="AD236" s="14"/>
      <c r="AE236" s="113" t="str">
        <f>IF(NOT(ISBLANK(Audit[[#This Row],[Audit Winning Candidate]])), Audit[[#This Row],[Audit Winning Candidate]]-Audit[[#This Row],[Winning Candidate]], "")</f>
        <v/>
      </c>
      <c r="AF236" s="17" t="str">
        <f>IF(NOT(ISBLANK(Audit[[#This Row],[Audit Losing Candidate]])), Audit[[#This Row],[Audit Losing Candidate]]-Audit[[#This Row],[Losing Candidate]], "")</f>
        <v/>
      </c>
      <c r="AG236" s="17" t="str">
        <f>IF(NOT(ISBLANK(Audit[[#This Row],[Audit Candidate 3]])), Audit[[#This Row],[Audit Candidate 3]]-Audit[[#This Row],[Candidate 3]], "")</f>
        <v/>
      </c>
      <c r="AH236" s="17" t="str">
        <f>IF(NOT(ISBLANK(Audit[[#This Row],[Audit Candidate 4]])),Audit[[#This Row],[Audit Candidate 4]]-Audit[[#This Row],[Candidate 4]], "")</f>
        <v/>
      </c>
      <c r="AI236" s="17" t="str">
        <f>IF(NOT(ISBLANK(Audit[[#This Row],[Audit Candidate 5]])), Audit[[#This Row],[Audit Candidate 5]]-Audit[[#This Row],[Candidate 5]], "")</f>
        <v/>
      </c>
      <c r="AJ236" s="17" t="str">
        <f>IF(NOT(ISBLANK(Audit[[#This Row],[Audit Candidate 6]])), Audit[[#This Row],[Audit Candidate 6]]-Audit[[#This Row],[Candidate 6]], "")</f>
        <v/>
      </c>
      <c r="AK236" s="17" t="str">
        <f>IF(NOT(ISBLANK(Audit[[#This Row],[Audit Candidate 7]])), Audit[[#This Row],[Audit Candidate 7]]-Audit[[#This Row],[Candidate 7]], "")</f>
        <v/>
      </c>
      <c r="AL236" s="17" t="str">
        <f>IF(NOT(ISBLANK(Audit[[#This Row],[Audit Candidate 8]])), Audit[[#This Row],[Audit Candidate 8]]-Audit[[#This Row],[Candidate 8]], "")</f>
        <v/>
      </c>
      <c r="AM236" s="17" t="str">
        <f>IF(NOT(ISBLANK(Audit[[#This Row],[Audit Candidate 9]])), Audit[[#This Row],[Audit Candidate 9]]-Audit[[#This Row],[Candidate 9]], "")</f>
        <v/>
      </c>
      <c r="AN236" s="17" t="str">
        <f>IF(NOT(ISBLANK(Audit[[#This Row],[Audit Candidate 10]])), Audit[[#This Row],[Audit Candidate 10]]-Audit[[#This Row],[Candidate 10]], "")</f>
        <v/>
      </c>
      <c r="AO236" s="17" t="str">
        <f>IF(NOT(ISBLANK(Audit[[#This Row],[Audit Candidate 11]])), Audit[[#This Row],[Audit Candidate 11]]-Audit[[#This Row],[Candidate 11]], "")</f>
        <v/>
      </c>
      <c r="AP236" s="17" t="str">
        <f>IF(NOT(ISBLANK(Audit[[#This Row],[Audit Candidate 12]])), Audit[[#This Row],[Audit Candidate 12]]-Audit[[#This Row],[Candidate 12]], "")</f>
        <v/>
      </c>
      <c r="AQ236" s="17">
        <f>SUMIF(Audit[[#This Row],[Difference Winner]:[Difference Candidate 12]], "&gt;0")</f>
        <v>0</v>
      </c>
      <c r="AR236" s="17">
        <f>SUM(Audit[[#This Row],[Difference Winner]:[Difference Candidate 12]])</f>
        <v>0</v>
      </c>
      <c r="AS236" s="17">
        <f>IF(Audit[[#This Row],[Times p Drawn - With Replacement]]&gt;0, IF(Audit[[#This Row],[Canceled Differences]]&lt;0, Audit[[#This Row],[Max Differences]]+ABS(Audit[[#This Row],[Canceled Differences]]), Audit[[#This Row],[Max Differences]]), 0)</f>
        <v>0</v>
      </c>
      <c r="AT236" s="17">
        <f>'Sampling Data'!AB236</f>
        <v>1.1670344593447632E-2</v>
      </c>
      <c r="AU236" s="17">
        <f>IF(
      SUM(Audit[[#This Row],[Audit Losing Candidate]:[Audit Candidate 12]])
      &lt;&gt;0,
      (Audit[[#This Row],[Winning Candidate]]-Audit[[#This Row],[Losing Candidate]]-(Audit[[#This Row],[Audit Winning Candidate]]-Audit[[#This Row],[Audit Losing Candidate]]))/(Audit[[#Totals],[Winning Candidate]]-Audit[[#Totals],[Losing Candidate]]),
      0
)</f>
        <v>0</v>
      </c>
      <c r="AV2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6" s="17">
        <f>IF(Audit[[#This Row],[Max Relative Error (ep)]] = 0, 0, Audit[[#This Row],[Max Relative Error (ep)]]/Audit[[#This Row],[Error Bound (up) - Max. possible relative overstatement]])</f>
        <v>0</v>
      </c>
      <c r="BH2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36" s="17">
        <f t="shared" si="4"/>
        <v>1</v>
      </c>
      <c r="BJ236" s="17">
        <f>PRODUCT($BI$5:BI236)</f>
        <v>0.64389454822022163</v>
      </c>
      <c r="BK236" s="19">
        <f>1 - Audit[[#This Row],[K-M P Value]]</f>
        <v>0.35610545177977837</v>
      </c>
      <c r="BL236" s="17" t="str">
        <f>IF(Audit[[#This Row],[K-M P Value]]&gt;1-'General Info'!$B$12,"Continue", "Stop")</f>
        <v>Continue</v>
      </c>
      <c r="BM236" s="22" t="b">
        <f>IF(Audit[[#This Row],[Status - Continue or stop audit]] = "Continue", TRUE, IF(BL235 = "Continue", TRUE, FALSE))</f>
        <v>1</v>
      </c>
      <c r="BN236" s="22"/>
    </row>
    <row r="237" spans="1:66" ht="15" customHeight="1" x14ac:dyDescent="0.35">
      <c r="A237" s="17">
        <f>'Sampling Data'!AI237</f>
        <v>8</v>
      </c>
      <c r="B237" s="17" t="str">
        <f>'Sampling Data'!A237</f>
        <v>3504 IND HLL D   (AV)</v>
      </c>
      <c r="C237" s="17">
        <f>'Sampling Data'!B237</f>
        <v>76</v>
      </c>
      <c r="D237" s="17">
        <f>'Sampling Data'!C237</f>
        <v>168</v>
      </c>
      <c r="E237" s="18">
        <f>'Sampling Data'!D237</f>
        <v>0</v>
      </c>
      <c r="F237" s="18">
        <f>'Sampling Data'!E237</f>
        <v>0</v>
      </c>
      <c r="G237" s="18">
        <f>'Sampling Data'!F237</f>
        <v>0</v>
      </c>
      <c r="H237" s="18">
        <f>'Sampling Data'!G237</f>
        <v>0</v>
      </c>
      <c r="I237" s="18">
        <f>'Sampling Data'!H237</f>
        <v>0</v>
      </c>
      <c r="J237" s="18">
        <f>'Sampling Data'!I237</f>
        <v>0</v>
      </c>
      <c r="K237" s="18">
        <f>'Sampling Data'!J237</f>
        <v>0</v>
      </c>
      <c r="L237" s="18">
        <f>'Sampling Data'!K237</f>
        <v>0</v>
      </c>
      <c r="M237" s="18">
        <f>'Sampling Data'!L237</f>
        <v>0</v>
      </c>
      <c r="N237" s="18">
        <f>'Sampling Data'!M237</f>
        <v>0</v>
      </c>
      <c r="O237" s="17">
        <f>'Sampling Data'!N237</f>
        <v>0</v>
      </c>
      <c r="P237" s="17">
        <f>'Sampling Data'!O237</f>
        <v>9</v>
      </c>
      <c r="Q237" s="17">
        <f>'Sampling Data'!P237</f>
        <v>253</v>
      </c>
      <c r="R237" s="17">
        <f>'Sampling Data'!AJ237</f>
        <v>1</v>
      </c>
      <c r="S237" s="111">
        <v>76</v>
      </c>
      <c r="T237" s="111">
        <v>168</v>
      </c>
      <c r="U237" s="112"/>
      <c r="V237" s="112"/>
      <c r="W237" s="111"/>
      <c r="X237" s="111"/>
      <c r="Y237" s="111"/>
      <c r="Z237" s="111"/>
      <c r="AA237" s="14"/>
      <c r="AB237" s="14"/>
      <c r="AC237" s="14"/>
      <c r="AD237" s="14"/>
      <c r="AE237" s="113">
        <f>IF(NOT(ISBLANK(Audit[[#This Row],[Audit Winning Candidate]])), Audit[[#This Row],[Audit Winning Candidate]]-Audit[[#This Row],[Winning Candidate]], "")</f>
        <v>0</v>
      </c>
      <c r="AF237" s="17">
        <f>IF(NOT(ISBLANK(Audit[[#This Row],[Audit Losing Candidate]])), Audit[[#This Row],[Audit Losing Candidate]]-Audit[[#This Row],[Losing Candidate]], "")</f>
        <v>0</v>
      </c>
      <c r="AG237" s="17" t="str">
        <f>IF(NOT(ISBLANK(Audit[[#This Row],[Audit Candidate 3]])), Audit[[#This Row],[Audit Candidate 3]]-Audit[[#This Row],[Candidate 3]], "")</f>
        <v/>
      </c>
      <c r="AH237" s="17" t="str">
        <f>IF(NOT(ISBLANK(Audit[[#This Row],[Audit Candidate 4]])),Audit[[#This Row],[Audit Candidate 4]]-Audit[[#This Row],[Candidate 4]], "")</f>
        <v/>
      </c>
      <c r="AI237" s="17" t="str">
        <f>IF(NOT(ISBLANK(Audit[[#This Row],[Audit Candidate 5]])), Audit[[#This Row],[Audit Candidate 5]]-Audit[[#This Row],[Candidate 5]], "")</f>
        <v/>
      </c>
      <c r="AJ237" s="17" t="str">
        <f>IF(NOT(ISBLANK(Audit[[#This Row],[Audit Candidate 6]])), Audit[[#This Row],[Audit Candidate 6]]-Audit[[#This Row],[Candidate 6]], "")</f>
        <v/>
      </c>
      <c r="AK237" s="17" t="str">
        <f>IF(NOT(ISBLANK(Audit[[#This Row],[Audit Candidate 7]])), Audit[[#This Row],[Audit Candidate 7]]-Audit[[#This Row],[Candidate 7]], "")</f>
        <v/>
      </c>
      <c r="AL237" s="17" t="str">
        <f>IF(NOT(ISBLANK(Audit[[#This Row],[Audit Candidate 8]])), Audit[[#This Row],[Audit Candidate 8]]-Audit[[#This Row],[Candidate 8]], "")</f>
        <v/>
      </c>
      <c r="AM237" s="17" t="str">
        <f>IF(NOT(ISBLANK(Audit[[#This Row],[Audit Candidate 9]])), Audit[[#This Row],[Audit Candidate 9]]-Audit[[#This Row],[Candidate 9]], "")</f>
        <v/>
      </c>
      <c r="AN237" s="17" t="str">
        <f>IF(NOT(ISBLANK(Audit[[#This Row],[Audit Candidate 10]])), Audit[[#This Row],[Audit Candidate 10]]-Audit[[#This Row],[Candidate 10]], "")</f>
        <v/>
      </c>
      <c r="AO237" s="17" t="str">
        <f>IF(NOT(ISBLANK(Audit[[#This Row],[Audit Candidate 11]])), Audit[[#This Row],[Audit Candidate 11]]-Audit[[#This Row],[Candidate 11]], "")</f>
        <v/>
      </c>
      <c r="AP237" s="17" t="str">
        <f>IF(NOT(ISBLANK(Audit[[#This Row],[Audit Candidate 12]])), Audit[[#This Row],[Audit Candidate 12]]-Audit[[#This Row],[Candidate 12]], "")</f>
        <v/>
      </c>
      <c r="AQ237" s="17">
        <f>SUMIF(Audit[[#This Row],[Difference Winner]:[Difference Candidate 12]], "&gt;0")</f>
        <v>0</v>
      </c>
      <c r="AR237" s="17">
        <f>SUM(Audit[[#This Row],[Difference Winner]:[Difference Candidate 12]])</f>
        <v>0</v>
      </c>
      <c r="AS237" s="17">
        <f>IF(Audit[[#This Row],[Times p Drawn - With Replacement]]&gt;0, IF(Audit[[#This Row],[Canceled Differences]]&lt;0, Audit[[#This Row],[Max Differences]]+ABS(Audit[[#This Row],[Canceled Differences]]), Audit[[#This Row],[Max Differences]]), 0)</f>
        <v>0</v>
      </c>
      <c r="AT237" s="17">
        <f>'Sampling Data'!AB237</f>
        <v>6.8324562892547952E-3</v>
      </c>
      <c r="AU237" s="17">
        <f>IF(
      SUM(Audit[[#This Row],[Audit Losing Candidate]:[Audit Candidate 12]])
      &lt;&gt;0,
      (Audit[[#This Row],[Winning Candidate]]-Audit[[#This Row],[Losing Candidate]]-(Audit[[#This Row],[Audit Winning Candidate]]-Audit[[#This Row],[Audit Losing Candidate]]))/(Audit[[#Totals],[Winning Candidate]]-Audit[[#Totals],[Losing Candidate]]),
      0
)</f>
        <v>0</v>
      </c>
      <c r="AV2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7" s="17">
        <f>IF(Audit[[#This Row],[Max Relative Error (ep)]] = 0, 0, Audit[[#This Row],[Max Relative Error (ep)]]/Audit[[#This Row],[Error Bound (up) - Max. possible relative overstatement]])</f>
        <v>0</v>
      </c>
      <c r="BH2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37" s="17">
        <f t="shared" si="4"/>
        <v>0.94645908314247273</v>
      </c>
      <c r="BJ237" s="17">
        <f>PRODUCT($BI$5:BI237)</f>
        <v>0.60941984374894764</v>
      </c>
      <c r="BK237" s="19">
        <f>1 - Audit[[#This Row],[K-M P Value]]</f>
        <v>0.39058015625105236</v>
      </c>
      <c r="BL237" s="17" t="str">
        <f>IF(Audit[[#This Row],[K-M P Value]]&gt;1-'General Info'!$B$12,"Continue", "Stop")</f>
        <v>Continue</v>
      </c>
      <c r="BM237" s="22" t="b">
        <f>IF(Audit[[#This Row],[Status - Continue or stop audit]] = "Continue", TRUE, IF(BL236 = "Continue", TRUE, FALSE))</f>
        <v>1</v>
      </c>
      <c r="BN237" s="22"/>
    </row>
    <row r="238" spans="1:66" ht="15" hidden="1" customHeight="1" x14ac:dyDescent="0.35">
      <c r="A238" s="17" t="str">
        <f>'Sampling Data'!AI238</f>
        <v/>
      </c>
      <c r="B238" s="17" t="str">
        <f>'Sampling Data'!A238</f>
        <v>3505 IND HLL E   (AV)</v>
      </c>
      <c r="C238" s="17">
        <f>'Sampling Data'!B238</f>
        <v>146</v>
      </c>
      <c r="D238" s="17">
        <f>'Sampling Data'!C238</f>
        <v>236</v>
      </c>
      <c r="E238" s="18">
        <f>'Sampling Data'!D238</f>
        <v>0</v>
      </c>
      <c r="F238" s="18">
        <f>'Sampling Data'!E238</f>
        <v>0</v>
      </c>
      <c r="G238" s="18">
        <f>'Sampling Data'!F238</f>
        <v>0</v>
      </c>
      <c r="H238" s="18">
        <f>'Sampling Data'!G238</f>
        <v>0</v>
      </c>
      <c r="I238" s="18">
        <f>'Sampling Data'!H238</f>
        <v>0</v>
      </c>
      <c r="J238" s="18">
        <f>'Sampling Data'!I238</f>
        <v>0</v>
      </c>
      <c r="K238" s="18">
        <f>'Sampling Data'!J238</f>
        <v>0</v>
      </c>
      <c r="L238" s="18">
        <f>'Sampling Data'!K238</f>
        <v>0</v>
      </c>
      <c r="M238" s="18">
        <f>'Sampling Data'!L238</f>
        <v>0</v>
      </c>
      <c r="N238" s="18">
        <f>'Sampling Data'!M238</f>
        <v>0</v>
      </c>
      <c r="O238" s="17">
        <f>'Sampling Data'!N238</f>
        <v>1</v>
      </c>
      <c r="P238" s="17">
        <f>'Sampling Data'!O238</f>
        <v>9</v>
      </c>
      <c r="Q238" s="17">
        <f>'Sampling Data'!P238</f>
        <v>392</v>
      </c>
      <c r="R238" s="17">
        <f>'Sampling Data'!AJ238</f>
        <v>0</v>
      </c>
      <c r="S238" s="111"/>
      <c r="T238" s="111"/>
      <c r="U238" s="112"/>
      <c r="V238" s="112"/>
      <c r="W238" s="111"/>
      <c r="X238" s="111"/>
      <c r="Y238" s="111"/>
      <c r="Z238" s="111"/>
      <c r="AA238" s="14"/>
      <c r="AB238" s="14"/>
      <c r="AC238" s="14"/>
      <c r="AD238" s="14"/>
      <c r="AE238" s="113" t="str">
        <f>IF(NOT(ISBLANK(Audit[[#This Row],[Audit Winning Candidate]])), Audit[[#This Row],[Audit Winning Candidate]]-Audit[[#This Row],[Winning Candidate]], "")</f>
        <v/>
      </c>
      <c r="AF238" s="17" t="str">
        <f>IF(NOT(ISBLANK(Audit[[#This Row],[Audit Losing Candidate]])), Audit[[#This Row],[Audit Losing Candidate]]-Audit[[#This Row],[Losing Candidate]], "")</f>
        <v/>
      </c>
      <c r="AG238" s="17" t="str">
        <f>IF(NOT(ISBLANK(Audit[[#This Row],[Audit Candidate 3]])), Audit[[#This Row],[Audit Candidate 3]]-Audit[[#This Row],[Candidate 3]], "")</f>
        <v/>
      </c>
      <c r="AH238" s="17" t="str">
        <f>IF(NOT(ISBLANK(Audit[[#This Row],[Audit Candidate 4]])),Audit[[#This Row],[Audit Candidate 4]]-Audit[[#This Row],[Candidate 4]], "")</f>
        <v/>
      </c>
      <c r="AI238" s="17" t="str">
        <f>IF(NOT(ISBLANK(Audit[[#This Row],[Audit Candidate 5]])), Audit[[#This Row],[Audit Candidate 5]]-Audit[[#This Row],[Candidate 5]], "")</f>
        <v/>
      </c>
      <c r="AJ238" s="17" t="str">
        <f>IF(NOT(ISBLANK(Audit[[#This Row],[Audit Candidate 6]])), Audit[[#This Row],[Audit Candidate 6]]-Audit[[#This Row],[Candidate 6]], "")</f>
        <v/>
      </c>
      <c r="AK238" s="17" t="str">
        <f>IF(NOT(ISBLANK(Audit[[#This Row],[Audit Candidate 7]])), Audit[[#This Row],[Audit Candidate 7]]-Audit[[#This Row],[Candidate 7]], "")</f>
        <v/>
      </c>
      <c r="AL238" s="17" t="str">
        <f>IF(NOT(ISBLANK(Audit[[#This Row],[Audit Candidate 8]])), Audit[[#This Row],[Audit Candidate 8]]-Audit[[#This Row],[Candidate 8]], "")</f>
        <v/>
      </c>
      <c r="AM238" s="17" t="str">
        <f>IF(NOT(ISBLANK(Audit[[#This Row],[Audit Candidate 9]])), Audit[[#This Row],[Audit Candidate 9]]-Audit[[#This Row],[Candidate 9]], "")</f>
        <v/>
      </c>
      <c r="AN238" s="17" t="str">
        <f>IF(NOT(ISBLANK(Audit[[#This Row],[Audit Candidate 10]])), Audit[[#This Row],[Audit Candidate 10]]-Audit[[#This Row],[Candidate 10]], "")</f>
        <v/>
      </c>
      <c r="AO238" s="17" t="str">
        <f>IF(NOT(ISBLANK(Audit[[#This Row],[Audit Candidate 11]])), Audit[[#This Row],[Audit Candidate 11]]-Audit[[#This Row],[Candidate 11]], "")</f>
        <v/>
      </c>
      <c r="AP238" s="17" t="str">
        <f>IF(NOT(ISBLANK(Audit[[#This Row],[Audit Candidate 12]])), Audit[[#This Row],[Audit Candidate 12]]-Audit[[#This Row],[Candidate 12]], "")</f>
        <v/>
      </c>
      <c r="AQ238" s="17">
        <f>SUMIF(Audit[[#This Row],[Difference Winner]:[Difference Candidate 12]], "&gt;0")</f>
        <v>0</v>
      </c>
      <c r="AR238" s="17">
        <f>SUM(Audit[[#This Row],[Difference Winner]:[Difference Candidate 12]])</f>
        <v>0</v>
      </c>
      <c r="AS238" s="17">
        <f>IF(Audit[[#This Row],[Times p Drawn - With Replacement]]&gt;0, IF(Audit[[#This Row],[Canceled Differences]]&lt;0, Audit[[#This Row],[Max Differences]]+ABS(Audit[[#This Row],[Canceled Differences]]), Audit[[#This Row],[Max Differences]]), 0)</f>
        <v>0</v>
      </c>
      <c r="AT238" s="17">
        <f>'Sampling Data'!AB238</f>
        <v>1.2816160244440673E-2</v>
      </c>
      <c r="AU238" s="17">
        <f>IF(
      SUM(Audit[[#This Row],[Audit Losing Candidate]:[Audit Candidate 12]])
      &lt;&gt;0,
      (Audit[[#This Row],[Winning Candidate]]-Audit[[#This Row],[Losing Candidate]]-(Audit[[#This Row],[Audit Winning Candidate]]-Audit[[#This Row],[Audit Losing Candidate]]))/(Audit[[#Totals],[Winning Candidate]]-Audit[[#Totals],[Losing Candidate]]),
      0
)</f>
        <v>0</v>
      </c>
      <c r="AV2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8" s="17">
        <f>IF(Audit[[#This Row],[Max Relative Error (ep)]] = 0, 0, Audit[[#This Row],[Max Relative Error (ep)]]/Audit[[#This Row],[Error Bound (up) - Max. possible relative overstatement]])</f>
        <v>0</v>
      </c>
      <c r="BH2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38" s="17">
        <f t="shared" si="4"/>
        <v>1</v>
      </c>
      <c r="BJ238" s="17">
        <f>PRODUCT($BI$5:BI238)</f>
        <v>0.60941984374894764</v>
      </c>
      <c r="BK238" s="19">
        <f>1 - Audit[[#This Row],[K-M P Value]]</f>
        <v>0.39058015625105236</v>
      </c>
      <c r="BL238" s="17" t="str">
        <f>IF(Audit[[#This Row],[K-M P Value]]&gt;1-'General Info'!$B$12,"Continue", "Stop")</f>
        <v>Continue</v>
      </c>
      <c r="BM238" s="22" t="b">
        <f>IF(Audit[[#This Row],[Status - Continue or stop audit]] = "Continue", TRUE, IF(BL237 = "Continue", TRUE, FALSE))</f>
        <v>1</v>
      </c>
      <c r="BN238" s="22"/>
    </row>
    <row r="239" spans="1:66" ht="15" hidden="1" customHeight="1" x14ac:dyDescent="0.35">
      <c r="A239" s="17" t="str">
        <f>'Sampling Data'!AI239</f>
        <v/>
      </c>
      <c r="B239" s="17" t="str">
        <f>'Sampling Data'!A239</f>
        <v>3506 IND HLL F   (AV)</v>
      </c>
      <c r="C239" s="17">
        <f>'Sampling Data'!B239</f>
        <v>105</v>
      </c>
      <c r="D239" s="17">
        <f>'Sampling Data'!C239</f>
        <v>171</v>
      </c>
      <c r="E239" s="18">
        <f>'Sampling Data'!D239</f>
        <v>0</v>
      </c>
      <c r="F239" s="18">
        <f>'Sampling Data'!E239</f>
        <v>0</v>
      </c>
      <c r="G239" s="18">
        <f>'Sampling Data'!F239</f>
        <v>0</v>
      </c>
      <c r="H239" s="18">
        <f>'Sampling Data'!G239</f>
        <v>0</v>
      </c>
      <c r="I239" s="18">
        <f>'Sampling Data'!H239</f>
        <v>0</v>
      </c>
      <c r="J239" s="18">
        <f>'Sampling Data'!I239</f>
        <v>0</v>
      </c>
      <c r="K239" s="18">
        <f>'Sampling Data'!J239</f>
        <v>0</v>
      </c>
      <c r="L239" s="18">
        <f>'Sampling Data'!K239</f>
        <v>0</v>
      </c>
      <c r="M239" s="18">
        <f>'Sampling Data'!L239</f>
        <v>0</v>
      </c>
      <c r="N239" s="18">
        <f>'Sampling Data'!M239</f>
        <v>0</v>
      </c>
      <c r="O239" s="17">
        <f>'Sampling Data'!N239</f>
        <v>0</v>
      </c>
      <c r="P239" s="17">
        <f>'Sampling Data'!O239</f>
        <v>12</v>
      </c>
      <c r="Q239" s="17">
        <f>'Sampling Data'!P239</f>
        <v>288</v>
      </c>
      <c r="R239" s="17">
        <f>'Sampling Data'!AJ239</f>
        <v>0</v>
      </c>
      <c r="S239" s="111"/>
      <c r="T239" s="111"/>
      <c r="U239" s="112"/>
      <c r="V239" s="112"/>
      <c r="W239" s="111"/>
      <c r="X239" s="111"/>
      <c r="Y239" s="111"/>
      <c r="Z239" s="111"/>
      <c r="AA239" s="14"/>
      <c r="AB239" s="14"/>
      <c r="AC239" s="14"/>
      <c r="AD239" s="14"/>
      <c r="AE239" s="113" t="str">
        <f>IF(NOT(ISBLANK(Audit[[#This Row],[Audit Winning Candidate]])), Audit[[#This Row],[Audit Winning Candidate]]-Audit[[#This Row],[Winning Candidate]], "")</f>
        <v/>
      </c>
      <c r="AF239" s="17" t="str">
        <f>IF(NOT(ISBLANK(Audit[[#This Row],[Audit Losing Candidate]])), Audit[[#This Row],[Audit Losing Candidate]]-Audit[[#This Row],[Losing Candidate]], "")</f>
        <v/>
      </c>
      <c r="AG239" s="17" t="str">
        <f>IF(NOT(ISBLANK(Audit[[#This Row],[Audit Candidate 3]])), Audit[[#This Row],[Audit Candidate 3]]-Audit[[#This Row],[Candidate 3]], "")</f>
        <v/>
      </c>
      <c r="AH239" s="17" t="str">
        <f>IF(NOT(ISBLANK(Audit[[#This Row],[Audit Candidate 4]])),Audit[[#This Row],[Audit Candidate 4]]-Audit[[#This Row],[Candidate 4]], "")</f>
        <v/>
      </c>
      <c r="AI239" s="17" t="str">
        <f>IF(NOT(ISBLANK(Audit[[#This Row],[Audit Candidate 5]])), Audit[[#This Row],[Audit Candidate 5]]-Audit[[#This Row],[Candidate 5]], "")</f>
        <v/>
      </c>
      <c r="AJ239" s="17" t="str">
        <f>IF(NOT(ISBLANK(Audit[[#This Row],[Audit Candidate 6]])), Audit[[#This Row],[Audit Candidate 6]]-Audit[[#This Row],[Candidate 6]], "")</f>
        <v/>
      </c>
      <c r="AK239" s="17" t="str">
        <f>IF(NOT(ISBLANK(Audit[[#This Row],[Audit Candidate 7]])), Audit[[#This Row],[Audit Candidate 7]]-Audit[[#This Row],[Candidate 7]], "")</f>
        <v/>
      </c>
      <c r="AL239" s="17" t="str">
        <f>IF(NOT(ISBLANK(Audit[[#This Row],[Audit Candidate 8]])), Audit[[#This Row],[Audit Candidate 8]]-Audit[[#This Row],[Candidate 8]], "")</f>
        <v/>
      </c>
      <c r="AM239" s="17" t="str">
        <f>IF(NOT(ISBLANK(Audit[[#This Row],[Audit Candidate 9]])), Audit[[#This Row],[Audit Candidate 9]]-Audit[[#This Row],[Candidate 9]], "")</f>
        <v/>
      </c>
      <c r="AN239" s="17" t="str">
        <f>IF(NOT(ISBLANK(Audit[[#This Row],[Audit Candidate 10]])), Audit[[#This Row],[Audit Candidate 10]]-Audit[[#This Row],[Candidate 10]], "")</f>
        <v/>
      </c>
      <c r="AO239" s="17" t="str">
        <f>IF(NOT(ISBLANK(Audit[[#This Row],[Audit Candidate 11]])), Audit[[#This Row],[Audit Candidate 11]]-Audit[[#This Row],[Candidate 11]], "")</f>
        <v/>
      </c>
      <c r="AP239" s="17" t="str">
        <f>IF(NOT(ISBLANK(Audit[[#This Row],[Audit Candidate 12]])), Audit[[#This Row],[Audit Candidate 12]]-Audit[[#This Row],[Candidate 12]], "")</f>
        <v/>
      </c>
      <c r="AQ239" s="17">
        <f>SUMIF(Audit[[#This Row],[Difference Winner]:[Difference Candidate 12]], "&gt;0")</f>
        <v>0</v>
      </c>
      <c r="AR239" s="17">
        <f>SUM(Audit[[#This Row],[Difference Winner]:[Difference Candidate 12]])</f>
        <v>0</v>
      </c>
      <c r="AS239" s="17">
        <f>IF(Audit[[#This Row],[Times p Drawn - With Replacement]]&gt;0, IF(Audit[[#This Row],[Canceled Differences]]&lt;0, Audit[[#This Row],[Max Differences]]+ABS(Audit[[#This Row],[Canceled Differences]]), Audit[[#This Row],[Max Differences]]), 0)</f>
        <v>0</v>
      </c>
      <c r="AT239" s="17">
        <f>'Sampling Data'!AB239</f>
        <v>9.4211509081649977E-3</v>
      </c>
      <c r="AU239" s="17">
        <f>IF(
      SUM(Audit[[#This Row],[Audit Losing Candidate]:[Audit Candidate 12]])
      &lt;&gt;0,
      (Audit[[#This Row],[Winning Candidate]]-Audit[[#This Row],[Losing Candidate]]-(Audit[[#This Row],[Audit Winning Candidate]]-Audit[[#This Row],[Audit Losing Candidate]]))/(Audit[[#Totals],[Winning Candidate]]-Audit[[#Totals],[Losing Candidate]]),
      0
)</f>
        <v>0</v>
      </c>
      <c r="AV2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9" s="17">
        <f>IF(Audit[[#This Row],[Max Relative Error (ep)]] = 0, 0, Audit[[#This Row],[Max Relative Error (ep)]]/Audit[[#This Row],[Error Bound (up) - Max. possible relative overstatement]])</f>
        <v>0</v>
      </c>
      <c r="BH2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39" s="17">
        <f t="shared" si="4"/>
        <v>1</v>
      </c>
      <c r="BJ239" s="17">
        <f>PRODUCT($BI$5:BI239)</f>
        <v>0.60941984374894764</v>
      </c>
      <c r="BK239" s="19">
        <f>1 - Audit[[#This Row],[K-M P Value]]</f>
        <v>0.39058015625105236</v>
      </c>
      <c r="BL239" s="17" t="str">
        <f>IF(Audit[[#This Row],[K-M P Value]]&gt;1-'General Info'!$B$12,"Continue", "Stop")</f>
        <v>Continue</v>
      </c>
      <c r="BM239" s="22" t="b">
        <f>IF(Audit[[#This Row],[Status - Continue or stop audit]] = "Continue", TRUE, IF(BL238 = "Continue", TRUE, FALSE))</f>
        <v>1</v>
      </c>
      <c r="BN239" s="22"/>
    </row>
    <row r="240" spans="1:66" ht="15" hidden="1" customHeight="1" x14ac:dyDescent="0.35">
      <c r="A240" s="17" t="str">
        <f>'Sampling Data'!AI240</f>
        <v/>
      </c>
      <c r="B240" s="17" t="str">
        <f>'Sampling Data'!A240</f>
        <v>3701 LOVE A   (AV)</v>
      </c>
      <c r="C240" s="17">
        <f>'Sampling Data'!B240</f>
        <v>124</v>
      </c>
      <c r="D240" s="17">
        <f>'Sampling Data'!C240</f>
        <v>168</v>
      </c>
      <c r="E240" s="18">
        <f>'Sampling Data'!D240</f>
        <v>0</v>
      </c>
      <c r="F240" s="18">
        <f>'Sampling Data'!E240</f>
        <v>0</v>
      </c>
      <c r="G240" s="18">
        <f>'Sampling Data'!F240</f>
        <v>0</v>
      </c>
      <c r="H240" s="18">
        <f>'Sampling Data'!G240</f>
        <v>0</v>
      </c>
      <c r="I240" s="18">
        <f>'Sampling Data'!H240</f>
        <v>0</v>
      </c>
      <c r="J240" s="18">
        <f>'Sampling Data'!I240</f>
        <v>0</v>
      </c>
      <c r="K240" s="18">
        <f>'Sampling Data'!J240</f>
        <v>0</v>
      </c>
      <c r="L240" s="18">
        <f>'Sampling Data'!K240</f>
        <v>0</v>
      </c>
      <c r="M240" s="18">
        <f>'Sampling Data'!L240</f>
        <v>0</v>
      </c>
      <c r="N240" s="18">
        <f>'Sampling Data'!M240</f>
        <v>0</v>
      </c>
      <c r="O240" s="17">
        <f>'Sampling Data'!N240</f>
        <v>0</v>
      </c>
      <c r="P240" s="17">
        <f>'Sampling Data'!O240</f>
        <v>22</v>
      </c>
      <c r="Q240" s="17">
        <f>'Sampling Data'!P240</f>
        <v>314</v>
      </c>
      <c r="R240" s="17">
        <f>'Sampling Data'!AJ240</f>
        <v>0</v>
      </c>
      <c r="S240" s="111"/>
      <c r="T240" s="111"/>
      <c r="U240" s="112"/>
      <c r="V240" s="112"/>
      <c r="W240" s="111"/>
      <c r="X240" s="111"/>
      <c r="Y240" s="111"/>
      <c r="Z240" s="111"/>
      <c r="AA240" s="14"/>
      <c r="AB240" s="14"/>
      <c r="AC240" s="14"/>
      <c r="AD240" s="14"/>
      <c r="AE240" s="113" t="str">
        <f>IF(NOT(ISBLANK(Audit[[#This Row],[Audit Winning Candidate]])), Audit[[#This Row],[Audit Winning Candidate]]-Audit[[#This Row],[Winning Candidate]], "")</f>
        <v/>
      </c>
      <c r="AF240" s="17" t="str">
        <f>IF(NOT(ISBLANK(Audit[[#This Row],[Audit Losing Candidate]])), Audit[[#This Row],[Audit Losing Candidate]]-Audit[[#This Row],[Losing Candidate]], "")</f>
        <v/>
      </c>
      <c r="AG240" s="17" t="str">
        <f>IF(NOT(ISBLANK(Audit[[#This Row],[Audit Candidate 3]])), Audit[[#This Row],[Audit Candidate 3]]-Audit[[#This Row],[Candidate 3]], "")</f>
        <v/>
      </c>
      <c r="AH240" s="17" t="str">
        <f>IF(NOT(ISBLANK(Audit[[#This Row],[Audit Candidate 4]])),Audit[[#This Row],[Audit Candidate 4]]-Audit[[#This Row],[Candidate 4]], "")</f>
        <v/>
      </c>
      <c r="AI240" s="17" t="str">
        <f>IF(NOT(ISBLANK(Audit[[#This Row],[Audit Candidate 5]])), Audit[[#This Row],[Audit Candidate 5]]-Audit[[#This Row],[Candidate 5]], "")</f>
        <v/>
      </c>
      <c r="AJ240" s="17" t="str">
        <f>IF(NOT(ISBLANK(Audit[[#This Row],[Audit Candidate 6]])), Audit[[#This Row],[Audit Candidate 6]]-Audit[[#This Row],[Candidate 6]], "")</f>
        <v/>
      </c>
      <c r="AK240" s="17" t="str">
        <f>IF(NOT(ISBLANK(Audit[[#This Row],[Audit Candidate 7]])), Audit[[#This Row],[Audit Candidate 7]]-Audit[[#This Row],[Candidate 7]], "")</f>
        <v/>
      </c>
      <c r="AL240" s="17" t="str">
        <f>IF(NOT(ISBLANK(Audit[[#This Row],[Audit Candidate 8]])), Audit[[#This Row],[Audit Candidate 8]]-Audit[[#This Row],[Candidate 8]], "")</f>
        <v/>
      </c>
      <c r="AM240" s="17" t="str">
        <f>IF(NOT(ISBLANK(Audit[[#This Row],[Audit Candidate 9]])), Audit[[#This Row],[Audit Candidate 9]]-Audit[[#This Row],[Candidate 9]], "")</f>
        <v/>
      </c>
      <c r="AN240" s="17" t="str">
        <f>IF(NOT(ISBLANK(Audit[[#This Row],[Audit Candidate 10]])), Audit[[#This Row],[Audit Candidate 10]]-Audit[[#This Row],[Candidate 10]], "")</f>
        <v/>
      </c>
      <c r="AO240" s="17" t="str">
        <f>IF(NOT(ISBLANK(Audit[[#This Row],[Audit Candidate 11]])), Audit[[#This Row],[Audit Candidate 11]]-Audit[[#This Row],[Candidate 11]], "")</f>
        <v/>
      </c>
      <c r="AP240" s="17" t="str">
        <f>IF(NOT(ISBLANK(Audit[[#This Row],[Audit Candidate 12]])), Audit[[#This Row],[Audit Candidate 12]]-Audit[[#This Row],[Candidate 12]], "")</f>
        <v/>
      </c>
      <c r="AQ240" s="17">
        <f>SUMIF(Audit[[#This Row],[Difference Winner]:[Difference Candidate 12]], "&gt;0")</f>
        <v>0</v>
      </c>
      <c r="AR240" s="17">
        <f>SUM(Audit[[#This Row],[Difference Winner]:[Difference Candidate 12]])</f>
        <v>0</v>
      </c>
      <c r="AS240" s="17">
        <f>IF(Audit[[#This Row],[Times p Drawn - With Replacement]]&gt;0, IF(Audit[[#This Row],[Canceled Differences]]&lt;0, Audit[[#This Row],[Max Differences]]+ABS(Audit[[#This Row],[Canceled Differences]]), Audit[[#This Row],[Max Differences]]), 0)</f>
        <v>0</v>
      </c>
      <c r="AT240" s="17">
        <f>'Sampling Data'!AB240</f>
        <v>1.1458156509930402E-2</v>
      </c>
      <c r="AU240" s="17">
        <f>IF(
      SUM(Audit[[#This Row],[Audit Losing Candidate]:[Audit Candidate 12]])
      &lt;&gt;0,
      (Audit[[#This Row],[Winning Candidate]]-Audit[[#This Row],[Losing Candidate]]-(Audit[[#This Row],[Audit Winning Candidate]]-Audit[[#This Row],[Audit Losing Candidate]]))/(Audit[[#Totals],[Winning Candidate]]-Audit[[#Totals],[Losing Candidate]]),
      0
)</f>
        <v>0</v>
      </c>
      <c r="AV2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0" s="17">
        <f>IF(Audit[[#This Row],[Max Relative Error (ep)]] = 0, 0, Audit[[#This Row],[Max Relative Error (ep)]]/Audit[[#This Row],[Error Bound (up) - Max. possible relative overstatement]])</f>
        <v>0</v>
      </c>
      <c r="BH2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40" s="17">
        <f t="shared" si="4"/>
        <v>1</v>
      </c>
      <c r="BJ240" s="17">
        <f>PRODUCT($BI$5:BI240)</f>
        <v>0.60941984374894764</v>
      </c>
      <c r="BK240" s="19">
        <f>1 - Audit[[#This Row],[K-M P Value]]</f>
        <v>0.39058015625105236</v>
      </c>
      <c r="BL240" s="17" t="str">
        <f>IF(Audit[[#This Row],[K-M P Value]]&gt;1-'General Info'!$B$12,"Continue", "Stop")</f>
        <v>Continue</v>
      </c>
      <c r="BM240" s="22" t="b">
        <f>IF(Audit[[#This Row],[Status - Continue or stop audit]] = "Continue", TRUE, IF(BL239 = "Continue", TRUE, FALSE))</f>
        <v>1</v>
      </c>
      <c r="BN240" s="22"/>
    </row>
    <row r="241" spans="1:66" ht="15" hidden="1" customHeight="1" x14ac:dyDescent="0.35">
      <c r="A241" s="17" t="str">
        <f>'Sampling Data'!AI241</f>
        <v/>
      </c>
      <c r="B241" s="17" t="str">
        <f>'Sampling Data'!A241</f>
        <v>3702 LOVE B   (AV)</v>
      </c>
      <c r="C241" s="17">
        <f>'Sampling Data'!B241</f>
        <v>169</v>
      </c>
      <c r="D241" s="17">
        <f>'Sampling Data'!C241</f>
        <v>127</v>
      </c>
      <c r="E241" s="18">
        <f>'Sampling Data'!D241</f>
        <v>0</v>
      </c>
      <c r="F241" s="18">
        <f>'Sampling Data'!E241</f>
        <v>0</v>
      </c>
      <c r="G241" s="18">
        <f>'Sampling Data'!F241</f>
        <v>0</v>
      </c>
      <c r="H241" s="18">
        <f>'Sampling Data'!G241</f>
        <v>0</v>
      </c>
      <c r="I241" s="18">
        <f>'Sampling Data'!H241</f>
        <v>0</v>
      </c>
      <c r="J241" s="18">
        <f>'Sampling Data'!I241</f>
        <v>0</v>
      </c>
      <c r="K241" s="18">
        <f>'Sampling Data'!J241</f>
        <v>0</v>
      </c>
      <c r="L241" s="18">
        <f>'Sampling Data'!K241</f>
        <v>0</v>
      </c>
      <c r="M241" s="18">
        <f>'Sampling Data'!L241</f>
        <v>0</v>
      </c>
      <c r="N241" s="18">
        <f>'Sampling Data'!M241</f>
        <v>0</v>
      </c>
      <c r="O241" s="17">
        <f>'Sampling Data'!N241</f>
        <v>1</v>
      </c>
      <c r="P241" s="17">
        <f>'Sampling Data'!O241</f>
        <v>19</v>
      </c>
      <c r="Q241" s="17">
        <f>'Sampling Data'!P241</f>
        <v>316</v>
      </c>
      <c r="R241" s="17">
        <f>'Sampling Data'!AJ241</f>
        <v>0</v>
      </c>
      <c r="S241" s="111"/>
      <c r="T241" s="111"/>
      <c r="U241" s="112"/>
      <c r="V241" s="112"/>
      <c r="W241" s="111"/>
      <c r="X241" s="111"/>
      <c r="Y241" s="111"/>
      <c r="Z241" s="111"/>
      <c r="AA241" s="14"/>
      <c r="AB241" s="14"/>
      <c r="AC241" s="14"/>
      <c r="AD241" s="14"/>
      <c r="AE241" s="113" t="str">
        <f>IF(NOT(ISBLANK(Audit[[#This Row],[Audit Winning Candidate]])), Audit[[#This Row],[Audit Winning Candidate]]-Audit[[#This Row],[Winning Candidate]], "")</f>
        <v/>
      </c>
      <c r="AF241" s="17" t="str">
        <f>IF(NOT(ISBLANK(Audit[[#This Row],[Audit Losing Candidate]])), Audit[[#This Row],[Audit Losing Candidate]]-Audit[[#This Row],[Losing Candidate]], "")</f>
        <v/>
      </c>
      <c r="AG241" s="17" t="str">
        <f>IF(NOT(ISBLANK(Audit[[#This Row],[Audit Candidate 3]])), Audit[[#This Row],[Audit Candidate 3]]-Audit[[#This Row],[Candidate 3]], "")</f>
        <v/>
      </c>
      <c r="AH241" s="17" t="str">
        <f>IF(NOT(ISBLANK(Audit[[#This Row],[Audit Candidate 4]])),Audit[[#This Row],[Audit Candidate 4]]-Audit[[#This Row],[Candidate 4]], "")</f>
        <v/>
      </c>
      <c r="AI241" s="17" t="str">
        <f>IF(NOT(ISBLANK(Audit[[#This Row],[Audit Candidate 5]])), Audit[[#This Row],[Audit Candidate 5]]-Audit[[#This Row],[Candidate 5]], "")</f>
        <v/>
      </c>
      <c r="AJ241" s="17" t="str">
        <f>IF(NOT(ISBLANK(Audit[[#This Row],[Audit Candidate 6]])), Audit[[#This Row],[Audit Candidate 6]]-Audit[[#This Row],[Candidate 6]], "")</f>
        <v/>
      </c>
      <c r="AK241" s="17" t="str">
        <f>IF(NOT(ISBLANK(Audit[[#This Row],[Audit Candidate 7]])), Audit[[#This Row],[Audit Candidate 7]]-Audit[[#This Row],[Candidate 7]], "")</f>
        <v/>
      </c>
      <c r="AL241" s="17" t="str">
        <f>IF(NOT(ISBLANK(Audit[[#This Row],[Audit Candidate 8]])), Audit[[#This Row],[Audit Candidate 8]]-Audit[[#This Row],[Candidate 8]], "")</f>
        <v/>
      </c>
      <c r="AM241" s="17" t="str">
        <f>IF(NOT(ISBLANK(Audit[[#This Row],[Audit Candidate 9]])), Audit[[#This Row],[Audit Candidate 9]]-Audit[[#This Row],[Candidate 9]], "")</f>
        <v/>
      </c>
      <c r="AN241" s="17" t="str">
        <f>IF(NOT(ISBLANK(Audit[[#This Row],[Audit Candidate 10]])), Audit[[#This Row],[Audit Candidate 10]]-Audit[[#This Row],[Candidate 10]], "")</f>
        <v/>
      </c>
      <c r="AO241" s="17" t="str">
        <f>IF(NOT(ISBLANK(Audit[[#This Row],[Audit Candidate 11]])), Audit[[#This Row],[Audit Candidate 11]]-Audit[[#This Row],[Candidate 11]], "")</f>
        <v/>
      </c>
      <c r="AP241" s="17" t="str">
        <f>IF(NOT(ISBLANK(Audit[[#This Row],[Audit Candidate 12]])), Audit[[#This Row],[Audit Candidate 12]]-Audit[[#This Row],[Candidate 12]], "")</f>
        <v/>
      </c>
      <c r="AQ241" s="17">
        <f>SUMIF(Audit[[#This Row],[Difference Winner]:[Difference Candidate 12]], "&gt;0")</f>
        <v>0</v>
      </c>
      <c r="AR241" s="17">
        <f>SUM(Audit[[#This Row],[Difference Winner]:[Difference Candidate 12]])</f>
        <v>0</v>
      </c>
      <c r="AS241" s="17">
        <f>IF(Audit[[#This Row],[Times p Drawn - With Replacement]]&gt;0, IF(Audit[[#This Row],[Canceled Differences]]&lt;0, Audit[[#This Row],[Max Differences]]+ABS(Audit[[#This Row],[Canceled Differences]]), Audit[[#This Row],[Max Differences]]), 0)</f>
        <v>0</v>
      </c>
      <c r="AT241" s="17">
        <f>'Sampling Data'!AB241</f>
        <v>1.5192666779833644E-2</v>
      </c>
      <c r="AU241" s="17">
        <f>IF(
      SUM(Audit[[#This Row],[Audit Losing Candidate]:[Audit Candidate 12]])
      &lt;&gt;0,
      (Audit[[#This Row],[Winning Candidate]]-Audit[[#This Row],[Losing Candidate]]-(Audit[[#This Row],[Audit Winning Candidate]]-Audit[[#This Row],[Audit Losing Candidate]]))/(Audit[[#Totals],[Winning Candidate]]-Audit[[#Totals],[Losing Candidate]]),
      0
)</f>
        <v>0</v>
      </c>
      <c r="AV2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1" s="17">
        <f>IF(Audit[[#This Row],[Max Relative Error (ep)]] = 0, 0, Audit[[#This Row],[Max Relative Error (ep)]]/Audit[[#This Row],[Error Bound (up) - Max. possible relative overstatement]])</f>
        <v>0</v>
      </c>
      <c r="BH2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41" s="17">
        <f t="shared" si="4"/>
        <v>1</v>
      </c>
      <c r="BJ241" s="17">
        <f>PRODUCT($BI$5:BI241)</f>
        <v>0.60941984374894764</v>
      </c>
      <c r="BK241" s="19">
        <f>1 - Audit[[#This Row],[K-M P Value]]</f>
        <v>0.39058015625105236</v>
      </c>
      <c r="BL241" s="17" t="str">
        <f>IF(Audit[[#This Row],[K-M P Value]]&gt;1-'General Info'!$B$12,"Continue", "Stop")</f>
        <v>Continue</v>
      </c>
      <c r="BM241" s="22" t="b">
        <f>IF(Audit[[#This Row],[Status - Continue or stop audit]] = "Continue", TRUE, IF(BL240 = "Continue", TRUE, FALSE))</f>
        <v>1</v>
      </c>
      <c r="BN241" s="22"/>
    </row>
    <row r="242" spans="1:66" ht="15" hidden="1" customHeight="1" x14ac:dyDescent="0.35">
      <c r="A242" s="17" t="str">
        <f>'Sampling Data'!AI242</f>
        <v/>
      </c>
      <c r="B242" s="17" t="str">
        <f>'Sampling Data'!A242</f>
        <v>3703 LOVE C   (AV)</v>
      </c>
      <c r="C242" s="17">
        <f>'Sampling Data'!B242</f>
        <v>207</v>
      </c>
      <c r="D242" s="17">
        <f>'Sampling Data'!C242</f>
        <v>201</v>
      </c>
      <c r="E242" s="18">
        <f>'Sampling Data'!D242</f>
        <v>0</v>
      </c>
      <c r="F242" s="18">
        <f>'Sampling Data'!E242</f>
        <v>0</v>
      </c>
      <c r="G242" s="18">
        <f>'Sampling Data'!F242</f>
        <v>0</v>
      </c>
      <c r="H242" s="18">
        <f>'Sampling Data'!G242</f>
        <v>0</v>
      </c>
      <c r="I242" s="18">
        <f>'Sampling Data'!H242</f>
        <v>0</v>
      </c>
      <c r="J242" s="18">
        <f>'Sampling Data'!I242</f>
        <v>0</v>
      </c>
      <c r="K242" s="18">
        <f>'Sampling Data'!J242</f>
        <v>0</v>
      </c>
      <c r="L242" s="18">
        <f>'Sampling Data'!K242</f>
        <v>0</v>
      </c>
      <c r="M242" s="18">
        <f>'Sampling Data'!L242</f>
        <v>0</v>
      </c>
      <c r="N242" s="18">
        <f>'Sampling Data'!M242</f>
        <v>0</v>
      </c>
      <c r="O242" s="17">
        <f>'Sampling Data'!N242</f>
        <v>0</v>
      </c>
      <c r="P242" s="17">
        <f>'Sampling Data'!O242</f>
        <v>22</v>
      </c>
      <c r="Q242" s="17">
        <f>'Sampling Data'!P242</f>
        <v>430</v>
      </c>
      <c r="R242" s="17">
        <f>'Sampling Data'!AJ242</f>
        <v>0</v>
      </c>
      <c r="S242" s="111"/>
      <c r="T242" s="111"/>
      <c r="U242" s="112"/>
      <c r="V242" s="112"/>
      <c r="W242" s="111"/>
      <c r="X242" s="111"/>
      <c r="Y242" s="111"/>
      <c r="Z242" s="111"/>
      <c r="AA242" s="14"/>
      <c r="AB242" s="14"/>
      <c r="AC242" s="14"/>
      <c r="AD242" s="14"/>
      <c r="AE242" s="113" t="str">
        <f>IF(NOT(ISBLANK(Audit[[#This Row],[Audit Winning Candidate]])), Audit[[#This Row],[Audit Winning Candidate]]-Audit[[#This Row],[Winning Candidate]], "")</f>
        <v/>
      </c>
      <c r="AF242" s="17" t="str">
        <f>IF(NOT(ISBLANK(Audit[[#This Row],[Audit Losing Candidate]])), Audit[[#This Row],[Audit Losing Candidate]]-Audit[[#This Row],[Losing Candidate]], "")</f>
        <v/>
      </c>
      <c r="AG242" s="17" t="str">
        <f>IF(NOT(ISBLANK(Audit[[#This Row],[Audit Candidate 3]])), Audit[[#This Row],[Audit Candidate 3]]-Audit[[#This Row],[Candidate 3]], "")</f>
        <v/>
      </c>
      <c r="AH242" s="17" t="str">
        <f>IF(NOT(ISBLANK(Audit[[#This Row],[Audit Candidate 4]])),Audit[[#This Row],[Audit Candidate 4]]-Audit[[#This Row],[Candidate 4]], "")</f>
        <v/>
      </c>
      <c r="AI242" s="17" t="str">
        <f>IF(NOT(ISBLANK(Audit[[#This Row],[Audit Candidate 5]])), Audit[[#This Row],[Audit Candidate 5]]-Audit[[#This Row],[Candidate 5]], "")</f>
        <v/>
      </c>
      <c r="AJ242" s="17" t="str">
        <f>IF(NOT(ISBLANK(Audit[[#This Row],[Audit Candidate 6]])), Audit[[#This Row],[Audit Candidate 6]]-Audit[[#This Row],[Candidate 6]], "")</f>
        <v/>
      </c>
      <c r="AK242" s="17" t="str">
        <f>IF(NOT(ISBLANK(Audit[[#This Row],[Audit Candidate 7]])), Audit[[#This Row],[Audit Candidate 7]]-Audit[[#This Row],[Candidate 7]], "")</f>
        <v/>
      </c>
      <c r="AL242" s="17" t="str">
        <f>IF(NOT(ISBLANK(Audit[[#This Row],[Audit Candidate 8]])), Audit[[#This Row],[Audit Candidate 8]]-Audit[[#This Row],[Candidate 8]], "")</f>
        <v/>
      </c>
      <c r="AM242" s="17" t="str">
        <f>IF(NOT(ISBLANK(Audit[[#This Row],[Audit Candidate 9]])), Audit[[#This Row],[Audit Candidate 9]]-Audit[[#This Row],[Candidate 9]], "")</f>
        <v/>
      </c>
      <c r="AN242" s="17" t="str">
        <f>IF(NOT(ISBLANK(Audit[[#This Row],[Audit Candidate 10]])), Audit[[#This Row],[Audit Candidate 10]]-Audit[[#This Row],[Candidate 10]], "")</f>
        <v/>
      </c>
      <c r="AO242" s="17" t="str">
        <f>IF(NOT(ISBLANK(Audit[[#This Row],[Audit Candidate 11]])), Audit[[#This Row],[Audit Candidate 11]]-Audit[[#This Row],[Candidate 11]], "")</f>
        <v/>
      </c>
      <c r="AP242" s="17" t="str">
        <f>IF(NOT(ISBLANK(Audit[[#This Row],[Audit Candidate 12]])), Audit[[#This Row],[Audit Candidate 12]]-Audit[[#This Row],[Candidate 12]], "")</f>
        <v/>
      </c>
      <c r="AQ242" s="17">
        <f>SUMIF(Audit[[#This Row],[Difference Winner]:[Difference Candidate 12]], "&gt;0")</f>
        <v>0</v>
      </c>
      <c r="AR242" s="17">
        <f>SUM(Audit[[#This Row],[Difference Winner]:[Difference Candidate 12]])</f>
        <v>0</v>
      </c>
      <c r="AS242" s="17">
        <f>IF(Audit[[#This Row],[Times p Drawn - With Replacement]]&gt;0, IF(Audit[[#This Row],[Canceled Differences]]&lt;0, Audit[[#This Row],[Max Differences]]+ABS(Audit[[#This Row],[Canceled Differences]]), Audit[[#This Row],[Max Differences]]), 0)</f>
        <v>0</v>
      </c>
      <c r="AT242" s="17">
        <f>'Sampling Data'!AB242</f>
        <v>1.8502800882702428E-2</v>
      </c>
      <c r="AU242" s="17">
        <f>IF(
      SUM(Audit[[#This Row],[Audit Losing Candidate]:[Audit Candidate 12]])
      &lt;&gt;0,
      (Audit[[#This Row],[Winning Candidate]]-Audit[[#This Row],[Losing Candidate]]-(Audit[[#This Row],[Audit Winning Candidate]]-Audit[[#This Row],[Audit Losing Candidate]]))/(Audit[[#Totals],[Winning Candidate]]-Audit[[#Totals],[Losing Candidate]]),
      0
)</f>
        <v>0</v>
      </c>
      <c r="AV2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2" s="17">
        <f>IF(Audit[[#This Row],[Max Relative Error (ep)]] = 0, 0, Audit[[#This Row],[Max Relative Error (ep)]]/Audit[[#This Row],[Error Bound (up) - Max. possible relative overstatement]])</f>
        <v>0</v>
      </c>
      <c r="BH2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42" s="17">
        <f t="shared" si="4"/>
        <v>1</v>
      </c>
      <c r="BJ242" s="17">
        <f>PRODUCT($BI$5:BI242)</f>
        <v>0.60941984374894764</v>
      </c>
      <c r="BK242" s="19">
        <f>1 - Audit[[#This Row],[K-M P Value]]</f>
        <v>0.39058015625105236</v>
      </c>
      <c r="BL242" s="17" t="str">
        <f>IF(Audit[[#This Row],[K-M P Value]]&gt;1-'General Info'!$B$12,"Continue", "Stop")</f>
        <v>Continue</v>
      </c>
      <c r="BM242" s="22" t="b">
        <f>IF(Audit[[#This Row],[Status - Continue or stop audit]] = "Continue", TRUE, IF(BL241 = "Continue", TRUE, FALSE))</f>
        <v>1</v>
      </c>
      <c r="BN242" s="22"/>
    </row>
    <row r="243" spans="1:66" ht="15" hidden="1" customHeight="1" x14ac:dyDescent="0.35">
      <c r="A243" s="17" t="str">
        <f>'Sampling Data'!AI243</f>
        <v/>
      </c>
      <c r="B243" s="17" t="str">
        <f>'Sampling Data'!A243</f>
        <v>3704 LOVE D   (AV)</v>
      </c>
      <c r="C243" s="17">
        <f>'Sampling Data'!B243</f>
        <v>98</v>
      </c>
      <c r="D243" s="17">
        <f>'Sampling Data'!C243</f>
        <v>91</v>
      </c>
      <c r="E243" s="18">
        <f>'Sampling Data'!D243</f>
        <v>0</v>
      </c>
      <c r="F243" s="18">
        <f>'Sampling Data'!E243</f>
        <v>0</v>
      </c>
      <c r="G243" s="18">
        <f>'Sampling Data'!F243</f>
        <v>0</v>
      </c>
      <c r="H243" s="18">
        <f>'Sampling Data'!G243</f>
        <v>0</v>
      </c>
      <c r="I243" s="18">
        <f>'Sampling Data'!H243</f>
        <v>0</v>
      </c>
      <c r="J243" s="18">
        <f>'Sampling Data'!I243</f>
        <v>0</v>
      </c>
      <c r="K243" s="18">
        <f>'Sampling Data'!J243</f>
        <v>0</v>
      </c>
      <c r="L243" s="18">
        <f>'Sampling Data'!K243</f>
        <v>0</v>
      </c>
      <c r="M243" s="18">
        <f>'Sampling Data'!L243</f>
        <v>0</v>
      </c>
      <c r="N243" s="18">
        <f>'Sampling Data'!M243</f>
        <v>0</v>
      </c>
      <c r="O243" s="17">
        <f>'Sampling Data'!N243</f>
        <v>0</v>
      </c>
      <c r="P243" s="17">
        <f>'Sampling Data'!O243</f>
        <v>14</v>
      </c>
      <c r="Q243" s="17">
        <f>'Sampling Data'!P243</f>
        <v>203</v>
      </c>
      <c r="R243" s="17">
        <f>'Sampling Data'!AJ243</f>
        <v>0</v>
      </c>
      <c r="S243" s="111"/>
      <c r="T243" s="111"/>
      <c r="U243" s="112"/>
      <c r="V243" s="112"/>
      <c r="W243" s="111"/>
      <c r="X243" s="111"/>
      <c r="Y243" s="111"/>
      <c r="Z243" s="111"/>
      <c r="AA243" s="14"/>
      <c r="AB243" s="14"/>
      <c r="AC243" s="14"/>
      <c r="AD243" s="14"/>
      <c r="AE243" s="113" t="str">
        <f>IF(NOT(ISBLANK(Audit[[#This Row],[Audit Winning Candidate]])), Audit[[#This Row],[Audit Winning Candidate]]-Audit[[#This Row],[Winning Candidate]], "")</f>
        <v/>
      </c>
      <c r="AF243" s="17" t="str">
        <f>IF(NOT(ISBLANK(Audit[[#This Row],[Audit Losing Candidate]])), Audit[[#This Row],[Audit Losing Candidate]]-Audit[[#This Row],[Losing Candidate]], "")</f>
        <v/>
      </c>
      <c r="AG243" s="17" t="str">
        <f>IF(NOT(ISBLANK(Audit[[#This Row],[Audit Candidate 3]])), Audit[[#This Row],[Audit Candidate 3]]-Audit[[#This Row],[Candidate 3]], "")</f>
        <v/>
      </c>
      <c r="AH243" s="17" t="str">
        <f>IF(NOT(ISBLANK(Audit[[#This Row],[Audit Candidate 4]])),Audit[[#This Row],[Audit Candidate 4]]-Audit[[#This Row],[Candidate 4]], "")</f>
        <v/>
      </c>
      <c r="AI243" s="17" t="str">
        <f>IF(NOT(ISBLANK(Audit[[#This Row],[Audit Candidate 5]])), Audit[[#This Row],[Audit Candidate 5]]-Audit[[#This Row],[Candidate 5]], "")</f>
        <v/>
      </c>
      <c r="AJ243" s="17" t="str">
        <f>IF(NOT(ISBLANK(Audit[[#This Row],[Audit Candidate 6]])), Audit[[#This Row],[Audit Candidate 6]]-Audit[[#This Row],[Candidate 6]], "")</f>
        <v/>
      </c>
      <c r="AK243" s="17" t="str">
        <f>IF(NOT(ISBLANK(Audit[[#This Row],[Audit Candidate 7]])), Audit[[#This Row],[Audit Candidate 7]]-Audit[[#This Row],[Candidate 7]], "")</f>
        <v/>
      </c>
      <c r="AL243" s="17" t="str">
        <f>IF(NOT(ISBLANK(Audit[[#This Row],[Audit Candidate 8]])), Audit[[#This Row],[Audit Candidate 8]]-Audit[[#This Row],[Candidate 8]], "")</f>
        <v/>
      </c>
      <c r="AM243" s="17" t="str">
        <f>IF(NOT(ISBLANK(Audit[[#This Row],[Audit Candidate 9]])), Audit[[#This Row],[Audit Candidate 9]]-Audit[[#This Row],[Candidate 9]], "")</f>
        <v/>
      </c>
      <c r="AN243" s="17" t="str">
        <f>IF(NOT(ISBLANK(Audit[[#This Row],[Audit Candidate 10]])), Audit[[#This Row],[Audit Candidate 10]]-Audit[[#This Row],[Candidate 10]], "")</f>
        <v/>
      </c>
      <c r="AO243" s="17" t="str">
        <f>IF(NOT(ISBLANK(Audit[[#This Row],[Audit Candidate 11]])), Audit[[#This Row],[Audit Candidate 11]]-Audit[[#This Row],[Candidate 11]], "")</f>
        <v/>
      </c>
      <c r="AP243" s="17" t="str">
        <f>IF(NOT(ISBLANK(Audit[[#This Row],[Audit Candidate 12]])), Audit[[#This Row],[Audit Candidate 12]]-Audit[[#This Row],[Candidate 12]], "")</f>
        <v/>
      </c>
      <c r="AQ243" s="17">
        <f>SUMIF(Audit[[#This Row],[Difference Winner]:[Difference Candidate 12]], "&gt;0")</f>
        <v>0</v>
      </c>
      <c r="AR243" s="17">
        <f>SUM(Audit[[#This Row],[Difference Winner]:[Difference Candidate 12]])</f>
        <v>0</v>
      </c>
      <c r="AS243" s="17">
        <f>IF(Audit[[#This Row],[Times p Drawn - With Replacement]]&gt;0, IF(Audit[[#This Row],[Canceled Differences]]&lt;0, Audit[[#This Row],[Max Differences]]+ABS(Audit[[#This Row],[Canceled Differences]]), Audit[[#This Row],[Max Differences]]), 0)</f>
        <v>0</v>
      </c>
      <c r="AT243" s="17">
        <f>'Sampling Data'!AB243</f>
        <v>8.911899507723647E-3</v>
      </c>
      <c r="AU243" s="17">
        <f>IF(
      SUM(Audit[[#This Row],[Audit Losing Candidate]:[Audit Candidate 12]])
      &lt;&gt;0,
      (Audit[[#This Row],[Winning Candidate]]-Audit[[#This Row],[Losing Candidate]]-(Audit[[#This Row],[Audit Winning Candidate]]-Audit[[#This Row],[Audit Losing Candidate]]))/(Audit[[#Totals],[Winning Candidate]]-Audit[[#Totals],[Losing Candidate]]),
      0
)</f>
        <v>0</v>
      </c>
      <c r="AV2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3" s="17">
        <f>IF(Audit[[#This Row],[Max Relative Error (ep)]] = 0, 0, Audit[[#This Row],[Max Relative Error (ep)]]/Audit[[#This Row],[Error Bound (up) - Max. possible relative overstatement]])</f>
        <v>0</v>
      </c>
      <c r="BH2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43" s="17">
        <f t="shared" si="4"/>
        <v>1</v>
      </c>
      <c r="BJ243" s="17">
        <f>PRODUCT($BI$5:BI243)</f>
        <v>0.60941984374894764</v>
      </c>
      <c r="BK243" s="19">
        <f>1 - Audit[[#This Row],[K-M P Value]]</f>
        <v>0.39058015625105236</v>
      </c>
      <c r="BL243" s="17" t="str">
        <f>IF(Audit[[#This Row],[K-M P Value]]&gt;1-'General Info'!$B$12,"Continue", "Stop")</f>
        <v>Continue</v>
      </c>
      <c r="BM243" s="22" t="b">
        <f>IF(Audit[[#This Row],[Status - Continue or stop audit]] = "Continue", TRUE, IF(BL242 = "Continue", TRUE, FALSE))</f>
        <v>1</v>
      </c>
      <c r="BN243" s="22"/>
    </row>
    <row r="244" spans="1:66" ht="15" hidden="1" customHeight="1" x14ac:dyDescent="0.35">
      <c r="A244" s="17" t="str">
        <f>'Sampling Data'!AI244</f>
        <v/>
      </c>
      <c r="B244" s="17" t="str">
        <f>'Sampling Data'!A244</f>
        <v>3705 LOVE E   (AV)</v>
      </c>
      <c r="C244" s="17">
        <f>'Sampling Data'!B244</f>
        <v>140</v>
      </c>
      <c r="D244" s="17">
        <f>'Sampling Data'!C244</f>
        <v>128</v>
      </c>
      <c r="E244" s="18">
        <f>'Sampling Data'!D244</f>
        <v>0</v>
      </c>
      <c r="F244" s="18">
        <f>'Sampling Data'!E244</f>
        <v>0</v>
      </c>
      <c r="G244" s="18">
        <f>'Sampling Data'!F244</f>
        <v>0</v>
      </c>
      <c r="H244" s="18">
        <f>'Sampling Data'!G244</f>
        <v>0</v>
      </c>
      <c r="I244" s="18">
        <f>'Sampling Data'!H244</f>
        <v>0</v>
      </c>
      <c r="J244" s="18">
        <f>'Sampling Data'!I244</f>
        <v>0</v>
      </c>
      <c r="K244" s="18">
        <f>'Sampling Data'!J244</f>
        <v>0</v>
      </c>
      <c r="L244" s="18">
        <f>'Sampling Data'!K244</f>
        <v>0</v>
      </c>
      <c r="M244" s="18">
        <f>'Sampling Data'!L244</f>
        <v>0</v>
      </c>
      <c r="N244" s="18">
        <f>'Sampling Data'!M244</f>
        <v>0</v>
      </c>
      <c r="O244" s="17">
        <f>'Sampling Data'!N244</f>
        <v>0</v>
      </c>
      <c r="P244" s="17">
        <f>'Sampling Data'!O244</f>
        <v>23</v>
      </c>
      <c r="Q244" s="17">
        <f>'Sampling Data'!P244</f>
        <v>291</v>
      </c>
      <c r="R244" s="17">
        <f>'Sampling Data'!AJ244</f>
        <v>0</v>
      </c>
      <c r="S244" s="111"/>
      <c r="T244" s="111"/>
      <c r="U244" s="112"/>
      <c r="V244" s="112"/>
      <c r="W244" s="111"/>
      <c r="X244" s="111"/>
      <c r="Y244" s="111"/>
      <c r="Z244" s="111"/>
      <c r="AA244" s="14"/>
      <c r="AB244" s="14"/>
      <c r="AC244" s="14"/>
      <c r="AD244" s="14"/>
      <c r="AE244" s="113" t="str">
        <f>IF(NOT(ISBLANK(Audit[[#This Row],[Audit Winning Candidate]])), Audit[[#This Row],[Audit Winning Candidate]]-Audit[[#This Row],[Winning Candidate]], "")</f>
        <v/>
      </c>
      <c r="AF244" s="17" t="str">
        <f>IF(NOT(ISBLANK(Audit[[#This Row],[Audit Losing Candidate]])), Audit[[#This Row],[Audit Losing Candidate]]-Audit[[#This Row],[Losing Candidate]], "")</f>
        <v/>
      </c>
      <c r="AG244" s="17" t="str">
        <f>IF(NOT(ISBLANK(Audit[[#This Row],[Audit Candidate 3]])), Audit[[#This Row],[Audit Candidate 3]]-Audit[[#This Row],[Candidate 3]], "")</f>
        <v/>
      </c>
      <c r="AH244" s="17" t="str">
        <f>IF(NOT(ISBLANK(Audit[[#This Row],[Audit Candidate 4]])),Audit[[#This Row],[Audit Candidate 4]]-Audit[[#This Row],[Candidate 4]], "")</f>
        <v/>
      </c>
      <c r="AI244" s="17" t="str">
        <f>IF(NOT(ISBLANK(Audit[[#This Row],[Audit Candidate 5]])), Audit[[#This Row],[Audit Candidate 5]]-Audit[[#This Row],[Candidate 5]], "")</f>
        <v/>
      </c>
      <c r="AJ244" s="17" t="str">
        <f>IF(NOT(ISBLANK(Audit[[#This Row],[Audit Candidate 6]])), Audit[[#This Row],[Audit Candidate 6]]-Audit[[#This Row],[Candidate 6]], "")</f>
        <v/>
      </c>
      <c r="AK244" s="17" t="str">
        <f>IF(NOT(ISBLANK(Audit[[#This Row],[Audit Candidate 7]])), Audit[[#This Row],[Audit Candidate 7]]-Audit[[#This Row],[Candidate 7]], "")</f>
        <v/>
      </c>
      <c r="AL244" s="17" t="str">
        <f>IF(NOT(ISBLANK(Audit[[#This Row],[Audit Candidate 8]])), Audit[[#This Row],[Audit Candidate 8]]-Audit[[#This Row],[Candidate 8]], "")</f>
        <v/>
      </c>
      <c r="AM244" s="17" t="str">
        <f>IF(NOT(ISBLANK(Audit[[#This Row],[Audit Candidate 9]])), Audit[[#This Row],[Audit Candidate 9]]-Audit[[#This Row],[Candidate 9]], "")</f>
        <v/>
      </c>
      <c r="AN244" s="17" t="str">
        <f>IF(NOT(ISBLANK(Audit[[#This Row],[Audit Candidate 10]])), Audit[[#This Row],[Audit Candidate 10]]-Audit[[#This Row],[Candidate 10]], "")</f>
        <v/>
      </c>
      <c r="AO244" s="17" t="str">
        <f>IF(NOT(ISBLANK(Audit[[#This Row],[Audit Candidate 11]])), Audit[[#This Row],[Audit Candidate 11]]-Audit[[#This Row],[Candidate 11]], "")</f>
        <v/>
      </c>
      <c r="AP244" s="17" t="str">
        <f>IF(NOT(ISBLANK(Audit[[#This Row],[Audit Candidate 12]])), Audit[[#This Row],[Audit Candidate 12]]-Audit[[#This Row],[Candidate 12]], "")</f>
        <v/>
      </c>
      <c r="AQ244" s="17">
        <f>SUMIF(Audit[[#This Row],[Difference Winner]:[Difference Candidate 12]], "&gt;0")</f>
        <v>0</v>
      </c>
      <c r="AR244" s="17">
        <f>SUM(Audit[[#This Row],[Difference Winner]:[Difference Candidate 12]])</f>
        <v>0</v>
      </c>
      <c r="AS244" s="17">
        <f>IF(Audit[[#This Row],[Times p Drawn - With Replacement]]&gt;0, IF(Audit[[#This Row],[Canceled Differences]]&lt;0, Audit[[#This Row],[Max Differences]]+ABS(Audit[[#This Row],[Canceled Differences]]), Audit[[#This Row],[Max Differences]]), 0)</f>
        <v>0</v>
      </c>
      <c r="AT244" s="17">
        <f>'Sampling Data'!AB244</f>
        <v>1.2858597861144119E-2</v>
      </c>
      <c r="AU244" s="17">
        <f>IF(
      SUM(Audit[[#This Row],[Audit Losing Candidate]:[Audit Candidate 12]])
      &lt;&gt;0,
      (Audit[[#This Row],[Winning Candidate]]-Audit[[#This Row],[Losing Candidate]]-(Audit[[#This Row],[Audit Winning Candidate]]-Audit[[#This Row],[Audit Losing Candidate]]))/(Audit[[#Totals],[Winning Candidate]]-Audit[[#Totals],[Losing Candidate]]),
      0
)</f>
        <v>0</v>
      </c>
      <c r="AV2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4" s="17">
        <f>IF(Audit[[#This Row],[Max Relative Error (ep)]] = 0, 0, Audit[[#This Row],[Max Relative Error (ep)]]/Audit[[#This Row],[Error Bound (up) - Max. possible relative overstatement]])</f>
        <v>0</v>
      </c>
      <c r="BH2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44" s="17">
        <f t="shared" si="4"/>
        <v>1</v>
      </c>
      <c r="BJ244" s="17">
        <f>PRODUCT($BI$5:BI244)</f>
        <v>0.60941984374894764</v>
      </c>
      <c r="BK244" s="19">
        <f>1 - Audit[[#This Row],[K-M P Value]]</f>
        <v>0.39058015625105236</v>
      </c>
      <c r="BL244" s="17" t="str">
        <f>IF(Audit[[#This Row],[K-M P Value]]&gt;1-'General Info'!$B$12,"Continue", "Stop")</f>
        <v>Continue</v>
      </c>
      <c r="BM244" s="22" t="b">
        <f>IF(Audit[[#This Row],[Status - Continue or stop audit]] = "Continue", TRUE, IF(BL243 = "Continue", TRUE, FALSE))</f>
        <v>1</v>
      </c>
      <c r="BN244" s="22"/>
    </row>
    <row r="245" spans="1:66" ht="15" hidden="1" customHeight="1" x14ac:dyDescent="0.35">
      <c r="A245" s="17" t="str">
        <f>'Sampling Data'!AI245</f>
        <v/>
      </c>
      <c r="B245" s="17" t="str">
        <f>'Sampling Data'!A245</f>
        <v>3706 LOVE F   (AV)</v>
      </c>
      <c r="C245" s="17">
        <f>'Sampling Data'!B245</f>
        <v>93</v>
      </c>
      <c r="D245" s="17">
        <f>'Sampling Data'!C245</f>
        <v>92</v>
      </c>
      <c r="E245" s="18">
        <f>'Sampling Data'!D245</f>
        <v>0</v>
      </c>
      <c r="F245" s="18">
        <f>'Sampling Data'!E245</f>
        <v>0</v>
      </c>
      <c r="G245" s="18">
        <f>'Sampling Data'!F245</f>
        <v>0</v>
      </c>
      <c r="H245" s="18">
        <f>'Sampling Data'!G245</f>
        <v>0</v>
      </c>
      <c r="I245" s="18">
        <f>'Sampling Data'!H245</f>
        <v>0</v>
      </c>
      <c r="J245" s="18">
        <f>'Sampling Data'!I245</f>
        <v>0</v>
      </c>
      <c r="K245" s="18">
        <f>'Sampling Data'!J245</f>
        <v>0</v>
      </c>
      <c r="L245" s="18">
        <f>'Sampling Data'!K245</f>
        <v>0</v>
      </c>
      <c r="M245" s="18">
        <f>'Sampling Data'!L245</f>
        <v>0</v>
      </c>
      <c r="N245" s="18">
        <f>'Sampling Data'!M245</f>
        <v>0</v>
      </c>
      <c r="O245" s="17">
        <f>'Sampling Data'!N245</f>
        <v>0</v>
      </c>
      <c r="P245" s="17">
        <f>'Sampling Data'!O245</f>
        <v>14</v>
      </c>
      <c r="Q245" s="17">
        <f>'Sampling Data'!P245</f>
        <v>199</v>
      </c>
      <c r="R245" s="17">
        <f>'Sampling Data'!AJ245</f>
        <v>0</v>
      </c>
      <c r="S245" s="111"/>
      <c r="T245" s="111"/>
      <c r="U245" s="112"/>
      <c r="V245" s="112"/>
      <c r="W245" s="111"/>
      <c r="X245" s="111"/>
      <c r="Y245" s="111"/>
      <c r="Z245" s="111"/>
      <c r="AA245" s="14"/>
      <c r="AB245" s="14"/>
      <c r="AC245" s="14"/>
      <c r="AD245" s="14"/>
      <c r="AE245" s="113" t="str">
        <f>IF(NOT(ISBLANK(Audit[[#This Row],[Audit Winning Candidate]])), Audit[[#This Row],[Audit Winning Candidate]]-Audit[[#This Row],[Winning Candidate]], "")</f>
        <v/>
      </c>
      <c r="AF245" s="17" t="str">
        <f>IF(NOT(ISBLANK(Audit[[#This Row],[Audit Losing Candidate]])), Audit[[#This Row],[Audit Losing Candidate]]-Audit[[#This Row],[Losing Candidate]], "")</f>
        <v/>
      </c>
      <c r="AG245" s="17" t="str">
        <f>IF(NOT(ISBLANK(Audit[[#This Row],[Audit Candidate 3]])), Audit[[#This Row],[Audit Candidate 3]]-Audit[[#This Row],[Candidate 3]], "")</f>
        <v/>
      </c>
      <c r="AH245" s="17" t="str">
        <f>IF(NOT(ISBLANK(Audit[[#This Row],[Audit Candidate 4]])),Audit[[#This Row],[Audit Candidate 4]]-Audit[[#This Row],[Candidate 4]], "")</f>
        <v/>
      </c>
      <c r="AI245" s="17" t="str">
        <f>IF(NOT(ISBLANK(Audit[[#This Row],[Audit Candidate 5]])), Audit[[#This Row],[Audit Candidate 5]]-Audit[[#This Row],[Candidate 5]], "")</f>
        <v/>
      </c>
      <c r="AJ245" s="17" t="str">
        <f>IF(NOT(ISBLANK(Audit[[#This Row],[Audit Candidate 6]])), Audit[[#This Row],[Audit Candidate 6]]-Audit[[#This Row],[Candidate 6]], "")</f>
        <v/>
      </c>
      <c r="AK245" s="17" t="str">
        <f>IF(NOT(ISBLANK(Audit[[#This Row],[Audit Candidate 7]])), Audit[[#This Row],[Audit Candidate 7]]-Audit[[#This Row],[Candidate 7]], "")</f>
        <v/>
      </c>
      <c r="AL245" s="17" t="str">
        <f>IF(NOT(ISBLANK(Audit[[#This Row],[Audit Candidate 8]])), Audit[[#This Row],[Audit Candidate 8]]-Audit[[#This Row],[Candidate 8]], "")</f>
        <v/>
      </c>
      <c r="AM245" s="17" t="str">
        <f>IF(NOT(ISBLANK(Audit[[#This Row],[Audit Candidate 9]])), Audit[[#This Row],[Audit Candidate 9]]-Audit[[#This Row],[Candidate 9]], "")</f>
        <v/>
      </c>
      <c r="AN245" s="17" t="str">
        <f>IF(NOT(ISBLANK(Audit[[#This Row],[Audit Candidate 10]])), Audit[[#This Row],[Audit Candidate 10]]-Audit[[#This Row],[Candidate 10]], "")</f>
        <v/>
      </c>
      <c r="AO245" s="17" t="str">
        <f>IF(NOT(ISBLANK(Audit[[#This Row],[Audit Candidate 11]])), Audit[[#This Row],[Audit Candidate 11]]-Audit[[#This Row],[Candidate 11]], "")</f>
        <v/>
      </c>
      <c r="AP245" s="17" t="str">
        <f>IF(NOT(ISBLANK(Audit[[#This Row],[Audit Candidate 12]])), Audit[[#This Row],[Audit Candidate 12]]-Audit[[#This Row],[Candidate 12]], "")</f>
        <v/>
      </c>
      <c r="AQ245" s="17">
        <f>SUMIF(Audit[[#This Row],[Difference Winner]:[Difference Candidate 12]], "&gt;0")</f>
        <v>0</v>
      </c>
      <c r="AR245" s="17">
        <f>SUM(Audit[[#This Row],[Difference Winner]:[Difference Candidate 12]])</f>
        <v>0</v>
      </c>
      <c r="AS245" s="17">
        <f>IF(Audit[[#This Row],[Times p Drawn - With Replacement]]&gt;0, IF(Audit[[#This Row],[Canceled Differences]]&lt;0, Audit[[#This Row],[Max Differences]]+ABS(Audit[[#This Row],[Canceled Differences]]), Audit[[#This Row],[Max Differences]]), 0)</f>
        <v>0</v>
      </c>
      <c r="AT245" s="17">
        <f>'Sampling Data'!AB245</f>
        <v>8.4875233406891872E-3</v>
      </c>
      <c r="AU245" s="17">
        <f>IF(
      SUM(Audit[[#This Row],[Audit Losing Candidate]:[Audit Candidate 12]])
      &lt;&gt;0,
      (Audit[[#This Row],[Winning Candidate]]-Audit[[#This Row],[Losing Candidate]]-(Audit[[#This Row],[Audit Winning Candidate]]-Audit[[#This Row],[Audit Losing Candidate]]))/(Audit[[#Totals],[Winning Candidate]]-Audit[[#Totals],[Losing Candidate]]),
      0
)</f>
        <v>0</v>
      </c>
      <c r="AV2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5" s="17">
        <f>IF(Audit[[#This Row],[Max Relative Error (ep)]] = 0, 0, Audit[[#This Row],[Max Relative Error (ep)]]/Audit[[#This Row],[Error Bound (up) - Max. possible relative overstatement]])</f>
        <v>0</v>
      </c>
      <c r="BH2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45" s="17">
        <f t="shared" si="4"/>
        <v>1</v>
      </c>
      <c r="BJ245" s="17">
        <f>PRODUCT($BI$5:BI245)</f>
        <v>0.60941984374894764</v>
      </c>
      <c r="BK245" s="19">
        <f>1 - Audit[[#This Row],[K-M P Value]]</f>
        <v>0.39058015625105236</v>
      </c>
      <c r="BL245" s="17" t="str">
        <f>IF(Audit[[#This Row],[K-M P Value]]&gt;1-'General Info'!$B$12,"Continue", "Stop")</f>
        <v>Continue</v>
      </c>
      <c r="BM245" s="22" t="b">
        <f>IF(Audit[[#This Row],[Status - Continue or stop audit]] = "Continue", TRUE, IF(BL244 = "Continue", TRUE, FALSE))</f>
        <v>1</v>
      </c>
      <c r="BN245" s="22"/>
    </row>
    <row r="246" spans="1:66" ht="15" hidden="1" customHeight="1" x14ac:dyDescent="0.35">
      <c r="A246" s="17" t="str">
        <f>'Sampling Data'!AI246</f>
        <v/>
      </c>
      <c r="B246" s="17" t="str">
        <f>'Sampling Data'!A246</f>
        <v>3707 LOVE G   (AV)</v>
      </c>
      <c r="C246" s="17">
        <f>'Sampling Data'!B246</f>
        <v>98</v>
      </c>
      <c r="D246" s="17">
        <f>'Sampling Data'!C246</f>
        <v>113</v>
      </c>
      <c r="E246" s="18">
        <f>'Sampling Data'!D246</f>
        <v>0</v>
      </c>
      <c r="F246" s="18">
        <f>'Sampling Data'!E246</f>
        <v>0</v>
      </c>
      <c r="G246" s="18">
        <f>'Sampling Data'!F246</f>
        <v>0</v>
      </c>
      <c r="H246" s="18">
        <f>'Sampling Data'!G246</f>
        <v>0</v>
      </c>
      <c r="I246" s="18">
        <f>'Sampling Data'!H246</f>
        <v>0</v>
      </c>
      <c r="J246" s="18">
        <f>'Sampling Data'!I246</f>
        <v>0</v>
      </c>
      <c r="K246" s="18">
        <f>'Sampling Data'!J246</f>
        <v>0</v>
      </c>
      <c r="L246" s="18">
        <f>'Sampling Data'!K246</f>
        <v>0</v>
      </c>
      <c r="M246" s="18">
        <f>'Sampling Data'!L246</f>
        <v>0</v>
      </c>
      <c r="N246" s="18">
        <f>'Sampling Data'!M246</f>
        <v>0</v>
      </c>
      <c r="O246" s="17">
        <f>'Sampling Data'!N246</f>
        <v>0</v>
      </c>
      <c r="P246" s="17">
        <f>'Sampling Data'!O246</f>
        <v>15</v>
      </c>
      <c r="Q246" s="17">
        <f>'Sampling Data'!P246</f>
        <v>226</v>
      </c>
      <c r="R246" s="17">
        <f>'Sampling Data'!AJ246</f>
        <v>0</v>
      </c>
      <c r="S246" s="111"/>
      <c r="T246" s="111"/>
      <c r="U246" s="112"/>
      <c r="V246" s="112"/>
      <c r="W246" s="111"/>
      <c r="X246" s="111"/>
      <c r="Y246" s="111"/>
      <c r="Z246" s="111"/>
      <c r="AA246" s="14"/>
      <c r="AB246" s="14"/>
      <c r="AC246" s="14"/>
      <c r="AD246" s="14"/>
      <c r="AE246" s="113" t="str">
        <f>IF(NOT(ISBLANK(Audit[[#This Row],[Audit Winning Candidate]])), Audit[[#This Row],[Audit Winning Candidate]]-Audit[[#This Row],[Winning Candidate]], "")</f>
        <v/>
      </c>
      <c r="AF246" s="17" t="str">
        <f>IF(NOT(ISBLANK(Audit[[#This Row],[Audit Losing Candidate]])), Audit[[#This Row],[Audit Losing Candidate]]-Audit[[#This Row],[Losing Candidate]], "")</f>
        <v/>
      </c>
      <c r="AG246" s="17" t="str">
        <f>IF(NOT(ISBLANK(Audit[[#This Row],[Audit Candidate 3]])), Audit[[#This Row],[Audit Candidate 3]]-Audit[[#This Row],[Candidate 3]], "")</f>
        <v/>
      </c>
      <c r="AH246" s="17" t="str">
        <f>IF(NOT(ISBLANK(Audit[[#This Row],[Audit Candidate 4]])),Audit[[#This Row],[Audit Candidate 4]]-Audit[[#This Row],[Candidate 4]], "")</f>
        <v/>
      </c>
      <c r="AI246" s="17" t="str">
        <f>IF(NOT(ISBLANK(Audit[[#This Row],[Audit Candidate 5]])), Audit[[#This Row],[Audit Candidate 5]]-Audit[[#This Row],[Candidate 5]], "")</f>
        <v/>
      </c>
      <c r="AJ246" s="17" t="str">
        <f>IF(NOT(ISBLANK(Audit[[#This Row],[Audit Candidate 6]])), Audit[[#This Row],[Audit Candidate 6]]-Audit[[#This Row],[Candidate 6]], "")</f>
        <v/>
      </c>
      <c r="AK246" s="17" t="str">
        <f>IF(NOT(ISBLANK(Audit[[#This Row],[Audit Candidate 7]])), Audit[[#This Row],[Audit Candidate 7]]-Audit[[#This Row],[Candidate 7]], "")</f>
        <v/>
      </c>
      <c r="AL246" s="17" t="str">
        <f>IF(NOT(ISBLANK(Audit[[#This Row],[Audit Candidate 8]])), Audit[[#This Row],[Audit Candidate 8]]-Audit[[#This Row],[Candidate 8]], "")</f>
        <v/>
      </c>
      <c r="AM246" s="17" t="str">
        <f>IF(NOT(ISBLANK(Audit[[#This Row],[Audit Candidate 9]])), Audit[[#This Row],[Audit Candidate 9]]-Audit[[#This Row],[Candidate 9]], "")</f>
        <v/>
      </c>
      <c r="AN246" s="17" t="str">
        <f>IF(NOT(ISBLANK(Audit[[#This Row],[Audit Candidate 10]])), Audit[[#This Row],[Audit Candidate 10]]-Audit[[#This Row],[Candidate 10]], "")</f>
        <v/>
      </c>
      <c r="AO246" s="17" t="str">
        <f>IF(NOT(ISBLANK(Audit[[#This Row],[Audit Candidate 11]])), Audit[[#This Row],[Audit Candidate 11]]-Audit[[#This Row],[Candidate 11]], "")</f>
        <v/>
      </c>
      <c r="AP246" s="17" t="str">
        <f>IF(NOT(ISBLANK(Audit[[#This Row],[Audit Candidate 12]])), Audit[[#This Row],[Audit Candidate 12]]-Audit[[#This Row],[Candidate 12]], "")</f>
        <v/>
      </c>
      <c r="AQ246" s="17">
        <f>SUMIF(Audit[[#This Row],[Difference Winner]:[Difference Candidate 12]], "&gt;0")</f>
        <v>0</v>
      </c>
      <c r="AR246" s="17">
        <f>SUM(Audit[[#This Row],[Difference Winner]:[Difference Candidate 12]])</f>
        <v>0</v>
      </c>
      <c r="AS246" s="17">
        <f>IF(Audit[[#This Row],[Times p Drawn - With Replacement]]&gt;0, IF(Audit[[#This Row],[Canceled Differences]]&lt;0, Audit[[#This Row],[Max Differences]]+ABS(Audit[[#This Row],[Canceled Differences]]), Audit[[#This Row],[Max Differences]]), 0)</f>
        <v>0</v>
      </c>
      <c r="AT246" s="17">
        <f>'Sampling Data'!AB246</f>
        <v>8.9543371244270916E-3</v>
      </c>
      <c r="AU246" s="17">
        <f>IF(
      SUM(Audit[[#This Row],[Audit Losing Candidate]:[Audit Candidate 12]])
      &lt;&gt;0,
      (Audit[[#This Row],[Winning Candidate]]-Audit[[#This Row],[Losing Candidate]]-(Audit[[#This Row],[Audit Winning Candidate]]-Audit[[#This Row],[Audit Losing Candidate]]))/(Audit[[#Totals],[Winning Candidate]]-Audit[[#Totals],[Losing Candidate]]),
      0
)</f>
        <v>0</v>
      </c>
      <c r="AV2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6" s="17">
        <f>IF(Audit[[#This Row],[Max Relative Error (ep)]] = 0, 0, Audit[[#This Row],[Max Relative Error (ep)]]/Audit[[#This Row],[Error Bound (up) - Max. possible relative overstatement]])</f>
        <v>0</v>
      </c>
      <c r="BH2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46" s="17">
        <f t="shared" si="4"/>
        <v>1</v>
      </c>
      <c r="BJ246" s="17">
        <f>PRODUCT($BI$5:BI246)</f>
        <v>0.60941984374894764</v>
      </c>
      <c r="BK246" s="19">
        <f>1 - Audit[[#This Row],[K-M P Value]]</f>
        <v>0.39058015625105236</v>
      </c>
      <c r="BL246" s="17" t="str">
        <f>IF(Audit[[#This Row],[K-M P Value]]&gt;1-'General Info'!$B$12,"Continue", "Stop")</f>
        <v>Continue</v>
      </c>
      <c r="BM246" s="22" t="b">
        <f>IF(Audit[[#This Row],[Status - Continue or stop audit]] = "Continue", TRUE, IF(BL245 = "Continue", TRUE, FALSE))</f>
        <v>1</v>
      </c>
      <c r="BN246" s="22"/>
    </row>
    <row r="247" spans="1:66" ht="15" hidden="1" customHeight="1" x14ac:dyDescent="0.35">
      <c r="A247" s="17" t="str">
        <f>'Sampling Data'!AI247</f>
        <v/>
      </c>
      <c r="B247" s="17" t="str">
        <f>'Sampling Data'!A247</f>
        <v>3801 MADRA A   (AV)</v>
      </c>
      <c r="C247" s="17">
        <f>'Sampling Data'!B247</f>
        <v>261</v>
      </c>
      <c r="D247" s="17">
        <f>'Sampling Data'!C247</f>
        <v>177</v>
      </c>
      <c r="E247" s="18">
        <f>'Sampling Data'!D247</f>
        <v>0</v>
      </c>
      <c r="F247" s="18">
        <f>'Sampling Data'!E247</f>
        <v>0</v>
      </c>
      <c r="G247" s="18">
        <f>'Sampling Data'!F247</f>
        <v>0</v>
      </c>
      <c r="H247" s="18">
        <f>'Sampling Data'!G247</f>
        <v>0</v>
      </c>
      <c r="I247" s="18">
        <f>'Sampling Data'!H247</f>
        <v>0</v>
      </c>
      <c r="J247" s="18">
        <f>'Sampling Data'!I247</f>
        <v>0</v>
      </c>
      <c r="K247" s="18">
        <f>'Sampling Data'!J247</f>
        <v>0</v>
      </c>
      <c r="L247" s="18">
        <f>'Sampling Data'!K247</f>
        <v>0</v>
      </c>
      <c r="M247" s="18">
        <f>'Sampling Data'!L247</f>
        <v>0</v>
      </c>
      <c r="N247" s="18">
        <f>'Sampling Data'!M247</f>
        <v>0</v>
      </c>
      <c r="O247" s="17">
        <f>'Sampling Data'!N247</f>
        <v>0</v>
      </c>
      <c r="P247" s="17">
        <f>'Sampling Data'!O247</f>
        <v>29</v>
      </c>
      <c r="Q247" s="17">
        <f>'Sampling Data'!P247</f>
        <v>467</v>
      </c>
      <c r="R247" s="17">
        <f>'Sampling Data'!AJ247</f>
        <v>0</v>
      </c>
      <c r="S247" s="111"/>
      <c r="T247" s="111"/>
      <c r="U247" s="112"/>
      <c r="V247" s="112"/>
      <c r="W247" s="111"/>
      <c r="X247" s="111"/>
      <c r="Y247" s="111"/>
      <c r="Z247" s="111"/>
      <c r="AA247" s="14"/>
      <c r="AB247" s="14"/>
      <c r="AC247" s="14"/>
      <c r="AD247" s="14"/>
      <c r="AE247" s="113" t="str">
        <f>IF(NOT(ISBLANK(Audit[[#This Row],[Audit Winning Candidate]])), Audit[[#This Row],[Audit Winning Candidate]]-Audit[[#This Row],[Winning Candidate]], "")</f>
        <v/>
      </c>
      <c r="AF247" s="17" t="str">
        <f>IF(NOT(ISBLANK(Audit[[#This Row],[Audit Losing Candidate]])), Audit[[#This Row],[Audit Losing Candidate]]-Audit[[#This Row],[Losing Candidate]], "")</f>
        <v/>
      </c>
      <c r="AG247" s="17" t="str">
        <f>IF(NOT(ISBLANK(Audit[[#This Row],[Audit Candidate 3]])), Audit[[#This Row],[Audit Candidate 3]]-Audit[[#This Row],[Candidate 3]], "")</f>
        <v/>
      </c>
      <c r="AH247" s="17" t="str">
        <f>IF(NOT(ISBLANK(Audit[[#This Row],[Audit Candidate 4]])),Audit[[#This Row],[Audit Candidate 4]]-Audit[[#This Row],[Candidate 4]], "")</f>
        <v/>
      </c>
      <c r="AI247" s="17" t="str">
        <f>IF(NOT(ISBLANK(Audit[[#This Row],[Audit Candidate 5]])), Audit[[#This Row],[Audit Candidate 5]]-Audit[[#This Row],[Candidate 5]], "")</f>
        <v/>
      </c>
      <c r="AJ247" s="17" t="str">
        <f>IF(NOT(ISBLANK(Audit[[#This Row],[Audit Candidate 6]])), Audit[[#This Row],[Audit Candidate 6]]-Audit[[#This Row],[Candidate 6]], "")</f>
        <v/>
      </c>
      <c r="AK247" s="17" t="str">
        <f>IF(NOT(ISBLANK(Audit[[#This Row],[Audit Candidate 7]])), Audit[[#This Row],[Audit Candidate 7]]-Audit[[#This Row],[Candidate 7]], "")</f>
        <v/>
      </c>
      <c r="AL247" s="17" t="str">
        <f>IF(NOT(ISBLANK(Audit[[#This Row],[Audit Candidate 8]])), Audit[[#This Row],[Audit Candidate 8]]-Audit[[#This Row],[Candidate 8]], "")</f>
        <v/>
      </c>
      <c r="AM247" s="17" t="str">
        <f>IF(NOT(ISBLANK(Audit[[#This Row],[Audit Candidate 9]])), Audit[[#This Row],[Audit Candidate 9]]-Audit[[#This Row],[Candidate 9]], "")</f>
        <v/>
      </c>
      <c r="AN247" s="17" t="str">
        <f>IF(NOT(ISBLANK(Audit[[#This Row],[Audit Candidate 10]])), Audit[[#This Row],[Audit Candidate 10]]-Audit[[#This Row],[Candidate 10]], "")</f>
        <v/>
      </c>
      <c r="AO247" s="17" t="str">
        <f>IF(NOT(ISBLANK(Audit[[#This Row],[Audit Candidate 11]])), Audit[[#This Row],[Audit Candidate 11]]-Audit[[#This Row],[Candidate 11]], "")</f>
        <v/>
      </c>
      <c r="AP247" s="17" t="str">
        <f>IF(NOT(ISBLANK(Audit[[#This Row],[Audit Candidate 12]])), Audit[[#This Row],[Audit Candidate 12]]-Audit[[#This Row],[Candidate 12]], "")</f>
        <v/>
      </c>
      <c r="AQ247" s="17">
        <f>SUMIF(Audit[[#This Row],[Difference Winner]:[Difference Candidate 12]], "&gt;0")</f>
        <v>0</v>
      </c>
      <c r="AR247" s="17">
        <f>SUM(Audit[[#This Row],[Difference Winner]:[Difference Candidate 12]])</f>
        <v>0</v>
      </c>
      <c r="AS247" s="17">
        <f>IF(Audit[[#This Row],[Times p Drawn - With Replacement]]&gt;0, IF(Audit[[#This Row],[Canceled Differences]]&lt;0, Audit[[#This Row],[Max Differences]]+ABS(Audit[[#This Row],[Canceled Differences]]), Audit[[#This Row],[Max Differences]]), 0)</f>
        <v>0</v>
      </c>
      <c r="AT247" s="17">
        <f>'Sampling Data'!AB247</f>
        <v>2.3383126803598709E-2</v>
      </c>
      <c r="AU247" s="17">
        <f>IF(
      SUM(Audit[[#This Row],[Audit Losing Candidate]:[Audit Candidate 12]])
      &lt;&gt;0,
      (Audit[[#This Row],[Winning Candidate]]-Audit[[#This Row],[Losing Candidate]]-(Audit[[#This Row],[Audit Winning Candidate]]-Audit[[#This Row],[Audit Losing Candidate]]))/(Audit[[#Totals],[Winning Candidate]]-Audit[[#Totals],[Losing Candidate]]),
      0
)</f>
        <v>0</v>
      </c>
      <c r="AV2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7" s="17">
        <f>IF(Audit[[#This Row],[Max Relative Error (ep)]] = 0, 0, Audit[[#This Row],[Max Relative Error (ep)]]/Audit[[#This Row],[Error Bound (up) - Max. possible relative overstatement]])</f>
        <v>0</v>
      </c>
      <c r="BH2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47" s="17">
        <f t="shared" si="4"/>
        <v>1</v>
      </c>
      <c r="BJ247" s="17">
        <f>PRODUCT($BI$5:BI247)</f>
        <v>0.60941984374894764</v>
      </c>
      <c r="BK247" s="19">
        <f>1 - Audit[[#This Row],[K-M P Value]]</f>
        <v>0.39058015625105236</v>
      </c>
      <c r="BL247" s="17" t="str">
        <f>IF(Audit[[#This Row],[K-M P Value]]&gt;1-'General Info'!$B$12,"Continue", "Stop")</f>
        <v>Continue</v>
      </c>
      <c r="BM247" s="22" t="b">
        <f>IF(Audit[[#This Row],[Status - Continue or stop audit]] = "Continue", TRUE, IF(BL246 = "Continue", TRUE, FALSE))</f>
        <v>1</v>
      </c>
      <c r="BN247" s="22"/>
    </row>
    <row r="248" spans="1:66" ht="15" hidden="1" customHeight="1" x14ac:dyDescent="0.35">
      <c r="A248" s="17" t="str">
        <f>'Sampling Data'!AI248</f>
        <v/>
      </c>
      <c r="B248" s="17" t="str">
        <f>'Sampling Data'!A248</f>
        <v>3802 MADRA B   (AV)</v>
      </c>
      <c r="C248" s="17">
        <f>'Sampling Data'!B248</f>
        <v>117</v>
      </c>
      <c r="D248" s="17">
        <f>'Sampling Data'!C248</f>
        <v>173</v>
      </c>
      <c r="E248" s="18">
        <f>'Sampling Data'!D248</f>
        <v>0</v>
      </c>
      <c r="F248" s="18">
        <f>'Sampling Data'!E248</f>
        <v>0</v>
      </c>
      <c r="G248" s="18">
        <f>'Sampling Data'!F248</f>
        <v>0</v>
      </c>
      <c r="H248" s="18">
        <f>'Sampling Data'!G248</f>
        <v>0</v>
      </c>
      <c r="I248" s="18">
        <f>'Sampling Data'!H248</f>
        <v>0</v>
      </c>
      <c r="J248" s="18">
        <f>'Sampling Data'!I248</f>
        <v>0</v>
      </c>
      <c r="K248" s="18">
        <f>'Sampling Data'!J248</f>
        <v>0</v>
      </c>
      <c r="L248" s="18">
        <f>'Sampling Data'!K248</f>
        <v>0</v>
      </c>
      <c r="M248" s="18">
        <f>'Sampling Data'!L248</f>
        <v>0</v>
      </c>
      <c r="N248" s="18">
        <f>'Sampling Data'!M248</f>
        <v>0</v>
      </c>
      <c r="O248" s="17">
        <f>'Sampling Data'!N248</f>
        <v>0</v>
      </c>
      <c r="P248" s="17">
        <f>'Sampling Data'!O248</f>
        <v>10</v>
      </c>
      <c r="Q248" s="17">
        <f>'Sampling Data'!P248</f>
        <v>300</v>
      </c>
      <c r="R248" s="17">
        <f>'Sampling Data'!AJ248</f>
        <v>0</v>
      </c>
      <c r="S248" s="111"/>
      <c r="T248" s="111"/>
      <c r="U248" s="112"/>
      <c r="V248" s="112"/>
      <c r="W248" s="111"/>
      <c r="X248" s="111"/>
      <c r="Y248" s="111"/>
      <c r="Z248" s="111"/>
      <c r="AA248" s="14"/>
      <c r="AB248" s="14"/>
      <c r="AC248" s="14"/>
      <c r="AD248" s="14"/>
      <c r="AE248" s="113" t="str">
        <f>IF(NOT(ISBLANK(Audit[[#This Row],[Audit Winning Candidate]])), Audit[[#This Row],[Audit Winning Candidate]]-Audit[[#This Row],[Winning Candidate]], "")</f>
        <v/>
      </c>
      <c r="AF248" s="17" t="str">
        <f>IF(NOT(ISBLANK(Audit[[#This Row],[Audit Losing Candidate]])), Audit[[#This Row],[Audit Losing Candidate]]-Audit[[#This Row],[Losing Candidate]], "")</f>
        <v/>
      </c>
      <c r="AG248" s="17" t="str">
        <f>IF(NOT(ISBLANK(Audit[[#This Row],[Audit Candidate 3]])), Audit[[#This Row],[Audit Candidate 3]]-Audit[[#This Row],[Candidate 3]], "")</f>
        <v/>
      </c>
      <c r="AH248" s="17" t="str">
        <f>IF(NOT(ISBLANK(Audit[[#This Row],[Audit Candidate 4]])),Audit[[#This Row],[Audit Candidate 4]]-Audit[[#This Row],[Candidate 4]], "")</f>
        <v/>
      </c>
      <c r="AI248" s="17" t="str">
        <f>IF(NOT(ISBLANK(Audit[[#This Row],[Audit Candidate 5]])), Audit[[#This Row],[Audit Candidate 5]]-Audit[[#This Row],[Candidate 5]], "")</f>
        <v/>
      </c>
      <c r="AJ248" s="17" t="str">
        <f>IF(NOT(ISBLANK(Audit[[#This Row],[Audit Candidate 6]])), Audit[[#This Row],[Audit Candidate 6]]-Audit[[#This Row],[Candidate 6]], "")</f>
        <v/>
      </c>
      <c r="AK248" s="17" t="str">
        <f>IF(NOT(ISBLANK(Audit[[#This Row],[Audit Candidate 7]])), Audit[[#This Row],[Audit Candidate 7]]-Audit[[#This Row],[Candidate 7]], "")</f>
        <v/>
      </c>
      <c r="AL248" s="17" t="str">
        <f>IF(NOT(ISBLANK(Audit[[#This Row],[Audit Candidate 8]])), Audit[[#This Row],[Audit Candidate 8]]-Audit[[#This Row],[Candidate 8]], "")</f>
        <v/>
      </c>
      <c r="AM248" s="17" t="str">
        <f>IF(NOT(ISBLANK(Audit[[#This Row],[Audit Candidate 9]])), Audit[[#This Row],[Audit Candidate 9]]-Audit[[#This Row],[Candidate 9]], "")</f>
        <v/>
      </c>
      <c r="AN248" s="17" t="str">
        <f>IF(NOT(ISBLANK(Audit[[#This Row],[Audit Candidate 10]])), Audit[[#This Row],[Audit Candidate 10]]-Audit[[#This Row],[Candidate 10]], "")</f>
        <v/>
      </c>
      <c r="AO248" s="17" t="str">
        <f>IF(NOT(ISBLANK(Audit[[#This Row],[Audit Candidate 11]])), Audit[[#This Row],[Audit Candidate 11]]-Audit[[#This Row],[Candidate 11]], "")</f>
        <v/>
      </c>
      <c r="AP248" s="17" t="str">
        <f>IF(NOT(ISBLANK(Audit[[#This Row],[Audit Candidate 12]])), Audit[[#This Row],[Audit Candidate 12]]-Audit[[#This Row],[Candidate 12]], "")</f>
        <v/>
      </c>
      <c r="AQ248" s="17">
        <f>SUMIF(Audit[[#This Row],[Difference Winner]:[Difference Candidate 12]], "&gt;0")</f>
        <v>0</v>
      </c>
      <c r="AR248" s="17">
        <f>SUM(Audit[[#This Row],[Difference Winner]:[Difference Candidate 12]])</f>
        <v>0</v>
      </c>
      <c r="AS248" s="17">
        <f>IF(Audit[[#This Row],[Times p Drawn - With Replacement]]&gt;0, IF(Audit[[#This Row],[Canceled Differences]]&lt;0, Audit[[#This Row],[Max Differences]]+ABS(Audit[[#This Row],[Canceled Differences]]), Audit[[#This Row],[Max Differences]]), 0)</f>
        <v>0</v>
      </c>
      <c r="AT248" s="17">
        <f>'Sampling Data'!AB248</f>
        <v>1.0354778475640808E-2</v>
      </c>
      <c r="AU248" s="17">
        <f>IF(
      SUM(Audit[[#This Row],[Audit Losing Candidate]:[Audit Candidate 12]])
      &lt;&gt;0,
      (Audit[[#This Row],[Winning Candidate]]-Audit[[#This Row],[Losing Candidate]]-(Audit[[#This Row],[Audit Winning Candidate]]-Audit[[#This Row],[Audit Losing Candidate]]))/(Audit[[#Totals],[Winning Candidate]]-Audit[[#Totals],[Losing Candidate]]),
      0
)</f>
        <v>0</v>
      </c>
      <c r="AV2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8" s="17">
        <f>IF(Audit[[#This Row],[Max Relative Error (ep)]] = 0, 0, Audit[[#This Row],[Max Relative Error (ep)]]/Audit[[#This Row],[Error Bound (up) - Max. possible relative overstatement]])</f>
        <v>0</v>
      </c>
      <c r="BH2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48" s="17">
        <f t="shared" si="4"/>
        <v>1</v>
      </c>
      <c r="BJ248" s="17">
        <f>PRODUCT($BI$5:BI248)</f>
        <v>0.60941984374894764</v>
      </c>
      <c r="BK248" s="19">
        <f>1 - Audit[[#This Row],[K-M P Value]]</f>
        <v>0.39058015625105236</v>
      </c>
      <c r="BL248" s="17" t="str">
        <f>IF(Audit[[#This Row],[K-M P Value]]&gt;1-'General Info'!$B$12,"Continue", "Stop")</f>
        <v>Continue</v>
      </c>
      <c r="BM248" s="22" t="b">
        <f>IF(Audit[[#This Row],[Status - Continue or stop audit]] = "Continue", TRUE, IF(BL247 = "Continue", TRUE, FALSE))</f>
        <v>1</v>
      </c>
      <c r="BN248" s="22"/>
    </row>
    <row r="249" spans="1:66" ht="15" hidden="1" customHeight="1" x14ac:dyDescent="0.35">
      <c r="A249" s="17" t="str">
        <f>'Sampling Data'!AI249</f>
        <v/>
      </c>
      <c r="B249" s="17" t="str">
        <f>'Sampling Data'!A249</f>
        <v>3803 MADRA C   (AV)</v>
      </c>
      <c r="C249" s="17">
        <f>'Sampling Data'!B249</f>
        <v>187</v>
      </c>
      <c r="D249" s="17">
        <f>'Sampling Data'!C249</f>
        <v>148</v>
      </c>
      <c r="E249" s="18">
        <f>'Sampling Data'!D249</f>
        <v>0</v>
      </c>
      <c r="F249" s="18">
        <f>'Sampling Data'!E249</f>
        <v>0</v>
      </c>
      <c r="G249" s="18">
        <f>'Sampling Data'!F249</f>
        <v>0</v>
      </c>
      <c r="H249" s="18">
        <f>'Sampling Data'!G249</f>
        <v>0</v>
      </c>
      <c r="I249" s="18">
        <f>'Sampling Data'!H249</f>
        <v>0</v>
      </c>
      <c r="J249" s="18">
        <f>'Sampling Data'!I249</f>
        <v>0</v>
      </c>
      <c r="K249" s="18">
        <f>'Sampling Data'!J249</f>
        <v>0</v>
      </c>
      <c r="L249" s="18">
        <f>'Sampling Data'!K249</f>
        <v>0</v>
      </c>
      <c r="M249" s="18">
        <f>'Sampling Data'!L249</f>
        <v>0</v>
      </c>
      <c r="N249" s="18">
        <f>'Sampling Data'!M249</f>
        <v>0</v>
      </c>
      <c r="O249" s="17">
        <f>'Sampling Data'!N249</f>
        <v>0</v>
      </c>
      <c r="P249" s="17">
        <f>'Sampling Data'!O249</f>
        <v>23</v>
      </c>
      <c r="Q249" s="17">
        <f>'Sampling Data'!P249</f>
        <v>358</v>
      </c>
      <c r="R249" s="17">
        <f>'Sampling Data'!AJ249</f>
        <v>0</v>
      </c>
      <c r="S249" s="111"/>
      <c r="T249" s="111"/>
      <c r="U249" s="112"/>
      <c r="V249" s="112"/>
      <c r="W249" s="111"/>
      <c r="X249" s="111"/>
      <c r="Y249" s="111"/>
      <c r="Z249" s="111"/>
      <c r="AA249" s="14"/>
      <c r="AB249" s="14"/>
      <c r="AC249" s="14"/>
      <c r="AD249" s="14"/>
      <c r="AE249" s="113" t="str">
        <f>IF(NOT(ISBLANK(Audit[[#This Row],[Audit Winning Candidate]])), Audit[[#This Row],[Audit Winning Candidate]]-Audit[[#This Row],[Winning Candidate]], "")</f>
        <v/>
      </c>
      <c r="AF249" s="17" t="str">
        <f>IF(NOT(ISBLANK(Audit[[#This Row],[Audit Losing Candidate]])), Audit[[#This Row],[Audit Losing Candidate]]-Audit[[#This Row],[Losing Candidate]], "")</f>
        <v/>
      </c>
      <c r="AG249" s="17" t="str">
        <f>IF(NOT(ISBLANK(Audit[[#This Row],[Audit Candidate 3]])), Audit[[#This Row],[Audit Candidate 3]]-Audit[[#This Row],[Candidate 3]], "")</f>
        <v/>
      </c>
      <c r="AH249" s="17" t="str">
        <f>IF(NOT(ISBLANK(Audit[[#This Row],[Audit Candidate 4]])),Audit[[#This Row],[Audit Candidate 4]]-Audit[[#This Row],[Candidate 4]], "")</f>
        <v/>
      </c>
      <c r="AI249" s="17" t="str">
        <f>IF(NOT(ISBLANK(Audit[[#This Row],[Audit Candidate 5]])), Audit[[#This Row],[Audit Candidate 5]]-Audit[[#This Row],[Candidate 5]], "")</f>
        <v/>
      </c>
      <c r="AJ249" s="17" t="str">
        <f>IF(NOT(ISBLANK(Audit[[#This Row],[Audit Candidate 6]])), Audit[[#This Row],[Audit Candidate 6]]-Audit[[#This Row],[Candidate 6]], "")</f>
        <v/>
      </c>
      <c r="AK249" s="17" t="str">
        <f>IF(NOT(ISBLANK(Audit[[#This Row],[Audit Candidate 7]])), Audit[[#This Row],[Audit Candidate 7]]-Audit[[#This Row],[Candidate 7]], "")</f>
        <v/>
      </c>
      <c r="AL249" s="17" t="str">
        <f>IF(NOT(ISBLANK(Audit[[#This Row],[Audit Candidate 8]])), Audit[[#This Row],[Audit Candidate 8]]-Audit[[#This Row],[Candidate 8]], "")</f>
        <v/>
      </c>
      <c r="AM249" s="17" t="str">
        <f>IF(NOT(ISBLANK(Audit[[#This Row],[Audit Candidate 9]])), Audit[[#This Row],[Audit Candidate 9]]-Audit[[#This Row],[Candidate 9]], "")</f>
        <v/>
      </c>
      <c r="AN249" s="17" t="str">
        <f>IF(NOT(ISBLANK(Audit[[#This Row],[Audit Candidate 10]])), Audit[[#This Row],[Audit Candidate 10]]-Audit[[#This Row],[Candidate 10]], "")</f>
        <v/>
      </c>
      <c r="AO249" s="17" t="str">
        <f>IF(NOT(ISBLANK(Audit[[#This Row],[Audit Candidate 11]])), Audit[[#This Row],[Audit Candidate 11]]-Audit[[#This Row],[Candidate 11]], "")</f>
        <v/>
      </c>
      <c r="AP249" s="17" t="str">
        <f>IF(NOT(ISBLANK(Audit[[#This Row],[Audit Candidate 12]])), Audit[[#This Row],[Audit Candidate 12]]-Audit[[#This Row],[Candidate 12]], "")</f>
        <v/>
      </c>
      <c r="AQ249" s="17">
        <f>SUMIF(Audit[[#This Row],[Difference Winner]:[Difference Candidate 12]], "&gt;0")</f>
        <v>0</v>
      </c>
      <c r="AR249" s="17">
        <f>SUM(Audit[[#This Row],[Difference Winner]:[Difference Candidate 12]])</f>
        <v>0</v>
      </c>
      <c r="AS249" s="17">
        <f>IF(Audit[[#This Row],[Times p Drawn - With Replacement]]&gt;0, IF(Audit[[#This Row],[Canceled Differences]]&lt;0, Audit[[#This Row],[Max Differences]]+ABS(Audit[[#This Row],[Canceled Differences]]), Audit[[#This Row],[Max Differences]]), 0)</f>
        <v>0</v>
      </c>
      <c r="AT249" s="17">
        <f>'Sampling Data'!AB249</f>
        <v>1.6847733831268037E-2</v>
      </c>
      <c r="AU249" s="17">
        <f>IF(
      SUM(Audit[[#This Row],[Audit Losing Candidate]:[Audit Candidate 12]])
      &lt;&gt;0,
      (Audit[[#This Row],[Winning Candidate]]-Audit[[#This Row],[Losing Candidate]]-(Audit[[#This Row],[Audit Winning Candidate]]-Audit[[#This Row],[Audit Losing Candidate]]))/(Audit[[#Totals],[Winning Candidate]]-Audit[[#Totals],[Losing Candidate]]),
      0
)</f>
        <v>0</v>
      </c>
      <c r="AV2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9" s="17">
        <f>IF(Audit[[#This Row],[Max Relative Error (ep)]] = 0, 0, Audit[[#This Row],[Max Relative Error (ep)]]/Audit[[#This Row],[Error Bound (up) - Max. possible relative overstatement]])</f>
        <v>0</v>
      </c>
      <c r="BH2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49" s="17">
        <f t="shared" si="4"/>
        <v>1</v>
      </c>
      <c r="BJ249" s="17">
        <f>PRODUCT($BI$5:BI249)</f>
        <v>0.60941984374894764</v>
      </c>
      <c r="BK249" s="19">
        <f>1 - Audit[[#This Row],[K-M P Value]]</f>
        <v>0.39058015625105236</v>
      </c>
      <c r="BL249" s="17" t="str">
        <f>IF(Audit[[#This Row],[K-M P Value]]&gt;1-'General Info'!$B$12,"Continue", "Stop")</f>
        <v>Continue</v>
      </c>
      <c r="BM249" s="22" t="b">
        <f>IF(Audit[[#This Row],[Status - Continue or stop audit]] = "Continue", TRUE, IF(BL248 = "Continue", TRUE, FALSE))</f>
        <v>1</v>
      </c>
      <c r="BN249" s="22"/>
    </row>
    <row r="250" spans="1:66" ht="15" hidden="1" customHeight="1" x14ac:dyDescent="0.35">
      <c r="A250" s="17" t="str">
        <f>'Sampling Data'!AI250</f>
        <v/>
      </c>
      <c r="B250" s="17" t="str">
        <f>'Sampling Data'!A250</f>
        <v>3804 MADRA D   (AV)</v>
      </c>
      <c r="C250" s="17">
        <f>'Sampling Data'!B250</f>
        <v>222</v>
      </c>
      <c r="D250" s="17">
        <f>'Sampling Data'!C250</f>
        <v>198</v>
      </c>
      <c r="E250" s="18">
        <f>'Sampling Data'!D250</f>
        <v>0</v>
      </c>
      <c r="F250" s="18">
        <f>'Sampling Data'!E250</f>
        <v>0</v>
      </c>
      <c r="G250" s="18">
        <f>'Sampling Data'!F250</f>
        <v>0</v>
      </c>
      <c r="H250" s="18">
        <f>'Sampling Data'!G250</f>
        <v>0</v>
      </c>
      <c r="I250" s="18">
        <f>'Sampling Data'!H250</f>
        <v>0</v>
      </c>
      <c r="J250" s="18">
        <f>'Sampling Data'!I250</f>
        <v>0</v>
      </c>
      <c r="K250" s="18">
        <f>'Sampling Data'!J250</f>
        <v>0</v>
      </c>
      <c r="L250" s="18">
        <f>'Sampling Data'!K250</f>
        <v>0</v>
      </c>
      <c r="M250" s="18">
        <f>'Sampling Data'!L250</f>
        <v>0</v>
      </c>
      <c r="N250" s="18">
        <f>'Sampling Data'!M250</f>
        <v>0</v>
      </c>
      <c r="O250" s="17">
        <f>'Sampling Data'!N250</f>
        <v>1</v>
      </c>
      <c r="P250" s="17">
        <f>'Sampling Data'!O250</f>
        <v>26</v>
      </c>
      <c r="Q250" s="17">
        <f>'Sampling Data'!P250</f>
        <v>447</v>
      </c>
      <c r="R250" s="17">
        <f>'Sampling Data'!AJ250</f>
        <v>0</v>
      </c>
      <c r="S250" s="111"/>
      <c r="T250" s="111"/>
      <c r="U250" s="112"/>
      <c r="V250" s="112"/>
      <c r="W250" s="111"/>
      <c r="X250" s="111"/>
      <c r="Y250" s="111"/>
      <c r="Z250" s="111"/>
      <c r="AA250" s="14"/>
      <c r="AB250" s="14"/>
      <c r="AC250" s="14"/>
      <c r="AD250" s="14"/>
      <c r="AE250" s="113" t="str">
        <f>IF(NOT(ISBLANK(Audit[[#This Row],[Audit Winning Candidate]])), Audit[[#This Row],[Audit Winning Candidate]]-Audit[[#This Row],[Winning Candidate]], "")</f>
        <v/>
      </c>
      <c r="AF250" s="17" t="str">
        <f>IF(NOT(ISBLANK(Audit[[#This Row],[Audit Losing Candidate]])), Audit[[#This Row],[Audit Losing Candidate]]-Audit[[#This Row],[Losing Candidate]], "")</f>
        <v/>
      </c>
      <c r="AG250" s="17" t="str">
        <f>IF(NOT(ISBLANK(Audit[[#This Row],[Audit Candidate 3]])), Audit[[#This Row],[Audit Candidate 3]]-Audit[[#This Row],[Candidate 3]], "")</f>
        <v/>
      </c>
      <c r="AH250" s="17" t="str">
        <f>IF(NOT(ISBLANK(Audit[[#This Row],[Audit Candidate 4]])),Audit[[#This Row],[Audit Candidate 4]]-Audit[[#This Row],[Candidate 4]], "")</f>
        <v/>
      </c>
      <c r="AI250" s="17" t="str">
        <f>IF(NOT(ISBLANK(Audit[[#This Row],[Audit Candidate 5]])), Audit[[#This Row],[Audit Candidate 5]]-Audit[[#This Row],[Candidate 5]], "")</f>
        <v/>
      </c>
      <c r="AJ250" s="17" t="str">
        <f>IF(NOT(ISBLANK(Audit[[#This Row],[Audit Candidate 6]])), Audit[[#This Row],[Audit Candidate 6]]-Audit[[#This Row],[Candidate 6]], "")</f>
        <v/>
      </c>
      <c r="AK250" s="17" t="str">
        <f>IF(NOT(ISBLANK(Audit[[#This Row],[Audit Candidate 7]])), Audit[[#This Row],[Audit Candidate 7]]-Audit[[#This Row],[Candidate 7]], "")</f>
        <v/>
      </c>
      <c r="AL250" s="17" t="str">
        <f>IF(NOT(ISBLANK(Audit[[#This Row],[Audit Candidate 8]])), Audit[[#This Row],[Audit Candidate 8]]-Audit[[#This Row],[Candidate 8]], "")</f>
        <v/>
      </c>
      <c r="AM250" s="17" t="str">
        <f>IF(NOT(ISBLANK(Audit[[#This Row],[Audit Candidate 9]])), Audit[[#This Row],[Audit Candidate 9]]-Audit[[#This Row],[Candidate 9]], "")</f>
        <v/>
      </c>
      <c r="AN250" s="17" t="str">
        <f>IF(NOT(ISBLANK(Audit[[#This Row],[Audit Candidate 10]])), Audit[[#This Row],[Audit Candidate 10]]-Audit[[#This Row],[Candidate 10]], "")</f>
        <v/>
      </c>
      <c r="AO250" s="17" t="str">
        <f>IF(NOT(ISBLANK(Audit[[#This Row],[Audit Candidate 11]])), Audit[[#This Row],[Audit Candidate 11]]-Audit[[#This Row],[Candidate 11]], "")</f>
        <v/>
      </c>
      <c r="AP250" s="17" t="str">
        <f>IF(NOT(ISBLANK(Audit[[#This Row],[Audit Candidate 12]])), Audit[[#This Row],[Audit Candidate 12]]-Audit[[#This Row],[Candidate 12]], "")</f>
        <v/>
      </c>
      <c r="AQ250" s="17">
        <f>SUMIF(Audit[[#This Row],[Difference Winner]:[Difference Candidate 12]], "&gt;0")</f>
        <v>0</v>
      </c>
      <c r="AR250" s="17">
        <f>SUM(Audit[[#This Row],[Difference Winner]:[Difference Candidate 12]])</f>
        <v>0</v>
      </c>
      <c r="AS250" s="17">
        <f>IF(Audit[[#This Row],[Times p Drawn - With Replacement]]&gt;0, IF(Audit[[#This Row],[Canceled Differences]]&lt;0, Audit[[#This Row],[Max Differences]]+ABS(Audit[[#This Row],[Canceled Differences]]), Audit[[#This Row],[Max Differences]]), 0)</f>
        <v>0</v>
      </c>
      <c r="AT250" s="17">
        <f>'Sampling Data'!AB250</f>
        <v>1.9988117467323034E-2</v>
      </c>
      <c r="AU250" s="17">
        <f>IF(
      SUM(Audit[[#This Row],[Audit Losing Candidate]:[Audit Candidate 12]])
      &lt;&gt;0,
      (Audit[[#This Row],[Winning Candidate]]-Audit[[#This Row],[Losing Candidate]]-(Audit[[#This Row],[Audit Winning Candidate]]-Audit[[#This Row],[Audit Losing Candidate]]))/(Audit[[#Totals],[Winning Candidate]]-Audit[[#Totals],[Losing Candidate]]),
      0
)</f>
        <v>0</v>
      </c>
      <c r="AV2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0" s="17">
        <f>IF(Audit[[#This Row],[Max Relative Error (ep)]] = 0, 0, Audit[[#This Row],[Max Relative Error (ep)]]/Audit[[#This Row],[Error Bound (up) - Max. possible relative overstatement]])</f>
        <v>0</v>
      </c>
      <c r="BH2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50" s="17">
        <f t="shared" si="4"/>
        <v>1</v>
      </c>
      <c r="BJ250" s="17">
        <f>PRODUCT($BI$5:BI250)</f>
        <v>0.60941984374894764</v>
      </c>
      <c r="BK250" s="19">
        <f>1 - Audit[[#This Row],[K-M P Value]]</f>
        <v>0.39058015625105236</v>
      </c>
      <c r="BL250" s="17" t="str">
        <f>IF(Audit[[#This Row],[K-M P Value]]&gt;1-'General Info'!$B$12,"Continue", "Stop")</f>
        <v>Continue</v>
      </c>
      <c r="BM250" s="22" t="b">
        <f>IF(Audit[[#This Row],[Status - Continue or stop audit]] = "Continue", TRUE, IF(BL249 = "Continue", TRUE, FALSE))</f>
        <v>1</v>
      </c>
      <c r="BN250" s="22"/>
    </row>
    <row r="251" spans="1:66" ht="15" hidden="1" customHeight="1" x14ac:dyDescent="0.35">
      <c r="A251" s="17" t="str">
        <f>'Sampling Data'!AI251</f>
        <v/>
      </c>
      <c r="B251" s="17" t="str">
        <f>'Sampling Data'!A251</f>
        <v>3805 MADRA E   (AV)</v>
      </c>
      <c r="C251" s="17">
        <f>'Sampling Data'!B251</f>
        <v>96</v>
      </c>
      <c r="D251" s="17">
        <f>'Sampling Data'!C251</f>
        <v>118</v>
      </c>
      <c r="E251" s="18">
        <f>'Sampling Data'!D251</f>
        <v>0</v>
      </c>
      <c r="F251" s="18">
        <f>'Sampling Data'!E251</f>
        <v>0</v>
      </c>
      <c r="G251" s="18">
        <f>'Sampling Data'!F251</f>
        <v>0</v>
      </c>
      <c r="H251" s="18">
        <f>'Sampling Data'!G251</f>
        <v>0</v>
      </c>
      <c r="I251" s="18">
        <f>'Sampling Data'!H251</f>
        <v>0</v>
      </c>
      <c r="J251" s="18">
        <f>'Sampling Data'!I251</f>
        <v>0</v>
      </c>
      <c r="K251" s="18">
        <f>'Sampling Data'!J251</f>
        <v>0</v>
      </c>
      <c r="L251" s="18">
        <f>'Sampling Data'!K251</f>
        <v>0</v>
      </c>
      <c r="M251" s="18">
        <f>'Sampling Data'!L251</f>
        <v>0</v>
      </c>
      <c r="N251" s="18">
        <f>'Sampling Data'!M251</f>
        <v>0</v>
      </c>
      <c r="O251" s="17">
        <f>'Sampling Data'!N251</f>
        <v>0</v>
      </c>
      <c r="P251" s="17">
        <f>'Sampling Data'!O251</f>
        <v>16</v>
      </c>
      <c r="Q251" s="17">
        <f>'Sampling Data'!P251</f>
        <v>230</v>
      </c>
      <c r="R251" s="17">
        <f>'Sampling Data'!AJ251</f>
        <v>0</v>
      </c>
      <c r="S251" s="111"/>
      <c r="T251" s="111"/>
      <c r="U251" s="112"/>
      <c r="V251" s="112"/>
      <c r="W251" s="111"/>
      <c r="X251" s="111"/>
      <c r="Y251" s="111"/>
      <c r="Z251" s="111"/>
      <c r="AA251" s="14"/>
      <c r="AB251" s="14"/>
      <c r="AC251" s="14"/>
      <c r="AD251" s="14"/>
      <c r="AE251" s="113" t="str">
        <f>IF(NOT(ISBLANK(Audit[[#This Row],[Audit Winning Candidate]])), Audit[[#This Row],[Audit Winning Candidate]]-Audit[[#This Row],[Winning Candidate]], "")</f>
        <v/>
      </c>
      <c r="AF251" s="17" t="str">
        <f>IF(NOT(ISBLANK(Audit[[#This Row],[Audit Losing Candidate]])), Audit[[#This Row],[Audit Losing Candidate]]-Audit[[#This Row],[Losing Candidate]], "")</f>
        <v/>
      </c>
      <c r="AG251" s="17" t="str">
        <f>IF(NOT(ISBLANK(Audit[[#This Row],[Audit Candidate 3]])), Audit[[#This Row],[Audit Candidate 3]]-Audit[[#This Row],[Candidate 3]], "")</f>
        <v/>
      </c>
      <c r="AH251" s="17" t="str">
        <f>IF(NOT(ISBLANK(Audit[[#This Row],[Audit Candidate 4]])),Audit[[#This Row],[Audit Candidate 4]]-Audit[[#This Row],[Candidate 4]], "")</f>
        <v/>
      </c>
      <c r="AI251" s="17" t="str">
        <f>IF(NOT(ISBLANK(Audit[[#This Row],[Audit Candidate 5]])), Audit[[#This Row],[Audit Candidate 5]]-Audit[[#This Row],[Candidate 5]], "")</f>
        <v/>
      </c>
      <c r="AJ251" s="17" t="str">
        <f>IF(NOT(ISBLANK(Audit[[#This Row],[Audit Candidate 6]])), Audit[[#This Row],[Audit Candidate 6]]-Audit[[#This Row],[Candidate 6]], "")</f>
        <v/>
      </c>
      <c r="AK251" s="17" t="str">
        <f>IF(NOT(ISBLANK(Audit[[#This Row],[Audit Candidate 7]])), Audit[[#This Row],[Audit Candidate 7]]-Audit[[#This Row],[Candidate 7]], "")</f>
        <v/>
      </c>
      <c r="AL251" s="17" t="str">
        <f>IF(NOT(ISBLANK(Audit[[#This Row],[Audit Candidate 8]])), Audit[[#This Row],[Audit Candidate 8]]-Audit[[#This Row],[Candidate 8]], "")</f>
        <v/>
      </c>
      <c r="AM251" s="17" t="str">
        <f>IF(NOT(ISBLANK(Audit[[#This Row],[Audit Candidate 9]])), Audit[[#This Row],[Audit Candidate 9]]-Audit[[#This Row],[Candidate 9]], "")</f>
        <v/>
      </c>
      <c r="AN251" s="17" t="str">
        <f>IF(NOT(ISBLANK(Audit[[#This Row],[Audit Candidate 10]])), Audit[[#This Row],[Audit Candidate 10]]-Audit[[#This Row],[Candidate 10]], "")</f>
        <v/>
      </c>
      <c r="AO251" s="17" t="str">
        <f>IF(NOT(ISBLANK(Audit[[#This Row],[Audit Candidate 11]])), Audit[[#This Row],[Audit Candidate 11]]-Audit[[#This Row],[Candidate 11]], "")</f>
        <v/>
      </c>
      <c r="AP251" s="17" t="str">
        <f>IF(NOT(ISBLANK(Audit[[#This Row],[Audit Candidate 12]])), Audit[[#This Row],[Audit Candidate 12]]-Audit[[#This Row],[Candidate 12]], "")</f>
        <v/>
      </c>
      <c r="AQ251" s="17">
        <f>SUMIF(Audit[[#This Row],[Difference Winner]:[Difference Candidate 12]], "&gt;0")</f>
        <v>0</v>
      </c>
      <c r="AR251" s="17">
        <f>SUM(Audit[[#This Row],[Difference Winner]:[Difference Candidate 12]])</f>
        <v>0</v>
      </c>
      <c r="AS251" s="17">
        <f>IF(Audit[[#This Row],[Times p Drawn - With Replacement]]&gt;0, IF(Audit[[#This Row],[Canceled Differences]]&lt;0, Audit[[#This Row],[Max Differences]]+ABS(Audit[[#This Row],[Canceled Differences]]), Audit[[#This Row],[Max Differences]]), 0)</f>
        <v>0</v>
      </c>
      <c r="AT251" s="17">
        <f>'Sampling Data'!AB251</f>
        <v>8.8270242743167544E-3</v>
      </c>
      <c r="AU251" s="17">
        <f>IF(
      SUM(Audit[[#This Row],[Audit Losing Candidate]:[Audit Candidate 12]])
      &lt;&gt;0,
      (Audit[[#This Row],[Winning Candidate]]-Audit[[#This Row],[Losing Candidate]]-(Audit[[#This Row],[Audit Winning Candidate]]-Audit[[#This Row],[Audit Losing Candidate]]))/(Audit[[#Totals],[Winning Candidate]]-Audit[[#Totals],[Losing Candidate]]),
      0
)</f>
        <v>0</v>
      </c>
      <c r="AV2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1" s="17">
        <f>IF(Audit[[#This Row],[Max Relative Error (ep)]] = 0, 0, Audit[[#This Row],[Max Relative Error (ep)]]/Audit[[#This Row],[Error Bound (up) - Max. possible relative overstatement]])</f>
        <v>0</v>
      </c>
      <c r="BH2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51" s="17">
        <f t="shared" si="4"/>
        <v>1</v>
      </c>
      <c r="BJ251" s="17">
        <f>PRODUCT($BI$5:BI251)</f>
        <v>0.60941984374894764</v>
      </c>
      <c r="BK251" s="19">
        <f>1 - Audit[[#This Row],[K-M P Value]]</f>
        <v>0.39058015625105236</v>
      </c>
      <c r="BL251" s="17" t="str">
        <f>IF(Audit[[#This Row],[K-M P Value]]&gt;1-'General Info'!$B$12,"Continue", "Stop")</f>
        <v>Continue</v>
      </c>
      <c r="BM251" s="22" t="b">
        <f>IF(Audit[[#This Row],[Status - Continue or stop audit]] = "Continue", TRUE, IF(BL250 = "Continue", TRUE, FALSE))</f>
        <v>1</v>
      </c>
      <c r="BN251" s="22"/>
    </row>
    <row r="252" spans="1:66" ht="15" hidden="1" customHeight="1" x14ac:dyDescent="0.35">
      <c r="A252" s="17" t="str">
        <f>'Sampling Data'!AI252</f>
        <v/>
      </c>
      <c r="B252" s="17" t="str">
        <f>'Sampling Data'!A252</f>
        <v>3806 MADRA F   (AV)</v>
      </c>
      <c r="C252" s="17">
        <f>'Sampling Data'!B252</f>
        <v>197</v>
      </c>
      <c r="D252" s="17">
        <f>'Sampling Data'!C252</f>
        <v>166</v>
      </c>
      <c r="E252" s="18">
        <f>'Sampling Data'!D252</f>
        <v>0</v>
      </c>
      <c r="F252" s="18">
        <f>'Sampling Data'!E252</f>
        <v>0</v>
      </c>
      <c r="G252" s="18">
        <f>'Sampling Data'!F252</f>
        <v>0</v>
      </c>
      <c r="H252" s="18">
        <f>'Sampling Data'!G252</f>
        <v>0</v>
      </c>
      <c r="I252" s="18">
        <f>'Sampling Data'!H252</f>
        <v>0</v>
      </c>
      <c r="J252" s="18">
        <f>'Sampling Data'!I252</f>
        <v>0</v>
      </c>
      <c r="K252" s="18">
        <f>'Sampling Data'!J252</f>
        <v>0</v>
      </c>
      <c r="L252" s="18">
        <f>'Sampling Data'!K252</f>
        <v>0</v>
      </c>
      <c r="M252" s="18">
        <f>'Sampling Data'!L252</f>
        <v>0</v>
      </c>
      <c r="N252" s="18">
        <f>'Sampling Data'!M252</f>
        <v>0</v>
      </c>
      <c r="O252" s="17">
        <f>'Sampling Data'!N252</f>
        <v>1</v>
      </c>
      <c r="P252" s="17">
        <f>'Sampling Data'!O252</f>
        <v>29</v>
      </c>
      <c r="Q252" s="17">
        <f>'Sampling Data'!P252</f>
        <v>393</v>
      </c>
      <c r="R252" s="17">
        <f>'Sampling Data'!AJ252</f>
        <v>0</v>
      </c>
      <c r="S252" s="111"/>
      <c r="T252" s="111"/>
      <c r="U252" s="112"/>
      <c r="V252" s="112"/>
      <c r="W252" s="111"/>
      <c r="X252" s="111"/>
      <c r="Y252" s="111"/>
      <c r="Z252" s="111"/>
      <c r="AA252" s="14"/>
      <c r="AB252" s="14"/>
      <c r="AC252" s="14"/>
      <c r="AD252" s="14"/>
      <c r="AE252" s="113" t="str">
        <f>IF(NOT(ISBLANK(Audit[[#This Row],[Audit Winning Candidate]])), Audit[[#This Row],[Audit Winning Candidate]]-Audit[[#This Row],[Winning Candidate]], "")</f>
        <v/>
      </c>
      <c r="AF252" s="17" t="str">
        <f>IF(NOT(ISBLANK(Audit[[#This Row],[Audit Losing Candidate]])), Audit[[#This Row],[Audit Losing Candidate]]-Audit[[#This Row],[Losing Candidate]], "")</f>
        <v/>
      </c>
      <c r="AG252" s="17" t="str">
        <f>IF(NOT(ISBLANK(Audit[[#This Row],[Audit Candidate 3]])), Audit[[#This Row],[Audit Candidate 3]]-Audit[[#This Row],[Candidate 3]], "")</f>
        <v/>
      </c>
      <c r="AH252" s="17" t="str">
        <f>IF(NOT(ISBLANK(Audit[[#This Row],[Audit Candidate 4]])),Audit[[#This Row],[Audit Candidate 4]]-Audit[[#This Row],[Candidate 4]], "")</f>
        <v/>
      </c>
      <c r="AI252" s="17" t="str">
        <f>IF(NOT(ISBLANK(Audit[[#This Row],[Audit Candidate 5]])), Audit[[#This Row],[Audit Candidate 5]]-Audit[[#This Row],[Candidate 5]], "")</f>
        <v/>
      </c>
      <c r="AJ252" s="17" t="str">
        <f>IF(NOT(ISBLANK(Audit[[#This Row],[Audit Candidate 6]])), Audit[[#This Row],[Audit Candidate 6]]-Audit[[#This Row],[Candidate 6]], "")</f>
        <v/>
      </c>
      <c r="AK252" s="17" t="str">
        <f>IF(NOT(ISBLANK(Audit[[#This Row],[Audit Candidate 7]])), Audit[[#This Row],[Audit Candidate 7]]-Audit[[#This Row],[Candidate 7]], "")</f>
        <v/>
      </c>
      <c r="AL252" s="17" t="str">
        <f>IF(NOT(ISBLANK(Audit[[#This Row],[Audit Candidate 8]])), Audit[[#This Row],[Audit Candidate 8]]-Audit[[#This Row],[Candidate 8]], "")</f>
        <v/>
      </c>
      <c r="AM252" s="17" t="str">
        <f>IF(NOT(ISBLANK(Audit[[#This Row],[Audit Candidate 9]])), Audit[[#This Row],[Audit Candidate 9]]-Audit[[#This Row],[Candidate 9]], "")</f>
        <v/>
      </c>
      <c r="AN252" s="17" t="str">
        <f>IF(NOT(ISBLANK(Audit[[#This Row],[Audit Candidate 10]])), Audit[[#This Row],[Audit Candidate 10]]-Audit[[#This Row],[Candidate 10]], "")</f>
        <v/>
      </c>
      <c r="AO252" s="17" t="str">
        <f>IF(NOT(ISBLANK(Audit[[#This Row],[Audit Candidate 11]])), Audit[[#This Row],[Audit Candidate 11]]-Audit[[#This Row],[Candidate 11]], "")</f>
        <v/>
      </c>
      <c r="AP252" s="17" t="str">
        <f>IF(NOT(ISBLANK(Audit[[#This Row],[Audit Candidate 12]])), Audit[[#This Row],[Audit Candidate 12]]-Audit[[#This Row],[Candidate 12]], "")</f>
        <v/>
      </c>
      <c r="AQ252" s="17">
        <f>SUMIF(Audit[[#This Row],[Difference Winner]:[Difference Candidate 12]], "&gt;0")</f>
        <v>0</v>
      </c>
      <c r="AR252" s="17">
        <f>SUM(Audit[[#This Row],[Difference Winner]:[Difference Candidate 12]])</f>
        <v>0</v>
      </c>
      <c r="AS252" s="17">
        <f>IF(Audit[[#This Row],[Times p Drawn - With Replacement]]&gt;0, IF(Audit[[#This Row],[Canceled Differences]]&lt;0, Audit[[#This Row],[Max Differences]]+ABS(Audit[[#This Row],[Canceled Differences]]), Audit[[#This Row],[Max Differences]]), 0)</f>
        <v>0</v>
      </c>
      <c r="AT252" s="17">
        <f>'Sampling Data'!AB252</f>
        <v>1.7993549482261076E-2</v>
      </c>
      <c r="AU252" s="17">
        <f>IF(
      SUM(Audit[[#This Row],[Audit Losing Candidate]:[Audit Candidate 12]])
      &lt;&gt;0,
      (Audit[[#This Row],[Winning Candidate]]-Audit[[#This Row],[Losing Candidate]]-(Audit[[#This Row],[Audit Winning Candidate]]-Audit[[#This Row],[Audit Losing Candidate]]))/(Audit[[#Totals],[Winning Candidate]]-Audit[[#Totals],[Losing Candidate]]),
      0
)</f>
        <v>0</v>
      </c>
      <c r="AV2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2" s="17">
        <f>IF(Audit[[#This Row],[Max Relative Error (ep)]] = 0, 0, Audit[[#This Row],[Max Relative Error (ep)]]/Audit[[#This Row],[Error Bound (up) - Max. possible relative overstatement]])</f>
        <v>0</v>
      </c>
      <c r="BH2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52" s="17">
        <f t="shared" si="4"/>
        <v>1</v>
      </c>
      <c r="BJ252" s="17">
        <f>PRODUCT($BI$5:BI252)</f>
        <v>0.60941984374894764</v>
      </c>
      <c r="BK252" s="19">
        <f>1 - Audit[[#This Row],[K-M P Value]]</f>
        <v>0.39058015625105236</v>
      </c>
      <c r="BL252" s="17" t="str">
        <f>IF(Audit[[#This Row],[K-M P Value]]&gt;1-'General Info'!$B$12,"Continue", "Stop")</f>
        <v>Continue</v>
      </c>
      <c r="BM252" s="22" t="b">
        <f>IF(Audit[[#This Row],[Status - Continue or stop audit]] = "Continue", TRUE, IF(BL251 = "Continue", TRUE, FALSE))</f>
        <v>1</v>
      </c>
      <c r="BN252" s="22"/>
    </row>
    <row r="253" spans="1:66" ht="15" hidden="1" customHeight="1" x14ac:dyDescent="0.35">
      <c r="A253" s="17" t="str">
        <f>'Sampling Data'!AI253</f>
        <v/>
      </c>
      <c r="B253" s="17" t="str">
        <f>'Sampling Data'!A253</f>
        <v>3807 MADRA G   (AV)</v>
      </c>
      <c r="C253" s="17">
        <f>'Sampling Data'!B253</f>
        <v>99</v>
      </c>
      <c r="D253" s="17">
        <f>'Sampling Data'!C253</f>
        <v>88</v>
      </c>
      <c r="E253" s="18">
        <f>'Sampling Data'!D253</f>
        <v>0</v>
      </c>
      <c r="F253" s="18">
        <f>'Sampling Data'!E253</f>
        <v>0</v>
      </c>
      <c r="G253" s="18">
        <f>'Sampling Data'!F253</f>
        <v>0</v>
      </c>
      <c r="H253" s="18">
        <f>'Sampling Data'!G253</f>
        <v>0</v>
      </c>
      <c r="I253" s="18">
        <f>'Sampling Data'!H253</f>
        <v>0</v>
      </c>
      <c r="J253" s="18">
        <f>'Sampling Data'!I253</f>
        <v>0</v>
      </c>
      <c r="K253" s="18">
        <f>'Sampling Data'!J253</f>
        <v>0</v>
      </c>
      <c r="L253" s="18">
        <f>'Sampling Data'!K253</f>
        <v>0</v>
      </c>
      <c r="M253" s="18">
        <f>'Sampling Data'!L253</f>
        <v>0</v>
      </c>
      <c r="N253" s="18">
        <f>'Sampling Data'!M253</f>
        <v>0</v>
      </c>
      <c r="O253" s="17">
        <f>'Sampling Data'!N253</f>
        <v>0</v>
      </c>
      <c r="P253" s="17">
        <f>'Sampling Data'!O253</f>
        <v>17</v>
      </c>
      <c r="Q253" s="17">
        <f>'Sampling Data'!P253</f>
        <v>204</v>
      </c>
      <c r="R253" s="17">
        <f>'Sampling Data'!AJ253</f>
        <v>0</v>
      </c>
      <c r="S253" s="111"/>
      <c r="T253" s="111"/>
      <c r="U253" s="112"/>
      <c r="V253" s="112"/>
      <c r="W253" s="111"/>
      <c r="X253" s="111"/>
      <c r="Y253" s="111"/>
      <c r="Z253" s="111"/>
      <c r="AA253" s="14"/>
      <c r="AB253" s="14"/>
      <c r="AC253" s="14"/>
      <c r="AD253" s="14"/>
      <c r="AE253" s="113" t="str">
        <f>IF(NOT(ISBLANK(Audit[[#This Row],[Audit Winning Candidate]])), Audit[[#This Row],[Audit Winning Candidate]]-Audit[[#This Row],[Winning Candidate]], "")</f>
        <v/>
      </c>
      <c r="AF253" s="17" t="str">
        <f>IF(NOT(ISBLANK(Audit[[#This Row],[Audit Losing Candidate]])), Audit[[#This Row],[Audit Losing Candidate]]-Audit[[#This Row],[Losing Candidate]], "")</f>
        <v/>
      </c>
      <c r="AG253" s="17" t="str">
        <f>IF(NOT(ISBLANK(Audit[[#This Row],[Audit Candidate 3]])), Audit[[#This Row],[Audit Candidate 3]]-Audit[[#This Row],[Candidate 3]], "")</f>
        <v/>
      </c>
      <c r="AH253" s="17" t="str">
        <f>IF(NOT(ISBLANK(Audit[[#This Row],[Audit Candidate 4]])),Audit[[#This Row],[Audit Candidate 4]]-Audit[[#This Row],[Candidate 4]], "")</f>
        <v/>
      </c>
      <c r="AI253" s="17" t="str">
        <f>IF(NOT(ISBLANK(Audit[[#This Row],[Audit Candidate 5]])), Audit[[#This Row],[Audit Candidate 5]]-Audit[[#This Row],[Candidate 5]], "")</f>
        <v/>
      </c>
      <c r="AJ253" s="17" t="str">
        <f>IF(NOT(ISBLANK(Audit[[#This Row],[Audit Candidate 6]])), Audit[[#This Row],[Audit Candidate 6]]-Audit[[#This Row],[Candidate 6]], "")</f>
        <v/>
      </c>
      <c r="AK253" s="17" t="str">
        <f>IF(NOT(ISBLANK(Audit[[#This Row],[Audit Candidate 7]])), Audit[[#This Row],[Audit Candidate 7]]-Audit[[#This Row],[Candidate 7]], "")</f>
        <v/>
      </c>
      <c r="AL253" s="17" t="str">
        <f>IF(NOT(ISBLANK(Audit[[#This Row],[Audit Candidate 8]])), Audit[[#This Row],[Audit Candidate 8]]-Audit[[#This Row],[Candidate 8]], "")</f>
        <v/>
      </c>
      <c r="AM253" s="17" t="str">
        <f>IF(NOT(ISBLANK(Audit[[#This Row],[Audit Candidate 9]])), Audit[[#This Row],[Audit Candidate 9]]-Audit[[#This Row],[Candidate 9]], "")</f>
        <v/>
      </c>
      <c r="AN253" s="17" t="str">
        <f>IF(NOT(ISBLANK(Audit[[#This Row],[Audit Candidate 10]])), Audit[[#This Row],[Audit Candidate 10]]-Audit[[#This Row],[Candidate 10]], "")</f>
        <v/>
      </c>
      <c r="AO253" s="17" t="str">
        <f>IF(NOT(ISBLANK(Audit[[#This Row],[Audit Candidate 11]])), Audit[[#This Row],[Audit Candidate 11]]-Audit[[#This Row],[Candidate 11]], "")</f>
        <v/>
      </c>
      <c r="AP253" s="17" t="str">
        <f>IF(NOT(ISBLANK(Audit[[#This Row],[Audit Candidate 12]])), Audit[[#This Row],[Audit Candidate 12]]-Audit[[#This Row],[Candidate 12]], "")</f>
        <v/>
      </c>
      <c r="AQ253" s="17">
        <f>SUMIF(Audit[[#This Row],[Difference Winner]:[Difference Candidate 12]], "&gt;0")</f>
        <v>0</v>
      </c>
      <c r="AR253" s="17">
        <f>SUM(Audit[[#This Row],[Difference Winner]:[Difference Candidate 12]])</f>
        <v>0</v>
      </c>
      <c r="AS253" s="17">
        <f>IF(Audit[[#This Row],[Times p Drawn - With Replacement]]&gt;0, IF(Audit[[#This Row],[Canceled Differences]]&lt;0, Audit[[#This Row],[Max Differences]]+ABS(Audit[[#This Row],[Canceled Differences]]), Audit[[#This Row],[Max Differences]]), 0)</f>
        <v>0</v>
      </c>
      <c r="AT253" s="17">
        <f>'Sampling Data'!AB253</f>
        <v>9.1240875912408752E-3</v>
      </c>
      <c r="AU253" s="17">
        <f>IF(
      SUM(Audit[[#This Row],[Audit Losing Candidate]:[Audit Candidate 12]])
      &lt;&gt;0,
      (Audit[[#This Row],[Winning Candidate]]-Audit[[#This Row],[Losing Candidate]]-(Audit[[#This Row],[Audit Winning Candidate]]-Audit[[#This Row],[Audit Losing Candidate]]))/(Audit[[#Totals],[Winning Candidate]]-Audit[[#Totals],[Losing Candidate]]),
      0
)</f>
        <v>0</v>
      </c>
      <c r="AV2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3" s="17">
        <f>IF(Audit[[#This Row],[Max Relative Error (ep)]] = 0, 0, Audit[[#This Row],[Max Relative Error (ep)]]/Audit[[#This Row],[Error Bound (up) - Max. possible relative overstatement]])</f>
        <v>0</v>
      </c>
      <c r="BH2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53" s="17">
        <f t="shared" si="4"/>
        <v>1</v>
      </c>
      <c r="BJ253" s="17">
        <f>PRODUCT($BI$5:BI253)</f>
        <v>0.60941984374894764</v>
      </c>
      <c r="BK253" s="19">
        <f>1 - Audit[[#This Row],[K-M P Value]]</f>
        <v>0.39058015625105236</v>
      </c>
      <c r="BL253" s="17" t="str">
        <f>IF(Audit[[#This Row],[K-M P Value]]&gt;1-'General Info'!$B$12,"Continue", "Stop")</f>
        <v>Continue</v>
      </c>
      <c r="BM253" s="22" t="b">
        <f>IF(Audit[[#This Row],[Status - Continue or stop audit]] = "Continue", TRUE, IF(BL252 = "Continue", TRUE, FALSE))</f>
        <v>1</v>
      </c>
      <c r="BN253" s="22"/>
    </row>
    <row r="254" spans="1:66" ht="15" hidden="1" customHeight="1" x14ac:dyDescent="0.35">
      <c r="A254" s="17" t="str">
        <f>'Sampling Data'!AI254</f>
        <v/>
      </c>
      <c r="B254" s="17" t="str">
        <f>'Sampling Data'!A254</f>
        <v>3808 MADRA H   (AV)</v>
      </c>
      <c r="C254" s="17">
        <f>'Sampling Data'!B254</f>
        <v>184</v>
      </c>
      <c r="D254" s="17">
        <f>'Sampling Data'!C254</f>
        <v>176</v>
      </c>
      <c r="E254" s="18">
        <f>'Sampling Data'!D254</f>
        <v>0</v>
      </c>
      <c r="F254" s="18">
        <f>'Sampling Data'!E254</f>
        <v>0</v>
      </c>
      <c r="G254" s="18">
        <f>'Sampling Data'!F254</f>
        <v>0</v>
      </c>
      <c r="H254" s="18">
        <f>'Sampling Data'!G254</f>
        <v>0</v>
      </c>
      <c r="I254" s="18">
        <f>'Sampling Data'!H254</f>
        <v>0</v>
      </c>
      <c r="J254" s="18">
        <f>'Sampling Data'!I254</f>
        <v>0</v>
      </c>
      <c r="K254" s="18">
        <f>'Sampling Data'!J254</f>
        <v>0</v>
      </c>
      <c r="L254" s="18">
        <f>'Sampling Data'!K254</f>
        <v>0</v>
      </c>
      <c r="M254" s="18">
        <f>'Sampling Data'!L254</f>
        <v>0</v>
      </c>
      <c r="N254" s="18">
        <f>'Sampling Data'!M254</f>
        <v>0</v>
      </c>
      <c r="O254" s="17">
        <f>'Sampling Data'!N254</f>
        <v>0</v>
      </c>
      <c r="P254" s="17">
        <f>'Sampling Data'!O254</f>
        <v>25</v>
      </c>
      <c r="Q254" s="17">
        <f>'Sampling Data'!P254</f>
        <v>385</v>
      </c>
      <c r="R254" s="17">
        <f>'Sampling Data'!AJ254</f>
        <v>0</v>
      </c>
      <c r="S254" s="111"/>
      <c r="T254" s="111"/>
      <c r="U254" s="112"/>
      <c r="V254" s="112"/>
      <c r="W254" s="111"/>
      <c r="X254" s="111"/>
      <c r="Y254" s="111"/>
      <c r="Z254" s="111"/>
      <c r="AA254" s="14"/>
      <c r="AB254" s="14"/>
      <c r="AC254" s="14"/>
      <c r="AD254" s="14"/>
      <c r="AE254" s="113" t="str">
        <f>IF(NOT(ISBLANK(Audit[[#This Row],[Audit Winning Candidate]])), Audit[[#This Row],[Audit Winning Candidate]]-Audit[[#This Row],[Winning Candidate]], "")</f>
        <v/>
      </c>
      <c r="AF254" s="17" t="str">
        <f>IF(NOT(ISBLANK(Audit[[#This Row],[Audit Losing Candidate]])), Audit[[#This Row],[Audit Losing Candidate]]-Audit[[#This Row],[Losing Candidate]], "")</f>
        <v/>
      </c>
      <c r="AG254" s="17" t="str">
        <f>IF(NOT(ISBLANK(Audit[[#This Row],[Audit Candidate 3]])), Audit[[#This Row],[Audit Candidate 3]]-Audit[[#This Row],[Candidate 3]], "")</f>
        <v/>
      </c>
      <c r="AH254" s="17" t="str">
        <f>IF(NOT(ISBLANK(Audit[[#This Row],[Audit Candidate 4]])),Audit[[#This Row],[Audit Candidate 4]]-Audit[[#This Row],[Candidate 4]], "")</f>
        <v/>
      </c>
      <c r="AI254" s="17" t="str">
        <f>IF(NOT(ISBLANK(Audit[[#This Row],[Audit Candidate 5]])), Audit[[#This Row],[Audit Candidate 5]]-Audit[[#This Row],[Candidate 5]], "")</f>
        <v/>
      </c>
      <c r="AJ254" s="17" t="str">
        <f>IF(NOT(ISBLANK(Audit[[#This Row],[Audit Candidate 6]])), Audit[[#This Row],[Audit Candidate 6]]-Audit[[#This Row],[Candidate 6]], "")</f>
        <v/>
      </c>
      <c r="AK254" s="17" t="str">
        <f>IF(NOT(ISBLANK(Audit[[#This Row],[Audit Candidate 7]])), Audit[[#This Row],[Audit Candidate 7]]-Audit[[#This Row],[Candidate 7]], "")</f>
        <v/>
      </c>
      <c r="AL254" s="17" t="str">
        <f>IF(NOT(ISBLANK(Audit[[#This Row],[Audit Candidate 8]])), Audit[[#This Row],[Audit Candidate 8]]-Audit[[#This Row],[Candidate 8]], "")</f>
        <v/>
      </c>
      <c r="AM254" s="17" t="str">
        <f>IF(NOT(ISBLANK(Audit[[#This Row],[Audit Candidate 9]])), Audit[[#This Row],[Audit Candidate 9]]-Audit[[#This Row],[Candidate 9]], "")</f>
        <v/>
      </c>
      <c r="AN254" s="17" t="str">
        <f>IF(NOT(ISBLANK(Audit[[#This Row],[Audit Candidate 10]])), Audit[[#This Row],[Audit Candidate 10]]-Audit[[#This Row],[Candidate 10]], "")</f>
        <v/>
      </c>
      <c r="AO254" s="17" t="str">
        <f>IF(NOT(ISBLANK(Audit[[#This Row],[Audit Candidate 11]])), Audit[[#This Row],[Audit Candidate 11]]-Audit[[#This Row],[Candidate 11]], "")</f>
        <v/>
      </c>
      <c r="AP254" s="17" t="str">
        <f>IF(NOT(ISBLANK(Audit[[#This Row],[Audit Candidate 12]])), Audit[[#This Row],[Audit Candidate 12]]-Audit[[#This Row],[Candidate 12]], "")</f>
        <v/>
      </c>
      <c r="AQ254" s="17">
        <f>SUMIF(Audit[[#This Row],[Difference Winner]:[Difference Candidate 12]], "&gt;0")</f>
        <v>0</v>
      </c>
      <c r="AR254" s="17">
        <f>SUM(Audit[[#This Row],[Difference Winner]:[Difference Candidate 12]])</f>
        <v>0</v>
      </c>
      <c r="AS254" s="17">
        <f>IF(Audit[[#This Row],[Times p Drawn - With Replacement]]&gt;0, IF(Audit[[#This Row],[Canceled Differences]]&lt;0, Audit[[#This Row],[Max Differences]]+ABS(Audit[[#This Row],[Canceled Differences]]), Audit[[#This Row],[Max Differences]]), 0)</f>
        <v>0</v>
      </c>
      <c r="AT254" s="17">
        <f>'Sampling Data'!AB254</f>
        <v>1.6677983364454252E-2</v>
      </c>
      <c r="AU254" s="17">
        <f>IF(
      SUM(Audit[[#This Row],[Audit Losing Candidate]:[Audit Candidate 12]])
      &lt;&gt;0,
      (Audit[[#This Row],[Winning Candidate]]-Audit[[#This Row],[Losing Candidate]]-(Audit[[#This Row],[Audit Winning Candidate]]-Audit[[#This Row],[Audit Losing Candidate]]))/(Audit[[#Totals],[Winning Candidate]]-Audit[[#Totals],[Losing Candidate]]),
      0
)</f>
        <v>0</v>
      </c>
      <c r="AV2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4" s="17">
        <f>IF(Audit[[#This Row],[Max Relative Error (ep)]] = 0, 0, Audit[[#This Row],[Max Relative Error (ep)]]/Audit[[#This Row],[Error Bound (up) - Max. possible relative overstatement]])</f>
        <v>0</v>
      </c>
      <c r="BH2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54" s="17">
        <f t="shared" si="4"/>
        <v>1</v>
      </c>
      <c r="BJ254" s="17">
        <f>PRODUCT($BI$5:BI254)</f>
        <v>0.60941984374894764</v>
      </c>
      <c r="BK254" s="19">
        <f>1 - Audit[[#This Row],[K-M P Value]]</f>
        <v>0.39058015625105236</v>
      </c>
      <c r="BL254" s="17" t="str">
        <f>IF(Audit[[#This Row],[K-M P Value]]&gt;1-'General Info'!$B$12,"Continue", "Stop")</f>
        <v>Continue</v>
      </c>
      <c r="BM254" s="22" t="b">
        <f>IF(Audit[[#This Row],[Status - Continue or stop audit]] = "Continue", TRUE, IF(BL253 = "Continue", TRUE, FALSE))</f>
        <v>1</v>
      </c>
      <c r="BN254" s="22"/>
    </row>
    <row r="255" spans="1:66" ht="15" hidden="1" customHeight="1" x14ac:dyDescent="0.35">
      <c r="A255" s="17" t="str">
        <f>'Sampling Data'!AI255</f>
        <v/>
      </c>
      <c r="B255" s="17" t="str">
        <f>'Sampling Data'!A255</f>
        <v>3901 MILF A   (AV)</v>
      </c>
      <c r="C255" s="17">
        <f>'Sampling Data'!B255</f>
        <v>1</v>
      </c>
      <c r="D255" s="17">
        <f>'Sampling Data'!C255</f>
        <v>3</v>
      </c>
      <c r="E255" s="18">
        <f>'Sampling Data'!D255</f>
        <v>0</v>
      </c>
      <c r="F255" s="18">
        <f>'Sampling Data'!E255</f>
        <v>0</v>
      </c>
      <c r="G255" s="18">
        <f>'Sampling Data'!F255</f>
        <v>0</v>
      </c>
      <c r="H255" s="18">
        <f>'Sampling Data'!G255</f>
        <v>0</v>
      </c>
      <c r="I255" s="18">
        <f>'Sampling Data'!H255</f>
        <v>0</v>
      </c>
      <c r="J255" s="18">
        <f>'Sampling Data'!I255</f>
        <v>0</v>
      </c>
      <c r="K255" s="18">
        <f>'Sampling Data'!J255</f>
        <v>0</v>
      </c>
      <c r="L255" s="18">
        <f>'Sampling Data'!K255</f>
        <v>0</v>
      </c>
      <c r="M255" s="18">
        <f>'Sampling Data'!L255</f>
        <v>0</v>
      </c>
      <c r="N255" s="18">
        <f>'Sampling Data'!M255</f>
        <v>0</v>
      </c>
      <c r="O255" s="17">
        <f>'Sampling Data'!N255</f>
        <v>0</v>
      </c>
      <c r="P255" s="17">
        <f>'Sampling Data'!O255</f>
        <v>0</v>
      </c>
      <c r="Q255" s="17">
        <f>'Sampling Data'!P255</f>
        <v>4</v>
      </c>
      <c r="R255" s="17">
        <f>'Sampling Data'!AJ255</f>
        <v>0</v>
      </c>
      <c r="S255" s="111"/>
      <c r="T255" s="111"/>
      <c r="U255" s="112"/>
      <c r="V255" s="112"/>
      <c r="W255" s="111"/>
      <c r="X255" s="111"/>
      <c r="Y255" s="111"/>
      <c r="Z255" s="111"/>
      <c r="AA255" s="14"/>
      <c r="AB255" s="14"/>
      <c r="AC255" s="14"/>
      <c r="AD255" s="14"/>
      <c r="AE255" s="113" t="str">
        <f>IF(NOT(ISBLANK(Audit[[#This Row],[Audit Winning Candidate]])), Audit[[#This Row],[Audit Winning Candidate]]-Audit[[#This Row],[Winning Candidate]], "")</f>
        <v/>
      </c>
      <c r="AF255" s="17" t="str">
        <f>IF(NOT(ISBLANK(Audit[[#This Row],[Audit Losing Candidate]])), Audit[[#This Row],[Audit Losing Candidate]]-Audit[[#This Row],[Losing Candidate]], "")</f>
        <v/>
      </c>
      <c r="AG255" s="17" t="str">
        <f>IF(NOT(ISBLANK(Audit[[#This Row],[Audit Candidate 3]])), Audit[[#This Row],[Audit Candidate 3]]-Audit[[#This Row],[Candidate 3]], "")</f>
        <v/>
      </c>
      <c r="AH255" s="17" t="str">
        <f>IF(NOT(ISBLANK(Audit[[#This Row],[Audit Candidate 4]])),Audit[[#This Row],[Audit Candidate 4]]-Audit[[#This Row],[Candidate 4]], "")</f>
        <v/>
      </c>
      <c r="AI255" s="17" t="str">
        <f>IF(NOT(ISBLANK(Audit[[#This Row],[Audit Candidate 5]])), Audit[[#This Row],[Audit Candidate 5]]-Audit[[#This Row],[Candidate 5]], "")</f>
        <v/>
      </c>
      <c r="AJ255" s="17" t="str">
        <f>IF(NOT(ISBLANK(Audit[[#This Row],[Audit Candidate 6]])), Audit[[#This Row],[Audit Candidate 6]]-Audit[[#This Row],[Candidate 6]], "")</f>
        <v/>
      </c>
      <c r="AK255" s="17" t="str">
        <f>IF(NOT(ISBLANK(Audit[[#This Row],[Audit Candidate 7]])), Audit[[#This Row],[Audit Candidate 7]]-Audit[[#This Row],[Candidate 7]], "")</f>
        <v/>
      </c>
      <c r="AL255" s="17" t="str">
        <f>IF(NOT(ISBLANK(Audit[[#This Row],[Audit Candidate 8]])), Audit[[#This Row],[Audit Candidate 8]]-Audit[[#This Row],[Candidate 8]], "")</f>
        <v/>
      </c>
      <c r="AM255" s="17" t="str">
        <f>IF(NOT(ISBLANK(Audit[[#This Row],[Audit Candidate 9]])), Audit[[#This Row],[Audit Candidate 9]]-Audit[[#This Row],[Candidate 9]], "")</f>
        <v/>
      </c>
      <c r="AN255" s="17" t="str">
        <f>IF(NOT(ISBLANK(Audit[[#This Row],[Audit Candidate 10]])), Audit[[#This Row],[Audit Candidate 10]]-Audit[[#This Row],[Candidate 10]], "")</f>
        <v/>
      </c>
      <c r="AO255" s="17" t="str">
        <f>IF(NOT(ISBLANK(Audit[[#This Row],[Audit Candidate 11]])), Audit[[#This Row],[Audit Candidate 11]]-Audit[[#This Row],[Candidate 11]], "")</f>
        <v/>
      </c>
      <c r="AP255" s="17" t="str">
        <f>IF(NOT(ISBLANK(Audit[[#This Row],[Audit Candidate 12]])), Audit[[#This Row],[Audit Candidate 12]]-Audit[[#This Row],[Candidate 12]], "")</f>
        <v/>
      </c>
      <c r="AQ255" s="17">
        <f>SUMIF(Audit[[#This Row],[Difference Winner]:[Difference Candidate 12]], "&gt;0")</f>
        <v>0</v>
      </c>
      <c r="AR255" s="17">
        <f>SUM(Audit[[#This Row],[Difference Winner]:[Difference Candidate 12]])</f>
        <v>0</v>
      </c>
      <c r="AS255" s="17">
        <f>IF(Audit[[#This Row],[Times p Drawn - With Replacement]]&gt;0, IF(Audit[[#This Row],[Canceled Differences]]&lt;0, Audit[[#This Row],[Max Differences]]+ABS(Audit[[#This Row],[Canceled Differences]]), Audit[[#This Row],[Max Differences]]), 0)</f>
        <v>0</v>
      </c>
      <c r="AT255" s="17">
        <f>'Sampling Data'!AB255</f>
        <v>8.4875233406891867E-5</v>
      </c>
      <c r="AU255" s="17">
        <f>IF(
      SUM(Audit[[#This Row],[Audit Losing Candidate]:[Audit Candidate 12]])
      &lt;&gt;0,
      (Audit[[#This Row],[Winning Candidate]]-Audit[[#This Row],[Losing Candidate]]-(Audit[[#This Row],[Audit Winning Candidate]]-Audit[[#This Row],[Audit Losing Candidate]]))/(Audit[[#Totals],[Winning Candidate]]-Audit[[#Totals],[Losing Candidate]]),
      0
)</f>
        <v>0</v>
      </c>
      <c r="AV2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5" s="17">
        <f>IF(Audit[[#This Row],[Max Relative Error (ep)]] = 0, 0, Audit[[#This Row],[Max Relative Error (ep)]]/Audit[[#This Row],[Error Bound (up) - Max. possible relative overstatement]])</f>
        <v>0</v>
      </c>
      <c r="BH2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55" s="17">
        <f t="shared" si="4"/>
        <v>1</v>
      </c>
      <c r="BJ255" s="17">
        <f>PRODUCT($BI$5:BI255)</f>
        <v>0.60941984374894764</v>
      </c>
      <c r="BK255" s="19">
        <f>1 - Audit[[#This Row],[K-M P Value]]</f>
        <v>0.39058015625105236</v>
      </c>
      <c r="BL255" s="17" t="str">
        <f>IF(Audit[[#This Row],[K-M P Value]]&gt;1-'General Info'!$B$12,"Continue", "Stop")</f>
        <v>Continue</v>
      </c>
      <c r="BM255" s="22" t="b">
        <f>IF(Audit[[#This Row],[Status - Continue or stop audit]] = "Continue", TRUE, IF(BL254 = "Continue", TRUE, FALSE))</f>
        <v>1</v>
      </c>
      <c r="BN255" s="22"/>
    </row>
    <row r="256" spans="1:66" ht="15" hidden="1" customHeight="1" x14ac:dyDescent="0.35">
      <c r="A256" s="17" t="str">
        <f>'Sampling Data'!AI256</f>
        <v/>
      </c>
      <c r="B256" s="17" t="str">
        <f>'Sampling Data'!A256</f>
        <v>4001 MONT A   (AV)</v>
      </c>
      <c r="C256" s="17">
        <f>'Sampling Data'!B256</f>
        <v>238</v>
      </c>
      <c r="D256" s="17">
        <f>'Sampling Data'!C256</f>
        <v>249</v>
      </c>
      <c r="E256" s="18">
        <f>'Sampling Data'!D256</f>
        <v>0</v>
      </c>
      <c r="F256" s="18">
        <f>'Sampling Data'!E256</f>
        <v>0</v>
      </c>
      <c r="G256" s="18">
        <f>'Sampling Data'!F256</f>
        <v>0</v>
      </c>
      <c r="H256" s="18">
        <f>'Sampling Data'!G256</f>
        <v>0</v>
      </c>
      <c r="I256" s="18">
        <f>'Sampling Data'!H256</f>
        <v>0</v>
      </c>
      <c r="J256" s="18">
        <f>'Sampling Data'!I256</f>
        <v>0</v>
      </c>
      <c r="K256" s="18">
        <f>'Sampling Data'!J256</f>
        <v>0</v>
      </c>
      <c r="L256" s="18">
        <f>'Sampling Data'!K256</f>
        <v>0</v>
      </c>
      <c r="M256" s="18">
        <f>'Sampling Data'!L256</f>
        <v>0</v>
      </c>
      <c r="N256" s="18">
        <f>'Sampling Data'!M256</f>
        <v>0</v>
      </c>
      <c r="O256" s="17">
        <f>'Sampling Data'!N256</f>
        <v>1</v>
      </c>
      <c r="P256" s="17">
        <f>'Sampling Data'!O256</f>
        <v>27</v>
      </c>
      <c r="Q256" s="17">
        <f>'Sampling Data'!P256</f>
        <v>515</v>
      </c>
      <c r="R256" s="17">
        <f>'Sampling Data'!AJ256</f>
        <v>0</v>
      </c>
      <c r="S256" s="111"/>
      <c r="T256" s="111"/>
      <c r="U256" s="112"/>
      <c r="V256" s="112"/>
      <c r="W256" s="111"/>
      <c r="X256" s="111"/>
      <c r="Y256" s="111"/>
      <c r="Z256" s="111"/>
      <c r="AA256" s="14"/>
      <c r="AB256" s="14"/>
      <c r="AC256" s="14"/>
      <c r="AD256" s="14"/>
      <c r="AE256" s="113" t="str">
        <f>IF(NOT(ISBLANK(Audit[[#This Row],[Audit Winning Candidate]])), Audit[[#This Row],[Audit Winning Candidate]]-Audit[[#This Row],[Winning Candidate]], "")</f>
        <v/>
      </c>
      <c r="AF256" s="17" t="str">
        <f>IF(NOT(ISBLANK(Audit[[#This Row],[Audit Losing Candidate]])), Audit[[#This Row],[Audit Losing Candidate]]-Audit[[#This Row],[Losing Candidate]], "")</f>
        <v/>
      </c>
      <c r="AG256" s="17" t="str">
        <f>IF(NOT(ISBLANK(Audit[[#This Row],[Audit Candidate 3]])), Audit[[#This Row],[Audit Candidate 3]]-Audit[[#This Row],[Candidate 3]], "")</f>
        <v/>
      </c>
      <c r="AH256" s="17" t="str">
        <f>IF(NOT(ISBLANK(Audit[[#This Row],[Audit Candidate 4]])),Audit[[#This Row],[Audit Candidate 4]]-Audit[[#This Row],[Candidate 4]], "")</f>
        <v/>
      </c>
      <c r="AI256" s="17" t="str">
        <f>IF(NOT(ISBLANK(Audit[[#This Row],[Audit Candidate 5]])), Audit[[#This Row],[Audit Candidate 5]]-Audit[[#This Row],[Candidate 5]], "")</f>
        <v/>
      </c>
      <c r="AJ256" s="17" t="str">
        <f>IF(NOT(ISBLANK(Audit[[#This Row],[Audit Candidate 6]])), Audit[[#This Row],[Audit Candidate 6]]-Audit[[#This Row],[Candidate 6]], "")</f>
        <v/>
      </c>
      <c r="AK256" s="17" t="str">
        <f>IF(NOT(ISBLANK(Audit[[#This Row],[Audit Candidate 7]])), Audit[[#This Row],[Audit Candidate 7]]-Audit[[#This Row],[Candidate 7]], "")</f>
        <v/>
      </c>
      <c r="AL256" s="17" t="str">
        <f>IF(NOT(ISBLANK(Audit[[#This Row],[Audit Candidate 8]])), Audit[[#This Row],[Audit Candidate 8]]-Audit[[#This Row],[Candidate 8]], "")</f>
        <v/>
      </c>
      <c r="AM256" s="17" t="str">
        <f>IF(NOT(ISBLANK(Audit[[#This Row],[Audit Candidate 9]])), Audit[[#This Row],[Audit Candidate 9]]-Audit[[#This Row],[Candidate 9]], "")</f>
        <v/>
      </c>
      <c r="AN256" s="17" t="str">
        <f>IF(NOT(ISBLANK(Audit[[#This Row],[Audit Candidate 10]])), Audit[[#This Row],[Audit Candidate 10]]-Audit[[#This Row],[Candidate 10]], "")</f>
        <v/>
      </c>
      <c r="AO256" s="17" t="str">
        <f>IF(NOT(ISBLANK(Audit[[#This Row],[Audit Candidate 11]])), Audit[[#This Row],[Audit Candidate 11]]-Audit[[#This Row],[Candidate 11]], "")</f>
        <v/>
      </c>
      <c r="AP256" s="17" t="str">
        <f>IF(NOT(ISBLANK(Audit[[#This Row],[Audit Candidate 12]])), Audit[[#This Row],[Audit Candidate 12]]-Audit[[#This Row],[Candidate 12]], "")</f>
        <v/>
      </c>
      <c r="AQ256" s="17">
        <f>SUMIF(Audit[[#This Row],[Difference Winner]:[Difference Candidate 12]], "&gt;0")</f>
        <v>0</v>
      </c>
      <c r="AR256" s="17">
        <f>SUM(Audit[[#This Row],[Difference Winner]:[Difference Candidate 12]])</f>
        <v>0</v>
      </c>
      <c r="AS256" s="17">
        <f>IF(Audit[[#This Row],[Times p Drawn - With Replacement]]&gt;0, IF(Audit[[#This Row],[Canceled Differences]]&lt;0, Audit[[#This Row],[Max Differences]]+ABS(Audit[[#This Row],[Canceled Differences]]), Audit[[#This Row],[Max Differences]]), 0)</f>
        <v>0</v>
      </c>
      <c r="AT256" s="17">
        <f>'Sampling Data'!AB256</f>
        <v>2.1388558818536751E-2</v>
      </c>
      <c r="AU256" s="17">
        <f>IF(
      SUM(Audit[[#This Row],[Audit Losing Candidate]:[Audit Candidate 12]])
      &lt;&gt;0,
      (Audit[[#This Row],[Winning Candidate]]-Audit[[#This Row],[Losing Candidate]]-(Audit[[#This Row],[Audit Winning Candidate]]-Audit[[#This Row],[Audit Losing Candidate]]))/(Audit[[#Totals],[Winning Candidate]]-Audit[[#Totals],[Losing Candidate]]),
      0
)</f>
        <v>0</v>
      </c>
      <c r="AV2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6" s="17">
        <f>IF(Audit[[#This Row],[Max Relative Error (ep)]] = 0, 0, Audit[[#This Row],[Max Relative Error (ep)]]/Audit[[#This Row],[Error Bound (up) - Max. possible relative overstatement]])</f>
        <v>0</v>
      </c>
      <c r="BH2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56" s="17">
        <f t="shared" si="4"/>
        <v>1</v>
      </c>
      <c r="BJ256" s="17">
        <f>PRODUCT($BI$5:BI256)</f>
        <v>0.60941984374894764</v>
      </c>
      <c r="BK256" s="19">
        <f>1 - Audit[[#This Row],[K-M P Value]]</f>
        <v>0.39058015625105236</v>
      </c>
      <c r="BL256" s="17" t="str">
        <f>IF(Audit[[#This Row],[K-M P Value]]&gt;1-'General Info'!$B$12,"Continue", "Stop")</f>
        <v>Continue</v>
      </c>
      <c r="BM256" s="22" t="b">
        <f>IF(Audit[[#This Row],[Status - Continue or stop audit]] = "Continue", TRUE, IF(BL255 = "Continue", TRUE, FALSE))</f>
        <v>1</v>
      </c>
      <c r="BN256" s="22"/>
    </row>
    <row r="257" spans="1:66" ht="15" hidden="1" customHeight="1" x14ac:dyDescent="0.35">
      <c r="A257" s="17" t="str">
        <f>'Sampling Data'!AI257</f>
        <v/>
      </c>
      <c r="B257" s="17" t="str">
        <f>'Sampling Data'!A257</f>
        <v>4002 MONT B   (AV)</v>
      </c>
      <c r="C257" s="17">
        <f>'Sampling Data'!B257</f>
        <v>196</v>
      </c>
      <c r="D257" s="17">
        <f>'Sampling Data'!C257</f>
        <v>218</v>
      </c>
      <c r="E257" s="18">
        <f>'Sampling Data'!D257</f>
        <v>0</v>
      </c>
      <c r="F257" s="18">
        <f>'Sampling Data'!E257</f>
        <v>0</v>
      </c>
      <c r="G257" s="18">
        <f>'Sampling Data'!F257</f>
        <v>0</v>
      </c>
      <c r="H257" s="18">
        <f>'Sampling Data'!G257</f>
        <v>0</v>
      </c>
      <c r="I257" s="18">
        <f>'Sampling Data'!H257</f>
        <v>0</v>
      </c>
      <c r="J257" s="18">
        <f>'Sampling Data'!I257</f>
        <v>0</v>
      </c>
      <c r="K257" s="18">
        <f>'Sampling Data'!J257</f>
        <v>0</v>
      </c>
      <c r="L257" s="18">
        <f>'Sampling Data'!K257</f>
        <v>0</v>
      </c>
      <c r="M257" s="18">
        <f>'Sampling Data'!L257</f>
        <v>0</v>
      </c>
      <c r="N257" s="18">
        <f>'Sampling Data'!M257</f>
        <v>0</v>
      </c>
      <c r="O257" s="17">
        <f>'Sampling Data'!N257</f>
        <v>2</v>
      </c>
      <c r="P257" s="17">
        <f>'Sampling Data'!O257</f>
        <v>20</v>
      </c>
      <c r="Q257" s="17">
        <f>'Sampling Data'!P257</f>
        <v>436</v>
      </c>
      <c r="R257" s="17">
        <f>'Sampling Data'!AJ257</f>
        <v>0</v>
      </c>
      <c r="S257" s="111"/>
      <c r="T257" s="111"/>
      <c r="U257" s="112"/>
      <c r="V257" s="112"/>
      <c r="W257" s="111"/>
      <c r="X257" s="111"/>
      <c r="Y257" s="111"/>
      <c r="Z257" s="111"/>
      <c r="AA257" s="14"/>
      <c r="AB257" s="14"/>
      <c r="AC257" s="14"/>
      <c r="AD257" s="14"/>
      <c r="AE257" s="113" t="str">
        <f>IF(NOT(ISBLANK(Audit[[#This Row],[Audit Winning Candidate]])), Audit[[#This Row],[Audit Winning Candidate]]-Audit[[#This Row],[Winning Candidate]], "")</f>
        <v/>
      </c>
      <c r="AF257" s="17" t="str">
        <f>IF(NOT(ISBLANK(Audit[[#This Row],[Audit Losing Candidate]])), Audit[[#This Row],[Audit Losing Candidate]]-Audit[[#This Row],[Losing Candidate]], "")</f>
        <v/>
      </c>
      <c r="AG257" s="17" t="str">
        <f>IF(NOT(ISBLANK(Audit[[#This Row],[Audit Candidate 3]])), Audit[[#This Row],[Audit Candidate 3]]-Audit[[#This Row],[Candidate 3]], "")</f>
        <v/>
      </c>
      <c r="AH257" s="17" t="str">
        <f>IF(NOT(ISBLANK(Audit[[#This Row],[Audit Candidate 4]])),Audit[[#This Row],[Audit Candidate 4]]-Audit[[#This Row],[Candidate 4]], "")</f>
        <v/>
      </c>
      <c r="AI257" s="17" t="str">
        <f>IF(NOT(ISBLANK(Audit[[#This Row],[Audit Candidate 5]])), Audit[[#This Row],[Audit Candidate 5]]-Audit[[#This Row],[Candidate 5]], "")</f>
        <v/>
      </c>
      <c r="AJ257" s="17" t="str">
        <f>IF(NOT(ISBLANK(Audit[[#This Row],[Audit Candidate 6]])), Audit[[#This Row],[Audit Candidate 6]]-Audit[[#This Row],[Candidate 6]], "")</f>
        <v/>
      </c>
      <c r="AK257" s="17" t="str">
        <f>IF(NOT(ISBLANK(Audit[[#This Row],[Audit Candidate 7]])), Audit[[#This Row],[Audit Candidate 7]]-Audit[[#This Row],[Candidate 7]], "")</f>
        <v/>
      </c>
      <c r="AL257" s="17" t="str">
        <f>IF(NOT(ISBLANK(Audit[[#This Row],[Audit Candidate 8]])), Audit[[#This Row],[Audit Candidate 8]]-Audit[[#This Row],[Candidate 8]], "")</f>
        <v/>
      </c>
      <c r="AM257" s="17" t="str">
        <f>IF(NOT(ISBLANK(Audit[[#This Row],[Audit Candidate 9]])), Audit[[#This Row],[Audit Candidate 9]]-Audit[[#This Row],[Candidate 9]], "")</f>
        <v/>
      </c>
      <c r="AN257" s="17" t="str">
        <f>IF(NOT(ISBLANK(Audit[[#This Row],[Audit Candidate 10]])), Audit[[#This Row],[Audit Candidate 10]]-Audit[[#This Row],[Candidate 10]], "")</f>
        <v/>
      </c>
      <c r="AO257" s="17" t="str">
        <f>IF(NOT(ISBLANK(Audit[[#This Row],[Audit Candidate 11]])), Audit[[#This Row],[Audit Candidate 11]]-Audit[[#This Row],[Candidate 11]], "")</f>
        <v/>
      </c>
      <c r="AP257" s="17" t="str">
        <f>IF(NOT(ISBLANK(Audit[[#This Row],[Audit Candidate 12]])), Audit[[#This Row],[Audit Candidate 12]]-Audit[[#This Row],[Candidate 12]], "")</f>
        <v/>
      </c>
      <c r="AQ257" s="17">
        <f>SUMIF(Audit[[#This Row],[Difference Winner]:[Difference Candidate 12]], "&gt;0")</f>
        <v>0</v>
      </c>
      <c r="AR257" s="17">
        <f>SUM(Audit[[#This Row],[Difference Winner]:[Difference Candidate 12]])</f>
        <v>0</v>
      </c>
      <c r="AS257" s="17">
        <f>IF(Audit[[#This Row],[Times p Drawn - With Replacement]]&gt;0, IF(Audit[[#This Row],[Canceled Differences]]&lt;0, Audit[[#This Row],[Max Differences]]+ABS(Audit[[#This Row],[Canceled Differences]]), Audit[[#This Row],[Max Differences]]), 0)</f>
        <v>0</v>
      </c>
      <c r="AT257" s="17">
        <f>'Sampling Data'!AB257</f>
        <v>1.7569173315226616E-2</v>
      </c>
      <c r="AU257" s="17">
        <f>IF(
      SUM(Audit[[#This Row],[Audit Losing Candidate]:[Audit Candidate 12]])
      &lt;&gt;0,
      (Audit[[#This Row],[Winning Candidate]]-Audit[[#This Row],[Losing Candidate]]-(Audit[[#This Row],[Audit Winning Candidate]]-Audit[[#This Row],[Audit Losing Candidate]]))/(Audit[[#Totals],[Winning Candidate]]-Audit[[#Totals],[Losing Candidate]]),
      0
)</f>
        <v>0</v>
      </c>
      <c r="AV2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7" s="17">
        <f>IF(Audit[[#This Row],[Max Relative Error (ep)]] = 0, 0, Audit[[#This Row],[Max Relative Error (ep)]]/Audit[[#This Row],[Error Bound (up) - Max. possible relative overstatement]])</f>
        <v>0</v>
      </c>
      <c r="BH2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57" s="17">
        <f t="shared" si="4"/>
        <v>1</v>
      </c>
      <c r="BJ257" s="17">
        <f>PRODUCT($BI$5:BI257)</f>
        <v>0.60941984374894764</v>
      </c>
      <c r="BK257" s="19">
        <f>1 - Audit[[#This Row],[K-M P Value]]</f>
        <v>0.39058015625105236</v>
      </c>
      <c r="BL257" s="17" t="str">
        <f>IF(Audit[[#This Row],[K-M P Value]]&gt;1-'General Info'!$B$12,"Continue", "Stop")</f>
        <v>Continue</v>
      </c>
      <c r="BM257" s="22" t="b">
        <f>IF(Audit[[#This Row],[Status - Continue or stop audit]] = "Continue", TRUE, IF(BL256 = "Continue", TRUE, FALSE))</f>
        <v>1</v>
      </c>
      <c r="BN257" s="22"/>
    </row>
    <row r="258" spans="1:66" ht="15" hidden="1" customHeight="1" x14ac:dyDescent="0.35">
      <c r="A258" s="17" t="str">
        <f>'Sampling Data'!AI258</f>
        <v/>
      </c>
      <c r="B258" s="17" t="str">
        <f>'Sampling Data'!A258</f>
        <v>4003 MONT C   (AV)</v>
      </c>
      <c r="C258" s="17">
        <f>'Sampling Data'!B258</f>
        <v>264</v>
      </c>
      <c r="D258" s="17">
        <f>'Sampling Data'!C258</f>
        <v>242</v>
      </c>
      <c r="E258" s="18">
        <f>'Sampling Data'!D258</f>
        <v>0</v>
      </c>
      <c r="F258" s="18">
        <f>'Sampling Data'!E258</f>
        <v>0</v>
      </c>
      <c r="G258" s="18">
        <f>'Sampling Data'!F258</f>
        <v>0</v>
      </c>
      <c r="H258" s="18">
        <f>'Sampling Data'!G258</f>
        <v>0</v>
      </c>
      <c r="I258" s="18">
        <f>'Sampling Data'!H258</f>
        <v>0</v>
      </c>
      <c r="J258" s="18">
        <f>'Sampling Data'!I258</f>
        <v>0</v>
      </c>
      <c r="K258" s="18">
        <f>'Sampling Data'!J258</f>
        <v>0</v>
      </c>
      <c r="L258" s="18">
        <f>'Sampling Data'!K258</f>
        <v>0</v>
      </c>
      <c r="M258" s="18">
        <f>'Sampling Data'!L258</f>
        <v>0</v>
      </c>
      <c r="N258" s="18">
        <f>'Sampling Data'!M258</f>
        <v>0</v>
      </c>
      <c r="O258" s="17">
        <f>'Sampling Data'!N258</f>
        <v>0</v>
      </c>
      <c r="P258" s="17">
        <f>'Sampling Data'!O258</f>
        <v>22</v>
      </c>
      <c r="Q258" s="17">
        <f>'Sampling Data'!P258</f>
        <v>528</v>
      </c>
      <c r="R258" s="17">
        <f>'Sampling Data'!AJ258</f>
        <v>0</v>
      </c>
      <c r="S258" s="111"/>
      <c r="T258" s="111"/>
      <c r="U258" s="112"/>
      <c r="V258" s="112"/>
      <c r="W258" s="111"/>
      <c r="X258" s="111"/>
      <c r="Y258" s="111"/>
      <c r="Z258" s="111"/>
      <c r="AA258" s="14"/>
      <c r="AB258" s="14"/>
      <c r="AC258" s="14"/>
      <c r="AD258" s="14"/>
      <c r="AE258" s="113" t="str">
        <f>IF(NOT(ISBLANK(Audit[[#This Row],[Audit Winning Candidate]])), Audit[[#This Row],[Audit Winning Candidate]]-Audit[[#This Row],[Winning Candidate]], "")</f>
        <v/>
      </c>
      <c r="AF258" s="17" t="str">
        <f>IF(NOT(ISBLANK(Audit[[#This Row],[Audit Losing Candidate]])), Audit[[#This Row],[Audit Losing Candidate]]-Audit[[#This Row],[Losing Candidate]], "")</f>
        <v/>
      </c>
      <c r="AG258" s="17" t="str">
        <f>IF(NOT(ISBLANK(Audit[[#This Row],[Audit Candidate 3]])), Audit[[#This Row],[Audit Candidate 3]]-Audit[[#This Row],[Candidate 3]], "")</f>
        <v/>
      </c>
      <c r="AH258" s="17" t="str">
        <f>IF(NOT(ISBLANK(Audit[[#This Row],[Audit Candidate 4]])),Audit[[#This Row],[Audit Candidate 4]]-Audit[[#This Row],[Candidate 4]], "")</f>
        <v/>
      </c>
      <c r="AI258" s="17" t="str">
        <f>IF(NOT(ISBLANK(Audit[[#This Row],[Audit Candidate 5]])), Audit[[#This Row],[Audit Candidate 5]]-Audit[[#This Row],[Candidate 5]], "")</f>
        <v/>
      </c>
      <c r="AJ258" s="17" t="str">
        <f>IF(NOT(ISBLANK(Audit[[#This Row],[Audit Candidate 6]])), Audit[[#This Row],[Audit Candidate 6]]-Audit[[#This Row],[Candidate 6]], "")</f>
        <v/>
      </c>
      <c r="AK258" s="17" t="str">
        <f>IF(NOT(ISBLANK(Audit[[#This Row],[Audit Candidate 7]])), Audit[[#This Row],[Audit Candidate 7]]-Audit[[#This Row],[Candidate 7]], "")</f>
        <v/>
      </c>
      <c r="AL258" s="17" t="str">
        <f>IF(NOT(ISBLANK(Audit[[#This Row],[Audit Candidate 8]])), Audit[[#This Row],[Audit Candidate 8]]-Audit[[#This Row],[Candidate 8]], "")</f>
        <v/>
      </c>
      <c r="AM258" s="17" t="str">
        <f>IF(NOT(ISBLANK(Audit[[#This Row],[Audit Candidate 9]])), Audit[[#This Row],[Audit Candidate 9]]-Audit[[#This Row],[Candidate 9]], "")</f>
        <v/>
      </c>
      <c r="AN258" s="17" t="str">
        <f>IF(NOT(ISBLANK(Audit[[#This Row],[Audit Candidate 10]])), Audit[[#This Row],[Audit Candidate 10]]-Audit[[#This Row],[Candidate 10]], "")</f>
        <v/>
      </c>
      <c r="AO258" s="17" t="str">
        <f>IF(NOT(ISBLANK(Audit[[#This Row],[Audit Candidate 11]])), Audit[[#This Row],[Audit Candidate 11]]-Audit[[#This Row],[Candidate 11]], "")</f>
        <v/>
      </c>
      <c r="AP258" s="17" t="str">
        <f>IF(NOT(ISBLANK(Audit[[#This Row],[Audit Candidate 12]])), Audit[[#This Row],[Audit Candidate 12]]-Audit[[#This Row],[Candidate 12]], "")</f>
        <v/>
      </c>
      <c r="AQ258" s="17">
        <f>SUMIF(Audit[[#This Row],[Difference Winner]:[Difference Candidate 12]], "&gt;0")</f>
        <v>0</v>
      </c>
      <c r="AR258" s="17">
        <f>SUM(Audit[[#This Row],[Difference Winner]:[Difference Candidate 12]])</f>
        <v>0</v>
      </c>
      <c r="AS258" s="17">
        <f>IF(Audit[[#This Row],[Times p Drawn - With Replacement]]&gt;0, IF(Audit[[#This Row],[Canceled Differences]]&lt;0, Audit[[#This Row],[Max Differences]]+ABS(Audit[[#This Row],[Canceled Differences]]), Audit[[#This Row],[Max Differences]]), 0)</f>
        <v>0</v>
      </c>
      <c r="AT258" s="17">
        <f>'Sampling Data'!AB258</f>
        <v>2.3340689186895264E-2</v>
      </c>
      <c r="AU258" s="17">
        <f>IF(
      SUM(Audit[[#This Row],[Audit Losing Candidate]:[Audit Candidate 12]])
      &lt;&gt;0,
      (Audit[[#This Row],[Winning Candidate]]-Audit[[#This Row],[Losing Candidate]]-(Audit[[#This Row],[Audit Winning Candidate]]-Audit[[#This Row],[Audit Losing Candidate]]))/(Audit[[#Totals],[Winning Candidate]]-Audit[[#Totals],[Losing Candidate]]),
      0
)</f>
        <v>0</v>
      </c>
      <c r="AV2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8" s="17">
        <f>IF(Audit[[#This Row],[Max Relative Error (ep)]] = 0, 0, Audit[[#This Row],[Max Relative Error (ep)]]/Audit[[#This Row],[Error Bound (up) - Max. possible relative overstatement]])</f>
        <v>0</v>
      </c>
      <c r="BH2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58" s="17">
        <f t="shared" si="4"/>
        <v>1</v>
      </c>
      <c r="BJ258" s="17">
        <f>PRODUCT($BI$5:BI258)</f>
        <v>0.60941984374894764</v>
      </c>
      <c r="BK258" s="19">
        <f>1 - Audit[[#This Row],[K-M P Value]]</f>
        <v>0.39058015625105236</v>
      </c>
      <c r="BL258" s="17" t="str">
        <f>IF(Audit[[#This Row],[K-M P Value]]&gt;1-'General Info'!$B$12,"Continue", "Stop")</f>
        <v>Continue</v>
      </c>
      <c r="BM258" s="22" t="b">
        <f>IF(Audit[[#This Row],[Status - Continue or stop audit]] = "Continue", TRUE, IF(BL257 = "Continue", TRUE, FALSE))</f>
        <v>1</v>
      </c>
      <c r="BN258" s="22"/>
    </row>
    <row r="259" spans="1:66" ht="15" hidden="1" customHeight="1" x14ac:dyDescent="0.35">
      <c r="A259" s="17" t="str">
        <f>'Sampling Data'!AI259</f>
        <v/>
      </c>
      <c r="B259" s="17" t="str">
        <f>'Sampling Data'!A259</f>
        <v>4004 MONT D   (AV)</v>
      </c>
      <c r="C259" s="17">
        <f>'Sampling Data'!B259</f>
        <v>177</v>
      </c>
      <c r="D259" s="17">
        <f>'Sampling Data'!C259</f>
        <v>103</v>
      </c>
      <c r="E259" s="18">
        <f>'Sampling Data'!D259</f>
        <v>0</v>
      </c>
      <c r="F259" s="18">
        <f>'Sampling Data'!E259</f>
        <v>0</v>
      </c>
      <c r="G259" s="18">
        <f>'Sampling Data'!F259</f>
        <v>0</v>
      </c>
      <c r="H259" s="18">
        <f>'Sampling Data'!G259</f>
        <v>0</v>
      </c>
      <c r="I259" s="18">
        <f>'Sampling Data'!H259</f>
        <v>0</v>
      </c>
      <c r="J259" s="18">
        <f>'Sampling Data'!I259</f>
        <v>0</v>
      </c>
      <c r="K259" s="18">
        <f>'Sampling Data'!J259</f>
        <v>0</v>
      </c>
      <c r="L259" s="18">
        <f>'Sampling Data'!K259</f>
        <v>0</v>
      </c>
      <c r="M259" s="18">
        <f>'Sampling Data'!L259</f>
        <v>0</v>
      </c>
      <c r="N259" s="18">
        <f>'Sampling Data'!M259</f>
        <v>0</v>
      </c>
      <c r="O259" s="17">
        <f>'Sampling Data'!N259</f>
        <v>0</v>
      </c>
      <c r="P259" s="17">
        <f>'Sampling Data'!O259</f>
        <v>10</v>
      </c>
      <c r="Q259" s="17">
        <f>'Sampling Data'!P259</f>
        <v>290</v>
      </c>
      <c r="R259" s="17">
        <f>'Sampling Data'!AJ259</f>
        <v>0</v>
      </c>
      <c r="S259" s="111"/>
      <c r="T259" s="111"/>
      <c r="U259" s="112"/>
      <c r="V259" s="112"/>
      <c r="W259" s="111"/>
      <c r="X259" s="111"/>
      <c r="Y259" s="111"/>
      <c r="Z259" s="111"/>
      <c r="AA259" s="14"/>
      <c r="AB259" s="14"/>
      <c r="AC259" s="14"/>
      <c r="AD259" s="14"/>
      <c r="AE259" s="113" t="str">
        <f>IF(NOT(ISBLANK(Audit[[#This Row],[Audit Winning Candidate]])), Audit[[#This Row],[Audit Winning Candidate]]-Audit[[#This Row],[Winning Candidate]], "")</f>
        <v/>
      </c>
      <c r="AF259" s="17" t="str">
        <f>IF(NOT(ISBLANK(Audit[[#This Row],[Audit Losing Candidate]])), Audit[[#This Row],[Audit Losing Candidate]]-Audit[[#This Row],[Losing Candidate]], "")</f>
        <v/>
      </c>
      <c r="AG259" s="17" t="str">
        <f>IF(NOT(ISBLANK(Audit[[#This Row],[Audit Candidate 3]])), Audit[[#This Row],[Audit Candidate 3]]-Audit[[#This Row],[Candidate 3]], "")</f>
        <v/>
      </c>
      <c r="AH259" s="17" t="str">
        <f>IF(NOT(ISBLANK(Audit[[#This Row],[Audit Candidate 4]])),Audit[[#This Row],[Audit Candidate 4]]-Audit[[#This Row],[Candidate 4]], "")</f>
        <v/>
      </c>
      <c r="AI259" s="17" t="str">
        <f>IF(NOT(ISBLANK(Audit[[#This Row],[Audit Candidate 5]])), Audit[[#This Row],[Audit Candidate 5]]-Audit[[#This Row],[Candidate 5]], "")</f>
        <v/>
      </c>
      <c r="AJ259" s="17" t="str">
        <f>IF(NOT(ISBLANK(Audit[[#This Row],[Audit Candidate 6]])), Audit[[#This Row],[Audit Candidate 6]]-Audit[[#This Row],[Candidate 6]], "")</f>
        <v/>
      </c>
      <c r="AK259" s="17" t="str">
        <f>IF(NOT(ISBLANK(Audit[[#This Row],[Audit Candidate 7]])), Audit[[#This Row],[Audit Candidate 7]]-Audit[[#This Row],[Candidate 7]], "")</f>
        <v/>
      </c>
      <c r="AL259" s="17" t="str">
        <f>IF(NOT(ISBLANK(Audit[[#This Row],[Audit Candidate 8]])), Audit[[#This Row],[Audit Candidate 8]]-Audit[[#This Row],[Candidate 8]], "")</f>
        <v/>
      </c>
      <c r="AM259" s="17" t="str">
        <f>IF(NOT(ISBLANK(Audit[[#This Row],[Audit Candidate 9]])), Audit[[#This Row],[Audit Candidate 9]]-Audit[[#This Row],[Candidate 9]], "")</f>
        <v/>
      </c>
      <c r="AN259" s="17" t="str">
        <f>IF(NOT(ISBLANK(Audit[[#This Row],[Audit Candidate 10]])), Audit[[#This Row],[Audit Candidate 10]]-Audit[[#This Row],[Candidate 10]], "")</f>
        <v/>
      </c>
      <c r="AO259" s="17" t="str">
        <f>IF(NOT(ISBLANK(Audit[[#This Row],[Audit Candidate 11]])), Audit[[#This Row],[Audit Candidate 11]]-Audit[[#This Row],[Candidate 11]], "")</f>
        <v/>
      </c>
      <c r="AP259" s="17" t="str">
        <f>IF(NOT(ISBLANK(Audit[[#This Row],[Audit Candidate 12]])), Audit[[#This Row],[Audit Candidate 12]]-Audit[[#This Row],[Candidate 12]], "")</f>
        <v/>
      </c>
      <c r="AQ259" s="17">
        <f>SUMIF(Audit[[#This Row],[Difference Winner]:[Difference Candidate 12]], "&gt;0")</f>
        <v>0</v>
      </c>
      <c r="AR259" s="17">
        <f>SUM(Audit[[#This Row],[Difference Winner]:[Difference Candidate 12]])</f>
        <v>0</v>
      </c>
      <c r="AS259" s="17">
        <f>IF(Audit[[#This Row],[Times p Drawn - With Replacement]]&gt;0, IF(Audit[[#This Row],[Canceled Differences]]&lt;0, Audit[[#This Row],[Max Differences]]+ABS(Audit[[#This Row],[Canceled Differences]]), Audit[[#This Row],[Max Differences]]), 0)</f>
        <v>0</v>
      </c>
      <c r="AT259" s="17">
        <f>'Sampling Data'!AB259</f>
        <v>1.5447292480054321E-2</v>
      </c>
      <c r="AU259" s="17">
        <f>IF(
      SUM(Audit[[#This Row],[Audit Losing Candidate]:[Audit Candidate 12]])
      &lt;&gt;0,
      (Audit[[#This Row],[Winning Candidate]]-Audit[[#This Row],[Losing Candidate]]-(Audit[[#This Row],[Audit Winning Candidate]]-Audit[[#This Row],[Audit Losing Candidate]]))/(Audit[[#Totals],[Winning Candidate]]-Audit[[#Totals],[Losing Candidate]]),
      0
)</f>
        <v>0</v>
      </c>
      <c r="AV2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9" s="17">
        <f>IF(Audit[[#This Row],[Max Relative Error (ep)]] = 0, 0, Audit[[#This Row],[Max Relative Error (ep)]]/Audit[[#This Row],[Error Bound (up) - Max. possible relative overstatement]])</f>
        <v>0</v>
      </c>
      <c r="BH2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59" s="17">
        <f t="shared" si="4"/>
        <v>1</v>
      </c>
      <c r="BJ259" s="17">
        <f>PRODUCT($BI$5:BI259)</f>
        <v>0.60941984374894764</v>
      </c>
      <c r="BK259" s="19">
        <f>1 - Audit[[#This Row],[K-M P Value]]</f>
        <v>0.39058015625105236</v>
      </c>
      <c r="BL259" s="17" t="str">
        <f>IF(Audit[[#This Row],[K-M P Value]]&gt;1-'General Info'!$B$12,"Continue", "Stop")</f>
        <v>Continue</v>
      </c>
      <c r="BM259" s="22" t="b">
        <f>IF(Audit[[#This Row],[Status - Continue or stop audit]] = "Continue", TRUE, IF(BL258 = "Continue", TRUE, FALSE))</f>
        <v>1</v>
      </c>
      <c r="BN259" s="22"/>
    </row>
    <row r="260" spans="1:66" ht="15" hidden="1" customHeight="1" x14ac:dyDescent="0.35">
      <c r="A260" s="17" t="str">
        <f>'Sampling Data'!AI260</f>
        <v/>
      </c>
      <c r="B260" s="17" t="str">
        <f>'Sampling Data'!A260</f>
        <v>4005 MONT E   (AV)</v>
      </c>
      <c r="C260" s="17">
        <f>'Sampling Data'!B260</f>
        <v>167</v>
      </c>
      <c r="D260" s="17">
        <f>'Sampling Data'!C260</f>
        <v>117</v>
      </c>
      <c r="E260" s="18">
        <f>'Sampling Data'!D260</f>
        <v>0</v>
      </c>
      <c r="F260" s="18">
        <f>'Sampling Data'!E260</f>
        <v>0</v>
      </c>
      <c r="G260" s="18">
        <f>'Sampling Data'!F260</f>
        <v>0</v>
      </c>
      <c r="H260" s="18">
        <f>'Sampling Data'!G260</f>
        <v>0</v>
      </c>
      <c r="I260" s="18">
        <f>'Sampling Data'!H260</f>
        <v>0</v>
      </c>
      <c r="J260" s="18">
        <f>'Sampling Data'!I260</f>
        <v>0</v>
      </c>
      <c r="K260" s="18">
        <f>'Sampling Data'!J260</f>
        <v>0</v>
      </c>
      <c r="L260" s="18">
        <f>'Sampling Data'!K260</f>
        <v>0</v>
      </c>
      <c r="M260" s="18">
        <f>'Sampling Data'!L260</f>
        <v>0</v>
      </c>
      <c r="N260" s="18">
        <f>'Sampling Data'!M260</f>
        <v>0</v>
      </c>
      <c r="O260" s="17">
        <f>'Sampling Data'!N260</f>
        <v>1</v>
      </c>
      <c r="P260" s="17">
        <f>'Sampling Data'!O260</f>
        <v>19</v>
      </c>
      <c r="Q260" s="17">
        <f>'Sampling Data'!P260</f>
        <v>304</v>
      </c>
      <c r="R260" s="17">
        <f>'Sampling Data'!AJ260</f>
        <v>0</v>
      </c>
      <c r="S260" s="111"/>
      <c r="T260" s="111"/>
      <c r="U260" s="112"/>
      <c r="V260" s="112"/>
      <c r="W260" s="111"/>
      <c r="X260" s="111"/>
      <c r="Y260" s="111"/>
      <c r="Z260" s="111"/>
      <c r="AA260" s="14"/>
      <c r="AB260" s="14"/>
      <c r="AC260" s="14"/>
      <c r="AD260" s="14"/>
      <c r="AE260" s="113" t="str">
        <f>IF(NOT(ISBLANK(Audit[[#This Row],[Audit Winning Candidate]])), Audit[[#This Row],[Audit Winning Candidate]]-Audit[[#This Row],[Winning Candidate]], "")</f>
        <v/>
      </c>
      <c r="AF260" s="17" t="str">
        <f>IF(NOT(ISBLANK(Audit[[#This Row],[Audit Losing Candidate]])), Audit[[#This Row],[Audit Losing Candidate]]-Audit[[#This Row],[Losing Candidate]], "")</f>
        <v/>
      </c>
      <c r="AG260" s="17" t="str">
        <f>IF(NOT(ISBLANK(Audit[[#This Row],[Audit Candidate 3]])), Audit[[#This Row],[Audit Candidate 3]]-Audit[[#This Row],[Candidate 3]], "")</f>
        <v/>
      </c>
      <c r="AH260" s="17" t="str">
        <f>IF(NOT(ISBLANK(Audit[[#This Row],[Audit Candidate 4]])),Audit[[#This Row],[Audit Candidate 4]]-Audit[[#This Row],[Candidate 4]], "")</f>
        <v/>
      </c>
      <c r="AI260" s="17" t="str">
        <f>IF(NOT(ISBLANK(Audit[[#This Row],[Audit Candidate 5]])), Audit[[#This Row],[Audit Candidate 5]]-Audit[[#This Row],[Candidate 5]], "")</f>
        <v/>
      </c>
      <c r="AJ260" s="17" t="str">
        <f>IF(NOT(ISBLANK(Audit[[#This Row],[Audit Candidate 6]])), Audit[[#This Row],[Audit Candidate 6]]-Audit[[#This Row],[Candidate 6]], "")</f>
        <v/>
      </c>
      <c r="AK260" s="17" t="str">
        <f>IF(NOT(ISBLANK(Audit[[#This Row],[Audit Candidate 7]])), Audit[[#This Row],[Audit Candidate 7]]-Audit[[#This Row],[Candidate 7]], "")</f>
        <v/>
      </c>
      <c r="AL260" s="17" t="str">
        <f>IF(NOT(ISBLANK(Audit[[#This Row],[Audit Candidate 8]])), Audit[[#This Row],[Audit Candidate 8]]-Audit[[#This Row],[Candidate 8]], "")</f>
        <v/>
      </c>
      <c r="AM260" s="17" t="str">
        <f>IF(NOT(ISBLANK(Audit[[#This Row],[Audit Candidate 9]])), Audit[[#This Row],[Audit Candidate 9]]-Audit[[#This Row],[Candidate 9]], "")</f>
        <v/>
      </c>
      <c r="AN260" s="17" t="str">
        <f>IF(NOT(ISBLANK(Audit[[#This Row],[Audit Candidate 10]])), Audit[[#This Row],[Audit Candidate 10]]-Audit[[#This Row],[Candidate 10]], "")</f>
        <v/>
      </c>
      <c r="AO260" s="17" t="str">
        <f>IF(NOT(ISBLANK(Audit[[#This Row],[Audit Candidate 11]])), Audit[[#This Row],[Audit Candidate 11]]-Audit[[#This Row],[Candidate 11]], "")</f>
        <v/>
      </c>
      <c r="AP260" s="17" t="str">
        <f>IF(NOT(ISBLANK(Audit[[#This Row],[Audit Candidate 12]])), Audit[[#This Row],[Audit Candidate 12]]-Audit[[#This Row],[Candidate 12]], "")</f>
        <v/>
      </c>
      <c r="AQ260" s="17">
        <f>SUMIF(Audit[[#This Row],[Difference Winner]:[Difference Candidate 12]], "&gt;0")</f>
        <v>0</v>
      </c>
      <c r="AR260" s="17">
        <f>SUM(Audit[[#This Row],[Difference Winner]:[Difference Candidate 12]])</f>
        <v>0</v>
      </c>
      <c r="AS260" s="17">
        <f>IF(Audit[[#This Row],[Times p Drawn - With Replacement]]&gt;0, IF(Audit[[#This Row],[Canceled Differences]]&lt;0, Audit[[#This Row],[Max Differences]]+ABS(Audit[[#This Row],[Canceled Differences]]), Audit[[#This Row],[Max Differences]]), 0)</f>
        <v>0</v>
      </c>
      <c r="AT260" s="17">
        <f>'Sampling Data'!AB260</f>
        <v>1.5022916313019861E-2</v>
      </c>
      <c r="AU260" s="17">
        <f>IF(
      SUM(Audit[[#This Row],[Audit Losing Candidate]:[Audit Candidate 12]])
      &lt;&gt;0,
      (Audit[[#This Row],[Winning Candidate]]-Audit[[#This Row],[Losing Candidate]]-(Audit[[#This Row],[Audit Winning Candidate]]-Audit[[#This Row],[Audit Losing Candidate]]))/(Audit[[#Totals],[Winning Candidate]]-Audit[[#Totals],[Losing Candidate]]),
      0
)</f>
        <v>0</v>
      </c>
      <c r="AV2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0" s="17">
        <f>IF(Audit[[#This Row],[Max Relative Error (ep)]] = 0, 0, Audit[[#This Row],[Max Relative Error (ep)]]/Audit[[#This Row],[Error Bound (up) - Max. possible relative overstatement]])</f>
        <v>0</v>
      </c>
      <c r="BH2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60" s="17">
        <f t="shared" si="4"/>
        <v>1</v>
      </c>
      <c r="BJ260" s="17">
        <f>PRODUCT($BI$5:BI260)</f>
        <v>0.60941984374894764</v>
      </c>
      <c r="BK260" s="19">
        <f>1 - Audit[[#This Row],[K-M P Value]]</f>
        <v>0.39058015625105236</v>
      </c>
      <c r="BL260" s="17" t="str">
        <f>IF(Audit[[#This Row],[K-M P Value]]&gt;1-'General Info'!$B$12,"Continue", "Stop")</f>
        <v>Continue</v>
      </c>
      <c r="BM260" s="22" t="b">
        <f>IF(Audit[[#This Row],[Status - Continue or stop audit]] = "Continue", TRUE, IF(BL259 = "Continue", TRUE, FALSE))</f>
        <v>1</v>
      </c>
      <c r="BN260" s="22"/>
    </row>
    <row r="261" spans="1:66" ht="15" hidden="1" customHeight="1" x14ac:dyDescent="0.35">
      <c r="A261" s="17" t="str">
        <f>'Sampling Data'!AI261</f>
        <v/>
      </c>
      <c r="B261" s="17" t="str">
        <f>'Sampling Data'!A261</f>
        <v>4006 MONT F   (AV)</v>
      </c>
      <c r="C261" s="17">
        <f>'Sampling Data'!B261</f>
        <v>178</v>
      </c>
      <c r="D261" s="17">
        <f>'Sampling Data'!C261</f>
        <v>169</v>
      </c>
      <c r="E261" s="18">
        <f>'Sampling Data'!D261</f>
        <v>0</v>
      </c>
      <c r="F261" s="18">
        <f>'Sampling Data'!E261</f>
        <v>0</v>
      </c>
      <c r="G261" s="18">
        <f>'Sampling Data'!F261</f>
        <v>0</v>
      </c>
      <c r="H261" s="18">
        <f>'Sampling Data'!G261</f>
        <v>0</v>
      </c>
      <c r="I261" s="18">
        <f>'Sampling Data'!H261</f>
        <v>0</v>
      </c>
      <c r="J261" s="18">
        <f>'Sampling Data'!I261</f>
        <v>0</v>
      </c>
      <c r="K261" s="18">
        <f>'Sampling Data'!J261</f>
        <v>0</v>
      </c>
      <c r="L261" s="18">
        <f>'Sampling Data'!K261</f>
        <v>0</v>
      </c>
      <c r="M261" s="18">
        <f>'Sampling Data'!L261</f>
        <v>0</v>
      </c>
      <c r="N261" s="18">
        <f>'Sampling Data'!M261</f>
        <v>0</v>
      </c>
      <c r="O261" s="17">
        <f>'Sampling Data'!N261</f>
        <v>0</v>
      </c>
      <c r="P261" s="17">
        <f>'Sampling Data'!O261</f>
        <v>16</v>
      </c>
      <c r="Q261" s="17">
        <f>'Sampling Data'!P261</f>
        <v>363</v>
      </c>
      <c r="R261" s="17">
        <f>'Sampling Data'!AJ261</f>
        <v>0</v>
      </c>
      <c r="S261" s="111"/>
      <c r="T261" s="111"/>
      <c r="U261" s="112"/>
      <c r="V261" s="112"/>
      <c r="W261" s="111"/>
      <c r="X261" s="111"/>
      <c r="Y261" s="111"/>
      <c r="Z261" s="111"/>
      <c r="AA261" s="14"/>
      <c r="AB261" s="14"/>
      <c r="AC261" s="14"/>
      <c r="AD261" s="14"/>
      <c r="AE261" s="113" t="str">
        <f>IF(NOT(ISBLANK(Audit[[#This Row],[Audit Winning Candidate]])), Audit[[#This Row],[Audit Winning Candidate]]-Audit[[#This Row],[Winning Candidate]], "")</f>
        <v/>
      </c>
      <c r="AF261" s="17" t="str">
        <f>IF(NOT(ISBLANK(Audit[[#This Row],[Audit Losing Candidate]])), Audit[[#This Row],[Audit Losing Candidate]]-Audit[[#This Row],[Losing Candidate]], "")</f>
        <v/>
      </c>
      <c r="AG261" s="17" t="str">
        <f>IF(NOT(ISBLANK(Audit[[#This Row],[Audit Candidate 3]])), Audit[[#This Row],[Audit Candidate 3]]-Audit[[#This Row],[Candidate 3]], "")</f>
        <v/>
      </c>
      <c r="AH261" s="17" t="str">
        <f>IF(NOT(ISBLANK(Audit[[#This Row],[Audit Candidate 4]])),Audit[[#This Row],[Audit Candidate 4]]-Audit[[#This Row],[Candidate 4]], "")</f>
        <v/>
      </c>
      <c r="AI261" s="17" t="str">
        <f>IF(NOT(ISBLANK(Audit[[#This Row],[Audit Candidate 5]])), Audit[[#This Row],[Audit Candidate 5]]-Audit[[#This Row],[Candidate 5]], "")</f>
        <v/>
      </c>
      <c r="AJ261" s="17" t="str">
        <f>IF(NOT(ISBLANK(Audit[[#This Row],[Audit Candidate 6]])), Audit[[#This Row],[Audit Candidate 6]]-Audit[[#This Row],[Candidate 6]], "")</f>
        <v/>
      </c>
      <c r="AK261" s="17" t="str">
        <f>IF(NOT(ISBLANK(Audit[[#This Row],[Audit Candidate 7]])), Audit[[#This Row],[Audit Candidate 7]]-Audit[[#This Row],[Candidate 7]], "")</f>
        <v/>
      </c>
      <c r="AL261" s="17" t="str">
        <f>IF(NOT(ISBLANK(Audit[[#This Row],[Audit Candidate 8]])), Audit[[#This Row],[Audit Candidate 8]]-Audit[[#This Row],[Candidate 8]], "")</f>
        <v/>
      </c>
      <c r="AM261" s="17" t="str">
        <f>IF(NOT(ISBLANK(Audit[[#This Row],[Audit Candidate 9]])), Audit[[#This Row],[Audit Candidate 9]]-Audit[[#This Row],[Candidate 9]], "")</f>
        <v/>
      </c>
      <c r="AN261" s="17" t="str">
        <f>IF(NOT(ISBLANK(Audit[[#This Row],[Audit Candidate 10]])), Audit[[#This Row],[Audit Candidate 10]]-Audit[[#This Row],[Candidate 10]], "")</f>
        <v/>
      </c>
      <c r="AO261" s="17" t="str">
        <f>IF(NOT(ISBLANK(Audit[[#This Row],[Audit Candidate 11]])), Audit[[#This Row],[Audit Candidate 11]]-Audit[[#This Row],[Candidate 11]], "")</f>
        <v/>
      </c>
      <c r="AP261" s="17" t="str">
        <f>IF(NOT(ISBLANK(Audit[[#This Row],[Audit Candidate 12]])), Audit[[#This Row],[Audit Candidate 12]]-Audit[[#This Row],[Candidate 12]], "")</f>
        <v/>
      </c>
      <c r="AQ261" s="17">
        <f>SUMIF(Audit[[#This Row],[Difference Winner]:[Difference Candidate 12]], "&gt;0")</f>
        <v>0</v>
      </c>
      <c r="AR261" s="17">
        <f>SUM(Audit[[#This Row],[Difference Winner]:[Difference Candidate 12]])</f>
        <v>0</v>
      </c>
      <c r="AS261" s="17">
        <f>IF(Audit[[#This Row],[Times p Drawn - With Replacement]]&gt;0, IF(Audit[[#This Row],[Canceled Differences]]&lt;0, Audit[[#This Row],[Max Differences]]+ABS(Audit[[#This Row],[Canceled Differences]]), Audit[[#This Row],[Max Differences]]), 0)</f>
        <v>0</v>
      </c>
      <c r="AT261" s="17">
        <f>'Sampling Data'!AB261</f>
        <v>1.5786793413681888E-2</v>
      </c>
      <c r="AU261" s="17">
        <f>IF(
      SUM(Audit[[#This Row],[Audit Losing Candidate]:[Audit Candidate 12]])
      &lt;&gt;0,
      (Audit[[#This Row],[Winning Candidate]]-Audit[[#This Row],[Losing Candidate]]-(Audit[[#This Row],[Audit Winning Candidate]]-Audit[[#This Row],[Audit Losing Candidate]]))/(Audit[[#Totals],[Winning Candidate]]-Audit[[#Totals],[Losing Candidate]]),
      0
)</f>
        <v>0</v>
      </c>
      <c r="AV2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1" s="17">
        <f>IF(Audit[[#This Row],[Max Relative Error (ep)]] = 0, 0, Audit[[#This Row],[Max Relative Error (ep)]]/Audit[[#This Row],[Error Bound (up) - Max. possible relative overstatement]])</f>
        <v>0</v>
      </c>
      <c r="BH2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61" s="17">
        <f t="shared" si="4"/>
        <v>1</v>
      </c>
      <c r="BJ261" s="17">
        <f>PRODUCT($BI$5:BI261)</f>
        <v>0.60941984374894764</v>
      </c>
      <c r="BK261" s="19">
        <f>1 - Audit[[#This Row],[K-M P Value]]</f>
        <v>0.39058015625105236</v>
      </c>
      <c r="BL261" s="17" t="str">
        <f>IF(Audit[[#This Row],[K-M P Value]]&gt;1-'General Info'!$B$12,"Continue", "Stop")</f>
        <v>Continue</v>
      </c>
      <c r="BM261" s="22" t="b">
        <f>IF(Audit[[#This Row],[Status - Continue or stop audit]] = "Continue", TRUE, IF(BL260 = "Continue", TRUE, FALSE))</f>
        <v>1</v>
      </c>
      <c r="BN261" s="22"/>
    </row>
    <row r="262" spans="1:66" ht="15" customHeight="1" x14ac:dyDescent="0.35">
      <c r="A262" s="17">
        <f>'Sampling Data'!AI262</f>
        <v>17</v>
      </c>
      <c r="B262" s="17" t="str">
        <f>'Sampling Data'!A262</f>
        <v>4007 MONT G   (AV)</v>
      </c>
      <c r="C262" s="17">
        <f>'Sampling Data'!B262</f>
        <v>140</v>
      </c>
      <c r="D262" s="17">
        <f>'Sampling Data'!C262</f>
        <v>78</v>
      </c>
      <c r="E262" s="18">
        <f>'Sampling Data'!D262</f>
        <v>0</v>
      </c>
      <c r="F262" s="18">
        <f>'Sampling Data'!E262</f>
        <v>0</v>
      </c>
      <c r="G262" s="18">
        <f>'Sampling Data'!F262</f>
        <v>0</v>
      </c>
      <c r="H262" s="18">
        <f>'Sampling Data'!G262</f>
        <v>0</v>
      </c>
      <c r="I262" s="18">
        <f>'Sampling Data'!H262</f>
        <v>0</v>
      </c>
      <c r="J262" s="18">
        <f>'Sampling Data'!I262</f>
        <v>0</v>
      </c>
      <c r="K262" s="18">
        <f>'Sampling Data'!J262</f>
        <v>0</v>
      </c>
      <c r="L262" s="18">
        <f>'Sampling Data'!K262</f>
        <v>0</v>
      </c>
      <c r="M262" s="18">
        <f>'Sampling Data'!L262</f>
        <v>0</v>
      </c>
      <c r="N262" s="18">
        <f>'Sampling Data'!M262</f>
        <v>0</v>
      </c>
      <c r="O262" s="17">
        <f>'Sampling Data'!N262</f>
        <v>0</v>
      </c>
      <c r="P262" s="17">
        <f>'Sampling Data'!O262</f>
        <v>15</v>
      </c>
      <c r="Q262" s="17">
        <f>'Sampling Data'!P262</f>
        <v>233</v>
      </c>
      <c r="R262" s="17">
        <f>'Sampling Data'!AJ262</f>
        <v>1</v>
      </c>
      <c r="S262" s="111">
        <v>140</v>
      </c>
      <c r="T262" s="111">
        <v>78</v>
      </c>
      <c r="U262" s="112"/>
      <c r="V262" s="112"/>
      <c r="W262" s="111"/>
      <c r="X262" s="111"/>
      <c r="Y262" s="111"/>
      <c r="Z262" s="111"/>
      <c r="AA262" s="14"/>
      <c r="AB262" s="14"/>
      <c r="AC262" s="14"/>
      <c r="AD262" s="14"/>
      <c r="AE262" s="113">
        <f>IF(NOT(ISBLANK(Audit[[#This Row],[Audit Winning Candidate]])), Audit[[#This Row],[Audit Winning Candidate]]-Audit[[#This Row],[Winning Candidate]], "")</f>
        <v>0</v>
      </c>
      <c r="AF262" s="17">
        <f>IF(NOT(ISBLANK(Audit[[#This Row],[Audit Losing Candidate]])), Audit[[#This Row],[Audit Losing Candidate]]-Audit[[#This Row],[Losing Candidate]], "")</f>
        <v>0</v>
      </c>
      <c r="AG262" s="17" t="str">
        <f>IF(NOT(ISBLANK(Audit[[#This Row],[Audit Candidate 3]])), Audit[[#This Row],[Audit Candidate 3]]-Audit[[#This Row],[Candidate 3]], "")</f>
        <v/>
      </c>
      <c r="AH262" s="17" t="str">
        <f>IF(NOT(ISBLANK(Audit[[#This Row],[Audit Candidate 4]])),Audit[[#This Row],[Audit Candidate 4]]-Audit[[#This Row],[Candidate 4]], "")</f>
        <v/>
      </c>
      <c r="AI262" s="17" t="str">
        <f>IF(NOT(ISBLANK(Audit[[#This Row],[Audit Candidate 5]])), Audit[[#This Row],[Audit Candidate 5]]-Audit[[#This Row],[Candidate 5]], "")</f>
        <v/>
      </c>
      <c r="AJ262" s="17" t="str">
        <f>IF(NOT(ISBLANK(Audit[[#This Row],[Audit Candidate 6]])), Audit[[#This Row],[Audit Candidate 6]]-Audit[[#This Row],[Candidate 6]], "")</f>
        <v/>
      </c>
      <c r="AK262" s="17" t="str">
        <f>IF(NOT(ISBLANK(Audit[[#This Row],[Audit Candidate 7]])), Audit[[#This Row],[Audit Candidate 7]]-Audit[[#This Row],[Candidate 7]], "")</f>
        <v/>
      </c>
      <c r="AL262" s="17" t="str">
        <f>IF(NOT(ISBLANK(Audit[[#This Row],[Audit Candidate 8]])), Audit[[#This Row],[Audit Candidate 8]]-Audit[[#This Row],[Candidate 8]], "")</f>
        <v/>
      </c>
      <c r="AM262" s="17" t="str">
        <f>IF(NOT(ISBLANK(Audit[[#This Row],[Audit Candidate 9]])), Audit[[#This Row],[Audit Candidate 9]]-Audit[[#This Row],[Candidate 9]], "")</f>
        <v/>
      </c>
      <c r="AN262" s="17" t="str">
        <f>IF(NOT(ISBLANK(Audit[[#This Row],[Audit Candidate 10]])), Audit[[#This Row],[Audit Candidate 10]]-Audit[[#This Row],[Candidate 10]], "")</f>
        <v/>
      </c>
      <c r="AO262" s="17" t="str">
        <f>IF(NOT(ISBLANK(Audit[[#This Row],[Audit Candidate 11]])), Audit[[#This Row],[Audit Candidate 11]]-Audit[[#This Row],[Candidate 11]], "")</f>
        <v/>
      </c>
      <c r="AP262" s="17" t="str">
        <f>IF(NOT(ISBLANK(Audit[[#This Row],[Audit Candidate 12]])), Audit[[#This Row],[Audit Candidate 12]]-Audit[[#This Row],[Candidate 12]], "")</f>
        <v/>
      </c>
      <c r="AQ262" s="17">
        <f>SUMIF(Audit[[#This Row],[Difference Winner]:[Difference Candidate 12]], "&gt;0")</f>
        <v>0</v>
      </c>
      <c r="AR262" s="17">
        <f>SUM(Audit[[#This Row],[Difference Winner]:[Difference Candidate 12]])</f>
        <v>0</v>
      </c>
      <c r="AS262" s="17">
        <f>IF(Audit[[#This Row],[Times p Drawn - With Replacement]]&gt;0, IF(Audit[[#This Row],[Canceled Differences]]&lt;0, Audit[[#This Row],[Max Differences]]+ABS(Audit[[#This Row],[Canceled Differences]]), Audit[[#This Row],[Max Differences]]), 0)</f>
        <v>0</v>
      </c>
      <c r="AT262" s="17">
        <f>'Sampling Data'!AB262</f>
        <v>1.251909692751655E-2</v>
      </c>
      <c r="AU262" s="17">
        <f>IF(
      SUM(Audit[[#This Row],[Audit Losing Candidate]:[Audit Candidate 12]])
      &lt;&gt;0,
      (Audit[[#This Row],[Winning Candidate]]-Audit[[#This Row],[Losing Candidate]]-(Audit[[#This Row],[Audit Winning Candidate]]-Audit[[#This Row],[Audit Losing Candidate]]))/(Audit[[#Totals],[Winning Candidate]]-Audit[[#Totals],[Losing Candidate]]),
      0
)</f>
        <v>0</v>
      </c>
      <c r="AV2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2" s="17">
        <f>IF(Audit[[#This Row],[Max Relative Error (ep)]] = 0, 0, Audit[[#This Row],[Max Relative Error (ep)]]/Audit[[#This Row],[Error Bound (up) - Max. possible relative overstatement]])</f>
        <v>0</v>
      </c>
      <c r="BH2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62" s="17">
        <f t="shared" si="4"/>
        <v>0.94645908314247273</v>
      </c>
      <c r="BJ262" s="17">
        <f>PRODUCT($BI$5:BI262)</f>
        <v>0.57679094656345797</v>
      </c>
      <c r="BK262" s="19">
        <f>1 - Audit[[#This Row],[K-M P Value]]</f>
        <v>0.42320905343654203</v>
      </c>
      <c r="BL262" s="17" t="str">
        <f>IF(Audit[[#This Row],[K-M P Value]]&gt;1-'General Info'!$B$12,"Continue", "Stop")</f>
        <v>Continue</v>
      </c>
      <c r="BM262" s="22" t="b">
        <f>IF(Audit[[#This Row],[Status - Continue or stop audit]] = "Continue", TRUE, IF(BL261 = "Continue", TRUE, FALSE))</f>
        <v>1</v>
      </c>
      <c r="BN262" s="22"/>
    </row>
    <row r="263" spans="1:66" ht="15" hidden="1" customHeight="1" x14ac:dyDescent="0.35">
      <c r="A263" s="17" t="str">
        <f>'Sampling Data'!AI263</f>
        <v/>
      </c>
      <c r="B263" s="17" t="str">
        <f>'Sampling Data'!A263</f>
        <v>4008 MONT H   (AV)</v>
      </c>
      <c r="C263" s="17">
        <f>'Sampling Data'!B263</f>
        <v>213</v>
      </c>
      <c r="D263" s="17">
        <f>'Sampling Data'!C263</f>
        <v>211</v>
      </c>
      <c r="E263" s="18">
        <f>'Sampling Data'!D263</f>
        <v>0</v>
      </c>
      <c r="F263" s="18">
        <f>'Sampling Data'!E263</f>
        <v>0</v>
      </c>
      <c r="G263" s="18">
        <f>'Sampling Data'!F263</f>
        <v>0</v>
      </c>
      <c r="H263" s="18">
        <f>'Sampling Data'!G263</f>
        <v>0</v>
      </c>
      <c r="I263" s="18">
        <f>'Sampling Data'!H263</f>
        <v>0</v>
      </c>
      <c r="J263" s="18">
        <f>'Sampling Data'!I263</f>
        <v>0</v>
      </c>
      <c r="K263" s="18">
        <f>'Sampling Data'!J263</f>
        <v>0</v>
      </c>
      <c r="L263" s="18">
        <f>'Sampling Data'!K263</f>
        <v>0</v>
      </c>
      <c r="M263" s="18">
        <f>'Sampling Data'!L263</f>
        <v>0</v>
      </c>
      <c r="N263" s="18">
        <f>'Sampling Data'!M263</f>
        <v>0</v>
      </c>
      <c r="O263" s="17">
        <f>'Sampling Data'!N263</f>
        <v>0</v>
      </c>
      <c r="P263" s="17">
        <f>'Sampling Data'!O263</f>
        <v>24</v>
      </c>
      <c r="Q263" s="17">
        <f>'Sampling Data'!P263</f>
        <v>448</v>
      </c>
      <c r="R263" s="17">
        <f>'Sampling Data'!AJ263</f>
        <v>0</v>
      </c>
      <c r="S263" s="111"/>
      <c r="T263" s="111"/>
      <c r="U263" s="112"/>
      <c r="V263" s="112"/>
      <c r="W263" s="111"/>
      <c r="X263" s="111"/>
      <c r="Y263" s="111"/>
      <c r="Z263" s="111"/>
      <c r="AA263" s="14"/>
      <c r="AB263" s="14"/>
      <c r="AC263" s="14"/>
      <c r="AD263" s="14"/>
      <c r="AE263" s="113" t="str">
        <f>IF(NOT(ISBLANK(Audit[[#This Row],[Audit Winning Candidate]])), Audit[[#This Row],[Audit Winning Candidate]]-Audit[[#This Row],[Winning Candidate]], "")</f>
        <v/>
      </c>
      <c r="AF263" s="17" t="str">
        <f>IF(NOT(ISBLANK(Audit[[#This Row],[Audit Losing Candidate]])), Audit[[#This Row],[Audit Losing Candidate]]-Audit[[#This Row],[Losing Candidate]], "")</f>
        <v/>
      </c>
      <c r="AG263" s="17" t="str">
        <f>IF(NOT(ISBLANK(Audit[[#This Row],[Audit Candidate 3]])), Audit[[#This Row],[Audit Candidate 3]]-Audit[[#This Row],[Candidate 3]], "")</f>
        <v/>
      </c>
      <c r="AH263" s="17" t="str">
        <f>IF(NOT(ISBLANK(Audit[[#This Row],[Audit Candidate 4]])),Audit[[#This Row],[Audit Candidate 4]]-Audit[[#This Row],[Candidate 4]], "")</f>
        <v/>
      </c>
      <c r="AI263" s="17" t="str">
        <f>IF(NOT(ISBLANK(Audit[[#This Row],[Audit Candidate 5]])), Audit[[#This Row],[Audit Candidate 5]]-Audit[[#This Row],[Candidate 5]], "")</f>
        <v/>
      </c>
      <c r="AJ263" s="17" t="str">
        <f>IF(NOT(ISBLANK(Audit[[#This Row],[Audit Candidate 6]])), Audit[[#This Row],[Audit Candidate 6]]-Audit[[#This Row],[Candidate 6]], "")</f>
        <v/>
      </c>
      <c r="AK263" s="17" t="str">
        <f>IF(NOT(ISBLANK(Audit[[#This Row],[Audit Candidate 7]])), Audit[[#This Row],[Audit Candidate 7]]-Audit[[#This Row],[Candidate 7]], "")</f>
        <v/>
      </c>
      <c r="AL263" s="17" t="str">
        <f>IF(NOT(ISBLANK(Audit[[#This Row],[Audit Candidate 8]])), Audit[[#This Row],[Audit Candidate 8]]-Audit[[#This Row],[Candidate 8]], "")</f>
        <v/>
      </c>
      <c r="AM263" s="17" t="str">
        <f>IF(NOT(ISBLANK(Audit[[#This Row],[Audit Candidate 9]])), Audit[[#This Row],[Audit Candidate 9]]-Audit[[#This Row],[Candidate 9]], "")</f>
        <v/>
      </c>
      <c r="AN263" s="17" t="str">
        <f>IF(NOT(ISBLANK(Audit[[#This Row],[Audit Candidate 10]])), Audit[[#This Row],[Audit Candidate 10]]-Audit[[#This Row],[Candidate 10]], "")</f>
        <v/>
      </c>
      <c r="AO263" s="17" t="str">
        <f>IF(NOT(ISBLANK(Audit[[#This Row],[Audit Candidate 11]])), Audit[[#This Row],[Audit Candidate 11]]-Audit[[#This Row],[Candidate 11]], "")</f>
        <v/>
      </c>
      <c r="AP263" s="17" t="str">
        <f>IF(NOT(ISBLANK(Audit[[#This Row],[Audit Candidate 12]])), Audit[[#This Row],[Audit Candidate 12]]-Audit[[#This Row],[Candidate 12]], "")</f>
        <v/>
      </c>
      <c r="AQ263" s="17">
        <f>SUMIF(Audit[[#This Row],[Difference Winner]:[Difference Candidate 12]], "&gt;0")</f>
        <v>0</v>
      </c>
      <c r="AR263" s="17">
        <f>SUM(Audit[[#This Row],[Difference Winner]:[Difference Candidate 12]])</f>
        <v>0</v>
      </c>
      <c r="AS263" s="17">
        <f>IF(Audit[[#This Row],[Times p Drawn - With Replacement]]&gt;0, IF(Audit[[#This Row],[Canceled Differences]]&lt;0, Audit[[#This Row],[Max Differences]]+ABS(Audit[[#This Row],[Canceled Differences]]), Audit[[#This Row],[Max Differences]]), 0)</f>
        <v>0</v>
      </c>
      <c r="AT263" s="17">
        <f>'Sampling Data'!AB263</f>
        <v>1.909692751655067E-2</v>
      </c>
      <c r="AU263" s="17">
        <f>IF(
      SUM(Audit[[#This Row],[Audit Losing Candidate]:[Audit Candidate 12]])
      &lt;&gt;0,
      (Audit[[#This Row],[Winning Candidate]]-Audit[[#This Row],[Losing Candidate]]-(Audit[[#This Row],[Audit Winning Candidate]]-Audit[[#This Row],[Audit Losing Candidate]]))/(Audit[[#Totals],[Winning Candidate]]-Audit[[#Totals],[Losing Candidate]]),
      0
)</f>
        <v>0</v>
      </c>
      <c r="AV2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3" s="17">
        <f>IF(Audit[[#This Row],[Max Relative Error (ep)]] = 0, 0, Audit[[#This Row],[Max Relative Error (ep)]]/Audit[[#This Row],[Error Bound (up) - Max. possible relative overstatement]])</f>
        <v>0</v>
      </c>
      <c r="BH2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63" s="17">
        <f t="shared" si="4"/>
        <v>1</v>
      </c>
      <c r="BJ263" s="17">
        <f>PRODUCT($BI$5:BI263)</f>
        <v>0.57679094656345797</v>
      </c>
      <c r="BK263" s="19">
        <f>1 - Audit[[#This Row],[K-M P Value]]</f>
        <v>0.42320905343654203</v>
      </c>
      <c r="BL263" s="17" t="str">
        <f>IF(Audit[[#This Row],[K-M P Value]]&gt;1-'General Info'!$B$12,"Continue", "Stop")</f>
        <v>Continue</v>
      </c>
      <c r="BM263" s="22" t="b">
        <f>IF(Audit[[#This Row],[Status - Continue or stop audit]] = "Continue", TRUE, IF(BL262 = "Continue", TRUE, FALSE))</f>
        <v>1</v>
      </c>
      <c r="BN263" s="22"/>
    </row>
    <row r="264" spans="1:66" ht="15" hidden="1" customHeight="1" x14ac:dyDescent="0.35">
      <c r="A264" s="17" t="str">
        <f>'Sampling Data'!AI264</f>
        <v/>
      </c>
      <c r="B264" s="17" t="str">
        <f>'Sampling Data'!A264</f>
        <v>4009 MONT I   (AV)</v>
      </c>
      <c r="C264" s="17">
        <f>'Sampling Data'!B264</f>
        <v>245</v>
      </c>
      <c r="D264" s="17">
        <f>'Sampling Data'!C264</f>
        <v>285</v>
      </c>
      <c r="E264" s="18">
        <f>'Sampling Data'!D264</f>
        <v>0</v>
      </c>
      <c r="F264" s="18">
        <f>'Sampling Data'!E264</f>
        <v>0</v>
      </c>
      <c r="G264" s="18">
        <f>'Sampling Data'!F264</f>
        <v>0</v>
      </c>
      <c r="H264" s="18">
        <f>'Sampling Data'!G264</f>
        <v>0</v>
      </c>
      <c r="I264" s="18">
        <f>'Sampling Data'!H264</f>
        <v>0</v>
      </c>
      <c r="J264" s="18">
        <f>'Sampling Data'!I264</f>
        <v>0</v>
      </c>
      <c r="K264" s="18">
        <f>'Sampling Data'!J264</f>
        <v>0</v>
      </c>
      <c r="L264" s="18">
        <f>'Sampling Data'!K264</f>
        <v>0</v>
      </c>
      <c r="M264" s="18">
        <f>'Sampling Data'!L264</f>
        <v>0</v>
      </c>
      <c r="N264" s="18">
        <f>'Sampling Data'!M264</f>
        <v>0</v>
      </c>
      <c r="O264" s="17">
        <f>'Sampling Data'!N264</f>
        <v>1</v>
      </c>
      <c r="P264" s="17">
        <f>'Sampling Data'!O264</f>
        <v>30</v>
      </c>
      <c r="Q264" s="17">
        <f>'Sampling Data'!P264</f>
        <v>561</v>
      </c>
      <c r="R264" s="17">
        <f>'Sampling Data'!AJ264</f>
        <v>0</v>
      </c>
      <c r="S264" s="111"/>
      <c r="T264" s="111"/>
      <c r="U264" s="112"/>
      <c r="V264" s="112"/>
      <c r="W264" s="111"/>
      <c r="X264" s="111"/>
      <c r="Y264" s="111"/>
      <c r="Z264" s="111"/>
      <c r="AA264" s="14"/>
      <c r="AB264" s="14"/>
      <c r="AC264" s="14"/>
      <c r="AD264" s="14"/>
      <c r="AE264" s="113" t="str">
        <f>IF(NOT(ISBLANK(Audit[[#This Row],[Audit Winning Candidate]])), Audit[[#This Row],[Audit Winning Candidate]]-Audit[[#This Row],[Winning Candidate]], "")</f>
        <v/>
      </c>
      <c r="AF264" s="17" t="str">
        <f>IF(NOT(ISBLANK(Audit[[#This Row],[Audit Losing Candidate]])), Audit[[#This Row],[Audit Losing Candidate]]-Audit[[#This Row],[Losing Candidate]], "")</f>
        <v/>
      </c>
      <c r="AG264" s="17" t="str">
        <f>IF(NOT(ISBLANK(Audit[[#This Row],[Audit Candidate 3]])), Audit[[#This Row],[Audit Candidate 3]]-Audit[[#This Row],[Candidate 3]], "")</f>
        <v/>
      </c>
      <c r="AH264" s="17" t="str">
        <f>IF(NOT(ISBLANK(Audit[[#This Row],[Audit Candidate 4]])),Audit[[#This Row],[Audit Candidate 4]]-Audit[[#This Row],[Candidate 4]], "")</f>
        <v/>
      </c>
      <c r="AI264" s="17" t="str">
        <f>IF(NOT(ISBLANK(Audit[[#This Row],[Audit Candidate 5]])), Audit[[#This Row],[Audit Candidate 5]]-Audit[[#This Row],[Candidate 5]], "")</f>
        <v/>
      </c>
      <c r="AJ264" s="17" t="str">
        <f>IF(NOT(ISBLANK(Audit[[#This Row],[Audit Candidate 6]])), Audit[[#This Row],[Audit Candidate 6]]-Audit[[#This Row],[Candidate 6]], "")</f>
        <v/>
      </c>
      <c r="AK264" s="17" t="str">
        <f>IF(NOT(ISBLANK(Audit[[#This Row],[Audit Candidate 7]])), Audit[[#This Row],[Audit Candidate 7]]-Audit[[#This Row],[Candidate 7]], "")</f>
        <v/>
      </c>
      <c r="AL264" s="17" t="str">
        <f>IF(NOT(ISBLANK(Audit[[#This Row],[Audit Candidate 8]])), Audit[[#This Row],[Audit Candidate 8]]-Audit[[#This Row],[Candidate 8]], "")</f>
        <v/>
      </c>
      <c r="AM264" s="17" t="str">
        <f>IF(NOT(ISBLANK(Audit[[#This Row],[Audit Candidate 9]])), Audit[[#This Row],[Audit Candidate 9]]-Audit[[#This Row],[Candidate 9]], "")</f>
        <v/>
      </c>
      <c r="AN264" s="17" t="str">
        <f>IF(NOT(ISBLANK(Audit[[#This Row],[Audit Candidate 10]])), Audit[[#This Row],[Audit Candidate 10]]-Audit[[#This Row],[Candidate 10]], "")</f>
        <v/>
      </c>
      <c r="AO264" s="17" t="str">
        <f>IF(NOT(ISBLANK(Audit[[#This Row],[Audit Candidate 11]])), Audit[[#This Row],[Audit Candidate 11]]-Audit[[#This Row],[Candidate 11]], "")</f>
        <v/>
      </c>
      <c r="AP264" s="17" t="str">
        <f>IF(NOT(ISBLANK(Audit[[#This Row],[Audit Candidate 12]])), Audit[[#This Row],[Audit Candidate 12]]-Audit[[#This Row],[Candidate 12]], "")</f>
        <v/>
      </c>
      <c r="AQ264" s="17">
        <f>SUMIF(Audit[[#This Row],[Difference Winner]:[Difference Candidate 12]], "&gt;0")</f>
        <v>0</v>
      </c>
      <c r="AR264" s="17">
        <f>SUM(Audit[[#This Row],[Difference Winner]:[Difference Candidate 12]])</f>
        <v>0</v>
      </c>
      <c r="AS264" s="17">
        <f>IF(Audit[[#This Row],[Times p Drawn - With Replacement]]&gt;0, IF(Audit[[#This Row],[Canceled Differences]]&lt;0, Audit[[#This Row],[Max Differences]]+ABS(Audit[[#This Row],[Canceled Differences]]), Audit[[#This Row],[Max Differences]]), 0)</f>
        <v>0</v>
      </c>
      <c r="AT264" s="17">
        <f>'Sampling Data'!AB264</f>
        <v>2.2109998302495333E-2</v>
      </c>
      <c r="AU264" s="17">
        <f>IF(
      SUM(Audit[[#This Row],[Audit Losing Candidate]:[Audit Candidate 12]])
      &lt;&gt;0,
      (Audit[[#This Row],[Winning Candidate]]-Audit[[#This Row],[Losing Candidate]]-(Audit[[#This Row],[Audit Winning Candidate]]-Audit[[#This Row],[Audit Losing Candidate]]))/(Audit[[#Totals],[Winning Candidate]]-Audit[[#Totals],[Losing Candidate]]),
      0
)</f>
        <v>0</v>
      </c>
      <c r="AV2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4" s="17">
        <f>IF(Audit[[#This Row],[Max Relative Error (ep)]] = 0, 0, Audit[[#This Row],[Max Relative Error (ep)]]/Audit[[#This Row],[Error Bound (up) - Max. possible relative overstatement]])</f>
        <v>0</v>
      </c>
      <c r="BH2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64" s="17">
        <f t="shared" si="4"/>
        <v>1</v>
      </c>
      <c r="BJ264" s="17">
        <f>PRODUCT($BI$5:BI264)</f>
        <v>0.57679094656345797</v>
      </c>
      <c r="BK264" s="19">
        <f>1 - Audit[[#This Row],[K-M P Value]]</f>
        <v>0.42320905343654203</v>
      </c>
      <c r="BL264" s="17" t="str">
        <f>IF(Audit[[#This Row],[K-M P Value]]&gt;1-'General Info'!$B$12,"Continue", "Stop")</f>
        <v>Continue</v>
      </c>
      <c r="BM264" s="22" t="b">
        <f>IF(Audit[[#This Row],[Status - Continue or stop audit]] = "Continue", TRUE, IF(BL263 = "Continue", TRUE, FALSE))</f>
        <v>1</v>
      </c>
      <c r="BN264" s="22"/>
    </row>
    <row r="265" spans="1:66" ht="15" hidden="1" customHeight="1" x14ac:dyDescent="0.35">
      <c r="A265" s="17" t="str">
        <f>'Sampling Data'!AI265</f>
        <v/>
      </c>
      <c r="B265" s="17" t="str">
        <f>'Sampling Data'!A265</f>
        <v>4111 MTHY 1-A   (AV)</v>
      </c>
      <c r="C265" s="17">
        <f>'Sampling Data'!B265</f>
        <v>235</v>
      </c>
      <c r="D265" s="17">
        <f>'Sampling Data'!C265</f>
        <v>90</v>
      </c>
      <c r="E265" s="18">
        <f>'Sampling Data'!D265</f>
        <v>0</v>
      </c>
      <c r="F265" s="18">
        <f>'Sampling Data'!E265</f>
        <v>0</v>
      </c>
      <c r="G265" s="18">
        <f>'Sampling Data'!F265</f>
        <v>0</v>
      </c>
      <c r="H265" s="18">
        <f>'Sampling Data'!G265</f>
        <v>0</v>
      </c>
      <c r="I265" s="18">
        <f>'Sampling Data'!H265</f>
        <v>0</v>
      </c>
      <c r="J265" s="18">
        <f>'Sampling Data'!I265</f>
        <v>0</v>
      </c>
      <c r="K265" s="18">
        <f>'Sampling Data'!J265</f>
        <v>0</v>
      </c>
      <c r="L265" s="18">
        <f>'Sampling Data'!K265</f>
        <v>0</v>
      </c>
      <c r="M265" s="18">
        <f>'Sampling Data'!L265</f>
        <v>0</v>
      </c>
      <c r="N265" s="18">
        <f>'Sampling Data'!M265</f>
        <v>0</v>
      </c>
      <c r="O265" s="17">
        <f>'Sampling Data'!N265</f>
        <v>0</v>
      </c>
      <c r="P265" s="17">
        <f>'Sampling Data'!O265</f>
        <v>19</v>
      </c>
      <c r="Q265" s="17">
        <f>'Sampling Data'!P265</f>
        <v>344</v>
      </c>
      <c r="R265" s="17">
        <f>'Sampling Data'!AJ265</f>
        <v>0</v>
      </c>
      <c r="S265" s="111"/>
      <c r="T265" s="111"/>
      <c r="U265" s="112"/>
      <c r="V265" s="112"/>
      <c r="W265" s="111"/>
      <c r="X265" s="111"/>
      <c r="Y265" s="111"/>
      <c r="Z265" s="111"/>
      <c r="AA265" s="14"/>
      <c r="AB265" s="14"/>
      <c r="AC265" s="14"/>
      <c r="AD265" s="14"/>
      <c r="AE265" s="113" t="str">
        <f>IF(NOT(ISBLANK(Audit[[#This Row],[Audit Winning Candidate]])), Audit[[#This Row],[Audit Winning Candidate]]-Audit[[#This Row],[Winning Candidate]], "")</f>
        <v/>
      </c>
      <c r="AF265" s="17" t="str">
        <f>IF(NOT(ISBLANK(Audit[[#This Row],[Audit Losing Candidate]])), Audit[[#This Row],[Audit Losing Candidate]]-Audit[[#This Row],[Losing Candidate]], "")</f>
        <v/>
      </c>
      <c r="AG265" s="17" t="str">
        <f>IF(NOT(ISBLANK(Audit[[#This Row],[Audit Candidate 3]])), Audit[[#This Row],[Audit Candidate 3]]-Audit[[#This Row],[Candidate 3]], "")</f>
        <v/>
      </c>
      <c r="AH265" s="17" t="str">
        <f>IF(NOT(ISBLANK(Audit[[#This Row],[Audit Candidate 4]])),Audit[[#This Row],[Audit Candidate 4]]-Audit[[#This Row],[Candidate 4]], "")</f>
        <v/>
      </c>
      <c r="AI265" s="17" t="str">
        <f>IF(NOT(ISBLANK(Audit[[#This Row],[Audit Candidate 5]])), Audit[[#This Row],[Audit Candidate 5]]-Audit[[#This Row],[Candidate 5]], "")</f>
        <v/>
      </c>
      <c r="AJ265" s="17" t="str">
        <f>IF(NOT(ISBLANK(Audit[[#This Row],[Audit Candidate 6]])), Audit[[#This Row],[Audit Candidate 6]]-Audit[[#This Row],[Candidate 6]], "")</f>
        <v/>
      </c>
      <c r="AK265" s="17" t="str">
        <f>IF(NOT(ISBLANK(Audit[[#This Row],[Audit Candidate 7]])), Audit[[#This Row],[Audit Candidate 7]]-Audit[[#This Row],[Candidate 7]], "")</f>
        <v/>
      </c>
      <c r="AL265" s="17" t="str">
        <f>IF(NOT(ISBLANK(Audit[[#This Row],[Audit Candidate 8]])), Audit[[#This Row],[Audit Candidate 8]]-Audit[[#This Row],[Candidate 8]], "")</f>
        <v/>
      </c>
      <c r="AM265" s="17" t="str">
        <f>IF(NOT(ISBLANK(Audit[[#This Row],[Audit Candidate 9]])), Audit[[#This Row],[Audit Candidate 9]]-Audit[[#This Row],[Candidate 9]], "")</f>
        <v/>
      </c>
      <c r="AN265" s="17" t="str">
        <f>IF(NOT(ISBLANK(Audit[[#This Row],[Audit Candidate 10]])), Audit[[#This Row],[Audit Candidate 10]]-Audit[[#This Row],[Candidate 10]], "")</f>
        <v/>
      </c>
      <c r="AO265" s="17" t="str">
        <f>IF(NOT(ISBLANK(Audit[[#This Row],[Audit Candidate 11]])), Audit[[#This Row],[Audit Candidate 11]]-Audit[[#This Row],[Candidate 11]], "")</f>
        <v/>
      </c>
      <c r="AP265" s="17" t="str">
        <f>IF(NOT(ISBLANK(Audit[[#This Row],[Audit Candidate 12]])), Audit[[#This Row],[Audit Candidate 12]]-Audit[[#This Row],[Candidate 12]], "")</f>
        <v/>
      </c>
      <c r="AQ265" s="17">
        <f>SUMIF(Audit[[#This Row],[Difference Winner]:[Difference Candidate 12]], "&gt;0")</f>
        <v>0</v>
      </c>
      <c r="AR265" s="17">
        <f>SUM(Audit[[#This Row],[Difference Winner]:[Difference Candidate 12]])</f>
        <v>0</v>
      </c>
      <c r="AS265" s="17">
        <f>IF(Audit[[#This Row],[Times p Drawn - With Replacement]]&gt;0, IF(Audit[[#This Row],[Canceled Differences]]&lt;0, Audit[[#This Row],[Max Differences]]+ABS(Audit[[#This Row],[Canceled Differences]]), Audit[[#This Row],[Max Differences]]), 0)</f>
        <v>0</v>
      </c>
      <c r="AT265" s="17">
        <f>'Sampling Data'!AB265</f>
        <v>2.0751994567985061E-2</v>
      </c>
      <c r="AU265" s="17">
        <f>IF(
      SUM(Audit[[#This Row],[Audit Losing Candidate]:[Audit Candidate 12]])
      &lt;&gt;0,
      (Audit[[#This Row],[Winning Candidate]]-Audit[[#This Row],[Losing Candidate]]-(Audit[[#This Row],[Audit Winning Candidate]]-Audit[[#This Row],[Audit Losing Candidate]]))/(Audit[[#Totals],[Winning Candidate]]-Audit[[#Totals],[Losing Candidate]]),
      0
)</f>
        <v>0</v>
      </c>
      <c r="AV2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5" s="17">
        <f>IF(Audit[[#This Row],[Max Relative Error (ep)]] = 0, 0, Audit[[#This Row],[Max Relative Error (ep)]]/Audit[[#This Row],[Error Bound (up) - Max. possible relative overstatement]])</f>
        <v>0</v>
      </c>
      <c r="BH2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65" s="17">
        <f t="shared" si="4"/>
        <v>1</v>
      </c>
      <c r="BJ265" s="17">
        <f>PRODUCT($BI$5:BI265)</f>
        <v>0.57679094656345797</v>
      </c>
      <c r="BK265" s="19">
        <f>1 - Audit[[#This Row],[K-M P Value]]</f>
        <v>0.42320905343654203</v>
      </c>
      <c r="BL265" s="17" t="str">
        <f>IF(Audit[[#This Row],[K-M P Value]]&gt;1-'General Info'!$B$12,"Continue", "Stop")</f>
        <v>Continue</v>
      </c>
      <c r="BM265" s="22" t="b">
        <f>IF(Audit[[#This Row],[Status - Continue or stop audit]] = "Continue", TRUE, IF(BL264 = "Continue", TRUE, FALSE))</f>
        <v>1</v>
      </c>
      <c r="BN265" s="22"/>
    </row>
    <row r="266" spans="1:66" ht="15" hidden="1" customHeight="1" x14ac:dyDescent="0.35">
      <c r="A266" s="17" t="str">
        <f>'Sampling Data'!AI266</f>
        <v/>
      </c>
      <c r="B266" s="17" t="str">
        <f>'Sampling Data'!A266</f>
        <v>4121 MTHY 2-A   (AV)</v>
      </c>
      <c r="C266" s="17">
        <f>'Sampling Data'!B266</f>
        <v>160</v>
      </c>
      <c r="D266" s="17">
        <f>'Sampling Data'!C266</f>
        <v>61</v>
      </c>
      <c r="E266" s="18">
        <f>'Sampling Data'!D266</f>
        <v>0</v>
      </c>
      <c r="F266" s="18">
        <f>'Sampling Data'!E266</f>
        <v>0</v>
      </c>
      <c r="G266" s="18">
        <f>'Sampling Data'!F266</f>
        <v>0</v>
      </c>
      <c r="H266" s="18">
        <f>'Sampling Data'!G266</f>
        <v>0</v>
      </c>
      <c r="I266" s="18">
        <f>'Sampling Data'!H266</f>
        <v>0</v>
      </c>
      <c r="J266" s="18">
        <f>'Sampling Data'!I266</f>
        <v>0</v>
      </c>
      <c r="K266" s="18">
        <f>'Sampling Data'!J266</f>
        <v>0</v>
      </c>
      <c r="L266" s="18">
        <f>'Sampling Data'!K266</f>
        <v>0</v>
      </c>
      <c r="M266" s="18">
        <f>'Sampling Data'!L266</f>
        <v>0</v>
      </c>
      <c r="N266" s="18">
        <f>'Sampling Data'!M266</f>
        <v>0</v>
      </c>
      <c r="O266" s="17">
        <f>'Sampling Data'!N266</f>
        <v>0</v>
      </c>
      <c r="P266" s="17">
        <f>'Sampling Data'!O266</f>
        <v>12</v>
      </c>
      <c r="Q266" s="17">
        <f>'Sampling Data'!P266</f>
        <v>233</v>
      </c>
      <c r="R266" s="17">
        <f>'Sampling Data'!AJ266</f>
        <v>0</v>
      </c>
      <c r="S266" s="111"/>
      <c r="T266" s="111"/>
      <c r="U266" s="112"/>
      <c r="V266" s="112"/>
      <c r="W266" s="111"/>
      <c r="X266" s="111"/>
      <c r="Y266" s="111"/>
      <c r="Z266" s="111"/>
      <c r="AA266" s="14"/>
      <c r="AB266" s="14"/>
      <c r="AC266" s="14"/>
      <c r="AD266" s="14"/>
      <c r="AE266" s="113" t="str">
        <f>IF(NOT(ISBLANK(Audit[[#This Row],[Audit Winning Candidate]])), Audit[[#This Row],[Audit Winning Candidate]]-Audit[[#This Row],[Winning Candidate]], "")</f>
        <v/>
      </c>
      <c r="AF266" s="17" t="str">
        <f>IF(NOT(ISBLANK(Audit[[#This Row],[Audit Losing Candidate]])), Audit[[#This Row],[Audit Losing Candidate]]-Audit[[#This Row],[Losing Candidate]], "")</f>
        <v/>
      </c>
      <c r="AG266" s="17" t="str">
        <f>IF(NOT(ISBLANK(Audit[[#This Row],[Audit Candidate 3]])), Audit[[#This Row],[Audit Candidate 3]]-Audit[[#This Row],[Candidate 3]], "")</f>
        <v/>
      </c>
      <c r="AH266" s="17" t="str">
        <f>IF(NOT(ISBLANK(Audit[[#This Row],[Audit Candidate 4]])),Audit[[#This Row],[Audit Candidate 4]]-Audit[[#This Row],[Candidate 4]], "")</f>
        <v/>
      </c>
      <c r="AI266" s="17" t="str">
        <f>IF(NOT(ISBLANK(Audit[[#This Row],[Audit Candidate 5]])), Audit[[#This Row],[Audit Candidate 5]]-Audit[[#This Row],[Candidate 5]], "")</f>
        <v/>
      </c>
      <c r="AJ266" s="17" t="str">
        <f>IF(NOT(ISBLANK(Audit[[#This Row],[Audit Candidate 6]])), Audit[[#This Row],[Audit Candidate 6]]-Audit[[#This Row],[Candidate 6]], "")</f>
        <v/>
      </c>
      <c r="AK266" s="17" t="str">
        <f>IF(NOT(ISBLANK(Audit[[#This Row],[Audit Candidate 7]])), Audit[[#This Row],[Audit Candidate 7]]-Audit[[#This Row],[Candidate 7]], "")</f>
        <v/>
      </c>
      <c r="AL266" s="17" t="str">
        <f>IF(NOT(ISBLANK(Audit[[#This Row],[Audit Candidate 8]])), Audit[[#This Row],[Audit Candidate 8]]-Audit[[#This Row],[Candidate 8]], "")</f>
        <v/>
      </c>
      <c r="AM266" s="17" t="str">
        <f>IF(NOT(ISBLANK(Audit[[#This Row],[Audit Candidate 9]])), Audit[[#This Row],[Audit Candidate 9]]-Audit[[#This Row],[Candidate 9]], "")</f>
        <v/>
      </c>
      <c r="AN266" s="17" t="str">
        <f>IF(NOT(ISBLANK(Audit[[#This Row],[Audit Candidate 10]])), Audit[[#This Row],[Audit Candidate 10]]-Audit[[#This Row],[Candidate 10]], "")</f>
        <v/>
      </c>
      <c r="AO266" s="17" t="str">
        <f>IF(NOT(ISBLANK(Audit[[#This Row],[Audit Candidate 11]])), Audit[[#This Row],[Audit Candidate 11]]-Audit[[#This Row],[Candidate 11]], "")</f>
        <v/>
      </c>
      <c r="AP266" s="17" t="str">
        <f>IF(NOT(ISBLANK(Audit[[#This Row],[Audit Candidate 12]])), Audit[[#This Row],[Audit Candidate 12]]-Audit[[#This Row],[Candidate 12]], "")</f>
        <v/>
      </c>
      <c r="AQ266" s="17">
        <f>SUMIF(Audit[[#This Row],[Difference Winner]:[Difference Candidate 12]], "&gt;0")</f>
        <v>0</v>
      </c>
      <c r="AR266" s="17">
        <f>SUM(Audit[[#This Row],[Difference Winner]:[Difference Candidate 12]])</f>
        <v>0</v>
      </c>
      <c r="AS266" s="17">
        <f>IF(Audit[[#This Row],[Times p Drawn - With Replacement]]&gt;0, IF(Audit[[#This Row],[Canceled Differences]]&lt;0, Audit[[#This Row],[Max Differences]]+ABS(Audit[[#This Row],[Canceled Differences]]), Audit[[#This Row],[Max Differences]]), 0)</f>
        <v>0</v>
      </c>
      <c r="AT266" s="17">
        <f>'Sampling Data'!AB266</f>
        <v>1.408928874554405E-2</v>
      </c>
      <c r="AU266" s="17">
        <f>IF(
      SUM(Audit[[#This Row],[Audit Losing Candidate]:[Audit Candidate 12]])
      &lt;&gt;0,
      (Audit[[#This Row],[Winning Candidate]]-Audit[[#This Row],[Losing Candidate]]-(Audit[[#This Row],[Audit Winning Candidate]]-Audit[[#This Row],[Audit Losing Candidate]]))/(Audit[[#Totals],[Winning Candidate]]-Audit[[#Totals],[Losing Candidate]]),
      0
)</f>
        <v>0</v>
      </c>
      <c r="AV2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6" s="17">
        <f>IF(Audit[[#This Row],[Max Relative Error (ep)]] = 0, 0, Audit[[#This Row],[Max Relative Error (ep)]]/Audit[[#This Row],[Error Bound (up) - Max. possible relative overstatement]])</f>
        <v>0</v>
      </c>
      <c r="BH2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66" s="17">
        <f t="shared" si="4"/>
        <v>1</v>
      </c>
      <c r="BJ266" s="17">
        <f>PRODUCT($BI$5:BI266)</f>
        <v>0.57679094656345797</v>
      </c>
      <c r="BK266" s="19">
        <f>1 - Audit[[#This Row],[K-M P Value]]</f>
        <v>0.42320905343654203</v>
      </c>
      <c r="BL266" s="17" t="str">
        <f>IF(Audit[[#This Row],[K-M P Value]]&gt;1-'General Info'!$B$12,"Continue", "Stop")</f>
        <v>Continue</v>
      </c>
      <c r="BM266" s="22" t="b">
        <f>IF(Audit[[#This Row],[Status - Continue or stop audit]] = "Continue", TRUE, IF(BL265 = "Continue", TRUE, FALSE))</f>
        <v>1</v>
      </c>
      <c r="BN266" s="22"/>
    </row>
    <row r="267" spans="1:66" ht="15" hidden="1" customHeight="1" x14ac:dyDescent="0.35">
      <c r="A267" s="17" t="str">
        <f>'Sampling Data'!AI267</f>
        <v/>
      </c>
      <c r="B267" s="17" t="str">
        <f>'Sampling Data'!A267</f>
        <v>4131 MTHY 3-A   (AV)</v>
      </c>
      <c r="C267" s="17">
        <f>'Sampling Data'!B267</f>
        <v>160</v>
      </c>
      <c r="D267" s="17">
        <f>'Sampling Data'!C267</f>
        <v>75</v>
      </c>
      <c r="E267" s="18">
        <f>'Sampling Data'!D267</f>
        <v>0</v>
      </c>
      <c r="F267" s="18">
        <f>'Sampling Data'!E267</f>
        <v>0</v>
      </c>
      <c r="G267" s="18">
        <f>'Sampling Data'!F267</f>
        <v>0</v>
      </c>
      <c r="H267" s="18">
        <f>'Sampling Data'!G267</f>
        <v>0</v>
      </c>
      <c r="I267" s="18">
        <f>'Sampling Data'!H267</f>
        <v>0</v>
      </c>
      <c r="J267" s="18">
        <f>'Sampling Data'!I267</f>
        <v>0</v>
      </c>
      <c r="K267" s="18">
        <f>'Sampling Data'!J267</f>
        <v>0</v>
      </c>
      <c r="L267" s="18">
        <f>'Sampling Data'!K267</f>
        <v>0</v>
      </c>
      <c r="M267" s="18">
        <f>'Sampling Data'!L267</f>
        <v>0</v>
      </c>
      <c r="N267" s="18">
        <f>'Sampling Data'!M267</f>
        <v>0</v>
      </c>
      <c r="O267" s="17">
        <f>'Sampling Data'!N267</f>
        <v>0</v>
      </c>
      <c r="P267" s="17">
        <f>'Sampling Data'!O267</f>
        <v>10</v>
      </c>
      <c r="Q267" s="17">
        <f>'Sampling Data'!P267</f>
        <v>245</v>
      </c>
      <c r="R267" s="17">
        <f>'Sampling Data'!AJ267</f>
        <v>0</v>
      </c>
      <c r="S267" s="111"/>
      <c r="T267" s="111"/>
      <c r="U267" s="112"/>
      <c r="V267" s="112"/>
      <c r="W267" s="111"/>
      <c r="X267" s="111"/>
      <c r="Y267" s="111"/>
      <c r="Z267" s="111"/>
      <c r="AA267" s="14"/>
      <c r="AB267" s="14"/>
      <c r="AC267" s="14"/>
      <c r="AD267" s="14"/>
      <c r="AE267" s="113" t="str">
        <f>IF(NOT(ISBLANK(Audit[[#This Row],[Audit Winning Candidate]])), Audit[[#This Row],[Audit Winning Candidate]]-Audit[[#This Row],[Winning Candidate]], "")</f>
        <v/>
      </c>
      <c r="AF267" s="17" t="str">
        <f>IF(NOT(ISBLANK(Audit[[#This Row],[Audit Losing Candidate]])), Audit[[#This Row],[Audit Losing Candidate]]-Audit[[#This Row],[Losing Candidate]], "")</f>
        <v/>
      </c>
      <c r="AG267" s="17" t="str">
        <f>IF(NOT(ISBLANK(Audit[[#This Row],[Audit Candidate 3]])), Audit[[#This Row],[Audit Candidate 3]]-Audit[[#This Row],[Candidate 3]], "")</f>
        <v/>
      </c>
      <c r="AH267" s="17" t="str">
        <f>IF(NOT(ISBLANK(Audit[[#This Row],[Audit Candidate 4]])),Audit[[#This Row],[Audit Candidate 4]]-Audit[[#This Row],[Candidate 4]], "")</f>
        <v/>
      </c>
      <c r="AI267" s="17" t="str">
        <f>IF(NOT(ISBLANK(Audit[[#This Row],[Audit Candidate 5]])), Audit[[#This Row],[Audit Candidate 5]]-Audit[[#This Row],[Candidate 5]], "")</f>
        <v/>
      </c>
      <c r="AJ267" s="17" t="str">
        <f>IF(NOT(ISBLANK(Audit[[#This Row],[Audit Candidate 6]])), Audit[[#This Row],[Audit Candidate 6]]-Audit[[#This Row],[Candidate 6]], "")</f>
        <v/>
      </c>
      <c r="AK267" s="17" t="str">
        <f>IF(NOT(ISBLANK(Audit[[#This Row],[Audit Candidate 7]])), Audit[[#This Row],[Audit Candidate 7]]-Audit[[#This Row],[Candidate 7]], "")</f>
        <v/>
      </c>
      <c r="AL267" s="17" t="str">
        <f>IF(NOT(ISBLANK(Audit[[#This Row],[Audit Candidate 8]])), Audit[[#This Row],[Audit Candidate 8]]-Audit[[#This Row],[Candidate 8]], "")</f>
        <v/>
      </c>
      <c r="AM267" s="17" t="str">
        <f>IF(NOT(ISBLANK(Audit[[#This Row],[Audit Candidate 9]])), Audit[[#This Row],[Audit Candidate 9]]-Audit[[#This Row],[Candidate 9]], "")</f>
        <v/>
      </c>
      <c r="AN267" s="17" t="str">
        <f>IF(NOT(ISBLANK(Audit[[#This Row],[Audit Candidate 10]])), Audit[[#This Row],[Audit Candidate 10]]-Audit[[#This Row],[Candidate 10]], "")</f>
        <v/>
      </c>
      <c r="AO267" s="17" t="str">
        <f>IF(NOT(ISBLANK(Audit[[#This Row],[Audit Candidate 11]])), Audit[[#This Row],[Audit Candidate 11]]-Audit[[#This Row],[Candidate 11]], "")</f>
        <v/>
      </c>
      <c r="AP267" s="17" t="str">
        <f>IF(NOT(ISBLANK(Audit[[#This Row],[Audit Candidate 12]])), Audit[[#This Row],[Audit Candidate 12]]-Audit[[#This Row],[Candidate 12]], "")</f>
        <v/>
      </c>
      <c r="AQ267" s="17">
        <f>SUMIF(Audit[[#This Row],[Difference Winner]:[Difference Candidate 12]], "&gt;0")</f>
        <v>0</v>
      </c>
      <c r="AR267" s="17">
        <f>SUM(Audit[[#This Row],[Difference Winner]:[Difference Candidate 12]])</f>
        <v>0</v>
      </c>
      <c r="AS267" s="17">
        <f>IF(Audit[[#This Row],[Times p Drawn - With Replacement]]&gt;0, IF(Audit[[#This Row],[Canceled Differences]]&lt;0, Audit[[#This Row],[Max Differences]]+ABS(Audit[[#This Row],[Canceled Differences]]), Audit[[#This Row],[Max Differences]]), 0)</f>
        <v>0</v>
      </c>
      <c r="AT267" s="17">
        <f>'Sampling Data'!AB267</f>
        <v>1.4004413512137158E-2</v>
      </c>
      <c r="AU267" s="17">
        <f>IF(
      SUM(Audit[[#This Row],[Audit Losing Candidate]:[Audit Candidate 12]])
      &lt;&gt;0,
      (Audit[[#This Row],[Winning Candidate]]-Audit[[#This Row],[Losing Candidate]]-(Audit[[#This Row],[Audit Winning Candidate]]-Audit[[#This Row],[Audit Losing Candidate]]))/(Audit[[#Totals],[Winning Candidate]]-Audit[[#Totals],[Losing Candidate]]),
      0
)</f>
        <v>0</v>
      </c>
      <c r="AV2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7" s="17">
        <f>IF(Audit[[#This Row],[Max Relative Error (ep)]] = 0, 0, Audit[[#This Row],[Max Relative Error (ep)]]/Audit[[#This Row],[Error Bound (up) - Max. possible relative overstatement]])</f>
        <v>0</v>
      </c>
      <c r="BH2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67" s="17">
        <f t="shared" si="4"/>
        <v>1</v>
      </c>
      <c r="BJ267" s="17">
        <f>PRODUCT($BI$5:BI267)</f>
        <v>0.57679094656345797</v>
      </c>
      <c r="BK267" s="19">
        <f>1 - Audit[[#This Row],[K-M P Value]]</f>
        <v>0.42320905343654203</v>
      </c>
      <c r="BL267" s="17" t="str">
        <f>IF(Audit[[#This Row],[K-M P Value]]&gt;1-'General Info'!$B$12,"Continue", "Stop")</f>
        <v>Continue</v>
      </c>
      <c r="BM267" s="22" t="b">
        <f>IF(Audit[[#This Row],[Status - Continue or stop audit]] = "Continue", TRUE, IF(BL266 = "Continue", TRUE, FALSE))</f>
        <v>1</v>
      </c>
      <c r="BN267" s="22"/>
    </row>
    <row r="268" spans="1:66" ht="15" hidden="1" customHeight="1" x14ac:dyDescent="0.35">
      <c r="A268" s="17" t="str">
        <f>'Sampling Data'!AI268</f>
        <v/>
      </c>
      <c r="B268" s="17" t="str">
        <f>'Sampling Data'!A268</f>
        <v>4141 MTHY 4-A   (AV)</v>
      </c>
      <c r="C268" s="17">
        <f>'Sampling Data'!B268</f>
        <v>151</v>
      </c>
      <c r="D268" s="17">
        <f>'Sampling Data'!C268</f>
        <v>58</v>
      </c>
      <c r="E268" s="18">
        <f>'Sampling Data'!D268</f>
        <v>0</v>
      </c>
      <c r="F268" s="18">
        <f>'Sampling Data'!E268</f>
        <v>0</v>
      </c>
      <c r="G268" s="18">
        <f>'Sampling Data'!F268</f>
        <v>0</v>
      </c>
      <c r="H268" s="18">
        <f>'Sampling Data'!G268</f>
        <v>0</v>
      </c>
      <c r="I268" s="18">
        <f>'Sampling Data'!H268</f>
        <v>0</v>
      </c>
      <c r="J268" s="18">
        <f>'Sampling Data'!I268</f>
        <v>0</v>
      </c>
      <c r="K268" s="18">
        <f>'Sampling Data'!J268</f>
        <v>0</v>
      </c>
      <c r="L268" s="18">
        <f>'Sampling Data'!K268</f>
        <v>0</v>
      </c>
      <c r="M268" s="18">
        <f>'Sampling Data'!L268</f>
        <v>0</v>
      </c>
      <c r="N268" s="18">
        <f>'Sampling Data'!M268</f>
        <v>0</v>
      </c>
      <c r="O268" s="17">
        <f>'Sampling Data'!N268</f>
        <v>0</v>
      </c>
      <c r="P268" s="17">
        <f>'Sampling Data'!O268</f>
        <v>6</v>
      </c>
      <c r="Q268" s="17">
        <f>'Sampling Data'!P268</f>
        <v>215</v>
      </c>
      <c r="R268" s="17">
        <f>'Sampling Data'!AJ268</f>
        <v>0</v>
      </c>
      <c r="S268" s="111"/>
      <c r="T268" s="111"/>
      <c r="U268" s="112"/>
      <c r="V268" s="112"/>
      <c r="W268" s="111"/>
      <c r="X268" s="111"/>
      <c r="Y268" s="111"/>
      <c r="Z268" s="111"/>
      <c r="AA268" s="14"/>
      <c r="AB268" s="14"/>
      <c r="AC268" s="14"/>
      <c r="AD268" s="14"/>
      <c r="AE268" s="113" t="str">
        <f>IF(NOT(ISBLANK(Audit[[#This Row],[Audit Winning Candidate]])), Audit[[#This Row],[Audit Winning Candidate]]-Audit[[#This Row],[Winning Candidate]], "")</f>
        <v/>
      </c>
      <c r="AF268" s="17" t="str">
        <f>IF(NOT(ISBLANK(Audit[[#This Row],[Audit Losing Candidate]])), Audit[[#This Row],[Audit Losing Candidate]]-Audit[[#This Row],[Losing Candidate]], "")</f>
        <v/>
      </c>
      <c r="AG268" s="17" t="str">
        <f>IF(NOT(ISBLANK(Audit[[#This Row],[Audit Candidate 3]])), Audit[[#This Row],[Audit Candidate 3]]-Audit[[#This Row],[Candidate 3]], "")</f>
        <v/>
      </c>
      <c r="AH268" s="17" t="str">
        <f>IF(NOT(ISBLANK(Audit[[#This Row],[Audit Candidate 4]])),Audit[[#This Row],[Audit Candidate 4]]-Audit[[#This Row],[Candidate 4]], "")</f>
        <v/>
      </c>
      <c r="AI268" s="17" t="str">
        <f>IF(NOT(ISBLANK(Audit[[#This Row],[Audit Candidate 5]])), Audit[[#This Row],[Audit Candidate 5]]-Audit[[#This Row],[Candidate 5]], "")</f>
        <v/>
      </c>
      <c r="AJ268" s="17" t="str">
        <f>IF(NOT(ISBLANK(Audit[[#This Row],[Audit Candidate 6]])), Audit[[#This Row],[Audit Candidate 6]]-Audit[[#This Row],[Candidate 6]], "")</f>
        <v/>
      </c>
      <c r="AK268" s="17" t="str">
        <f>IF(NOT(ISBLANK(Audit[[#This Row],[Audit Candidate 7]])), Audit[[#This Row],[Audit Candidate 7]]-Audit[[#This Row],[Candidate 7]], "")</f>
        <v/>
      </c>
      <c r="AL268" s="17" t="str">
        <f>IF(NOT(ISBLANK(Audit[[#This Row],[Audit Candidate 8]])), Audit[[#This Row],[Audit Candidate 8]]-Audit[[#This Row],[Candidate 8]], "")</f>
        <v/>
      </c>
      <c r="AM268" s="17" t="str">
        <f>IF(NOT(ISBLANK(Audit[[#This Row],[Audit Candidate 9]])), Audit[[#This Row],[Audit Candidate 9]]-Audit[[#This Row],[Candidate 9]], "")</f>
        <v/>
      </c>
      <c r="AN268" s="17" t="str">
        <f>IF(NOT(ISBLANK(Audit[[#This Row],[Audit Candidate 10]])), Audit[[#This Row],[Audit Candidate 10]]-Audit[[#This Row],[Candidate 10]], "")</f>
        <v/>
      </c>
      <c r="AO268" s="17" t="str">
        <f>IF(NOT(ISBLANK(Audit[[#This Row],[Audit Candidate 11]])), Audit[[#This Row],[Audit Candidate 11]]-Audit[[#This Row],[Candidate 11]], "")</f>
        <v/>
      </c>
      <c r="AP268" s="17" t="str">
        <f>IF(NOT(ISBLANK(Audit[[#This Row],[Audit Candidate 12]])), Audit[[#This Row],[Audit Candidate 12]]-Audit[[#This Row],[Candidate 12]], "")</f>
        <v/>
      </c>
      <c r="AQ268" s="17">
        <f>SUMIF(Audit[[#This Row],[Difference Winner]:[Difference Candidate 12]], "&gt;0")</f>
        <v>0</v>
      </c>
      <c r="AR268" s="17">
        <f>SUM(Audit[[#This Row],[Difference Winner]:[Difference Candidate 12]])</f>
        <v>0</v>
      </c>
      <c r="AS268" s="17">
        <f>IF(Audit[[#This Row],[Times p Drawn - With Replacement]]&gt;0, IF(Audit[[#This Row],[Canceled Differences]]&lt;0, Audit[[#This Row],[Max Differences]]+ABS(Audit[[#This Row],[Canceled Differences]]), Audit[[#This Row],[Max Differences]]), 0)</f>
        <v>0</v>
      </c>
      <c r="AT268" s="17">
        <f>'Sampling Data'!AB268</f>
        <v>1.3070785944661347E-2</v>
      </c>
      <c r="AU268" s="17">
        <f>IF(
      SUM(Audit[[#This Row],[Audit Losing Candidate]:[Audit Candidate 12]])
      &lt;&gt;0,
      (Audit[[#This Row],[Winning Candidate]]-Audit[[#This Row],[Losing Candidate]]-(Audit[[#This Row],[Audit Winning Candidate]]-Audit[[#This Row],[Audit Losing Candidate]]))/(Audit[[#Totals],[Winning Candidate]]-Audit[[#Totals],[Losing Candidate]]),
      0
)</f>
        <v>0</v>
      </c>
      <c r="AV2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8" s="17">
        <f>IF(Audit[[#This Row],[Max Relative Error (ep)]] = 0, 0, Audit[[#This Row],[Max Relative Error (ep)]]/Audit[[#This Row],[Error Bound (up) - Max. possible relative overstatement]])</f>
        <v>0</v>
      </c>
      <c r="BH2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68" s="17">
        <f t="shared" si="4"/>
        <v>1</v>
      </c>
      <c r="BJ268" s="17">
        <f>PRODUCT($BI$5:BI268)</f>
        <v>0.57679094656345797</v>
      </c>
      <c r="BK268" s="19">
        <f>1 - Audit[[#This Row],[K-M P Value]]</f>
        <v>0.42320905343654203</v>
      </c>
      <c r="BL268" s="17" t="str">
        <f>IF(Audit[[#This Row],[K-M P Value]]&gt;1-'General Info'!$B$12,"Continue", "Stop")</f>
        <v>Continue</v>
      </c>
      <c r="BM268" s="22" t="b">
        <f>IF(Audit[[#This Row],[Status - Continue or stop audit]] = "Continue", TRUE, IF(BL267 = "Continue", TRUE, FALSE))</f>
        <v>1</v>
      </c>
      <c r="BN268" s="22"/>
    </row>
    <row r="269" spans="1:66" ht="15" hidden="1" customHeight="1" x14ac:dyDescent="0.35">
      <c r="A269" s="17" t="str">
        <f>'Sampling Data'!AI269</f>
        <v/>
      </c>
      <c r="B269" s="17" t="str">
        <f>'Sampling Data'!A269</f>
        <v>4311 NCH 1-A   (AV)</v>
      </c>
      <c r="C269" s="17">
        <f>'Sampling Data'!B269</f>
        <v>93</v>
      </c>
      <c r="D269" s="17">
        <f>'Sampling Data'!C269</f>
        <v>35</v>
      </c>
      <c r="E269" s="18">
        <f>'Sampling Data'!D269</f>
        <v>0</v>
      </c>
      <c r="F269" s="18">
        <f>'Sampling Data'!E269</f>
        <v>0</v>
      </c>
      <c r="G269" s="18">
        <f>'Sampling Data'!F269</f>
        <v>0</v>
      </c>
      <c r="H269" s="18">
        <f>'Sampling Data'!G269</f>
        <v>0</v>
      </c>
      <c r="I269" s="18">
        <f>'Sampling Data'!H269</f>
        <v>0</v>
      </c>
      <c r="J269" s="18">
        <f>'Sampling Data'!I269</f>
        <v>0</v>
      </c>
      <c r="K269" s="18">
        <f>'Sampling Data'!J269</f>
        <v>0</v>
      </c>
      <c r="L269" s="18">
        <f>'Sampling Data'!K269</f>
        <v>0</v>
      </c>
      <c r="M269" s="18">
        <f>'Sampling Data'!L269</f>
        <v>0</v>
      </c>
      <c r="N269" s="18">
        <f>'Sampling Data'!M269</f>
        <v>0</v>
      </c>
      <c r="O269" s="17">
        <f>'Sampling Data'!N269</f>
        <v>0</v>
      </c>
      <c r="P269" s="17">
        <f>'Sampling Data'!O269</f>
        <v>11</v>
      </c>
      <c r="Q269" s="17">
        <f>'Sampling Data'!P269</f>
        <v>139</v>
      </c>
      <c r="R269" s="17">
        <f>'Sampling Data'!AJ269</f>
        <v>0</v>
      </c>
      <c r="S269" s="111"/>
      <c r="T269" s="111"/>
      <c r="U269" s="112"/>
      <c r="V269" s="112"/>
      <c r="W269" s="111"/>
      <c r="X269" s="111"/>
      <c r="Y269" s="111"/>
      <c r="Z269" s="111"/>
      <c r="AA269" s="14"/>
      <c r="AB269" s="14"/>
      <c r="AC269" s="14"/>
      <c r="AD269" s="14"/>
      <c r="AE269" s="113" t="str">
        <f>IF(NOT(ISBLANK(Audit[[#This Row],[Audit Winning Candidate]])), Audit[[#This Row],[Audit Winning Candidate]]-Audit[[#This Row],[Winning Candidate]], "")</f>
        <v/>
      </c>
      <c r="AF269" s="17" t="str">
        <f>IF(NOT(ISBLANK(Audit[[#This Row],[Audit Losing Candidate]])), Audit[[#This Row],[Audit Losing Candidate]]-Audit[[#This Row],[Losing Candidate]], "")</f>
        <v/>
      </c>
      <c r="AG269" s="17" t="str">
        <f>IF(NOT(ISBLANK(Audit[[#This Row],[Audit Candidate 3]])), Audit[[#This Row],[Audit Candidate 3]]-Audit[[#This Row],[Candidate 3]], "")</f>
        <v/>
      </c>
      <c r="AH269" s="17" t="str">
        <f>IF(NOT(ISBLANK(Audit[[#This Row],[Audit Candidate 4]])),Audit[[#This Row],[Audit Candidate 4]]-Audit[[#This Row],[Candidate 4]], "")</f>
        <v/>
      </c>
      <c r="AI269" s="17" t="str">
        <f>IF(NOT(ISBLANK(Audit[[#This Row],[Audit Candidate 5]])), Audit[[#This Row],[Audit Candidate 5]]-Audit[[#This Row],[Candidate 5]], "")</f>
        <v/>
      </c>
      <c r="AJ269" s="17" t="str">
        <f>IF(NOT(ISBLANK(Audit[[#This Row],[Audit Candidate 6]])), Audit[[#This Row],[Audit Candidate 6]]-Audit[[#This Row],[Candidate 6]], "")</f>
        <v/>
      </c>
      <c r="AK269" s="17" t="str">
        <f>IF(NOT(ISBLANK(Audit[[#This Row],[Audit Candidate 7]])), Audit[[#This Row],[Audit Candidate 7]]-Audit[[#This Row],[Candidate 7]], "")</f>
        <v/>
      </c>
      <c r="AL269" s="17" t="str">
        <f>IF(NOT(ISBLANK(Audit[[#This Row],[Audit Candidate 8]])), Audit[[#This Row],[Audit Candidate 8]]-Audit[[#This Row],[Candidate 8]], "")</f>
        <v/>
      </c>
      <c r="AM269" s="17" t="str">
        <f>IF(NOT(ISBLANK(Audit[[#This Row],[Audit Candidate 9]])), Audit[[#This Row],[Audit Candidate 9]]-Audit[[#This Row],[Candidate 9]], "")</f>
        <v/>
      </c>
      <c r="AN269" s="17" t="str">
        <f>IF(NOT(ISBLANK(Audit[[#This Row],[Audit Candidate 10]])), Audit[[#This Row],[Audit Candidate 10]]-Audit[[#This Row],[Candidate 10]], "")</f>
        <v/>
      </c>
      <c r="AO269" s="17" t="str">
        <f>IF(NOT(ISBLANK(Audit[[#This Row],[Audit Candidate 11]])), Audit[[#This Row],[Audit Candidate 11]]-Audit[[#This Row],[Candidate 11]], "")</f>
        <v/>
      </c>
      <c r="AP269" s="17" t="str">
        <f>IF(NOT(ISBLANK(Audit[[#This Row],[Audit Candidate 12]])), Audit[[#This Row],[Audit Candidate 12]]-Audit[[#This Row],[Candidate 12]], "")</f>
        <v/>
      </c>
      <c r="AQ269" s="17">
        <f>SUMIF(Audit[[#This Row],[Difference Winner]:[Difference Candidate 12]], "&gt;0")</f>
        <v>0</v>
      </c>
      <c r="AR269" s="17">
        <f>SUM(Audit[[#This Row],[Difference Winner]:[Difference Candidate 12]])</f>
        <v>0</v>
      </c>
      <c r="AS269" s="17">
        <f>IF(Audit[[#This Row],[Times p Drawn - With Replacement]]&gt;0, IF(Audit[[#This Row],[Canceled Differences]]&lt;0, Audit[[#This Row],[Max Differences]]+ABS(Audit[[#This Row],[Canceled Differences]]), Audit[[#This Row],[Max Differences]]), 0)</f>
        <v>0</v>
      </c>
      <c r="AT269" s="17">
        <f>'Sampling Data'!AB269</f>
        <v>8.3602104905788482E-3</v>
      </c>
      <c r="AU269" s="17">
        <f>IF(
      SUM(Audit[[#This Row],[Audit Losing Candidate]:[Audit Candidate 12]])
      &lt;&gt;0,
      (Audit[[#This Row],[Winning Candidate]]-Audit[[#This Row],[Losing Candidate]]-(Audit[[#This Row],[Audit Winning Candidate]]-Audit[[#This Row],[Audit Losing Candidate]]))/(Audit[[#Totals],[Winning Candidate]]-Audit[[#Totals],[Losing Candidate]]),
      0
)</f>
        <v>0</v>
      </c>
      <c r="AV2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9" s="17">
        <f>IF(Audit[[#This Row],[Max Relative Error (ep)]] = 0, 0, Audit[[#This Row],[Max Relative Error (ep)]]/Audit[[#This Row],[Error Bound (up) - Max. possible relative overstatement]])</f>
        <v>0</v>
      </c>
      <c r="BH2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69" s="17">
        <f t="shared" si="4"/>
        <v>1</v>
      </c>
      <c r="BJ269" s="17">
        <f>PRODUCT($BI$5:BI269)</f>
        <v>0.57679094656345797</v>
      </c>
      <c r="BK269" s="19">
        <f>1 - Audit[[#This Row],[K-M P Value]]</f>
        <v>0.42320905343654203</v>
      </c>
      <c r="BL269" s="17" t="str">
        <f>IF(Audit[[#This Row],[K-M P Value]]&gt;1-'General Info'!$B$12,"Continue", "Stop")</f>
        <v>Continue</v>
      </c>
      <c r="BM269" s="22" t="b">
        <f>IF(Audit[[#This Row],[Status - Continue or stop audit]] = "Continue", TRUE, IF(BL268 = "Continue", TRUE, FALSE))</f>
        <v>1</v>
      </c>
      <c r="BN269" s="22"/>
    </row>
    <row r="270" spans="1:66" ht="15" hidden="1" customHeight="1" x14ac:dyDescent="0.35">
      <c r="A270" s="17" t="str">
        <f>'Sampling Data'!AI270</f>
        <v/>
      </c>
      <c r="B270" s="17" t="str">
        <f>'Sampling Data'!A270</f>
        <v>4312 NCH 1-B   (AV)</v>
      </c>
      <c r="C270" s="17">
        <f>'Sampling Data'!B270</f>
        <v>183</v>
      </c>
      <c r="D270" s="17">
        <f>'Sampling Data'!C270</f>
        <v>87</v>
      </c>
      <c r="E270" s="18">
        <f>'Sampling Data'!D270</f>
        <v>0</v>
      </c>
      <c r="F270" s="18">
        <f>'Sampling Data'!E270</f>
        <v>0</v>
      </c>
      <c r="G270" s="18">
        <f>'Sampling Data'!F270</f>
        <v>0</v>
      </c>
      <c r="H270" s="18">
        <f>'Sampling Data'!G270</f>
        <v>0</v>
      </c>
      <c r="I270" s="18">
        <f>'Sampling Data'!H270</f>
        <v>0</v>
      </c>
      <c r="J270" s="18">
        <f>'Sampling Data'!I270</f>
        <v>0</v>
      </c>
      <c r="K270" s="18">
        <f>'Sampling Data'!J270</f>
        <v>0</v>
      </c>
      <c r="L270" s="18">
        <f>'Sampling Data'!K270</f>
        <v>0</v>
      </c>
      <c r="M270" s="18">
        <f>'Sampling Data'!L270</f>
        <v>0</v>
      </c>
      <c r="N270" s="18">
        <f>'Sampling Data'!M270</f>
        <v>0</v>
      </c>
      <c r="O270" s="17">
        <f>'Sampling Data'!N270</f>
        <v>0</v>
      </c>
      <c r="P270" s="17">
        <f>'Sampling Data'!O270</f>
        <v>8</v>
      </c>
      <c r="Q270" s="17">
        <f>'Sampling Data'!P270</f>
        <v>278</v>
      </c>
      <c r="R270" s="17">
        <f>'Sampling Data'!AJ270</f>
        <v>0</v>
      </c>
      <c r="S270" s="111"/>
      <c r="T270" s="111"/>
      <c r="U270" s="112"/>
      <c r="V270" s="112"/>
      <c r="W270" s="111"/>
      <c r="X270" s="111"/>
      <c r="Y270" s="111"/>
      <c r="Z270" s="111"/>
      <c r="AA270" s="14"/>
      <c r="AB270" s="14"/>
      <c r="AC270" s="14"/>
      <c r="AD270" s="14"/>
      <c r="AE270" s="113" t="str">
        <f>IF(NOT(ISBLANK(Audit[[#This Row],[Audit Winning Candidate]])), Audit[[#This Row],[Audit Winning Candidate]]-Audit[[#This Row],[Winning Candidate]], "")</f>
        <v/>
      </c>
      <c r="AF270" s="17" t="str">
        <f>IF(NOT(ISBLANK(Audit[[#This Row],[Audit Losing Candidate]])), Audit[[#This Row],[Audit Losing Candidate]]-Audit[[#This Row],[Losing Candidate]], "")</f>
        <v/>
      </c>
      <c r="AG270" s="17" t="str">
        <f>IF(NOT(ISBLANK(Audit[[#This Row],[Audit Candidate 3]])), Audit[[#This Row],[Audit Candidate 3]]-Audit[[#This Row],[Candidate 3]], "")</f>
        <v/>
      </c>
      <c r="AH270" s="17" t="str">
        <f>IF(NOT(ISBLANK(Audit[[#This Row],[Audit Candidate 4]])),Audit[[#This Row],[Audit Candidate 4]]-Audit[[#This Row],[Candidate 4]], "")</f>
        <v/>
      </c>
      <c r="AI270" s="17" t="str">
        <f>IF(NOT(ISBLANK(Audit[[#This Row],[Audit Candidate 5]])), Audit[[#This Row],[Audit Candidate 5]]-Audit[[#This Row],[Candidate 5]], "")</f>
        <v/>
      </c>
      <c r="AJ270" s="17" t="str">
        <f>IF(NOT(ISBLANK(Audit[[#This Row],[Audit Candidate 6]])), Audit[[#This Row],[Audit Candidate 6]]-Audit[[#This Row],[Candidate 6]], "")</f>
        <v/>
      </c>
      <c r="AK270" s="17" t="str">
        <f>IF(NOT(ISBLANK(Audit[[#This Row],[Audit Candidate 7]])), Audit[[#This Row],[Audit Candidate 7]]-Audit[[#This Row],[Candidate 7]], "")</f>
        <v/>
      </c>
      <c r="AL270" s="17" t="str">
        <f>IF(NOT(ISBLANK(Audit[[#This Row],[Audit Candidate 8]])), Audit[[#This Row],[Audit Candidate 8]]-Audit[[#This Row],[Candidate 8]], "")</f>
        <v/>
      </c>
      <c r="AM270" s="17" t="str">
        <f>IF(NOT(ISBLANK(Audit[[#This Row],[Audit Candidate 9]])), Audit[[#This Row],[Audit Candidate 9]]-Audit[[#This Row],[Candidate 9]], "")</f>
        <v/>
      </c>
      <c r="AN270" s="17" t="str">
        <f>IF(NOT(ISBLANK(Audit[[#This Row],[Audit Candidate 10]])), Audit[[#This Row],[Audit Candidate 10]]-Audit[[#This Row],[Candidate 10]], "")</f>
        <v/>
      </c>
      <c r="AO270" s="17" t="str">
        <f>IF(NOT(ISBLANK(Audit[[#This Row],[Audit Candidate 11]])), Audit[[#This Row],[Audit Candidate 11]]-Audit[[#This Row],[Candidate 11]], "")</f>
        <v/>
      </c>
      <c r="AP270" s="17" t="str">
        <f>IF(NOT(ISBLANK(Audit[[#This Row],[Audit Candidate 12]])), Audit[[#This Row],[Audit Candidate 12]]-Audit[[#This Row],[Candidate 12]], "")</f>
        <v/>
      </c>
      <c r="AQ270" s="17">
        <f>SUMIF(Audit[[#This Row],[Difference Winner]:[Difference Candidate 12]], "&gt;0")</f>
        <v>0</v>
      </c>
      <c r="AR270" s="17">
        <f>SUM(Audit[[#This Row],[Difference Winner]:[Difference Candidate 12]])</f>
        <v>0</v>
      </c>
      <c r="AS270" s="17">
        <f>IF(Audit[[#This Row],[Times p Drawn - With Replacement]]&gt;0, IF(Audit[[#This Row],[Canceled Differences]]&lt;0, Audit[[#This Row],[Max Differences]]+ABS(Audit[[#This Row],[Canceled Differences]]), Audit[[#This Row],[Max Differences]]), 0)</f>
        <v>0</v>
      </c>
      <c r="AT270" s="17">
        <f>'Sampling Data'!AB270</f>
        <v>1.587166864708878E-2</v>
      </c>
      <c r="AU270" s="17">
        <f>IF(
      SUM(Audit[[#This Row],[Audit Losing Candidate]:[Audit Candidate 12]])
      &lt;&gt;0,
      (Audit[[#This Row],[Winning Candidate]]-Audit[[#This Row],[Losing Candidate]]-(Audit[[#This Row],[Audit Winning Candidate]]-Audit[[#This Row],[Audit Losing Candidate]]))/(Audit[[#Totals],[Winning Candidate]]-Audit[[#Totals],[Losing Candidate]]),
      0
)</f>
        <v>0</v>
      </c>
      <c r="AV2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0" s="17">
        <f>IF(Audit[[#This Row],[Max Relative Error (ep)]] = 0, 0, Audit[[#This Row],[Max Relative Error (ep)]]/Audit[[#This Row],[Error Bound (up) - Max. possible relative overstatement]])</f>
        <v>0</v>
      </c>
      <c r="BH2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70" s="17">
        <f t="shared" si="4"/>
        <v>1</v>
      </c>
      <c r="BJ270" s="17">
        <f>PRODUCT($BI$5:BI270)</f>
        <v>0.57679094656345797</v>
      </c>
      <c r="BK270" s="19">
        <f>1 - Audit[[#This Row],[K-M P Value]]</f>
        <v>0.42320905343654203</v>
      </c>
      <c r="BL270" s="17" t="str">
        <f>IF(Audit[[#This Row],[K-M P Value]]&gt;1-'General Info'!$B$12,"Continue", "Stop")</f>
        <v>Continue</v>
      </c>
      <c r="BM270" s="22" t="b">
        <f>IF(Audit[[#This Row],[Status - Continue or stop audit]] = "Continue", TRUE, IF(BL269 = "Continue", TRUE, FALSE))</f>
        <v>1</v>
      </c>
      <c r="BN270" s="22"/>
    </row>
    <row r="271" spans="1:66" ht="15" hidden="1" customHeight="1" x14ac:dyDescent="0.35">
      <c r="A271" s="17" t="str">
        <f>'Sampling Data'!AI271</f>
        <v/>
      </c>
      <c r="B271" s="17" t="str">
        <f>'Sampling Data'!A271</f>
        <v>4321 NCH 2-A   (AV)</v>
      </c>
      <c r="C271" s="17">
        <f>'Sampling Data'!B271</f>
        <v>150</v>
      </c>
      <c r="D271" s="17">
        <f>'Sampling Data'!C271</f>
        <v>48</v>
      </c>
      <c r="E271" s="18">
        <f>'Sampling Data'!D271</f>
        <v>0</v>
      </c>
      <c r="F271" s="18">
        <f>'Sampling Data'!E271</f>
        <v>0</v>
      </c>
      <c r="G271" s="18">
        <f>'Sampling Data'!F271</f>
        <v>0</v>
      </c>
      <c r="H271" s="18">
        <f>'Sampling Data'!G271</f>
        <v>0</v>
      </c>
      <c r="I271" s="18">
        <f>'Sampling Data'!H271</f>
        <v>0</v>
      </c>
      <c r="J271" s="18">
        <f>'Sampling Data'!I271</f>
        <v>0</v>
      </c>
      <c r="K271" s="18">
        <f>'Sampling Data'!J271</f>
        <v>0</v>
      </c>
      <c r="L271" s="18">
        <f>'Sampling Data'!K271</f>
        <v>0</v>
      </c>
      <c r="M271" s="18">
        <f>'Sampling Data'!L271</f>
        <v>0</v>
      </c>
      <c r="N271" s="18">
        <f>'Sampling Data'!M271</f>
        <v>0</v>
      </c>
      <c r="O271" s="17">
        <f>'Sampling Data'!N271</f>
        <v>0</v>
      </c>
      <c r="P271" s="17">
        <f>'Sampling Data'!O271</f>
        <v>6</v>
      </c>
      <c r="Q271" s="17">
        <f>'Sampling Data'!P271</f>
        <v>204</v>
      </c>
      <c r="R271" s="17">
        <f>'Sampling Data'!AJ271</f>
        <v>0</v>
      </c>
      <c r="S271" s="111"/>
      <c r="T271" s="111"/>
      <c r="U271" s="112"/>
      <c r="V271" s="112"/>
      <c r="W271" s="111"/>
      <c r="X271" s="111"/>
      <c r="Y271" s="111"/>
      <c r="Z271" s="111"/>
      <c r="AA271" s="14"/>
      <c r="AB271" s="14"/>
      <c r="AC271" s="14"/>
      <c r="AD271" s="14"/>
      <c r="AE271" s="113" t="str">
        <f>IF(NOT(ISBLANK(Audit[[#This Row],[Audit Winning Candidate]])), Audit[[#This Row],[Audit Winning Candidate]]-Audit[[#This Row],[Winning Candidate]], "")</f>
        <v/>
      </c>
      <c r="AF271" s="17" t="str">
        <f>IF(NOT(ISBLANK(Audit[[#This Row],[Audit Losing Candidate]])), Audit[[#This Row],[Audit Losing Candidate]]-Audit[[#This Row],[Losing Candidate]], "")</f>
        <v/>
      </c>
      <c r="AG271" s="17" t="str">
        <f>IF(NOT(ISBLANK(Audit[[#This Row],[Audit Candidate 3]])), Audit[[#This Row],[Audit Candidate 3]]-Audit[[#This Row],[Candidate 3]], "")</f>
        <v/>
      </c>
      <c r="AH271" s="17" t="str">
        <f>IF(NOT(ISBLANK(Audit[[#This Row],[Audit Candidate 4]])),Audit[[#This Row],[Audit Candidate 4]]-Audit[[#This Row],[Candidate 4]], "")</f>
        <v/>
      </c>
      <c r="AI271" s="17" t="str">
        <f>IF(NOT(ISBLANK(Audit[[#This Row],[Audit Candidate 5]])), Audit[[#This Row],[Audit Candidate 5]]-Audit[[#This Row],[Candidate 5]], "")</f>
        <v/>
      </c>
      <c r="AJ271" s="17" t="str">
        <f>IF(NOT(ISBLANK(Audit[[#This Row],[Audit Candidate 6]])), Audit[[#This Row],[Audit Candidate 6]]-Audit[[#This Row],[Candidate 6]], "")</f>
        <v/>
      </c>
      <c r="AK271" s="17" t="str">
        <f>IF(NOT(ISBLANK(Audit[[#This Row],[Audit Candidate 7]])), Audit[[#This Row],[Audit Candidate 7]]-Audit[[#This Row],[Candidate 7]], "")</f>
        <v/>
      </c>
      <c r="AL271" s="17" t="str">
        <f>IF(NOT(ISBLANK(Audit[[#This Row],[Audit Candidate 8]])), Audit[[#This Row],[Audit Candidate 8]]-Audit[[#This Row],[Candidate 8]], "")</f>
        <v/>
      </c>
      <c r="AM271" s="17" t="str">
        <f>IF(NOT(ISBLANK(Audit[[#This Row],[Audit Candidate 9]])), Audit[[#This Row],[Audit Candidate 9]]-Audit[[#This Row],[Candidate 9]], "")</f>
        <v/>
      </c>
      <c r="AN271" s="17" t="str">
        <f>IF(NOT(ISBLANK(Audit[[#This Row],[Audit Candidate 10]])), Audit[[#This Row],[Audit Candidate 10]]-Audit[[#This Row],[Candidate 10]], "")</f>
        <v/>
      </c>
      <c r="AO271" s="17" t="str">
        <f>IF(NOT(ISBLANK(Audit[[#This Row],[Audit Candidate 11]])), Audit[[#This Row],[Audit Candidate 11]]-Audit[[#This Row],[Candidate 11]], "")</f>
        <v/>
      </c>
      <c r="AP271" s="17" t="str">
        <f>IF(NOT(ISBLANK(Audit[[#This Row],[Audit Candidate 12]])), Audit[[#This Row],[Audit Candidate 12]]-Audit[[#This Row],[Candidate 12]], "")</f>
        <v/>
      </c>
      <c r="AQ271" s="17">
        <f>SUMIF(Audit[[#This Row],[Difference Winner]:[Difference Candidate 12]], "&gt;0")</f>
        <v>0</v>
      </c>
      <c r="AR271" s="17">
        <f>SUM(Audit[[#This Row],[Difference Winner]:[Difference Candidate 12]])</f>
        <v>0</v>
      </c>
      <c r="AS271" s="17">
        <f>IF(Audit[[#This Row],[Times p Drawn - With Replacement]]&gt;0, IF(Audit[[#This Row],[Canceled Differences]]&lt;0, Audit[[#This Row],[Max Differences]]+ABS(Audit[[#This Row],[Canceled Differences]]), Audit[[#This Row],[Max Differences]]), 0)</f>
        <v>0</v>
      </c>
      <c r="AT271" s="17">
        <f>'Sampling Data'!AB271</f>
        <v>1.2985910711254456E-2</v>
      </c>
      <c r="AU271" s="17">
        <f>IF(
      SUM(Audit[[#This Row],[Audit Losing Candidate]:[Audit Candidate 12]])
      &lt;&gt;0,
      (Audit[[#This Row],[Winning Candidate]]-Audit[[#This Row],[Losing Candidate]]-(Audit[[#This Row],[Audit Winning Candidate]]-Audit[[#This Row],[Audit Losing Candidate]]))/(Audit[[#Totals],[Winning Candidate]]-Audit[[#Totals],[Losing Candidate]]),
      0
)</f>
        <v>0</v>
      </c>
      <c r="AV2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1" s="17">
        <f>IF(Audit[[#This Row],[Max Relative Error (ep)]] = 0, 0, Audit[[#This Row],[Max Relative Error (ep)]]/Audit[[#This Row],[Error Bound (up) - Max. possible relative overstatement]])</f>
        <v>0</v>
      </c>
      <c r="BH2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71" s="17">
        <f t="shared" ref="BI271:BI334" si="5">IF(ISERR(POWER(BH271,R271)), 0, POWER(BH271,R271))</f>
        <v>1</v>
      </c>
      <c r="BJ271" s="17">
        <f>PRODUCT($BI$5:BI271)</f>
        <v>0.57679094656345797</v>
      </c>
      <c r="BK271" s="19">
        <f>1 - Audit[[#This Row],[K-M P Value]]</f>
        <v>0.42320905343654203</v>
      </c>
      <c r="BL271" s="17" t="str">
        <f>IF(Audit[[#This Row],[K-M P Value]]&gt;1-'General Info'!$B$12,"Continue", "Stop")</f>
        <v>Continue</v>
      </c>
      <c r="BM271" s="22" t="b">
        <f>IF(Audit[[#This Row],[Status - Continue or stop audit]] = "Continue", TRUE, IF(BL270 = "Continue", TRUE, FALSE))</f>
        <v>1</v>
      </c>
      <c r="BN271" s="22"/>
    </row>
    <row r="272" spans="1:66" ht="15" hidden="1" customHeight="1" x14ac:dyDescent="0.35">
      <c r="A272" s="17" t="str">
        <f>'Sampling Data'!AI272</f>
        <v/>
      </c>
      <c r="B272" s="17" t="str">
        <f>'Sampling Data'!A272</f>
        <v>4331 NCH 3-A   (AV)</v>
      </c>
      <c r="C272" s="17">
        <f>'Sampling Data'!B272</f>
        <v>184</v>
      </c>
      <c r="D272" s="17">
        <f>'Sampling Data'!C272</f>
        <v>50</v>
      </c>
      <c r="E272" s="18">
        <f>'Sampling Data'!D272</f>
        <v>0</v>
      </c>
      <c r="F272" s="18">
        <f>'Sampling Data'!E272</f>
        <v>0</v>
      </c>
      <c r="G272" s="18">
        <f>'Sampling Data'!F272</f>
        <v>0</v>
      </c>
      <c r="H272" s="18">
        <f>'Sampling Data'!G272</f>
        <v>0</v>
      </c>
      <c r="I272" s="18">
        <f>'Sampling Data'!H272</f>
        <v>0</v>
      </c>
      <c r="J272" s="18">
        <f>'Sampling Data'!I272</f>
        <v>0</v>
      </c>
      <c r="K272" s="18">
        <f>'Sampling Data'!J272</f>
        <v>0</v>
      </c>
      <c r="L272" s="18">
        <f>'Sampling Data'!K272</f>
        <v>0</v>
      </c>
      <c r="M272" s="18">
        <f>'Sampling Data'!L272</f>
        <v>0</v>
      </c>
      <c r="N272" s="18">
        <f>'Sampling Data'!M272</f>
        <v>0</v>
      </c>
      <c r="O272" s="17">
        <f>'Sampling Data'!N272</f>
        <v>0</v>
      </c>
      <c r="P272" s="17">
        <f>'Sampling Data'!O272</f>
        <v>6</v>
      </c>
      <c r="Q272" s="17">
        <f>'Sampling Data'!P272</f>
        <v>240</v>
      </c>
      <c r="R272" s="17">
        <f>'Sampling Data'!AJ272</f>
        <v>0</v>
      </c>
      <c r="S272" s="111"/>
      <c r="T272" s="111"/>
      <c r="U272" s="112"/>
      <c r="V272" s="112"/>
      <c r="W272" s="111"/>
      <c r="X272" s="111"/>
      <c r="Y272" s="111"/>
      <c r="Z272" s="111"/>
      <c r="AA272" s="14"/>
      <c r="AB272" s="14"/>
      <c r="AC272" s="14"/>
      <c r="AD272" s="14"/>
      <c r="AE272" s="113" t="str">
        <f>IF(NOT(ISBLANK(Audit[[#This Row],[Audit Winning Candidate]])), Audit[[#This Row],[Audit Winning Candidate]]-Audit[[#This Row],[Winning Candidate]], "")</f>
        <v/>
      </c>
      <c r="AF272" s="17" t="str">
        <f>IF(NOT(ISBLANK(Audit[[#This Row],[Audit Losing Candidate]])), Audit[[#This Row],[Audit Losing Candidate]]-Audit[[#This Row],[Losing Candidate]], "")</f>
        <v/>
      </c>
      <c r="AG272" s="17" t="str">
        <f>IF(NOT(ISBLANK(Audit[[#This Row],[Audit Candidate 3]])), Audit[[#This Row],[Audit Candidate 3]]-Audit[[#This Row],[Candidate 3]], "")</f>
        <v/>
      </c>
      <c r="AH272" s="17" t="str">
        <f>IF(NOT(ISBLANK(Audit[[#This Row],[Audit Candidate 4]])),Audit[[#This Row],[Audit Candidate 4]]-Audit[[#This Row],[Candidate 4]], "")</f>
        <v/>
      </c>
      <c r="AI272" s="17" t="str">
        <f>IF(NOT(ISBLANK(Audit[[#This Row],[Audit Candidate 5]])), Audit[[#This Row],[Audit Candidate 5]]-Audit[[#This Row],[Candidate 5]], "")</f>
        <v/>
      </c>
      <c r="AJ272" s="17" t="str">
        <f>IF(NOT(ISBLANK(Audit[[#This Row],[Audit Candidate 6]])), Audit[[#This Row],[Audit Candidate 6]]-Audit[[#This Row],[Candidate 6]], "")</f>
        <v/>
      </c>
      <c r="AK272" s="17" t="str">
        <f>IF(NOT(ISBLANK(Audit[[#This Row],[Audit Candidate 7]])), Audit[[#This Row],[Audit Candidate 7]]-Audit[[#This Row],[Candidate 7]], "")</f>
        <v/>
      </c>
      <c r="AL272" s="17" t="str">
        <f>IF(NOT(ISBLANK(Audit[[#This Row],[Audit Candidate 8]])), Audit[[#This Row],[Audit Candidate 8]]-Audit[[#This Row],[Candidate 8]], "")</f>
        <v/>
      </c>
      <c r="AM272" s="17" t="str">
        <f>IF(NOT(ISBLANK(Audit[[#This Row],[Audit Candidate 9]])), Audit[[#This Row],[Audit Candidate 9]]-Audit[[#This Row],[Candidate 9]], "")</f>
        <v/>
      </c>
      <c r="AN272" s="17" t="str">
        <f>IF(NOT(ISBLANK(Audit[[#This Row],[Audit Candidate 10]])), Audit[[#This Row],[Audit Candidate 10]]-Audit[[#This Row],[Candidate 10]], "")</f>
        <v/>
      </c>
      <c r="AO272" s="17" t="str">
        <f>IF(NOT(ISBLANK(Audit[[#This Row],[Audit Candidate 11]])), Audit[[#This Row],[Audit Candidate 11]]-Audit[[#This Row],[Candidate 11]], "")</f>
        <v/>
      </c>
      <c r="AP272" s="17" t="str">
        <f>IF(NOT(ISBLANK(Audit[[#This Row],[Audit Candidate 12]])), Audit[[#This Row],[Audit Candidate 12]]-Audit[[#This Row],[Candidate 12]], "")</f>
        <v/>
      </c>
      <c r="AQ272" s="17">
        <f>SUMIF(Audit[[#This Row],[Difference Winner]:[Difference Candidate 12]], "&gt;0")</f>
        <v>0</v>
      </c>
      <c r="AR272" s="17">
        <f>SUM(Audit[[#This Row],[Difference Winner]:[Difference Candidate 12]])</f>
        <v>0</v>
      </c>
      <c r="AS272" s="17">
        <f>IF(Audit[[#This Row],[Times p Drawn - With Replacement]]&gt;0, IF(Audit[[#This Row],[Canceled Differences]]&lt;0, Audit[[#This Row],[Max Differences]]+ABS(Audit[[#This Row],[Canceled Differences]]), Audit[[#This Row],[Max Differences]]), 0)</f>
        <v>0</v>
      </c>
      <c r="AT272" s="17">
        <f>'Sampling Data'!AB272</f>
        <v>1.587166864708878E-2</v>
      </c>
      <c r="AU272" s="17">
        <f>IF(
      SUM(Audit[[#This Row],[Audit Losing Candidate]:[Audit Candidate 12]])
      &lt;&gt;0,
      (Audit[[#This Row],[Winning Candidate]]-Audit[[#This Row],[Losing Candidate]]-(Audit[[#This Row],[Audit Winning Candidate]]-Audit[[#This Row],[Audit Losing Candidate]]))/(Audit[[#Totals],[Winning Candidate]]-Audit[[#Totals],[Losing Candidate]]),
      0
)</f>
        <v>0</v>
      </c>
      <c r="AV2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2" s="17">
        <f>IF(Audit[[#This Row],[Max Relative Error (ep)]] = 0, 0, Audit[[#This Row],[Max Relative Error (ep)]]/Audit[[#This Row],[Error Bound (up) - Max. possible relative overstatement]])</f>
        <v>0</v>
      </c>
      <c r="BH2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72" s="17">
        <f t="shared" si="5"/>
        <v>1</v>
      </c>
      <c r="BJ272" s="17">
        <f>PRODUCT($BI$5:BI272)</f>
        <v>0.57679094656345797</v>
      </c>
      <c r="BK272" s="19">
        <f>1 - Audit[[#This Row],[K-M P Value]]</f>
        <v>0.42320905343654203</v>
      </c>
      <c r="BL272" s="17" t="str">
        <f>IF(Audit[[#This Row],[K-M P Value]]&gt;1-'General Info'!$B$12,"Continue", "Stop")</f>
        <v>Continue</v>
      </c>
      <c r="BM272" s="22" t="b">
        <f>IF(Audit[[#This Row],[Status - Continue or stop audit]] = "Continue", TRUE, IF(BL271 = "Continue", TRUE, FALSE))</f>
        <v>1</v>
      </c>
      <c r="BN272" s="22"/>
    </row>
    <row r="273" spans="1:66" ht="15" hidden="1" customHeight="1" x14ac:dyDescent="0.35">
      <c r="A273" s="17" t="str">
        <f>'Sampling Data'!AI273</f>
        <v/>
      </c>
      <c r="B273" s="17" t="str">
        <f>'Sampling Data'!A273</f>
        <v>4341 NCH 4-A   (AV)</v>
      </c>
      <c r="C273" s="17">
        <f>'Sampling Data'!B273</f>
        <v>198</v>
      </c>
      <c r="D273" s="17">
        <f>'Sampling Data'!C273</f>
        <v>90</v>
      </c>
      <c r="E273" s="18">
        <f>'Sampling Data'!D273</f>
        <v>0</v>
      </c>
      <c r="F273" s="18">
        <f>'Sampling Data'!E273</f>
        <v>0</v>
      </c>
      <c r="G273" s="18">
        <f>'Sampling Data'!F273</f>
        <v>0</v>
      </c>
      <c r="H273" s="18">
        <f>'Sampling Data'!G273</f>
        <v>0</v>
      </c>
      <c r="I273" s="18">
        <f>'Sampling Data'!H273</f>
        <v>0</v>
      </c>
      <c r="J273" s="18">
        <f>'Sampling Data'!I273</f>
        <v>0</v>
      </c>
      <c r="K273" s="18">
        <f>'Sampling Data'!J273</f>
        <v>0</v>
      </c>
      <c r="L273" s="18">
        <f>'Sampling Data'!K273</f>
        <v>0</v>
      </c>
      <c r="M273" s="18">
        <f>'Sampling Data'!L273</f>
        <v>0</v>
      </c>
      <c r="N273" s="18">
        <f>'Sampling Data'!M273</f>
        <v>0</v>
      </c>
      <c r="O273" s="17">
        <f>'Sampling Data'!N273</f>
        <v>0</v>
      </c>
      <c r="P273" s="17">
        <f>'Sampling Data'!O273</f>
        <v>14</v>
      </c>
      <c r="Q273" s="17">
        <f>'Sampling Data'!P273</f>
        <v>302</v>
      </c>
      <c r="R273" s="17">
        <f>'Sampling Data'!AJ273</f>
        <v>0</v>
      </c>
      <c r="S273" s="111"/>
      <c r="T273" s="111"/>
      <c r="U273" s="112"/>
      <c r="V273" s="112"/>
      <c r="W273" s="111"/>
      <c r="X273" s="111"/>
      <c r="Y273" s="111"/>
      <c r="Z273" s="111"/>
      <c r="AA273" s="14"/>
      <c r="AB273" s="14"/>
      <c r="AC273" s="14"/>
      <c r="AD273" s="14"/>
      <c r="AE273" s="113" t="str">
        <f>IF(NOT(ISBLANK(Audit[[#This Row],[Audit Winning Candidate]])), Audit[[#This Row],[Audit Winning Candidate]]-Audit[[#This Row],[Winning Candidate]], "")</f>
        <v/>
      </c>
      <c r="AF273" s="17" t="str">
        <f>IF(NOT(ISBLANK(Audit[[#This Row],[Audit Losing Candidate]])), Audit[[#This Row],[Audit Losing Candidate]]-Audit[[#This Row],[Losing Candidate]], "")</f>
        <v/>
      </c>
      <c r="AG273" s="17" t="str">
        <f>IF(NOT(ISBLANK(Audit[[#This Row],[Audit Candidate 3]])), Audit[[#This Row],[Audit Candidate 3]]-Audit[[#This Row],[Candidate 3]], "")</f>
        <v/>
      </c>
      <c r="AH273" s="17" t="str">
        <f>IF(NOT(ISBLANK(Audit[[#This Row],[Audit Candidate 4]])),Audit[[#This Row],[Audit Candidate 4]]-Audit[[#This Row],[Candidate 4]], "")</f>
        <v/>
      </c>
      <c r="AI273" s="17" t="str">
        <f>IF(NOT(ISBLANK(Audit[[#This Row],[Audit Candidate 5]])), Audit[[#This Row],[Audit Candidate 5]]-Audit[[#This Row],[Candidate 5]], "")</f>
        <v/>
      </c>
      <c r="AJ273" s="17" t="str">
        <f>IF(NOT(ISBLANK(Audit[[#This Row],[Audit Candidate 6]])), Audit[[#This Row],[Audit Candidate 6]]-Audit[[#This Row],[Candidate 6]], "")</f>
        <v/>
      </c>
      <c r="AK273" s="17" t="str">
        <f>IF(NOT(ISBLANK(Audit[[#This Row],[Audit Candidate 7]])), Audit[[#This Row],[Audit Candidate 7]]-Audit[[#This Row],[Candidate 7]], "")</f>
        <v/>
      </c>
      <c r="AL273" s="17" t="str">
        <f>IF(NOT(ISBLANK(Audit[[#This Row],[Audit Candidate 8]])), Audit[[#This Row],[Audit Candidate 8]]-Audit[[#This Row],[Candidate 8]], "")</f>
        <v/>
      </c>
      <c r="AM273" s="17" t="str">
        <f>IF(NOT(ISBLANK(Audit[[#This Row],[Audit Candidate 9]])), Audit[[#This Row],[Audit Candidate 9]]-Audit[[#This Row],[Candidate 9]], "")</f>
        <v/>
      </c>
      <c r="AN273" s="17" t="str">
        <f>IF(NOT(ISBLANK(Audit[[#This Row],[Audit Candidate 10]])), Audit[[#This Row],[Audit Candidate 10]]-Audit[[#This Row],[Candidate 10]], "")</f>
        <v/>
      </c>
      <c r="AO273" s="17" t="str">
        <f>IF(NOT(ISBLANK(Audit[[#This Row],[Audit Candidate 11]])), Audit[[#This Row],[Audit Candidate 11]]-Audit[[#This Row],[Candidate 11]], "")</f>
        <v/>
      </c>
      <c r="AP273" s="17" t="str">
        <f>IF(NOT(ISBLANK(Audit[[#This Row],[Audit Candidate 12]])), Audit[[#This Row],[Audit Candidate 12]]-Audit[[#This Row],[Candidate 12]], "")</f>
        <v/>
      </c>
      <c r="AQ273" s="17">
        <f>SUMIF(Audit[[#This Row],[Difference Winner]:[Difference Candidate 12]], "&gt;0")</f>
        <v>0</v>
      </c>
      <c r="AR273" s="17">
        <f>SUM(Audit[[#This Row],[Difference Winner]:[Difference Candidate 12]])</f>
        <v>0</v>
      </c>
      <c r="AS273" s="17">
        <f>IF(Audit[[#This Row],[Times p Drawn - With Replacement]]&gt;0, IF(Audit[[#This Row],[Canceled Differences]]&lt;0, Audit[[#This Row],[Max Differences]]+ABS(Audit[[#This Row],[Canceled Differences]]), Audit[[#This Row],[Max Differences]]), 0)</f>
        <v>0</v>
      </c>
      <c r="AT273" s="17">
        <f>'Sampling Data'!AB273</f>
        <v>1.7399422848412834E-2</v>
      </c>
      <c r="AU273" s="17">
        <f>IF(
      SUM(Audit[[#This Row],[Audit Losing Candidate]:[Audit Candidate 12]])
      &lt;&gt;0,
      (Audit[[#This Row],[Winning Candidate]]-Audit[[#This Row],[Losing Candidate]]-(Audit[[#This Row],[Audit Winning Candidate]]-Audit[[#This Row],[Audit Losing Candidate]]))/(Audit[[#Totals],[Winning Candidate]]-Audit[[#Totals],[Losing Candidate]]),
      0
)</f>
        <v>0</v>
      </c>
      <c r="AV2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3" s="17">
        <f>IF(Audit[[#This Row],[Max Relative Error (ep)]] = 0, 0, Audit[[#This Row],[Max Relative Error (ep)]]/Audit[[#This Row],[Error Bound (up) - Max. possible relative overstatement]])</f>
        <v>0</v>
      </c>
      <c r="BH2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73" s="17">
        <f t="shared" si="5"/>
        <v>1</v>
      </c>
      <c r="BJ273" s="17">
        <f>PRODUCT($BI$5:BI273)</f>
        <v>0.57679094656345797</v>
      </c>
      <c r="BK273" s="19">
        <f>1 - Audit[[#This Row],[K-M P Value]]</f>
        <v>0.42320905343654203</v>
      </c>
      <c r="BL273" s="17" t="str">
        <f>IF(Audit[[#This Row],[K-M P Value]]&gt;1-'General Info'!$B$12,"Continue", "Stop")</f>
        <v>Continue</v>
      </c>
      <c r="BM273" s="22" t="b">
        <f>IF(Audit[[#This Row],[Status - Continue or stop audit]] = "Continue", TRUE, IF(BL272 = "Continue", TRUE, FALSE))</f>
        <v>1</v>
      </c>
      <c r="BN273" s="22"/>
    </row>
    <row r="274" spans="1:66" ht="15" hidden="1" customHeight="1" x14ac:dyDescent="0.35">
      <c r="A274" s="17" t="str">
        <f>'Sampling Data'!AI274</f>
        <v/>
      </c>
      <c r="B274" s="17" t="str">
        <f>'Sampling Data'!A274</f>
        <v>4342 NCH 4-B   (AV)</v>
      </c>
      <c r="C274" s="17">
        <f>'Sampling Data'!B274</f>
        <v>95</v>
      </c>
      <c r="D274" s="17">
        <f>'Sampling Data'!C274</f>
        <v>37</v>
      </c>
      <c r="E274" s="18">
        <f>'Sampling Data'!D274</f>
        <v>0</v>
      </c>
      <c r="F274" s="18">
        <f>'Sampling Data'!E274</f>
        <v>0</v>
      </c>
      <c r="G274" s="18">
        <f>'Sampling Data'!F274</f>
        <v>0</v>
      </c>
      <c r="H274" s="18">
        <f>'Sampling Data'!G274</f>
        <v>0</v>
      </c>
      <c r="I274" s="18">
        <f>'Sampling Data'!H274</f>
        <v>0</v>
      </c>
      <c r="J274" s="18">
        <f>'Sampling Data'!I274</f>
        <v>0</v>
      </c>
      <c r="K274" s="18">
        <f>'Sampling Data'!J274</f>
        <v>0</v>
      </c>
      <c r="L274" s="18">
        <f>'Sampling Data'!K274</f>
        <v>0</v>
      </c>
      <c r="M274" s="18">
        <f>'Sampling Data'!L274</f>
        <v>0</v>
      </c>
      <c r="N274" s="18">
        <f>'Sampling Data'!M274</f>
        <v>0</v>
      </c>
      <c r="O274" s="17">
        <f>'Sampling Data'!N274</f>
        <v>0</v>
      </c>
      <c r="P274" s="17">
        <f>'Sampling Data'!O274</f>
        <v>7</v>
      </c>
      <c r="Q274" s="17">
        <f>'Sampling Data'!P274</f>
        <v>139</v>
      </c>
      <c r="R274" s="17">
        <f>'Sampling Data'!AJ274</f>
        <v>0</v>
      </c>
      <c r="S274" s="111"/>
      <c r="T274" s="111"/>
      <c r="U274" s="112"/>
      <c r="V274" s="112"/>
      <c r="W274" s="111"/>
      <c r="X274" s="111"/>
      <c r="Y274" s="111"/>
      <c r="Z274" s="111"/>
      <c r="AA274" s="14"/>
      <c r="AB274" s="14"/>
      <c r="AC274" s="14"/>
      <c r="AD274" s="14"/>
      <c r="AE274" s="113" t="str">
        <f>IF(NOT(ISBLANK(Audit[[#This Row],[Audit Winning Candidate]])), Audit[[#This Row],[Audit Winning Candidate]]-Audit[[#This Row],[Winning Candidate]], "")</f>
        <v/>
      </c>
      <c r="AF274" s="17" t="str">
        <f>IF(NOT(ISBLANK(Audit[[#This Row],[Audit Losing Candidate]])), Audit[[#This Row],[Audit Losing Candidate]]-Audit[[#This Row],[Losing Candidate]], "")</f>
        <v/>
      </c>
      <c r="AG274" s="17" t="str">
        <f>IF(NOT(ISBLANK(Audit[[#This Row],[Audit Candidate 3]])), Audit[[#This Row],[Audit Candidate 3]]-Audit[[#This Row],[Candidate 3]], "")</f>
        <v/>
      </c>
      <c r="AH274" s="17" t="str">
        <f>IF(NOT(ISBLANK(Audit[[#This Row],[Audit Candidate 4]])),Audit[[#This Row],[Audit Candidate 4]]-Audit[[#This Row],[Candidate 4]], "")</f>
        <v/>
      </c>
      <c r="AI274" s="17" t="str">
        <f>IF(NOT(ISBLANK(Audit[[#This Row],[Audit Candidate 5]])), Audit[[#This Row],[Audit Candidate 5]]-Audit[[#This Row],[Candidate 5]], "")</f>
        <v/>
      </c>
      <c r="AJ274" s="17" t="str">
        <f>IF(NOT(ISBLANK(Audit[[#This Row],[Audit Candidate 6]])), Audit[[#This Row],[Audit Candidate 6]]-Audit[[#This Row],[Candidate 6]], "")</f>
        <v/>
      </c>
      <c r="AK274" s="17" t="str">
        <f>IF(NOT(ISBLANK(Audit[[#This Row],[Audit Candidate 7]])), Audit[[#This Row],[Audit Candidate 7]]-Audit[[#This Row],[Candidate 7]], "")</f>
        <v/>
      </c>
      <c r="AL274" s="17" t="str">
        <f>IF(NOT(ISBLANK(Audit[[#This Row],[Audit Candidate 8]])), Audit[[#This Row],[Audit Candidate 8]]-Audit[[#This Row],[Candidate 8]], "")</f>
        <v/>
      </c>
      <c r="AM274" s="17" t="str">
        <f>IF(NOT(ISBLANK(Audit[[#This Row],[Audit Candidate 9]])), Audit[[#This Row],[Audit Candidate 9]]-Audit[[#This Row],[Candidate 9]], "")</f>
        <v/>
      </c>
      <c r="AN274" s="17" t="str">
        <f>IF(NOT(ISBLANK(Audit[[#This Row],[Audit Candidate 10]])), Audit[[#This Row],[Audit Candidate 10]]-Audit[[#This Row],[Candidate 10]], "")</f>
        <v/>
      </c>
      <c r="AO274" s="17" t="str">
        <f>IF(NOT(ISBLANK(Audit[[#This Row],[Audit Candidate 11]])), Audit[[#This Row],[Audit Candidate 11]]-Audit[[#This Row],[Candidate 11]], "")</f>
        <v/>
      </c>
      <c r="AP274" s="17" t="str">
        <f>IF(NOT(ISBLANK(Audit[[#This Row],[Audit Candidate 12]])), Audit[[#This Row],[Audit Candidate 12]]-Audit[[#This Row],[Candidate 12]], "")</f>
        <v/>
      </c>
      <c r="AQ274" s="17">
        <f>SUMIF(Audit[[#This Row],[Difference Winner]:[Difference Candidate 12]], "&gt;0")</f>
        <v>0</v>
      </c>
      <c r="AR274" s="17">
        <f>SUM(Audit[[#This Row],[Difference Winner]:[Difference Candidate 12]])</f>
        <v>0</v>
      </c>
      <c r="AS274" s="17">
        <f>IF(Audit[[#This Row],[Times p Drawn - With Replacement]]&gt;0, IF(Audit[[#This Row],[Canceled Differences]]&lt;0, Audit[[#This Row],[Max Differences]]+ABS(Audit[[#This Row],[Canceled Differences]]), Audit[[#This Row],[Max Differences]]), 0)</f>
        <v>0</v>
      </c>
      <c r="AT274" s="17">
        <f>'Sampling Data'!AB274</f>
        <v>8.3602104905788482E-3</v>
      </c>
      <c r="AU274" s="17">
        <f>IF(
      SUM(Audit[[#This Row],[Audit Losing Candidate]:[Audit Candidate 12]])
      &lt;&gt;0,
      (Audit[[#This Row],[Winning Candidate]]-Audit[[#This Row],[Losing Candidate]]-(Audit[[#This Row],[Audit Winning Candidate]]-Audit[[#This Row],[Audit Losing Candidate]]))/(Audit[[#Totals],[Winning Candidate]]-Audit[[#Totals],[Losing Candidate]]),
      0
)</f>
        <v>0</v>
      </c>
      <c r="AV2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4" s="17">
        <f>IF(Audit[[#This Row],[Max Relative Error (ep)]] = 0, 0, Audit[[#This Row],[Max Relative Error (ep)]]/Audit[[#This Row],[Error Bound (up) - Max. possible relative overstatement]])</f>
        <v>0</v>
      </c>
      <c r="BH2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74" s="17">
        <f t="shared" si="5"/>
        <v>1</v>
      </c>
      <c r="BJ274" s="17">
        <f>PRODUCT($BI$5:BI274)</f>
        <v>0.57679094656345797</v>
      </c>
      <c r="BK274" s="19">
        <f>1 - Audit[[#This Row],[K-M P Value]]</f>
        <v>0.42320905343654203</v>
      </c>
      <c r="BL274" s="17" t="str">
        <f>IF(Audit[[#This Row],[K-M P Value]]&gt;1-'General Info'!$B$12,"Continue", "Stop")</f>
        <v>Continue</v>
      </c>
      <c r="BM274" s="22" t="b">
        <f>IF(Audit[[#This Row],[Status - Continue or stop audit]] = "Continue", TRUE, IF(BL273 = "Continue", TRUE, FALSE))</f>
        <v>1</v>
      </c>
      <c r="BN274" s="22"/>
    </row>
    <row r="275" spans="1:66" ht="15" hidden="1" customHeight="1" x14ac:dyDescent="0.35">
      <c r="A275" s="17" t="str">
        <f>'Sampling Data'!AI275</f>
        <v/>
      </c>
      <c r="B275" s="17" t="str">
        <f>'Sampling Data'!A275</f>
        <v>4343 NCH 4-C   (AV)</v>
      </c>
      <c r="C275" s="17">
        <f>'Sampling Data'!B275</f>
        <v>175</v>
      </c>
      <c r="D275" s="17">
        <f>'Sampling Data'!C275</f>
        <v>28</v>
      </c>
      <c r="E275" s="18">
        <f>'Sampling Data'!D275</f>
        <v>0</v>
      </c>
      <c r="F275" s="18">
        <f>'Sampling Data'!E275</f>
        <v>0</v>
      </c>
      <c r="G275" s="18">
        <f>'Sampling Data'!F275</f>
        <v>0</v>
      </c>
      <c r="H275" s="18">
        <f>'Sampling Data'!G275</f>
        <v>0</v>
      </c>
      <c r="I275" s="18">
        <f>'Sampling Data'!H275</f>
        <v>0</v>
      </c>
      <c r="J275" s="18">
        <f>'Sampling Data'!I275</f>
        <v>0</v>
      </c>
      <c r="K275" s="18">
        <f>'Sampling Data'!J275</f>
        <v>0</v>
      </c>
      <c r="L275" s="18">
        <f>'Sampling Data'!K275</f>
        <v>0</v>
      </c>
      <c r="M275" s="18">
        <f>'Sampling Data'!L275</f>
        <v>0</v>
      </c>
      <c r="N275" s="18">
        <f>'Sampling Data'!M275</f>
        <v>0</v>
      </c>
      <c r="O275" s="17">
        <f>'Sampling Data'!N275</f>
        <v>0</v>
      </c>
      <c r="P275" s="17">
        <f>'Sampling Data'!O275</f>
        <v>11</v>
      </c>
      <c r="Q275" s="17">
        <f>'Sampling Data'!P275</f>
        <v>214</v>
      </c>
      <c r="R275" s="17">
        <f>'Sampling Data'!AJ275</f>
        <v>0</v>
      </c>
      <c r="S275" s="111"/>
      <c r="T275" s="111"/>
      <c r="U275" s="112"/>
      <c r="V275" s="112"/>
      <c r="W275" s="111"/>
      <c r="X275" s="111"/>
      <c r="Y275" s="111"/>
      <c r="Z275" s="111"/>
      <c r="AA275" s="14"/>
      <c r="AB275" s="14"/>
      <c r="AC275" s="14"/>
      <c r="AD275" s="14"/>
      <c r="AE275" s="113" t="str">
        <f>IF(NOT(ISBLANK(Audit[[#This Row],[Audit Winning Candidate]])), Audit[[#This Row],[Audit Winning Candidate]]-Audit[[#This Row],[Winning Candidate]], "")</f>
        <v/>
      </c>
      <c r="AF275" s="17" t="str">
        <f>IF(NOT(ISBLANK(Audit[[#This Row],[Audit Losing Candidate]])), Audit[[#This Row],[Audit Losing Candidate]]-Audit[[#This Row],[Losing Candidate]], "")</f>
        <v/>
      </c>
      <c r="AG275" s="17" t="str">
        <f>IF(NOT(ISBLANK(Audit[[#This Row],[Audit Candidate 3]])), Audit[[#This Row],[Audit Candidate 3]]-Audit[[#This Row],[Candidate 3]], "")</f>
        <v/>
      </c>
      <c r="AH275" s="17" t="str">
        <f>IF(NOT(ISBLANK(Audit[[#This Row],[Audit Candidate 4]])),Audit[[#This Row],[Audit Candidate 4]]-Audit[[#This Row],[Candidate 4]], "")</f>
        <v/>
      </c>
      <c r="AI275" s="17" t="str">
        <f>IF(NOT(ISBLANK(Audit[[#This Row],[Audit Candidate 5]])), Audit[[#This Row],[Audit Candidate 5]]-Audit[[#This Row],[Candidate 5]], "")</f>
        <v/>
      </c>
      <c r="AJ275" s="17" t="str">
        <f>IF(NOT(ISBLANK(Audit[[#This Row],[Audit Candidate 6]])), Audit[[#This Row],[Audit Candidate 6]]-Audit[[#This Row],[Candidate 6]], "")</f>
        <v/>
      </c>
      <c r="AK275" s="17" t="str">
        <f>IF(NOT(ISBLANK(Audit[[#This Row],[Audit Candidate 7]])), Audit[[#This Row],[Audit Candidate 7]]-Audit[[#This Row],[Candidate 7]], "")</f>
        <v/>
      </c>
      <c r="AL275" s="17" t="str">
        <f>IF(NOT(ISBLANK(Audit[[#This Row],[Audit Candidate 8]])), Audit[[#This Row],[Audit Candidate 8]]-Audit[[#This Row],[Candidate 8]], "")</f>
        <v/>
      </c>
      <c r="AM275" s="17" t="str">
        <f>IF(NOT(ISBLANK(Audit[[#This Row],[Audit Candidate 9]])), Audit[[#This Row],[Audit Candidate 9]]-Audit[[#This Row],[Candidate 9]], "")</f>
        <v/>
      </c>
      <c r="AN275" s="17" t="str">
        <f>IF(NOT(ISBLANK(Audit[[#This Row],[Audit Candidate 10]])), Audit[[#This Row],[Audit Candidate 10]]-Audit[[#This Row],[Candidate 10]], "")</f>
        <v/>
      </c>
      <c r="AO275" s="17" t="str">
        <f>IF(NOT(ISBLANK(Audit[[#This Row],[Audit Candidate 11]])), Audit[[#This Row],[Audit Candidate 11]]-Audit[[#This Row],[Candidate 11]], "")</f>
        <v/>
      </c>
      <c r="AP275" s="17" t="str">
        <f>IF(NOT(ISBLANK(Audit[[#This Row],[Audit Candidate 12]])), Audit[[#This Row],[Audit Candidate 12]]-Audit[[#This Row],[Candidate 12]], "")</f>
        <v/>
      </c>
      <c r="AQ275" s="17">
        <f>SUMIF(Audit[[#This Row],[Difference Winner]:[Difference Candidate 12]], "&gt;0")</f>
        <v>0</v>
      </c>
      <c r="AR275" s="17">
        <f>SUM(Audit[[#This Row],[Difference Winner]:[Difference Candidate 12]])</f>
        <v>0</v>
      </c>
      <c r="AS275" s="17">
        <f>IF(Audit[[#This Row],[Times p Drawn - With Replacement]]&gt;0, IF(Audit[[#This Row],[Canceled Differences]]&lt;0, Audit[[#This Row],[Max Differences]]+ABS(Audit[[#This Row],[Canceled Differences]]), Audit[[#This Row],[Max Differences]]), 0)</f>
        <v>0</v>
      </c>
      <c r="AT275" s="17">
        <f>'Sampling Data'!AB275</f>
        <v>1.5319979629943982E-2</v>
      </c>
      <c r="AU275" s="17">
        <f>IF(
      SUM(Audit[[#This Row],[Audit Losing Candidate]:[Audit Candidate 12]])
      &lt;&gt;0,
      (Audit[[#This Row],[Winning Candidate]]-Audit[[#This Row],[Losing Candidate]]-(Audit[[#This Row],[Audit Winning Candidate]]-Audit[[#This Row],[Audit Losing Candidate]]))/(Audit[[#Totals],[Winning Candidate]]-Audit[[#Totals],[Losing Candidate]]),
      0
)</f>
        <v>0</v>
      </c>
      <c r="AV2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5" s="17">
        <f>IF(Audit[[#This Row],[Max Relative Error (ep)]] = 0, 0, Audit[[#This Row],[Max Relative Error (ep)]]/Audit[[#This Row],[Error Bound (up) - Max. possible relative overstatement]])</f>
        <v>0</v>
      </c>
      <c r="BH2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75" s="17">
        <f t="shared" si="5"/>
        <v>1</v>
      </c>
      <c r="BJ275" s="17">
        <f>PRODUCT($BI$5:BI275)</f>
        <v>0.57679094656345797</v>
      </c>
      <c r="BK275" s="19">
        <f>1 - Audit[[#This Row],[K-M P Value]]</f>
        <v>0.42320905343654203</v>
      </c>
      <c r="BL275" s="17" t="str">
        <f>IF(Audit[[#This Row],[K-M P Value]]&gt;1-'General Info'!$B$12,"Continue", "Stop")</f>
        <v>Continue</v>
      </c>
      <c r="BM275" s="22" t="b">
        <f>IF(Audit[[#This Row],[Status - Continue or stop audit]] = "Continue", TRUE, IF(BL274 = "Continue", TRUE, FALSE))</f>
        <v>1</v>
      </c>
      <c r="BN275" s="22"/>
    </row>
    <row r="276" spans="1:66" ht="15" hidden="1" customHeight="1" x14ac:dyDescent="0.35">
      <c r="A276" s="17" t="str">
        <f>'Sampling Data'!AI276</f>
        <v/>
      </c>
      <c r="B276" s="17" t="str">
        <f>'Sampling Data'!A276</f>
        <v>4411 NORW 1-A   (AV)</v>
      </c>
      <c r="C276" s="17">
        <f>'Sampling Data'!B276</f>
        <v>170</v>
      </c>
      <c r="D276" s="17">
        <f>'Sampling Data'!C276</f>
        <v>90</v>
      </c>
      <c r="E276" s="18">
        <f>'Sampling Data'!D276</f>
        <v>0</v>
      </c>
      <c r="F276" s="18">
        <f>'Sampling Data'!E276</f>
        <v>0</v>
      </c>
      <c r="G276" s="18">
        <f>'Sampling Data'!F276</f>
        <v>0</v>
      </c>
      <c r="H276" s="18">
        <f>'Sampling Data'!G276</f>
        <v>0</v>
      </c>
      <c r="I276" s="18">
        <f>'Sampling Data'!H276</f>
        <v>0</v>
      </c>
      <c r="J276" s="18">
        <f>'Sampling Data'!I276</f>
        <v>0</v>
      </c>
      <c r="K276" s="18">
        <f>'Sampling Data'!J276</f>
        <v>0</v>
      </c>
      <c r="L276" s="18">
        <f>'Sampling Data'!K276</f>
        <v>0</v>
      </c>
      <c r="M276" s="18">
        <f>'Sampling Data'!L276</f>
        <v>0</v>
      </c>
      <c r="N276" s="18">
        <f>'Sampling Data'!M276</f>
        <v>0</v>
      </c>
      <c r="O276" s="17">
        <f>'Sampling Data'!N276</f>
        <v>0</v>
      </c>
      <c r="P276" s="17">
        <f>'Sampling Data'!O276</f>
        <v>12</v>
      </c>
      <c r="Q276" s="17">
        <f>'Sampling Data'!P276</f>
        <v>272</v>
      </c>
      <c r="R276" s="17">
        <f>'Sampling Data'!AJ276</f>
        <v>0</v>
      </c>
      <c r="S276" s="111"/>
      <c r="T276" s="111"/>
      <c r="U276" s="112"/>
      <c r="V276" s="112"/>
      <c r="W276" s="111"/>
      <c r="X276" s="111"/>
      <c r="Y276" s="111"/>
      <c r="Z276" s="111"/>
      <c r="AA276" s="14"/>
      <c r="AB276" s="14"/>
      <c r="AC276" s="14"/>
      <c r="AD276" s="14"/>
      <c r="AE276" s="113" t="str">
        <f>IF(NOT(ISBLANK(Audit[[#This Row],[Audit Winning Candidate]])), Audit[[#This Row],[Audit Winning Candidate]]-Audit[[#This Row],[Winning Candidate]], "")</f>
        <v/>
      </c>
      <c r="AF276" s="17" t="str">
        <f>IF(NOT(ISBLANK(Audit[[#This Row],[Audit Losing Candidate]])), Audit[[#This Row],[Audit Losing Candidate]]-Audit[[#This Row],[Losing Candidate]], "")</f>
        <v/>
      </c>
      <c r="AG276" s="17" t="str">
        <f>IF(NOT(ISBLANK(Audit[[#This Row],[Audit Candidate 3]])), Audit[[#This Row],[Audit Candidate 3]]-Audit[[#This Row],[Candidate 3]], "")</f>
        <v/>
      </c>
      <c r="AH276" s="17" t="str">
        <f>IF(NOT(ISBLANK(Audit[[#This Row],[Audit Candidate 4]])),Audit[[#This Row],[Audit Candidate 4]]-Audit[[#This Row],[Candidate 4]], "")</f>
        <v/>
      </c>
      <c r="AI276" s="17" t="str">
        <f>IF(NOT(ISBLANK(Audit[[#This Row],[Audit Candidate 5]])), Audit[[#This Row],[Audit Candidate 5]]-Audit[[#This Row],[Candidate 5]], "")</f>
        <v/>
      </c>
      <c r="AJ276" s="17" t="str">
        <f>IF(NOT(ISBLANK(Audit[[#This Row],[Audit Candidate 6]])), Audit[[#This Row],[Audit Candidate 6]]-Audit[[#This Row],[Candidate 6]], "")</f>
        <v/>
      </c>
      <c r="AK276" s="17" t="str">
        <f>IF(NOT(ISBLANK(Audit[[#This Row],[Audit Candidate 7]])), Audit[[#This Row],[Audit Candidate 7]]-Audit[[#This Row],[Candidate 7]], "")</f>
        <v/>
      </c>
      <c r="AL276" s="17" t="str">
        <f>IF(NOT(ISBLANK(Audit[[#This Row],[Audit Candidate 8]])), Audit[[#This Row],[Audit Candidate 8]]-Audit[[#This Row],[Candidate 8]], "")</f>
        <v/>
      </c>
      <c r="AM276" s="17" t="str">
        <f>IF(NOT(ISBLANK(Audit[[#This Row],[Audit Candidate 9]])), Audit[[#This Row],[Audit Candidate 9]]-Audit[[#This Row],[Candidate 9]], "")</f>
        <v/>
      </c>
      <c r="AN276" s="17" t="str">
        <f>IF(NOT(ISBLANK(Audit[[#This Row],[Audit Candidate 10]])), Audit[[#This Row],[Audit Candidate 10]]-Audit[[#This Row],[Candidate 10]], "")</f>
        <v/>
      </c>
      <c r="AO276" s="17" t="str">
        <f>IF(NOT(ISBLANK(Audit[[#This Row],[Audit Candidate 11]])), Audit[[#This Row],[Audit Candidate 11]]-Audit[[#This Row],[Candidate 11]], "")</f>
        <v/>
      </c>
      <c r="AP276" s="17" t="str">
        <f>IF(NOT(ISBLANK(Audit[[#This Row],[Audit Candidate 12]])), Audit[[#This Row],[Audit Candidate 12]]-Audit[[#This Row],[Candidate 12]], "")</f>
        <v/>
      </c>
      <c r="AQ276" s="17">
        <f>SUMIF(Audit[[#This Row],[Difference Winner]:[Difference Candidate 12]], "&gt;0")</f>
        <v>0</v>
      </c>
      <c r="AR276" s="17">
        <f>SUM(Audit[[#This Row],[Difference Winner]:[Difference Candidate 12]])</f>
        <v>0</v>
      </c>
      <c r="AS276" s="17">
        <f>IF(Audit[[#This Row],[Times p Drawn - With Replacement]]&gt;0, IF(Audit[[#This Row],[Canceled Differences]]&lt;0, Audit[[#This Row],[Max Differences]]+ABS(Audit[[#This Row],[Canceled Differences]]), Audit[[#This Row],[Max Differences]]), 0)</f>
        <v>0</v>
      </c>
      <c r="AT276" s="17">
        <f>'Sampling Data'!AB276</f>
        <v>1.4938041079612968E-2</v>
      </c>
      <c r="AU276" s="17">
        <f>IF(
      SUM(Audit[[#This Row],[Audit Losing Candidate]:[Audit Candidate 12]])
      &lt;&gt;0,
      (Audit[[#This Row],[Winning Candidate]]-Audit[[#This Row],[Losing Candidate]]-(Audit[[#This Row],[Audit Winning Candidate]]-Audit[[#This Row],[Audit Losing Candidate]]))/(Audit[[#Totals],[Winning Candidate]]-Audit[[#Totals],[Losing Candidate]]),
      0
)</f>
        <v>0</v>
      </c>
      <c r="AV2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6" s="17">
        <f>IF(Audit[[#This Row],[Max Relative Error (ep)]] = 0, 0, Audit[[#This Row],[Max Relative Error (ep)]]/Audit[[#This Row],[Error Bound (up) - Max. possible relative overstatement]])</f>
        <v>0</v>
      </c>
      <c r="BH2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76" s="17">
        <f t="shared" si="5"/>
        <v>1</v>
      </c>
      <c r="BJ276" s="17">
        <f>PRODUCT($BI$5:BI276)</f>
        <v>0.57679094656345797</v>
      </c>
      <c r="BK276" s="19">
        <f>1 - Audit[[#This Row],[K-M P Value]]</f>
        <v>0.42320905343654203</v>
      </c>
      <c r="BL276" s="17" t="str">
        <f>IF(Audit[[#This Row],[K-M P Value]]&gt;1-'General Info'!$B$12,"Continue", "Stop")</f>
        <v>Continue</v>
      </c>
      <c r="BM276" s="22" t="b">
        <f>IF(Audit[[#This Row],[Status - Continue or stop audit]] = "Continue", TRUE, IF(BL275 = "Continue", TRUE, FALSE))</f>
        <v>1</v>
      </c>
      <c r="BN276" s="22"/>
    </row>
    <row r="277" spans="1:66" ht="15" hidden="1" customHeight="1" x14ac:dyDescent="0.35">
      <c r="A277" s="17" t="str">
        <f>'Sampling Data'!AI277</f>
        <v/>
      </c>
      <c r="B277" s="17" t="str">
        <f>'Sampling Data'!A277</f>
        <v>4412 NORW 1-B   (AV)</v>
      </c>
      <c r="C277" s="17">
        <f>'Sampling Data'!B277</f>
        <v>166</v>
      </c>
      <c r="D277" s="17">
        <f>'Sampling Data'!C277</f>
        <v>125</v>
      </c>
      <c r="E277" s="18">
        <f>'Sampling Data'!D277</f>
        <v>0</v>
      </c>
      <c r="F277" s="18">
        <f>'Sampling Data'!E277</f>
        <v>0</v>
      </c>
      <c r="G277" s="18">
        <f>'Sampling Data'!F277</f>
        <v>0</v>
      </c>
      <c r="H277" s="18">
        <f>'Sampling Data'!G277</f>
        <v>0</v>
      </c>
      <c r="I277" s="18">
        <f>'Sampling Data'!H277</f>
        <v>0</v>
      </c>
      <c r="J277" s="18">
        <f>'Sampling Data'!I277</f>
        <v>0</v>
      </c>
      <c r="K277" s="18">
        <f>'Sampling Data'!J277</f>
        <v>0</v>
      </c>
      <c r="L277" s="18">
        <f>'Sampling Data'!K277</f>
        <v>0</v>
      </c>
      <c r="M277" s="18">
        <f>'Sampling Data'!L277</f>
        <v>0</v>
      </c>
      <c r="N277" s="18">
        <f>'Sampling Data'!M277</f>
        <v>0</v>
      </c>
      <c r="O277" s="17">
        <f>'Sampling Data'!N277</f>
        <v>0</v>
      </c>
      <c r="P277" s="17">
        <f>'Sampling Data'!O277</f>
        <v>24</v>
      </c>
      <c r="Q277" s="17">
        <f>'Sampling Data'!P277</f>
        <v>315</v>
      </c>
      <c r="R277" s="17">
        <f>'Sampling Data'!AJ277</f>
        <v>0</v>
      </c>
      <c r="S277" s="111"/>
      <c r="T277" s="111"/>
      <c r="U277" s="112"/>
      <c r="V277" s="112"/>
      <c r="W277" s="111"/>
      <c r="X277" s="111"/>
      <c r="Y277" s="111"/>
      <c r="Z277" s="111"/>
      <c r="AA277" s="14"/>
      <c r="AB277" s="14"/>
      <c r="AC277" s="14"/>
      <c r="AD277" s="14"/>
      <c r="AE277" s="113" t="str">
        <f>IF(NOT(ISBLANK(Audit[[#This Row],[Audit Winning Candidate]])), Audit[[#This Row],[Audit Winning Candidate]]-Audit[[#This Row],[Winning Candidate]], "")</f>
        <v/>
      </c>
      <c r="AF277" s="17" t="str">
        <f>IF(NOT(ISBLANK(Audit[[#This Row],[Audit Losing Candidate]])), Audit[[#This Row],[Audit Losing Candidate]]-Audit[[#This Row],[Losing Candidate]], "")</f>
        <v/>
      </c>
      <c r="AG277" s="17" t="str">
        <f>IF(NOT(ISBLANK(Audit[[#This Row],[Audit Candidate 3]])), Audit[[#This Row],[Audit Candidate 3]]-Audit[[#This Row],[Candidate 3]], "")</f>
        <v/>
      </c>
      <c r="AH277" s="17" t="str">
        <f>IF(NOT(ISBLANK(Audit[[#This Row],[Audit Candidate 4]])),Audit[[#This Row],[Audit Candidate 4]]-Audit[[#This Row],[Candidate 4]], "")</f>
        <v/>
      </c>
      <c r="AI277" s="17" t="str">
        <f>IF(NOT(ISBLANK(Audit[[#This Row],[Audit Candidate 5]])), Audit[[#This Row],[Audit Candidate 5]]-Audit[[#This Row],[Candidate 5]], "")</f>
        <v/>
      </c>
      <c r="AJ277" s="17" t="str">
        <f>IF(NOT(ISBLANK(Audit[[#This Row],[Audit Candidate 6]])), Audit[[#This Row],[Audit Candidate 6]]-Audit[[#This Row],[Candidate 6]], "")</f>
        <v/>
      </c>
      <c r="AK277" s="17" t="str">
        <f>IF(NOT(ISBLANK(Audit[[#This Row],[Audit Candidate 7]])), Audit[[#This Row],[Audit Candidate 7]]-Audit[[#This Row],[Candidate 7]], "")</f>
        <v/>
      </c>
      <c r="AL277" s="17" t="str">
        <f>IF(NOT(ISBLANK(Audit[[#This Row],[Audit Candidate 8]])), Audit[[#This Row],[Audit Candidate 8]]-Audit[[#This Row],[Candidate 8]], "")</f>
        <v/>
      </c>
      <c r="AM277" s="17" t="str">
        <f>IF(NOT(ISBLANK(Audit[[#This Row],[Audit Candidate 9]])), Audit[[#This Row],[Audit Candidate 9]]-Audit[[#This Row],[Candidate 9]], "")</f>
        <v/>
      </c>
      <c r="AN277" s="17" t="str">
        <f>IF(NOT(ISBLANK(Audit[[#This Row],[Audit Candidate 10]])), Audit[[#This Row],[Audit Candidate 10]]-Audit[[#This Row],[Candidate 10]], "")</f>
        <v/>
      </c>
      <c r="AO277" s="17" t="str">
        <f>IF(NOT(ISBLANK(Audit[[#This Row],[Audit Candidate 11]])), Audit[[#This Row],[Audit Candidate 11]]-Audit[[#This Row],[Candidate 11]], "")</f>
        <v/>
      </c>
      <c r="AP277" s="17" t="str">
        <f>IF(NOT(ISBLANK(Audit[[#This Row],[Audit Candidate 12]])), Audit[[#This Row],[Audit Candidate 12]]-Audit[[#This Row],[Candidate 12]], "")</f>
        <v/>
      </c>
      <c r="AQ277" s="17">
        <f>SUMIF(Audit[[#This Row],[Difference Winner]:[Difference Candidate 12]], "&gt;0")</f>
        <v>0</v>
      </c>
      <c r="AR277" s="17">
        <f>SUM(Audit[[#This Row],[Difference Winner]:[Difference Candidate 12]])</f>
        <v>0</v>
      </c>
      <c r="AS277" s="17">
        <f>IF(Audit[[#This Row],[Times p Drawn - With Replacement]]&gt;0, IF(Audit[[#This Row],[Canceled Differences]]&lt;0, Audit[[#This Row],[Max Differences]]+ABS(Audit[[#This Row],[Canceled Differences]]), Audit[[#This Row],[Max Differences]]), 0)</f>
        <v>0</v>
      </c>
      <c r="AT277" s="17">
        <f>'Sampling Data'!AB277</f>
        <v>1.5107791546426753E-2</v>
      </c>
      <c r="AU277" s="17">
        <f>IF(
      SUM(Audit[[#This Row],[Audit Losing Candidate]:[Audit Candidate 12]])
      &lt;&gt;0,
      (Audit[[#This Row],[Winning Candidate]]-Audit[[#This Row],[Losing Candidate]]-(Audit[[#This Row],[Audit Winning Candidate]]-Audit[[#This Row],[Audit Losing Candidate]]))/(Audit[[#Totals],[Winning Candidate]]-Audit[[#Totals],[Losing Candidate]]),
      0
)</f>
        <v>0</v>
      </c>
      <c r="AV2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7" s="17">
        <f>IF(Audit[[#This Row],[Max Relative Error (ep)]] = 0, 0, Audit[[#This Row],[Max Relative Error (ep)]]/Audit[[#This Row],[Error Bound (up) - Max. possible relative overstatement]])</f>
        <v>0</v>
      </c>
      <c r="BH2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77" s="17">
        <f t="shared" si="5"/>
        <v>1</v>
      </c>
      <c r="BJ277" s="17">
        <f>PRODUCT($BI$5:BI277)</f>
        <v>0.57679094656345797</v>
      </c>
      <c r="BK277" s="19">
        <f>1 - Audit[[#This Row],[K-M P Value]]</f>
        <v>0.42320905343654203</v>
      </c>
      <c r="BL277" s="17" t="str">
        <f>IF(Audit[[#This Row],[K-M P Value]]&gt;1-'General Info'!$B$12,"Continue", "Stop")</f>
        <v>Continue</v>
      </c>
      <c r="BM277" s="22" t="b">
        <f>IF(Audit[[#This Row],[Status - Continue or stop audit]] = "Continue", TRUE, IF(BL276 = "Continue", TRUE, FALSE))</f>
        <v>1</v>
      </c>
      <c r="BN277" s="22"/>
    </row>
    <row r="278" spans="1:66" ht="15" hidden="1" customHeight="1" x14ac:dyDescent="0.35">
      <c r="A278" s="17" t="str">
        <f>'Sampling Data'!AI278</f>
        <v/>
      </c>
      <c r="B278" s="17" t="str">
        <f>'Sampling Data'!A278</f>
        <v>4413 NORW 1-C   (AV)</v>
      </c>
      <c r="C278" s="17">
        <f>'Sampling Data'!B278</f>
        <v>191</v>
      </c>
      <c r="D278" s="17">
        <f>'Sampling Data'!C278</f>
        <v>109</v>
      </c>
      <c r="E278" s="18">
        <f>'Sampling Data'!D278</f>
        <v>0</v>
      </c>
      <c r="F278" s="18">
        <f>'Sampling Data'!E278</f>
        <v>0</v>
      </c>
      <c r="G278" s="18">
        <f>'Sampling Data'!F278</f>
        <v>0</v>
      </c>
      <c r="H278" s="18">
        <f>'Sampling Data'!G278</f>
        <v>0</v>
      </c>
      <c r="I278" s="18">
        <f>'Sampling Data'!H278</f>
        <v>0</v>
      </c>
      <c r="J278" s="18">
        <f>'Sampling Data'!I278</f>
        <v>0</v>
      </c>
      <c r="K278" s="18">
        <f>'Sampling Data'!J278</f>
        <v>0</v>
      </c>
      <c r="L278" s="18">
        <f>'Sampling Data'!K278</f>
        <v>0</v>
      </c>
      <c r="M278" s="18">
        <f>'Sampling Data'!L278</f>
        <v>0</v>
      </c>
      <c r="N278" s="18">
        <f>'Sampling Data'!M278</f>
        <v>0</v>
      </c>
      <c r="O278" s="17">
        <f>'Sampling Data'!N278</f>
        <v>0</v>
      </c>
      <c r="P278" s="17">
        <f>'Sampling Data'!O278</f>
        <v>19</v>
      </c>
      <c r="Q278" s="17">
        <f>'Sampling Data'!P278</f>
        <v>319</v>
      </c>
      <c r="R278" s="17">
        <f>'Sampling Data'!AJ278</f>
        <v>0</v>
      </c>
      <c r="S278" s="111"/>
      <c r="T278" s="111"/>
      <c r="U278" s="112"/>
      <c r="V278" s="112"/>
      <c r="W278" s="111"/>
      <c r="X278" s="111"/>
      <c r="Y278" s="111"/>
      <c r="Z278" s="111"/>
      <c r="AA278" s="14"/>
      <c r="AB278" s="14"/>
      <c r="AC278" s="14"/>
      <c r="AD278" s="14"/>
      <c r="AE278" s="113" t="str">
        <f>IF(NOT(ISBLANK(Audit[[#This Row],[Audit Winning Candidate]])), Audit[[#This Row],[Audit Winning Candidate]]-Audit[[#This Row],[Winning Candidate]], "")</f>
        <v/>
      </c>
      <c r="AF278" s="17" t="str">
        <f>IF(NOT(ISBLANK(Audit[[#This Row],[Audit Losing Candidate]])), Audit[[#This Row],[Audit Losing Candidate]]-Audit[[#This Row],[Losing Candidate]], "")</f>
        <v/>
      </c>
      <c r="AG278" s="17" t="str">
        <f>IF(NOT(ISBLANK(Audit[[#This Row],[Audit Candidate 3]])), Audit[[#This Row],[Audit Candidate 3]]-Audit[[#This Row],[Candidate 3]], "")</f>
        <v/>
      </c>
      <c r="AH278" s="17" t="str">
        <f>IF(NOT(ISBLANK(Audit[[#This Row],[Audit Candidate 4]])),Audit[[#This Row],[Audit Candidate 4]]-Audit[[#This Row],[Candidate 4]], "")</f>
        <v/>
      </c>
      <c r="AI278" s="17" t="str">
        <f>IF(NOT(ISBLANK(Audit[[#This Row],[Audit Candidate 5]])), Audit[[#This Row],[Audit Candidate 5]]-Audit[[#This Row],[Candidate 5]], "")</f>
        <v/>
      </c>
      <c r="AJ278" s="17" t="str">
        <f>IF(NOT(ISBLANK(Audit[[#This Row],[Audit Candidate 6]])), Audit[[#This Row],[Audit Candidate 6]]-Audit[[#This Row],[Candidate 6]], "")</f>
        <v/>
      </c>
      <c r="AK278" s="17" t="str">
        <f>IF(NOT(ISBLANK(Audit[[#This Row],[Audit Candidate 7]])), Audit[[#This Row],[Audit Candidate 7]]-Audit[[#This Row],[Candidate 7]], "")</f>
        <v/>
      </c>
      <c r="AL278" s="17" t="str">
        <f>IF(NOT(ISBLANK(Audit[[#This Row],[Audit Candidate 8]])), Audit[[#This Row],[Audit Candidate 8]]-Audit[[#This Row],[Candidate 8]], "")</f>
        <v/>
      </c>
      <c r="AM278" s="17" t="str">
        <f>IF(NOT(ISBLANK(Audit[[#This Row],[Audit Candidate 9]])), Audit[[#This Row],[Audit Candidate 9]]-Audit[[#This Row],[Candidate 9]], "")</f>
        <v/>
      </c>
      <c r="AN278" s="17" t="str">
        <f>IF(NOT(ISBLANK(Audit[[#This Row],[Audit Candidate 10]])), Audit[[#This Row],[Audit Candidate 10]]-Audit[[#This Row],[Candidate 10]], "")</f>
        <v/>
      </c>
      <c r="AO278" s="17" t="str">
        <f>IF(NOT(ISBLANK(Audit[[#This Row],[Audit Candidate 11]])), Audit[[#This Row],[Audit Candidate 11]]-Audit[[#This Row],[Candidate 11]], "")</f>
        <v/>
      </c>
      <c r="AP278" s="17" t="str">
        <f>IF(NOT(ISBLANK(Audit[[#This Row],[Audit Candidate 12]])), Audit[[#This Row],[Audit Candidate 12]]-Audit[[#This Row],[Candidate 12]], "")</f>
        <v/>
      </c>
      <c r="AQ278" s="17">
        <f>SUMIF(Audit[[#This Row],[Difference Winner]:[Difference Candidate 12]], "&gt;0")</f>
        <v>0</v>
      </c>
      <c r="AR278" s="17">
        <f>SUM(Audit[[#This Row],[Difference Winner]:[Difference Candidate 12]])</f>
        <v>0</v>
      </c>
      <c r="AS278" s="17">
        <f>IF(Audit[[#This Row],[Times p Drawn - With Replacement]]&gt;0, IF(Audit[[#This Row],[Canceled Differences]]&lt;0, Audit[[#This Row],[Max Differences]]+ABS(Audit[[#This Row],[Canceled Differences]]), Audit[[#This Row],[Max Differences]]), 0)</f>
        <v>0</v>
      </c>
      <c r="AT278" s="17">
        <f>'Sampling Data'!AB278</f>
        <v>1.7017484298081819E-2</v>
      </c>
      <c r="AU278" s="17">
        <f>IF(
      SUM(Audit[[#This Row],[Audit Losing Candidate]:[Audit Candidate 12]])
      &lt;&gt;0,
      (Audit[[#This Row],[Winning Candidate]]-Audit[[#This Row],[Losing Candidate]]-(Audit[[#This Row],[Audit Winning Candidate]]-Audit[[#This Row],[Audit Losing Candidate]]))/(Audit[[#Totals],[Winning Candidate]]-Audit[[#Totals],[Losing Candidate]]),
      0
)</f>
        <v>0</v>
      </c>
      <c r="AV2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8" s="17">
        <f>IF(Audit[[#This Row],[Max Relative Error (ep)]] = 0, 0, Audit[[#This Row],[Max Relative Error (ep)]]/Audit[[#This Row],[Error Bound (up) - Max. possible relative overstatement]])</f>
        <v>0</v>
      </c>
      <c r="BH2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78" s="17">
        <f t="shared" si="5"/>
        <v>1</v>
      </c>
      <c r="BJ278" s="17">
        <f>PRODUCT($BI$5:BI278)</f>
        <v>0.57679094656345797</v>
      </c>
      <c r="BK278" s="19">
        <f>1 - Audit[[#This Row],[K-M P Value]]</f>
        <v>0.42320905343654203</v>
      </c>
      <c r="BL278" s="17" t="str">
        <f>IF(Audit[[#This Row],[K-M P Value]]&gt;1-'General Info'!$B$12,"Continue", "Stop")</f>
        <v>Continue</v>
      </c>
      <c r="BM278" s="22" t="b">
        <f>IF(Audit[[#This Row],[Status - Continue or stop audit]] = "Continue", TRUE, IF(BL277 = "Continue", TRUE, FALSE))</f>
        <v>1</v>
      </c>
      <c r="BN278" s="22"/>
    </row>
    <row r="279" spans="1:66" ht="15" hidden="1" customHeight="1" x14ac:dyDescent="0.35">
      <c r="A279" s="17" t="str">
        <f>'Sampling Data'!AI279</f>
        <v/>
      </c>
      <c r="B279" s="17" t="str">
        <f>'Sampling Data'!A279</f>
        <v>4421 NORW 2-A   (AV)</v>
      </c>
      <c r="C279" s="17">
        <f>'Sampling Data'!B279</f>
        <v>214</v>
      </c>
      <c r="D279" s="17">
        <f>'Sampling Data'!C279</f>
        <v>119</v>
      </c>
      <c r="E279" s="18">
        <f>'Sampling Data'!D279</f>
        <v>0</v>
      </c>
      <c r="F279" s="18">
        <f>'Sampling Data'!E279</f>
        <v>0</v>
      </c>
      <c r="G279" s="18">
        <f>'Sampling Data'!F279</f>
        <v>0</v>
      </c>
      <c r="H279" s="18">
        <f>'Sampling Data'!G279</f>
        <v>0</v>
      </c>
      <c r="I279" s="18">
        <f>'Sampling Data'!H279</f>
        <v>0</v>
      </c>
      <c r="J279" s="18">
        <f>'Sampling Data'!I279</f>
        <v>0</v>
      </c>
      <c r="K279" s="18">
        <f>'Sampling Data'!J279</f>
        <v>0</v>
      </c>
      <c r="L279" s="18">
        <f>'Sampling Data'!K279</f>
        <v>0</v>
      </c>
      <c r="M279" s="18">
        <f>'Sampling Data'!L279</f>
        <v>0</v>
      </c>
      <c r="N279" s="18">
        <f>'Sampling Data'!M279</f>
        <v>0</v>
      </c>
      <c r="O279" s="17">
        <f>'Sampling Data'!N279</f>
        <v>0</v>
      </c>
      <c r="P279" s="17">
        <f>'Sampling Data'!O279</f>
        <v>18</v>
      </c>
      <c r="Q279" s="17">
        <f>'Sampling Data'!P279</f>
        <v>351</v>
      </c>
      <c r="R279" s="17">
        <f>'Sampling Data'!AJ279</f>
        <v>0</v>
      </c>
      <c r="S279" s="111"/>
      <c r="T279" s="111"/>
      <c r="U279" s="112"/>
      <c r="V279" s="112"/>
      <c r="W279" s="111"/>
      <c r="X279" s="111"/>
      <c r="Y279" s="111"/>
      <c r="Z279" s="111"/>
      <c r="AA279" s="14"/>
      <c r="AB279" s="14"/>
      <c r="AC279" s="14"/>
      <c r="AD279" s="14"/>
      <c r="AE279" s="113" t="str">
        <f>IF(NOT(ISBLANK(Audit[[#This Row],[Audit Winning Candidate]])), Audit[[#This Row],[Audit Winning Candidate]]-Audit[[#This Row],[Winning Candidate]], "")</f>
        <v/>
      </c>
      <c r="AF279" s="17" t="str">
        <f>IF(NOT(ISBLANK(Audit[[#This Row],[Audit Losing Candidate]])), Audit[[#This Row],[Audit Losing Candidate]]-Audit[[#This Row],[Losing Candidate]], "")</f>
        <v/>
      </c>
      <c r="AG279" s="17" t="str">
        <f>IF(NOT(ISBLANK(Audit[[#This Row],[Audit Candidate 3]])), Audit[[#This Row],[Audit Candidate 3]]-Audit[[#This Row],[Candidate 3]], "")</f>
        <v/>
      </c>
      <c r="AH279" s="17" t="str">
        <f>IF(NOT(ISBLANK(Audit[[#This Row],[Audit Candidate 4]])),Audit[[#This Row],[Audit Candidate 4]]-Audit[[#This Row],[Candidate 4]], "")</f>
        <v/>
      </c>
      <c r="AI279" s="17" t="str">
        <f>IF(NOT(ISBLANK(Audit[[#This Row],[Audit Candidate 5]])), Audit[[#This Row],[Audit Candidate 5]]-Audit[[#This Row],[Candidate 5]], "")</f>
        <v/>
      </c>
      <c r="AJ279" s="17" t="str">
        <f>IF(NOT(ISBLANK(Audit[[#This Row],[Audit Candidate 6]])), Audit[[#This Row],[Audit Candidate 6]]-Audit[[#This Row],[Candidate 6]], "")</f>
        <v/>
      </c>
      <c r="AK279" s="17" t="str">
        <f>IF(NOT(ISBLANK(Audit[[#This Row],[Audit Candidate 7]])), Audit[[#This Row],[Audit Candidate 7]]-Audit[[#This Row],[Candidate 7]], "")</f>
        <v/>
      </c>
      <c r="AL279" s="17" t="str">
        <f>IF(NOT(ISBLANK(Audit[[#This Row],[Audit Candidate 8]])), Audit[[#This Row],[Audit Candidate 8]]-Audit[[#This Row],[Candidate 8]], "")</f>
        <v/>
      </c>
      <c r="AM279" s="17" t="str">
        <f>IF(NOT(ISBLANK(Audit[[#This Row],[Audit Candidate 9]])), Audit[[#This Row],[Audit Candidate 9]]-Audit[[#This Row],[Candidate 9]], "")</f>
        <v/>
      </c>
      <c r="AN279" s="17" t="str">
        <f>IF(NOT(ISBLANK(Audit[[#This Row],[Audit Candidate 10]])), Audit[[#This Row],[Audit Candidate 10]]-Audit[[#This Row],[Candidate 10]], "")</f>
        <v/>
      </c>
      <c r="AO279" s="17" t="str">
        <f>IF(NOT(ISBLANK(Audit[[#This Row],[Audit Candidate 11]])), Audit[[#This Row],[Audit Candidate 11]]-Audit[[#This Row],[Candidate 11]], "")</f>
        <v/>
      </c>
      <c r="AP279" s="17" t="str">
        <f>IF(NOT(ISBLANK(Audit[[#This Row],[Audit Candidate 12]])), Audit[[#This Row],[Audit Candidate 12]]-Audit[[#This Row],[Candidate 12]], "")</f>
        <v/>
      </c>
      <c r="AQ279" s="17">
        <f>SUMIF(Audit[[#This Row],[Difference Winner]:[Difference Candidate 12]], "&gt;0")</f>
        <v>0</v>
      </c>
      <c r="AR279" s="17">
        <f>SUM(Audit[[#This Row],[Difference Winner]:[Difference Candidate 12]])</f>
        <v>0</v>
      </c>
      <c r="AS279" s="17">
        <f>IF(Audit[[#This Row],[Times p Drawn - With Replacement]]&gt;0, IF(Audit[[#This Row],[Canceled Differences]]&lt;0, Audit[[#This Row],[Max Differences]]+ABS(Audit[[#This Row],[Canceled Differences]]), Audit[[#This Row],[Max Differences]]), 0)</f>
        <v>0</v>
      </c>
      <c r="AT279" s="17">
        <f>'Sampling Data'!AB279</f>
        <v>1.8927177049736888E-2</v>
      </c>
      <c r="AU279" s="17">
        <f>IF(
      SUM(Audit[[#This Row],[Audit Losing Candidate]:[Audit Candidate 12]])
      &lt;&gt;0,
      (Audit[[#This Row],[Winning Candidate]]-Audit[[#This Row],[Losing Candidate]]-(Audit[[#This Row],[Audit Winning Candidate]]-Audit[[#This Row],[Audit Losing Candidate]]))/(Audit[[#Totals],[Winning Candidate]]-Audit[[#Totals],[Losing Candidate]]),
      0
)</f>
        <v>0</v>
      </c>
      <c r="AV2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9" s="17">
        <f>IF(Audit[[#This Row],[Max Relative Error (ep)]] = 0, 0, Audit[[#This Row],[Max Relative Error (ep)]]/Audit[[#This Row],[Error Bound (up) - Max. possible relative overstatement]])</f>
        <v>0</v>
      </c>
      <c r="BH2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79" s="17">
        <f t="shared" si="5"/>
        <v>1</v>
      </c>
      <c r="BJ279" s="17">
        <f>PRODUCT($BI$5:BI279)</f>
        <v>0.57679094656345797</v>
      </c>
      <c r="BK279" s="19">
        <f>1 - Audit[[#This Row],[K-M P Value]]</f>
        <v>0.42320905343654203</v>
      </c>
      <c r="BL279" s="17" t="str">
        <f>IF(Audit[[#This Row],[K-M P Value]]&gt;1-'General Info'!$B$12,"Continue", "Stop")</f>
        <v>Continue</v>
      </c>
      <c r="BM279" s="22" t="b">
        <f>IF(Audit[[#This Row],[Status - Continue or stop audit]] = "Continue", TRUE, IF(BL278 = "Continue", TRUE, FALSE))</f>
        <v>1</v>
      </c>
      <c r="BN279" s="22"/>
    </row>
    <row r="280" spans="1:66" ht="15" hidden="1" customHeight="1" x14ac:dyDescent="0.35">
      <c r="A280" s="17" t="str">
        <f>'Sampling Data'!AI280</f>
        <v/>
      </c>
      <c r="B280" s="17" t="str">
        <f>'Sampling Data'!A280</f>
        <v>4422 NORW 2-B   (AV)</v>
      </c>
      <c r="C280" s="17">
        <f>'Sampling Data'!B280</f>
        <v>225</v>
      </c>
      <c r="D280" s="17">
        <f>'Sampling Data'!C280</f>
        <v>135</v>
      </c>
      <c r="E280" s="18">
        <f>'Sampling Data'!D280</f>
        <v>0</v>
      </c>
      <c r="F280" s="18">
        <f>'Sampling Data'!E280</f>
        <v>0</v>
      </c>
      <c r="G280" s="18">
        <f>'Sampling Data'!F280</f>
        <v>0</v>
      </c>
      <c r="H280" s="18">
        <f>'Sampling Data'!G280</f>
        <v>0</v>
      </c>
      <c r="I280" s="18">
        <f>'Sampling Data'!H280</f>
        <v>0</v>
      </c>
      <c r="J280" s="18">
        <f>'Sampling Data'!I280</f>
        <v>0</v>
      </c>
      <c r="K280" s="18">
        <f>'Sampling Data'!J280</f>
        <v>0</v>
      </c>
      <c r="L280" s="18">
        <f>'Sampling Data'!K280</f>
        <v>0</v>
      </c>
      <c r="M280" s="18">
        <f>'Sampling Data'!L280</f>
        <v>0</v>
      </c>
      <c r="N280" s="18">
        <f>'Sampling Data'!M280</f>
        <v>0</v>
      </c>
      <c r="O280" s="17">
        <f>'Sampling Data'!N280</f>
        <v>0</v>
      </c>
      <c r="P280" s="17">
        <f>'Sampling Data'!O280</f>
        <v>23</v>
      </c>
      <c r="Q280" s="17">
        <f>'Sampling Data'!P280</f>
        <v>383</v>
      </c>
      <c r="R280" s="17">
        <f>'Sampling Data'!AJ280</f>
        <v>0</v>
      </c>
      <c r="S280" s="111"/>
      <c r="T280" s="111"/>
      <c r="U280" s="112"/>
      <c r="V280" s="112"/>
      <c r="W280" s="111"/>
      <c r="X280" s="111"/>
      <c r="Y280" s="111"/>
      <c r="Z280" s="111"/>
      <c r="AA280" s="14"/>
      <c r="AB280" s="14"/>
      <c r="AC280" s="14"/>
      <c r="AD280" s="14"/>
      <c r="AE280" s="113" t="str">
        <f>IF(NOT(ISBLANK(Audit[[#This Row],[Audit Winning Candidate]])), Audit[[#This Row],[Audit Winning Candidate]]-Audit[[#This Row],[Winning Candidate]], "")</f>
        <v/>
      </c>
      <c r="AF280" s="17" t="str">
        <f>IF(NOT(ISBLANK(Audit[[#This Row],[Audit Losing Candidate]])), Audit[[#This Row],[Audit Losing Candidate]]-Audit[[#This Row],[Losing Candidate]], "")</f>
        <v/>
      </c>
      <c r="AG280" s="17" t="str">
        <f>IF(NOT(ISBLANK(Audit[[#This Row],[Audit Candidate 3]])), Audit[[#This Row],[Audit Candidate 3]]-Audit[[#This Row],[Candidate 3]], "")</f>
        <v/>
      </c>
      <c r="AH280" s="17" t="str">
        <f>IF(NOT(ISBLANK(Audit[[#This Row],[Audit Candidate 4]])),Audit[[#This Row],[Audit Candidate 4]]-Audit[[#This Row],[Candidate 4]], "")</f>
        <v/>
      </c>
      <c r="AI280" s="17" t="str">
        <f>IF(NOT(ISBLANK(Audit[[#This Row],[Audit Candidate 5]])), Audit[[#This Row],[Audit Candidate 5]]-Audit[[#This Row],[Candidate 5]], "")</f>
        <v/>
      </c>
      <c r="AJ280" s="17" t="str">
        <f>IF(NOT(ISBLANK(Audit[[#This Row],[Audit Candidate 6]])), Audit[[#This Row],[Audit Candidate 6]]-Audit[[#This Row],[Candidate 6]], "")</f>
        <v/>
      </c>
      <c r="AK280" s="17" t="str">
        <f>IF(NOT(ISBLANK(Audit[[#This Row],[Audit Candidate 7]])), Audit[[#This Row],[Audit Candidate 7]]-Audit[[#This Row],[Candidate 7]], "")</f>
        <v/>
      </c>
      <c r="AL280" s="17" t="str">
        <f>IF(NOT(ISBLANK(Audit[[#This Row],[Audit Candidate 8]])), Audit[[#This Row],[Audit Candidate 8]]-Audit[[#This Row],[Candidate 8]], "")</f>
        <v/>
      </c>
      <c r="AM280" s="17" t="str">
        <f>IF(NOT(ISBLANK(Audit[[#This Row],[Audit Candidate 9]])), Audit[[#This Row],[Audit Candidate 9]]-Audit[[#This Row],[Candidate 9]], "")</f>
        <v/>
      </c>
      <c r="AN280" s="17" t="str">
        <f>IF(NOT(ISBLANK(Audit[[#This Row],[Audit Candidate 10]])), Audit[[#This Row],[Audit Candidate 10]]-Audit[[#This Row],[Candidate 10]], "")</f>
        <v/>
      </c>
      <c r="AO280" s="17" t="str">
        <f>IF(NOT(ISBLANK(Audit[[#This Row],[Audit Candidate 11]])), Audit[[#This Row],[Audit Candidate 11]]-Audit[[#This Row],[Candidate 11]], "")</f>
        <v/>
      </c>
      <c r="AP280" s="17" t="str">
        <f>IF(NOT(ISBLANK(Audit[[#This Row],[Audit Candidate 12]])), Audit[[#This Row],[Audit Candidate 12]]-Audit[[#This Row],[Candidate 12]], "")</f>
        <v/>
      </c>
      <c r="AQ280" s="17">
        <f>SUMIF(Audit[[#This Row],[Difference Winner]:[Difference Candidate 12]], "&gt;0")</f>
        <v>0</v>
      </c>
      <c r="AR280" s="17">
        <f>SUM(Audit[[#This Row],[Difference Winner]:[Difference Candidate 12]])</f>
        <v>0</v>
      </c>
      <c r="AS280" s="17">
        <f>IF(Audit[[#This Row],[Times p Drawn - With Replacement]]&gt;0, IF(Audit[[#This Row],[Canceled Differences]]&lt;0, Audit[[#This Row],[Max Differences]]+ABS(Audit[[#This Row],[Canceled Differences]]), Audit[[#This Row],[Max Differences]]), 0)</f>
        <v>0</v>
      </c>
      <c r="AT280" s="17">
        <f>'Sampling Data'!AB280</f>
        <v>2.0072992700729927E-2</v>
      </c>
      <c r="AU280" s="17">
        <f>IF(
      SUM(Audit[[#This Row],[Audit Losing Candidate]:[Audit Candidate 12]])
      &lt;&gt;0,
      (Audit[[#This Row],[Winning Candidate]]-Audit[[#This Row],[Losing Candidate]]-(Audit[[#This Row],[Audit Winning Candidate]]-Audit[[#This Row],[Audit Losing Candidate]]))/(Audit[[#Totals],[Winning Candidate]]-Audit[[#Totals],[Losing Candidate]]),
      0
)</f>
        <v>0</v>
      </c>
      <c r="AV2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0" s="17">
        <f>IF(Audit[[#This Row],[Max Relative Error (ep)]] = 0, 0, Audit[[#This Row],[Max Relative Error (ep)]]/Audit[[#This Row],[Error Bound (up) - Max. possible relative overstatement]])</f>
        <v>0</v>
      </c>
      <c r="BH2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80" s="17">
        <f t="shared" si="5"/>
        <v>1</v>
      </c>
      <c r="BJ280" s="17">
        <f>PRODUCT($BI$5:BI280)</f>
        <v>0.57679094656345797</v>
      </c>
      <c r="BK280" s="19">
        <f>1 - Audit[[#This Row],[K-M P Value]]</f>
        <v>0.42320905343654203</v>
      </c>
      <c r="BL280" s="17" t="str">
        <f>IF(Audit[[#This Row],[K-M P Value]]&gt;1-'General Info'!$B$12,"Continue", "Stop")</f>
        <v>Continue</v>
      </c>
      <c r="BM280" s="22" t="b">
        <f>IF(Audit[[#This Row],[Status - Continue or stop audit]] = "Continue", TRUE, IF(BL279 = "Continue", TRUE, FALSE))</f>
        <v>1</v>
      </c>
      <c r="BN280" s="22"/>
    </row>
    <row r="281" spans="1:66" ht="15" hidden="1" customHeight="1" x14ac:dyDescent="0.35">
      <c r="A281" s="17" t="str">
        <f>'Sampling Data'!AI281</f>
        <v/>
      </c>
      <c r="B281" s="17" t="str">
        <f>'Sampling Data'!A281</f>
        <v>4423 NORW 2-C   (AV)</v>
      </c>
      <c r="C281" s="17">
        <f>'Sampling Data'!B281</f>
        <v>205</v>
      </c>
      <c r="D281" s="17">
        <f>'Sampling Data'!C281</f>
        <v>155</v>
      </c>
      <c r="E281" s="18">
        <f>'Sampling Data'!D281</f>
        <v>0</v>
      </c>
      <c r="F281" s="18">
        <f>'Sampling Data'!E281</f>
        <v>0</v>
      </c>
      <c r="G281" s="18">
        <f>'Sampling Data'!F281</f>
        <v>0</v>
      </c>
      <c r="H281" s="18">
        <f>'Sampling Data'!G281</f>
        <v>0</v>
      </c>
      <c r="I281" s="18">
        <f>'Sampling Data'!H281</f>
        <v>0</v>
      </c>
      <c r="J281" s="18">
        <f>'Sampling Data'!I281</f>
        <v>0</v>
      </c>
      <c r="K281" s="18">
        <f>'Sampling Data'!J281</f>
        <v>0</v>
      </c>
      <c r="L281" s="18">
        <f>'Sampling Data'!K281</f>
        <v>0</v>
      </c>
      <c r="M281" s="18">
        <f>'Sampling Data'!L281</f>
        <v>0</v>
      </c>
      <c r="N281" s="18">
        <f>'Sampling Data'!M281</f>
        <v>0</v>
      </c>
      <c r="O281" s="17">
        <f>'Sampling Data'!N281</f>
        <v>1</v>
      </c>
      <c r="P281" s="17">
        <f>'Sampling Data'!O281</f>
        <v>29</v>
      </c>
      <c r="Q281" s="17">
        <f>'Sampling Data'!P281</f>
        <v>390</v>
      </c>
      <c r="R281" s="17">
        <f>'Sampling Data'!AJ281</f>
        <v>0</v>
      </c>
      <c r="S281" s="111"/>
      <c r="T281" s="111"/>
      <c r="U281" s="112"/>
      <c r="V281" s="112"/>
      <c r="W281" s="111"/>
      <c r="X281" s="111"/>
      <c r="Y281" s="111"/>
      <c r="Z281" s="111"/>
      <c r="AA281" s="14"/>
      <c r="AB281" s="14"/>
      <c r="AC281" s="14"/>
      <c r="AD281" s="14"/>
      <c r="AE281" s="113" t="str">
        <f>IF(NOT(ISBLANK(Audit[[#This Row],[Audit Winning Candidate]])), Audit[[#This Row],[Audit Winning Candidate]]-Audit[[#This Row],[Winning Candidate]], "")</f>
        <v/>
      </c>
      <c r="AF281" s="17" t="str">
        <f>IF(NOT(ISBLANK(Audit[[#This Row],[Audit Losing Candidate]])), Audit[[#This Row],[Audit Losing Candidate]]-Audit[[#This Row],[Losing Candidate]], "")</f>
        <v/>
      </c>
      <c r="AG281" s="17" t="str">
        <f>IF(NOT(ISBLANK(Audit[[#This Row],[Audit Candidate 3]])), Audit[[#This Row],[Audit Candidate 3]]-Audit[[#This Row],[Candidate 3]], "")</f>
        <v/>
      </c>
      <c r="AH281" s="17" t="str">
        <f>IF(NOT(ISBLANK(Audit[[#This Row],[Audit Candidate 4]])),Audit[[#This Row],[Audit Candidate 4]]-Audit[[#This Row],[Candidate 4]], "")</f>
        <v/>
      </c>
      <c r="AI281" s="17" t="str">
        <f>IF(NOT(ISBLANK(Audit[[#This Row],[Audit Candidate 5]])), Audit[[#This Row],[Audit Candidate 5]]-Audit[[#This Row],[Candidate 5]], "")</f>
        <v/>
      </c>
      <c r="AJ281" s="17" t="str">
        <f>IF(NOT(ISBLANK(Audit[[#This Row],[Audit Candidate 6]])), Audit[[#This Row],[Audit Candidate 6]]-Audit[[#This Row],[Candidate 6]], "")</f>
        <v/>
      </c>
      <c r="AK281" s="17" t="str">
        <f>IF(NOT(ISBLANK(Audit[[#This Row],[Audit Candidate 7]])), Audit[[#This Row],[Audit Candidate 7]]-Audit[[#This Row],[Candidate 7]], "")</f>
        <v/>
      </c>
      <c r="AL281" s="17" t="str">
        <f>IF(NOT(ISBLANK(Audit[[#This Row],[Audit Candidate 8]])), Audit[[#This Row],[Audit Candidate 8]]-Audit[[#This Row],[Candidate 8]], "")</f>
        <v/>
      </c>
      <c r="AM281" s="17" t="str">
        <f>IF(NOT(ISBLANK(Audit[[#This Row],[Audit Candidate 9]])), Audit[[#This Row],[Audit Candidate 9]]-Audit[[#This Row],[Candidate 9]], "")</f>
        <v/>
      </c>
      <c r="AN281" s="17" t="str">
        <f>IF(NOT(ISBLANK(Audit[[#This Row],[Audit Candidate 10]])), Audit[[#This Row],[Audit Candidate 10]]-Audit[[#This Row],[Candidate 10]], "")</f>
        <v/>
      </c>
      <c r="AO281" s="17" t="str">
        <f>IF(NOT(ISBLANK(Audit[[#This Row],[Audit Candidate 11]])), Audit[[#This Row],[Audit Candidate 11]]-Audit[[#This Row],[Candidate 11]], "")</f>
        <v/>
      </c>
      <c r="AP281" s="17" t="str">
        <f>IF(NOT(ISBLANK(Audit[[#This Row],[Audit Candidate 12]])), Audit[[#This Row],[Audit Candidate 12]]-Audit[[#This Row],[Candidate 12]], "")</f>
        <v/>
      </c>
      <c r="AQ281" s="17">
        <f>SUMIF(Audit[[#This Row],[Difference Winner]:[Difference Candidate 12]], "&gt;0")</f>
        <v>0</v>
      </c>
      <c r="AR281" s="17">
        <f>SUM(Audit[[#This Row],[Difference Winner]:[Difference Candidate 12]])</f>
        <v>0</v>
      </c>
      <c r="AS281" s="17">
        <f>IF(Audit[[#This Row],[Times p Drawn - With Replacement]]&gt;0, IF(Audit[[#This Row],[Canceled Differences]]&lt;0, Audit[[#This Row],[Max Differences]]+ABS(Audit[[#This Row],[Canceled Differences]]), Audit[[#This Row],[Max Differences]]), 0)</f>
        <v>0</v>
      </c>
      <c r="AT281" s="17">
        <f>'Sampling Data'!AB281</f>
        <v>1.867255134951621E-2</v>
      </c>
      <c r="AU281" s="17">
        <f>IF(
      SUM(Audit[[#This Row],[Audit Losing Candidate]:[Audit Candidate 12]])
      &lt;&gt;0,
      (Audit[[#This Row],[Winning Candidate]]-Audit[[#This Row],[Losing Candidate]]-(Audit[[#This Row],[Audit Winning Candidate]]-Audit[[#This Row],[Audit Losing Candidate]]))/(Audit[[#Totals],[Winning Candidate]]-Audit[[#Totals],[Losing Candidate]]),
      0
)</f>
        <v>0</v>
      </c>
      <c r="AV2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1" s="17">
        <f>IF(Audit[[#This Row],[Max Relative Error (ep)]] = 0, 0, Audit[[#This Row],[Max Relative Error (ep)]]/Audit[[#This Row],[Error Bound (up) - Max. possible relative overstatement]])</f>
        <v>0</v>
      </c>
      <c r="BH2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81" s="17">
        <f t="shared" si="5"/>
        <v>1</v>
      </c>
      <c r="BJ281" s="17">
        <f>PRODUCT($BI$5:BI281)</f>
        <v>0.57679094656345797</v>
      </c>
      <c r="BK281" s="19">
        <f>1 - Audit[[#This Row],[K-M P Value]]</f>
        <v>0.42320905343654203</v>
      </c>
      <c r="BL281" s="17" t="str">
        <f>IF(Audit[[#This Row],[K-M P Value]]&gt;1-'General Info'!$B$12,"Continue", "Stop")</f>
        <v>Continue</v>
      </c>
      <c r="BM281" s="22" t="b">
        <f>IF(Audit[[#This Row],[Status - Continue or stop audit]] = "Continue", TRUE, IF(BL280 = "Continue", TRUE, FALSE))</f>
        <v>1</v>
      </c>
      <c r="BN281" s="22"/>
    </row>
    <row r="282" spans="1:66" ht="15" customHeight="1" x14ac:dyDescent="0.35">
      <c r="A282" s="17">
        <f>'Sampling Data'!AI282</f>
        <v>25</v>
      </c>
      <c r="B282" s="17" t="str">
        <f>'Sampling Data'!A282</f>
        <v>4431 NORW 3-A   (AV)</v>
      </c>
      <c r="C282" s="17">
        <f>'Sampling Data'!B282</f>
        <v>231</v>
      </c>
      <c r="D282" s="17">
        <f>'Sampling Data'!C282</f>
        <v>136</v>
      </c>
      <c r="E282" s="18">
        <f>'Sampling Data'!D282</f>
        <v>0</v>
      </c>
      <c r="F282" s="18">
        <f>'Sampling Data'!E282</f>
        <v>0</v>
      </c>
      <c r="G282" s="18">
        <f>'Sampling Data'!F282</f>
        <v>0</v>
      </c>
      <c r="H282" s="18">
        <f>'Sampling Data'!G282</f>
        <v>0</v>
      </c>
      <c r="I282" s="18">
        <f>'Sampling Data'!H282</f>
        <v>0</v>
      </c>
      <c r="J282" s="18">
        <f>'Sampling Data'!I282</f>
        <v>0</v>
      </c>
      <c r="K282" s="18">
        <f>'Sampling Data'!J282</f>
        <v>0</v>
      </c>
      <c r="L282" s="18">
        <f>'Sampling Data'!K282</f>
        <v>0</v>
      </c>
      <c r="M282" s="18">
        <f>'Sampling Data'!L282</f>
        <v>0</v>
      </c>
      <c r="N282" s="18">
        <f>'Sampling Data'!M282</f>
        <v>0</v>
      </c>
      <c r="O282" s="17">
        <f>'Sampling Data'!N282</f>
        <v>0</v>
      </c>
      <c r="P282" s="17">
        <f>'Sampling Data'!O282</f>
        <v>13</v>
      </c>
      <c r="Q282" s="17">
        <f>'Sampling Data'!P282</f>
        <v>380</v>
      </c>
      <c r="R282" s="17">
        <f>'Sampling Data'!AJ282</f>
        <v>1</v>
      </c>
      <c r="S282" s="111">
        <v>231</v>
      </c>
      <c r="T282" s="111">
        <v>136</v>
      </c>
      <c r="U282" s="112"/>
      <c r="V282" s="112"/>
      <c r="W282" s="111"/>
      <c r="X282" s="111"/>
      <c r="Y282" s="111"/>
      <c r="Z282" s="111"/>
      <c r="AA282" s="14"/>
      <c r="AB282" s="14"/>
      <c r="AC282" s="14"/>
      <c r="AD282" s="14"/>
      <c r="AE282" s="113">
        <f>IF(NOT(ISBLANK(Audit[[#This Row],[Audit Winning Candidate]])), Audit[[#This Row],[Audit Winning Candidate]]-Audit[[#This Row],[Winning Candidate]], "")</f>
        <v>0</v>
      </c>
      <c r="AF282" s="17">
        <f>IF(NOT(ISBLANK(Audit[[#This Row],[Audit Losing Candidate]])), Audit[[#This Row],[Audit Losing Candidate]]-Audit[[#This Row],[Losing Candidate]], "")</f>
        <v>0</v>
      </c>
      <c r="AG282" s="17" t="str">
        <f>IF(NOT(ISBLANK(Audit[[#This Row],[Audit Candidate 3]])), Audit[[#This Row],[Audit Candidate 3]]-Audit[[#This Row],[Candidate 3]], "")</f>
        <v/>
      </c>
      <c r="AH282" s="17" t="str">
        <f>IF(NOT(ISBLANK(Audit[[#This Row],[Audit Candidate 4]])),Audit[[#This Row],[Audit Candidate 4]]-Audit[[#This Row],[Candidate 4]], "")</f>
        <v/>
      </c>
      <c r="AI282" s="17" t="str">
        <f>IF(NOT(ISBLANK(Audit[[#This Row],[Audit Candidate 5]])), Audit[[#This Row],[Audit Candidate 5]]-Audit[[#This Row],[Candidate 5]], "")</f>
        <v/>
      </c>
      <c r="AJ282" s="17" t="str">
        <f>IF(NOT(ISBLANK(Audit[[#This Row],[Audit Candidate 6]])), Audit[[#This Row],[Audit Candidate 6]]-Audit[[#This Row],[Candidate 6]], "")</f>
        <v/>
      </c>
      <c r="AK282" s="17" t="str">
        <f>IF(NOT(ISBLANK(Audit[[#This Row],[Audit Candidate 7]])), Audit[[#This Row],[Audit Candidate 7]]-Audit[[#This Row],[Candidate 7]], "")</f>
        <v/>
      </c>
      <c r="AL282" s="17" t="str">
        <f>IF(NOT(ISBLANK(Audit[[#This Row],[Audit Candidate 8]])), Audit[[#This Row],[Audit Candidate 8]]-Audit[[#This Row],[Candidate 8]], "")</f>
        <v/>
      </c>
      <c r="AM282" s="17" t="str">
        <f>IF(NOT(ISBLANK(Audit[[#This Row],[Audit Candidate 9]])), Audit[[#This Row],[Audit Candidate 9]]-Audit[[#This Row],[Candidate 9]], "")</f>
        <v/>
      </c>
      <c r="AN282" s="17" t="str">
        <f>IF(NOT(ISBLANK(Audit[[#This Row],[Audit Candidate 10]])), Audit[[#This Row],[Audit Candidate 10]]-Audit[[#This Row],[Candidate 10]], "")</f>
        <v/>
      </c>
      <c r="AO282" s="17" t="str">
        <f>IF(NOT(ISBLANK(Audit[[#This Row],[Audit Candidate 11]])), Audit[[#This Row],[Audit Candidate 11]]-Audit[[#This Row],[Candidate 11]], "")</f>
        <v/>
      </c>
      <c r="AP282" s="17" t="str">
        <f>IF(NOT(ISBLANK(Audit[[#This Row],[Audit Candidate 12]])), Audit[[#This Row],[Audit Candidate 12]]-Audit[[#This Row],[Candidate 12]], "")</f>
        <v/>
      </c>
      <c r="AQ282" s="17">
        <f>SUMIF(Audit[[#This Row],[Difference Winner]:[Difference Candidate 12]], "&gt;0")</f>
        <v>0</v>
      </c>
      <c r="AR282" s="17">
        <f>SUM(Audit[[#This Row],[Difference Winner]:[Difference Candidate 12]])</f>
        <v>0</v>
      </c>
      <c r="AS282" s="17">
        <f>IF(Audit[[#This Row],[Times p Drawn - With Replacement]]&gt;0, IF(Audit[[#This Row],[Canceled Differences]]&lt;0, Audit[[#This Row],[Max Differences]]+ABS(Audit[[#This Row],[Canceled Differences]]), Audit[[#This Row],[Max Differences]]), 0)</f>
        <v>0</v>
      </c>
      <c r="AT282" s="17">
        <f>'Sampling Data'!AB282</f>
        <v>2.0157867934136819E-2</v>
      </c>
      <c r="AU282" s="17">
        <f>IF(
      SUM(Audit[[#This Row],[Audit Losing Candidate]:[Audit Candidate 12]])
      &lt;&gt;0,
      (Audit[[#This Row],[Winning Candidate]]-Audit[[#This Row],[Losing Candidate]]-(Audit[[#This Row],[Audit Winning Candidate]]-Audit[[#This Row],[Audit Losing Candidate]]))/(Audit[[#Totals],[Winning Candidate]]-Audit[[#Totals],[Losing Candidate]]),
      0
)</f>
        <v>0</v>
      </c>
      <c r="AV2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2" s="17">
        <f>IF(Audit[[#This Row],[Max Relative Error (ep)]] = 0, 0, Audit[[#This Row],[Max Relative Error (ep)]]/Audit[[#This Row],[Error Bound (up) - Max. possible relative overstatement]])</f>
        <v>0</v>
      </c>
      <c r="BH2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82" s="17">
        <f t="shared" si="5"/>
        <v>0.94645908314247273</v>
      </c>
      <c r="BJ282" s="17">
        <f>PRODUCT($BI$5:BI282)</f>
        <v>0.54590903044932937</v>
      </c>
      <c r="BK282" s="19">
        <f>1 - Audit[[#This Row],[K-M P Value]]</f>
        <v>0.45409096955067063</v>
      </c>
      <c r="BL282" s="17" t="str">
        <f>IF(Audit[[#This Row],[K-M P Value]]&gt;1-'General Info'!$B$12,"Continue", "Stop")</f>
        <v>Continue</v>
      </c>
      <c r="BM282" s="22" t="b">
        <f>IF(Audit[[#This Row],[Status - Continue or stop audit]] = "Continue", TRUE, IF(BL281 = "Continue", TRUE, FALSE))</f>
        <v>1</v>
      </c>
      <c r="BN282" s="22"/>
    </row>
    <row r="283" spans="1:66" ht="15" hidden="1" customHeight="1" x14ac:dyDescent="0.35">
      <c r="A283" s="17" t="str">
        <f>'Sampling Data'!AI283</f>
        <v/>
      </c>
      <c r="B283" s="17" t="str">
        <f>'Sampling Data'!A283</f>
        <v>4432 NORW 3-B   (AV)</v>
      </c>
      <c r="C283" s="17">
        <f>'Sampling Data'!B283</f>
        <v>188</v>
      </c>
      <c r="D283" s="17">
        <f>'Sampling Data'!C283</f>
        <v>120</v>
      </c>
      <c r="E283" s="18">
        <f>'Sampling Data'!D283</f>
        <v>0</v>
      </c>
      <c r="F283" s="18">
        <f>'Sampling Data'!E283</f>
        <v>0</v>
      </c>
      <c r="G283" s="18">
        <f>'Sampling Data'!F283</f>
        <v>0</v>
      </c>
      <c r="H283" s="18">
        <f>'Sampling Data'!G283</f>
        <v>0</v>
      </c>
      <c r="I283" s="18">
        <f>'Sampling Data'!H283</f>
        <v>0</v>
      </c>
      <c r="J283" s="18">
        <f>'Sampling Data'!I283</f>
        <v>0</v>
      </c>
      <c r="K283" s="18">
        <f>'Sampling Data'!J283</f>
        <v>0</v>
      </c>
      <c r="L283" s="18">
        <f>'Sampling Data'!K283</f>
        <v>0</v>
      </c>
      <c r="M283" s="18">
        <f>'Sampling Data'!L283</f>
        <v>0</v>
      </c>
      <c r="N283" s="18">
        <f>'Sampling Data'!M283</f>
        <v>0</v>
      </c>
      <c r="O283" s="17">
        <f>'Sampling Data'!N283</f>
        <v>0</v>
      </c>
      <c r="P283" s="17">
        <f>'Sampling Data'!O283</f>
        <v>25</v>
      </c>
      <c r="Q283" s="17">
        <f>'Sampling Data'!P283</f>
        <v>333</v>
      </c>
      <c r="R283" s="17">
        <f>'Sampling Data'!AJ283</f>
        <v>0</v>
      </c>
      <c r="S283" s="111"/>
      <c r="T283" s="111"/>
      <c r="U283" s="112"/>
      <c r="V283" s="112"/>
      <c r="W283" s="111"/>
      <c r="X283" s="111"/>
      <c r="Y283" s="111"/>
      <c r="Z283" s="111"/>
      <c r="AA283" s="14"/>
      <c r="AB283" s="14"/>
      <c r="AC283" s="14"/>
      <c r="AD283" s="14"/>
      <c r="AE283" s="113" t="str">
        <f>IF(NOT(ISBLANK(Audit[[#This Row],[Audit Winning Candidate]])), Audit[[#This Row],[Audit Winning Candidate]]-Audit[[#This Row],[Winning Candidate]], "")</f>
        <v/>
      </c>
      <c r="AF283" s="17" t="str">
        <f>IF(NOT(ISBLANK(Audit[[#This Row],[Audit Losing Candidate]])), Audit[[#This Row],[Audit Losing Candidate]]-Audit[[#This Row],[Losing Candidate]], "")</f>
        <v/>
      </c>
      <c r="AG283" s="17" t="str">
        <f>IF(NOT(ISBLANK(Audit[[#This Row],[Audit Candidate 3]])), Audit[[#This Row],[Audit Candidate 3]]-Audit[[#This Row],[Candidate 3]], "")</f>
        <v/>
      </c>
      <c r="AH283" s="17" t="str">
        <f>IF(NOT(ISBLANK(Audit[[#This Row],[Audit Candidate 4]])),Audit[[#This Row],[Audit Candidate 4]]-Audit[[#This Row],[Candidate 4]], "")</f>
        <v/>
      </c>
      <c r="AI283" s="17" t="str">
        <f>IF(NOT(ISBLANK(Audit[[#This Row],[Audit Candidate 5]])), Audit[[#This Row],[Audit Candidate 5]]-Audit[[#This Row],[Candidate 5]], "")</f>
        <v/>
      </c>
      <c r="AJ283" s="17" t="str">
        <f>IF(NOT(ISBLANK(Audit[[#This Row],[Audit Candidate 6]])), Audit[[#This Row],[Audit Candidate 6]]-Audit[[#This Row],[Candidate 6]], "")</f>
        <v/>
      </c>
      <c r="AK283" s="17" t="str">
        <f>IF(NOT(ISBLANK(Audit[[#This Row],[Audit Candidate 7]])), Audit[[#This Row],[Audit Candidate 7]]-Audit[[#This Row],[Candidate 7]], "")</f>
        <v/>
      </c>
      <c r="AL283" s="17" t="str">
        <f>IF(NOT(ISBLANK(Audit[[#This Row],[Audit Candidate 8]])), Audit[[#This Row],[Audit Candidate 8]]-Audit[[#This Row],[Candidate 8]], "")</f>
        <v/>
      </c>
      <c r="AM283" s="17" t="str">
        <f>IF(NOT(ISBLANK(Audit[[#This Row],[Audit Candidate 9]])), Audit[[#This Row],[Audit Candidate 9]]-Audit[[#This Row],[Candidate 9]], "")</f>
        <v/>
      </c>
      <c r="AN283" s="17" t="str">
        <f>IF(NOT(ISBLANK(Audit[[#This Row],[Audit Candidate 10]])), Audit[[#This Row],[Audit Candidate 10]]-Audit[[#This Row],[Candidate 10]], "")</f>
        <v/>
      </c>
      <c r="AO283" s="17" t="str">
        <f>IF(NOT(ISBLANK(Audit[[#This Row],[Audit Candidate 11]])), Audit[[#This Row],[Audit Candidate 11]]-Audit[[#This Row],[Candidate 11]], "")</f>
        <v/>
      </c>
      <c r="AP283" s="17" t="str">
        <f>IF(NOT(ISBLANK(Audit[[#This Row],[Audit Candidate 12]])), Audit[[#This Row],[Audit Candidate 12]]-Audit[[#This Row],[Candidate 12]], "")</f>
        <v/>
      </c>
      <c r="AQ283" s="17">
        <f>SUMIF(Audit[[#This Row],[Difference Winner]:[Difference Candidate 12]], "&gt;0")</f>
        <v>0</v>
      </c>
      <c r="AR283" s="17">
        <f>SUM(Audit[[#This Row],[Difference Winner]:[Difference Candidate 12]])</f>
        <v>0</v>
      </c>
      <c r="AS283" s="17">
        <f>IF(Audit[[#This Row],[Times p Drawn - With Replacement]]&gt;0, IF(Audit[[#This Row],[Canceled Differences]]&lt;0, Audit[[#This Row],[Max Differences]]+ABS(Audit[[#This Row],[Canceled Differences]]), Audit[[#This Row],[Max Differences]]), 0)</f>
        <v>0</v>
      </c>
      <c r="AT283" s="17">
        <f>'Sampling Data'!AB283</f>
        <v>1.7017484298081819E-2</v>
      </c>
      <c r="AU283" s="17">
        <f>IF(
      SUM(Audit[[#This Row],[Audit Losing Candidate]:[Audit Candidate 12]])
      &lt;&gt;0,
      (Audit[[#This Row],[Winning Candidate]]-Audit[[#This Row],[Losing Candidate]]-(Audit[[#This Row],[Audit Winning Candidate]]-Audit[[#This Row],[Audit Losing Candidate]]))/(Audit[[#Totals],[Winning Candidate]]-Audit[[#Totals],[Losing Candidate]]),
      0
)</f>
        <v>0</v>
      </c>
      <c r="AV2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3" s="17">
        <f>IF(Audit[[#This Row],[Max Relative Error (ep)]] = 0, 0, Audit[[#This Row],[Max Relative Error (ep)]]/Audit[[#This Row],[Error Bound (up) - Max. possible relative overstatement]])</f>
        <v>0</v>
      </c>
      <c r="BH2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83" s="17">
        <f t="shared" si="5"/>
        <v>1</v>
      </c>
      <c r="BJ283" s="17">
        <f>PRODUCT($BI$5:BI283)</f>
        <v>0.54590903044932937</v>
      </c>
      <c r="BK283" s="19">
        <f>1 - Audit[[#This Row],[K-M P Value]]</f>
        <v>0.45409096955067063</v>
      </c>
      <c r="BL283" s="17" t="str">
        <f>IF(Audit[[#This Row],[K-M P Value]]&gt;1-'General Info'!$B$12,"Continue", "Stop")</f>
        <v>Continue</v>
      </c>
      <c r="BM283" s="22" t="b">
        <f>IF(Audit[[#This Row],[Status - Continue or stop audit]] = "Continue", TRUE, IF(BL282 = "Continue", TRUE, FALSE))</f>
        <v>1</v>
      </c>
      <c r="BN283" s="22"/>
    </row>
    <row r="284" spans="1:66" ht="15" hidden="1" customHeight="1" x14ac:dyDescent="0.35">
      <c r="A284" s="17" t="str">
        <f>'Sampling Data'!AI284</f>
        <v/>
      </c>
      <c r="B284" s="17" t="str">
        <f>'Sampling Data'!A284</f>
        <v>4433 NORW 3-C   (AV)</v>
      </c>
      <c r="C284" s="17">
        <f>'Sampling Data'!B284</f>
        <v>248</v>
      </c>
      <c r="D284" s="17">
        <f>'Sampling Data'!C284</f>
        <v>179</v>
      </c>
      <c r="E284" s="18">
        <f>'Sampling Data'!D284</f>
        <v>0</v>
      </c>
      <c r="F284" s="18">
        <f>'Sampling Data'!E284</f>
        <v>0</v>
      </c>
      <c r="G284" s="18">
        <f>'Sampling Data'!F284</f>
        <v>0</v>
      </c>
      <c r="H284" s="18">
        <f>'Sampling Data'!G284</f>
        <v>0</v>
      </c>
      <c r="I284" s="18">
        <f>'Sampling Data'!H284</f>
        <v>0</v>
      </c>
      <c r="J284" s="18">
        <f>'Sampling Data'!I284</f>
        <v>0</v>
      </c>
      <c r="K284" s="18">
        <f>'Sampling Data'!J284</f>
        <v>0</v>
      </c>
      <c r="L284" s="18">
        <f>'Sampling Data'!K284</f>
        <v>0</v>
      </c>
      <c r="M284" s="18">
        <f>'Sampling Data'!L284</f>
        <v>0</v>
      </c>
      <c r="N284" s="18">
        <f>'Sampling Data'!M284</f>
        <v>0</v>
      </c>
      <c r="O284" s="17">
        <f>'Sampling Data'!N284</f>
        <v>1</v>
      </c>
      <c r="P284" s="17">
        <f>'Sampling Data'!O284</f>
        <v>23</v>
      </c>
      <c r="Q284" s="17">
        <f>'Sampling Data'!P284</f>
        <v>451</v>
      </c>
      <c r="R284" s="17">
        <f>'Sampling Data'!AJ284</f>
        <v>0</v>
      </c>
      <c r="S284" s="111"/>
      <c r="T284" s="111"/>
      <c r="U284" s="112"/>
      <c r="V284" s="112"/>
      <c r="W284" s="111"/>
      <c r="X284" s="111"/>
      <c r="Y284" s="111"/>
      <c r="Z284" s="111"/>
      <c r="AA284" s="14"/>
      <c r="AB284" s="14"/>
      <c r="AC284" s="14"/>
      <c r="AD284" s="14"/>
      <c r="AE284" s="113" t="str">
        <f>IF(NOT(ISBLANK(Audit[[#This Row],[Audit Winning Candidate]])), Audit[[#This Row],[Audit Winning Candidate]]-Audit[[#This Row],[Winning Candidate]], "")</f>
        <v/>
      </c>
      <c r="AF284" s="17" t="str">
        <f>IF(NOT(ISBLANK(Audit[[#This Row],[Audit Losing Candidate]])), Audit[[#This Row],[Audit Losing Candidate]]-Audit[[#This Row],[Losing Candidate]], "")</f>
        <v/>
      </c>
      <c r="AG284" s="17" t="str">
        <f>IF(NOT(ISBLANK(Audit[[#This Row],[Audit Candidate 3]])), Audit[[#This Row],[Audit Candidate 3]]-Audit[[#This Row],[Candidate 3]], "")</f>
        <v/>
      </c>
      <c r="AH284" s="17" t="str">
        <f>IF(NOT(ISBLANK(Audit[[#This Row],[Audit Candidate 4]])),Audit[[#This Row],[Audit Candidate 4]]-Audit[[#This Row],[Candidate 4]], "")</f>
        <v/>
      </c>
      <c r="AI284" s="17" t="str">
        <f>IF(NOT(ISBLANK(Audit[[#This Row],[Audit Candidate 5]])), Audit[[#This Row],[Audit Candidate 5]]-Audit[[#This Row],[Candidate 5]], "")</f>
        <v/>
      </c>
      <c r="AJ284" s="17" t="str">
        <f>IF(NOT(ISBLANK(Audit[[#This Row],[Audit Candidate 6]])), Audit[[#This Row],[Audit Candidate 6]]-Audit[[#This Row],[Candidate 6]], "")</f>
        <v/>
      </c>
      <c r="AK284" s="17" t="str">
        <f>IF(NOT(ISBLANK(Audit[[#This Row],[Audit Candidate 7]])), Audit[[#This Row],[Audit Candidate 7]]-Audit[[#This Row],[Candidate 7]], "")</f>
        <v/>
      </c>
      <c r="AL284" s="17" t="str">
        <f>IF(NOT(ISBLANK(Audit[[#This Row],[Audit Candidate 8]])), Audit[[#This Row],[Audit Candidate 8]]-Audit[[#This Row],[Candidate 8]], "")</f>
        <v/>
      </c>
      <c r="AM284" s="17" t="str">
        <f>IF(NOT(ISBLANK(Audit[[#This Row],[Audit Candidate 9]])), Audit[[#This Row],[Audit Candidate 9]]-Audit[[#This Row],[Candidate 9]], "")</f>
        <v/>
      </c>
      <c r="AN284" s="17" t="str">
        <f>IF(NOT(ISBLANK(Audit[[#This Row],[Audit Candidate 10]])), Audit[[#This Row],[Audit Candidate 10]]-Audit[[#This Row],[Candidate 10]], "")</f>
        <v/>
      </c>
      <c r="AO284" s="17" t="str">
        <f>IF(NOT(ISBLANK(Audit[[#This Row],[Audit Candidate 11]])), Audit[[#This Row],[Audit Candidate 11]]-Audit[[#This Row],[Candidate 11]], "")</f>
        <v/>
      </c>
      <c r="AP284" s="17" t="str">
        <f>IF(NOT(ISBLANK(Audit[[#This Row],[Audit Candidate 12]])), Audit[[#This Row],[Audit Candidate 12]]-Audit[[#This Row],[Candidate 12]], "")</f>
        <v/>
      </c>
      <c r="AQ284" s="17">
        <f>SUMIF(Audit[[#This Row],[Difference Winner]:[Difference Candidate 12]], "&gt;0")</f>
        <v>0</v>
      </c>
      <c r="AR284" s="17">
        <f>SUM(Audit[[#This Row],[Difference Winner]:[Difference Candidate 12]])</f>
        <v>0</v>
      </c>
      <c r="AS284" s="17">
        <f>IF(Audit[[#This Row],[Times p Drawn - With Replacement]]&gt;0, IF(Audit[[#This Row],[Canceled Differences]]&lt;0, Audit[[#This Row],[Max Differences]]+ABS(Audit[[#This Row],[Canceled Differences]]), Audit[[#This Row],[Max Differences]]), 0)</f>
        <v>0</v>
      </c>
      <c r="AT284" s="17">
        <f>'Sampling Data'!AB284</f>
        <v>2.2067560685791885E-2</v>
      </c>
      <c r="AU284" s="17">
        <f>IF(
      SUM(Audit[[#This Row],[Audit Losing Candidate]:[Audit Candidate 12]])
      &lt;&gt;0,
      (Audit[[#This Row],[Winning Candidate]]-Audit[[#This Row],[Losing Candidate]]-(Audit[[#This Row],[Audit Winning Candidate]]-Audit[[#This Row],[Audit Losing Candidate]]))/(Audit[[#Totals],[Winning Candidate]]-Audit[[#Totals],[Losing Candidate]]),
      0
)</f>
        <v>0</v>
      </c>
      <c r="AV2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4" s="17">
        <f>IF(Audit[[#This Row],[Max Relative Error (ep)]] = 0, 0, Audit[[#This Row],[Max Relative Error (ep)]]/Audit[[#This Row],[Error Bound (up) - Max. possible relative overstatement]])</f>
        <v>0</v>
      </c>
      <c r="BH2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84" s="17">
        <f t="shared" si="5"/>
        <v>1</v>
      </c>
      <c r="BJ284" s="17">
        <f>PRODUCT($BI$5:BI284)</f>
        <v>0.54590903044932937</v>
      </c>
      <c r="BK284" s="19">
        <f>1 - Audit[[#This Row],[K-M P Value]]</f>
        <v>0.45409096955067063</v>
      </c>
      <c r="BL284" s="17" t="str">
        <f>IF(Audit[[#This Row],[K-M P Value]]&gt;1-'General Info'!$B$12,"Continue", "Stop")</f>
        <v>Continue</v>
      </c>
      <c r="BM284" s="22" t="b">
        <f>IF(Audit[[#This Row],[Status - Continue or stop audit]] = "Continue", TRUE, IF(BL283 = "Continue", TRUE, FALSE))</f>
        <v>1</v>
      </c>
      <c r="BN284" s="22"/>
    </row>
    <row r="285" spans="1:66" ht="15" hidden="1" customHeight="1" x14ac:dyDescent="0.35">
      <c r="A285" s="17" t="str">
        <f>'Sampling Data'!AI285</f>
        <v/>
      </c>
      <c r="B285" s="17" t="str">
        <f>'Sampling Data'!A285</f>
        <v>4441 NORW 4-A   (AV)</v>
      </c>
      <c r="C285" s="17">
        <f>'Sampling Data'!B285</f>
        <v>171</v>
      </c>
      <c r="D285" s="17">
        <f>'Sampling Data'!C285</f>
        <v>128</v>
      </c>
      <c r="E285" s="18">
        <f>'Sampling Data'!D285</f>
        <v>0</v>
      </c>
      <c r="F285" s="18">
        <f>'Sampling Data'!E285</f>
        <v>0</v>
      </c>
      <c r="G285" s="18">
        <f>'Sampling Data'!F285</f>
        <v>0</v>
      </c>
      <c r="H285" s="18">
        <f>'Sampling Data'!G285</f>
        <v>0</v>
      </c>
      <c r="I285" s="18">
        <f>'Sampling Data'!H285</f>
        <v>0</v>
      </c>
      <c r="J285" s="18">
        <f>'Sampling Data'!I285</f>
        <v>0</v>
      </c>
      <c r="K285" s="18">
        <f>'Sampling Data'!J285</f>
        <v>0</v>
      </c>
      <c r="L285" s="18">
        <f>'Sampling Data'!K285</f>
        <v>0</v>
      </c>
      <c r="M285" s="18">
        <f>'Sampling Data'!L285</f>
        <v>0</v>
      </c>
      <c r="N285" s="18">
        <f>'Sampling Data'!M285</f>
        <v>0</v>
      </c>
      <c r="O285" s="17">
        <f>'Sampling Data'!N285</f>
        <v>1</v>
      </c>
      <c r="P285" s="17">
        <f>'Sampling Data'!O285</f>
        <v>18</v>
      </c>
      <c r="Q285" s="17">
        <f>'Sampling Data'!P285</f>
        <v>318</v>
      </c>
      <c r="R285" s="17">
        <f>'Sampling Data'!AJ285</f>
        <v>0</v>
      </c>
      <c r="S285" s="111"/>
      <c r="T285" s="111"/>
      <c r="U285" s="112"/>
      <c r="V285" s="112"/>
      <c r="W285" s="111"/>
      <c r="X285" s="111"/>
      <c r="Y285" s="111"/>
      <c r="Z285" s="111"/>
      <c r="AA285" s="14"/>
      <c r="AB285" s="14"/>
      <c r="AC285" s="14"/>
      <c r="AD285" s="14"/>
      <c r="AE285" s="113" t="str">
        <f>IF(NOT(ISBLANK(Audit[[#This Row],[Audit Winning Candidate]])), Audit[[#This Row],[Audit Winning Candidate]]-Audit[[#This Row],[Winning Candidate]], "")</f>
        <v/>
      </c>
      <c r="AF285" s="17" t="str">
        <f>IF(NOT(ISBLANK(Audit[[#This Row],[Audit Losing Candidate]])), Audit[[#This Row],[Audit Losing Candidate]]-Audit[[#This Row],[Losing Candidate]], "")</f>
        <v/>
      </c>
      <c r="AG285" s="17" t="str">
        <f>IF(NOT(ISBLANK(Audit[[#This Row],[Audit Candidate 3]])), Audit[[#This Row],[Audit Candidate 3]]-Audit[[#This Row],[Candidate 3]], "")</f>
        <v/>
      </c>
      <c r="AH285" s="17" t="str">
        <f>IF(NOT(ISBLANK(Audit[[#This Row],[Audit Candidate 4]])),Audit[[#This Row],[Audit Candidate 4]]-Audit[[#This Row],[Candidate 4]], "")</f>
        <v/>
      </c>
      <c r="AI285" s="17" t="str">
        <f>IF(NOT(ISBLANK(Audit[[#This Row],[Audit Candidate 5]])), Audit[[#This Row],[Audit Candidate 5]]-Audit[[#This Row],[Candidate 5]], "")</f>
        <v/>
      </c>
      <c r="AJ285" s="17" t="str">
        <f>IF(NOT(ISBLANK(Audit[[#This Row],[Audit Candidate 6]])), Audit[[#This Row],[Audit Candidate 6]]-Audit[[#This Row],[Candidate 6]], "")</f>
        <v/>
      </c>
      <c r="AK285" s="17" t="str">
        <f>IF(NOT(ISBLANK(Audit[[#This Row],[Audit Candidate 7]])), Audit[[#This Row],[Audit Candidate 7]]-Audit[[#This Row],[Candidate 7]], "")</f>
        <v/>
      </c>
      <c r="AL285" s="17" t="str">
        <f>IF(NOT(ISBLANK(Audit[[#This Row],[Audit Candidate 8]])), Audit[[#This Row],[Audit Candidate 8]]-Audit[[#This Row],[Candidate 8]], "")</f>
        <v/>
      </c>
      <c r="AM285" s="17" t="str">
        <f>IF(NOT(ISBLANK(Audit[[#This Row],[Audit Candidate 9]])), Audit[[#This Row],[Audit Candidate 9]]-Audit[[#This Row],[Candidate 9]], "")</f>
        <v/>
      </c>
      <c r="AN285" s="17" t="str">
        <f>IF(NOT(ISBLANK(Audit[[#This Row],[Audit Candidate 10]])), Audit[[#This Row],[Audit Candidate 10]]-Audit[[#This Row],[Candidate 10]], "")</f>
        <v/>
      </c>
      <c r="AO285" s="17" t="str">
        <f>IF(NOT(ISBLANK(Audit[[#This Row],[Audit Candidate 11]])), Audit[[#This Row],[Audit Candidate 11]]-Audit[[#This Row],[Candidate 11]], "")</f>
        <v/>
      </c>
      <c r="AP285" s="17" t="str">
        <f>IF(NOT(ISBLANK(Audit[[#This Row],[Audit Candidate 12]])), Audit[[#This Row],[Audit Candidate 12]]-Audit[[#This Row],[Candidate 12]], "")</f>
        <v/>
      </c>
      <c r="AQ285" s="17">
        <f>SUMIF(Audit[[#This Row],[Difference Winner]:[Difference Candidate 12]], "&gt;0")</f>
        <v>0</v>
      </c>
      <c r="AR285" s="17">
        <f>SUM(Audit[[#This Row],[Difference Winner]:[Difference Candidate 12]])</f>
        <v>0</v>
      </c>
      <c r="AS285" s="17">
        <f>IF(Audit[[#This Row],[Times p Drawn - With Replacement]]&gt;0, IF(Audit[[#This Row],[Canceled Differences]]&lt;0, Audit[[#This Row],[Max Differences]]+ABS(Audit[[#This Row],[Canceled Differences]]), Audit[[#This Row],[Max Differences]]), 0)</f>
        <v>0</v>
      </c>
      <c r="AT285" s="17">
        <f>'Sampling Data'!AB285</f>
        <v>1.5319979629943982E-2</v>
      </c>
      <c r="AU285" s="17">
        <f>IF(
      SUM(Audit[[#This Row],[Audit Losing Candidate]:[Audit Candidate 12]])
      &lt;&gt;0,
      (Audit[[#This Row],[Winning Candidate]]-Audit[[#This Row],[Losing Candidate]]-(Audit[[#This Row],[Audit Winning Candidate]]-Audit[[#This Row],[Audit Losing Candidate]]))/(Audit[[#Totals],[Winning Candidate]]-Audit[[#Totals],[Losing Candidate]]),
      0
)</f>
        <v>0</v>
      </c>
      <c r="AV2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5" s="17">
        <f>IF(Audit[[#This Row],[Max Relative Error (ep)]] = 0, 0, Audit[[#This Row],[Max Relative Error (ep)]]/Audit[[#This Row],[Error Bound (up) - Max. possible relative overstatement]])</f>
        <v>0</v>
      </c>
      <c r="BH2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85" s="17">
        <f t="shared" si="5"/>
        <v>1</v>
      </c>
      <c r="BJ285" s="17">
        <f>PRODUCT($BI$5:BI285)</f>
        <v>0.54590903044932937</v>
      </c>
      <c r="BK285" s="19">
        <f>1 - Audit[[#This Row],[K-M P Value]]</f>
        <v>0.45409096955067063</v>
      </c>
      <c r="BL285" s="17" t="str">
        <f>IF(Audit[[#This Row],[K-M P Value]]&gt;1-'General Info'!$B$12,"Continue", "Stop")</f>
        <v>Continue</v>
      </c>
      <c r="BM285" s="22" t="b">
        <f>IF(Audit[[#This Row],[Status - Continue or stop audit]] = "Continue", TRUE, IF(BL284 = "Continue", TRUE, FALSE))</f>
        <v>1</v>
      </c>
      <c r="BN285" s="22"/>
    </row>
    <row r="286" spans="1:66" ht="15" hidden="1" customHeight="1" x14ac:dyDescent="0.35">
      <c r="A286" s="17" t="str">
        <f>'Sampling Data'!AI286</f>
        <v/>
      </c>
      <c r="B286" s="17" t="str">
        <f>'Sampling Data'!A286</f>
        <v>4442 NORW 4-B   (AV)</v>
      </c>
      <c r="C286" s="17">
        <f>'Sampling Data'!B286</f>
        <v>201</v>
      </c>
      <c r="D286" s="17">
        <f>'Sampling Data'!C286</f>
        <v>132</v>
      </c>
      <c r="E286" s="18">
        <f>'Sampling Data'!D286</f>
        <v>0</v>
      </c>
      <c r="F286" s="18">
        <f>'Sampling Data'!E286</f>
        <v>0</v>
      </c>
      <c r="G286" s="18">
        <f>'Sampling Data'!F286</f>
        <v>0</v>
      </c>
      <c r="H286" s="18">
        <f>'Sampling Data'!G286</f>
        <v>0</v>
      </c>
      <c r="I286" s="18">
        <f>'Sampling Data'!H286</f>
        <v>0</v>
      </c>
      <c r="J286" s="18">
        <f>'Sampling Data'!I286</f>
        <v>0</v>
      </c>
      <c r="K286" s="18">
        <f>'Sampling Data'!J286</f>
        <v>0</v>
      </c>
      <c r="L286" s="18">
        <f>'Sampling Data'!K286</f>
        <v>0</v>
      </c>
      <c r="M286" s="18">
        <f>'Sampling Data'!L286</f>
        <v>0</v>
      </c>
      <c r="N286" s="18">
        <f>'Sampling Data'!M286</f>
        <v>0</v>
      </c>
      <c r="O286" s="17">
        <f>'Sampling Data'!N286</f>
        <v>0</v>
      </c>
      <c r="P286" s="17">
        <f>'Sampling Data'!O286</f>
        <v>20</v>
      </c>
      <c r="Q286" s="17">
        <f>'Sampling Data'!P286</f>
        <v>353</v>
      </c>
      <c r="R286" s="17">
        <f>'Sampling Data'!AJ286</f>
        <v>0</v>
      </c>
      <c r="S286" s="111"/>
      <c r="T286" s="111"/>
      <c r="U286" s="112"/>
      <c r="V286" s="112"/>
      <c r="W286" s="111"/>
      <c r="X286" s="111"/>
      <c r="Y286" s="111"/>
      <c r="Z286" s="111"/>
      <c r="AA286" s="14"/>
      <c r="AB286" s="14"/>
      <c r="AC286" s="14"/>
      <c r="AD286" s="14"/>
      <c r="AE286" s="113" t="str">
        <f>IF(NOT(ISBLANK(Audit[[#This Row],[Audit Winning Candidate]])), Audit[[#This Row],[Audit Winning Candidate]]-Audit[[#This Row],[Winning Candidate]], "")</f>
        <v/>
      </c>
      <c r="AF286" s="17" t="str">
        <f>IF(NOT(ISBLANK(Audit[[#This Row],[Audit Losing Candidate]])), Audit[[#This Row],[Audit Losing Candidate]]-Audit[[#This Row],[Losing Candidate]], "")</f>
        <v/>
      </c>
      <c r="AG286" s="17" t="str">
        <f>IF(NOT(ISBLANK(Audit[[#This Row],[Audit Candidate 3]])), Audit[[#This Row],[Audit Candidate 3]]-Audit[[#This Row],[Candidate 3]], "")</f>
        <v/>
      </c>
      <c r="AH286" s="17" t="str">
        <f>IF(NOT(ISBLANK(Audit[[#This Row],[Audit Candidate 4]])),Audit[[#This Row],[Audit Candidate 4]]-Audit[[#This Row],[Candidate 4]], "")</f>
        <v/>
      </c>
      <c r="AI286" s="17" t="str">
        <f>IF(NOT(ISBLANK(Audit[[#This Row],[Audit Candidate 5]])), Audit[[#This Row],[Audit Candidate 5]]-Audit[[#This Row],[Candidate 5]], "")</f>
        <v/>
      </c>
      <c r="AJ286" s="17" t="str">
        <f>IF(NOT(ISBLANK(Audit[[#This Row],[Audit Candidate 6]])), Audit[[#This Row],[Audit Candidate 6]]-Audit[[#This Row],[Candidate 6]], "")</f>
        <v/>
      </c>
      <c r="AK286" s="17" t="str">
        <f>IF(NOT(ISBLANK(Audit[[#This Row],[Audit Candidate 7]])), Audit[[#This Row],[Audit Candidate 7]]-Audit[[#This Row],[Candidate 7]], "")</f>
        <v/>
      </c>
      <c r="AL286" s="17" t="str">
        <f>IF(NOT(ISBLANK(Audit[[#This Row],[Audit Candidate 8]])), Audit[[#This Row],[Audit Candidate 8]]-Audit[[#This Row],[Candidate 8]], "")</f>
        <v/>
      </c>
      <c r="AM286" s="17" t="str">
        <f>IF(NOT(ISBLANK(Audit[[#This Row],[Audit Candidate 9]])), Audit[[#This Row],[Audit Candidate 9]]-Audit[[#This Row],[Candidate 9]], "")</f>
        <v/>
      </c>
      <c r="AN286" s="17" t="str">
        <f>IF(NOT(ISBLANK(Audit[[#This Row],[Audit Candidate 10]])), Audit[[#This Row],[Audit Candidate 10]]-Audit[[#This Row],[Candidate 10]], "")</f>
        <v/>
      </c>
      <c r="AO286" s="17" t="str">
        <f>IF(NOT(ISBLANK(Audit[[#This Row],[Audit Candidate 11]])), Audit[[#This Row],[Audit Candidate 11]]-Audit[[#This Row],[Candidate 11]], "")</f>
        <v/>
      </c>
      <c r="AP286" s="17" t="str">
        <f>IF(NOT(ISBLANK(Audit[[#This Row],[Audit Candidate 12]])), Audit[[#This Row],[Audit Candidate 12]]-Audit[[#This Row],[Candidate 12]], "")</f>
        <v/>
      </c>
      <c r="AQ286" s="17">
        <f>SUMIF(Audit[[#This Row],[Difference Winner]:[Difference Candidate 12]], "&gt;0")</f>
        <v>0</v>
      </c>
      <c r="AR286" s="17">
        <f>SUM(Audit[[#This Row],[Difference Winner]:[Difference Candidate 12]])</f>
        <v>0</v>
      </c>
      <c r="AS286" s="17">
        <f>IF(Audit[[#This Row],[Times p Drawn - With Replacement]]&gt;0, IF(Audit[[#This Row],[Canceled Differences]]&lt;0, Audit[[#This Row],[Max Differences]]+ABS(Audit[[#This Row],[Canceled Differences]]), Audit[[#This Row],[Max Differences]]), 0)</f>
        <v>0</v>
      </c>
      <c r="AT286" s="17">
        <f>'Sampling Data'!AB286</f>
        <v>1.7908674248854183E-2</v>
      </c>
      <c r="AU286" s="17">
        <f>IF(
      SUM(Audit[[#This Row],[Audit Losing Candidate]:[Audit Candidate 12]])
      &lt;&gt;0,
      (Audit[[#This Row],[Winning Candidate]]-Audit[[#This Row],[Losing Candidate]]-(Audit[[#This Row],[Audit Winning Candidate]]-Audit[[#This Row],[Audit Losing Candidate]]))/(Audit[[#Totals],[Winning Candidate]]-Audit[[#Totals],[Losing Candidate]]),
      0
)</f>
        <v>0</v>
      </c>
      <c r="AV2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6" s="17">
        <f>IF(Audit[[#This Row],[Max Relative Error (ep)]] = 0, 0, Audit[[#This Row],[Max Relative Error (ep)]]/Audit[[#This Row],[Error Bound (up) - Max. possible relative overstatement]])</f>
        <v>0</v>
      </c>
      <c r="BH2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86" s="17">
        <f t="shared" si="5"/>
        <v>1</v>
      </c>
      <c r="BJ286" s="17">
        <f>PRODUCT($BI$5:BI286)</f>
        <v>0.54590903044932937</v>
      </c>
      <c r="BK286" s="19">
        <f>1 - Audit[[#This Row],[K-M P Value]]</f>
        <v>0.45409096955067063</v>
      </c>
      <c r="BL286" s="17" t="str">
        <f>IF(Audit[[#This Row],[K-M P Value]]&gt;1-'General Info'!$B$12,"Continue", "Stop")</f>
        <v>Continue</v>
      </c>
      <c r="BM286" s="22" t="b">
        <f>IF(Audit[[#This Row],[Status - Continue or stop audit]] = "Continue", TRUE, IF(BL285 = "Continue", TRUE, FALSE))</f>
        <v>1</v>
      </c>
      <c r="BN286" s="22"/>
    </row>
    <row r="287" spans="1:66" ht="15" hidden="1" customHeight="1" x14ac:dyDescent="0.35">
      <c r="A287" s="17" t="str">
        <f>'Sampling Data'!AI287</f>
        <v/>
      </c>
      <c r="B287" s="17" t="str">
        <f>'Sampling Data'!A287</f>
        <v>4443 NORW 4-C   (AV)</v>
      </c>
      <c r="C287" s="17">
        <f>'Sampling Data'!B287</f>
        <v>182</v>
      </c>
      <c r="D287" s="17">
        <f>'Sampling Data'!C287</f>
        <v>183</v>
      </c>
      <c r="E287" s="18">
        <f>'Sampling Data'!D287</f>
        <v>0</v>
      </c>
      <c r="F287" s="18">
        <f>'Sampling Data'!E287</f>
        <v>0</v>
      </c>
      <c r="G287" s="18">
        <f>'Sampling Data'!F287</f>
        <v>0</v>
      </c>
      <c r="H287" s="18">
        <f>'Sampling Data'!G287</f>
        <v>0</v>
      </c>
      <c r="I287" s="18">
        <f>'Sampling Data'!H287</f>
        <v>0</v>
      </c>
      <c r="J287" s="18">
        <f>'Sampling Data'!I287</f>
        <v>0</v>
      </c>
      <c r="K287" s="18">
        <f>'Sampling Data'!J287</f>
        <v>0</v>
      </c>
      <c r="L287" s="18">
        <f>'Sampling Data'!K287</f>
        <v>0</v>
      </c>
      <c r="M287" s="18">
        <f>'Sampling Data'!L287</f>
        <v>0</v>
      </c>
      <c r="N287" s="18">
        <f>'Sampling Data'!M287</f>
        <v>0</v>
      </c>
      <c r="O287" s="17">
        <f>'Sampling Data'!N287</f>
        <v>0</v>
      </c>
      <c r="P287" s="17">
        <f>'Sampling Data'!O287</f>
        <v>23</v>
      </c>
      <c r="Q287" s="17">
        <f>'Sampling Data'!P287</f>
        <v>388</v>
      </c>
      <c r="R287" s="17">
        <f>'Sampling Data'!AJ287</f>
        <v>0</v>
      </c>
      <c r="S287" s="111"/>
      <c r="T287" s="111"/>
      <c r="U287" s="112"/>
      <c r="V287" s="112"/>
      <c r="W287" s="111"/>
      <c r="X287" s="111"/>
      <c r="Y287" s="111"/>
      <c r="Z287" s="111"/>
      <c r="AA287" s="14"/>
      <c r="AB287" s="14"/>
      <c r="AC287" s="14"/>
      <c r="AD287" s="14"/>
      <c r="AE287" s="113" t="str">
        <f>IF(NOT(ISBLANK(Audit[[#This Row],[Audit Winning Candidate]])), Audit[[#This Row],[Audit Winning Candidate]]-Audit[[#This Row],[Winning Candidate]], "")</f>
        <v/>
      </c>
      <c r="AF287" s="17" t="str">
        <f>IF(NOT(ISBLANK(Audit[[#This Row],[Audit Losing Candidate]])), Audit[[#This Row],[Audit Losing Candidate]]-Audit[[#This Row],[Losing Candidate]], "")</f>
        <v/>
      </c>
      <c r="AG287" s="17" t="str">
        <f>IF(NOT(ISBLANK(Audit[[#This Row],[Audit Candidate 3]])), Audit[[#This Row],[Audit Candidate 3]]-Audit[[#This Row],[Candidate 3]], "")</f>
        <v/>
      </c>
      <c r="AH287" s="17" t="str">
        <f>IF(NOT(ISBLANK(Audit[[#This Row],[Audit Candidate 4]])),Audit[[#This Row],[Audit Candidate 4]]-Audit[[#This Row],[Candidate 4]], "")</f>
        <v/>
      </c>
      <c r="AI287" s="17" t="str">
        <f>IF(NOT(ISBLANK(Audit[[#This Row],[Audit Candidate 5]])), Audit[[#This Row],[Audit Candidate 5]]-Audit[[#This Row],[Candidate 5]], "")</f>
        <v/>
      </c>
      <c r="AJ287" s="17" t="str">
        <f>IF(NOT(ISBLANK(Audit[[#This Row],[Audit Candidate 6]])), Audit[[#This Row],[Audit Candidate 6]]-Audit[[#This Row],[Candidate 6]], "")</f>
        <v/>
      </c>
      <c r="AK287" s="17" t="str">
        <f>IF(NOT(ISBLANK(Audit[[#This Row],[Audit Candidate 7]])), Audit[[#This Row],[Audit Candidate 7]]-Audit[[#This Row],[Candidate 7]], "")</f>
        <v/>
      </c>
      <c r="AL287" s="17" t="str">
        <f>IF(NOT(ISBLANK(Audit[[#This Row],[Audit Candidate 8]])), Audit[[#This Row],[Audit Candidate 8]]-Audit[[#This Row],[Candidate 8]], "")</f>
        <v/>
      </c>
      <c r="AM287" s="17" t="str">
        <f>IF(NOT(ISBLANK(Audit[[#This Row],[Audit Candidate 9]])), Audit[[#This Row],[Audit Candidate 9]]-Audit[[#This Row],[Candidate 9]], "")</f>
        <v/>
      </c>
      <c r="AN287" s="17" t="str">
        <f>IF(NOT(ISBLANK(Audit[[#This Row],[Audit Candidate 10]])), Audit[[#This Row],[Audit Candidate 10]]-Audit[[#This Row],[Candidate 10]], "")</f>
        <v/>
      </c>
      <c r="AO287" s="17" t="str">
        <f>IF(NOT(ISBLANK(Audit[[#This Row],[Audit Candidate 11]])), Audit[[#This Row],[Audit Candidate 11]]-Audit[[#This Row],[Candidate 11]], "")</f>
        <v/>
      </c>
      <c r="AP287" s="17" t="str">
        <f>IF(NOT(ISBLANK(Audit[[#This Row],[Audit Candidate 12]])), Audit[[#This Row],[Audit Candidate 12]]-Audit[[#This Row],[Candidate 12]], "")</f>
        <v/>
      </c>
      <c r="AQ287" s="17">
        <f>SUMIF(Audit[[#This Row],[Difference Winner]:[Difference Candidate 12]], "&gt;0")</f>
        <v>0</v>
      </c>
      <c r="AR287" s="17">
        <f>SUM(Audit[[#This Row],[Difference Winner]:[Difference Candidate 12]])</f>
        <v>0</v>
      </c>
      <c r="AS287" s="17">
        <f>IF(Audit[[#This Row],[Times p Drawn - With Replacement]]&gt;0, IF(Audit[[#This Row],[Canceled Differences]]&lt;0, Audit[[#This Row],[Max Differences]]+ABS(Audit[[#This Row],[Canceled Differences]]), Audit[[#This Row],[Max Differences]]), 0)</f>
        <v>0</v>
      </c>
      <c r="AT287" s="17">
        <f>'Sampling Data'!AB287</f>
        <v>1.6423357664233577E-2</v>
      </c>
      <c r="AU287" s="17">
        <f>IF(
      SUM(Audit[[#This Row],[Audit Losing Candidate]:[Audit Candidate 12]])
      &lt;&gt;0,
      (Audit[[#This Row],[Winning Candidate]]-Audit[[#This Row],[Losing Candidate]]-(Audit[[#This Row],[Audit Winning Candidate]]-Audit[[#This Row],[Audit Losing Candidate]]))/(Audit[[#Totals],[Winning Candidate]]-Audit[[#Totals],[Losing Candidate]]),
      0
)</f>
        <v>0</v>
      </c>
      <c r="AV2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7" s="17">
        <f>IF(Audit[[#This Row],[Max Relative Error (ep)]] = 0, 0, Audit[[#This Row],[Max Relative Error (ep)]]/Audit[[#This Row],[Error Bound (up) - Max. possible relative overstatement]])</f>
        <v>0</v>
      </c>
      <c r="BH2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87" s="17">
        <f t="shared" si="5"/>
        <v>1</v>
      </c>
      <c r="BJ287" s="17">
        <f>PRODUCT($BI$5:BI287)</f>
        <v>0.54590903044932937</v>
      </c>
      <c r="BK287" s="19">
        <f>1 - Audit[[#This Row],[K-M P Value]]</f>
        <v>0.45409096955067063</v>
      </c>
      <c r="BL287" s="17" t="str">
        <f>IF(Audit[[#This Row],[K-M P Value]]&gt;1-'General Info'!$B$12,"Continue", "Stop")</f>
        <v>Continue</v>
      </c>
      <c r="BM287" s="22" t="b">
        <f>IF(Audit[[#This Row],[Status - Continue or stop audit]] = "Continue", TRUE, IF(BL286 = "Continue", TRUE, FALSE))</f>
        <v>1</v>
      </c>
      <c r="BN287" s="22"/>
    </row>
    <row r="288" spans="1:66" ht="15" hidden="1" customHeight="1" x14ac:dyDescent="0.35">
      <c r="A288" s="17" t="str">
        <f>'Sampling Data'!AI288</f>
        <v/>
      </c>
      <c r="B288" s="17" t="str">
        <f>'Sampling Data'!A288</f>
        <v>4611 READ 1-A   (AV)</v>
      </c>
      <c r="C288" s="17">
        <f>'Sampling Data'!B288</f>
        <v>147</v>
      </c>
      <c r="D288" s="17">
        <f>'Sampling Data'!C288</f>
        <v>151</v>
      </c>
      <c r="E288" s="18">
        <f>'Sampling Data'!D288</f>
        <v>0</v>
      </c>
      <c r="F288" s="18">
        <f>'Sampling Data'!E288</f>
        <v>0</v>
      </c>
      <c r="G288" s="18">
        <f>'Sampling Data'!F288</f>
        <v>0</v>
      </c>
      <c r="H288" s="18">
        <f>'Sampling Data'!G288</f>
        <v>0</v>
      </c>
      <c r="I288" s="18">
        <f>'Sampling Data'!H288</f>
        <v>0</v>
      </c>
      <c r="J288" s="18">
        <f>'Sampling Data'!I288</f>
        <v>0</v>
      </c>
      <c r="K288" s="18">
        <f>'Sampling Data'!J288</f>
        <v>0</v>
      </c>
      <c r="L288" s="18">
        <f>'Sampling Data'!K288</f>
        <v>0</v>
      </c>
      <c r="M288" s="18">
        <f>'Sampling Data'!L288</f>
        <v>0</v>
      </c>
      <c r="N288" s="18">
        <f>'Sampling Data'!M288</f>
        <v>0</v>
      </c>
      <c r="O288" s="17">
        <f>'Sampling Data'!N288</f>
        <v>0</v>
      </c>
      <c r="P288" s="17">
        <f>'Sampling Data'!O288</f>
        <v>17</v>
      </c>
      <c r="Q288" s="17">
        <f>'Sampling Data'!P288</f>
        <v>315</v>
      </c>
      <c r="R288" s="17">
        <f>'Sampling Data'!AJ288</f>
        <v>0</v>
      </c>
      <c r="S288" s="111"/>
      <c r="T288" s="111"/>
      <c r="U288" s="112"/>
      <c r="V288" s="112"/>
      <c r="W288" s="111"/>
      <c r="X288" s="111"/>
      <c r="Y288" s="111"/>
      <c r="Z288" s="111"/>
      <c r="AA288" s="14"/>
      <c r="AB288" s="14"/>
      <c r="AC288" s="14"/>
      <c r="AD288" s="14"/>
      <c r="AE288" s="113" t="str">
        <f>IF(NOT(ISBLANK(Audit[[#This Row],[Audit Winning Candidate]])), Audit[[#This Row],[Audit Winning Candidate]]-Audit[[#This Row],[Winning Candidate]], "")</f>
        <v/>
      </c>
      <c r="AF288" s="17" t="str">
        <f>IF(NOT(ISBLANK(Audit[[#This Row],[Audit Losing Candidate]])), Audit[[#This Row],[Audit Losing Candidate]]-Audit[[#This Row],[Losing Candidate]], "")</f>
        <v/>
      </c>
      <c r="AG288" s="17" t="str">
        <f>IF(NOT(ISBLANK(Audit[[#This Row],[Audit Candidate 3]])), Audit[[#This Row],[Audit Candidate 3]]-Audit[[#This Row],[Candidate 3]], "")</f>
        <v/>
      </c>
      <c r="AH288" s="17" t="str">
        <f>IF(NOT(ISBLANK(Audit[[#This Row],[Audit Candidate 4]])),Audit[[#This Row],[Audit Candidate 4]]-Audit[[#This Row],[Candidate 4]], "")</f>
        <v/>
      </c>
      <c r="AI288" s="17" t="str">
        <f>IF(NOT(ISBLANK(Audit[[#This Row],[Audit Candidate 5]])), Audit[[#This Row],[Audit Candidate 5]]-Audit[[#This Row],[Candidate 5]], "")</f>
        <v/>
      </c>
      <c r="AJ288" s="17" t="str">
        <f>IF(NOT(ISBLANK(Audit[[#This Row],[Audit Candidate 6]])), Audit[[#This Row],[Audit Candidate 6]]-Audit[[#This Row],[Candidate 6]], "")</f>
        <v/>
      </c>
      <c r="AK288" s="17" t="str">
        <f>IF(NOT(ISBLANK(Audit[[#This Row],[Audit Candidate 7]])), Audit[[#This Row],[Audit Candidate 7]]-Audit[[#This Row],[Candidate 7]], "")</f>
        <v/>
      </c>
      <c r="AL288" s="17" t="str">
        <f>IF(NOT(ISBLANK(Audit[[#This Row],[Audit Candidate 8]])), Audit[[#This Row],[Audit Candidate 8]]-Audit[[#This Row],[Candidate 8]], "")</f>
        <v/>
      </c>
      <c r="AM288" s="17" t="str">
        <f>IF(NOT(ISBLANK(Audit[[#This Row],[Audit Candidate 9]])), Audit[[#This Row],[Audit Candidate 9]]-Audit[[#This Row],[Candidate 9]], "")</f>
        <v/>
      </c>
      <c r="AN288" s="17" t="str">
        <f>IF(NOT(ISBLANK(Audit[[#This Row],[Audit Candidate 10]])), Audit[[#This Row],[Audit Candidate 10]]-Audit[[#This Row],[Candidate 10]], "")</f>
        <v/>
      </c>
      <c r="AO288" s="17" t="str">
        <f>IF(NOT(ISBLANK(Audit[[#This Row],[Audit Candidate 11]])), Audit[[#This Row],[Audit Candidate 11]]-Audit[[#This Row],[Candidate 11]], "")</f>
        <v/>
      </c>
      <c r="AP288" s="17" t="str">
        <f>IF(NOT(ISBLANK(Audit[[#This Row],[Audit Candidate 12]])), Audit[[#This Row],[Audit Candidate 12]]-Audit[[#This Row],[Candidate 12]], "")</f>
        <v/>
      </c>
      <c r="AQ288" s="17">
        <f>SUMIF(Audit[[#This Row],[Difference Winner]:[Difference Candidate 12]], "&gt;0")</f>
        <v>0</v>
      </c>
      <c r="AR288" s="17">
        <f>SUM(Audit[[#This Row],[Difference Winner]:[Difference Candidate 12]])</f>
        <v>0</v>
      </c>
      <c r="AS288" s="17">
        <f>IF(Audit[[#This Row],[Times p Drawn - With Replacement]]&gt;0, IF(Audit[[#This Row],[Canceled Differences]]&lt;0, Audit[[#This Row],[Max Differences]]+ABS(Audit[[#This Row],[Canceled Differences]]), Audit[[#This Row],[Max Differences]]), 0)</f>
        <v>0</v>
      </c>
      <c r="AT288" s="17">
        <f>'Sampling Data'!AB288</f>
        <v>1.3198098794771686E-2</v>
      </c>
      <c r="AU288" s="17">
        <f>IF(
      SUM(Audit[[#This Row],[Audit Losing Candidate]:[Audit Candidate 12]])
      &lt;&gt;0,
      (Audit[[#This Row],[Winning Candidate]]-Audit[[#This Row],[Losing Candidate]]-(Audit[[#This Row],[Audit Winning Candidate]]-Audit[[#This Row],[Audit Losing Candidate]]))/(Audit[[#Totals],[Winning Candidate]]-Audit[[#Totals],[Losing Candidate]]),
      0
)</f>
        <v>0</v>
      </c>
      <c r="AV2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8" s="17">
        <f>IF(Audit[[#This Row],[Max Relative Error (ep)]] = 0, 0, Audit[[#This Row],[Max Relative Error (ep)]]/Audit[[#This Row],[Error Bound (up) - Max. possible relative overstatement]])</f>
        <v>0</v>
      </c>
      <c r="BH2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88" s="17">
        <f t="shared" si="5"/>
        <v>1</v>
      </c>
      <c r="BJ288" s="17">
        <f>PRODUCT($BI$5:BI288)</f>
        <v>0.54590903044932937</v>
      </c>
      <c r="BK288" s="19">
        <f>1 - Audit[[#This Row],[K-M P Value]]</f>
        <v>0.45409096955067063</v>
      </c>
      <c r="BL288" s="17" t="str">
        <f>IF(Audit[[#This Row],[K-M P Value]]&gt;1-'General Info'!$B$12,"Continue", "Stop")</f>
        <v>Continue</v>
      </c>
      <c r="BM288" s="22" t="b">
        <f>IF(Audit[[#This Row],[Status - Continue or stop audit]] = "Continue", TRUE, IF(BL287 = "Continue", TRUE, FALSE))</f>
        <v>1</v>
      </c>
      <c r="BN288" s="22"/>
    </row>
    <row r="289" spans="1:66" ht="15" hidden="1" customHeight="1" x14ac:dyDescent="0.35">
      <c r="A289" s="17" t="str">
        <f>'Sampling Data'!AI289</f>
        <v/>
      </c>
      <c r="B289" s="17" t="str">
        <f>'Sampling Data'!A289</f>
        <v>4612 READ 1-B   (AV)</v>
      </c>
      <c r="C289" s="17">
        <f>'Sampling Data'!B289</f>
        <v>63</v>
      </c>
      <c r="D289" s="17">
        <f>'Sampling Data'!C289</f>
        <v>26</v>
      </c>
      <c r="E289" s="18">
        <f>'Sampling Data'!D289</f>
        <v>0</v>
      </c>
      <c r="F289" s="18">
        <f>'Sampling Data'!E289</f>
        <v>0</v>
      </c>
      <c r="G289" s="18">
        <f>'Sampling Data'!F289</f>
        <v>0</v>
      </c>
      <c r="H289" s="18">
        <f>'Sampling Data'!G289</f>
        <v>0</v>
      </c>
      <c r="I289" s="18">
        <f>'Sampling Data'!H289</f>
        <v>0</v>
      </c>
      <c r="J289" s="18">
        <f>'Sampling Data'!I289</f>
        <v>0</v>
      </c>
      <c r="K289" s="18">
        <f>'Sampling Data'!J289</f>
        <v>0</v>
      </c>
      <c r="L289" s="18">
        <f>'Sampling Data'!K289</f>
        <v>0</v>
      </c>
      <c r="M289" s="18">
        <f>'Sampling Data'!L289</f>
        <v>0</v>
      </c>
      <c r="N289" s="18">
        <f>'Sampling Data'!M289</f>
        <v>0</v>
      </c>
      <c r="O289" s="17">
        <f>'Sampling Data'!N289</f>
        <v>0</v>
      </c>
      <c r="P289" s="17">
        <f>'Sampling Data'!O289</f>
        <v>3</v>
      </c>
      <c r="Q289" s="17">
        <f>'Sampling Data'!P289</f>
        <v>92</v>
      </c>
      <c r="R289" s="17">
        <f>'Sampling Data'!AJ289</f>
        <v>0</v>
      </c>
      <c r="S289" s="111"/>
      <c r="T289" s="111"/>
      <c r="U289" s="112"/>
      <c r="V289" s="112"/>
      <c r="W289" s="111"/>
      <c r="X289" s="111"/>
      <c r="Y289" s="111"/>
      <c r="Z289" s="111"/>
      <c r="AA289" s="14"/>
      <c r="AB289" s="14"/>
      <c r="AC289" s="14"/>
      <c r="AD289" s="14"/>
      <c r="AE289" s="113" t="str">
        <f>IF(NOT(ISBLANK(Audit[[#This Row],[Audit Winning Candidate]])), Audit[[#This Row],[Audit Winning Candidate]]-Audit[[#This Row],[Winning Candidate]], "")</f>
        <v/>
      </c>
      <c r="AF289" s="17" t="str">
        <f>IF(NOT(ISBLANK(Audit[[#This Row],[Audit Losing Candidate]])), Audit[[#This Row],[Audit Losing Candidate]]-Audit[[#This Row],[Losing Candidate]], "")</f>
        <v/>
      </c>
      <c r="AG289" s="17" t="str">
        <f>IF(NOT(ISBLANK(Audit[[#This Row],[Audit Candidate 3]])), Audit[[#This Row],[Audit Candidate 3]]-Audit[[#This Row],[Candidate 3]], "")</f>
        <v/>
      </c>
      <c r="AH289" s="17" t="str">
        <f>IF(NOT(ISBLANK(Audit[[#This Row],[Audit Candidate 4]])),Audit[[#This Row],[Audit Candidate 4]]-Audit[[#This Row],[Candidate 4]], "")</f>
        <v/>
      </c>
      <c r="AI289" s="17" t="str">
        <f>IF(NOT(ISBLANK(Audit[[#This Row],[Audit Candidate 5]])), Audit[[#This Row],[Audit Candidate 5]]-Audit[[#This Row],[Candidate 5]], "")</f>
        <v/>
      </c>
      <c r="AJ289" s="17" t="str">
        <f>IF(NOT(ISBLANK(Audit[[#This Row],[Audit Candidate 6]])), Audit[[#This Row],[Audit Candidate 6]]-Audit[[#This Row],[Candidate 6]], "")</f>
        <v/>
      </c>
      <c r="AK289" s="17" t="str">
        <f>IF(NOT(ISBLANK(Audit[[#This Row],[Audit Candidate 7]])), Audit[[#This Row],[Audit Candidate 7]]-Audit[[#This Row],[Candidate 7]], "")</f>
        <v/>
      </c>
      <c r="AL289" s="17" t="str">
        <f>IF(NOT(ISBLANK(Audit[[#This Row],[Audit Candidate 8]])), Audit[[#This Row],[Audit Candidate 8]]-Audit[[#This Row],[Candidate 8]], "")</f>
        <v/>
      </c>
      <c r="AM289" s="17" t="str">
        <f>IF(NOT(ISBLANK(Audit[[#This Row],[Audit Candidate 9]])), Audit[[#This Row],[Audit Candidate 9]]-Audit[[#This Row],[Candidate 9]], "")</f>
        <v/>
      </c>
      <c r="AN289" s="17" t="str">
        <f>IF(NOT(ISBLANK(Audit[[#This Row],[Audit Candidate 10]])), Audit[[#This Row],[Audit Candidate 10]]-Audit[[#This Row],[Candidate 10]], "")</f>
        <v/>
      </c>
      <c r="AO289" s="17" t="str">
        <f>IF(NOT(ISBLANK(Audit[[#This Row],[Audit Candidate 11]])), Audit[[#This Row],[Audit Candidate 11]]-Audit[[#This Row],[Candidate 11]], "")</f>
        <v/>
      </c>
      <c r="AP289" s="17" t="str">
        <f>IF(NOT(ISBLANK(Audit[[#This Row],[Audit Candidate 12]])), Audit[[#This Row],[Audit Candidate 12]]-Audit[[#This Row],[Candidate 12]], "")</f>
        <v/>
      </c>
      <c r="AQ289" s="17">
        <f>SUMIF(Audit[[#This Row],[Difference Winner]:[Difference Candidate 12]], "&gt;0")</f>
        <v>0</v>
      </c>
      <c r="AR289" s="17">
        <f>SUM(Audit[[#This Row],[Difference Winner]:[Difference Candidate 12]])</f>
        <v>0</v>
      </c>
      <c r="AS289" s="17">
        <f>IF(Audit[[#This Row],[Times p Drawn - With Replacement]]&gt;0, IF(Audit[[#This Row],[Canceled Differences]]&lt;0, Audit[[#This Row],[Max Differences]]+ABS(Audit[[#This Row],[Canceled Differences]]), Audit[[#This Row],[Max Differences]]), 0)</f>
        <v>0</v>
      </c>
      <c r="AT289" s="17">
        <f>'Sampling Data'!AB289</f>
        <v>5.4744525547445258E-3</v>
      </c>
      <c r="AU289" s="17">
        <f>IF(
      SUM(Audit[[#This Row],[Audit Losing Candidate]:[Audit Candidate 12]])
      &lt;&gt;0,
      (Audit[[#This Row],[Winning Candidate]]-Audit[[#This Row],[Losing Candidate]]-(Audit[[#This Row],[Audit Winning Candidate]]-Audit[[#This Row],[Audit Losing Candidate]]))/(Audit[[#Totals],[Winning Candidate]]-Audit[[#Totals],[Losing Candidate]]),
      0
)</f>
        <v>0</v>
      </c>
      <c r="AV2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9" s="17">
        <f>IF(Audit[[#This Row],[Max Relative Error (ep)]] = 0, 0, Audit[[#This Row],[Max Relative Error (ep)]]/Audit[[#This Row],[Error Bound (up) - Max. possible relative overstatement]])</f>
        <v>0</v>
      </c>
      <c r="BH2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89" s="17">
        <f t="shared" si="5"/>
        <v>1</v>
      </c>
      <c r="BJ289" s="17">
        <f>PRODUCT($BI$5:BI289)</f>
        <v>0.54590903044932937</v>
      </c>
      <c r="BK289" s="19">
        <f>1 - Audit[[#This Row],[K-M P Value]]</f>
        <v>0.45409096955067063</v>
      </c>
      <c r="BL289" s="17" t="str">
        <f>IF(Audit[[#This Row],[K-M P Value]]&gt;1-'General Info'!$B$12,"Continue", "Stop")</f>
        <v>Continue</v>
      </c>
      <c r="BM289" s="22" t="b">
        <f>IF(Audit[[#This Row],[Status - Continue or stop audit]] = "Continue", TRUE, IF(BL288 = "Continue", TRUE, FALSE))</f>
        <v>1</v>
      </c>
      <c r="BN289" s="22"/>
    </row>
    <row r="290" spans="1:66" ht="15" hidden="1" customHeight="1" x14ac:dyDescent="0.35">
      <c r="A290" s="17" t="str">
        <f>'Sampling Data'!AI290</f>
        <v/>
      </c>
      <c r="B290" s="17" t="str">
        <f>'Sampling Data'!A290</f>
        <v>4621 READ 2-A   (AV)</v>
      </c>
      <c r="C290" s="17">
        <f>'Sampling Data'!B290</f>
        <v>65</v>
      </c>
      <c r="D290" s="17">
        <f>'Sampling Data'!C290</f>
        <v>79</v>
      </c>
      <c r="E290" s="18">
        <f>'Sampling Data'!D290</f>
        <v>0</v>
      </c>
      <c r="F290" s="18">
        <f>'Sampling Data'!E290</f>
        <v>0</v>
      </c>
      <c r="G290" s="18">
        <f>'Sampling Data'!F290</f>
        <v>0</v>
      </c>
      <c r="H290" s="18">
        <f>'Sampling Data'!G290</f>
        <v>0</v>
      </c>
      <c r="I290" s="18">
        <f>'Sampling Data'!H290</f>
        <v>0</v>
      </c>
      <c r="J290" s="18">
        <f>'Sampling Data'!I290</f>
        <v>0</v>
      </c>
      <c r="K290" s="18">
        <f>'Sampling Data'!J290</f>
        <v>0</v>
      </c>
      <c r="L290" s="18">
        <f>'Sampling Data'!K290</f>
        <v>0</v>
      </c>
      <c r="M290" s="18">
        <f>'Sampling Data'!L290</f>
        <v>0</v>
      </c>
      <c r="N290" s="18">
        <f>'Sampling Data'!M290</f>
        <v>0</v>
      </c>
      <c r="O290" s="17">
        <f>'Sampling Data'!N290</f>
        <v>0</v>
      </c>
      <c r="P290" s="17">
        <f>'Sampling Data'!O290</f>
        <v>9</v>
      </c>
      <c r="Q290" s="17">
        <f>'Sampling Data'!P290</f>
        <v>153</v>
      </c>
      <c r="R290" s="17">
        <f>'Sampling Data'!AJ290</f>
        <v>0</v>
      </c>
      <c r="S290" s="111"/>
      <c r="T290" s="111"/>
      <c r="U290" s="112"/>
      <c r="V290" s="112"/>
      <c r="W290" s="111"/>
      <c r="X290" s="111"/>
      <c r="Y290" s="111"/>
      <c r="Z290" s="111"/>
      <c r="AA290" s="14"/>
      <c r="AB290" s="14"/>
      <c r="AC290" s="14"/>
      <c r="AD290" s="14"/>
      <c r="AE290" s="113" t="str">
        <f>IF(NOT(ISBLANK(Audit[[#This Row],[Audit Winning Candidate]])), Audit[[#This Row],[Audit Winning Candidate]]-Audit[[#This Row],[Winning Candidate]], "")</f>
        <v/>
      </c>
      <c r="AF290" s="17" t="str">
        <f>IF(NOT(ISBLANK(Audit[[#This Row],[Audit Losing Candidate]])), Audit[[#This Row],[Audit Losing Candidate]]-Audit[[#This Row],[Losing Candidate]], "")</f>
        <v/>
      </c>
      <c r="AG290" s="17" t="str">
        <f>IF(NOT(ISBLANK(Audit[[#This Row],[Audit Candidate 3]])), Audit[[#This Row],[Audit Candidate 3]]-Audit[[#This Row],[Candidate 3]], "")</f>
        <v/>
      </c>
      <c r="AH290" s="17" t="str">
        <f>IF(NOT(ISBLANK(Audit[[#This Row],[Audit Candidate 4]])),Audit[[#This Row],[Audit Candidate 4]]-Audit[[#This Row],[Candidate 4]], "")</f>
        <v/>
      </c>
      <c r="AI290" s="17" t="str">
        <f>IF(NOT(ISBLANK(Audit[[#This Row],[Audit Candidate 5]])), Audit[[#This Row],[Audit Candidate 5]]-Audit[[#This Row],[Candidate 5]], "")</f>
        <v/>
      </c>
      <c r="AJ290" s="17" t="str">
        <f>IF(NOT(ISBLANK(Audit[[#This Row],[Audit Candidate 6]])), Audit[[#This Row],[Audit Candidate 6]]-Audit[[#This Row],[Candidate 6]], "")</f>
        <v/>
      </c>
      <c r="AK290" s="17" t="str">
        <f>IF(NOT(ISBLANK(Audit[[#This Row],[Audit Candidate 7]])), Audit[[#This Row],[Audit Candidate 7]]-Audit[[#This Row],[Candidate 7]], "")</f>
        <v/>
      </c>
      <c r="AL290" s="17" t="str">
        <f>IF(NOT(ISBLANK(Audit[[#This Row],[Audit Candidate 8]])), Audit[[#This Row],[Audit Candidate 8]]-Audit[[#This Row],[Candidate 8]], "")</f>
        <v/>
      </c>
      <c r="AM290" s="17" t="str">
        <f>IF(NOT(ISBLANK(Audit[[#This Row],[Audit Candidate 9]])), Audit[[#This Row],[Audit Candidate 9]]-Audit[[#This Row],[Candidate 9]], "")</f>
        <v/>
      </c>
      <c r="AN290" s="17" t="str">
        <f>IF(NOT(ISBLANK(Audit[[#This Row],[Audit Candidate 10]])), Audit[[#This Row],[Audit Candidate 10]]-Audit[[#This Row],[Candidate 10]], "")</f>
        <v/>
      </c>
      <c r="AO290" s="17" t="str">
        <f>IF(NOT(ISBLANK(Audit[[#This Row],[Audit Candidate 11]])), Audit[[#This Row],[Audit Candidate 11]]-Audit[[#This Row],[Candidate 11]], "")</f>
        <v/>
      </c>
      <c r="AP290" s="17" t="str">
        <f>IF(NOT(ISBLANK(Audit[[#This Row],[Audit Candidate 12]])), Audit[[#This Row],[Audit Candidate 12]]-Audit[[#This Row],[Candidate 12]], "")</f>
        <v/>
      </c>
      <c r="AQ290" s="17">
        <f>SUMIF(Audit[[#This Row],[Difference Winner]:[Difference Candidate 12]], "&gt;0")</f>
        <v>0</v>
      </c>
      <c r="AR290" s="17">
        <f>SUM(Audit[[#This Row],[Difference Winner]:[Difference Candidate 12]])</f>
        <v>0</v>
      </c>
      <c r="AS290" s="17">
        <f>IF(Audit[[#This Row],[Times p Drawn - With Replacement]]&gt;0, IF(Audit[[#This Row],[Canceled Differences]]&lt;0, Audit[[#This Row],[Max Differences]]+ABS(Audit[[#This Row],[Canceled Differences]]), Audit[[#This Row],[Max Differences]]), 0)</f>
        <v>0</v>
      </c>
      <c r="AT290" s="17">
        <f>'Sampling Data'!AB290</f>
        <v>5.8988287217789847E-3</v>
      </c>
      <c r="AU290" s="17">
        <f>IF(
      SUM(Audit[[#This Row],[Audit Losing Candidate]:[Audit Candidate 12]])
      &lt;&gt;0,
      (Audit[[#This Row],[Winning Candidate]]-Audit[[#This Row],[Losing Candidate]]-(Audit[[#This Row],[Audit Winning Candidate]]-Audit[[#This Row],[Audit Losing Candidate]]))/(Audit[[#Totals],[Winning Candidate]]-Audit[[#Totals],[Losing Candidate]]),
      0
)</f>
        <v>0</v>
      </c>
      <c r="AV2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0" s="17">
        <f>IF(Audit[[#This Row],[Max Relative Error (ep)]] = 0, 0, Audit[[#This Row],[Max Relative Error (ep)]]/Audit[[#This Row],[Error Bound (up) - Max. possible relative overstatement]])</f>
        <v>0</v>
      </c>
      <c r="BH2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90" s="17">
        <f t="shared" si="5"/>
        <v>1</v>
      </c>
      <c r="BJ290" s="17">
        <f>PRODUCT($BI$5:BI290)</f>
        <v>0.54590903044932937</v>
      </c>
      <c r="BK290" s="19">
        <f>1 - Audit[[#This Row],[K-M P Value]]</f>
        <v>0.45409096955067063</v>
      </c>
      <c r="BL290" s="17" t="str">
        <f>IF(Audit[[#This Row],[K-M P Value]]&gt;1-'General Info'!$B$12,"Continue", "Stop")</f>
        <v>Continue</v>
      </c>
      <c r="BM290" s="22" t="b">
        <f>IF(Audit[[#This Row],[Status - Continue or stop audit]] = "Continue", TRUE, IF(BL289 = "Continue", TRUE, FALSE))</f>
        <v>1</v>
      </c>
      <c r="BN290" s="22"/>
    </row>
    <row r="291" spans="1:66" ht="15" hidden="1" customHeight="1" x14ac:dyDescent="0.35">
      <c r="A291" s="17" t="str">
        <f>'Sampling Data'!AI291</f>
        <v/>
      </c>
      <c r="B291" s="17" t="str">
        <f>'Sampling Data'!A291</f>
        <v>4622 READ 2-B   (AV)</v>
      </c>
      <c r="C291" s="17">
        <f>'Sampling Data'!B291</f>
        <v>47</v>
      </c>
      <c r="D291" s="17">
        <f>'Sampling Data'!C291</f>
        <v>73</v>
      </c>
      <c r="E291" s="18">
        <f>'Sampling Data'!D291</f>
        <v>0</v>
      </c>
      <c r="F291" s="18">
        <f>'Sampling Data'!E291</f>
        <v>0</v>
      </c>
      <c r="G291" s="18">
        <f>'Sampling Data'!F291</f>
        <v>0</v>
      </c>
      <c r="H291" s="18">
        <f>'Sampling Data'!G291</f>
        <v>0</v>
      </c>
      <c r="I291" s="18">
        <f>'Sampling Data'!H291</f>
        <v>0</v>
      </c>
      <c r="J291" s="18">
        <f>'Sampling Data'!I291</f>
        <v>0</v>
      </c>
      <c r="K291" s="18">
        <f>'Sampling Data'!J291</f>
        <v>0</v>
      </c>
      <c r="L291" s="18">
        <f>'Sampling Data'!K291</f>
        <v>0</v>
      </c>
      <c r="M291" s="18">
        <f>'Sampling Data'!L291</f>
        <v>0</v>
      </c>
      <c r="N291" s="18">
        <f>'Sampling Data'!M291</f>
        <v>0</v>
      </c>
      <c r="O291" s="17">
        <f>'Sampling Data'!N291</f>
        <v>0</v>
      </c>
      <c r="P291" s="17">
        <f>'Sampling Data'!O291</f>
        <v>3</v>
      </c>
      <c r="Q291" s="17">
        <f>'Sampling Data'!P291</f>
        <v>123</v>
      </c>
      <c r="R291" s="17">
        <f>'Sampling Data'!AJ291</f>
        <v>0</v>
      </c>
      <c r="S291" s="111"/>
      <c r="T291" s="111"/>
      <c r="U291" s="112"/>
      <c r="V291" s="112"/>
      <c r="W291" s="111"/>
      <c r="X291" s="111"/>
      <c r="Y291" s="111"/>
      <c r="Z291" s="111"/>
      <c r="AA291" s="14"/>
      <c r="AB291" s="14"/>
      <c r="AC291" s="14"/>
      <c r="AD291" s="14"/>
      <c r="AE291" s="113" t="str">
        <f>IF(NOT(ISBLANK(Audit[[#This Row],[Audit Winning Candidate]])), Audit[[#This Row],[Audit Winning Candidate]]-Audit[[#This Row],[Winning Candidate]], "")</f>
        <v/>
      </c>
      <c r="AF291" s="17" t="str">
        <f>IF(NOT(ISBLANK(Audit[[#This Row],[Audit Losing Candidate]])), Audit[[#This Row],[Audit Losing Candidate]]-Audit[[#This Row],[Losing Candidate]], "")</f>
        <v/>
      </c>
      <c r="AG291" s="17" t="str">
        <f>IF(NOT(ISBLANK(Audit[[#This Row],[Audit Candidate 3]])), Audit[[#This Row],[Audit Candidate 3]]-Audit[[#This Row],[Candidate 3]], "")</f>
        <v/>
      </c>
      <c r="AH291" s="17" t="str">
        <f>IF(NOT(ISBLANK(Audit[[#This Row],[Audit Candidate 4]])),Audit[[#This Row],[Audit Candidate 4]]-Audit[[#This Row],[Candidate 4]], "")</f>
        <v/>
      </c>
      <c r="AI291" s="17" t="str">
        <f>IF(NOT(ISBLANK(Audit[[#This Row],[Audit Candidate 5]])), Audit[[#This Row],[Audit Candidate 5]]-Audit[[#This Row],[Candidate 5]], "")</f>
        <v/>
      </c>
      <c r="AJ291" s="17" t="str">
        <f>IF(NOT(ISBLANK(Audit[[#This Row],[Audit Candidate 6]])), Audit[[#This Row],[Audit Candidate 6]]-Audit[[#This Row],[Candidate 6]], "")</f>
        <v/>
      </c>
      <c r="AK291" s="17" t="str">
        <f>IF(NOT(ISBLANK(Audit[[#This Row],[Audit Candidate 7]])), Audit[[#This Row],[Audit Candidate 7]]-Audit[[#This Row],[Candidate 7]], "")</f>
        <v/>
      </c>
      <c r="AL291" s="17" t="str">
        <f>IF(NOT(ISBLANK(Audit[[#This Row],[Audit Candidate 8]])), Audit[[#This Row],[Audit Candidate 8]]-Audit[[#This Row],[Candidate 8]], "")</f>
        <v/>
      </c>
      <c r="AM291" s="17" t="str">
        <f>IF(NOT(ISBLANK(Audit[[#This Row],[Audit Candidate 9]])), Audit[[#This Row],[Audit Candidate 9]]-Audit[[#This Row],[Candidate 9]], "")</f>
        <v/>
      </c>
      <c r="AN291" s="17" t="str">
        <f>IF(NOT(ISBLANK(Audit[[#This Row],[Audit Candidate 10]])), Audit[[#This Row],[Audit Candidate 10]]-Audit[[#This Row],[Candidate 10]], "")</f>
        <v/>
      </c>
      <c r="AO291" s="17" t="str">
        <f>IF(NOT(ISBLANK(Audit[[#This Row],[Audit Candidate 11]])), Audit[[#This Row],[Audit Candidate 11]]-Audit[[#This Row],[Candidate 11]], "")</f>
        <v/>
      </c>
      <c r="AP291" s="17" t="str">
        <f>IF(NOT(ISBLANK(Audit[[#This Row],[Audit Candidate 12]])), Audit[[#This Row],[Audit Candidate 12]]-Audit[[#This Row],[Candidate 12]], "")</f>
        <v/>
      </c>
      <c r="AQ291" s="17">
        <f>SUMIF(Audit[[#This Row],[Difference Winner]:[Difference Candidate 12]], "&gt;0")</f>
        <v>0</v>
      </c>
      <c r="AR291" s="17">
        <f>SUM(Audit[[#This Row],[Difference Winner]:[Difference Candidate 12]])</f>
        <v>0</v>
      </c>
      <c r="AS291" s="17">
        <f>IF(Audit[[#This Row],[Times p Drawn - With Replacement]]&gt;0, IF(Audit[[#This Row],[Canceled Differences]]&lt;0, Audit[[#This Row],[Max Differences]]+ABS(Audit[[#This Row],[Canceled Differences]]), Audit[[#This Row],[Max Differences]]), 0)</f>
        <v>0</v>
      </c>
      <c r="AT291" s="17">
        <f>'Sampling Data'!AB291</f>
        <v>4.1164488202342555E-3</v>
      </c>
      <c r="AU291" s="17">
        <f>IF(
      SUM(Audit[[#This Row],[Audit Losing Candidate]:[Audit Candidate 12]])
      &lt;&gt;0,
      (Audit[[#This Row],[Winning Candidate]]-Audit[[#This Row],[Losing Candidate]]-(Audit[[#This Row],[Audit Winning Candidate]]-Audit[[#This Row],[Audit Losing Candidate]]))/(Audit[[#Totals],[Winning Candidate]]-Audit[[#Totals],[Losing Candidate]]),
      0
)</f>
        <v>0</v>
      </c>
      <c r="AV2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1" s="17">
        <f>IF(Audit[[#This Row],[Max Relative Error (ep)]] = 0, 0, Audit[[#This Row],[Max Relative Error (ep)]]/Audit[[#This Row],[Error Bound (up) - Max. possible relative overstatement]])</f>
        <v>0</v>
      </c>
      <c r="BH2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91" s="17">
        <f t="shared" si="5"/>
        <v>1</v>
      </c>
      <c r="BJ291" s="17">
        <f>PRODUCT($BI$5:BI291)</f>
        <v>0.54590903044932937</v>
      </c>
      <c r="BK291" s="19">
        <f>1 - Audit[[#This Row],[K-M P Value]]</f>
        <v>0.45409096955067063</v>
      </c>
      <c r="BL291" s="17" t="str">
        <f>IF(Audit[[#This Row],[K-M P Value]]&gt;1-'General Info'!$B$12,"Continue", "Stop")</f>
        <v>Continue</v>
      </c>
      <c r="BM291" s="22" t="b">
        <f>IF(Audit[[#This Row],[Status - Continue or stop audit]] = "Continue", TRUE, IF(BL290 = "Continue", TRUE, FALSE))</f>
        <v>1</v>
      </c>
      <c r="BN291" s="22"/>
    </row>
    <row r="292" spans="1:66" ht="15" customHeight="1" x14ac:dyDescent="0.35">
      <c r="A292" s="17">
        <f>'Sampling Data'!AI292</f>
        <v>34</v>
      </c>
      <c r="B292" s="17" t="str">
        <f>'Sampling Data'!A292</f>
        <v>4631 READ 3-A   (AV)</v>
      </c>
      <c r="C292" s="17">
        <f>'Sampling Data'!B292</f>
        <v>128</v>
      </c>
      <c r="D292" s="17">
        <f>'Sampling Data'!C292</f>
        <v>132</v>
      </c>
      <c r="E292" s="18">
        <f>'Sampling Data'!D292</f>
        <v>0</v>
      </c>
      <c r="F292" s="18">
        <f>'Sampling Data'!E292</f>
        <v>0</v>
      </c>
      <c r="G292" s="18">
        <f>'Sampling Data'!F292</f>
        <v>0</v>
      </c>
      <c r="H292" s="18">
        <f>'Sampling Data'!G292</f>
        <v>0</v>
      </c>
      <c r="I292" s="18">
        <f>'Sampling Data'!H292</f>
        <v>0</v>
      </c>
      <c r="J292" s="18">
        <f>'Sampling Data'!I292</f>
        <v>0</v>
      </c>
      <c r="K292" s="18">
        <f>'Sampling Data'!J292</f>
        <v>0</v>
      </c>
      <c r="L292" s="18">
        <f>'Sampling Data'!K292</f>
        <v>0</v>
      </c>
      <c r="M292" s="18">
        <f>'Sampling Data'!L292</f>
        <v>0</v>
      </c>
      <c r="N292" s="18">
        <f>'Sampling Data'!M292</f>
        <v>0</v>
      </c>
      <c r="O292" s="17">
        <f>'Sampling Data'!N292</f>
        <v>0</v>
      </c>
      <c r="P292" s="17">
        <f>'Sampling Data'!O292</f>
        <v>15</v>
      </c>
      <c r="Q292" s="17">
        <f>'Sampling Data'!P292</f>
        <v>275</v>
      </c>
      <c r="R292" s="17">
        <f>'Sampling Data'!AJ292</f>
        <v>1</v>
      </c>
      <c r="S292" s="111">
        <v>128</v>
      </c>
      <c r="T292" s="111">
        <v>132</v>
      </c>
      <c r="U292" s="112"/>
      <c r="V292" s="112"/>
      <c r="W292" s="111"/>
      <c r="X292" s="111"/>
      <c r="Y292" s="111"/>
      <c r="Z292" s="111"/>
      <c r="AA292" s="14"/>
      <c r="AB292" s="14"/>
      <c r="AC292" s="14"/>
      <c r="AD292" s="14"/>
      <c r="AE292" s="113">
        <f>IF(NOT(ISBLANK(Audit[[#This Row],[Audit Winning Candidate]])), Audit[[#This Row],[Audit Winning Candidate]]-Audit[[#This Row],[Winning Candidate]], "")</f>
        <v>0</v>
      </c>
      <c r="AF292" s="17">
        <f>IF(NOT(ISBLANK(Audit[[#This Row],[Audit Losing Candidate]])), Audit[[#This Row],[Audit Losing Candidate]]-Audit[[#This Row],[Losing Candidate]], "")</f>
        <v>0</v>
      </c>
      <c r="AG292" s="17" t="str">
        <f>IF(NOT(ISBLANK(Audit[[#This Row],[Audit Candidate 3]])), Audit[[#This Row],[Audit Candidate 3]]-Audit[[#This Row],[Candidate 3]], "")</f>
        <v/>
      </c>
      <c r="AH292" s="17" t="str">
        <f>IF(NOT(ISBLANK(Audit[[#This Row],[Audit Candidate 4]])),Audit[[#This Row],[Audit Candidate 4]]-Audit[[#This Row],[Candidate 4]], "")</f>
        <v/>
      </c>
      <c r="AI292" s="17" t="str">
        <f>IF(NOT(ISBLANK(Audit[[#This Row],[Audit Candidate 5]])), Audit[[#This Row],[Audit Candidate 5]]-Audit[[#This Row],[Candidate 5]], "")</f>
        <v/>
      </c>
      <c r="AJ292" s="17" t="str">
        <f>IF(NOT(ISBLANK(Audit[[#This Row],[Audit Candidate 6]])), Audit[[#This Row],[Audit Candidate 6]]-Audit[[#This Row],[Candidate 6]], "")</f>
        <v/>
      </c>
      <c r="AK292" s="17" t="str">
        <f>IF(NOT(ISBLANK(Audit[[#This Row],[Audit Candidate 7]])), Audit[[#This Row],[Audit Candidate 7]]-Audit[[#This Row],[Candidate 7]], "")</f>
        <v/>
      </c>
      <c r="AL292" s="17" t="str">
        <f>IF(NOT(ISBLANK(Audit[[#This Row],[Audit Candidate 8]])), Audit[[#This Row],[Audit Candidate 8]]-Audit[[#This Row],[Candidate 8]], "")</f>
        <v/>
      </c>
      <c r="AM292" s="17" t="str">
        <f>IF(NOT(ISBLANK(Audit[[#This Row],[Audit Candidate 9]])), Audit[[#This Row],[Audit Candidate 9]]-Audit[[#This Row],[Candidate 9]], "")</f>
        <v/>
      </c>
      <c r="AN292" s="17" t="str">
        <f>IF(NOT(ISBLANK(Audit[[#This Row],[Audit Candidate 10]])), Audit[[#This Row],[Audit Candidate 10]]-Audit[[#This Row],[Candidate 10]], "")</f>
        <v/>
      </c>
      <c r="AO292" s="17" t="str">
        <f>IF(NOT(ISBLANK(Audit[[#This Row],[Audit Candidate 11]])), Audit[[#This Row],[Audit Candidate 11]]-Audit[[#This Row],[Candidate 11]], "")</f>
        <v/>
      </c>
      <c r="AP292" s="17" t="str">
        <f>IF(NOT(ISBLANK(Audit[[#This Row],[Audit Candidate 12]])), Audit[[#This Row],[Audit Candidate 12]]-Audit[[#This Row],[Candidate 12]], "")</f>
        <v/>
      </c>
      <c r="AQ292" s="17">
        <f>SUMIF(Audit[[#This Row],[Difference Winner]:[Difference Candidate 12]], "&gt;0")</f>
        <v>0</v>
      </c>
      <c r="AR292" s="17">
        <f>SUM(Audit[[#This Row],[Difference Winner]:[Difference Candidate 12]])</f>
        <v>0</v>
      </c>
      <c r="AS292" s="17">
        <f>IF(Audit[[#This Row],[Times p Drawn - With Replacement]]&gt;0, IF(Audit[[#This Row],[Canceled Differences]]&lt;0, Audit[[#This Row],[Max Differences]]+ABS(Audit[[#This Row],[Canceled Differences]]), Audit[[#This Row],[Max Differences]]), 0)</f>
        <v>0</v>
      </c>
      <c r="AT292" s="17">
        <f>'Sampling Data'!AB292</f>
        <v>1.1500594126633849E-2</v>
      </c>
      <c r="AU292" s="17">
        <f>IF(
      SUM(Audit[[#This Row],[Audit Losing Candidate]:[Audit Candidate 12]])
      &lt;&gt;0,
      (Audit[[#This Row],[Winning Candidate]]-Audit[[#This Row],[Losing Candidate]]-(Audit[[#This Row],[Audit Winning Candidate]]-Audit[[#This Row],[Audit Losing Candidate]]))/(Audit[[#Totals],[Winning Candidate]]-Audit[[#Totals],[Losing Candidate]]),
      0
)</f>
        <v>0</v>
      </c>
      <c r="AV2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2" s="17">
        <f>IF(Audit[[#This Row],[Max Relative Error (ep)]] = 0, 0, Audit[[#This Row],[Max Relative Error (ep)]]/Audit[[#This Row],[Error Bound (up) - Max. possible relative overstatement]])</f>
        <v>0</v>
      </c>
      <c r="BH2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92" s="17">
        <f t="shared" si="5"/>
        <v>0.94645908314247273</v>
      </c>
      <c r="BJ292" s="17">
        <f>PRODUCT($BI$5:BI292)</f>
        <v>0.51668056043826849</v>
      </c>
      <c r="BK292" s="19">
        <f>1 - Audit[[#This Row],[K-M P Value]]</f>
        <v>0.48331943956173151</v>
      </c>
      <c r="BL292" s="17" t="str">
        <f>IF(Audit[[#This Row],[K-M P Value]]&gt;1-'General Info'!$B$12,"Continue", "Stop")</f>
        <v>Continue</v>
      </c>
      <c r="BM292" s="22" t="b">
        <f>IF(Audit[[#This Row],[Status - Continue or stop audit]] = "Continue", TRUE, IF(BL291 = "Continue", TRUE, FALSE))</f>
        <v>1</v>
      </c>
      <c r="BN292" s="22"/>
    </row>
    <row r="293" spans="1:66" ht="15" hidden="1" customHeight="1" x14ac:dyDescent="0.35">
      <c r="A293" s="17" t="str">
        <f>'Sampling Data'!AI293</f>
        <v/>
      </c>
      <c r="B293" s="17" t="str">
        <f>'Sampling Data'!A293</f>
        <v>4632 READ 3-B   (AV)</v>
      </c>
      <c r="C293" s="17">
        <f>'Sampling Data'!B293</f>
        <v>83</v>
      </c>
      <c r="D293" s="17">
        <f>'Sampling Data'!C293</f>
        <v>132</v>
      </c>
      <c r="E293" s="18">
        <f>'Sampling Data'!D293</f>
        <v>0</v>
      </c>
      <c r="F293" s="18">
        <f>'Sampling Data'!E293</f>
        <v>0</v>
      </c>
      <c r="G293" s="18">
        <f>'Sampling Data'!F293</f>
        <v>0</v>
      </c>
      <c r="H293" s="18">
        <f>'Sampling Data'!G293</f>
        <v>0</v>
      </c>
      <c r="I293" s="18">
        <f>'Sampling Data'!H293</f>
        <v>0</v>
      </c>
      <c r="J293" s="18">
        <f>'Sampling Data'!I293</f>
        <v>0</v>
      </c>
      <c r="K293" s="18">
        <f>'Sampling Data'!J293</f>
        <v>0</v>
      </c>
      <c r="L293" s="18">
        <f>'Sampling Data'!K293</f>
        <v>0</v>
      </c>
      <c r="M293" s="18">
        <f>'Sampling Data'!L293</f>
        <v>0</v>
      </c>
      <c r="N293" s="18">
        <f>'Sampling Data'!M293</f>
        <v>0</v>
      </c>
      <c r="O293" s="17">
        <f>'Sampling Data'!N293</f>
        <v>0</v>
      </c>
      <c r="P293" s="17">
        <f>'Sampling Data'!O293</f>
        <v>10</v>
      </c>
      <c r="Q293" s="17">
        <f>'Sampling Data'!P293</f>
        <v>225</v>
      </c>
      <c r="R293" s="17">
        <f>'Sampling Data'!AJ293</f>
        <v>0</v>
      </c>
      <c r="S293" s="111"/>
      <c r="T293" s="111"/>
      <c r="U293" s="112"/>
      <c r="V293" s="112"/>
      <c r="W293" s="111"/>
      <c r="X293" s="111"/>
      <c r="Y293" s="111"/>
      <c r="Z293" s="111"/>
      <c r="AA293" s="14"/>
      <c r="AB293" s="14"/>
      <c r="AC293" s="14"/>
      <c r="AD293" s="14"/>
      <c r="AE293" s="113" t="str">
        <f>IF(NOT(ISBLANK(Audit[[#This Row],[Audit Winning Candidate]])), Audit[[#This Row],[Audit Winning Candidate]]-Audit[[#This Row],[Winning Candidate]], "")</f>
        <v/>
      </c>
      <c r="AF293" s="17" t="str">
        <f>IF(NOT(ISBLANK(Audit[[#This Row],[Audit Losing Candidate]])), Audit[[#This Row],[Audit Losing Candidate]]-Audit[[#This Row],[Losing Candidate]], "")</f>
        <v/>
      </c>
      <c r="AG293" s="17" t="str">
        <f>IF(NOT(ISBLANK(Audit[[#This Row],[Audit Candidate 3]])), Audit[[#This Row],[Audit Candidate 3]]-Audit[[#This Row],[Candidate 3]], "")</f>
        <v/>
      </c>
      <c r="AH293" s="17" t="str">
        <f>IF(NOT(ISBLANK(Audit[[#This Row],[Audit Candidate 4]])),Audit[[#This Row],[Audit Candidate 4]]-Audit[[#This Row],[Candidate 4]], "")</f>
        <v/>
      </c>
      <c r="AI293" s="17" t="str">
        <f>IF(NOT(ISBLANK(Audit[[#This Row],[Audit Candidate 5]])), Audit[[#This Row],[Audit Candidate 5]]-Audit[[#This Row],[Candidate 5]], "")</f>
        <v/>
      </c>
      <c r="AJ293" s="17" t="str">
        <f>IF(NOT(ISBLANK(Audit[[#This Row],[Audit Candidate 6]])), Audit[[#This Row],[Audit Candidate 6]]-Audit[[#This Row],[Candidate 6]], "")</f>
        <v/>
      </c>
      <c r="AK293" s="17" t="str">
        <f>IF(NOT(ISBLANK(Audit[[#This Row],[Audit Candidate 7]])), Audit[[#This Row],[Audit Candidate 7]]-Audit[[#This Row],[Candidate 7]], "")</f>
        <v/>
      </c>
      <c r="AL293" s="17" t="str">
        <f>IF(NOT(ISBLANK(Audit[[#This Row],[Audit Candidate 8]])), Audit[[#This Row],[Audit Candidate 8]]-Audit[[#This Row],[Candidate 8]], "")</f>
        <v/>
      </c>
      <c r="AM293" s="17" t="str">
        <f>IF(NOT(ISBLANK(Audit[[#This Row],[Audit Candidate 9]])), Audit[[#This Row],[Audit Candidate 9]]-Audit[[#This Row],[Candidate 9]], "")</f>
        <v/>
      </c>
      <c r="AN293" s="17" t="str">
        <f>IF(NOT(ISBLANK(Audit[[#This Row],[Audit Candidate 10]])), Audit[[#This Row],[Audit Candidate 10]]-Audit[[#This Row],[Candidate 10]], "")</f>
        <v/>
      </c>
      <c r="AO293" s="17" t="str">
        <f>IF(NOT(ISBLANK(Audit[[#This Row],[Audit Candidate 11]])), Audit[[#This Row],[Audit Candidate 11]]-Audit[[#This Row],[Candidate 11]], "")</f>
        <v/>
      </c>
      <c r="AP293" s="17" t="str">
        <f>IF(NOT(ISBLANK(Audit[[#This Row],[Audit Candidate 12]])), Audit[[#This Row],[Audit Candidate 12]]-Audit[[#This Row],[Candidate 12]], "")</f>
        <v/>
      </c>
      <c r="AQ293" s="17">
        <f>SUMIF(Audit[[#This Row],[Difference Winner]:[Difference Candidate 12]], "&gt;0")</f>
        <v>0</v>
      </c>
      <c r="AR293" s="17">
        <f>SUM(Audit[[#This Row],[Difference Winner]:[Difference Candidate 12]])</f>
        <v>0</v>
      </c>
      <c r="AS293" s="17">
        <f>IF(Audit[[#This Row],[Times p Drawn - With Replacement]]&gt;0, IF(Audit[[#This Row],[Canceled Differences]]&lt;0, Audit[[#This Row],[Max Differences]]+ABS(Audit[[#This Row],[Canceled Differences]]), Audit[[#This Row],[Max Differences]]), 0)</f>
        <v>0</v>
      </c>
      <c r="AT293" s="17">
        <f>'Sampling Data'!AB293</f>
        <v>7.4690205398064841E-3</v>
      </c>
      <c r="AU293" s="17">
        <f>IF(
      SUM(Audit[[#This Row],[Audit Losing Candidate]:[Audit Candidate 12]])
      &lt;&gt;0,
      (Audit[[#This Row],[Winning Candidate]]-Audit[[#This Row],[Losing Candidate]]-(Audit[[#This Row],[Audit Winning Candidate]]-Audit[[#This Row],[Audit Losing Candidate]]))/(Audit[[#Totals],[Winning Candidate]]-Audit[[#Totals],[Losing Candidate]]),
      0
)</f>
        <v>0</v>
      </c>
      <c r="AV2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3" s="17">
        <f>IF(Audit[[#This Row],[Max Relative Error (ep)]] = 0, 0, Audit[[#This Row],[Max Relative Error (ep)]]/Audit[[#This Row],[Error Bound (up) - Max. possible relative overstatement]])</f>
        <v>0</v>
      </c>
      <c r="BH2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93" s="17">
        <f t="shared" si="5"/>
        <v>1</v>
      </c>
      <c r="BJ293" s="17">
        <f>PRODUCT($BI$5:BI293)</f>
        <v>0.51668056043826849</v>
      </c>
      <c r="BK293" s="19">
        <f>1 - Audit[[#This Row],[K-M P Value]]</f>
        <v>0.48331943956173151</v>
      </c>
      <c r="BL293" s="17" t="str">
        <f>IF(Audit[[#This Row],[K-M P Value]]&gt;1-'General Info'!$B$12,"Continue", "Stop")</f>
        <v>Continue</v>
      </c>
      <c r="BM293" s="22" t="b">
        <f>IF(Audit[[#This Row],[Status - Continue or stop audit]] = "Continue", TRUE, IF(BL292 = "Continue", TRUE, FALSE))</f>
        <v>1</v>
      </c>
      <c r="BN293" s="22"/>
    </row>
    <row r="294" spans="1:66" ht="15" hidden="1" customHeight="1" x14ac:dyDescent="0.35">
      <c r="A294" s="17" t="str">
        <f>'Sampling Data'!AI294</f>
        <v/>
      </c>
      <c r="B294" s="17" t="str">
        <f>'Sampling Data'!A294</f>
        <v>4641 READ 4-A   (AV)</v>
      </c>
      <c r="C294" s="17">
        <f>'Sampling Data'!B294</f>
        <v>75</v>
      </c>
      <c r="D294" s="17">
        <f>'Sampling Data'!C294</f>
        <v>135</v>
      </c>
      <c r="E294" s="18">
        <f>'Sampling Data'!D294</f>
        <v>0</v>
      </c>
      <c r="F294" s="18">
        <f>'Sampling Data'!E294</f>
        <v>0</v>
      </c>
      <c r="G294" s="18">
        <f>'Sampling Data'!F294</f>
        <v>0</v>
      </c>
      <c r="H294" s="18">
        <f>'Sampling Data'!G294</f>
        <v>0</v>
      </c>
      <c r="I294" s="18">
        <f>'Sampling Data'!H294</f>
        <v>0</v>
      </c>
      <c r="J294" s="18">
        <f>'Sampling Data'!I294</f>
        <v>0</v>
      </c>
      <c r="K294" s="18">
        <f>'Sampling Data'!J294</f>
        <v>0</v>
      </c>
      <c r="L294" s="18">
        <f>'Sampling Data'!K294</f>
        <v>0</v>
      </c>
      <c r="M294" s="18">
        <f>'Sampling Data'!L294</f>
        <v>0</v>
      </c>
      <c r="N294" s="18">
        <f>'Sampling Data'!M294</f>
        <v>0</v>
      </c>
      <c r="O294" s="17">
        <f>'Sampling Data'!N294</f>
        <v>0</v>
      </c>
      <c r="P294" s="17">
        <f>'Sampling Data'!O294</f>
        <v>10</v>
      </c>
      <c r="Q294" s="17">
        <f>'Sampling Data'!P294</f>
        <v>220</v>
      </c>
      <c r="R294" s="17">
        <f>'Sampling Data'!AJ294</f>
        <v>0</v>
      </c>
      <c r="S294" s="111"/>
      <c r="T294" s="111"/>
      <c r="U294" s="112"/>
      <c r="V294" s="112"/>
      <c r="W294" s="111"/>
      <c r="X294" s="111"/>
      <c r="Y294" s="111"/>
      <c r="Z294" s="111"/>
      <c r="AA294" s="14"/>
      <c r="AB294" s="14"/>
      <c r="AC294" s="14"/>
      <c r="AD294" s="14"/>
      <c r="AE294" s="113" t="str">
        <f>IF(NOT(ISBLANK(Audit[[#This Row],[Audit Winning Candidate]])), Audit[[#This Row],[Audit Winning Candidate]]-Audit[[#This Row],[Winning Candidate]], "")</f>
        <v/>
      </c>
      <c r="AF294" s="17" t="str">
        <f>IF(NOT(ISBLANK(Audit[[#This Row],[Audit Losing Candidate]])), Audit[[#This Row],[Audit Losing Candidate]]-Audit[[#This Row],[Losing Candidate]], "")</f>
        <v/>
      </c>
      <c r="AG294" s="17" t="str">
        <f>IF(NOT(ISBLANK(Audit[[#This Row],[Audit Candidate 3]])), Audit[[#This Row],[Audit Candidate 3]]-Audit[[#This Row],[Candidate 3]], "")</f>
        <v/>
      </c>
      <c r="AH294" s="17" t="str">
        <f>IF(NOT(ISBLANK(Audit[[#This Row],[Audit Candidate 4]])),Audit[[#This Row],[Audit Candidate 4]]-Audit[[#This Row],[Candidate 4]], "")</f>
        <v/>
      </c>
      <c r="AI294" s="17" t="str">
        <f>IF(NOT(ISBLANK(Audit[[#This Row],[Audit Candidate 5]])), Audit[[#This Row],[Audit Candidate 5]]-Audit[[#This Row],[Candidate 5]], "")</f>
        <v/>
      </c>
      <c r="AJ294" s="17" t="str">
        <f>IF(NOT(ISBLANK(Audit[[#This Row],[Audit Candidate 6]])), Audit[[#This Row],[Audit Candidate 6]]-Audit[[#This Row],[Candidate 6]], "")</f>
        <v/>
      </c>
      <c r="AK294" s="17" t="str">
        <f>IF(NOT(ISBLANK(Audit[[#This Row],[Audit Candidate 7]])), Audit[[#This Row],[Audit Candidate 7]]-Audit[[#This Row],[Candidate 7]], "")</f>
        <v/>
      </c>
      <c r="AL294" s="17" t="str">
        <f>IF(NOT(ISBLANK(Audit[[#This Row],[Audit Candidate 8]])), Audit[[#This Row],[Audit Candidate 8]]-Audit[[#This Row],[Candidate 8]], "")</f>
        <v/>
      </c>
      <c r="AM294" s="17" t="str">
        <f>IF(NOT(ISBLANK(Audit[[#This Row],[Audit Candidate 9]])), Audit[[#This Row],[Audit Candidate 9]]-Audit[[#This Row],[Candidate 9]], "")</f>
        <v/>
      </c>
      <c r="AN294" s="17" t="str">
        <f>IF(NOT(ISBLANK(Audit[[#This Row],[Audit Candidate 10]])), Audit[[#This Row],[Audit Candidate 10]]-Audit[[#This Row],[Candidate 10]], "")</f>
        <v/>
      </c>
      <c r="AO294" s="17" t="str">
        <f>IF(NOT(ISBLANK(Audit[[#This Row],[Audit Candidate 11]])), Audit[[#This Row],[Audit Candidate 11]]-Audit[[#This Row],[Candidate 11]], "")</f>
        <v/>
      </c>
      <c r="AP294" s="17" t="str">
        <f>IF(NOT(ISBLANK(Audit[[#This Row],[Audit Candidate 12]])), Audit[[#This Row],[Audit Candidate 12]]-Audit[[#This Row],[Candidate 12]], "")</f>
        <v/>
      </c>
      <c r="AQ294" s="17">
        <f>SUMIF(Audit[[#This Row],[Difference Winner]:[Difference Candidate 12]], "&gt;0")</f>
        <v>0</v>
      </c>
      <c r="AR294" s="17">
        <f>SUM(Audit[[#This Row],[Difference Winner]:[Difference Candidate 12]])</f>
        <v>0</v>
      </c>
      <c r="AS294" s="17">
        <f>IF(Audit[[#This Row],[Times p Drawn - With Replacement]]&gt;0, IF(Audit[[#This Row],[Canceled Differences]]&lt;0, Audit[[#This Row],[Max Differences]]+ABS(Audit[[#This Row],[Canceled Differences]]), Audit[[#This Row],[Max Differences]]), 0)</f>
        <v>0</v>
      </c>
      <c r="AT294" s="17">
        <f>'Sampling Data'!AB294</f>
        <v>6.7900186725513498E-3</v>
      </c>
      <c r="AU294" s="17">
        <f>IF(
      SUM(Audit[[#This Row],[Audit Losing Candidate]:[Audit Candidate 12]])
      &lt;&gt;0,
      (Audit[[#This Row],[Winning Candidate]]-Audit[[#This Row],[Losing Candidate]]-(Audit[[#This Row],[Audit Winning Candidate]]-Audit[[#This Row],[Audit Losing Candidate]]))/(Audit[[#Totals],[Winning Candidate]]-Audit[[#Totals],[Losing Candidate]]),
      0
)</f>
        <v>0</v>
      </c>
      <c r="AV2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4" s="17">
        <f>IF(Audit[[#This Row],[Max Relative Error (ep)]] = 0, 0, Audit[[#This Row],[Max Relative Error (ep)]]/Audit[[#This Row],[Error Bound (up) - Max. possible relative overstatement]])</f>
        <v>0</v>
      </c>
      <c r="BH2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94" s="17">
        <f t="shared" si="5"/>
        <v>1</v>
      </c>
      <c r="BJ294" s="17">
        <f>PRODUCT($BI$5:BI294)</f>
        <v>0.51668056043826849</v>
      </c>
      <c r="BK294" s="19">
        <f>1 - Audit[[#This Row],[K-M P Value]]</f>
        <v>0.48331943956173151</v>
      </c>
      <c r="BL294" s="17" t="str">
        <f>IF(Audit[[#This Row],[K-M P Value]]&gt;1-'General Info'!$B$12,"Continue", "Stop")</f>
        <v>Continue</v>
      </c>
      <c r="BM294" s="22" t="b">
        <f>IF(Audit[[#This Row],[Status - Continue or stop audit]] = "Continue", TRUE, IF(BL293 = "Continue", TRUE, FALSE))</f>
        <v>1</v>
      </c>
      <c r="BN294" s="22"/>
    </row>
    <row r="295" spans="1:66" ht="15" hidden="1" customHeight="1" x14ac:dyDescent="0.35">
      <c r="A295" s="17" t="str">
        <f>'Sampling Data'!AI295</f>
        <v/>
      </c>
      <c r="B295" s="17" t="str">
        <f>'Sampling Data'!A295</f>
        <v>4642 READ 4-B   (AV)</v>
      </c>
      <c r="C295" s="17">
        <f>'Sampling Data'!B295</f>
        <v>102</v>
      </c>
      <c r="D295" s="17">
        <f>'Sampling Data'!C295</f>
        <v>196</v>
      </c>
      <c r="E295" s="18">
        <f>'Sampling Data'!D295</f>
        <v>0</v>
      </c>
      <c r="F295" s="18">
        <f>'Sampling Data'!E295</f>
        <v>0</v>
      </c>
      <c r="G295" s="18">
        <f>'Sampling Data'!F295</f>
        <v>0</v>
      </c>
      <c r="H295" s="18">
        <f>'Sampling Data'!G295</f>
        <v>0</v>
      </c>
      <c r="I295" s="18">
        <f>'Sampling Data'!H295</f>
        <v>0</v>
      </c>
      <c r="J295" s="18">
        <f>'Sampling Data'!I295</f>
        <v>0</v>
      </c>
      <c r="K295" s="18">
        <f>'Sampling Data'!J295</f>
        <v>0</v>
      </c>
      <c r="L295" s="18">
        <f>'Sampling Data'!K295</f>
        <v>0</v>
      </c>
      <c r="M295" s="18">
        <f>'Sampling Data'!L295</f>
        <v>0</v>
      </c>
      <c r="N295" s="18">
        <f>'Sampling Data'!M295</f>
        <v>0</v>
      </c>
      <c r="O295" s="17">
        <f>'Sampling Data'!N295</f>
        <v>1</v>
      </c>
      <c r="P295" s="17">
        <f>'Sampling Data'!O295</f>
        <v>24</v>
      </c>
      <c r="Q295" s="17">
        <f>'Sampling Data'!P295</f>
        <v>323</v>
      </c>
      <c r="R295" s="17">
        <f>'Sampling Data'!AJ295</f>
        <v>0</v>
      </c>
      <c r="S295" s="111"/>
      <c r="T295" s="111"/>
      <c r="U295" s="112"/>
      <c r="V295" s="112"/>
      <c r="W295" s="111"/>
      <c r="X295" s="111"/>
      <c r="Y295" s="111"/>
      <c r="Z295" s="111"/>
      <c r="AA295" s="14"/>
      <c r="AB295" s="14"/>
      <c r="AC295" s="14"/>
      <c r="AD295" s="14"/>
      <c r="AE295" s="113" t="str">
        <f>IF(NOT(ISBLANK(Audit[[#This Row],[Audit Winning Candidate]])), Audit[[#This Row],[Audit Winning Candidate]]-Audit[[#This Row],[Winning Candidate]], "")</f>
        <v/>
      </c>
      <c r="AF295" s="17" t="str">
        <f>IF(NOT(ISBLANK(Audit[[#This Row],[Audit Losing Candidate]])), Audit[[#This Row],[Audit Losing Candidate]]-Audit[[#This Row],[Losing Candidate]], "")</f>
        <v/>
      </c>
      <c r="AG295" s="17" t="str">
        <f>IF(NOT(ISBLANK(Audit[[#This Row],[Audit Candidate 3]])), Audit[[#This Row],[Audit Candidate 3]]-Audit[[#This Row],[Candidate 3]], "")</f>
        <v/>
      </c>
      <c r="AH295" s="17" t="str">
        <f>IF(NOT(ISBLANK(Audit[[#This Row],[Audit Candidate 4]])),Audit[[#This Row],[Audit Candidate 4]]-Audit[[#This Row],[Candidate 4]], "")</f>
        <v/>
      </c>
      <c r="AI295" s="17" t="str">
        <f>IF(NOT(ISBLANK(Audit[[#This Row],[Audit Candidate 5]])), Audit[[#This Row],[Audit Candidate 5]]-Audit[[#This Row],[Candidate 5]], "")</f>
        <v/>
      </c>
      <c r="AJ295" s="17" t="str">
        <f>IF(NOT(ISBLANK(Audit[[#This Row],[Audit Candidate 6]])), Audit[[#This Row],[Audit Candidate 6]]-Audit[[#This Row],[Candidate 6]], "")</f>
        <v/>
      </c>
      <c r="AK295" s="17" t="str">
        <f>IF(NOT(ISBLANK(Audit[[#This Row],[Audit Candidate 7]])), Audit[[#This Row],[Audit Candidate 7]]-Audit[[#This Row],[Candidate 7]], "")</f>
        <v/>
      </c>
      <c r="AL295" s="17" t="str">
        <f>IF(NOT(ISBLANK(Audit[[#This Row],[Audit Candidate 8]])), Audit[[#This Row],[Audit Candidate 8]]-Audit[[#This Row],[Candidate 8]], "")</f>
        <v/>
      </c>
      <c r="AM295" s="17" t="str">
        <f>IF(NOT(ISBLANK(Audit[[#This Row],[Audit Candidate 9]])), Audit[[#This Row],[Audit Candidate 9]]-Audit[[#This Row],[Candidate 9]], "")</f>
        <v/>
      </c>
      <c r="AN295" s="17" t="str">
        <f>IF(NOT(ISBLANK(Audit[[#This Row],[Audit Candidate 10]])), Audit[[#This Row],[Audit Candidate 10]]-Audit[[#This Row],[Candidate 10]], "")</f>
        <v/>
      </c>
      <c r="AO295" s="17" t="str">
        <f>IF(NOT(ISBLANK(Audit[[#This Row],[Audit Candidate 11]])), Audit[[#This Row],[Audit Candidate 11]]-Audit[[#This Row],[Candidate 11]], "")</f>
        <v/>
      </c>
      <c r="AP295" s="17" t="str">
        <f>IF(NOT(ISBLANK(Audit[[#This Row],[Audit Candidate 12]])), Audit[[#This Row],[Audit Candidate 12]]-Audit[[#This Row],[Candidate 12]], "")</f>
        <v/>
      </c>
      <c r="AQ295" s="17">
        <f>SUMIF(Audit[[#This Row],[Difference Winner]:[Difference Candidate 12]], "&gt;0")</f>
        <v>0</v>
      </c>
      <c r="AR295" s="17">
        <f>SUM(Audit[[#This Row],[Difference Winner]:[Difference Candidate 12]])</f>
        <v>0</v>
      </c>
      <c r="AS295" s="17">
        <f>IF(Audit[[#This Row],[Times p Drawn - With Replacement]]&gt;0, IF(Audit[[#This Row],[Canceled Differences]]&lt;0, Audit[[#This Row],[Max Differences]]+ABS(Audit[[#This Row],[Canceled Differences]]), Audit[[#This Row],[Max Differences]]), 0)</f>
        <v>0</v>
      </c>
      <c r="AT295" s="17">
        <f>'Sampling Data'!AB295</f>
        <v>9.7182142250891185E-3</v>
      </c>
      <c r="AU295" s="17">
        <f>IF(
      SUM(Audit[[#This Row],[Audit Losing Candidate]:[Audit Candidate 12]])
      &lt;&gt;0,
      (Audit[[#This Row],[Winning Candidate]]-Audit[[#This Row],[Losing Candidate]]-(Audit[[#This Row],[Audit Winning Candidate]]-Audit[[#This Row],[Audit Losing Candidate]]))/(Audit[[#Totals],[Winning Candidate]]-Audit[[#Totals],[Losing Candidate]]),
      0
)</f>
        <v>0</v>
      </c>
      <c r="AV2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5" s="17">
        <f>IF(Audit[[#This Row],[Max Relative Error (ep)]] = 0, 0, Audit[[#This Row],[Max Relative Error (ep)]]/Audit[[#This Row],[Error Bound (up) - Max. possible relative overstatement]])</f>
        <v>0</v>
      </c>
      <c r="BH2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95" s="17">
        <f t="shared" si="5"/>
        <v>1</v>
      </c>
      <c r="BJ295" s="17">
        <f>PRODUCT($BI$5:BI295)</f>
        <v>0.51668056043826849</v>
      </c>
      <c r="BK295" s="19">
        <f>1 - Audit[[#This Row],[K-M P Value]]</f>
        <v>0.48331943956173151</v>
      </c>
      <c r="BL295" s="17" t="str">
        <f>IF(Audit[[#This Row],[K-M P Value]]&gt;1-'General Info'!$B$12,"Continue", "Stop")</f>
        <v>Continue</v>
      </c>
      <c r="BM295" s="22" t="b">
        <f>IF(Audit[[#This Row],[Status - Continue or stop audit]] = "Continue", TRUE, IF(BL294 = "Continue", TRUE, FALSE))</f>
        <v>1</v>
      </c>
      <c r="BN295" s="22"/>
    </row>
    <row r="296" spans="1:66" ht="15" hidden="1" customHeight="1" x14ac:dyDescent="0.35">
      <c r="A296" s="17" t="str">
        <f>'Sampling Data'!AI296</f>
        <v/>
      </c>
      <c r="B296" s="17" t="str">
        <f>'Sampling Data'!A296</f>
        <v>4911 SHAR 1-A   (AV)</v>
      </c>
      <c r="C296" s="17">
        <f>'Sampling Data'!B296</f>
        <v>101</v>
      </c>
      <c r="D296" s="17">
        <f>'Sampling Data'!C296</f>
        <v>120</v>
      </c>
      <c r="E296" s="18">
        <f>'Sampling Data'!D296</f>
        <v>0</v>
      </c>
      <c r="F296" s="18">
        <f>'Sampling Data'!E296</f>
        <v>0</v>
      </c>
      <c r="G296" s="18">
        <f>'Sampling Data'!F296</f>
        <v>0</v>
      </c>
      <c r="H296" s="18">
        <f>'Sampling Data'!G296</f>
        <v>0</v>
      </c>
      <c r="I296" s="18">
        <f>'Sampling Data'!H296</f>
        <v>0</v>
      </c>
      <c r="J296" s="18">
        <f>'Sampling Data'!I296</f>
        <v>0</v>
      </c>
      <c r="K296" s="18">
        <f>'Sampling Data'!J296</f>
        <v>0</v>
      </c>
      <c r="L296" s="18">
        <f>'Sampling Data'!K296</f>
        <v>0</v>
      </c>
      <c r="M296" s="18">
        <f>'Sampling Data'!L296</f>
        <v>0</v>
      </c>
      <c r="N296" s="18">
        <f>'Sampling Data'!M296</f>
        <v>0</v>
      </c>
      <c r="O296" s="17">
        <f>'Sampling Data'!N296</f>
        <v>0</v>
      </c>
      <c r="P296" s="17">
        <f>'Sampling Data'!O296</f>
        <v>21</v>
      </c>
      <c r="Q296" s="17">
        <f>'Sampling Data'!P296</f>
        <v>242</v>
      </c>
      <c r="R296" s="17">
        <f>'Sampling Data'!AJ296</f>
        <v>0</v>
      </c>
      <c r="S296" s="111"/>
      <c r="T296" s="111"/>
      <c r="U296" s="112"/>
      <c r="V296" s="112"/>
      <c r="W296" s="111"/>
      <c r="X296" s="111"/>
      <c r="Y296" s="111"/>
      <c r="Z296" s="111"/>
      <c r="AA296" s="14"/>
      <c r="AB296" s="14"/>
      <c r="AC296" s="14"/>
      <c r="AD296" s="14"/>
      <c r="AE296" s="113" t="str">
        <f>IF(NOT(ISBLANK(Audit[[#This Row],[Audit Winning Candidate]])), Audit[[#This Row],[Audit Winning Candidate]]-Audit[[#This Row],[Winning Candidate]], "")</f>
        <v/>
      </c>
      <c r="AF296" s="17" t="str">
        <f>IF(NOT(ISBLANK(Audit[[#This Row],[Audit Losing Candidate]])), Audit[[#This Row],[Audit Losing Candidate]]-Audit[[#This Row],[Losing Candidate]], "")</f>
        <v/>
      </c>
      <c r="AG296" s="17" t="str">
        <f>IF(NOT(ISBLANK(Audit[[#This Row],[Audit Candidate 3]])), Audit[[#This Row],[Audit Candidate 3]]-Audit[[#This Row],[Candidate 3]], "")</f>
        <v/>
      </c>
      <c r="AH296" s="17" t="str">
        <f>IF(NOT(ISBLANK(Audit[[#This Row],[Audit Candidate 4]])),Audit[[#This Row],[Audit Candidate 4]]-Audit[[#This Row],[Candidate 4]], "")</f>
        <v/>
      </c>
      <c r="AI296" s="17" t="str">
        <f>IF(NOT(ISBLANK(Audit[[#This Row],[Audit Candidate 5]])), Audit[[#This Row],[Audit Candidate 5]]-Audit[[#This Row],[Candidate 5]], "")</f>
        <v/>
      </c>
      <c r="AJ296" s="17" t="str">
        <f>IF(NOT(ISBLANK(Audit[[#This Row],[Audit Candidate 6]])), Audit[[#This Row],[Audit Candidate 6]]-Audit[[#This Row],[Candidate 6]], "")</f>
        <v/>
      </c>
      <c r="AK296" s="17" t="str">
        <f>IF(NOT(ISBLANK(Audit[[#This Row],[Audit Candidate 7]])), Audit[[#This Row],[Audit Candidate 7]]-Audit[[#This Row],[Candidate 7]], "")</f>
        <v/>
      </c>
      <c r="AL296" s="17" t="str">
        <f>IF(NOT(ISBLANK(Audit[[#This Row],[Audit Candidate 8]])), Audit[[#This Row],[Audit Candidate 8]]-Audit[[#This Row],[Candidate 8]], "")</f>
        <v/>
      </c>
      <c r="AM296" s="17" t="str">
        <f>IF(NOT(ISBLANK(Audit[[#This Row],[Audit Candidate 9]])), Audit[[#This Row],[Audit Candidate 9]]-Audit[[#This Row],[Candidate 9]], "")</f>
        <v/>
      </c>
      <c r="AN296" s="17" t="str">
        <f>IF(NOT(ISBLANK(Audit[[#This Row],[Audit Candidate 10]])), Audit[[#This Row],[Audit Candidate 10]]-Audit[[#This Row],[Candidate 10]], "")</f>
        <v/>
      </c>
      <c r="AO296" s="17" t="str">
        <f>IF(NOT(ISBLANK(Audit[[#This Row],[Audit Candidate 11]])), Audit[[#This Row],[Audit Candidate 11]]-Audit[[#This Row],[Candidate 11]], "")</f>
        <v/>
      </c>
      <c r="AP296" s="17" t="str">
        <f>IF(NOT(ISBLANK(Audit[[#This Row],[Audit Candidate 12]])), Audit[[#This Row],[Audit Candidate 12]]-Audit[[#This Row],[Candidate 12]], "")</f>
        <v/>
      </c>
      <c r="AQ296" s="17">
        <f>SUMIF(Audit[[#This Row],[Difference Winner]:[Difference Candidate 12]], "&gt;0")</f>
        <v>0</v>
      </c>
      <c r="AR296" s="17">
        <f>SUM(Audit[[#This Row],[Difference Winner]:[Difference Candidate 12]])</f>
        <v>0</v>
      </c>
      <c r="AS296" s="17">
        <f>IF(Audit[[#This Row],[Times p Drawn - With Replacement]]&gt;0, IF(Audit[[#This Row],[Canceled Differences]]&lt;0, Audit[[#This Row],[Max Differences]]+ABS(Audit[[#This Row],[Canceled Differences]]), Audit[[#This Row],[Max Differences]]), 0)</f>
        <v>0</v>
      </c>
      <c r="AT296" s="17">
        <f>'Sampling Data'!AB296</f>
        <v>9.4635885248684441E-3</v>
      </c>
      <c r="AU296" s="17">
        <f>IF(
      SUM(Audit[[#This Row],[Audit Losing Candidate]:[Audit Candidate 12]])
      &lt;&gt;0,
      (Audit[[#This Row],[Winning Candidate]]-Audit[[#This Row],[Losing Candidate]]-(Audit[[#This Row],[Audit Winning Candidate]]-Audit[[#This Row],[Audit Losing Candidate]]))/(Audit[[#Totals],[Winning Candidate]]-Audit[[#Totals],[Losing Candidate]]),
      0
)</f>
        <v>0</v>
      </c>
      <c r="AV2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6" s="17">
        <f>IF(Audit[[#This Row],[Max Relative Error (ep)]] = 0, 0, Audit[[#This Row],[Max Relative Error (ep)]]/Audit[[#This Row],[Error Bound (up) - Max. possible relative overstatement]])</f>
        <v>0</v>
      </c>
      <c r="BH2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96" s="17">
        <f t="shared" si="5"/>
        <v>1</v>
      </c>
      <c r="BJ296" s="17">
        <f>PRODUCT($BI$5:BI296)</f>
        <v>0.51668056043826849</v>
      </c>
      <c r="BK296" s="19">
        <f>1 - Audit[[#This Row],[K-M P Value]]</f>
        <v>0.48331943956173151</v>
      </c>
      <c r="BL296" s="17" t="str">
        <f>IF(Audit[[#This Row],[K-M P Value]]&gt;1-'General Info'!$B$12,"Continue", "Stop")</f>
        <v>Continue</v>
      </c>
      <c r="BM296" s="22" t="b">
        <f>IF(Audit[[#This Row],[Status - Continue or stop audit]] = "Continue", TRUE, IF(BL295 = "Continue", TRUE, FALSE))</f>
        <v>1</v>
      </c>
      <c r="BN296" s="22"/>
    </row>
    <row r="297" spans="1:66" ht="15" hidden="1" customHeight="1" x14ac:dyDescent="0.35">
      <c r="A297" s="17" t="str">
        <f>'Sampling Data'!AI297</f>
        <v/>
      </c>
      <c r="B297" s="17" t="str">
        <f>'Sampling Data'!A297</f>
        <v>4912 SHAR 1-B   (AV)</v>
      </c>
      <c r="C297" s="17">
        <f>'Sampling Data'!B297</f>
        <v>146</v>
      </c>
      <c r="D297" s="17">
        <f>'Sampling Data'!C297</f>
        <v>86</v>
      </c>
      <c r="E297" s="18">
        <f>'Sampling Data'!D297</f>
        <v>0</v>
      </c>
      <c r="F297" s="18">
        <f>'Sampling Data'!E297</f>
        <v>0</v>
      </c>
      <c r="G297" s="18">
        <f>'Sampling Data'!F297</f>
        <v>0</v>
      </c>
      <c r="H297" s="18">
        <f>'Sampling Data'!G297</f>
        <v>0</v>
      </c>
      <c r="I297" s="18">
        <f>'Sampling Data'!H297</f>
        <v>0</v>
      </c>
      <c r="J297" s="18">
        <f>'Sampling Data'!I297</f>
        <v>0</v>
      </c>
      <c r="K297" s="18">
        <f>'Sampling Data'!J297</f>
        <v>0</v>
      </c>
      <c r="L297" s="18">
        <f>'Sampling Data'!K297</f>
        <v>0</v>
      </c>
      <c r="M297" s="18">
        <f>'Sampling Data'!L297</f>
        <v>0</v>
      </c>
      <c r="N297" s="18">
        <f>'Sampling Data'!M297</f>
        <v>0</v>
      </c>
      <c r="O297" s="17">
        <f>'Sampling Data'!N297</f>
        <v>0</v>
      </c>
      <c r="P297" s="17">
        <f>'Sampling Data'!O297</f>
        <v>13</v>
      </c>
      <c r="Q297" s="17">
        <f>'Sampling Data'!P297</f>
        <v>245</v>
      </c>
      <c r="R297" s="17">
        <f>'Sampling Data'!AJ297</f>
        <v>0</v>
      </c>
      <c r="S297" s="111"/>
      <c r="T297" s="111"/>
      <c r="U297" s="112"/>
      <c r="V297" s="112"/>
      <c r="W297" s="111"/>
      <c r="X297" s="111"/>
      <c r="Y297" s="111"/>
      <c r="Z297" s="111"/>
      <c r="AA297" s="14"/>
      <c r="AB297" s="14"/>
      <c r="AC297" s="14"/>
      <c r="AD297" s="14"/>
      <c r="AE297" s="113" t="str">
        <f>IF(NOT(ISBLANK(Audit[[#This Row],[Audit Winning Candidate]])), Audit[[#This Row],[Audit Winning Candidate]]-Audit[[#This Row],[Winning Candidate]], "")</f>
        <v/>
      </c>
      <c r="AF297" s="17" t="str">
        <f>IF(NOT(ISBLANK(Audit[[#This Row],[Audit Losing Candidate]])), Audit[[#This Row],[Audit Losing Candidate]]-Audit[[#This Row],[Losing Candidate]], "")</f>
        <v/>
      </c>
      <c r="AG297" s="17" t="str">
        <f>IF(NOT(ISBLANK(Audit[[#This Row],[Audit Candidate 3]])), Audit[[#This Row],[Audit Candidate 3]]-Audit[[#This Row],[Candidate 3]], "")</f>
        <v/>
      </c>
      <c r="AH297" s="17" t="str">
        <f>IF(NOT(ISBLANK(Audit[[#This Row],[Audit Candidate 4]])),Audit[[#This Row],[Audit Candidate 4]]-Audit[[#This Row],[Candidate 4]], "")</f>
        <v/>
      </c>
      <c r="AI297" s="17" t="str">
        <f>IF(NOT(ISBLANK(Audit[[#This Row],[Audit Candidate 5]])), Audit[[#This Row],[Audit Candidate 5]]-Audit[[#This Row],[Candidate 5]], "")</f>
        <v/>
      </c>
      <c r="AJ297" s="17" t="str">
        <f>IF(NOT(ISBLANK(Audit[[#This Row],[Audit Candidate 6]])), Audit[[#This Row],[Audit Candidate 6]]-Audit[[#This Row],[Candidate 6]], "")</f>
        <v/>
      </c>
      <c r="AK297" s="17" t="str">
        <f>IF(NOT(ISBLANK(Audit[[#This Row],[Audit Candidate 7]])), Audit[[#This Row],[Audit Candidate 7]]-Audit[[#This Row],[Candidate 7]], "")</f>
        <v/>
      </c>
      <c r="AL297" s="17" t="str">
        <f>IF(NOT(ISBLANK(Audit[[#This Row],[Audit Candidate 8]])), Audit[[#This Row],[Audit Candidate 8]]-Audit[[#This Row],[Candidate 8]], "")</f>
        <v/>
      </c>
      <c r="AM297" s="17" t="str">
        <f>IF(NOT(ISBLANK(Audit[[#This Row],[Audit Candidate 9]])), Audit[[#This Row],[Audit Candidate 9]]-Audit[[#This Row],[Candidate 9]], "")</f>
        <v/>
      </c>
      <c r="AN297" s="17" t="str">
        <f>IF(NOT(ISBLANK(Audit[[#This Row],[Audit Candidate 10]])), Audit[[#This Row],[Audit Candidate 10]]-Audit[[#This Row],[Candidate 10]], "")</f>
        <v/>
      </c>
      <c r="AO297" s="17" t="str">
        <f>IF(NOT(ISBLANK(Audit[[#This Row],[Audit Candidate 11]])), Audit[[#This Row],[Audit Candidate 11]]-Audit[[#This Row],[Candidate 11]], "")</f>
        <v/>
      </c>
      <c r="AP297" s="17" t="str">
        <f>IF(NOT(ISBLANK(Audit[[#This Row],[Audit Candidate 12]])), Audit[[#This Row],[Audit Candidate 12]]-Audit[[#This Row],[Candidate 12]], "")</f>
        <v/>
      </c>
      <c r="AQ297" s="17">
        <f>SUMIF(Audit[[#This Row],[Difference Winner]:[Difference Candidate 12]], "&gt;0")</f>
        <v>0</v>
      </c>
      <c r="AR297" s="17">
        <f>SUM(Audit[[#This Row],[Difference Winner]:[Difference Candidate 12]])</f>
        <v>0</v>
      </c>
      <c r="AS297" s="17">
        <f>IF(Audit[[#This Row],[Times p Drawn - With Replacement]]&gt;0, IF(Audit[[#This Row],[Canceled Differences]]&lt;0, Audit[[#This Row],[Max Differences]]+ABS(Audit[[#This Row],[Canceled Differences]]), Audit[[#This Row],[Max Differences]]), 0)</f>
        <v>0</v>
      </c>
      <c r="AT297" s="17">
        <f>'Sampling Data'!AB297</f>
        <v>1.294347309455101E-2</v>
      </c>
      <c r="AU297" s="17">
        <f>IF(
      SUM(Audit[[#This Row],[Audit Losing Candidate]:[Audit Candidate 12]])
      &lt;&gt;0,
      (Audit[[#This Row],[Winning Candidate]]-Audit[[#This Row],[Losing Candidate]]-(Audit[[#This Row],[Audit Winning Candidate]]-Audit[[#This Row],[Audit Losing Candidate]]))/(Audit[[#Totals],[Winning Candidate]]-Audit[[#Totals],[Losing Candidate]]),
      0
)</f>
        <v>0</v>
      </c>
      <c r="AV2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7" s="17">
        <f>IF(Audit[[#This Row],[Max Relative Error (ep)]] = 0, 0, Audit[[#This Row],[Max Relative Error (ep)]]/Audit[[#This Row],[Error Bound (up) - Max. possible relative overstatement]])</f>
        <v>0</v>
      </c>
      <c r="BH2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97" s="17">
        <f t="shared" si="5"/>
        <v>1</v>
      </c>
      <c r="BJ297" s="17">
        <f>PRODUCT($BI$5:BI297)</f>
        <v>0.51668056043826849</v>
      </c>
      <c r="BK297" s="19">
        <f>1 - Audit[[#This Row],[K-M P Value]]</f>
        <v>0.48331943956173151</v>
      </c>
      <c r="BL297" s="17" t="str">
        <f>IF(Audit[[#This Row],[K-M P Value]]&gt;1-'General Info'!$B$12,"Continue", "Stop")</f>
        <v>Continue</v>
      </c>
      <c r="BM297" s="22" t="b">
        <f>IF(Audit[[#This Row],[Status - Continue or stop audit]] = "Continue", TRUE, IF(BL296 = "Continue", TRUE, FALSE))</f>
        <v>1</v>
      </c>
      <c r="BN297" s="22"/>
    </row>
    <row r="298" spans="1:66" ht="15" hidden="1" customHeight="1" x14ac:dyDescent="0.35">
      <c r="A298" s="17" t="str">
        <f>'Sampling Data'!AI298</f>
        <v/>
      </c>
      <c r="B298" s="17" t="str">
        <f>'Sampling Data'!A298</f>
        <v>4921 SHAR 2-A   (AV)</v>
      </c>
      <c r="C298" s="17">
        <f>'Sampling Data'!B298</f>
        <v>118</v>
      </c>
      <c r="D298" s="17">
        <f>'Sampling Data'!C298</f>
        <v>115</v>
      </c>
      <c r="E298" s="18">
        <f>'Sampling Data'!D298</f>
        <v>0</v>
      </c>
      <c r="F298" s="18">
        <f>'Sampling Data'!E298</f>
        <v>0</v>
      </c>
      <c r="G298" s="18">
        <f>'Sampling Data'!F298</f>
        <v>0</v>
      </c>
      <c r="H298" s="18">
        <f>'Sampling Data'!G298</f>
        <v>0</v>
      </c>
      <c r="I298" s="18">
        <f>'Sampling Data'!H298</f>
        <v>0</v>
      </c>
      <c r="J298" s="18">
        <f>'Sampling Data'!I298</f>
        <v>0</v>
      </c>
      <c r="K298" s="18">
        <f>'Sampling Data'!J298</f>
        <v>0</v>
      </c>
      <c r="L298" s="18">
        <f>'Sampling Data'!K298</f>
        <v>0</v>
      </c>
      <c r="M298" s="18">
        <f>'Sampling Data'!L298</f>
        <v>0</v>
      </c>
      <c r="N298" s="18">
        <f>'Sampling Data'!M298</f>
        <v>0</v>
      </c>
      <c r="O298" s="17">
        <f>'Sampling Data'!N298</f>
        <v>0</v>
      </c>
      <c r="P298" s="17">
        <f>'Sampling Data'!O298</f>
        <v>6</v>
      </c>
      <c r="Q298" s="17">
        <f>'Sampling Data'!P298</f>
        <v>239</v>
      </c>
      <c r="R298" s="17">
        <f>'Sampling Data'!AJ298</f>
        <v>0</v>
      </c>
      <c r="S298" s="111"/>
      <c r="T298" s="111"/>
      <c r="U298" s="112"/>
      <c r="V298" s="112"/>
      <c r="W298" s="111"/>
      <c r="X298" s="111"/>
      <c r="Y298" s="111"/>
      <c r="Z298" s="111"/>
      <c r="AA298" s="14"/>
      <c r="AB298" s="14"/>
      <c r="AC298" s="14"/>
      <c r="AD298" s="14"/>
      <c r="AE298" s="113" t="str">
        <f>IF(NOT(ISBLANK(Audit[[#This Row],[Audit Winning Candidate]])), Audit[[#This Row],[Audit Winning Candidate]]-Audit[[#This Row],[Winning Candidate]], "")</f>
        <v/>
      </c>
      <c r="AF298" s="17" t="str">
        <f>IF(NOT(ISBLANK(Audit[[#This Row],[Audit Losing Candidate]])), Audit[[#This Row],[Audit Losing Candidate]]-Audit[[#This Row],[Losing Candidate]], "")</f>
        <v/>
      </c>
      <c r="AG298" s="17" t="str">
        <f>IF(NOT(ISBLANK(Audit[[#This Row],[Audit Candidate 3]])), Audit[[#This Row],[Audit Candidate 3]]-Audit[[#This Row],[Candidate 3]], "")</f>
        <v/>
      </c>
      <c r="AH298" s="17" t="str">
        <f>IF(NOT(ISBLANK(Audit[[#This Row],[Audit Candidate 4]])),Audit[[#This Row],[Audit Candidate 4]]-Audit[[#This Row],[Candidate 4]], "")</f>
        <v/>
      </c>
      <c r="AI298" s="17" t="str">
        <f>IF(NOT(ISBLANK(Audit[[#This Row],[Audit Candidate 5]])), Audit[[#This Row],[Audit Candidate 5]]-Audit[[#This Row],[Candidate 5]], "")</f>
        <v/>
      </c>
      <c r="AJ298" s="17" t="str">
        <f>IF(NOT(ISBLANK(Audit[[#This Row],[Audit Candidate 6]])), Audit[[#This Row],[Audit Candidate 6]]-Audit[[#This Row],[Candidate 6]], "")</f>
        <v/>
      </c>
      <c r="AK298" s="17" t="str">
        <f>IF(NOT(ISBLANK(Audit[[#This Row],[Audit Candidate 7]])), Audit[[#This Row],[Audit Candidate 7]]-Audit[[#This Row],[Candidate 7]], "")</f>
        <v/>
      </c>
      <c r="AL298" s="17" t="str">
        <f>IF(NOT(ISBLANK(Audit[[#This Row],[Audit Candidate 8]])), Audit[[#This Row],[Audit Candidate 8]]-Audit[[#This Row],[Candidate 8]], "")</f>
        <v/>
      </c>
      <c r="AM298" s="17" t="str">
        <f>IF(NOT(ISBLANK(Audit[[#This Row],[Audit Candidate 9]])), Audit[[#This Row],[Audit Candidate 9]]-Audit[[#This Row],[Candidate 9]], "")</f>
        <v/>
      </c>
      <c r="AN298" s="17" t="str">
        <f>IF(NOT(ISBLANK(Audit[[#This Row],[Audit Candidate 10]])), Audit[[#This Row],[Audit Candidate 10]]-Audit[[#This Row],[Candidate 10]], "")</f>
        <v/>
      </c>
      <c r="AO298" s="17" t="str">
        <f>IF(NOT(ISBLANK(Audit[[#This Row],[Audit Candidate 11]])), Audit[[#This Row],[Audit Candidate 11]]-Audit[[#This Row],[Candidate 11]], "")</f>
        <v/>
      </c>
      <c r="AP298" s="17" t="str">
        <f>IF(NOT(ISBLANK(Audit[[#This Row],[Audit Candidate 12]])), Audit[[#This Row],[Audit Candidate 12]]-Audit[[#This Row],[Candidate 12]], "")</f>
        <v/>
      </c>
      <c r="AQ298" s="17">
        <f>SUMIF(Audit[[#This Row],[Difference Winner]:[Difference Candidate 12]], "&gt;0")</f>
        <v>0</v>
      </c>
      <c r="AR298" s="17">
        <f>SUM(Audit[[#This Row],[Difference Winner]:[Difference Candidate 12]])</f>
        <v>0</v>
      </c>
      <c r="AS298" s="17">
        <f>IF(Audit[[#This Row],[Times p Drawn - With Replacement]]&gt;0, IF(Audit[[#This Row],[Canceled Differences]]&lt;0, Audit[[#This Row],[Max Differences]]+ABS(Audit[[#This Row],[Canceled Differences]]), Audit[[#This Row],[Max Differences]]), 0)</f>
        <v>0</v>
      </c>
      <c r="AT298" s="17">
        <f>'Sampling Data'!AB298</f>
        <v>1.0269903242233916E-2</v>
      </c>
      <c r="AU298" s="17">
        <f>IF(
      SUM(Audit[[#This Row],[Audit Losing Candidate]:[Audit Candidate 12]])
      &lt;&gt;0,
      (Audit[[#This Row],[Winning Candidate]]-Audit[[#This Row],[Losing Candidate]]-(Audit[[#This Row],[Audit Winning Candidate]]-Audit[[#This Row],[Audit Losing Candidate]]))/(Audit[[#Totals],[Winning Candidate]]-Audit[[#Totals],[Losing Candidate]]),
      0
)</f>
        <v>0</v>
      </c>
      <c r="AV2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8" s="17">
        <f>IF(Audit[[#This Row],[Max Relative Error (ep)]] = 0, 0, Audit[[#This Row],[Max Relative Error (ep)]]/Audit[[#This Row],[Error Bound (up) - Max. possible relative overstatement]])</f>
        <v>0</v>
      </c>
      <c r="BH2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98" s="17">
        <f t="shared" si="5"/>
        <v>1</v>
      </c>
      <c r="BJ298" s="17">
        <f>PRODUCT($BI$5:BI298)</f>
        <v>0.51668056043826849</v>
      </c>
      <c r="BK298" s="19">
        <f>1 - Audit[[#This Row],[K-M P Value]]</f>
        <v>0.48331943956173151</v>
      </c>
      <c r="BL298" s="17" t="str">
        <f>IF(Audit[[#This Row],[K-M P Value]]&gt;1-'General Info'!$B$12,"Continue", "Stop")</f>
        <v>Continue</v>
      </c>
      <c r="BM298" s="22" t="b">
        <f>IF(Audit[[#This Row],[Status - Continue or stop audit]] = "Continue", TRUE, IF(BL297 = "Continue", TRUE, FALSE))</f>
        <v>1</v>
      </c>
      <c r="BN298" s="22"/>
    </row>
    <row r="299" spans="1:66" ht="15" hidden="1" customHeight="1" x14ac:dyDescent="0.35">
      <c r="A299" s="17" t="str">
        <f>'Sampling Data'!AI299</f>
        <v/>
      </c>
      <c r="B299" s="17" t="str">
        <f>'Sampling Data'!A299</f>
        <v>4931 SHAR 3-A   (AV)</v>
      </c>
      <c r="C299" s="17">
        <f>'Sampling Data'!B299</f>
        <v>246</v>
      </c>
      <c r="D299" s="17">
        <f>'Sampling Data'!C299</f>
        <v>239</v>
      </c>
      <c r="E299" s="18">
        <f>'Sampling Data'!D299</f>
        <v>0</v>
      </c>
      <c r="F299" s="18">
        <f>'Sampling Data'!E299</f>
        <v>0</v>
      </c>
      <c r="G299" s="18">
        <f>'Sampling Data'!F299</f>
        <v>0</v>
      </c>
      <c r="H299" s="18">
        <f>'Sampling Data'!G299</f>
        <v>0</v>
      </c>
      <c r="I299" s="18">
        <f>'Sampling Data'!H299</f>
        <v>0</v>
      </c>
      <c r="J299" s="18">
        <f>'Sampling Data'!I299</f>
        <v>0</v>
      </c>
      <c r="K299" s="18">
        <f>'Sampling Data'!J299</f>
        <v>0</v>
      </c>
      <c r="L299" s="18">
        <f>'Sampling Data'!K299</f>
        <v>0</v>
      </c>
      <c r="M299" s="18">
        <f>'Sampling Data'!L299</f>
        <v>0</v>
      </c>
      <c r="N299" s="18">
        <f>'Sampling Data'!M299</f>
        <v>0</v>
      </c>
      <c r="O299" s="17">
        <f>'Sampling Data'!N299</f>
        <v>0</v>
      </c>
      <c r="P299" s="17">
        <f>'Sampling Data'!O299</f>
        <v>17</v>
      </c>
      <c r="Q299" s="17">
        <f>'Sampling Data'!P299</f>
        <v>502</v>
      </c>
      <c r="R299" s="17">
        <f>'Sampling Data'!AJ299</f>
        <v>0</v>
      </c>
      <c r="S299" s="111"/>
      <c r="T299" s="111"/>
      <c r="U299" s="112"/>
      <c r="V299" s="112"/>
      <c r="W299" s="111"/>
      <c r="X299" s="111"/>
      <c r="Y299" s="111"/>
      <c r="Z299" s="111"/>
      <c r="AA299" s="14"/>
      <c r="AB299" s="14"/>
      <c r="AC299" s="14"/>
      <c r="AD299" s="14"/>
      <c r="AE299" s="113" t="str">
        <f>IF(NOT(ISBLANK(Audit[[#This Row],[Audit Winning Candidate]])), Audit[[#This Row],[Audit Winning Candidate]]-Audit[[#This Row],[Winning Candidate]], "")</f>
        <v/>
      </c>
      <c r="AF299" s="17" t="str">
        <f>IF(NOT(ISBLANK(Audit[[#This Row],[Audit Losing Candidate]])), Audit[[#This Row],[Audit Losing Candidate]]-Audit[[#This Row],[Losing Candidate]], "")</f>
        <v/>
      </c>
      <c r="AG299" s="17" t="str">
        <f>IF(NOT(ISBLANK(Audit[[#This Row],[Audit Candidate 3]])), Audit[[#This Row],[Audit Candidate 3]]-Audit[[#This Row],[Candidate 3]], "")</f>
        <v/>
      </c>
      <c r="AH299" s="17" t="str">
        <f>IF(NOT(ISBLANK(Audit[[#This Row],[Audit Candidate 4]])),Audit[[#This Row],[Audit Candidate 4]]-Audit[[#This Row],[Candidate 4]], "")</f>
        <v/>
      </c>
      <c r="AI299" s="17" t="str">
        <f>IF(NOT(ISBLANK(Audit[[#This Row],[Audit Candidate 5]])), Audit[[#This Row],[Audit Candidate 5]]-Audit[[#This Row],[Candidate 5]], "")</f>
        <v/>
      </c>
      <c r="AJ299" s="17" t="str">
        <f>IF(NOT(ISBLANK(Audit[[#This Row],[Audit Candidate 6]])), Audit[[#This Row],[Audit Candidate 6]]-Audit[[#This Row],[Candidate 6]], "")</f>
        <v/>
      </c>
      <c r="AK299" s="17" t="str">
        <f>IF(NOT(ISBLANK(Audit[[#This Row],[Audit Candidate 7]])), Audit[[#This Row],[Audit Candidate 7]]-Audit[[#This Row],[Candidate 7]], "")</f>
        <v/>
      </c>
      <c r="AL299" s="17" t="str">
        <f>IF(NOT(ISBLANK(Audit[[#This Row],[Audit Candidate 8]])), Audit[[#This Row],[Audit Candidate 8]]-Audit[[#This Row],[Candidate 8]], "")</f>
        <v/>
      </c>
      <c r="AM299" s="17" t="str">
        <f>IF(NOT(ISBLANK(Audit[[#This Row],[Audit Candidate 9]])), Audit[[#This Row],[Audit Candidate 9]]-Audit[[#This Row],[Candidate 9]], "")</f>
        <v/>
      </c>
      <c r="AN299" s="17" t="str">
        <f>IF(NOT(ISBLANK(Audit[[#This Row],[Audit Candidate 10]])), Audit[[#This Row],[Audit Candidate 10]]-Audit[[#This Row],[Candidate 10]], "")</f>
        <v/>
      </c>
      <c r="AO299" s="17" t="str">
        <f>IF(NOT(ISBLANK(Audit[[#This Row],[Audit Candidate 11]])), Audit[[#This Row],[Audit Candidate 11]]-Audit[[#This Row],[Candidate 11]], "")</f>
        <v/>
      </c>
      <c r="AP299" s="17" t="str">
        <f>IF(NOT(ISBLANK(Audit[[#This Row],[Audit Candidate 12]])), Audit[[#This Row],[Audit Candidate 12]]-Audit[[#This Row],[Candidate 12]], "")</f>
        <v/>
      </c>
      <c r="AQ299" s="17">
        <f>SUMIF(Audit[[#This Row],[Difference Winner]:[Difference Candidate 12]], "&gt;0")</f>
        <v>0</v>
      </c>
      <c r="AR299" s="17">
        <f>SUM(Audit[[#This Row],[Difference Winner]:[Difference Candidate 12]])</f>
        <v>0</v>
      </c>
      <c r="AS299" s="17">
        <f>IF(Audit[[#This Row],[Times p Drawn - With Replacement]]&gt;0, IF(Audit[[#This Row],[Canceled Differences]]&lt;0, Audit[[#This Row],[Max Differences]]+ABS(Audit[[#This Row],[Canceled Differences]]), Audit[[#This Row],[Max Differences]]), 0)</f>
        <v>0</v>
      </c>
      <c r="AT299" s="17">
        <f>'Sampling Data'!AB299</f>
        <v>2.1600746902053981E-2</v>
      </c>
      <c r="AU299" s="17">
        <f>IF(
      SUM(Audit[[#This Row],[Audit Losing Candidate]:[Audit Candidate 12]])
      &lt;&gt;0,
      (Audit[[#This Row],[Winning Candidate]]-Audit[[#This Row],[Losing Candidate]]-(Audit[[#This Row],[Audit Winning Candidate]]-Audit[[#This Row],[Audit Losing Candidate]]))/(Audit[[#Totals],[Winning Candidate]]-Audit[[#Totals],[Losing Candidate]]),
      0
)</f>
        <v>0</v>
      </c>
      <c r="AV2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9" s="17">
        <f>IF(Audit[[#This Row],[Max Relative Error (ep)]] = 0, 0, Audit[[#This Row],[Max Relative Error (ep)]]/Audit[[#This Row],[Error Bound (up) - Max. possible relative overstatement]])</f>
        <v>0</v>
      </c>
      <c r="BH2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299" s="17">
        <f t="shared" si="5"/>
        <v>1</v>
      </c>
      <c r="BJ299" s="17">
        <f>PRODUCT($BI$5:BI299)</f>
        <v>0.51668056043826849</v>
      </c>
      <c r="BK299" s="19">
        <f>1 - Audit[[#This Row],[K-M P Value]]</f>
        <v>0.48331943956173151</v>
      </c>
      <c r="BL299" s="17" t="str">
        <f>IF(Audit[[#This Row],[K-M P Value]]&gt;1-'General Info'!$B$12,"Continue", "Stop")</f>
        <v>Continue</v>
      </c>
      <c r="BM299" s="22" t="b">
        <f>IF(Audit[[#This Row],[Status - Continue or stop audit]] = "Continue", TRUE, IF(BL298 = "Continue", TRUE, FALSE))</f>
        <v>1</v>
      </c>
      <c r="BN299" s="22"/>
    </row>
    <row r="300" spans="1:66" ht="15" hidden="1" customHeight="1" x14ac:dyDescent="0.35">
      <c r="A300" s="17" t="str">
        <f>'Sampling Data'!AI300</f>
        <v/>
      </c>
      <c r="B300" s="17" t="str">
        <f>'Sampling Data'!A300</f>
        <v>4932 SHAR 3-B   (AV)</v>
      </c>
      <c r="C300" s="17">
        <f>'Sampling Data'!B300</f>
        <v>71</v>
      </c>
      <c r="D300" s="17">
        <f>'Sampling Data'!C300</f>
        <v>124</v>
      </c>
      <c r="E300" s="18">
        <f>'Sampling Data'!D300</f>
        <v>0</v>
      </c>
      <c r="F300" s="18">
        <f>'Sampling Data'!E300</f>
        <v>0</v>
      </c>
      <c r="G300" s="18">
        <f>'Sampling Data'!F300</f>
        <v>0</v>
      </c>
      <c r="H300" s="18">
        <f>'Sampling Data'!G300</f>
        <v>0</v>
      </c>
      <c r="I300" s="18">
        <f>'Sampling Data'!H300</f>
        <v>0</v>
      </c>
      <c r="J300" s="18">
        <f>'Sampling Data'!I300</f>
        <v>0</v>
      </c>
      <c r="K300" s="18">
        <f>'Sampling Data'!J300</f>
        <v>0</v>
      </c>
      <c r="L300" s="18">
        <f>'Sampling Data'!K300</f>
        <v>0</v>
      </c>
      <c r="M300" s="18">
        <f>'Sampling Data'!L300</f>
        <v>0</v>
      </c>
      <c r="N300" s="18">
        <f>'Sampling Data'!M300</f>
        <v>0</v>
      </c>
      <c r="O300" s="17">
        <f>'Sampling Data'!N300</f>
        <v>0</v>
      </c>
      <c r="P300" s="17">
        <f>'Sampling Data'!O300</f>
        <v>18</v>
      </c>
      <c r="Q300" s="17">
        <f>'Sampling Data'!P300</f>
        <v>213</v>
      </c>
      <c r="R300" s="17">
        <f>'Sampling Data'!AJ300</f>
        <v>0</v>
      </c>
      <c r="S300" s="111"/>
      <c r="T300" s="111"/>
      <c r="U300" s="112"/>
      <c r="V300" s="112"/>
      <c r="W300" s="111"/>
      <c r="X300" s="111"/>
      <c r="Y300" s="111"/>
      <c r="Z300" s="111"/>
      <c r="AA300" s="14"/>
      <c r="AB300" s="14"/>
      <c r="AC300" s="14"/>
      <c r="AD300" s="14"/>
      <c r="AE300" s="113" t="str">
        <f>IF(NOT(ISBLANK(Audit[[#This Row],[Audit Winning Candidate]])), Audit[[#This Row],[Audit Winning Candidate]]-Audit[[#This Row],[Winning Candidate]], "")</f>
        <v/>
      </c>
      <c r="AF300" s="17" t="str">
        <f>IF(NOT(ISBLANK(Audit[[#This Row],[Audit Losing Candidate]])), Audit[[#This Row],[Audit Losing Candidate]]-Audit[[#This Row],[Losing Candidate]], "")</f>
        <v/>
      </c>
      <c r="AG300" s="17" t="str">
        <f>IF(NOT(ISBLANK(Audit[[#This Row],[Audit Candidate 3]])), Audit[[#This Row],[Audit Candidate 3]]-Audit[[#This Row],[Candidate 3]], "")</f>
        <v/>
      </c>
      <c r="AH300" s="17" t="str">
        <f>IF(NOT(ISBLANK(Audit[[#This Row],[Audit Candidate 4]])),Audit[[#This Row],[Audit Candidate 4]]-Audit[[#This Row],[Candidate 4]], "")</f>
        <v/>
      </c>
      <c r="AI300" s="17" t="str">
        <f>IF(NOT(ISBLANK(Audit[[#This Row],[Audit Candidate 5]])), Audit[[#This Row],[Audit Candidate 5]]-Audit[[#This Row],[Candidate 5]], "")</f>
        <v/>
      </c>
      <c r="AJ300" s="17" t="str">
        <f>IF(NOT(ISBLANK(Audit[[#This Row],[Audit Candidate 6]])), Audit[[#This Row],[Audit Candidate 6]]-Audit[[#This Row],[Candidate 6]], "")</f>
        <v/>
      </c>
      <c r="AK300" s="17" t="str">
        <f>IF(NOT(ISBLANK(Audit[[#This Row],[Audit Candidate 7]])), Audit[[#This Row],[Audit Candidate 7]]-Audit[[#This Row],[Candidate 7]], "")</f>
        <v/>
      </c>
      <c r="AL300" s="17" t="str">
        <f>IF(NOT(ISBLANK(Audit[[#This Row],[Audit Candidate 8]])), Audit[[#This Row],[Audit Candidate 8]]-Audit[[#This Row],[Candidate 8]], "")</f>
        <v/>
      </c>
      <c r="AM300" s="17" t="str">
        <f>IF(NOT(ISBLANK(Audit[[#This Row],[Audit Candidate 9]])), Audit[[#This Row],[Audit Candidate 9]]-Audit[[#This Row],[Candidate 9]], "")</f>
        <v/>
      </c>
      <c r="AN300" s="17" t="str">
        <f>IF(NOT(ISBLANK(Audit[[#This Row],[Audit Candidate 10]])), Audit[[#This Row],[Audit Candidate 10]]-Audit[[#This Row],[Candidate 10]], "")</f>
        <v/>
      </c>
      <c r="AO300" s="17" t="str">
        <f>IF(NOT(ISBLANK(Audit[[#This Row],[Audit Candidate 11]])), Audit[[#This Row],[Audit Candidate 11]]-Audit[[#This Row],[Candidate 11]], "")</f>
        <v/>
      </c>
      <c r="AP300" s="17" t="str">
        <f>IF(NOT(ISBLANK(Audit[[#This Row],[Audit Candidate 12]])), Audit[[#This Row],[Audit Candidate 12]]-Audit[[#This Row],[Candidate 12]], "")</f>
        <v/>
      </c>
      <c r="AQ300" s="17">
        <f>SUMIF(Audit[[#This Row],[Difference Winner]:[Difference Candidate 12]], "&gt;0")</f>
        <v>0</v>
      </c>
      <c r="AR300" s="17">
        <f>SUM(Audit[[#This Row],[Difference Winner]:[Difference Candidate 12]])</f>
        <v>0</v>
      </c>
      <c r="AS300" s="17">
        <f>IF(Audit[[#This Row],[Times p Drawn - With Replacement]]&gt;0, IF(Audit[[#This Row],[Canceled Differences]]&lt;0, Audit[[#This Row],[Max Differences]]+ABS(Audit[[#This Row],[Canceled Differences]]), Audit[[#This Row],[Max Differences]]), 0)</f>
        <v>0</v>
      </c>
      <c r="AT300" s="17">
        <f>'Sampling Data'!AB300</f>
        <v>6.7900186725513498E-3</v>
      </c>
      <c r="AU300" s="17">
        <f>IF(
      SUM(Audit[[#This Row],[Audit Losing Candidate]:[Audit Candidate 12]])
      &lt;&gt;0,
      (Audit[[#This Row],[Winning Candidate]]-Audit[[#This Row],[Losing Candidate]]-(Audit[[#This Row],[Audit Winning Candidate]]-Audit[[#This Row],[Audit Losing Candidate]]))/(Audit[[#Totals],[Winning Candidate]]-Audit[[#Totals],[Losing Candidate]]),
      0
)</f>
        <v>0</v>
      </c>
      <c r="AV3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0" s="17">
        <f>IF(Audit[[#This Row],[Max Relative Error (ep)]] = 0, 0, Audit[[#This Row],[Max Relative Error (ep)]]/Audit[[#This Row],[Error Bound (up) - Max. possible relative overstatement]])</f>
        <v>0</v>
      </c>
      <c r="BH3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00" s="17">
        <f t="shared" si="5"/>
        <v>1</v>
      </c>
      <c r="BJ300" s="17">
        <f>PRODUCT($BI$5:BI300)</f>
        <v>0.51668056043826849</v>
      </c>
      <c r="BK300" s="19">
        <f>1 - Audit[[#This Row],[K-M P Value]]</f>
        <v>0.48331943956173151</v>
      </c>
      <c r="BL300" s="17" t="str">
        <f>IF(Audit[[#This Row],[K-M P Value]]&gt;1-'General Info'!$B$12,"Continue", "Stop")</f>
        <v>Continue</v>
      </c>
      <c r="BM300" s="22" t="b">
        <f>IF(Audit[[#This Row],[Status - Continue or stop audit]] = "Continue", TRUE, IF(BL299 = "Continue", TRUE, FALSE))</f>
        <v>1</v>
      </c>
      <c r="BN300" s="22"/>
    </row>
    <row r="301" spans="1:66" ht="15" hidden="1" customHeight="1" x14ac:dyDescent="0.35">
      <c r="A301" s="17" t="str">
        <f>'Sampling Data'!AI301</f>
        <v/>
      </c>
      <c r="B301" s="17" t="str">
        <f>'Sampling Data'!A301</f>
        <v>4941 SHAR 4-A   (AV)</v>
      </c>
      <c r="C301" s="17">
        <f>'Sampling Data'!B301</f>
        <v>153</v>
      </c>
      <c r="D301" s="17">
        <f>'Sampling Data'!C301</f>
        <v>187</v>
      </c>
      <c r="E301" s="18">
        <f>'Sampling Data'!D301</f>
        <v>0</v>
      </c>
      <c r="F301" s="18">
        <f>'Sampling Data'!E301</f>
        <v>0</v>
      </c>
      <c r="G301" s="18">
        <f>'Sampling Data'!F301</f>
        <v>0</v>
      </c>
      <c r="H301" s="18">
        <f>'Sampling Data'!G301</f>
        <v>0</v>
      </c>
      <c r="I301" s="18">
        <f>'Sampling Data'!H301</f>
        <v>0</v>
      </c>
      <c r="J301" s="18">
        <f>'Sampling Data'!I301</f>
        <v>0</v>
      </c>
      <c r="K301" s="18">
        <f>'Sampling Data'!J301</f>
        <v>0</v>
      </c>
      <c r="L301" s="18">
        <f>'Sampling Data'!K301</f>
        <v>0</v>
      </c>
      <c r="M301" s="18">
        <f>'Sampling Data'!L301</f>
        <v>0</v>
      </c>
      <c r="N301" s="18">
        <f>'Sampling Data'!M301</f>
        <v>0</v>
      </c>
      <c r="O301" s="17">
        <f>'Sampling Data'!N301</f>
        <v>1</v>
      </c>
      <c r="P301" s="17">
        <f>'Sampling Data'!O301</f>
        <v>20</v>
      </c>
      <c r="Q301" s="17">
        <f>'Sampling Data'!P301</f>
        <v>361</v>
      </c>
      <c r="R301" s="17">
        <f>'Sampling Data'!AJ301</f>
        <v>0</v>
      </c>
      <c r="S301" s="111"/>
      <c r="T301" s="111"/>
      <c r="U301" s="112"/>
      <c r="V301" s="112"/>
      <c r="W301" s="111"/>
      <c r="X301" s="111"/>
      <c r="Y301" s="111"/>
      <c r="Z301" s="111"/>
      <c r="AA301" s="14"/>
      <c r="AB301" s="14"/>
      <c r="AC301" s="14"/>
      <c r="AD301" s="14"/>
      <c r="AE301" s="113" t="str">
        <f>IF(NOT(ISBLANK(Audit[[#This Row],[Audit Winning Candidate]])), Audit[[#This Row],[Audit Winning Candidate]]-Audit[[#This Row],[Winning Candidate]], "")</f>
        <v/>
      </c>
      <c r="AF301" s="17" t="str">
        <f>IF(NOT(ISBLANK(Audit[[#This Row],[Audit Losing Candidate]])), Audit[[#This Row],[Audit Losing Candidate]]-Audit[[#This Row],[Losing Candidate]], "")</f>
        <v/>
      </c>
      <c r="AG301" s="17" t="str">
        <f>IF(NOT(ISBLANK(Audit[[#This Row],[Audit Candidate 3]])), Audit[[#This Row],[Audit Candidate 3]]-Audit[[#This Row],[Candidate 3]], "")</f>
        <v/>
      </c>
      <c r="AH301" s="17" t="str">
        <f>IF(NOT(ISBLANK(Audit[[#This Row],[Audit Candidate 4]])),Audit[[#This Row],[Audit Candidate 4]]-Audit[[#This Row],[Candidate 4]], "")</f>
        <v/>
      </c>
      <c r="AI301" s="17" t="str">
        <f>IF(NOT(ISBLANK(Audit[[#This Row],[Audit Candidate 5]])), Audit[[#This Row],[Audit Candidate 5]]-Audit[[#This Row],[Candidate 5]], "")</f>
        <v/>
      </c>
      <c r="AJ301" s="17" t="str">
        <f>IF(NOT(ISBLANK(Audit[[#This Row],[Audit Candidate 6]])), Audit[[#This Row],[Audit Candidate 6]]-Audit[[#This Row],[Candidate 6]], "")</f>
        <v/>
      </c>
      <c r="AK301" s="17" t="str">
        <f>IF(NOT(ISBLANK(Audit[[#This Row],[Audit Candidate 7]])), Audit[[#This Row],[Audit Candidate 7]]-Audit[[#This Row],[Candidate 7]], "")</f>
        <v/>
      </c>
      <c r="AL301" s="17" t="str">
        <f>IF(NOT(ISBLANK(Audit[[#This Row],[Audit Candidate 8]])), Audit[[#This Row],[Audit Candidate 8]]-Audit[[#This Row],[Candidate 8]], "")</f>
        <v/>
      </c>
      <c r="AM301" s="17" t="str">
        <f>IF(NOT(ISBLANK(Audit[[#This Row],[Audit Candidate 9]])), Audit[[#This Row],[Audit Candidate 9]]-Audit[[#This Row],[Candidate 9]], "")</f>
        <v/>
      </c>
      <c r="AN301" s="17" t="str">
        <f>IF(NOT(ISBLANK(Audit[[#This Row],[Audit Candidate 10]])), Audit[[#This Row],[Audit Candidate 10]]-Audit[[#This Row],[Candidate 10]], "")</f>
        <v/>
      </c>
      <c r="AO301" s="17" t="str">
        <f>IF(NOT(ISBLANK(Audit[[#This Row],[Audit Candidate 11]])), Audit[[#This Row],[Audit Candidate 11]]-Audit[[#This Row],[Candidate 11]], "")</f>
        <v/>
      </c>
      <c r="AP301" s="17" t="str">
        <f>IF(NOT(ISBLANK(Audit[[#This Row],[Audit Candidate 12]])), Audit[[#This Row],[Audit Candidate 12]]-Audit[[#This Row],[Candidate 12]], "")</f>
        <v/>
      </c>
      <c r="AQ301" s="17">
        <f>SUMIF(Audit[[#This Row],[Difference Winner]:[Difference Candidate 12]], "&gt;0")</f>
        <v>0</v>
      </c>
      <c r="AR301" s="17">
        <f>SUM(Audit[[#This Row],[Difference Winner]:[Difference Candidate 12]])</f>
        <v>0</v>
      </c>
      <c r="AS301" s="17">
        <f>IF(Audit[[#This Row],[Times p Drawn - With Replacement]]&gt;0, IF(Audit[[#This Row],[Canceled Differences]]&lt;0, Audit[[#This Row],[Max Differences]]+ABS(Audit[[#This Row],[Canceled Differences]]), Audit[[#This Row],[Max Differences]]), 0)</f>
        <v>0</v>
      </c>
      <c r="AT301" s="17">
        <f>'Sampling Data'!AB301</f>
        <v>1.387710066202682E-2</v>
      </c>
      <c r="AU301" s="17">
        <f>IF(
      SUM(Audit[[#This Row],[Audit Losing Candidate]:[Audit Candidate 12]])
      &lt;&gt;0,
      (Audit[[#This Row],[Winning Candidate]]-Audit[[#This Row],[Losing Candidate]]-(Audit[[#This Row],[Audit Winning Candidate]]-Audit[[#This Row],[Audit Losing Candidate]]))/(Audit[[#Totals],[Winning Candidate]]-Audit[[#Totals],[Losing Candidate]]),
      0
)</f>
        <v>0</v>
      </c>
      <c r="AV3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1" s="17">
        <f>IF(Audit[[#This Row],[Max Relative Error (ep)]] = 0, 0, Audit[[#This Row],[Max Relative Error (ep)]]/Audit[[#This Row],[Error Bound (up) - Max. possible relative overstatement]])</f>
        <v>0</v>
      </c>
      <c r="BH3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01" s="17">
        <f t="shared" si="5"/>
        <v>1</v>
      </c>
      <c r="BJ301" s="17">
        <f>PRODUCT($BI$5:BI301)</f>
        <v>0.51668056043826849</v>
      </c>
      <c r="BK301" s="19">
        <f>1 - Audit[[#This Row],[K-M P Value]]</f>
        <v>0.48331943956173151</v>
      </c>
      <c r="BL301" s="17" t="str">
        <f>IF(Audit[[#This Row],[K-M P Value]]&gt;1-'General Info'!$B$12,"Continue", "Stop")</f>
        <v>Continue</v>
      </c>
      <c r="BM301" s="22" t="b">
        <f>IF(Audit[[#This Row],[Status - Continue or stop audit]] = "Continue", TRUE, IF(BL300 = "Continue", TRUE, FALSE))</f>
        <v>1</v>
      </c>
      <c r="BN301" s="22"/>
    </row>
    <row r="302" spans="1:66" ht="15" hidden="1" customHeight="1" x14ac:dyDescent="0.35">
      <c r="A302" s="17" t="str">
        <f>'Sampling Data'!AI302</f>
        <v/>
      </c>
      <c r="B302" s="17" t="str">
        <f>'Sampling Data'!A302</f>
        <v>4942 SHAR 4-B   (AV)</v>
      </c>
      <c r="C302" s="17">
        <f>'Sampling Data'!B302</f>
        <v>193</v>
      </c>
      <c r="D302" s="17">
        <f>'Sampling Data'!C302</f>
        <v>190</v>
      </c>
      <c r="E302" s="18">
        <f>'Sampling Data'!D302</f>
        <v>0</v>
      </c>
      <c r="F302" s="18">
        <f>'Sampling Data'!E302</f>
        <v>0</v>
      </c>
      <c r="G302" s="18">
        <f>'Sampling Data'!F302</f>
        <v>0</v>
      </c>
      <c r="H302" s="18">
        <f>'Sampling Data'!G302</f>
        <v>0</v>
      </c>
      <c r="I302" s="18">
        <f>'Sampling Data'!H302</f>
        <v>0</v>
      </c>
      <c r="J302" s="18">
        <f>'Sampling Data'!I302</f>
        <v>0</v>
      </c>
      <c r="K302" s="18">
        <f>'Sampling Data'!J302</f>
        <v>0</v>
      </c>
      <c r="L302" s="18">
        <f>'Sampling Data'!K302</f>
        <v>0</v>
      </c>
      <c r="M302" s="18">
        <f>'Sampling Data'!L302</f>
        <v>0</v>
      </c>
      <c r="N302" s="18">
        <f>'Sampling Data'!M302</f>
        <v>0</v>
      </c>
      <c r="O302" s="17">
        <f>'Sampling Data'!N302</f>
        <v>0</v>
      </c>
      <c r="P302" s="17">
        <f>'Sampling Data'!O302</f>
        <v>28</v>
      </c>
      <c r="Q302" s="17">
        <f>'Sampling Data'!P302</f>
        <v>411</v>
      </c>
      <c r="R302" s="17">
        <f>'Sampling Data'!AJ302</f>
        <v>0</v>
      </c>
      <c r="S302" s="111"/>
      <c r="T302" s="111"/>
      <c r="U302" s="112"/>
      <c r="V302" s="112"/>
      <c r="W302" s="111"/>
      <c r="X302" s="111"/>
      <c r="Y302" s="111"/>
      <c r="Z302" s="111"/>
      <c r="AA302" s="14"/>
      <c r="AB302" s="14"/>
      <c r="AC302" s="14"/>
      <c r="AD302" s="14"/>
      <c r="AE302" s="113" t="str">
        <f>IF(NOT(ISBLANK(Audit[[#This Row],[Audit Winning Candidate]])), Audit[[#This Row],[Audit Winning Candidate]]-Audit[[#This Row],[Winning Candidate]], "")</f>
        <v/>
      </c>
      <c r="AF302" s="17" t="str">
        <f>IF(NOT(ISBLANK(Audit[[#This Row],[Audit Losing Candidate]])), Audit[[#This Row],[Audit Losing Candidate]]-Audit[[#This Row],[Losing Candidate]], "")</f>
        <v/>
      </c>
      <c r="AG302" s="17" t="str">
        <f>IF(NOT(ISBLANK(Audit[[#This Row],[Audit Candidate 3]])), Audit[[#This Row],[Audit Candidate 3]]-Audit[[#This Row],[Candidate 3]], "")</f>
        <v/>
      </c>
      <c r="AH302" s="17" t="str">
        <f>IF(NOT(ISBLANK(Audit[[#This Row],[Audit Candidate 4]])),Audit[[#This Row],[Audit Candidate 4]]-Audit[[#This Row],[Candidate 4]], "")</f>
        <v/>
      </c>
      <c r="AI302" s="17" t="str">
        <f>IF(NOT(ISBLANK(Audit[[#This Row],[Audit Candidate 5]])), Audit[[#This Row],[Audit Candidate 5]]-Audit[[#This Row],[Candidate 5]], "")</f>
        <v/>
      </c>
      <c r="AJ302" s="17" t="str">
        <f>IF(NOT(ISBLANK(Audit[[#This Row],[Audit Candidate 6]])), Audit[[#This Row],[Audit Candidate 6]]-Audit[[#This Row],[Candidate 6]], "")</f>
        <v/>
      </c>
      <c r="AK302" s="17" t="str">
        <f>IF(NOT(ISBLANK(Audit[[#This Row],[Audit Candidate 7]])), Audit[[#This Row],[Audit Candidate 7]]-Audit[[#This Row],[Candidate 7]], "")</f>
        <v/>
      </c>
      <c r="AL302" s="17" t="str">
        <f>IF(NOT(ISBLANK(Audit[[#This Row],[Audit Candidate 8]])), Audit[[#This Row],[Audit Candidate 8]]-Audit[[#This Row],[Candidate 8]], "")</f>
        <v/>
      </c>
      <c r="AM302" s="17" t="str">
        <f>IF(NOT(ISBLANK(Audit[[#This Row],[Audit Candidate 9]])), Audit[[#This Row],[Audit Candidate 9]]-Audit[[#This Row],[Candidate 9]], "")</f>
        <v/>
      </c>
      <c r="AN302" s="17" t="str">
        <f>IF(NOT(ISBLANK(Audit[[#This Row],[Audit Candidate 10]])), Audit[[#This Row],[Audit Candidate 10]]-Audit[[#This Row],[Candidate 10]], "")</f>
        <v/>
      </c>
      <c r="AO302" s="17" t="str">
        <f>IF(NOT(ISBLANK(Audit[[#This Row],[Audit Candidate 11]])), Audit[[#This Row],[Audit Candidate 11]]-Audit[[#This Row],[Candidate 11]], "")</f>
        <v/>
      </c>
      <c r="AP302" s="17" t="str">
        <f>IF(NOT(ISBLANK(Audit[[#This Row],[Audit Candidate 12]])), Audit[[#This Row],[Audit Candidate 12]]-Audit[[#This Row],[Candidate 12]], "")</f>
        <v/>
      </c>
      <c r="AQ302" s="17">
        <f>SUMIF(Audit[[#This Row],[Difference Winner]:[Difference Candidate 12]], "&gt;0")</f>
        <v>0</v>
      </c>
      <c r="AR302" s="17">
        <f>SUM(Audit[[#This Row],[Difference Winner]:[Difference Candidate 12]])</f>
        <v>0</v>
      </c>
      <c r="AS302" s="17">
        <f>IF(Audit[[#This Row],[Times p Drawn - With Replacement]]&gt;0, IF(Audit[[#This Row],[Canceled Differences]]&lt;0, Audit[[#This Row],[Max Differences]]+ABS(Audit[[#This Row],[Canceled Differences]]), Audit[[#This Row],[Max Differences]]), 0)</f>
        <v>0</v>
      </c>
      <c r="AT302" s="17">
        <f>'Sampling Data'!AB302</f>
        <v>1.7569173315226616E-2</v>
      </c>
      <c r="AU302" s="17">
        <f>IF(
      SUM(Audit[[#This Row],[Audit Losing Candidate]:[Audit Candidate 12]])
      &lt;&gt;0,
      (Audit[[#This Row],[Winning Candidate]]-Audit[[#This Row],[Losing Candidate]]-(Audit[[#This Row],[Audit Winning Candidate]]-Audit[[#This Row],[Audit Losing Candidate]]))/(Audit[[#Totals],[Winning Candidate]]-Audit[[#Totals],[Losing Candidate]]),
      0
)</f>
        <v>0</v>
      </c>
      <c r="AV3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2" s="17">
        <f>IF(Audit[[#This Row],[Max Relative Error (ep)]] = 0, 0, Audit[[#This Row],[Max Relative Error (ep)]]/Audit[[#This Row],[Error Bound (up) - Max. possible relative overstatement]])</f>
        <v>0</v>
      </c>
      <c r="BH3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02" s="17">
        <f t="shared" si="5"/>
        <v>1</v>
      </c>
      <c r="BJ302" s="17">
        <f>PRODUCT($BI$5:BI302)</f>
        <v>0.51668056043826849</v>
      </c>
      <c r="BK302" s="19">
        <f>1 - Audit[[#This Row],[K-M P Value]]</f>
        <v>0.48331943956173151</v>
      </c>
      <c r="BL302" s="17" t="str">
        <f>IF(Audit[[#This Row],[K-M P Value]]&gt;1-'General Info'!$B$12,"Continue", "Stop")</f>
        <v>Continue</v>
      </c>
      <c r="BM302" s="22" t="b">
        <f>IF(Audit[[#This Row],[Status - Continue or stop audit]] = "Continue", TRUE, IF(BL301 = "Continue", TRUE, FALSE))</f>
        <v>1</v>
      </c>
      <c r="BN302" s="22"/>
    </row>
    <row r="303" spans="1:66" ht="15" hidden="1" customHeight="1" x14ac:dyDescent="0.35">
      <c r="A303" s="17" t="str">
        <f>'Sampling Data'!AI303</f>
        <v/>
      </c>
      <c r="B303" s="17" t="str">
        <f>'Sampling Data'!A303</f>
        <v>5201 SPDALE A   (AV)</v>
      </c>
      <c r="C303" s="17">
        <f>'Sampling Data'!B303</f>
        <v>157</v>
      </c>
      <c r="D303" s="17">
        <f>'Sampling Data'!C303</f>
        <v>46</v>
      </c>
      <c r="E303" s="18">
        <f>'Sampling Data'!D303</f>
        <v>0</v>
      </c>
      <c r="F303" s="18">
        <f>'Sampling Data'!E303</f>
        <v>0</v>
      </c>
      <c r="G303" s="18">
        <f>'Sampling Data'!F303</f>
        <v>0</v>
      </c>
      <c r="H303" s="18">
        <f>'Sampling Data'!G303</f>
        <v>0</v>
      </c>
      <c r="I303" s="18">
        <f>'Sampling Data'!H303</f>
        <v>0</v>
      </c>
      <c r="J303" s="18">
        <f>'Sampling Data'!I303</f>
        <v>0</v>
      </c>
      <c r="K303" s="18">
        <f>'Sampling Data'!J303</f>
        <v>0</v>
      </c>
      <c r="L303" s="18">
        <f>'Sampling Data'!K303</f>
        <v>0</v>
      </c>
      <c r="M303" s="18">
        <f>'Sampling Data'!L303</f>
        <v>0</v>
      </c>
      <c r="N303" s="18">
        <f>'Sampling Data'!M303</f>
        <v>0</v>
      </c>
      <c r="O303" s="17">
        <f>'Sampling Data'!N303</f>
        <v>0</v>
      </c>
      <c r="P303" s="17">
        <f>'Sampling Data'!O303</f>
        <v>10</v>
      </c>
      <c r="Q303" s="17">
        <f>'Sampling Data'!P303</f>
        <v>213</v>
      </c>
      <c r="R303" s="17">
        <f>'Sampling Data'!AJ303</f>
        <v>0</v>
      </c>
      <c r="S303" s="111"/>
      <c r="T303" s="111"/>
      <c r="U303" s="112"/>
      <c r="V303" s="112"/>
      <c r="W303" s="111"/>
      <c r="X303" s="111"/>
      <c r="Y303" s="111"/>
      <c r="Z303" s="111"/>
      <c r="AA303" s="14"/>
      <c r="AB303" s="14"/>
      <c r="AC303" s="14"/>
      <c r="AD303" s="14"/>
      <c r="AE303" s="113" t="str">
        <f>IF(NOT(ISBLANK(Audit[[#This Row],[Audit Winning Candidate]])), Audit[[#This Row],[Audit Winning Candidate]]-Audit[[#This Row],[Winning Candidate]], "")</f>
        <v/>
      </c>
      <c r="AF303" s="17" t="str">
        <f>IF(NOT(ISBLANK(Audit[[#This Row],[Audit Losing Candidate]])), Audit[[#This Row],[Audit Losing Candidate]]-Audit[[#This Row],[Losing Candidate]], "")</f>
        <v/>
      </c>
      <c r="AG303" s="17" t="str">
        <f>IF(NOT(ISBLANK(Audit[[#This Row],[Audit Candidate 3]])), Audit[[#This Row],[Audit Candidate 3]]-Audit[[#This Row],[Candidate 3]], "")</f>
        <v/>
      </c>
      <c r="AH303" s="17" t="str">
        <f>IF(NOT(ISBLANK(Audit[[#This Row],[Audit Candidate 4]])),Audit[[#This Row],[Audit Candidate 4]]-Audit[[#This Row],[Candidate 4]], "")</f>
        <v/>
      </c>
      <c r="AI303" s="17" t="str">
        <f>IF(NOT(ISBLANK(Audit[[#This Row],[Audit Candidate 5]])), Audit[[#This Row],[Audit Candidate 5]]-Audit[[#This Row],[Candidate 5]], "")</f>
        <v/>
      </c>
      <c r="AJ303" s="17" t="str">
        <f>IF(NOT(ISBLANK(Audit[[#This Row],[Audit Candidate 6]])), Audit[[#This Row],[Audit Candidate 6]]-Audit[[#This Row],[Candidate 6]], "")</f>
        <v/>
      </c>
      <c r="AK303" s="17" t="str">
        <f>IF(NOT(ISBLANK(Audit[[#This Row],[Audit Candidate 7]])), Audit[[#This Row],[Audit Candidate 7]]-Audit[[#This Row],[Candidate 7]], "")</f>
        <v/>
      </c>
      <c r="AL303" s="17" t="str">
        <f>IF(NOT(ISBLANK(Audit[[#This Row],[Audit Candidate 8]])), Audit[[#This Row],[Audit Candidate 8]]-Audit[[#This Row],[Candidate 8]], "")</f>
        <v/>
      </c>
      <c r="AM303" s="17" t="str">
        <f>IF(NOT(ISBLANK(Audit[[#This Row],[Audit Candidate 9]])), Audit[[#This Row],[Audit Candidate 9]]-Audit[[#This Row],[Candidate 9]], "")</f>
        <v/>
      </c>
      <c r="AN303" s="17" t="str">
        <f>IF(NOT(ISBLANK(Audit[[#This Row],[Audit Candidate 10]])), Audit[[#This Row],[Audit Candidate 10]]-Audit[[#This Row],[Candidate 10]], "")</f>
        <v/>
      </c>
      <c r="AO303" s="17" t="str">
        <f>IF(NOT(ISBLANK(Audit[[#This Row],[Audit Candidate 11]])), Audit[[#This Row],[Audit Candidate 11]]-Audit[[#This Row],[Candidate 11]], "")</f>
        <v/>
      </c>
      <c r="AP303" s="17" t="str">
        <f>IF(NOT(ISBLANK(Audit[[#This Row],[Audit Candidate 12]])), Audit[[#This Row],[Audit Candidate 12]]-Audit[[#This Row],[Candidate 12]], "")</f>
        <v/>
      </c>
      <c r="AQ303" s="17">
        <f>SUMIF(Audit[[#This Row],[Difference Winner]:[Difference Candidate 12]], "&gt;0")</f>
        <v>0</v>
      </c>
      <c r="AR303" s="17">
        <f>SUM(Audit[[#This Row],[Difference Winner]:[Difference Candidate 12]])</f>
        <v>0</v>
      </c>
      <c r="AS303" s="17">
        <f>IF(Audit[[#This Row],[Times p Drawn - With Replacement]]&gt;0, IF(Audit[[#This Row],[Canceled Differences]]&lt;0, Audit[[#This Row],[Max Differences]]+ABS(Audit[[#This Row],[Canceled Differences]]), Audit[[#This Row],[Max Differences]]), 0)</f>
        <v>0</v>
      </c>
      <c r="AT303" s="17">
        <f>'Sampling Data'!AB303</f>
        <v>1.3749787811916483E-2</v>
      </c>
      <c r="AU303" s="17">
        <f>IF(
      SUM(Audit[[#This Row],[Audit Losing Candidate]:[Audit Candidate 12]])
      &lt;&gt;0,
      (Audit[[#This Row],[Winning Candidate]]-Audit[[#This Row],[Losing Candidate]]-(Audit[[#This Row],[Audit Winning Candidate]]-Audit[[#This Row],[Audit Losing Candidate]]))/(Audit[[#Totals],[Winning Candidate]]-Audit[[#Totals],[Losing Candidate]]),
      0
)</f>
        <v>0</v>
      </c>
      <c r="AV3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3" s="17">
        <f>IF(Audit[[#This Row],[Max Relative Error (ep)]] = 0, 0, Audit[[#This Row],[Max Relative Error (ep)]]/Audit[[#This Row],[Error Bound (up) - Max. possible relative overstatement]])</f>
        <v>0</v>
      </c>
      <c r="BH3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03" s="17">
        <f t="shared" si="5"/>
        <v>1</v>
      </c>
      <c r="BJ303" s="17">
        <f>PRODUCT($BI$5:BI303)</f>
        <v>0.51668056043826849</v>
      </c>
      <c r="BK303" s="19">
        <f>1 - Audit[[#This Row],[K-M P Value]]</f>
        <v>0.48331943956173151</v>
      </c>
      <c r="BL303" s="17" t="str">
        <f>IF(Audit[[#This Row],[K-M P Value]]&gt;1-'General Info'!$B$12,"Continue", "Stop")</f>
        <v>Continue</v>
      </c>
      <c r="BM303" s="22" t="b">
        <f>IF(Audit[[#This Row],[Status - Continue or stop audit]] = "Continue", TRUE, IF(BL302 = "Continue", TRUE, FALSE))</f>
        <v>1</v>
      </c>
      <c r="BN303" s="22"/>
    </row>
    <row r="304" spans="1:66" ht="15" hidden="1" customHeight="1" x14ac:dyDescent="0.35">
      <c r="A304" s="17" t="str">
        <f>'Sampling Data'!AI304</f>
        <v/>
      </c>
      <c r="B304" s="17" t="str">
        <f>'Sampling Data'!A304</f>
        <v>5202 SPDALE B   (AV)</v>
      </c>
      <c r="C304" s="17">
        <f>'Sampling Data'!B304</f>
        <v>193</v>
      </c>
      <c r="D304" s="17">
        <f>'Sampling Data'!C304</f>
        <v>90</v>
      </c>
      <c r="E304" s="18">
        <f>'Sampling Data'!D304</f>
        <v>0</v>
      </c>
      <c r="F304" s="18">
        <f>'Sampling Data'!E304</f>
        <v>0</v>
      </c>
      <c r="G304" s="18">
        <f>'Sampling Data'!F304</f>
        <v>0</v>
      </c>
      <c r="H304" s="18">
        <f>'Sampling Data'!G304</f>
        <v>0</v>
      </c>
      <c r="I304" s="18">
        <f>'Sampling Data'!H304</f>
        <v>0</v>
      </c>
      <c r="J304" s="18">
        <f>'Sampling Data'!I304</f>
        <v>0</v>
      </c>
      <c r="K304" s="18">
        <f>'Sampling Data'!J304</f>
        <v>0</v>
      </c>
      <c r="L304" s="18">
        <f>'Sampling Data'!K304</f>
        <v>0</v>
      </c>
      <c r="M304" s="18">
        <f>'Sampling Data'!L304</f>
        <v>0</v>
      </c>
      <c r="N304" s="18">
        <f>'Sampling Data'!M304</f>
        <v>0</v>
      </c>
      <c r="O304" s="17">
        <f>'Sampling Data'!N304</f>
        <v>0</v>
      </c>
      <c r="P304" s="17">
        <f>'Sampling Data'!O304</f>
        <v>12</v>
      </c>
      <c r="Q304" s="17">
        <f>'Sampling Data'!P304</f>
        <v>295</v>
      </c>
      <c r="R304" s="17">
        <f>'Sampling Data'!AJ304</f>
        <v>0</v>
      </c>
      <c r="S304" s="111"/>
      <c r="T304" s="111"/>
      <c r="U304" s="112"/>
      <c r="V304" s="112"/>
      <c r="W304" s="111"/>
      <c r="X304" s="111"/>
      <c r="Y304" s="111"/>
      <c r="Z304" s="111"/>
      <c r="AA304" s="14"/>
      <c r="AB304" s="14"/>
      <c r="AC304" s="14"/>
      <c r="AD304" s="14"/>
      <c r="AE304" s="113" t="str">
        <f>IF(NOT(ISBLANK(Audit[[#This Row],[Audit Winning Candidate]])), Audit[[#This Row],[Audit Winning Candidate]]-Audit[[#This Row],[Winning Candidate]], "")</f>
        <v/>
      </c>
      <c r="AF304" s="17" t="str">
        <f>IF(NOT(ISBLANK(Audit[[#This Row],[Audit Losing Candidate]])), Audit[[#This Row],[Audit Losing Candidate]]-Audit[[#This Row],[Losing Candidate]], "")</f>
        <v/>
      </c>
      <c r="AG304" s="17" t="str">
        <f>IF(NOT(ISBLANK(Audit[[#This Row],[Audit Candidate 3]])), Audit[[#This Row],[Audit Candidate 3]]-Audit[[#This Row],[Candidate 3]], "")</f>
        <v/>
      </c>
      <c r="AH304" s="17" t="str">
        <f>IF(NOT(ISBLANK(Audit[[#This Row],[Audit Candidate 4]])),Audit[[#This Row],[Audit Candidate 4]]-Audit[[#This Row],[Candidate 4]], "")</f>
        <v/>
      </c>
      <c r="AI304" s="17" t="str">
        <f>IF(NOT(ISBLANK(Audit[[#This Row],[Audit Candidate 5]])), Audit[[#This Row],[Audit Candidate 5]]-Audit[[#This Row],[Candidate 5]], "")</f>
        <v/>
      </c>
      <c r="AJ304" s="17" t="str">
        <f>IF(NOT(ISBLANK(Audit[[#This Row],[Audit Candidate 6]])), Audit[[#This Row],[Audit Candidate 6]]-Audit[[#This Row],[Candidate 6]], "")</f>
        <v/>
      </c>
      <c r="AK304" s="17" t="str">
        <f>IF(NOT(ISBLANK(Audit[[#This Row],[Audit Candidate 7]])), Audit[[#This Row],[Audit Candidate 7]]-Audit[[#This Row],[Candidate 7]], "")</f>
        <v/>
      </c>
      <c r="AL304" s="17" t="str">
        <f>IF(NOT(ISBLANK(Audit[[#This Row],[Audit Candidate 8]])), Audit[[#This Row],[Audit Candidate 8]]-Audit[[#This Row],[Candidate 8]], "")</f>
        <v/>
      </c>
      <c r="AM304" s="17" t="str">
        <f>IF(NOT(ISBLANK(Audit[[#This Row],[Audit Candidate 9]])), Audit[[#This Row],[Audit Candidate 9]]-Audit[[#This Row],[Candidate 9]], "")</f>
        <v/>
      </c>
      <c r="AN304" s="17" t="str">
        <f>IF(NOT(ISBLANK(Audit[[#This Row],[Audit Candidate 10]])), Audit[[#This Row],[Audit Candidate 10]]-Audit[[#This Row],[Candidate 10]], "")</f>
        <v/>
      </c>
      <c r="AO304" s="17" t="str">
        <f>IF(NOT(ISBLANK(Audit[[#This Row],[Audit Candidate 11]])), Audit[[#This Row],[Audit Candidate 11]]-Audit[[#This Row],[Candidate 11]], "")</f>
        <v/>
      </c>
      <c r="AP304" s="17" t="str">
        <f>IF(NOT(ISBLANK(Audit[[#This Row],[Audit Candidate 12]])), Audit[[#This Row],[Audit Candidate 12]]-Audit[[#This Row],[Candidate 12]], "")</f>
        <v/>
      </c>
      <c r="AQ304" s="17">
        <f>SUMIF(Audit[[#This Row],[Difference Winner]:[Difference Candidate 12]], "&gt;0")</f>
        <v>0</v>
      </c>
      <c r="AR304" s="17">
        <f>SUM(Audit[[#This Row],[Difference Winner]:[Difference Candidate 12]])</f>
        <v>0</v>
      </c>
      <c r="AS304" s="17">
        <f>IF(Audit[[#This Row],[Times p Drawn - With Replacement]]&gt;0, IF(Audit[[#This Row],[Canceled Differences]]&lt;0, Audit[[#This Row],[Max Differences]]+ABS(Audit[[#This Row],[Canceled Differences]]), Audit[[#This Row],[Max Differences]]), 0)</f>
        <v>0</v>
      </c>
      <c r="AT304" s="17">
        <f>'Sampling Data'!AB304</f>
        <v>1.6890171447971482E-2</v>
      </c>
      <c r="AU304" s="17">
        <f>IF(
      SUM(Audit[[#This Row],[Audit Losing Candidate]:[Audit Candidate 12]])
      &lt;&gt;0,
      (Audit[[#This Row],[Winning Candidate]]-Audit[[#This Row],[Losing Candidate]]-(Audit[[#This Row],[Audit Winning Candidate]]-Audit[[#This Row],[Audit Losing Candidate]]))/(Audit[[#Totals],[Winning Candidate]]-Audit[[#Totals],[Losing Candidate]]),
      0
)</f>
        <v>0</v>
      </c>
      <c r="AV3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4" s="17">
        <f>IF(Audit[[#This Row],[Max Relative Error (ep)]] = 0, 0, Audit[[#This Row],[Max Relative Error (ep)]]/Audit[[#This Row],[Error Bound (up) - Max. possible relative overstatement]])</f>
        <v>0</v>
      </c>
      <c r="BH3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04" s="17">
        <f t="shared" si="5"/>
        <v>1</v>
      </c>
      <c r="BJ304" s="17">
        <f>PRODUCT($BI$5:BI304)</f>
        <v>0.51668056043826849</v>
      </c>
      <c r="BK304" s="19">
        <f>1 - Audit[[#This Row],[K-M P Value]]</f>
        <v>0.48331943956173151</v>
      </c>
      <c r="BL304" s="17" t="str">
        <f>IF(Audit[[#This Row],[K-M P Value]]&gt;1-'General Info'!$B$12,"Continue", "Stop")</f>
        <v>Continue</v>
      </c>
      <c r="BM304" s="22" t="b">
        <f>IF(Audit[[#This Row],[Status - Continue or stop audit]] = "Continue", TRUE, IF(BL303 = "Continue", TRUE, FALSE))</f>
        <v>1</v>
      </c>
      <c r="BN304" s="22"/>
    </row>
    <row r="305" spans="1:66" ht="15" hidden="1" customHeight="1" x14ac:dyDescent="0.35">
      <c r="A305" s="17" t="str">
        <f>'Sampling Data'!AI305</f>
        <v/>
      </c>
      <c r="B305" s="17" t="str">
        <f>'Sampling Data'!A305</f>
        <v>5203 SPDALE C   (AV)</v>
      </c>
      <c r="C305" s="17">
        <f>'Sampling Data'!B305</f>
        <v>180</v>
      </c>
      <c r="D305" s="17">
        <f>'Sampling Data'!C305</f>
        <v>153</v>
      </c>
      <c r="E305" s="18">
        <f>'Sampling Data'!D305</f>
        <v>0</v>
      </c>
      <c r="F305" s="18">
        <f>'Sampling Data'!E305</f>
        <v>0</v>
      </c>
      <c r="G305" s="18">
        <f>'Sampling Data'!F305</f>
        <v>0</v>
      </c>
      <c r="H305" s="18">
        <f>'Sampling Data'!G305</f>
        <v>0</v>
      </c>
      <c r="I305" s="18">
        <f>'Sampling Data'!H305</f>
        <v>0</v>
      </c>
      <c r="J305" s="18">
        <f>'Sampling Data'!I305</f>
        <v>0</v>
      </c>
      <c r="K305" s="18">
        <f>'Sampling Data'!J305</f>
        <v>0</v>
      </c>
      <c r="L305" s="18">
        <f>'Sampling Data'!K305</f>
        <v>0</v>
      </c>
      <c r="M305" s="18">
        <f>'Sampling Data'!L305</f>
        <v>0</v>
      </c>
      <c r="N305" s="18">
        <f>'Sampling Data'!M305</f>
        <v>0</v>
      </c>
      <c r="O305" s="17">
        <f>'Sampling Data'!N305</f>
        <v>0</v>
      </c>
      <c r="P305" s="17">
        <f>'Sampling Data'!O305</f>
        <v>21</v>
      </c>
      <c r="Q305" s="17">
        <f>'Sampling Data'!P305</f>
        <v>354</v>
      </c>
      <c r="R305" s="17">
        <f>'Sampling Data'!AJ305</f>
        <v>0</v>
      </c>
      <c r="S305" s="111"/>
      <c r="T305" s="111"/>
      <c r="U305" s="112"/>
      <c r="V305" s="112"/>
      <c r="W305" s="111"/>
      <c r="X305" s="111"/>
      <c r="Y305" s="111"/>
      <c r="Z305" s="111"/>
      <c r="AA305" s="14"/>
      <c r="AB305" s="14"/>
      <c r="AC305" s="14"/>
      <c r="AD305" s="14"/>
      <c r="AE305" s="113" t="str">
        <f>IF(NOT(ISBLANK(Audit[[#This Row],[Audit Winning Candidate]])), Audit[[#This Row],[Audit Winning Candidate]]-Audit[[#This Row],[Winning Candidate]], "")</f>
        <v/>
      </c>
      <c r="AF305" s="17" t="str">
        <f>IF(NOT(ISBLANK(Audit[[#This Row],[Audit Losing Candidate]])), Audit[[#This Row],[Audit Losing Candidate]]-Audit[[#This Row],[Losing Candidate]], "")</f>
        <v/>
      </c>
      <c r="AG305" s="17" t="str">
        <f>IF(NOT(ISBLANK(Audit[[#This Row],[Audit Candidate 3]])), Audit[[#This Row],[Audit Candidate 3]]-Audit[[#This Row],[Candidate 3]], "")</f>
        <v/>
      </c>
      <c r="AH305" s="17" t="str">
        <f>IF(NOT(ISBLANK(Audit[[#This Row],[Audit Candidate 4]])),Audit[[#This Row],[Audit Candidate 4]]-Audit[[#This Row],[Candidate 4]], "")</f>
        <v/>
      </c>
      <c r="AI305" s="17" t="str">
        <f>IF(NOT(ISBLANK(Audit[[#This Row],[Audit Candidate 5]])), Audit[[#This Row],[Audit Candidate 5]]-Audit[[#This Row],[Candidate 5]], "")</f>
        <v/>
      </c>
      <c r="AJ305" s="17" t="str">
        <f>IF(NOT(ISBLANK(Audit[[#This Row],[Audit Candidate 6]])), Audit[[#This Row],[Audit Candidate 6]]-Audit[[#This Row],[Candidate 6]], "")</f>
        <v/>
      </c>
      <c r="AK305" s="17" t="str">
        <f>IF(NOT(ISBLANK(Audit[[#This Row],[Audit Candidate 7]])), Audit[[#This Row],[Audit Candidate 7]]-Audit[[#This Row],[Candidate 7]], "")</f>
        <v/>
      </c>
      <c r="AL305" s="17" t="str">
        <f>IF(NOT(ISBLANK(Audit[[#This Row],[Audit Candidate 8]])), Audit[[#This Row],[Audit Candidate 8]]-Audit[[#This Row],[Candidate 8]], "")</f>
        <v/>
      </c>
      <c r="AM305" s="17" t="str">
        <f>IF(NOT(ISBLANK(Audit[[#This Row],[Audit Candidate 9]])), Audit[[#This Row],[Audit Candidate 9]]-Audit[[#This Row],[Candidate 9]], "")</f>
        <v/>
      </c>
      <c r="AN305" s="17" t="str">
        <f>IF(NOT(ISBLANK(Audit[[#This Row],[Audit Candidate 10]])), Audit[[#This Row],[Audit Candidate 10]]-Audit[[#This Row],[Candidate 10]], "")</f>
        <v/>
      </c>
      <c r="AO305" s="17" t="str">
        <f>IF(NOT(ISBLANK(Audit[[#This Row],[Audit Candidate 11]])), Audit[[#This Row],[Audit Candidate 11]]-Audit[[#This Row],[Candidate 11]], "")</f>
        <v/>
      </c>
      <c r="AP305" s="17" t="str">
        <f>IF(NOT(ISBLANK(Audit[[#This Row],[Audit Candidate 12]])), Audit[[#This Row],[Audit Candidate 12]]-Audit[[#This Row],[Candidate 12]], "")</f>
        <v/>
      </c>
      <c r="AQ305" s="17">
        <f>SUMIF(Audit[[#This Row],[Difference Winner]:[Difference Candidate 12]], "&gt;0")</f>
        <v>0</v>
      </c>
      <c r="AR305" s="17">
        <f>SUM(Audit[[#This Row],[Difference Winner]:[Difference Candidate 12]])</f>
        <v>0</v>
      </c>
      <c r="AS305" s="17">
        <f>IF(Audit[[#This Row],[Times p Drawn - With Replacement]]&gt;0, IF(Audit[[#This Row],[Canceled Differences]]&lt;0, Audit[[#This Row],[Max Differences]]+ABS(Audit[[#This Row],[Canceled Differences]]), Audit[[#This Row],[Max Differences]]), 0)</f>
        <v>0</v>
      </c>
      <c r="AT305" s="17">
        <f>'Sampling Data'!AB305</f>
        <v>1.6168731964012899E-2</v>
      </c>
      <c r="AU305" s="17">
        <f>IF(
      SUM(Audit[[#This Row],[Audit Losing Candidate]:[Audit Candidate 12]])
      &lt;&gt;0,
      (Audit[[#This Row],[Winning Candidate]]-Audit[[#This Row],[Losing Candidate]]-(Audit[[#This Row],[Audit Winning Candidate]]-Audit[[#This Row],[Audit Losing Candidate]]))/(Audit[[#Totals],[Winning Candidate]]-Audit[[#Totals],[Losing Candidate]]),
      0
)</f>
        <v>0</v>
      </c>
      <c r="AV3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5" s="17">
        <f>IF(Audit[[#This Row],[Max Relative Error (ep)]] = 0, 0, Audit[[#This Row],[Max Relative Error (ep)]]/Audit[[#This Row],[Error Bound (up) - Max. possible relative overstatement]])</f>
        <v>0</v>
      </c>
      <c r="BH3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05" s="17">
        <f t="shared" si="5"/>
        <v>1</v>
      </c>
      <c r="BJ305" s="17">
        <f>PRODUCT($BI$5:BI305)</f>
        <v>0.51668056043826849</v>
      </c>
      <c r="BK305" s="19">
        <f>1 - Audit[[#This Row],[K-M P Value]]</f>
        <v>0.48331943956173151</v>
      </c>
      <c r="BL305" s="17" t="str">
        <f>IF(Audit[[#This Row],[K-M P Value]]&gt;1-'General Info'!$B$12,"Continue", "Stop")</f>
        <v>Continue</v>
      </c>
      <c r="BM305" s="22" t="b">
        <f>IF(Audit[[#This Row],[Status - Continue or stop audit]] = "Continue", TRUE, IF(BL304 = "Continue", TRUE, FALSE))</f>
        <v>1</v>
      </c>
      <c r="BN305" s="22"/>
    </row>
    <row r="306" spans="1:66" ht="15" hidden="1" customHeight="1" x14ac:dyDescent="0.35">
      <c r="A306" s="17" t="str">
        <f>'Sampling Data'!AI306</f>
        <v/>
      </c>
      <c r="B306" s="17" t="str">
        <f>'Sampling Data'!A306</f>
        <v>5204 SPDALE D   (AV)</v>
      </c>
      <c r="C306" s="17">
        <f>'Sampling Data'!B306</f>
        <v>80</v>
      </c>
      <c r="D306" s="17">
        <f>'Sampling Data'!C306</f>
        <v>77</v>
      </c>
      <c r="E306" s="18">
        <f>'Sampling Data'!D306</f>
        <v>0</v>
      </c>
      <c r="F306" s="18">
        <f>'Sampling Data'!E306</f>
        <v>0</v>
      </c>
      <c r="G306" s="18">
        <f>'Sampling Data'!F306</f>
        <v>0</v>
      </c>
      <c r="H306" s="18">
        <f>'Sampling Data'!G306</f>
        <v>0</v>
      </c>
      <c r="I306" s="18">
        <f>'Sampling Data'!H306</f>
        <v>0</v>
      </c>
      <c r="J306" s="18">
        <f>'Sampling Data'!I306</f>
        <v>0</v>
      </c>
      <c r="K306" s="18">
        <f>'Sampling Data'!J306</f>
        <v>0</v>
      </c>
      <c r="L306" s="18">
        <f>'Sampling Data'!K306</f>
        <v>0</v>
      </c>
      <c r="M306" s="18">
        <f>'Sampling Data'!L306</f>
        <v>0</v>
      </c>
      <c r="N306" s="18">
        <f>'Sampling Data'!M306</f>
        <v>0</v>
      </c>
      <c r="O306" s="17">
        <f>'Sampling Data'!N306</f>
        <v>0</v>
      </c>
      <c r="P306" s="17">
        <f>'Sampling Data'!O306</f>
        <v>4</v>
      </c>
      <c r="Q306" s="17">
        <f>'Sampling Data'!P306</f>
        <v>161</v>
      </c>
      <c r="R306" s="17">
        <f>'Sampling Data'!AJ306</f>
        <v>0</v>
      </c>
      <c r="S306" s="111"/>
      <c r="T306" s="111"/>
      <c r="U306" s="112"/>
      <c r="V306" s="112"/>
      <c r="W306" s="111"/>
      <c r="X306" s="111"/>
      <c r="Y306" s="111"/>
      <c r="Z306" s="111"/>
      <c r="AA306" s="14"/>
      <c r="AB306" s="14"/>
      <c r="AC306" s="14"/>
      <c r="AD306" s="14"/>
      <c r="AE306" s="113" t="str">
        <f>IF(NOT(ISBLANK(Audit[[#This Row],[Audit Winning Candidate]])), Audit[[#This Row],[Audit Winning Candidate]]-Audit[[#This Row],[Winning Candidate]], "")</f>
        <v/>
      </c>
      <c r="AF306" s="17" t="str">
        <f>IF(NOT(ISBLANK(Audit[[#This Row],[Audit Losing Candidate]])), Audit[[#This Row],[Audit Losing Candidate]]-Audit[[#This Row],[Losing Candidate]], "")</f>
        <v/>
      </c>
      <c r="AG306" s="17" t="str">
        <f>IF(NOT(ISBLANK(Audit[[#This Row],[Audit Candidate 3]])), Audit[[#This Row],[Audit Candidate 3]]-Audit[[#This Row],[Candidate 3]], "")</f>
        <v/>
      </c>
      <c r="AH306" s="17" t="str">
        <f>IF(NOT(ISBLANK(Audit[[#This Row],[Audit Candidate 4]])),Audit[[#This Row],[Audit Candidate 4]]-Audit[[#This Row],[Candidate 4]], "")</f>
        <v/>
      </c>
      <c r="AI306" s="17" t="str">
        <f>IF(NOT(ISBLANK(Audit[[#This Row],[Audit Candidate 5]])), Audit[[#This Row],[Audit Candidate 5]]-Audit[[#This Row],[Candidate 5]], "")</f>
        <v/>
      </c>
      <c r="AJ306" s="17" t="str">
        <f>IF(NOT(ISBLANK(Audit[[#This Row],[Audit Candidate 6]])), Audit[[#This Row],[Audit Candidate 6]]-Audit[[#This Row],[Candidate 6]], "")</f>
        <v/>
      </c>
      <c r="AK306" s="17" t="str">
        <f>IF(NOT(ISBLANK(Audit[[#This Row],[Audit Candidate 7]])), Audit[[#This Row],[Audit Candidate 7]]-Audit[[#This Row],[Candidate 7]], "")</f>
        <v/>
      </c>
      <c r="AL306" s="17" t="str">
        <f>IF(NOT(ISBLANK(Audit[[#This Row],[Audit Candidate 8]])), Audit[[#This Row],[Audit Candidate 8]]-Audit[[#This Row],[Candidate 8]], "")</f>
        <v/>
      </c>
      <c r="AM306" s="17" t="str">
        <f>IF(NOT(ISBLANK(Audit[[#This Row],[Audit Candidate 9]])), Audit[[#This Row],[Audit Candidate 9]]-Audit[[#This Row],[Candidate 9]], "")</f>
        <v/>
      </c>
      <c r="AN306" s="17" t="str">
        <f>IF(NOT(ISBLANK(Audit[[#This Row],[Audit Candidate 10]])), Audit[[#This Row],[Audit Candidate 10]]-Audit[[#This Row],[Candidate 10]], "")</f>
        <v/>
      </c>
      <c r="AO306" s="17" t="str">
        <f>IF(NOT(ISBLANK(Audit[[#This Row],[Audit Candidate 11]])), Audit[[#This Row],[Audit Candidate 11]]-Audit[[#This Row],[Candidate 11]], "")</f>
        <v/>
      </c>
      <c r="AP306" s="17" t="str">
        <f>IF(NOT(ISBLANK(Audit[[#This Row],[Audit Candidate 12]])), Audit[[#This Row],[Audit Candidate 12]]-Audit[[#This Row],[Candidate 12]], "")</f>
        <v/>
      </c>
      <c r="AQ306" s="17">
        <f>SUMIF(Audit[[#This Row],[Difference Winner]:[Difference Candidate 12]], "&gt;0")</f>
        <v>0</v>
      </c>
      <c r="AR306" s="17">
        <f>SUM(Audit[[#This Row],[Difference Winner]:[Difference Candidate 12]])</f>
        <v>0</v>
      </c>
      <c r="AS306" s="17">
        <f>IF(Audit[[#This Row],[Times p Drawn - With Replacement]]&gt;0, IF(Audit[[#This Row],[Canceled Differences]]&lt;0, Audit[[#This Row],[Max Differences]]+ABS(Audit[[#This Row],[Canceled Differences]]), Audit[[#This Row],[Max Differences]]), 0)</f>
        <v>0</v>
      </c>
      <c r="AT306" s="17">
        <f>'Sampling Data'!AB306</f>
        <v>6.9597691393651333E-3</v>
      </c>
      <c r="AU306" s="17">
        <f>IF(
      SUM(Audit[[#This Row],[Audit Losing Candidate]:[Audit Candidate 12]])
      &lt;&gt;0,
      (Audit[[#This Row],[Winning Candidate]]-Audit[[#This Row],[Losing Candidate]]-(Audit[[#This Row],[Audit Winning Candidate]]-Audit[[#This Row],[Audit Losing Candidate]]))/(Audit[[#Totals],[Winning Candidate]]-Audit[[#Totals],[Losing Candidate]]),
      0
)</f>
        <v>0</v>
      </c>
      <c r="AV3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6" s="17">
        <f>IF(Audit[[#This Row],[Max Relative Error (ep)]] = 0, 0, Audit[[#This Row],[Max Relative Error (ep)]]/Audit[[#This Row],[Error Bound (up) - Max. possible relative overstatement]])</f>
        <v>0</v>
      </c>
      <c r="BH3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06" s="17">
        <f t="shared" si="5"/>
        <v>1</v>
      </c>
      <c r="BJ306" s="17">
        <f>PRODUCT($BI$5:BI306)</f>
        <v>0.51668056043826849</v>
      </c>
      <c r="BK306" s="19">
        <f>1 - Audit[[#This Row],[K-M P Value]]</f>
        <v>0.48331943956173151</v>
      </c>
      <c r="BL306" s="17" t="str">
        <f>IF(Audit[[#This Row],[K-M P Value]]&gt;1-'General Info'!$B$12,"Continue", "Stop")</f>
        <v>Continue</v>
      </c>
      <c r="BM306" s="22" t="b">
        <f>IF(Audit[[#This Row],[Status - Continue or stop audit]] = "Continue", TRUE, IF(BL305 = "Continue", TRUE, FALSE))</f>
        <v>1</v>
      </c>
      <c r="BN306" s="22"/>
    </row>
    <row r="307" spans="1:66" ht="15" hidden="1" customHeight="1" x14ac:dyDescent="0.35">
      <c r="A307" s="17" t="str">
        <f>'Sampling Data'!AI307</f>
        <v/>
      </c>
      <c r="B307" s="17" t="str">
        <f>'Sampling Data'!A307</f>
        <v>5205 SPDALE E   (AV)</v>
      </c>
      <c r="C307" s="17">
        <f>'Sampling Data'!B307</f>
        <v>146</v>
      </c>
      <c r="D307" s="17">
        <f>'Sampling Data'!C307</f>
        <v>95</v>
      </c>
      <c r="E307" s="18">
        <f>'Sampling Data'!D307</f>
        <v>0</v>
      </c>
      <c r="F307" s="18">
        <f>'Sampling Data'!E307</f>
        <v>0</v>
      </c>
      <c r="G307" s="18">
        <f>'Sampling Data'!F307</f>
        <v>0</v>
      </c>
      <c r="H307" s="18">
        <f>'Sampling Data'!G307</f>
        <v>0</v>
      </c>
      <c r="I307" s="18">
        <f>'Sampling Data'!H307</f>
        <v>0</v>
      </c>
      <c r="J307" s="18">
        <f>'Sampling Data'!I307</f>
        <v>0</v>
      </c>
      <c r="K307" s="18">
        <f>'Sampling Data'!J307</f>
        <v>0</v>
      </c>
      <c r="L307" s="18">
        <f>'Sampling Data'!K307</f>
        <v>0</v>
      </c>
      <c r="M307" s="18">
        <f>'Sampling Data'!L307</f>
        <v>0</v>
      </c>
      <c r="N307" s="18">
        <f>'Sampling Data'!M307</f>
        <v>0</v>
      </c>
      <c r="O307" s="17">
        <f>'Sampling Data'!N307</f>
        <v>0</v>
      </c>
      <c r="P307" s="17">
        <f>'Sampling Data'!O307</f>
        <v>15</v>
      </c>
      <c r="Q307" s="17">
        <f>'Sampling Data'!P307</f>
        <v>256</v>
      </c>
      <c r="R307" s="17">
        <f>'Sampling Data'!AJ307</f>
        <v>0</v>
      </c>
      <c r="S307" s="111"/>
      <c r="T307" s="111"/>
      <c r="U307" s="112"/>
      <c r="V307" s="112"/>
      <c r="W307" s="111"/>
      <c r="X307" s="111"/>
      <c r="Y307" s="111"/>
      <c r="Z307" s="111"/>
      <c r="AA307" s="14"/>
      <c r="AB307" s="14"/>
      <c r="AC307" s="14"/>
      <c r="AD307" s="14"/>
      <c r="AE307" s="113" t="str">
        <f>IF(NOT(ISBLANK(Audit[[#This Row],[Audit Winning Candidate]])), Audit[[#This Row],[Audit Winning Candidate]]-Audit[[#This Row],[Winning Candidate]], "")</f>
        <v/>
      </c>
      <c r="AF307" s="17" t="str">
        <f>IF(NOT(ISBLANK(Audit[[#This Row],[Audit Losing Candidate]])), Audit[[#This Row],[Audit Losing Candidate]]-Audit[[#This Row],[Losing Candidate]], "")</f>
        <v/>
      </c>
      <c r="AG307" s="17" t="str">
        <f>IF(NOT(ISBLANK(Audit[[#This Row],[Audit Candidate 3]])), Audit[[#This Row],[Audit Candidate 3]]-Audit[[#This Row],[Candidate 3]], "")</f>
        <v/>
      </c>
      <c r="AH307" s="17" t="str">
        <f>IF(NOT(ISBLANK(Audit[[#This Row],[Audit Candidate 4]])),Audit[[#This Row],[Audit Candidate 4]]-Audit[[#This Row],[Candidate 4]], "")</f>
        <v/>
      </c>
      <c r="AI307" s="17" t="str">
        <f>IF(NOT(ISBLANK(Audit[[#This Row],[Audit Candidate 5]])), Audit[[#This Row],[Audit Candidate 5]]-Audit[[#This Row],[Candidate 5]], "")</f>
        <v/>
      </c>
      <c r="AJ307" s="17" t="str">
        <f>IF(NOT(ISBLANK(Audit[[#This Row],[Audit Candidate 6]])), Audit[[#This Row],[Audit Candidate 6]]-Audit[[#This Row],[Candidate 6]], "")</f>
        <v/>
      </c>
      <c r="AK307" s="17" t="str">
        <f>IF(NOT(ISBLANK(Audit[[#This Row],[Audit Candidate 7]])), Audit[[#This Row],[Audit Candidate 7]]-Audit[[#This Row],[Candidate 7]], "")</f>
        <v/>
      </c>
      <c r="AL307" s="17" t="str">
        <f>IF(NOT(ISBLANK(Audit[[#This Row],[Audit Candidate 8]])), Audit[[#This Row],[Audit Candidate 8]]-Audit[[#This Row],[Candidate 8]], "")</f>
        <v/>
      </c>
      <c r="AM307" s="17" t="str">
        <f>IF(NOT(ISBLANK(Audit[[#This Row],[Audit Candidate 9]])), Audit[[#This Row],[Audit Candidate 9]]-Audit[[#This Row],[Candidate 9]], "")</f>
        <v/>
      </c>
      <c r="AN307" s="17" t="str">
        <f>IF(NOT(ISBLANK(Audit[[#This Row],[Audit Candidate 10]])), Audit[[#This Row],[Audit Candidate 10]]-Audit[[#This Row],[Candidate 10]], "")</f>
        <v/>
      </c>
      <c r="AO307" s="17" t="str">
        <f>IF(NOT(ISBLANK(Audit[[#This Row],[Audit Candidate 11]])), Audit[[#This Row],[Audit Candidate 11]]-Audit[[#This Row],[Candidate 11]], "")</f>
        <v/>
      </c>
      <c r="AP307" s="17" t="str">
        <f>IF(NOT(ISBLANK(Audit[[#This Row],[Audit Candidate 12]])), Audit[[#This Row],[Audit Candidate 12]]-Audit[[#This Row],[Candidate 12]], "")</f>
        <v/>
      </c>
      <c r="AQ307" s="17">
        <f>SUMIF(Audit[[#This Row],[Difference Winner]:[Difference Candidate 12]], "&gt;0")</f>
        <v>0</v>
      </c>
      <c r="AR307" s="17">
        <f>SUM(Audit[[#This Row],[Difference Winner]:[Difference Candidate 12]])</f>
        <v>0</v>
      </c>
      <c r="AS307" s="17">
        <f>IF(Audit[[#This Row],[Times p Drawn - With Replacement]]&gt;0, IF(Audit[[#This Row],[Canceled Differences]]&lt;0, Audit[[#This Row],[Max Differences]]+ABS(Audit[[#This Row],[Canceled Differences]]), Audit[[#This Row],[Max Differences]]), 0)</f>
        <v>0</v>
      </c>
      <c r="AT307" s="17">
        <f>'Sampling Data'!AB307</f>
        <v>1.3028348327957903E-2</v>
      </c>
      <c r="AU307" s="17">
        <f>IF(
      SUM(Audit[[#This Row],[Audit Losing Candidate]:[Audit Candidate 12]])
      &lt;&gt;0,
      (Audit[[#This Row],[Winning Candidate]]-Audit[[#This Row],[Losing Candidate]]-(Audit[[#This Row],[Audit Winning Candidate]]-Audit[[#This Row],[Audit Losing Candidate]]))/(Audit[[#Totals],[Winning Candidate]]-Audit[[#Totals],[Losing Candidate]]),
      0
)</f>
        <v>0</v>
      </c>
      <c r="AV3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7" s="17">
        <f>IF(Audit[[#This Row],[Max Relative Error (ep)]] = 0, 0, Audit[[#This Row],[Max Relative Error (ep)]]/Audit[[#This Row],[Error Bound (up) - Max. possible relative overstatement]])</f>
        <v>0</v>
      </c>
      <c r="BH3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07" s="17">
        <f t="shared" si="5"/>
        <v>1</v>
      </c>
      <c r="BJ307" s="17">
        <f>PRODUCT($BI$5:BI307)</f>
        <v>0.51668056043826849</v>
      </c>
      <c r="BK307" s="19">
        <f>1 - Audit[[#This Row],[K-M P Value]]</f>
        <v>0.48331943956173151</v>
      </c>
      <c r="BL307" s="17" t="str">
        <f>IF(Audit[[#This Row],[K-M P Value]]&gt;1-'General Info'!$B$12,"Continue", "Stop")</f>
        <v>Continue</v>
      </c>
      <c r="BM307" s="22" t="b">
        <f>IF(Audit[[#This Row],[Status - Continue or stop audit]] = "Continue", TRUE, IF(BL306 = "Continue", TRUE, FALSE))</f>
        <v>1</v>
      </c>
      <c r="BN307" s="22"/>
    </row>
    <row r="308" spans="1:66" ht="15" hidden="1" customHeight="1" x14ac:dyDescent="0.35">
      <c r="A308" s="17" t="str">
        <f>'Sampling Data'!AI308</f>
        <v/>
      </c>
      <c r="B308" s="17" t="str">
        <f>'Sampling Data'!A308</f>
        <v>5206 SPDALE F   (AV)</v>
      </c>
      <c r="C308" s="17">
        <f>'Sampling Data'!B308</f>
        <v>135</v>
      </c>
      <c r="D308" s="17">
        <f>'Sampling Data'!C308</f>
        <v>79</v>
      </c>
      <c r="E308" s="18">
        <f>'Sampling Data'!D308</f>
        <v>0</v>
      </c>
      <c r="F308" s="18">
        <f>'Sampling Data'!E308</f>
        <v>0</v>
      </c>
      <c r="G308" s="18">
        <f>'Sampling Data'!F308</f>
        <v>0</v>
      </c>
      <c r="H308" s="18">
        <f>'Sampling Data'!G308</f>
        <v>0</v>
      </c>
      <c r="I308" s="18">
        <f>'Sampling Data'!H308</f>
        <v>0</v>
      </c>
      <c r="J308" s="18">
        <f>'Sampling Data'!I308</f>
        <v>0</v>
      </c>
      <c r="K308" s="18">
        <f>'Sampling Data'!J308</f>
        <v>0</v>
      </c>
      <c r="L308" s="18">
        <f>'Sampling Data'!K308</f>
        <v>0</v>
      </c>
      <c r="M308" s="18">
        <f>'Sampling Data'!L308</f>
        <v>0</v>
      </c>
      <c r="N308" s="18">
        <f>'Sampling Data'!M308</f>
        <v>0</v>
      </c>
      <c r="O308" s="17">
        <f>'Sampling Data'!N308</f>
        <v>0</v>
      </c>
      <c r="P308" s="17">
        <f>'Sampling Data'!O308</f>
        <v>9</v>
      </c>
      <c r="Q308" s="17">
        <f>'Sampling Data'!P308</f>
        <v>223</v>
      </c>
      <c r="R308" s="17">
        <f>'Sampling Data'!AJ308</f>
        <v>0</v>
      </c>
      <c r="S308" s="111"/>
      <c r="T308" s="111"/>
      <c r="U308" s="112"/>
      <c r="V308" s="112"/>
      <c r="W308" s="111"/>
      <c r="X308" s="111"/>
      <c r="Y308" s="111"/>
      <c r="Z308" s="111"/>
      <c r="AA308" s="14"/>
      <c r="AB308" s="14"/>
      <c r="AC308" s="14"/>
      <c r="AD308" s="14"/>
      <c r="AE308" s="113" t="str">
        <f>IF(NOT(ISBLANK(Audit[[#This Row],[Audit Winning Candidate]])), Audit[[#This Row],[Audit Winning Candidate]]-Audit[[#This Row],[Winning Candidate]], "")</f>
        <v/>
      </c>
      <c r="AF308" s="17" t="str">
        <f>IF(NOT(ISBLANK(Audit[[#This Row],[Audit Losing Candidate]])), Audit[[#This Row],[Audit Losing Candidate]]-Audit[[#This Row],[Losing Candidate]], "")</f>
        <v/>
      </c>
      <c r="AG308" s="17" t="str">
        <f>IF(NOT(ISBLANK(Audit[[#This Row],[Audit Candidate 3]])), Audit[[#This Row],[Audit Candidate 3]]-Audit[[#This Row],[Candidate 3]], "")</f>
        <v/>
      </c>
      <c r="AH308" s="17" t="str">
        <f>IF(NOT(ISBLANK(Audit[[#This Row],[Audit Candidate 4]])),Audit[[#This Row],[Audit Candidate 4]]-Audit[[#This Row],[Candidate 4]], "")</f>
        <v/>
      </c>
      <c r="AI308" s="17" t="str">
        <f>IF(NOT(ISBLANK(Audit[[#This Row],[Audit Candidate 5]])), Audit[[#This Row],[Audit Candidate 5]]-Audit[[#This Row],[Candidate 5]], "")</f>
        <v/>
      </c>
      <c r="AJ308" s="17" t="str">
        <f>IF(NOT(ISBLANK(Audit[[#This Row],[Audit Candidate 6]])), Audit[[#This Row],[Audit Candidate 6]]-Audit[[#This Row],[Candidate 6]], "")</f>
        <v/>
      </c>
      <c r="AK308" s="17" t="str">
        <f>IF(NOT(ISBLANK(Audit[[#This Row],[Audit Candidate 7]])), Audit[[#This Row],[Audit Candidate 7]]-Audit[[#This Row],[Candidate 7]], "")</f>
        <v/>
      </c>
      <c r="AL308" s="17" t="str">
        <f>IF(NOT(ISBLANK(Audit[[#This Row],[Audit Candidate 8]])), Audit[[#This Row],[Audit Candidate 8]]-Audit[[#This Row],[Candidate 8]], "")</f>
        <v/>
      </c>
      <c r="AM308" s="17" t="str">
        <f>IF(NOT(ISBLANK(Audit[[#This Row],[Audit Candidate 9]])), Audit[[#This Row],[Audit Candidate 9]]-Audit[[#This Row],[Candidate 9]], "")</f>
        <v/>
      </c>
      <c r="AN308" s="17" t="str">
        <f>IF(NOT(ISBLANK(Audit[[#This Row],[Audit Candidate 10]])), Audit[[#This Row],[Audit Candidate 10]]-Audit[[#This Row],[Candidate 10]], "")</f>
        <v/>
      </c>
      <c r="AO308" s="17" t="str">
        <f>IF(NOT(ISBLANK(Audit[[#This Row],[Audit Candidate 11]])), Audit[[#This Row],[Audit Candidate 11]]-Audit[[#This Row],[Candidate 11]], "")</f>
        <v/>
      </c>
      <c r="AP308" s="17" t="str">
        <f>IF(NOT(ISBLANK(Audit[[#This Row],[Audit Candidate 12]])), Audit[[#This Row],[Audit Candidate 12]]-Audit[[#This Row],[Candidate 12]], "")</f>
        <v/>
      </c>
      <c r="AQ308" s="17">
        <f>SUMIF(Audit[[#This Row],[Difference Winner]:[Difference Candidate 12]], "&gt;0")</f>
        <v>0</v>
      </c>
      <c r="AR308" s="17">
        <f>SUM(Audit[[#This Row],[Difference Winner]:[Difference Candidate 12]])</f>
        <v>0</v>
      </c>
      <c r="AS308" s="17">
        <f>IF(Audit[[#This Row],[Times p Drawn - With Replacement]]&gt;0, IF(Audit[[#This Row],[Canceled Differences]]&lt;0, Audit[[#This Row],[Max Differences]]+ABS(Audit[[#This Row],[Canceled Differences]]), Audit[[#This Row],[Max Differences]]), 0)</f>
        <v>0</v>
      </c>
      <c r="AT308" s="17">
        <f>'Sampling Data'!AB308</f>
        <v>1.1840095060261416E-2</v>
      </c>
      <c r="AU308" s="17">
        <f>IF(
      SUM(Audit[[#This Row],[Audit Losing Candidate]:[Audit Candidate 12]])
      &lt;&gt;0,
      (Audit[[#This Row],[Winning Candidate]]-Audit[[#This Row],[Losing Candidate]]-(Audit[[#This Row],[Audit Winning Candidate]]-Audit[[#This Row],[Audit Losing Candidate]]))/(Audit[[#Totals],[Winning Candidate]]-Audit[[#Totals],[Losing Candidate]]),
      0
)</f>
        <v>0</v>
      </c>
      <c r="AV3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8" s="17">
        <f>IF(Audit[[#This Row],[Max Relative Error (ep)]] = 0, 0, Audit[[#This Row],[Max Relative Error (ep)]]/Audit[[#This Row],[Error Bound (up) - Max. possible relative overstatement]])</f>
        <v>0</v>
      </c>
      <c r="BH3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08" s="17">
        <f t="shared" si="5"/>
        <v>1</v>
      </c>
      <c r="BJ308" s="17">
        <f>PRODUCT($BI$5:BI308)</f>
        <v>0.51668056043826849</v>
      </c>
      <c r="BK308" s="19">
        <f>1 - Audit[[#This Row],[K-M P Value]]</f>
        <v>0.48331943956173151</v>
      </c>
      <c r="BL308" s="17" t="str">
        <f>IF(Audit[[#This Row],[K-M P Value]]&gt;1-'General Info'!$B$12,"Continue", "Stop")</f>
        <v>Continue</v>
      </c>
      <c r="BM308" s="22" t="b">
        <f>IF(Audit[[#This Row],[Status - Continue or stop audit]] = "Continue", TRUE, IF(BL307 = "Continue", TRUE, FALSE))</f>
        <v>1</v>
      </c>
      <c r="BN308" s="22"/>
    </row>
    <row r="309" spans="1:66" ht="15" hidden="1" customHeight="1" x14ac:dyDescent="0.35">
      <c r="A309" s="17" t="str">
        <f>'Sampling Data'!AI309</f>
        <v/>
      </c>
      <c r="B309" s="17" t="str">
        <f>'Sampling Data'!A309</f>
        <v>5207 SPDALE G   (AV)</v>
      </c>
      <c r="C309" s="17">
        <f>'Sampling Data'!B309</f>
        <v>172</v>
      </c>
      <c r="D309" s="17">
        <f>'Sampling Data'!C309</f>
        <v>53</v>
      </c>
      <c r="E309" s="18">
        <f>'Sampling Data'!D309</f>
        <v>0</v>
      </c>
      <c r="F309" s="18">
        <f>'Sampling Data'!E309</f>
        <v>0</v>
      </c>
      <c r="G309" s="18">
        <f>'Sampling Data'!F309</f>
        <v>0</v>
      </c>
      <c r="H309" s="18">
        <f>'Sampling Data'!G309</f>
        <v>0</v>
      </c>
      <c r="I309" s="18">
        <f>'Sampling Data'!H309</f>
        <v>0</v>
      </c>
      <c r="J309" s="18">
        <f>'Sampling Data'!I309</f>
        <v>0</v>
      </c>
      <c r="K309" s="18">
        <f>'Sampling Data'!J309</f>
        <v>0</v>
      </c>
      <c r="L309" s="18">
        <f>'Sampling Data'!K309</f>
        <v>0</v>
      </c>
      <c r="M309" s="18">
        <f>'Sampling Data'!L309</f>
        <v>0</v>
      </c>
      <c r="N309" s="18">
        <f>'Sampling Data'!M309</f>
        <v>0</v>
      </c>
      <c r="O309" s="17">
        <f>'Sampling Data'!N309</f>
        <v>0</v>
      </c>
      <c r="P309" s="17">
        <f>'Sampling Data'!O309</f>
        <v>17</v>
      </c>
      <c r="Q309" s="17">
        <f>'Sampling Data'!P309</f>
        <v>242</v>
      </c>
      <c r="R309" s="17">
        <f>'Sampling Data'!AJ309</f>
        <v>0</v>
      </c>
      <c r="S309" s="111"/>
      <c r="T309" s="111"/>
      <c r="U309" s="112"/>
      <c r="V309" s="112"/>
      <c r="W309" s="111"/>
      <c r="X309" s="111"/>
      <c r="Y309" s="111"/>
      <c r="Z309" s="111"/>
      <c r="AA309" s="14"/>
      <c r="AB309" s="14"/>
      <c r="AC309" s="14"/>
      <c r="AD309" s="14"/>
      <c r="AE309" s="113" t="str">
        <f>IF(NOT(ISBLANK(Audit[[#This Row],[Audit Winning Candidate]])), Audit[[#This Row],[Audit Winning Candidate]]-Audit[[#This Row],[Winning Candidate]], "")</f>
        <v/>
      </c>
      <c r="AF309" s="17" t="str">
        <f>IF(NOT(ISBLANK(Audit[[#This Row],[Audit Losing Candidate]])), Audit[[#This Row],[Audit Losing Candidate]]-Audit[[#This Row],[Losing Candidate]], "")</f>
        <v/>
      </c>
      <c r="AG309" s="17" t="str">
        <f>IF(NOT(ISBLANK(Audit[[#This Row],[Audit Candidate 3]])), Audit[[#This Row],[Audit Candidate 3]]-Audit[[#This Row],[Candidate 3]], "")</f>
        <v/>
      </c>
      <c r="AH309" s="17" t="str">
        <f>IF(NOT(ISBLANK(Audit[[#This Row],[Audit Candidate 4]])),Audit[[#This Row],[Audit Candidate 4]]-Audit[[#This Row],[Candidate 4]], "")</f>
        <v/>
      </c>
      <c r="AI309" s="17" t="str">
        <f>IF(NOT(ISBLANK(Audit[[#This Row],[Audit Candidate 5]])), Audit[[#This Row],[Audit Candidate 5]]-Audit[[#This Row],[Candidate 5]], "")</f>
        <v/>
      </c>
      <c r="AJ309" s="17" t="str">
        <f>IF(NOT(ISBLANK(Audit[[#This Row],[Audit Candidate 6]])), Audit[[#This Row],[Audit Candidate 6]]-Audit[[#This Row],[Candidate 6]], "")</f>
        <v/>
      </c>
      <c r="AK309" s="17" t="str">
        <f>IF(NOT(ISBLANK(Audit[[#This Row],[Audit Candidate 7]])), Audit[[#This Row],[Audit Candidate 7]]-Audit[[#This Row],[Candidate 7]], "")</f>
        <v/>
      </c>
      <c r="AL309" s="17" t="str">
        <f>IF(NOT(ISBLANK(Audit[[#This Row],[Audit Candidate 8]])), Audit[[#This Row],[Audit Candidate 8]]-Audit[[#This Row],[Candidate 8]], "")</f>
        <v/>
      </c>
      <c r="AM309" s="17" t="str">
        <f>IF(NOT(ISBLANK(Audit[[#This Row],[Audit Candidate 9]])), Audit[[#This Row],[Audit Candidate 9]]-Audit[[#This Row],[Candidate 9]], "")</f>
        <v/>
      </c>
      <c r="AN309" s="17" t="str">
        <f>IF(NOT(ISBLANK(Audit[[#This Row],[Audit Candidate 10]])), Audit[[#This Row],[Audit Candidate 10]]-Audit[[#This Row],[Candidate 10]], "")</f>
        <v/>
      </c>
      <c r="AO309" s="17" t="str">
        <f>IF(NOT(ISBLANK(Audit[[#This Row],[Audit Candidate 11]])), Audit[[#This Row],[Audit Candidate 11]]-Audit[[#This Row],[Candidate 11]], "")</f>
        <v/>
      </c>
      <c r="AP309" s="17" t="str">
        <f>IF(NOT(ISBLANK(Audit[[#This Row],[Audit Candidate 12]])), Audit[[#This Row],[Audit Candidate 12]]-Audit[[#This Row],[Candidate 12]], "")</f>
        <v/>
      </c>
      <c r="AQ309" s="17">
        <f>SUMIF(Audit[[#This Row],[Difference Winner]:[Difference Candidate 12]], "&gt;0")</f>
        <v>0</v>
      </c>
      <c r="AR309" s="17">
        <f>SUM(Audit[[#This Row],[Difference Winner]:[Difference Candidate 12]])</f>
        <v>0</v>
      </c>
      <c r="AS309" s="17">
        <f>IF(Audit[[#This Row],[Times p Drawn - With Replacement]]&gt;0, IF(Audit[[#This Row],[Canceled Differences]]&lt;0, Audit[[#This Row],[Max Differences]]+ABS(Audit[[#This Row],[Canceled Differences]]), Audit[[#This Row],[Max Differences]]), 0)</f>
        <v>0</v>
      </c>
      <c r="AT309" s="17">
        <f>'Sampling Data'!AB309</f>
        <v>1.5319979629943982E-2</v>
      </c>
      <c r="AU309" s="17">
        <f>IF(
      SUM(Audit[[#This Row],[Audit Losing Candidate]:[Audit Candidate 12]])
      &lt;&gt;0,
      (Audit[[#This Row],[Winning Candidate]]-Audit[[#This Row],[Losing Candidate]]-(Audit[[#This Row],[Audit Winning Candidate]]-Audit[[#This Row],[Audit Losing Candidate]]))/(Audit[[#Totals],[Winning Candidate]]-Audit[[#Totals],[Losing Candidate]]),
      0
)</f>
        <v>0</v>
      </c>
      <c r="AV3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9" s="17">
        <f>IF(Audit[[#This Row],[Max Relative Error (ep)]] = 0, 0, Audit[[#This Row],[Max Relative Error (ep)]]/Audit[[#This Row],[Error Bound (up) - Max. possible relative overstatement]])</f>
        <v>0</v>
      </c>
      <c r="BH3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09" s="17">
        <f t="shared" si="5"/>
        <v>1</v>
      </c>
      <c r="BJ309" s="17">
        <f>PRODUCT($BI$5:BI309)</f>
        <v>0.51668056043826849</v>
      </c>
      <c r="BK309" s="19">
        <f>1 - Audit[[#This Row],[K-M P Value]]</f>
        <v>0.48331943956173151</v>
      </c>
      <c r="BL309" s="17" t="str">
        <f>IF(Audit[[#This Row],[K-M P Value]]&gt;1-'General Info'!$B$12,"Continue", "Stop")</f>
        <v>Continue</v>
      </c>
      <c r="BM309" s="22" t="b">
        <f>IF(Audit[[#This Row],[Status - Continue or stop audit]] = "Continue", TRUE, IF(BL308 = "Continue", TRUE, FALSE))</f>
        <v>1</v>
      </c>
      <c r="BN309" s="22"/>
    </row>
    <row r="310" spans="1:66" ht="15" hidden="1" customHeight="1" x14ac:dyDescent="0.35">
      <c r="A310" s="17" t="str">
        <f>'Sampling Data'!AI310</f>
        <v/>
      </c>
      <c r="B310" s="17" t="str">
        <f>'Sampling Data'!A310</f>
        <v>5208 SPDALE H   (AV)</v>
      </c>
      <c r="C310" s="17">
        <f>'Sampling Data'!B310</f>
        <v>197</v>
      </c>
      <c r="D310" s="17">
        <f>'Sampling Data'!C310</f>
        <v>71</v>
      </c>
      <c r="E310" s="18">
        <f>'Sampling Data'!D310</f>
        <v>0</v>
      </c>
      <c r="F310" s="18">
        <f>'Sampling Data'!E310</f>
        <v>0</v>
      </c>
      <c r="G310" s="18">
        <f>'Sampling Data'!F310</f>
        <v>0</v>
      </c>
      <c r="H310" s="18">
        <f>'Sampling Data'!G310</f>
        <v>0</v>
      </c>
      <c r="I310" s="18">
        <f>'Sampling Data'!H310</f>
        <v>0</v>
      </c>
      <c r="J310" s="18">
        <f>'Sampling Data'!I310</f>
        <v>0</v>
      </c>
      <c r="K310" s="18">
        <f>'Sampling Data'!J310</f>
        <v>0</v>
      </c>
      <c r="L310" s="18">
        <f>'Sampling Data'!K310</f>
        <v>0</v>
      </c>
      <c r="M310" s="18">
        <f>'Sampling Data'!L310</f>
        <v>0</v>
      </c>
      <c r="N310" s="18">
        <f>'Sampling Data'!M310</f>
        <v>0</v>
      </c>
      <c r="O310" s="17">
        <f>'Sampling Data'!N310</f>
        <v>0</v>
      </c>
      <c r="P310" s="17">
        <f>'Sampling Data'!O310</f>
        <v>12</v>
      </c>
      <c r="Q310" s="17">
        <f>'Sampling Data'!P310</f>
        <v>280</v>
      </c>
      <c r="R310" s="17">
        <f>'Sampling Data'!AJ310</f>
        <v>0</v>
      </c>
      <c r="S310" s="111"/>
      <c r="T310" s="111"/>
      <c r="U310" s="112"/>
      <c r="V310" s="112"/>
      <c r="W310" s="111"/>
      <c r="X310" s="111"/>
      <c r="Y310" s="111"/>
      <c r="Z310" s="111"/>
      <c r="AA310" s="14"/>
      <c r="AB310" s="14"/>
      <c r="AC310" s="14"/>
      <c r="AD310" s="14"/>
      <c r="AE310" s="113" t="str">
        <f>IF(NOT(ISBLANK(Audit[[#This Row],[Audit Winning Candidate]])), Audit[[#This Row],[Audit Winning Candidate]]-Audit[[#This Row],[Winning Candidate]], "")</f>
        <v/>
      </c>
      <c r="AF310" s="17" t="str">
        <f>IF(NOT(ISBLANK(Audit[[#This Row],[Audit Losing Candidate]])), Audit[[#This Row],[Audit Losing Candidate]]-Audit[[#This Row],[Losing Candidate]], "")</f>
        <v/>
      </c>
      <c r="AG310" s="17" t="str">
        <f>IF(NOT(ISBLANK(Audit[[#This Row],[Audit Candidate 3]])), Audit[[#This Row],[Audit Candidate 3]]-Audit[[#This Row],[Candidate 3]], "")</f>
        <v/>
      </c>
      <c r="AH310" s="17" t="str">
        <f>IF(NOT(ISBLANK(Audit[[#This Row],[Audit Candidate 4]])),Audit[[#This Row],[Audit Candidate 4]]-Audit[[#This Row],[Candidate 4]], "")</f>
        <v/>
      </c>
      <c r="AI310" s="17" t="str">
        <f>IF(NOT(ISBLANK(Audit[[#This Row],[Audit Candidate 5]])), Audit[[#This Row],[Audit Candidate 5]]-Audit[[#This Row],[Candidate 5]], "")</f>
        <v/>
      </c>
      <c r="AJ310" s="17" t="str">
        <f>IF(NOT(ISBLANK(Audit[[#This Row],[Audit Candidate 6]])), Audit[[#This Row],[Audit Candidate 6]]-Audit[[#This Row],[Candidate 6]], "")</f>
        <v/>
      </c>
      <c r="AK310" s="17" t="str">
        <f>IF(NOT(ISBLANK(Audit[[#This Row],[Audit Candidate 7]])), Audit[[#This Row],[Audit Candidate 7]]-Audit[[#This Row],[Candidate 7]], "")</f>
        <v/>
      </c>
      <c r="AL310" s="17" t="str">
        <f>IF(NOT(ISBLANK(Audit[[#This Row],[Audit Candidate 8]])), Audit[[#This Row],[Audit Candidate 8]]-Audit[[#This Row],[Candidate 8]], "")</f>
        <v/>
      </c>
      <c r="AM310" s="17" t="str">
        <f>IF(NOT(ISBLANK(Audit[[#This Row],[Audit Candidate 9]])), Audit[[#This Row],[Audit Candidate 9]]-Audit[[#This Row],[Candidate 9]], "")</f>
        <v/>
      </c>
      <c r="AN310" s="17" t="str">
        <f>IF(NOT(ISBLANK(Audit[[#This Row],[Audit Candidate 10]])), Audit[[#This Row],[Audit Candidate 10]]-Audit[[#This Row],[Candidate 10]], "")</f>
        <v/>
      </c>
      <c r="AO310" s="17" t="str">
        <f>IF(NOT(ISBLANK(Audit[[#This Row],[Audit Candidate 11]])), Audit[[#This Row],[Audit Candidate 11]]-Audit[[#This Row],[Candidate 11]], "")</f>
        <v/>
      </c>
      <c r="AP310" s="17" t="str">
        <f>IF(NOT(ISBLANK(Audit[[#This Row],[Audit Candidate 12]])), Audit[[#This Row],[Audit Candidate 12]]-Audit[[#This Row],[Candidate 12]], "")</f>
        <v/>
      </c>
      <c r="AQ310" s="17">
        <f>SUMIF(Audit[[#This Row],[Difference Winner]:[Difference Candidate 12]], "&gt;0")</f>
        <v>0</v>
      </c>
      <c r="AR310" s="17">
        <f>SUM(Audit[[#This Row],[Difference Winner]:[Difference Candidate 12]])</f>
        <v>0</v>
      </c>
      <c r="AS310" s="17">
        <f>IF(Audit[[#This Row],[Times p Drawn - With Replacement]]&gt;0, IF(Audit[[#This Row],[Canceled Differences]]&lt;0, Audit[[#This Row],[Max Differences]]+ABS(Audit[[#This Row],[Canceled Differences]]), Audit[[#This Row],[Max Differences]]), 0)</f>
        <v>0</v>
      </c>
      <c r="AT310" s="17">
        <f>'Sampling Data'!AB310</f>
        <v>1.7229672381599049E-2</v>
      </c>
      <c r="AU310" s="17">
        <f>IF(
      SUM(Audit[[#This Row],[Audit Losing Candidate]:[Audit Candidate 12]])
      &lt;&gt;0,
      (Audit[[#This Row],[Winning Candidate]]-Audit[[#This Row],[Losing Candidate]]-(Audit[[#This Row],[Audit Winning Candidate]]-Audit[[#This Row],[Audit Losing Candidate]]))/(Audit[[#Totals],[Winning Candidate]]-Audit[[#Totals],[Losing Candidate]]),
      0
)</f>
        <v>0</v>
      </c>
      <c r="AV3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0" s="17">
        <f>IF(Audit[[#This Row],[Max Relative Error (ep)]] = 0, 0, Audit[[#This Row],[Max Relative Error (ep)]]/Audit[[#This Row],[Error Bound (up) - Max. possible relative overstatement]])</f>
        <v>0</v>
      </c>
      <c r="BH3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10" s="17">
        <f t="shared" si="5"/>
        <v>1</v>
      </c>
      <c r="BJ310" s="17">
        <f>PRODUCT($BI$5:BI310)</f>
        <v>0.51668056043826849</v>
      </c>
      <c r="BK310" s="19">
        <f>1 - Audit[[#This Row],[K-M P Value]]</f>
        <v>0.48331943956173151</v>
      </c>
      <c r="BL310" s="17" t="str">
        <f>IF(Audit[[#This Row],[K-M P Value]]&gt;1-'General Info'!$B$12,"Continue", "Stop")</f>
        <v>Continue</v>
      </c>
      <c r="BM310" s="22" t="b">
        <f>IF(Audit[[#This Row],[Status - Continue or stop audit]] = "Continue", TRUE, IF(BL309 = "Continue", TRUE, FALSE))</f>
        <v>1</v>
      </c>
      <c r="BN310" s="22"/>
    </row>
    <row r="311" spans="1:66" ht="15" hidden="1" customHeight="1" x14ac:dyDescent="0.35">
      <c r="A311" s="17" t="str">
        <f>'Sampling Data'!AI311</f>
        <v/>
      </c>
      <c r="B311" s="17" t="str">
        <f>'Sampling Data'!A311</f>
        <v>5301 WYOM A   (AV)</v>
      </c>
      <c r="C311" s="17">
        <f>'Sampling Data'!B311</f>
        <v>370</v>
      </c>
      <c r="D311" s="17">
        <f>'Sampling Data'!C311</f>
        <v>192</v>
      </c>
      <c r="E311" s="18">
        <f>'Sampling Data'!D311</f>
        <v>0</v>
      </c>
      <c r="F311" s="18">
        <f>'Sampling Data'!E311</f>
        <v>0</v>
      </c>
      <c r="G311" s="18">
        <f>'Sampling Data'!F311</f>
        <v>0</v>
      </c>
      <c r="H311" s="18">
        <f>'Sampling Data'!G311</f>
        <v>0</v>
      </c>
      <c r="I311" s="18">
        <f>'Sampling Data'!H311</f>
        <v>0</v>
      </c>
      <c r="J311" s="18">
        <f>'Sampling Data'!I311</f>
        <v>0</v>
      </c>
      <c r="K311" s="18">
        <f>'Sampling Data'!J311</f>
        <v>0</v>
      </c>
      <c r="L311" s="18">
        <f>'Sampling Data'!K311</f>
        <v>0</v>
      </c>
      <c r="M311" s="18">
        <f>'Sampling Data'!L311</f>
        <v>0</v>
      </c>
      <c r="N311" s="18">
        <f>'Sampling Data'!M311</f>
        <v>0</v>
      </c>
      <c r="O311" s="17">
        <f>'Sampling Data'!N311</f>
        <v>0</v>
      </c>
      <c r="P311" s="17">
        <f>'Sampling Data'!O311</f>
        <v>29</v>
      </c>
      <c r="Q311" s="17">
        <f>'Sampling Data'!P311</f>
        <v>591</v>
      </c>
      <c r="R311" s="17">
        <f>'Sampling Data'!AJ311</f>
        <v>0</v>
      </c>
      <c r="S311" s="111"/>
      <c r="T311" s="111"/>
      <c r="U311" s="112"/>
      <c r="V311" s="112"/>
      <c r="W311" s="111"/>
      <c r="X311" s="111"/>
      <c r="Y311" s="111"/>
      <c r="Z311" s="111"/>
      <c r="AA311" s="14"/>
      <c r="AB311" s="14"/>
      <c r="AC311" s="14"/>
      <c r="AD311" s="14"/>
      <c r="AE311" s="113" t="str">
        <f>IF(NOT(ISBLANK(Audit[[#This Row],[Audit Winning Candidate]])), Audit[[#This Row],[Audit Winning Candidate]]-Audit[[#This Row],[Winning Candidate]], "")</f>
        <v/>
      </c>
      <c r="AF311" s="17" t="str">
        <f>IF(NOT(ISBLANK(Audit[[#This Row],[Audit Losing Candidate]])), Audit[[#This Row],[Audit Losing Candidate]]-Audit[[#This Row],[Losing Candidate]], "")</f>
        <v/>
      </c>
      <c r="AG311" s="17" t="str">
        <f>IF(NOT(ISBLANK(Audit[[#This Row],[Audit Candidate 3]])), Audit[[#This Row],[Audit Candidate 3]]-Audit[[#This Row],[Candidate 3]], "")</f>
        <v/>
      </c>
      <c r="AH311" s="17" t="str">
        <f>IF(NOT(ISBLANK(Audit[[#This Row],[Audit Candidate 4]])),Audit[[#This Row],[Audit Candidate 4]]-Audit[[#This Row],[Candidate 4]], "")</f>
        <v/>
      </c>
      <c r="AI311" s="17" t="str">
        <f>IF(NOT(ISBLANK(Audit[[#This Row],[Audit Candidate 5]])), Audit[[#This Row],[Audit Candidate 5]]-Audit[[#This Row],[Candidate 5]], "")</f>
        <v/>
      </c>
      <c r="AJ311" s="17" t="str">
        <f>IF(NOT(ISBLANK(Audit[[#This Row],[Audit Candidate 6]])), Audit[[#This Row],[Audit Candidate 6]]-Audit[[#This Row],[Candidate 6]], "")</f>
        <v/>
      </c>
      <c r="AK311" s="17" t="str">
        <f>IF(NOT(ISBLANK(Audit[[#This Row],[Audit Candidate 7]])), Audit[[#This Row],[Audit Candidate 7]]-Audit[[#This Row],[Candidate 7]], "")</f>
        <v/>
      </c>
      <c r="AL311" s="17" t="str">
        <f>IF(NOT(ISBLANK(Audit[[#This Row],[Audit Candidate 8]])), Audit[[#This Row],[Audit Candidate 8]]-Audit[[#This Row],[Candidate 8]], "")</f>
        <v/>
      </c>
      <c r="AM311" s="17" t="str">
        <f>IF(NOT(ISBLANK(Audit[[#This Row],[Audit Candidate 9]])), Audit[[#This Row],[Audit Candidate 9]]-Audit[[#This Row],[Candidate 9]], "")</f>
        <v/>
      </c>
      <c r="AN311" s="17" t="str">
        <f>IF(NOT(ISBLANK(Audit[[#This Row],[Audit Candidate 10]])), Audit[[#This Row],[Audit Candidate 10]]-Audit[[#This Row],[Candidate 10]], "")</f>
        <v/>
      </c>
      <c r="AO311" s="17" t="str">
        <f>IF(NOT(ISBLANK(Audit[[#This Row],[Audit Candidate 11]])), Audit[[#This Row],[Audit Candidate 11]]-Audit[[#This Row],[Candidate 11]], "")</f>
        <v/>
      </c>
      <c r="AP311" s="17" t="str">
        <f>IF(NOT(ISBLANK(Audit[[#This Row],[Audit Candidate 12]])), Audit[[#This Row],[Audit Candidate 12]]-Audit[[#This Row],[Candidate 12]], "")</f>
        <v/>
      </c>
      <c r="AQ311" s="17">
        <f>SUMIF(Audit[[#This Row],[Difference Winner]:[Difference Candidate 12]], "&gt;0")</f>
        <v>0</v>
      </c>
      <c r="AR311" s="17">
        <f>SUM(Audit[[#This Row],[Difference Winner]:[Difference Candidate 12]])</f>
        <v>0</v>
      </c>
      <c r="AS311" s="17">
        <f>IF(Audit[[#This Row],[Times p Drawn - With Replacement]]&gt;0, IF(Audit[[#This Row],[Canceled Differences]]&lt;0, Audit[[#This Row],[Max Differences]]+ABS(Audit[[#This Row],[Canceled Differences]]), Audit[[#This Row],[Max Differences]]), 0)</f>
        <v>0</v>
      </c>
      <c r="AT311" s="17">
        <f>'Sampling Data'!AB311</f>
        <v>3.2634527244949925E-2</v>
      </c>
      <c r="AU311" s="17">
        <f>IF(
      SUM(Audit[[#This Row],[Audit Losing Candidate]:[Audit Candidate 12]])
      &lt;&gt;0,
      (Audit[[#This Row],[Winning Candidate]]-Audit[[#This Row],[Losing Candidate]]-(Audit[[#This Row],[Audit Winning Candidate]]-Audit[[#This Row],[Audit Losing Candidate]]))/(Audit[[#Totals],[Winning Candidate]]-Audit[[#Totals],[Losing Candidate]]),
      0
)</f>
        <v>0</v>
      </c>
      <c r="AV3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1" s="17">
        <f>IF(Audit[[#This Row],[Max Relative Error (ep)]] = 0, 0, Audit[[#This Row],[Max Relative Error (ep)]]/Audit[[#This Row],[Error Bound (up) - Max. possible relative overstatement]])</f>
        <v>0</v>
      </c>
      <c r="BH3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11" s="17">
        <f t="shared" si="5"/>
        <v>1</v>
      </c>
      <c r="BJ311" s="17">
        <f>PRODUCT($BI$5:BI311)</f>
        <v>0.51668056043826849</v>
      </c>
      <c r="BK311" s="19">
        <f>1 - Audit[[#This Row],[K-M P Value]]</f>
        <v>0.48331943956173151</v>
      </c>
      <c r="BL311" s="17" t="str">
        <f>IF(Audit[[#This Row],[K-M P Value]]&gt;1-'General Info'!$B$12,"Continue", "Stop")</f>
        <v>Continue</v>
      </c>
      <c r="BM311" s="22" t="b">
        <f>IF(Audit[[#This Row],[Status - Continue or stop audit]] = "Continue", TRUE, IF(BL310 = "Continue", TRUE, FALSE))</f>
        <v>1</v>
      </c>
      <c r="BN311" s="22"/>
    </row>
    <row r="312" spans="1:66" ht="15" hidden="1" customHeight="1" x14ac:dyDescent="0.35">
      <c r="A312" s="17" t="str">
        <f>'Sampling Data'!AI312</f>
        <v/>
      </c>
      <c r="B312" s="17" t="str">
        <f>'Sampling Data'!A312</f>
        <v>5302 WYOM B   (AV)</v>
      </c>
      <c r="C312" s="17">
        <f>'Sampling Data'!B312</f>
        <v>376</v>
      </c>
      <c r="D312" s="17">
        <f>'Sampling Data'!C312</f>
        <v>173</v>
      </c>
      <c r="E312" s="18">
        <f>'Sampling Data'!D312</f>
        <v>0</v>
      </c>
      <c r="F312" s="18">
        <f>'Sampling Data'!E312</f>
        <v>0</v>
      </c>
      <c r="G312" s="18">
        <f>'Sampling Data'!F312</f>
        <v>0</v>
      </c>
      <c r="H312" s="18">
        <f>'Sampling Data'!G312</f>
        <v>0</v>
      </c>
      <c r="I312" s="18">
        <f>'Sampling Data'!H312</f>
        <v>0</v>
      </c>
      <c r="J312" s="18">
        <f>'Sampling Data'!I312</f>
        <v>0</v>
      </c>
      <c r="K312" s="18">
        <f>'Sampling Data'!J312</f>
        <v>0</v>
      </c>
      <c r="L312" s="18">
        <f>'Sampling Data'!K312</f>
        <v>0</v>
      </c>
      <c r="M312" s="18">
        <f>'Sampling Data'!L312</f>
        <v>0</v>
      </c>
      <c r="N312" s="18">
        <f>'Sampling Data'!M312</f>
        <v>0</v>
      </c>
      <c r="O312" s="17">
        <f>'Sampling Data'!N312</f>
        <v>0</v>
      </c>
      <c r="P312" s="17">
        <f>'Sampling Data'!O312</f>
        <v>29</v>
      </c>
      <c r="Q312" s="17">
        <f>'Sampling Data'!P312</f>
        <v>578</v>
      </c>
      <c r="R312" s="17">
        <f>'Sampling Data'!AJ312</f>
        <v>0</v>
      </c>
      <c r="S312" s="111"/>
      <c r="T312" s="111"/>
      <c r="U312" s="112"/>
      <c r="V312" s="112"/>
      <c r="W312" s="111"/>
      <c r="X312" s="111"/>
      <c r="Y312" s="111"/>
      <c r="Z312" s="111"/>
      <c r="AA312" s="14"/>
      <c r="AB312" s="14"/>
      <c r="AC312" s="14"/>
      <c r="AD312" s="14"/>
      <c r="AE312" s="113" t="str">
        <f>IF(NOT(ISBLANK(Audit[[#This Row],[Audit Winning Candidate]])), Audit[[#This Row],[Audit Winning Candidate]]-Audit[[#This Row],[Winning Candidate]], "")</f>
        <v/>
      </c>
      <c r="AF312" s="17" t="str">
        <f>IF(NOT(ISBLANK(Audit[[#This Row],[Audit Losing Candidate]])), Audit[[#This Row],[Audit Losing Candidate]]-Audit[[#This Row],[Losing Candidate]], "")</f>
        <v/>
      </c>
      <c r="AG312" s="17" t="str">
        <f>IF(NOT(ISBLANK(Audit[[#This Row],[Audit Candidate 3]])), Audit[[#This Row],[Audit Candidate 3]]-Audit[[#This Row],[Candidate 3]], "")</f>
        <v/>
      </c>
      <c r="AH312" s="17" t="str">
        <f>IF(NOT(ISBLANK(Audit[[#This Row],[Audit Candidate 4]])),Audit[[#This Row],[Audit Candidate 4]]-Audit[[#This Row],[Candidate 4]], "")</f>
        <v/>
      </c>
      <c r="AI312" s="17" t="str">
        <f>IF(NOT(ISBLANK(Audit[[#This Row],[Audit Candidate 5]])), Audit[[#This Row],[Audit Candidate 5]]-Audit[[#This Row],[Candidate 5]], "")</f>
        <v/>
      </c>
      <c r="AJ312" s="17" t="str">
        <f>IF(NOT(ISBLANK(Audit[[#This Row],[Audit Candidate 6]])), Audit[[#This Row],[Audit Candidate 6]]-Audit[[#This Row],[Candidate 6]], "")</f>
        <v/>
      </c>
      <c r="AK312" s="17" t="str">
        <f>IF(NOT(ISBLANK(Audit[[#This Row],[Audit Candidate 7]])), Audit[[#This Row],[Audit Candidate 7]]-Audit[[#This Row],[Candidate 7]], "")</f>
        <v/>
      </c>
      <c r="AL312" s="17" t="str">
        <f>IF(NOT(ISBLANK(Audit[[#This Row],[Audit Candidate 8]])), Audit[[#This Row],[Audit Candidate 8]]-Audit[[#This Row],[Candidate 8]], "")</f>
        <v/>
      </c>
      <c r="AM312" s="17" t="str">
        <f>IF(NOT(ISBLANK(Audit[[#This Row],[Audit Candidate 9]])), Audit[[#This Row],[Audit Candidate 9]]-Audit[[#This Row],[Candidate 9]], "")</f>
        <v/>
      </c>
      <c r="AN312" s="17" t="str">
        <f>IF(NOT(ISBLANK(Audit[[#This Row],[Audit Candidate 10]])), Audit[[#This Row],[Audit Candidate 10]]-Audit[[#This Row],[Candidate 10]], "")</f>
        <v/>
      </c>
      <c r="AO312" s="17" t="str">
        <f>IF(NOT(ISBLANK(Audit[[#This Row],[Audit Candidate 11]])), Audit[[#This Row],[Audit Candidate 11]]-Audit[[#This Row],[Candidate 11]], "")</f>
        <v/>
      </c>
      <c r="AP312" s="17" t="str">
        <f>IF(NOT(ISBLANK(Audit[[#This Row],[Audit Candidate 12]])), Audit[[#This Row],[Audit Candidate 12]]-Audit[[#This Row],[Candidate 12]], "")</f>
        <v/>
      </c>
      <c r="AQ312" s="17">
        <f>SUMIF(Audit[[#This Row],[Difference Winner]:[Difference Candidate 12]], "&gt;0")</f>
        <v>0</v>
      </c>
      <c r="AR312" s="17">
        <f>SUM(Audit[[#This Row],[Difference Winner]:[Difference Candidate 12]])</f>
        <v>0</v>
      </c>
      <c r="AS312" s="17">
        <f>IF(Audit[[#This Row],[Times p Drawn - With Replacement]]&gt;0, IF(Audit[[#This Row],[Canceled Differences]]&lt;0, Audit[[#This Row],[Max Differences]]+ABS(Audit[[#This Row],[Canceled Differences]]), Audit[[#This Row],[Max Differences]]), 0)</f>
        <v>0</v>
      </c>
      <c r="AT312" s="17">
        <f>'Sampling Data'!AB312</f>
        <v>3.3143778645391274E-2</v>
      </c>
      <c r="AU312" s="17">
        <f>IF(
      SUM(Audit[[#This Row],[Audit Losing Candidate]:[Audit Candidate 12]])
      &lt;&gt;0,
      (Audit[[#This Row],[Winning Candidate]]-Audit[[#This Row],[Losing Candidate]]-(Audit[[#This Row],[Audit Winning Candidate]]-Audit[[#This Row],[Audit Losing Candidate]]))/(Audit[[#Totals],[Winning Candidate]]-Audit[[#Totals],[Losing Candidate]]),
      0
)</f>
        <v>0</v>
      </c>
      <c r="AV3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2" s="17">
        <f>IF(Audit[[#This Row],[Max Relative Error (ep)]] = 0, 0, Audit[[#This Row],[Max Relative Error (ep)]]/Audit[[#This Row],[Error Bound (up) - Max. possible relative overstatement]])</f>
        <v>0</v>
      </c>
      <c r="BH3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12" s="17">
        <f t="shared" si="5"/>
        <v>1</v>
      </c>
      <c r="BJ312" s="17">
        <f>PRODUCT($BI$5:BI312)</f>
        <v>0.51668056043826849</v>
      </c>
      <c r="BK312" s="19">
        <f>1 - Audit[[#This Row],[K-M P Value]]</f>
        <v>0.48331943956173151</v>
      </c>
      <c r="BL312" s="17" t="str">
        <f>IF(Audit[[#This Row],[K-M P Value]]&gt;1-'General Info'!$B$12,"Continue", "Stop")</f>
        <v>Continue</v>
      </c>
      <c r="BM312" s="22" t="b">
        <f>IF(Audit[[#This Row],[Status - Continue or stop audit]] = "Continue", TRUE, IF(BL311 = "Continue", TRUE, FALSE))</f>
        <v>1</v>
      </c>
      <c r="BN312" s="22"/>
    </row>
    <row r="313" spans="1:66" ht="15" hidden="1" customHeight="1" x14ac:dyDescent="0.35">
      <c r="A313" s="17" t="str">
        <f>'Sampling Data'!AI313</f>
        <v/>
      </c>
      <c r="B313" s="17" t="str">
        <f>'Sampling Data'!A313</f>
        <v>5303 WYOM C   (AV)</v>
      </c>
      <c r="C313" s="17">
        <f>'Sampling Data'!B313</f>
        <v>309</v>
      </c>
      <c r="D313" s="17">
        <f>'Sampling Data'!C313</f>
        <v>132</v>
      </c>
      <c r="E313" s="18">
        <f>'Sampling Data'!D313</f>
        <v>0</v>
      </c>
      <c r="F313" s="18">
        <f>'Sampling Data'!E313</f>
        <v>0</v>
      </c>
      <c r="G313" s="18">
        <f>'Sampling Data'!F313</f>
        <v>0</v>
      </c>
      <c r="H313" s="18">
        <f>'Sampling Data'!G313</f>
        <v>0</v>
      </c>
      <c r="I313" s="18">
        <f>'Sampling Data'!H313</f>
        <v>0</v>
      </c>
      <c r="J313" s="18">
        <f>'Sampling Data'!I313</f>
        <v>0</v>
      </c>
      <c r="K313" s="18">
        <f>'Sampling Data'!J313</f>
        <v>0</v>
      </c>
      <c r="L313" s="18">
        <f>'Sampling Data'!K313</f>
        <v>0</v>
      </c>
      <c r="M313" s="18">
        <f>'Sampling Data'!L313</f>
        <v>0</v>
      </c>
      <c r="N313" s="18">
        <f>'Sampling Data'!M313</f>
        <v>0</v>
      </c>
      <c r="O313" s="17">
        <f>'Sampling Data'!N313</f>
        <v>0</v>
      </c>
      <c r="P313" s="17">
        <f>'Sampling Data'!O313</f>
        <v>23</v>
      </c>
      <c r="Q313" s="17">
        <f>'Sampling Data'!P313</f>
        <v>464</v>
      </c>
      <c r="R313" s="17">
        <f>'Sampling Data'!AJ313</f>
        <v>0</v>
      </c>
      <c r="S313" s="111"/>
      <c r="T313" s="111"/>
      <c r="U313" s="112"/>
      <c r="V313" s="112"/>
      <c r="W313" s="111"/>
      <c r="X313" s="111"/>
      <c r="Y313" s="111"/>
      <c r="Z313" s="111"/>
      <c r="AA313" s="14"/>
      <c r="AB313" s="14"/>
      <c r="AC313" s="14"/>
      <c r="AD313" s="14"/>
      <c r="AE313" s="113" t="str">
        <f>IF(NOT(ISBLANK(Audit[[#This Row],[Audit Winning Candidate]])), Audit[[#This Row],[Audit Winning Candidate]]-Audit[[#This Row],[Winning Candidate]], "")</f>
        <v/>
      </c>
      <c r="AF313" s="17" t="str">
        <f>IF(NOT(ISBLANK(Audit[[#This Row],[Audit Losing Candidate]])), Audit[[#This Row],[Audit Losing Candidate]]-Audit[[#This Row],[Losing Candidate]], "")</f>
        <v/>
      </c>
      <c r="AG313" s="17" t="str">
        <f>IF(NOT(ISBLANK(Audit[[#This Row],[Audit Candidate 3]])), Audit[[#This Row],[Audit Candidate 3]]-Audit[[#This Row],[Candidate 3]], "")</f>
        <v/>
      </c>
      <c r="AH313" s="17" t="str">
        <f>IF(NOT(ISBLANK(Audit[[#This Row],[Audit Candidate 4]])),Audit[[#This Row],[Audit Candidate 4]]-Audit[[#This Row],[Candidate 4]], "")</f>
        <v/>
      </c>
      <c r="AI313" s="17" t="str">
        <f>IF(NOT(ISBLANK(Audit[[#This Row],[Audit Candidate 5]])), Audit[[#This Row],[Audit Candidate 5]]-Audit[[#This Row],[Candidate 5]], "")</f>
        <v/>
      </c>
      <c r="AJ313" s="17" t="str">
        <f>IF(NOT(ISBLANK(Audit[[#This Row],[Audit Candidate 6]])), Audit[[#This Row],[Audit Candidate 6]]-Audit[[#This Row],[Candidate 6]], "")</f>
        <v/>
      </c>
      <c r="AK313" s="17" t="str">
        <f>IF(NOT(ISBLANK(Audit[[#This Row],[Audit Candidate 7]])), Audit[[#This Row],[Audit Candidate 7]]-Audit[[#This Row],[Candidate 7]], "")</f>
        <v/>
      </c>
      <c r="AL313" s="17" t="str">
        <f>IF(NOT(ISBLANK(Audit[[#This Row],[Audit Candidate 8]])), Audit[[#This Row],[Audit Candidate 8]]-Audit[[#This Row],[Candidate 8]], "")</f>
        <v/>
      </c>
      <c r="AM313" s="17" t="str">
        <f>IF(NOT(ISBLANK(Audit[[#This Row],[Audit Candidate 9]])), Audit[[#This Row],[Audit Candidate 9]]-Audit[[#This Row],[Candidate 9]], "")</f>
        <v/>
      </c>
      <c r="AN313" s="17" t="str">
        <f>IF(NOT(ISBLANK(Audit[[#This Row],[Audit Candidate 10]])), Audit[[#This Row],[Audit Candidate 10]]-Audit[[#This Row],[Candidate 10]], "")</f>
        <v/>
      </c>
      <c r="AO313" s="17" t="str">
        <f>IF(NOT(ISBLANK(Audit[[#This Row],[Audit Candidate 11]])), Audit[[#This Row],[Audit Candidate 11]]-Audit[[#This Row],[Candidate 11]], "")</f>
        <v/>
      </c>
      <c r="AP313" s="17" t="str">
        <f>IF(NOT(ISBLANK(Audit[[#This Row],[Audit Candidate 12]])), Audit[[#This Row],[Audit Candidate 12]]-Audit[[#This Row],[Candidate 12]], "")</f>
        <v/>
      </c>
      <c r="AQ313" s="17">
        <f>SUMIF(Audit[[#This Row],[Difference Winner]:[Difference Candidate 12]], "&gt;0")</f>
        <v>0</v>
      </c>
      <c r="AR313" s="17">
        <f>SUM(Audit[[#This Row],[Difference Winner]:[Difference Candidate 12]])</f>
        <v>0</v>
      </c>
      <c r="AS313" s="17">
        <f>IF(Audit[[#This Row],[Times p Drawn - With Replacement]]&gt;0, IF(Audit[[#This Row],[Canceled Differences]]&lt;0, Audit[[#This Row],[Max Differences]]+ABS(Audit[[#This Row],[Canceled Differences]]), Audit[[#This Row],[Max Differences]]), 0)</f>
        <v>0</v>
      </c>
      <c r="AT313" s="17">
        <f>'Sampling Data'!AB313</f>
        <v>2.7202512306908844E-2</v>
      </c>
      <c r="AU313" s="17">
        <f>IF(
      SUM(Audit[[#This Row],[Audit Losing Candidate]:[Audit Candidate 12]])
      &lt;&gt;0,
      (Audit[[#This Row],[Winning Candidate]]-Audit[[#This Row],[Losing Candidate]]-(Audit[[#This Row],[Audit Winning Candidate]]-Audit[[#This Row],[Audit Losing Candidate]]))/(Audit[[#Totals],[Winning Candidate]]-Audit[[#Totals],[Losing Candidate]]),
      0
)</f>
        <v>0</v>
      </c>
      <c r="AV3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3" s="17">
        <f>IF(Audit[[#This Row],[Max Relative Error (ep)]] = 0, 0, Audit[[#This Row],[Max Relative Error (ep)]]/Audit[[#This Row],[Error Bound (up) - Max. possible relative overstatement]])</f>
        <v>0</v>
      </c>
      <c r="BH3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13" s="17">
        <f t="shared" si="5"/>
        <v>1</v>
      </c>
      <c r="BJ313" s="17">
        <f>PRODUCT($BI$5:BI313)</f>
        <v>0.51668056043826849</v>
      </c>
      <c r="BK313" s="19">
        <f>1 - Audit[[#This Row],[K-M P Value]]</f>
        <v>0.48331943956173151</v>
      </c>
      <c r="BL313" s="17" t="str">
        <f>IF(Audit[[#This Row],[K-M P Value]]&gt;1-'General Info'!$B$12,"Continue", "Stop")</f>
        <v>Continue</v>
      </c>
      <c r="BM313" s="22" t="b">
        <f>IF(Audit[[#This Row],[Status - Continue or stop audit]] = "Continue", TRUE, IF(BL312 = "Continue", TRUE, FALSE))</f>
        <v>1</v>
      </c>
      <c r="BN313" s="22"/>
    </row>
    <row r="314" spans="1:66" ht="15" customHeight="1" x14ac:dyDescent="0.35">
      <c r="A314" s="17">
        <f>'Sampling Data'!AI314</f>
        <v>4</v>
      </c>
      <c r="B314" s="17" t="str">
        <f>'Sampling Data'!A314</f>
        <v>5304 WYOM D   (AV)</v>
      </c>
      <c r="C314" s="17">
        <f>'Sampling Data'!B314</f>
        <v>325</v>
      </c>
      <c r="D314" s="17">
        <f>'Sampling Data'!C314</f>
        <v>115</v>
      </c>
      <c r="E314" s="18">
        <f>'Sampling Data'!D314</f>
        <v>0</v>
      </c>
      <c r="F314" s="18">
        <f>'Sampling Data'!E314</f>
        <v>0</v>
      </c>
      <c r="G314" s="18">
        <f>'Sampling Data'!F314</f>
        <v>0</v>
      </c>
      <c r="H314" s="18">
        <f>'Sampling Data'!G314</f>
        <v>0</v>
      </c>
      <c r="I314" s="18">
        <f>'Sampling Data'!H314</f>
        <v>0</v>
      </c>
      <c r="J314" s="18">
        <f>'Sampling Data'!I314</f>
        <v>0</v>
      </c>
      <c r="K314" s="18">
        <f>'Sampling Data'!J314</f>
        <v>0</v>
      </c>
      <c r="L314" s="18">
        <f>'Sampling Data'!K314</f>
        <v>0</v>
      </c>
      <c r="M314" s="18">
        <f>'Sampling Data'!L314</f>
        <v>0</v>
      </c>
      <c r="N314" s="18">
        <f>'Sampling Data'!M314</f>
        <v>0</v>
      </c>
      <c r="O314" s="17">
        <f>'Sampling Data'!N314</f>
        <v>1</v>
      </c>
      <c r="P314" s="17">
        <f>'Sampling Data'!O314</f>
        <v>15</v>
      </c>
      <c r="Q314" s="17">
        <f>'Sampling Data'!P314</f>
        <v>456</v>
      </c>
      <c r="R314" s="17">
        <f>'Sampling Data'!AJ314</f>
        <v>1</v>
      </c>
      <c r="S314" s="111">
        <v>325</v>
      </c>
      <c r="T314" s="111">
        <v>115</v>
      </c>
      <c r="U314" s="112"/>
      <c r="V314" s="112"/>
      <c r="W314" s="111"/>
      <c r="X314" s="111"/>
      <c r="Y314" s="111"/>
      <c r="Z314" s="111"/>
      <c r="AA314" s="14"/>
      <c r="AB314" s="14"/>
      <c r="AC314" s="14"/>
      <c r="AD314" s="14"/>
      <c r="AE314" s="113">
        <f>IF(NOT(ISBLANK(Audit[[#This Row],[Audit Winning Candidate]])), Audit[[#This Row],[Audit Winning Candidate]]-Audit[[#This Row],[Winning Candidate]], "")</f>
        <v>0</v>
      </c>
      <c r="AF314" s="17">
        <f>IF(NOT(ISBLANK(Audit[[#This Row],[Audit Losing Candidate]])), Audit[[#This Row],[Audit Losing Candidate]]-Audit[[#This Row],[Losing Candidate]], "")</f>
        <v>0</v>
      </c>
      <c r="AG314" s="17" t="str">
        <f>IF(NOT(ISBLANK(Audit[[#This Row],[Audit Candidate 3]])), Audit[[#This Row],[Audit Candidate 3]]-Audit[[#This Row],[Candidate 3]], "")</f>
        <v/>
      </c>
      <c r="AH314" s="17" t="str">
        <f>IF(NOT(ISBLANK(Audit[[#This Row],[Audit Candidate 4]])),Audit[[#This Row],[Audit Candidate 4]]-Audit[[#This Row],[Candidate 4]], "")</f>
        <v/>
      </c>
      <c r="AI314" s="17" t="str">
        <f>IF(NOT(ISBLANK(Audit[[#This Row],[Audit Candidate 5]])), Audit[[#This Row],[Audit Candidate 5]]-Audit[[#This Row],[Candidate 5]], "")</f>
        <v/>
      </c>
      <c r="AJ314" s="17" t="str">
        <f>IF(NOT(ISBLANK(Audit[[#This Row],[Audit Candidate 6]])), Audit[[#This Row],[Audit Candidate 6]]-Audit[[#This Row],[Candidate 6]], "")</f>
        <v/>
      </c>
      <c r="AK314" s="17" t="str">
        <f>IF(NOT(ISBLANK(Audit[[#This Row],[Audit Candidate 7]])), Audit[[#This Row],[Audit Candidate 7]]-Audit[[#This Row],[Candidate 7]], "")</f>
        <v/>
      </c>
      <c r="AL314" s="17" t="str">
        <f>IF(NOT(ISBLANK(Audit[[#This Row],[Audit Candidate 8]])), Audit[[#This Row],[Audit Candidate 8]]-Audit[[#This Row],[Candidate 8]], "")</f>
        <v/>
      </c>
      <c r="AM314" s="17" t="str">
        <f>IF(NOT(ISBLANK(Audit[[#This Row],[Audit Candidate 9]])), Audit[[#This Row],[Audit Candidate 9]]-Audit[[#This Row],[Candidate 9]], "")</f>
        <v/>
      </c>
      <c r="AN314" s="17" t="str">
        <f>IF(NOT(ISBLANK(Audit[[#This Row],[Audit Candidate 10]])), Audit[[#This Row],[Audit Candidate 10]]-Audit[[#This Row],[Candidate 10]], "")</f>
        <v/>
      </c>
      <c r="AO314" s="17" t="str">
        <f>IF(NOT(ISBLANK(Audit[[#This Row],[Audit Candidate 11]])), Audit[[#This Row],[Audit Candidate 11]]-Audit[[#This Row],[Candidate 11]], "")</f>
        <v/>
      </c>
      <c r="AP314" s="17" t="str">
        <f>IF(NOT(ISBLANK(Audit[[#This Row],[Audit Candidate 12]])), Audit[[#This Row],[Audit Candidate 12]]-Audit[[#This Row],[Candidate 12]], "")</f>
        <v/>
      </c>
      <c r="AQ314" s="17">
        <f>SUMIF(Audit[[#This Row],[Difference Winner]:[Difference Candidate 12]], "&gt;0")</f>
        <v>0</v>
      </c>
      <c r="AR314" s="17">
        <f>SUM(Audit[[#This Row],[Difference Winner]:[Difference Candidate 12]])</f>
        <v>0</v>
      </c>
      <c r="AS314" s="17">
        <f>IF(Audit[[#This Row],[Times p Drawn - With Replacement]]&gt;0, IF(Audit[[#This Row],[Canceled Differences]]&lt;0, Audit[[#This Row],[Max Differences]]+ABS(Audit[[#This Row],[Canceled Differences]]), Audit[[#This Row],[Max Differences]]), 0)</f>
        <v>0</v>
      </c>
      <c r="AT314" s="17">
        <f>'Sampling Data'!AB314</f>
        <v>2.8263452724494993E-2</v>
      </c>
      <c r="AU314" s="17">
        <f>IF(
      SUM(Audit[[#This Row],[Audit Losing Candidate]:[Audit Candidate 12]])
      &lt;&gt;0,
      (Audit[[#This Row],[Winning Candidate]]-Audit[[#This Row],[Losing Candidate]]-(Audit[[#This Row],[Audit Winning Candidate]]-Audit[[#This Row],[Audit Losing Candidate]]))/(Audit[[#Totals],[Winning Candidate]]-Audit[[#Totals],[Losing Candidate]]),
      0
)</f>
        <v>0</v>
      </c>
      <c r="AV3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4" s="17">
        <f>IF(Audit[[#This Row],[Max Relative Error (ep)]] = 0, 0, Audit[[#This Row],[Max Relative Error (ep)]]/Audit[[#This Row],[Error Bound (up) - Max. possible relative overstatement]])</f>
        <v>0</v>
      </c>
      <c r="BH3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14" s="17">
        <f t="shared" si="5"/>
        <v>0.94645908314247273</v>
      </c>
      <c r="BJ314" s="17">
        <f>PRODUCT($BI$5:BI314)</f>
        <v>0.48901700950994259</v>
      </c>
      <c r="BK314" s="19">
        <f>1 - Audit[[#This Row],[K-M P Value]]</f>
        <v>0.51098299049005735</v>
      </c>
      <c r="BL314" s="17" t="str">
        <f>IF(Audit[[#This Row],[K-M P Value]]&gt;1-'General Info'!$B$12,"Continue", "Stop")</f>
        <v>Continue</v>
      </c>
      <c r="BM314" s="22" t="b">
        <f>IF(Audit[[#This Row],[Status - Continue or stop audit]] = "Continue", TRUE, IF(BL313 = "Continue", TRUE, FALSE))</f>
        <v>1</v>
      </c>
      <c r="BN314" s="22"/>
    </row>
    <row r="315" spans="1:66" ht="15" hidden="1" customHeight="1" x14ac:dyDescent="0.35">
      <c r="A315" s="17" t="str">
        <f>'Sampling Data'!AI315</f>
        <v/>
      </c>
      <c r="B315" s="17" t="str">
        <f>'Sampling Data'!A315</f>
        <v>5305 WYOM E   (AV)</v>
      </c>
      <c r="C315" s="17">
        <f>'Sampling Data'!B315</f>
        <v>372</v>
      </c>
      <c r="D315" s="17">
        <f>'Sampling Data'!C315</f>
        <v>200</v>
      </c>
      <c r="E315" s="18">
        <f>'Sampling Data'!D315</f>
        <v>0</v>
      </c>
      <c r="F315" s="18">
        <f>'Sampling Data'!E315</f>
        <v>0</v>
      </c>
      <c r="G315" s="18">
        <f>'Sampling Data'!F315</f>
        <v>0</v>
      </c>
      <c r="H315" s="18">
        <f>'Sampling Data'!G315</f>
        <v>0</v>
      </c>
      <c r="I315" s="18">
        <f>'Sampling Data'!H315</f>
        <v>0</v>
      </c>
      <c r="J315" s="18">
        <f>'Sampling Data'!I315</f>
        <v>0</v>
      </c>
      <c r="K315" s="18">
        <f>'Sampling Data'!J315</f>
        <v>0</v>
      </c>
      <c r="L315" s="18">
        <f>'Sampling Data'!K315</f>
        <v>0</v>
      </c>
      <c r="M315" s="18">
        <f>'Sampling Data'!L315</f>
        <v>0</v>
      </c>
      <c r="N315" s="18">
        <f>'Sampling Data'!M315</f>
        <v>0</v>
      </c>
      <c r="O315" s="17">
        <f>'Sampling Data'!N315</f>
        <v>0</v>
      </c>
      <c r="P315" s="17">
        <f>'Sampling Data'!O315</f>
        <v>18</v>
      </c>
      <c r="Q315" s="17">
        <f>'Sampling Data'!P315</f>
        <v>590</v>
      </c>
      <c r="R315" s="17">
        <f>'Sampling Data'!AJ315</f>
        <v>0</v>
      </c>
      <c r="S315" s="111"/>
      <c r="T315" s="111"/>
      <c r="U315" s="112"/>
      <c r="V315" s="112"/>
      <c r="W315" s="111"/>
      <c r="X315" s="111"/>
      <c r="Y315" s="111"/>
      <c r="Z315" s="111"/>
      <c r="AA315" s="14"/>
      <c r="AB315" s="14"/>
      <c r="AC315" s="14"/>
      <c r="AD315" s="14"/>
      <c r="AE315" s="113" t="str">
        <f>IF(NOT(ISBLANK(Audit[[#This Row],[Audit Winning Candidate]])), Audit[[#This Row],[Audit Winning Candidate]]-Audit[[#This Row],[Winning Candidate]], "")</f>
        <v/>
      </c>
      <c r="AF315" s="17" t="str">
        <f>IF(NOT(ISBLANK(Audit[[#This Row],[Audit Losing Candidate]])), Audit[[#This Row],[Audit Losing Candidate]]-Audit[[#This Row],[Losing Candidate]], "")</f>
        <v/>
      </c>
      <c r="AG315" s="17" t="str">
        <f>IF(NOT(ISBLANK(Audit[[#This Row],[Audit Candidate 3]])), Audit[[#This Row],[Audit Candidate 3]]-Audit[[#This Row],[Candidate 3]], "")</f>
        <v/>
      </c>
      <c r="AH315" s="17" t="str">
        <f>IF(NOT(ISBLANK(Audit[[#This Row],[Audit Candidate 4]])),Audit[[#This Row],[Audit Candidate 4]]-Audit[[#This Row],[Candidate 4]], "")</f>
        <v/>
      </c>
      <c r="AI315" s="17" t="str">
        <f>IF(NOT(ISBLANK(Audit[[#This Row],[Audit Candidate 5]])), Audit[[#This Row],[Audit Candidate 5]]-Audit[[#This Row],[Candidate 5]], "")</f>
        <v/>
      </c>
      <c r="AJ315" s="17" t="str">
        <f>IF(NOT(ISBLANK(Audit[[#This Row],[Audit Candidate 6]])), Audit[[#This Row],[Audit Candidate 6]]-Audit[[#This Row],[Candidate 6]], "")</f>
        <v/>
      </c>
      <c r="AK315" s="17" t="str">
        <f>IF(NOT(ISBLANK(Audit[[#This Row],[Audit Candidate 7]])), Audit[[#This Row],[Audit Candidate 7]]-Audit[[#This Row],[Candidate 7]], "")</f>
        <v/>
      </c>
      <c r="AL315" s="17" t="str">
        <f>IF(NOT(ISBLANK(Audit[[#This Row],[Audit Candidate 8]])), Audit[[#This Row],[Audit Candidate 8]]-Audit[[#This Row],[Candidate 8]], "")</f>
        <v/>
      </c>
      <c r="AM315" s="17" t="str">
        <f>IF(NOT(ISBLANK(Audit[[#This Row],[Audit Candidate 9]])), Audit[[#This Row],[Audit Candidate 9]]-Audit[[#This Row],[Candidate 9]], "")</f>
        <v/>
      </c>
      <c r="AN315" s="17" t="str">
        <f>IF(NOT(ISBLANK(Audit[[#This Row],[Audit Candidate 10]])), Audit[[#This Row],[Audit Candidate 10]]-Audit[[#This Row],[Candidate 10]], "")</f>
        <v/>
      </c>
      <c r="AO315" s="17" t="str">
        <f>IF(NOT(ISBLANK(Audit[[#This Row],[Audit Candidate 11]])), Audit[[#This Row],[Audit Candidate 11]]-Audit[[#This Row],[Candidate 11]], "")</f>
        <v/>
      </c>
      <c r="AP315" s="17" t="str">
        <f>IF(NOT(ISBLANK(Audit[[#This Row],[Audit Candidate 12]])), Audit[[#This Row],[Audit Candidate 12]]-Audit[[#This Row],[Candidate 12]], "")</f>
        <v/>
      </c>
      <c r="AQ315" s="17">
        <f>SUMIF(Audit[[#This Row],[Difference Winner]:[Difference Candidate 12]], "&gt;0")</f>
        <v>0</v>
      </c>
      <c r="AR315" s="17">
        <f>SUM(Audit[[#This Row],[Difference Winner]:[Difference Candidate 12]])</f>
        <v>0</v>
      </c>
      <c r="AS315" s="17">
        <f>IF(Audit[[#This Row],[Times p Drawn - With Replacement]]&gt;0, IF(Audit[[#This Row],[Canceled Differences]]&lt;0, Audit[[#This Row],[Max Differences]]+ABS(Audit[[#This Row],[Canceled Differences]]), Audit[[#This Row],[Max Differences]]), 0)</f>
        <v>0</v>
      </c>
      <c r="AT315" s="17">
        <f>'Sampling Data'!AB315</f>
        <v>3.2337463928025799E-2</v>
      </c>
      <c r="AU315" s="17">
        <f>IF(
      SUM(Audit[[#This Row],[Audit Losing Candidate]:[Audit Candidate 12]])
      &lt;&gt;0,
      (Audit[[#This Row],[Winning Candidate]]-Audit[[#This Row],[Losing Candidate]]-(Audit[[#This Row],[Audit Winning Candidate]]-Audit[[#This Row],[Audit Losing Candidate]]))/(Audit[[#Totals],[Winning Candidate]]-Audit[[#Totals],[Losing Candidate]]),
      0
)</f>
        <v>0</v>
      </c>
      <c r="AV3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5" s="17">
        <f>IF(Audit[[#This Row],[Max Relative Error (ep)]] = 0, 0, Audit[[#This Row],[Max Relative Error (ep)]]/Audit[[#This Row],[Error Bound (up) - Max. possible relative overstatement]])</f>
        <v>0</v>
      </c>
      <c r="BH3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15" s="17">
        <f t="shared" si="5"/>
        <v>1</v>
      </c>
      <c r="BJ315" s="17">
        <f>PRODUCT($BI$5:BI315)</f>
        <v>0.48901700950994259</v>
      </c>
      <c r="BK315" s="19">
        <f>1 - Audit[[#This Row],[K-M P Value]]</f>
        <v>0.51098299049005735</v>
      </c>
      <c r="BL315" s="17" t="str">
        <f>IF(Audit[[#This Row],[K-M P Value]]&gt;1-'General Info'!$B$12,"Continue", "Stop")</f>
        <v>Continue</v>
      </c>
      <c r="BM315" s="22" t="b">
        <f>IF(Audit[[#This Row],[Status - Continue or stop audit]] = "Continue", TRUE, IF(BL314 = "Continue", TRUE, FALSE))</f>
        <v>1</v>
      </c>
      <c r="BN315" s="22"/>
    </row>
    <row r="316" spans="1:66" ht="15" hidden="1" customHeight="1" x14ac:dyDescent="0.35">
      <c r="A316" s="17" t="str">
        <f>'Sampling Data'!AI316</f>
        <v/>
      </c>
      <c r="B316" s="17" t="str">
        <f>'Sampling Data'!A316</f>
        <v>5501 AMBER A   (AV)</v>
      </c>
      <c r="C316" s="17">
        <f>'Sampling Data'!B316</f>
        <v>224</v>
      </c>
      <c r="D316" s="17">
        <f>'Sampling Data'!C316</f>
        <v>146</v>
      </c>
      <c r="E316" s="18">
        <f>'Sampling Data'!D316</f>
        <v>0</v>
      </c>
      <c r="F316" s="18">
        <f>'Sampling Data'!E316</f>
        <v>0</v>
      </c>
      <c r="G316" s="18">
        <f>'Sampling Data'!F316</f>
        <v>0</v>
      </c>
      <c r="H316" s="18">
        <f>'Sampling Data'!G316</f>
        <v>0</v>
      </c>
      <c r="I316" s="18">
        <f>'Sampling Data'!H316</f>
        <v>0</v>
      </c>
      <c r="J316" s="18">
        <f>'Sampling Data'!I316</f>
        <v>0</v>
      </c>
      <c r="K316" s="18">
        <f>'Sampling Data'!J316</f>
        <v>0</v>
      </c>
      <c r="L316" s="18">
        <f>'Sampling Data'!K316</f>
        <v>0</v>
      </c>
      <c r="M316" s="18">
        <f>'Sampling Data'!L316</f>
        <v>0</v>
      </c>
      <c r="N316" s="18">
        <f>'Sampling Data'!M316</f>
        <v>0</v>
      </c>
      <c r="O316" s="17">
        <f>'Sampling Data'!N316</f>
        <v>0</v>
      </c>
      <c r="P316" s="17">
        <f>'Sampling Data'!O316</f>
        <v>15</v>
      </c>
      <c r="Q316" s="17">
        <f>'Sampling Data'!P316</f>
        <v>385</v>
      </c>
      <c r="R316" s="17">
        <f>'Sampling Data'!AJ316</f>
        <v>0</v>
      </c>
      <c r="S316" s="111"/>
      <c r="T316" s="111"/>
      <c r="U316" s="112"/>
      <c r="V316" s="112"/>
      <c r="W316" s="111"/>
      <c r="X316" s="111"/>
      <c r="Y316" s="111"/>
      <c r="Z316" s="111"/>
      <c r="AA316" s="14"/>
      <c r="AB316" s="14"/>
      <c r="AC316" s="14"/>
      <c r="AD316" s="14"/>
      <c r="AE316" s="113" t="str">
        <f>IF(NOT(ISBLANK(Audit[[#This Row],[Audit Winning Candidate]])), Audit[[#This Row],[Audit Winning Candidate]]-Audit[[#This Row],[Winning Candidate]], "")</f>
        <v/>
      </c>
      <c r="AF316" s="17" t="str">
        <f>IF(NOT(ISBLANK(Audit[[#This Row],[Audit Losing Candidate]])), Audit[[#This Row],[Audit Losing Candidate]]-Audit[[#This Row],[Losing Candidate]], "")</f>
        <v/>
      </c>
      <c r="AG316" s="17" t="str">
        <f>IF(NOT(ISBLANK(Audit[[#This Row],[Audit Candidate 3]])), Audit[[#This Row],[Audit Candidate 3]]-Audit[[#This Row],[Candidate 3]], "")</f>
        <v/>
      </c>
      <c r="AH316" s="17" t="str">
        <f>IF(NOT(ISBLANK(Audit[[#This Row],[Audit Candidate 4]])),Audit[[#This Row],[Audit Candidate 4]]-Audit[[#This Row],[Candidate 4]], "")</f>
        <v/>
      </c>
      <c r="AI316" s="17" t="str">
        <f>IF(NOT(ISBLANK(Audit[[#This Row],[Audit Candidate 5]])), Audit[[#This Row],[Audit Candidate 5]]-Audit[[#This Row],[Candidate 5]], "")</f>
        <v/>
      </c>
      <c r="AJ316" s="17" t="str">
        <f>IF(NOT(ISBLANK(Audit[[#This Row],[Audit Candidate 6]])), Audit[[#This Row],[Audit Candidate 6]]-Audit[[#This Row],[Candidate 6]], "")</f>
        <v/>
      </c>
      <c r="AK316" s="17" t="str">
        <f>IF(NOT(ISBLANK(Audit[[#This Row],[Audit Candidate 7]])), Audit[[#This Row],[Audit Candidate 7]]-Audit[[#This Row],[Candidate 7]], "")</f>
        <v/>
      </c>
      <c r="AL316" s="17" t="str">
        <f>IF(NOT(ISBLANK(Audit[[#This Row],[Audit Candidate 8]])), Audit[[#This Row],[Audit Candidate 8]]-Audit[[#This Row],[Candidate 8]], "")</f>
        <v/>
      </c>
      <c r="AM316" s="17" t="str">
        <f>IF(NOT(ISBLANK(Audit[[#This Row],[Audit Candidate 9]])), Audit[[#This Row],[Audit Candidate 9]]-Audit[[#This Row],[Candidate 9]], "")</f>
        <v/>
      </c>
      <c r="AN316" s="17" t="str">
        <f>IF(NOT(ISBLANK(Audit[[#This Row],[Audit Candidate 10]])), Audit[[#This Row],[Audit Candidate 10]]-Audit[[#This Row],[Candidate 10]], "")</f>
        <v/>
      </c>
      <c r="AO316" s="17" t="str">
        <f>IF(NOT(ISBLANK(Audit[[#This Row],[Audit Candidate 11]])), Audit[[#This Row],[Audit Candidate 11]]-Audit[[#This Row],[Candidate 11]], "")</f>
        <v/>
      </c>
      <c r="AP316" s="17" t="str">
        <f>IF(NOT(ISBLANK(Audit[[#This Row],[Audit Candidate 12]])), Audit[[#This Row],[Audit Candidate 12]]-Audit[[#This Row],[Candidate 12]], "")</f>
        <v/>
      </c>
      <c r="AQ316" s="17">
        <f>SUMIF(Audit[[#This Row],[Difference Winner]:[Difference Candidate 12]], "&gt;0")</f>
        <v>0</v>
      </c>
      <c r="AR316" s="17">
        <f>SUM(Audit[[#This Row],[Difference Winner]:[Difference Candidate 12]])</f>
        <v>0</v>
      </c>
      <c r="AS316" s="17">
        <f>IF(Audit[[#This Row],[Times p Drawn - With Replacement]]&gt;0, IF(Audit[[#This Row],[Canceled Differences]]&lt;0, Audit[[#This Row],[Max Differences]]+ABS(Audit[[#This Row],[Canceled Differences]]), Audit[[#This Row],[Max Differences]]), 0)</f>
        <v>0</v>
      </c>
      <c r="AT316" s="17">
        <f>'Sampling Data'!AB316</f>
        <v>1.9648616533695467E-2</v>
      </c>
      <c r="AU316" s="17">
        <f>IF(
      SUM(Audit[[#This Row],[Audit Losing Candidate]:[Audit Candidate 12]])
      &lt;&gt;0,
      (Audit[[#This Row],[Winning Candidate]]-Audit[[#This Row],[Losing Candidate]]-(Audit[[#This Row],[Audit Winning Candidate]]-Audit[[#This Row],[Audit Losing Candidate]]))/(Audit[[#Totals],[Winning Candidate]]-Audit[[#Totals],[Losing Candidate]]),
      0
)</f>
        <v>0</v>
      </c>
      <c r="AV3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6" s="17">
        <f>IF(Audit[[#This Row],[Max Relative Error (ep)]] = 0, 0, Audit[[#This Row],[Max Relative Error (ep)]]/Audit[[#This Row],[Error Bound (up) - Max. possible relative overstatement]])</f>
        <v>0</v>
      </c>
      <c r="BH3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16" s="17">
        <f t="shared" si="5"/>
        <v>1</v>
      </c>
      <c r="BJ316" s="17">
        <f>PRODUCT($BI$5:BI316)</f>
        <v>0.48901700950994259</v>
      </c>
      <c r="BK316" s="19">
        <f>1 - Audit[[#This Row],[K-M P Value]]</f>
        <v>0.51098299049005735</v>
      </c>
      <c r="BL316" s="17" t="str">
        <f>IF(Audit[[#This Row],[K-M P Value]]&gt;1-'General Info'!$B$12,"Continue", "Stop")</f>
        <v>Continue</v>
      </c>
      <c r="BM316" s="22" t="b">
        <f>IF(Audit[[#This Row],[Status - Continue or stop audit]] = "Continue", TRUE, IF(BL315 = "Continue", TRUE, FALSE))</f>
        <v>1</v>
      </c>
      <c r="BN316" s="22"/>
    </row>
    <row r="317" spans="1:66" ht="15" hidden="1" customHeight="1" x14ac:dyDescent="0.35">
      <c r="A317" s="17" t="str">
        <f>'Sampling Data'!AI317</f>
        <v/>
      </c>
      <c r="B317" s="17" t="str">
        <f>'Sampling Data'!A317</f>
        <v>5502 AMBER B   (AV)</v>
      </c>
      <c r="C317" s="17">
        <f>'Sampling Data'!B317</f>
        <v>179</v>
      </c>
      <c r="D317" s="17">
        <f>'Sampling Data'!C317</f>
        <v>153</v>
      </c>
      <c r="E317" s="18">
        <f>'Sampling Data'!D317</f>
        <v>0</v>
      </c>
      <c r="F317" s="18">
        <f>'Sampling Data'!E317</f>
        <v>0</v>
      </c>
      <c r="G317" s="18">
        <f>'Sampling Data'!F317</f>
        <v>0</v>
      </c>
      <c r="H317" s="18">
        <f>'Sampling Data'!G317</f>
        <v>0</v>
      </c>
      <c r="I317" s="18">
        <f>'Sampling Data'!H317</f>
        <v>0</v>
      </c>
      <c r="J317" s="18">
        <f>'Sampling Data'!I317</f>
        <v>0</v>
      </c>
      <c r="K317" s="18">
        <f>'Sampling Data'!J317</f>
        <v>0</v>
      </c>
      <c r="L317" s="18">
        <f>'Sampling Data'!K317</f>
        <v>0</v>
      </c>
      <c r="M317" s="18">
        <f>'Sampling Data'!L317</f>
        <v>0</v>
      </c>
      <c r="N317" s="18">
        <f>'Sampling Data'!M317</f>
        <v>0</v>
      </c>
      <c r="O317" s="17">
        <f>'Sampling Data'!N317</f>
        <v>0</v>
      </c>
      <c r="P317" s="17">
        <f>'Sampling Data'!O317</f>
        <v>13</v>
      </c>
      <c r="Q317" s="17">
        <f>'Sampling Data'!P317</f>
        <v>345</v>
      </c>
      <c r="R317" s="17">
        <f>'Sampling Data'!AJ317</f>
        <v>0</v>
      </c>
      <c r="S317" s="111"/>
      <c r="T317" s="111"/>
      <c r="U317" s="112"/>
      <c r="V317" s="112"/>
      <c r="W317" s="111"/>
      <c r="X317" s="111"/>
      <c r="Y317" s="111"/>
      <c r="Z317" s="111"/>
      <c r="AA317" s="14"/>
      <c r="AB317" s="14"/>
      <c r="AC317" s="14"/>
      <c r="AD317" s="14"/>
      <c r="AE317" s="113" t="str">
        <f>IF(NOT(ISBLANK(Audit[[#This Row],[Audit Winning Candidate]])), Audit[[#This Row],[Audit Winning Candidate]]-Audit[[#This Row],[Winning Candidate]], "")</f>
        <v/>
      </c>
      <c r="AF317" s="17" t="str">
        <f>IF(NOT(ISBLANK(Audit[[#This Row],[Audit Losing Candidate]])), Audit[[#This Row],[Audit Losing Candidate]]-Audit[[#This Row],[Losing Candidate]], "")</f>
        <v/>
      </c>
      <c r="AG317" s="17" t="str">
        <f>IF(NOT(ISBLANK(Audit[[#This Row],[Audit Candidate 3]])), Audit[[#This Row],[Audit Candidate 3]]-Audit[[#This Row],[Candidate 3]], "")</f>
        <v/>
      </c>
      <c r="AH317" s="17" t="str">
        <f>IF(NOT(ISBLANK(Audit[[#This Row],[Audit Candidate 4]])),Audit[[#This Row],[Audit Candidate 4]]-Audit[[#This Row],[Candidate 4]], "")</f>
        <v/>
      </c>
      <c r="AI317" s="17" t="str">
        <f>IF(NOT(ISBLANK(Audit[[#This Row],[Audit Candidate 5]])), Audit[[#This Row],[Audit Candidate 5]]-Audit[[#This Row],[Candidate 5]], "")</f>
        <v/>
      </c>
      <c r="AJ317" s="17" t="str">
        <f>IF(NOT(ISBLANK(Audit[[#This Row],[Audit Candidate 6]])), Audit[[#This Row],[Audit Candidate 6]]-Audit[[#This Row],[Candidate 6]], "")</f>
        <v/>
      </c>
      <c r="AK317" s="17" t="str">
        <f>IF(NOT(ISBLANK(Audit[[#This Row],[Audit Candidate 7]])), Audit[[#This Row],[Audit Candidate 7]]-Audit[[#This Row],[Candidate 7]], "")</f>
        <v/>
      </c>
      <c r="AL317" s="17" t="str">
        <f>IF(NOT(ISBLANK(Audit[[#This Row],[Audit Candidate 8]])), Audit[[#This Row],[Audit Candidate 8]]-Audit[[#This Row],[Candidate 8]], "")</f>
        <v/>
      </c>
      <c r="AM317" s="17" t="str">
        <f>IF(NOT(ISBLANK(Audit[[#This Row],[Audit Candidate 9]])), Audit[[#This Row],[Audit Candidate 9]]-Audit[[#This Row],[Candidate 9]], "")</f>
        <v/>
      </c>
      <c r="AN317" s="17" t="str">
        <f>IF(NOT(ISBLANK(Audit[[#This Row],[Audit Candidate 10]])), Audit[[#This Row],[Audit Candidate 10]]-Audit[[#This Row],[Candidate 10]], "")</f>
        <v/>
      </c>
      <c r="AO317" s="17" t="str">
        <f>IF(NOT(ISBLANK(Audit[[#This Row],[Audit Candidate 11]])), Audit[[#This Row],[Audit Candidate 11]]-Audit[[#This Row],[Candidate 11]], "")</f>
        <v/>
      </c>
      <c r="AP317" s="17" t="str">
        <f>IF(NOT(ISBLANK(Audit[[#This Row],[Audit Candidate 12]])), Audit[[#This Row],[Audit Candidate 12]]-Audit[[#This Row],[Candidate 12]], "")</f>
        <v/>
      </c>
      <c r="AQ317" s="17">
        <f>SUMIF(Audit[[#This Row],[Difference Winner]:[Difference Candidate 12]], "&gt;0")</f>
        <v>0</v>
      </c>
      <c r="AR317" s="17">
        <f>SUM(Audit[[#This Row],[Difference Winner]:[Difference Candidate 12]])</f>
        <v>0</v>
      </c>
      <c r="AS317" s="17">
        <f>IF(Audit[[#This Row],[Times p Drawn - With Replacement]]&gt;0, IF(Audit[[#This Row],[Canceled Differences]]&lt;0, Audit[[#This Row],[Max Differences]]+ABS(Audit[[#This Row],[Canceled Differences]]), Audit[[#This Row],[Max Differences]]), 0)</f>
        <v>0</v>
      </c>
      <c r="AT317" s="17">
        <f>'Sampling Data'!AB317</f>
        <v>1.5744355796978443E-2</v>
      </c>
      <c r="AU317" s="17">
        <f>IF(
      SUM(Audit[[#This Row],[Audit Losing Candidate]:[Audit Candidate 12]])
      &lt;&gt;0,
      (Audit[[#This Row],[Winning Candidate]]-Audit[[#This Row],[Losing Candidate]]-(Audit[[#This Row],[Audit Winning Candidate]]-Audit[[#This Row],[Audit Losing Candidate]]))/(Audit[[#Totals],[Winning Candidate]]-Audit[[#Totals],[Losing Candidate]]),
      0
)</f>
        <v>0</v>
      </c>
      <c r="AV3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7" s="17">
        <f>IF(Audit[[#This Row],[Max Relative Error (ep)]] = 0, 0, Audit[[#This Row],[Max Relative Error (ep)]]/Audit[[#This Row],[Error Bound (up) - Max. possible relative overstatement]])</f>
        <v>0</v>
      </c>
      <c r="BH3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17" s="17">
        <f t="shared" si="5"/>
        <v>1</v>
      </c>
      <c r="BJ317" s="17">
        <f>PRODUCT($BI$5:BI317)</f>
        <v>0.48901700950994259</v>
      </c>
      <c r="BK317" s="19">
        <f>1 - Audit[[#This Row],[K-M P Value]]</f>
        <v>0.51098299049005735</v>
      </c>
      <c r="BL317" s="17" t="str">
        <f>IF(Audit[[#This Row],[K-M P Value]]&gt;1-'General Info'!$B$12,"Continue", "Stop")</f>
        <v>Continue</v>
      </c>
      <c r="BM317" s="22" t="b">
        <f>IF(Audit[[#This Row],[Status - Continue or stop audit]] = "Continue", TRUE, IF(BL316 = "Continue", TRUE, FALSE))</f>
        <v>1</v>
      </c>
      <c r="BN317" s="22"/>
    </row>
    <row r="318" spans="1:66" ht="15" hidden="1" customHeight="1" x14ac:dyDescent="0.35">
      <c r="A318" s="17" t="str">
        <f>'Sampling Data'!AI318</f>
        <v/>
      </c>
      <c r="B318" s="17" t="str">
        <f>'Sampling Data'!A318</f>
        <v>5503 AMBER C   (AV)</v>
      </c>
      <c r="C318" s="17">
        <f>'Sampling Data'!B318</f>
        <v>135</v>
      </c>
      <c r="D318" s="17">
        <f>'Sampling Data'!C318</f>
        <v>95</v>
      </c>
      <c r="E318" s="18">
        <f>'Sampling Data'!D318</f>
        <v>0</v>
      </c>
      <c r="F318" s="18">
        <f>'Sampling Data'!E318</f>
        <v>0</v>
      </c>
      <c r="G318" s="18">
        <f>'Sampling Data'!F318</f>
        <v>0</v>
      </c>
      <c r="H318" s="18">
        <f>'Sampling Data'!G318</f>
        <v>0</v>
      </c>
      <c r="I318" s="18">
        <f>'Sampling Data'!H318</f>
        <v>0</v>
      </c>
      <c r="J318" s="18">
        <f>'Sampling Data'!I318</f>
        <v>0</v>
      </c>
      <c r="K318" s="18">
        <f>'Sampling Data'!J318</f>
        <v>0</v>
      </c>
      <c r="L318" s="18">
        <f>'Sampling Data'!K318</f>
        <v>0</v>
      </c>
      <c r="M318" s="18">
        <f>'Sampling Data'!L318</f>
        <v>0</v>
      </c>
      <c r="N318" s="18">
        <f>'Sampling Data'!M318</f>
        <v>0</v>
      </c>
      <c r="O318" s="17">
        <f>'Sampling Data'!N318</f>
        <v>0</v>
      </c>
      <c r="P318" s="17">
        <f>'Sampling Data'!O318</f>
        <v>10</v>
      </c>
      <c r="Q318" s="17">
        <f>'Sampling Data'!P318</f>
        <v>240</v>
      </c>
      <c r="R318" s="17">
        <f>'Sampling Data'!AJ318</f>
        <v>0</v>
      </c>
      <c r="S318" s="111"/>
      <c r="T318" s="111"/>
      <c r="U318" s="112"/>
      <c r="V318" s="112"/>
      <c r="W318" s="111"/>
      <c r="X318" s="111"/>
      <c r="Y318" s="111"/>
      <c r="Z318" s="111"/>
      <c r="AA318" s="14"/>
      <c r="AB318" s="14"/>
      <c r="AC318" s="14"/>
      <c r="AD318" s="14"/>
      <c r="AE318" s="113" t="str">
        <f>IF(NOT(ISBLANK(Audit[[#This Row],[Audit Winning Candidate]])), Audit[[#This Row],[Audit Winning Candidate]]-Audit[[#This Row],[Winning Candidate]], "")</f>
        <v/>
      </c>
      <c r="AF318" s="17" t="str">
        <f>IF(NOT(ISBLANK(Audit[[#This Row],[Audit Losing Candidate]])), Audit[[#This Row],[Audit Losing Candidate]]-Audit[[#This Row],[Losing Candidate]], "")</f>
        <v/>
      </c>
      <c r="AG318" s="17" t="str">
        <f>IF(NOT(ISBLANK(Audit[[#This Row],[Audit Candidate 3]])), Audit[[#This Row],[Audit Candidate 3]]-Audit[[#This Row],[Candidate 3]], "")</f>
        <v/>
      </c>
      <c r="AH318" s="17" t="str">
        <f>IF(NOT(ISBLANK(Audit[[#This Row],[Audit Candidate 4]])),Audit[[#This Row],[Audit Candidate 4]]-Audit[[#This Row],[Candidate 4]], "")</f>
        <v/>
      </c>
      <c r="AI318" s="17" t="str">
        <f>IF(NOT(ISBLANK(Audit[[#This Row],[Audit Candidate 5]])), Audit[[#This Row],[Audit Candidate 5]]-Audit[[#This Row],[Candidate 5]], "")</f>
        <v/>
      </c>
      <c r="AJ318" s="17" t="str">
        <f>IF(NOT(ISBLANK(Audit[[#This Row],[Audit Candidate 6]])), Audit[[#This Row],[Audit Candidate 6]]-Audit[[#This Row],[Candidate 6]], "")</f>
        <v/>
      </c>
      <c r="AK318" s="17" t="str">
        <f>IF(NOT(ISBLANK(Audit[[#This Row],[Audit Candidate 7]])), Audit[[#This Row],[Audit Candidate 7]]-Audit[[#This Row],[Candidate 7]], "")</f>
        <v/>
      </c>
      <c r="AL318" s="17" t="str">
        <f>IF(NOT(ISBLANK(Audit[[#This Row],[Audit Candidate 8]])), Audit[[#This Row],[Audit Candidate 8]]-Audit[[#This Row],[Candidate 8]], "")</f>
        <v/>
      </c>
      <c r="AM318" s="17" t="str">
        <f>IF(NOT(ISBLANK(Audit[[#This Row],[Audit Candidate 9]])), Audit[[#This Row],[Audit Candidate 9]]-Audit[[#This Row],[Candidate 9]], "")</f>
        <v/>
      </c>
      <c r="AN318" s="17" t="str">
        <f>IF(NOT(ISBLANK(Audit[[#This Row],[Audit Candidate 10]])), Audit[[#This Row],[Audit Candidate 10]]-Audit[[#This Row],[Candidate 10]], "")</f>
        <v/>
      </c>
      <c r="AO318" s="17" t="str">
        <f>IF(NOT(ISBLANK(Audit[[#This Row],[Audit Candidate 11]])), Audit[[#This Row],[Audit Candidate 11]]-Audit[[#This Row],[Candidate 11]], "")</f>
        <v/>
      </c>
      <c r="AP318" s="17" t="str">
        <f>IF(NOT(ISBLANK(Audit[[#This Row],[Audit Candidate 12]])), Audit[[#This Row],[Audit Candidate 12]]-Audit[[#This Row],[Candidate 12]], "")</f>
        <v/>
      </c>
      <c r="AQ318" s="17">
        <f>SUMIF(Audit[[#This Row],[Difference Winner]:[Difference Candidate 12]], "&gt;0")</f>
        <v>0</v>
      </c>
      <c r="AR318" s="17">
        <f>SUM(Audit[[#This Row],[Difference Winner]:[Difference Candidate 12]])</f>
        <v>0</v>
      </c>
      <c r="AS318" s="17">
        <f>IF(Audit[[#This Row],[Times p Drawn - With Replacement]]&gt;0, IF(Audit[[#This Row],[Canceled Differences]]&lt;0, Audit[[#This Row],[Max Differences]]+ABS(Audit[[#This Row],[Canceled Differences]]), Audit[[#This Row],[Max Differences]]), 0)</f>
        <v>0</v>
      </c>
      <c r="AT318" s="17">
        <f>'Sampling Data'!AB318</f>
        <v>1.1882532676964862E-2</v>
      </c>
      <c r="AU318" s="17">
        <f>IF(
      SUM(Audit[[#This Row],[Audit Losing Candidate]:[Audit Candidate 12]])
      &lt;&gt;0,
      (Audit[[#This Row],[Winning Candidate]]-Audit[[#This Row],[Losing Candidate]]-(Audit[[#This Row],[Audit Winning Candidate]]-Audit[[#This Row],[Audit Losing Candidate]]))/(Audit[[#Totals],[Winning Candidate]]-Audit[[#Totals],[Losing Candidate]]),
      0
)</f>
        <v>0</v>
      </c>
      <c r="AV3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8" s="17">
        <f>IF(Audit[[#This Row],[Max Relative Error (ep)]] = 0, 0, Audit[[#This Row],[Max Relative Error (ep)]]/Audit[[#This Row],[Error Bound (up) - Max. possible relative overstatement]])</f>
        <v>0</v>
      </c>
      <c r="BH3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18" s="17">
        <f t="shared" si="5"/>
        <v>1</v>
      </c>
      <c r="BJ318" s="17">
        <f>PRODUCT($BI$5:BI318)</f>
        <v>0.48901700950994259</v>
      </c>
      <c r="BK318" s="19">
        <f>1 - Audit[[#This Row],[K-M P Value]]</f>
        <v>0.51098299049005735</v>
      </c>
      <c r="BL318" s="17" t="str">
        <f>IF(Audit[[#This Row],[K-M P Value]]&gt;1-'General Info'!$B$12,"Continue", "Stop")</f>
        <v>Continue</v>
      </c>
      <c r="BM318" s="22" t="b">
        <f>IF(Audit[[#This Row],[Status - Continue or stop audit]] = "Continue", TRUE, IF(BL317 = "Continue", TRUE, FALSE))</f>
        <v>1</v>
      </c>
      <c r="BN318" s="22"/>
    </row>
    <row r="319" spans="1:66" ht="15" hidden="1" customHeight="1" x14ac:dyDescent="0.35">
      <c r="A319" s="17" t="str">
        <f>'Sampling Data'!AI319</f>
        <v/>
      </c>
      <c r="B319" s="17" t="str">
        <f>'Sampling Data'!A319</f>
        <v>5504 AMBER D   (AV)</v>
      </c>
      <c r="C319" s="17">
        <f>'Sampling Data'!B319</f>
        <v>253</v>
      </c>
      <c r="D319" s="17">
        <f>'Sampling Data'!C319</f>
        <v>145</v>
      </c>
      <c r="E319" s="18">
        <f>'Sampling Data'!D319</f>
        <v>0</v>
      </c>
      <c r="F319" s="18">
        <f>'Sampling Data'!E319</f>
        <v>0</v>
      </c>
      <c r="G319" s="18">
        <f>'Sampling Data'!F319</f>
        <v>0</v>
      </c>
      <c r="H319" s="18">
        <f>'Sampling Data'!G319</f>
        <v>0</v>
      </c>
      <c r="I319" s="18">
        <f>'Sampling Data'!H319</f>
        <v>0</v>
      </c>
      <c r="J319" s="18">
        <f>'Sampling Data'!I319</f>
        <v>0</v>
      </c>
      <c r="K319" s="18">
        <f>'Sampling Data'!J319</f>
        <v>0</v>
      </c>
      <c r="L319" s="18">
        <f>'Sampling Data'!K319</f>
        <v>0</v>
      </c>
      <c r="M319" s="18">
        <f>'Sampling Data'!L319</f>
        <v>0</v>
      </c>
      <c r="N319" s="18">
        <f>'Sampling Data'!M319</f>
        <v>0</v>
      </c>
      <c r="O319" s="17">
        <f>'Sampling Data'!N319</f>
        <v>0</v>
      </c>
      <c r="P319" s="17">
        <f>'Sampling Data'!O319</f>
        <v>20</v>
      </c>
      <c r="Q319" s="17">
        <f>'Sampling Data'!P319</f>
        <v>418</v>
      </c>
      <c r="R319" s="17">
        <f>'Sampling Data'!AJ319</f>
        <v>0</v>
      </c>
      <c r="S319" s="111"/>
      <c r="T319" s="111"/>
      <c r="U319" s="112"/>
      <c r="V319" s="112"/>
      <c r="W319" s="111"/>
      <c r="X319" s="111"/>
      <c r="Y319" s="111"/>
      <c r="Z319" s="111"/>
      <c r="AA319" s="14"/>
      <c r="AB319" s="14"/>
      <c r="AC319" s="14"/>
      <c r="AD319" s="14"/>
      <c r="AE319" s="113" t="str">
        <f>IF(NOT(ISBLANK(Audit[[#This Row],[Audit Winning Candidate]])), Audit[[#This Row],[Audit Winning Candidate]]-Audit[[#This Row],[Winning Candidate]], "")</f>
        <v/>
      </c>
      <c r="AF319" s="17" t="str">
        <f>IF(NOT(ISBLANK(Audit[[#This Row],[Audit Losing Candidate]])), Audit[[#This Row],[Audit Losing Candidate]]-Audit[[#This Row],[Losing Candidate]], "")</f>
        <v/>
      </c>
      <c r="AG319" s="17" t="str">
        <f>IF(NOT(ISBLANK(Audit[[#This Row],[Audit Candidate 3]])), Audit[[#This Row],[Audit Candidate 3]]-Audit[[#This Row],[Candidate 3]], "")</f>
        <v/>
      </c>
      <c r="AH319" s="17" t="str">
        <f>IF(NOT(ISBLANK(Audit[[#This Row],[Audit Candidate 4]])),Audit[[#This Row],[Audit Candidate 4]]-Audit[[#This Row],[Candidate 4]], "")</f>
        <v/>
      </c>
      <c r="AI319" s="17" t="str">
        <f>IF(NOT(ISBLANK(Audit[[#This Row],[Audit Candidate 5]])), Audit[[#This Row],[Audit Candidate 5]]-Audit[[#This Row],[Candidate 5]], "")</f>
        <v/>
      </c>
      <c r="AJ319" s="17" t="str">
        <f>IF(NOT(ISBLANK(Audit[[#This Row],[Audit Candidate 6]])), Audit[[#This Row],[Audit Candidate 6]]-Audit[[#This Row],[Candidate 6]], "")</f>
        <v/>
      </c>
      <c r="AK319" s="17" t="str">
        <f>IF(NOT(ISBLANK(Audit[[#This Row],[Audit Candidate 7]])), Audit[[#This Row],[Audit Candidate 7]]-Audit[[#This Row],[Candidate 7]], "")</f>
        <v/>
      </c>
      <c r="AL319" s="17" t="str">
        <f>IF(NOT(ISBLANK(Audit[[#This Row],[Audit Candidate 8]])), Audit[[#This Row],[Audit Candidate 8]]-Audit[[#This Row],[Candidate 8]], "")</f>
        <v/>
      </c>
      <c r="AM319" s="17" t="str">
        <f>IF(NOT(ISBLANK(Audit[[#This Row],[Audit Candidate 9]])), Audit[[#This Row],[Audit Candidate 9]]-Audit[[#This Row],[Candidate 9]], "")</f>
        <v/>
      </c>
      <c r="AN319" s="17" t="str">
        <f>IF(NOT(ISBLANK(Audit[[#This Row],[Audit Candidate 10]])), Audit[[#This Row],[Audit Candidate 10]]-Audit[[#This Row],[Candidate 10]], "")</f>
        <v/>
      </c>
      <c r="AO319" s="17" t="str">
        <f>IF(NOT(ISBLANK(Audit[[#This Row],[Audit Candidate 11]])), Audit[[#This Row],[Audit Candidate 11]]-Audit[[#This Row],[Candidate 11]], "")</f>
        <v/>
      </c>
      <c r="AP319" s="17" t="str">
        <f>IF(NOT(ISBLANK(Audit[[#This Row],[Audit Candidate 12]])), Audit[[#This Row],[Audit Candidate 12]]-Audit[[#This Row],[Candidate 12]], "")</f>
        <v/>
      </c>
      <c r="AQ319" s="17">
        <f>SUMIF(Audit[[#This Row],[Difference Winner]:[Difference Candidate 12]], "&gt;0")</f>
        <v>0</v>
      </c>
      <c r="AR319" s="17">
        <f>SUM(Audit[[#This Row],[Difference Winner]:[Difference Candidate 12]])</f>
        <v>0</v>
      </c>
      <c r="AS319" s="17">
        <f>IF(Audit[[#This Row],[Times p Drawn - With Replacement]]&gt;0, IF(Audit[[#This Row],[Canceled Differences]]&lt;0, Audit[[#This Row],[Max Differences]]+ABS(Audit[[#This Row],[Canceled Differences]]), Audit[[#This Row],[Max Differences]]), 0)</f>
        <v>0</v>
      </c>
      <c r="AT319" s="17">
        <f>'Sampling Data'!AB319</f>
        <v>2.2322186386012563E-2</v>
      </c>
      <c r="AU319" s="17">
        <f>IF(
      SUM(Audit[[#This Row],[Audit Losing Candidate]:[Audit Candidate 12]])
      &lt;&gt;0,
      (Audit[[#This Row],[Winning Candidate]]-Audit[[#This Row],[Losing Candidate]]-(Audit[[#This Row],[Audit Winning Candidate]]-Audit[[#This Row],[Audit Losing Candidate]]))/(Audit[[#Totals],[Winning Candidate]]-Audit[[#Totals],[Losing Candidate]]),
      0
)</f>
        <v>0</v>
      </c>
      <c r="AV3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9" s="17">
        <f>IF(Audit[[#This Row],[Max Relative Error (ep)]] = 0, 0, Audit[[#This Row],[Max Relative Error (ep)]]/Audit[[#This Row],[Error Bound (up) - Max. possible relative overstatement]])</f>
        <v>0</v>
      </c>
      <c r="BH3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19" s="17">
        <f t="shared" si="5"/>
        <v>1</v>
      </c>
      <c r="BJ319" s="17">
        <f>PRODUCT($BI$5:BI319)</f>
        <v>0.48901700950994259</v>
      </c>
      <c r="BK319" s="19">
        <f>1 - Audit[[#This Row],[K-M P Value]]</f>
        <v>0.51098299049005735</v>
      </c>
      <c r="BL319" s="17" t="str">
        <f>IF(Audit[[#This Row],[K-M P Value]]&gt;1-'General Info'!$B$12,"Continue", "Stop")</f>
        <v>Continue</v>
      </c>
      <c r="BM319" s="22" t="b">
        <f>IF(Audit[[#This Row],[Status - Continue or stop audit]] = "Continue", TRUE, IF(BL318 = "Continue", TRUE, FALSE))</f>
        <v>1</v>
      </c>
      <c r="BN319" s="22"/>
    </row>
    <row r="320" spans="1:66" ht="15" hidden="1" customHeight="1" x14ac:dyDescent="0.35">
      <c r="A320" s="17" t="str">
        <f>'Sampling Data'!AI320</f>
        <v/>
      </c>
      <c r="B320" s="17" t="str">
        <f>'Sampling Data'!A320</f>
        <v>5601 AND A   (AV)</v>
      </c>
      <c r="C320" s="17">
        <f>'Sampling Data'!B320</f>
        <v>145</v>
      </c>
      <c r="D320" s="17">
        <f>'Sampling Data'!C320</f>
        <v>141</v>
      </c>
      <c r="E320" s="18">
        <f>'Sampling Data'!D320</f>
        <v>0</v>
      </c>
      <c r="F320" s="18">
        <f>'Sampling Data'!E320</f>
        <v>0</v>
      </c>
      <c r="G320" s="18">
        <f>'Sampling Data'!F320</f>
        <v>0</v>
      </c>
      <c r="H320" s="18">
        <f>'Sampling Data'!G320</f>
        <v>0</v>
      </c>
      <c r="I320" s="18">
        <f>'Sampling Data'!H320</f>
        <v>0</v>
      </c>
      <c r="J320" s="18">
        <f>'Sampling Data'!I320</f>
        <v>0</v>
      </c>
      <c r="K320" s="18">
        <f>'Sampling Data'!J320</f>
        <v>0</v>
      </c>
      <c r="L320" s="18">
        <f>'Sampling Data'!K320</f>
        <v>0</v>
      </c>
      <c r="M320" s="18">
        <f>'Sampling Data'!L320</f>
        <v>0</v>
      </c>
      <c r="N320" s="18">
        <f>'Sampling Data'!M320</f>
        <v>0</v>
      </c>
      <c r="O320" s="17">
        <f>'Sampling Data'!N320</f>
        <v>0</v>
      </c>
      <c r="P320" s="17">
        <f>'Sampling Data'!O320</f>
        <v>28</v>
      </c>
      <c r="Q320" s="17">
        <f>'Sampling Data'!P320</f>
        <v>314</v>
      </c>
      <c r="R320" s="17">
        <f>'Sampling Data'!AJ320</f>
        <v>0</v>
      </c>
      <c r="S320" s="111"/>
      <c r="T320" s="111"/>
      <c r="U320" s="112"/>
      <c r="V320" s="112"/>
      <c r="W320" s="111"/>
      <c r="X320" s="111"/>
      <c r="Y320" s="111"/>
      <c r="Z320" s="111"/>
      <c r="AA320" s="14"/>
      <c r="AB320" s="14"/>
      <c r="AC320" s="14"/>
      <c r="AD320" s="14"/>
      <c r="AE320" s="113" t="str">
        <f>IF(NOT(ISBLANK(Audit[[#This Row],[Audit Winning Candidate]])), Audit[[#This Row],[Audit Winning Candidate]]-Audit[[#This Row],[Winning Candidate]], "")</f>
        <v/>
      </c>
      <c r="AF320" s="17" t="str">
        <f>IF(NOT(ISBLANK(Audit[[#This Row],[Audit Losing Candidate]])), Audit[[#This Row],[Audit Losing Candidate]]-Audit[[#This Row],[Losing Candidate]], "")</f>
        <v/>
      </c>
      <c r="AG320" s="17" t="str">
        <f>IF(NOT(ISBLANK(Audit[[#This Row],[Audit Candidate 3]])), Audit[[#This Row],[Audit Candidate 3]]-Audit[[#This Row],[Candidate 3]], "")</f>
        <v/>
      </c>
      <c r="AH320" s="17" t="str">
        <f>IF(NOT(ISBLANK(Audit[[#This Row],[Audit Candidate 4]])),Audit[[#This Row],[Audit Candidate 4]]-Audit[[#This Row],[Candidate 4]], "")</f>
        <v/>
      </c>
      <c r="AI320" s="17" t="str">
        <f>IF(NOT(ISBLANK(Audit[[#This Row],[Audit Candidate 5]])), Audit[[#This Row],[Audit Candidate 5]]-Audit[[#This Row],[Candidate 5]], "")</f>
        <v/>
      </c>
      <c r="AJ320" s="17" t="str">
        <f>IF(NOT(ISBLANK(Audit[[#This Row],[Audit Candidate 6]])), Audit[[#This Row],[Audit Candidate 6]]-Audit[[#This Row],[Candidate 6]], "")</f>
        <v/>
      </c>
      <c r="AK320" s="17" t="str">
        <f>IF(NOT(ISBLANK(Audit[[#This Row],[Audit Candidate 7]])), Audit[[#This Row],[Audit Candidate 7]]-Audit[[#This Row],[Candidate 7]], "")</f>
        <v/>
      </c>
      <c r="AL320" s="17" t="str">
        <f>IF(NOT(ISBLANK(Audit[[#This Row],[Audit Candidate 8]])), Audit[[#This Row],[Audit Candidate 8]]-Audit[[#This Row],[Candidate 8]], "")</f>
        <v/>
      </c>
      <c r="AM320" s="17" t="str">
        <f>IF(NOT(ISBLANK(Audit[[#This Row],[Audit Candidate 9]])), Audit[[#This Row],[Audit Candidate 9]]-Audit[[#This Row],[Candidate 9]], "")</f>
        <v/>
      </c>
      <c r="AN320" s="17" t="str">
        <f>IF(NOT(ISBLANK(Audit[[#This Row],[Audit Candidate 10]])), Audit[[#This Row],[Audit Candidate 10]]-Audit[[#This Row],[Candidate 10]], "")</f>
        <v/>
      </c>
      <c r="AO320" s="17" t="str">
        <f>IF(NOT(ISBLANK(Audit[[#This Row],[Audit Candidate 11]])), Audit[[#This Row],[Audit Candidate 11]]-Audit[[#This Row],[Candidate 11]], "")</f>
        <v/>
      </c>
      <c r="AP320" s="17" t="str">
        <f>IF(NOT(ISBLANK(Audit[[#This Row],[Audit Candidate 12]])), Audit[[#This Row],[Audit Candidate 12]]-Audit[[#This Row],[Candidate 12]], "")</f>
        <v/>
      </c>
      <c r="AQ320" s="17">
        <f>SUMIF(Audit[[#This Row],[Difference Winner]:[Difference Candidate 12]], "&gt;0")</f>
        <v>0</v>
      </c>
      <c r="AR320" s="17">
        <f>SUM(Audit[[#This Row],[Difference Winner]:[Difference Candidate 12]])</f>
        <v>0</v>
      </c>
      <c r="AS320" s="17">
        <f>IF(Audit[[#This Row],[Times p Drawn - With Replacement]]&gt;0, IF(Audit[[#This Row],[Canceled Differences]]&lt;0, Audit[[#This Row],[Max Differences]]+ABS(Audit[[#This Row],[Canceled Differences]]), Audit[[#This Row],[Max Differences]]), 0)</f>
        <v>0</v>
      </c>
      <c r="AT320" s="17">
        <f>'Sampling Data'!AB320</f>
        <v>1.3495162111695807E-2</v>
      </c>
      <c r="AU320" s="17">
        <f>IF(
      SUM(Audit[[#This Row],[Audit Losing Candidate]:[Audit Candidate 12]])
      &lt;&gt;0,
      (Audit[[#This Row],[Winning Candidate]]-Audit[[#This Row],[Losing Candidate]]-(Audit[[#This Row],[Audit Winning Candidate]]-Audit[[#This Row],[Audit Losing Candidate]]))/(Audit[[#Totals],[Winning Candidate]]-Audit[[#Totals],[Losing Candidate]]),
      0
)</f>
        <v>0</v>
      </c>
      <c r="AV3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0" s="17">
        <f>IF(Audit[[#This Row],[Max Relative Error (ep)]] = 0, 0, Audit[[#This Row],[Max Relative Error (ep)]]/Audit[[#This Row],[Error Bound (up) - Max. possible relative overstatement]])</f>
        <v>0</v>
      </c>
      <c r="BH3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20" s="17">
        <f t="shared" si="5"/>
        <v>1</v>
      </c>
      <c r="BJ320" s="17">
        <f>PRODUCT($BI$5:BI320)</f>
        <v>0.48901700950994259</v>
      </c>
      <c r="BK320" s="19">
        <f>1 - Audit[[#This Row],[K-M P Value]]</f>
        <v>0.51098299049005735</v>
      </c>
      <c r="BL320" s="17" t="str">
        <f>IF(Audit[[#This Row],[K-M P Value]]&gt;1-'General Info'!$B$12,"Continue", "Stop")</f>
        <v>Continue</v>
      </c>
      <c r="BM320" s="22" t="b">
        <f>IF(Audit[[#This Row],[Status - Continue or stop audit]] = "Continue", TRUE, IF(BL319 = "Continue", TRUE, FALSE))</f>
        <v>1</v>
      </c>
      <c r="BN320" s="22"/>
    </row>
    <row r="321" spans="1:66" ht="15" hidden="1" customHeight="1" x14ac:dyDescent="0.35">
      <c r="A321" s="17" t="str">
        <f>'Sampling Data'!AI321</f>
        <v/>
      </c>
      <c r="B321" s="17" t="str">
        <f>'Sampling Data'!A321</f>
        <v>5602 AND B   (AV)</v>
      </c>
      <c r="C321" s="17">
        <f>'Sampling Data'!B321</f>
        <v>167</v>
      </c>
      <c r="D321" s="17">
        <f>'Sampling Data'!C321</f>
        <v>239</v>
      </c>
      <c r="E321" s="18">
        <f>'Sampling Data'!D321</f>
        <v>0</v>
      </c>
      <c r="F321" s="18">
        <f>'Sampling Data'!E321</f>
        <v>0</v>
      </c>
      <c r="G321" s="18">
        <f>'Sampling Data'!F321</f>
        <v>0</v>
      </c>
      <c r="H321" s="18">
        <f>'Sampling Data'!G321</f>
        <v>0</v>
      </c>
      <c r="I321" s="18">
        <f>'Sampling Data'!H321</f>
        <v>0</v>
      </c>
      <c r="J321" s="18">
        <f>'Sampling Data'!I321</f>
        <v>0</v>
      </c>
      <c r="K321" s="18">
        <f>'Sampling Data'!J321</f>
        <v>0</v>
      </c>
      <c r="L321" s="18">
        <f>'Sampling Data'!K321</f>
        <v>0</v>
      </c>
      <c r="M321" s="18">
        <f>'Sampling Data'!L321</f>
        <v>0</v>
      </c>
      <c r="N321" s="18">
        <f>'Sampling Data'!M321</f>
        <v>0</v>
      </c>
      <c r="O321" s="17">
        <f>'Sampling Data'!N321</f>
        <v>0</v>
      </c>
      <c r="P321" s="17">
        <f>'Sampling Data'!O321</f>
        <v>34</v>
      </c>
      <c r="Q321" s="17">
        <f>'Sampling Data'!P321</f>
        <v>440</v>
      </c>
      <c r="R321" s="17">
        <f>'Sampling Data'!AJ321</f>
        <v>0</v>
      </c>
      <c r="S321" s="111"/>
      <c r="T321" s="111"/>
      <c r="U321" s="112"/>
      <c r="V321" s="112"/>
      <c r="W321" s="111"/>
      <c r="X321" s="111"/>
      <c r="Y321" s="111"/>
      <c r="Z321" s="111"/>
      <c r="AA321" s="14"/>
      <c r="AB321" s="14"/>
      <c r="AC321" s="14"/>
      <c r="AD321" s="14"/>
      <c r="AE321" s="113" t="str">
        <f>IF(NOT(ISBLANK(Audit[[#This Row],[Audit Winning Candidate]])), Audit[[#This Row],[Audit Winning Candidate]]-Audit[[#This Row],[Winning Candidate]], "")</f>
        <v/>
      </c>
      <c r="AF321" s="17" t="str">
        <f>IF(NOT(ISBLANK(Audit[[#This Row],[Audit Losing Candidate]])), Audit[[#This Row],[Audit Losing Candidate]]-Audit[[#This Row],[Losing Candidate]], "")</f>
        <v/>
      </c>
      <c r="AG321" s="17" t="str">
        <f>IF(NOT(ISBLANK(Audit[[#This Row],[Audit Candidate 3]])), Audit[[#This Row],[Audit Candidate 3]]-Audit[[#This Row],[Candidate 3]], "")</f>
        <v/>
      </c>
      <c r="AH321" s="17" t="str">
        <f>IF(NOT(ISBLANK(Audit[[#This Row],[Audit Candidate 4]])),Audit[[#This Row],[Audit Candidate 4]]-Audit[[#This Row],[Candidate 4]], "")</f>
        <v/>
      </c>
      <c r="AI321" s="17" t="str">
        <f>IF(NOT(ISBLANK(Audit[[#This Row],[Audit Candidate 5]])), Audit[[#This Row],[Audit Candidate 5]]-Audit[[#This Row],[Candidate 5]], "")</f>
        <v/>
      </c>
      <c r="AJ321" s="17" t="str">
        <f>IF(NOT(ISBLANK(Audit[[#This Row],[Audit Candidate 6]])), Audit[[#This Row],[Audit Candidate 6]]-Audit[[#This Row],[Candidate 6]], "")</f>
        <v/>
      </c>
      <c r="AK321" s="17" t="str">
        <f>IF(NOT(ISBLANK(Audit[[#This Row],[Audit Candidate 7]])), Audit[[#This Row],[Audit Candidate 7]]-Audit[[#This Row],[Candidate 7]], "")</f>
        <v/>
      </c>
      <c r="AL321" s="17" t="str">
        <f>IF(NOT(ISBLANK(Audit[[#This Row],[Audit Candidate 8]])), Audit[[#This Row],[Audit Candidate 8]]-Audit[[#This Row],[Candidate 8]], "")</f>
        <v/>
      </c>
      <c r="AM321" s="17" t="str">
        <f>IF(NOT(ISBLANK(Audit[[#This Row],[Audit Candidate 9]])), Audit[[#This Row],[Audit Candidate 9]]-Audit[[#This Row],[Candidate 9]], "")</f>
        <v/>
      </c>
      <c r="AN321" s="17" t="str">
        <f>IF(NOT(ISBLANK(Audit[[#This Row],[Audit Candidate 10]])), Audit[[#This Row],[Audit Candidate 10]]-Audit[[#This Row],[Candidate 10]], "")</f>
        <v/>
      </c>
      <c r="AO321" s="17" t="str">
        <f>IF(NOT(ISBLANK(Audit[[#This Row],[Audit Candidate 11]])), Audit[[#This Row],[Audit Candidate 11]]-Audit[[#This Row],[Candidate 11]], "")</f>
        <v/>
      </c>
      <c r="AP321" s="17" t="str">
        <f>IF(NOT(ISBLANK(Audit[[#This Row],[Audit Candidate 12]])), Audit[[#This Row],[Audit Candidate 12]]-Audit[[#This Row],[Candidate 12]], "")</f>
        <v/>
      </c>
      <c r="AQ321" s="17">
        <f>SUMIF(Audit[[#This Row],[Difference Winner]:[Difference Candidate 12]], "&gt;0")</f>
        <v>0</v>
      </c>
      <c r="AR321" s="17">
        <f>SUM(Audit[[#This Row],[Difference Winner]:[Difference Candidate 12]])</f>
        <v>0</v>
      </c>
      <c r="AS321" s="17">
        <f>IF(Audit[[#This Row],[Times p Drawn - With Replacement]]&gt;0, IF(Audit[[#This Row],[Canceled Differences]]&lt;0, Audit[[#This Row],[Max Differences]]+ABS(Audit[[#This Row],[Canceled Differences]]), Audit[[#This Row],[Max Differences]]), 0)</f>
        <v>0</v>
      </c>
      <c r="AT321" s="17">
        <f>'Sampling Data'!AB321</f>
        <v>1.5617042946868104E-2</v>
      </c>
      <c r="AU321" s="17">
        <f>IF(
      SUM(Audit[[#This Row],[Audit Losing Candidate]:[Audit Candidate 12]])
      &lt;&gt;0,
      (Audit[[#This Row],[Winning Candidate]]-Audit[[#This Row],[Losing Candidate]]-(Audit[[#This Row],[Audit Winning Candidate]]-Audit[[#This Row],[Audit Losing Candidate]]))/(Audit[[#Totals],[Winning Candidate]]-Audit[[#Totals],[Losing Candidate]]),
      0
)</f>
        <v>0</v>
      </c>
      <c r="AV3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1" s="17">
        <f>IF(Audit[[#This Row],[Max Relative Error (ep)]] = 0, 0, Audit[[#This Row],[Max Relative Error (ep)]]/Audit[[#This Row],[Error Bound (up) - Max. possible relative overstatement]])</f>
        <v>0</v>
      </c>
      <c r="BH3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21" s="17">
        <f t="shared" si="5"/>
        <v>1</v>
      </c>
      <c r="BJ321" s="17">
        <f>PRODUCT($BI$5:BI321)</f>
        <v>0.48901700950994259</v>
      </c>
      <c r="BK321" s="19">
        <f>1 - Audit[[#This Row],[K-M P Value]]</f>
        <v>0.51098299049005735</v>
      </c>
      <c r="BL321" s="17" t="str">
        <f>IF(Audit[[#This Row],[K-M P Value]]&gt;1-'General Info'!$B$12,"Continue", "Stop")</f>
        <v>Continue</v>
      </c>
      <c r="BM321" s="22" t="b">
        <f>IF(Audit[[#This Row],[Status - Continue or stop audit]] = "Continue", TRUE, IF(BL320 = "Continue", TRUE, FALSE))</f>
        <v>1</v>
      </c>
      <c r="BN321" s="22"/>
    </row>
    <row r="322" spans="1:66" ht="15" hidden="1" customHeight="1" x14ac:dyDescent="0.35">
      <c r="A322" s="17" t="str">
        <f>'Sampling Data'!AI322</f>
        <v/>
      </c>
      <c r="B322" s="17" t="str">
        <f>'Sampling Data'!A322</f>
        <v>5603 AND C   (AV)</v>
      </c>
      <c r="C322" s="17">
        <f>'Sampling Data'!B322</f>
        <v>265</v>
      </c>
      <c r="D322" s="17">
        <f>'Sampling Data'!C322</f>
        <v>271</v>
      </c>
      <c r="E322" s="18">
        <f>'Sampling Data'!D322</f>
        <v>0</v>
      </c>
      <c r="F322" s="18">
        <f>'Sampling Data'!E322</f>
        <v>0</v>
      </c>
      <c r="G322" s="18">
        <f>'Sampling Data'!F322</f>
        <v>0</v>
      </c>
      <c r="H322" s="18">
        <f>'Sampling Data'!G322</f>
        <v>0</v>
      </c>
      <c r="I322" s="18">
        <f>'Sampling Data'!H322</f>
        <v>0</v>
      </c>
      <c r="J322" s="18">
        <f>'Sampling Data'!I322</f>
        <v>0</v>
      </c>
      <c r="K322" s="18">
        <f>'Sampling Data'!J322</f>
        <v>0</v>
      </c>
      <c r="L322" s="18">
        <f>'Sampling Data'!K322</f>
        <v>0</v>
      </c>
      <c r="M322" s="18">
        <f>'Sampling Data'!L322</f>
        <v>0</v>
      </c>
      <c r="N322" s="18">
        <f>'Sampling Data'!M322</f>
        <v>0</v>
      </c>
      <c r="O322" s="17">
        <f>'Sampling Data'!N322</f>
        <v>0</v>
      </c>
      <c r="P322" s="17">
        <f>'Sampling Data'!O322</f>
        <v>35</v>
      </c>
      <c r="Q322" s="17">
        <f>'Sampling Data'!P322</f>
        <v>571</v>
      </c>
      <c r="R322" s="17">
        <f>'Sampling Data'!AJ322</f>
        <v>0</v>
      </c>
      <c r="S322" s="111"/>
      <c r="T322" s="111"/>
      <c r="U322" s="112"/>
      <c r="V322" s="112"/>
      <c r="W322" s="111"/>
      <c r="X322" s="111"/>
      <c r="Y322" s="111"/>
      <c r="Z322" s="111"/>
      <c r="AA322" s="14"/>
      <c r="AB322" s="14"/>
      <c r="AC322" s="14"/>
      <c r="AD322" s="14"/>
      <c r="AE322" s="113" t="str">
        <f>IF(NOT(ISBLANK(Audit[[#This Row],[Audit Winning Candidate]])), Audit[[#This Row],[Audit Winning Candidate]]-Audit[[#This Row],[Winning Candidate]], "")</f>
        <v/>
      </c>
      <c r="AF322" s="17" t="str">
        <f>IF(NOT(ISBLANK(Audit[[#This Row],[Audit Losing Candidate]])), Audit[[#This Row],[Audit Losing Candidate]]-Audit[[#This Row],[Losing Candidate]], "")</f>
        <v/>
      </c>
      <c r="AG322" s="17" t="str">
        <f>IF(NOT(ISBLANK(Audit[[#This Row],[Audit Candidate 3]])), Audit[[#This Row],[Audit Candidate 3]]-Audit[[#This Row],[Candidate 3]], "")</f>
        <v/>
      </c>
      <c r="AH322" s="17" t="str">
        <f>IF(NOT(ISBLANK(Audit[[#This Row],[Audit Candidate 4]])),Audit[[#This Row],[Audit Candidate 4]]-Audit[[#This Row],[Candidate 4]], "")</f>
        <v/>
      </c>
      <c r="AI322" s="17" t="str">
        <f>IF(NOT(ISBLANK(Audit[[#This Row],[Audit Candidate 5]])), Audit[[#This Row],[Audit Candidate 5]]-Audit[[#This Row],[Candidate 5]], "")</f>
        <v/>
      </c>
      <c r="AJ322" s="17" t="str">
        <f>IF(NOT(ISBLANK(Audit[[#This Row],[Audit Candidate 6]])), Audit[[#This Row],[Audit Candidate 6]]-Audit[[#This Row],[Candidate 6]], "")</f>
        <v/>
      </c>
      <c r="AK322" s="17" t="str">
        <f>IF(NOT(ISBLANK(Audit[[#This Row],[Audit Candidate 7]])), Audit[[#This Row],[Audit Candidate 7]]-Audit[[#This Row],[Candidate 7]], "")</f>
        <v/>
      </c>
      <c r="AL322" s="17" t="str">
        <f>IF(NOT(ISBLANK(Audit[[#This Row],[Audit Candidate 8]])), Audit[[#This Row],[Audit Candidate 8]]-Audit[[#This Row],[Candidate 8]], "")</f>
        <v/>
      </c>
      <c r="AM322" s="17" t="str">
        <f>IF(NOT(ISBLANK(Audit[[#This Row],[Audit Candidate 9]])), Audit[[#This Row],[Audit Candidate 9]]-Audit[[#This Row],[Candidate 9]], "")</f>
        <v/>
      </c>
      <c r="AN322" s="17" t="str">
        <f>IF(NOT(ISBLANK(Audit[[#This Row],[Audit Candidate 10]])), Audit[[#This Row],[Audit Candidate 10]]-Audit[[#This Row],[Candidate 10]], "")</f>
        <v/>
      </c>
      <c r="AO322" s="17" t="str">
        <f>IF(NOT(ISBLANK(Audit[[#This Row],[Audit Candidate 11]])), Audit[[#This Row],[Audit Candidate 11]]-Audit[[#This Row],[Candidate 11]], "")</f>
        <v/>
      </c>
      <c r="AP322" s="17" t="str">
        <f>IF(NOT(ISBLANK(Audit[[#This Row],[Audit Candidate 12]])), Audit[[#This Row],[Audit Candidate 12]]-Audit[[#This Row],[Candidate 12]], "")</f>
        <v/>
      </c>
      <c r="AQ322" s="17">
        <f>SUMIF(Audit[[#This Row],[Difference Winner]:[Difference Candidate 12]], "&gt;0")</f>
        <v>0</v>
      </c>
      <c r="AR322" s="17">
        <f>SUM(Audit[[#This Row],[Difference Winner]:[Difference Candidate 12]])</f>
        <v>0</v>
      </c>
      <c r="AS322" s="17">
        <f>IF(Audit[[#This Row],[Times p Drawn - With Replacement]]&gt;0, IF(Audit[[#This Row],[Canceled Differences]]&lt;0, Audit[[#This Row],[Max Differences]]+ABS(Audit[[#This Row],[Canceled Differences]]), Audit[[#This Row],[Max Differences]]), 0)</f>
        <v>0</v>
      </c>
      <c r="AT322" s="17">
        <f>'Sampling Data'!AB322</f>
        <v>2.3977253437446954E-2</v>
      </c>
      <c r="AU322" s="17">
        <f>IF(
      SUM(Audit[[#This Row],[Audit Losing Candidate]:[Audit Candidate 12]])
      &lt;&gt;0,
      (Audit[[#This Row],[Winning Candidate]]-Audit[[#This Row],[Losing Candidate]]-(Audit[[#This Row],[Audit Winning Candidate]]-Audit[[#This Row],[Audit Losing Candidate]]))/(Audit[[#Totals],[Winning Candidate]]-Audit[[#Totals],[Losing Candidate]]),
      0
)</f>
        <v>0</v>
      </c>
      <c r="AV3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2" s="17">
        <f>IF(Audit[[#This Row],[Max Relative Error (ep)]] = 0, 0, Audit[[#This Row],[Max Relative Error (ep)]]/Audit[[#This Row],[Error Bound (up) - Max. possible relative overstatement]])</f>
        <v>0</v>
      </c>
      <c r="BH3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22" s="17">
        <f t="shared" si="5"/>
        <v>1</v>
      </c>
      <c r="BJ322" s="17">
        <f>PRODUCT($BI$5:BI322)</f>
        <v>0.48901700950994259</v>
      </c>
      <c r="BK322" s="19">
        <f>1 - Audit[[#This Row],[K-M P Value]]</f>
        <v>0.51098299049005735</v>
      </c>
      <c r="BL322" s="17" t="str">
        <f>IF(Audit[[#This Row],[K-M P Value]]&gt;1-'General Info'!$B$12,"Continue", "Stop")</f>
        <v>Continue</v>
      </c>
      <c r="BM322" s="22" t="b">
        <f>IF(Audit[[#This Row],[Status - Continue or stop audit]] = "Continue", TRUE, IF(BL321 = "Continue", TRUE, FALSE))</f>
        <v>1</v>
      </c>
      <c r="BN322" s="22"/>
    </row>
    <row r="323" spans="1:66" ht="15" hidden="1" customHeight="1" x14ac:dyDescent="0.35">
      <c r="A323" s="17" t="str">
        <f>'Sampling Data'!AI323</f>
        <v/>
      </c>
      <c r="B323" s="17" t="str">
        <f>'Sampling Data'!A323</f>
        <v>5604 AND D   (AV)</v>
      </c>
      <c r="C323" s="17">
        <f>'Sampling Data'!B323</f>
        <v>211</v>
      </c>
      <c r="D323" s="17">
        <f>'Sampling Data'!C323</f>
        <v>280</v>
      </c>
      <c r="E323" s="18">
        <f>'Sampling Data'!D323</f>
        <v>0</v>
      </c>
      <c r="F323" s="18">
        <f>'Sampling Data'!E323</f>
        <v>0</v>
      </c>
      <c r="G323" s="18">
        <f>'Sampling Data'!F323</f>
        <v>0</v>
      </c>
      <c r="H323" s="18">
        <f>'Sampling Data'!G323</f>
        <v>0</v>
      </c>
      <c r="I323" s="18">
        <f>'Sampling Data'!H323</f>
        <v>0</v>
      </c>
      <c r="J323" s="18">
        <f>'Sampling Data'!I323</f>
        <v>0</v>
      </c>
      <c r="K323" s="18">
        <f>'Sampling Data'!J323</f>
        <v>0</v>
      </c>
      <c r="L323" s="18">
        <f>'Sampling Data'!K323</f>
        <v>0</v>
      </c>
      <c r="M323" s="18">
        <f>'Sampling Data'!L323</f>
        <v>0</v>
      </c>
      <c r="N323" s="18">
        <f>'Sampling Data'!M323</f>
        <v>0</v>
      </c>
      <c r="O323" s="17">
        <f>'Sampling Data'!N323</f>
        <v>0</v>
      </c>
      <c r="P323" s="17">
        <f>'Sampling Data'!O323</f>
        <v>33</v>
      </c>
      <c r="Q323" s="17">
        <f>'Sampling Data'!P323</f>
        <v>524</v>
      </c>
      <c r="R323" s="17">
        <f>'Sampling Data'!AJ323</f>
        <v>0</v>
      </c>
      <c r="S323" s="111"/>
      <c r="T323" s="111"/>
      <c r="U323" s="112"/>
      <c r="V323" s="112"/>
      <c r="W323" s="111"/>
      <c r="X323" s="111"/>
      <c r="Y323" s="111"/>
      <c r="Z323" s="111"/>
      <c r="AA323" s="14"/>
      <c r="AB323" s="14"/>
      <c r="AC323" s="14"/>
      <c r="AD323" s="14"/>
      <c r="AE323" s="113" t="str">
        <f>IF(NOT(ISBLANK(Audit[[#This Row],[Audit Winning Candidate]])), Audit[[#This Row],[Audit Winning Candidate]]-Audit[[#This Row],[Winning Candidate]], "")</f>
        <v/>
      </c>
      <c r="AF323" s="17" t="str">
        <f>IF(NOT(ISBLANK(Audit[[#This Row],[Audit Losing Candidate]])), Audit[[#This Row],[Audit Losing Candidate]]-Audit[[#This Row],[Losing Candidate]], "")</f>
        <v/>
      </c>
      <c r="AG323" s="17" t="str">
        <f>IF(NOT(ISBLANK(Audit[[#This Row],[Audit Candidate 3]])), Audit[[#This Row],[Audit Candidate 3]]-Audit[[#This Row],[Candidate 3]], "")</f>
        <v/>
      </c>
      <c r="AH323" s="17" t="str">
        <f>IF(NOT(ISBLANK(Audit[[#This Row],[Audit Candidate 4]])),Audit[[#This Row],[Audit Candidate 4]]-Audit[[#This Row],[Candidate 4]], "")</f>
        <v/>
      </c>
      <c r="AI323" s="17" t="str">
        <f>IF(NOT(ISBLANK(Audit[[#This Row],[Audit Candidate 5]])), Audit[[#This Row],[Audit Candidate 5]]-Audit[[#This Row],[Candidate 5]], "")</f>
        <v/>
      </c>
      <c r="AJ323" s="17" t="str">
        <f>IF(NOT(ISBLANK(Audit[[#This Row],[Audit Candidate 6]])), Audit[[#This Row],[Audit Candidate 6]]-Audit[[#This Row],[Candidate 6]], "")</f>
        <v/>
      </c>
      <c r="AK323" s="17" t="str">
        <f>IF(NOT(ISBLANK(Audit[[#This Row],[Audit Candidate 7]])), Audit[[#This Row],[Audit Candidate 7]]-Audit[[#This Row],[Candidate 7]], "")</f>
        <v/>
      </c>
      <c r="AL323" s="17" t="str">
        <f>IF(NOT(ISBLANK(Audit[[#This Row],[Audit Candidate 8]])), Audit[[#This Row],[Audit Candidate 8]]-Audit[[#This Row],[Candidate 8]], "")</f>
        <v/>
      </c>
      <c r="AM323" s="17" t="str">
        <f>IF(NOT(ISBLANK(Audit[[#This Row],[Audit Candidate 9]])), Audit[[#This Row],[Audit Candidate 9]]-Audit[[#This Row],[Candidate 9]], "")</f>
        <v/>
      </c>
      <c r="AN323" s="17" t="str">
        <f>IF(NOT(ISBLANK(Audit[[#This Row],[Audit Candidate 10]])), Audit[[#This Row],[Audit Candidate 10]]-Audit[[#This Row],[Candidate 10]], "")</f>
        <v/>
      </c>
      <c r="AO323" s="17" t="str">
        <f>IF(NOT(ISBLANK(Audit[[#This Row],[Audit Candidate 11]])), Audit[[#This Row],[Audit Candidate 11]]-Audit[[#This Row],[Candidate 11]], "")</f>
        <v/>
      </c>
      <c r="AP323" s="17" t="str">
        <f>IF(NOT(ISBLANK(Audit[[#This Row],[Audit Candidate 12]])), Audit[[#This Row],[Audit Candidate 12]]-Audit[[#This Row],[Candidate 12]], "")</f>
        <v/>
      </c>
      <c r="AQ323" s="17">
        <f>SUMIF(Audit[[#This Row],[Difference Winner]:[Difference Candidate 12]], "&gt;0")</f>
        <v>0</v>
      </c>
      <c r="AR323" s="17">
        <f>SUM(Audit[[#This Row],[Difference Winner]:[Difference Candidate 12]])</f>
        <v>0</v>
      </c>
      <c r="AS323" s="17">
        <f>IF(Audit[[#This Row],[Times p Drawn - With Replacement]]&gt;0, IF(Audit[[#This Row],[Canceled Differences]]&lt;0, Audit[[#This Row],[Max Differences]]+ABS(Audit[[#This Row],[Canceled Differences]]), Audit[[#This Row],[Max Differences]]), 0)</f>
        <v>0</v>
      </c>
      <c r="AT323" s="17">
        <f>'Sampling Data'!AB323</f>
        <v>1.93091156000679E-2</v>
      </c>
      <c r="AU323" s="17">
        <f>IF(
      SUM(Audit[[#This Row],[Audit Losing Candidate]:[Audit Candidate 12]])
      &lt;&gt;0,
      (Audit[[#This Row],[Winning Candidate]]-Audit[[#This Row],[Losing Candidate]]-(Audit[[#This Row],[Audit Winning Candidate]]-Audit[[#This Row],[Audit Losing Candidate]]))/(Audit[[#Totals],[Winning Candidate]]-Audit[[#Totals],[Losing Candidate]]),
      0
)</f>
        <v>0</v>
      </c>
      <c r="AV3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3" s="17">
        <f>IF(Audit[[#This Row],[Max Relative Error (ep)]] = 0, 0, Audit[[#This Row],[Max Relative Error (ep)]]/Audit[[#This Row],[Error Bound (up) - Max. possible relative overstatement]])</f>
        <v>0</v>
      </c>
      <c r="BH3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23" s="17">
        <f t="shared" si="5"/>
        <v>1</v>
      </c>
      <c r="BJ323" s="17">
        <f>PRODUCT($BI$5:BI323)</f>
        <v>0.48901700950994259</v>
      </c>
      <c r="BK323" s="19">
        <f>1 - Audit[[#This Row],[K-M P Value]]</f>
        <v>0.51098299049005735</v>
      </c>
      <c r="BL323" s="17" t="str">
        <f>IF(Audit[[#This Row],[K-M P Value]]&gt;1-'General Info'!$B$12,"Continue", "Stop")</f>
        <v>Continue</v>
      </c>
      <c r="BM323" s="22" t="b">
        <f>IF(Audit[[#This Row],[Status - Continue or stop audit]] = "Continue", TRUE, IF(BL322 = "Continue", TRUE, FALSE))</f>
        <v>1</v>
      </c>
      <c r="BN323" s="22"/>
    </row>
    <row r="324" spans="1:66" ht="15" hidden="1" customHeight="1" x14ac:dyDescent="0.35">
      <c r="A324" s="17" t="str">
        <f>'Sampling Data'!AI324</f>
        <v/>
      </c>
      <c r="B324" s="17" t="str">
        <f>'Sampling Data'!A324</f>
        <v>5605 AND E   (AV)</v>
      </c>
      <c r="C324" s="17">
        <f>'Sampling Data'!B324</f>
        <v>166</v>
      </c>
      <c r="D324" s="17">
        <f>'Sampling Data'!C324</f>
        <v>280</v>
      </c>
      <c r="E324" s="18">
        <f>'Sampling Data'!D324</f>
        <v>0</v>
      </c>
      <c r="F324" s="18">
        <f>'Sampling Data'!E324</f>
        <v>0</v>
      </c>
      <c r="G324" s="18">
        <f>'Sampling Data'!F324</f>
        <v>0</v>
      </c>
      <c r="H324" s="18">
        <f>'Sampling Data'!G324</f>
        <v>0</v>
      </c>
      <c r="I324" s="18">
        <f>'Sampling Data'!H324</f>
        <v>0</v>
      </c>
      <c r="J324" s="18">
        <f>'Sampling Data'!I324</f>
        <v>0</v>
      </c>
      <c r="K324" s="18">
        <f>'Sampling Data'!J324</f>
        <v>0</v>
      </c>
      <c r="L324" s="18">
        <f>'Sampling Data'!K324</f>
        <v>0</v>
      </c>
      <c r="M324" s="18">
        <f>'Sampling Data'!L324</f>
        <v>0</v>
      </c>
      <c r="N324" s="18">
        <f>'Sampling Data'!M324</f>
        <v>0</v>
      </c>
      <c r="O324" s="17">
        <f>'Sampling Data'!N324</f>
        <v>1</v>
      </c>
      <c r="P324" s="17">
        <f>'Sampling Data'!O324</f>
        <v>13</v>
      </c>
      <c r="Q324" s="17">
        <f>'Sampling Data'!P324</f>
        <v>460</v>
      </c>
      <c r="R324" s="17">
        <f>'Sampling Data'!AJ324</f>
        <v>0</v>
      </c>
      <c r="S324" s="111"/>
      <c r="T324" s="111"/>
      <c r="U324" s="112"/>
      <c r="V324" s="112"/>
      <c r="W324" s="111"/>
      <c r="X324" s="111"/>
      <c r="Y324" s="111"/>
      <c r="Z324" s="111"/>
      <c r="AA324" s="14"/>
      <c r="AB324" s="14"/>
      <c r="AC324" s="14"/>
      <c r="AD324" s="14"/>
      <c r="AE324" s="113" t="str">
        <f>IF(NOT(ISBLANK(Audit[[#This Row],[Audit Winning Candidate]])), Audit[[#This Row],[Audit Winning Candidate]]-Audit[[#This Row],[Winning Candidate]], "")</f>
        <v/>
      </c>
      <c r="AF324" s="17" t="str">
        <f>IF(NOT(ISBLANK(Audit[[#This Row],[Audit Losing Candidate]])), Audit[[#This Row],[Audit Losing Candidate]]-Audit[[#This Row],[Losing Candidate]], "")</f>
        <v/>
      </c>
      <c r="AG324" s="17" t="str">
        <f>IF(NOT(ISBLANK(Audit[[#This Row],[Audit Candidate 3]])), Audit[[#This Row],[Audit Candidate 3]]-Audit[[#This Row],[Candidate 3]], "")</f>
        <v/>
      </c>
      <c r="AH324" s="17" t="str">
        <f>IF(NOT(ISBLANK(Audit[[#This Row],[Audit Candidate 4]])),Audit[[#This Row],[Audit Candidate 4]]-Audit[[#This Row],[Candidate 4]], "")</f>
        <v/>
      </c>
      <c r="AI324" s="17" t="str">
        <f>IF(NOT(ISBLANK(Audit[[#This Row],[Audit Candidate 5]])), Audit[[#This Row],[Audit Candidate 5]]-Audit[[#This Row],[Candidate 5]], "")</f>
        <v/>
      </c>
      <c r="AJ324" s="17" t="str">
        <f>IF(NOT(ISBLANK(Audit[[#This Row],[Audit Candidate 6]])), Audit[[#This Row],[Audit Candidate 6]]-Audit[[#This Row],[Candidate 6]], "")</f>
        <v/>
      </c>
      <c r="AK324" s="17" t="str">
        <f>IF(NOT(ISBLANK(Audit[[#This Row],[Audit Candidate 7]])), Audit[[#This Row],[Audit Candidate 7]]-Audit[[#This Row],[Candidate 7]], "")</f>
        <v/>
      </c>
      <c r="AL324" s="17" t="str">
        <f>IF(NOT(ISBLANK(Audit[[#This Row],[Audit Candidate 8]])), Audit[[#This Row],[Audit Candidate 8]]-Audit[[#This Row],[Candidate 8]], "")</f>
        <v/>
      </c>
      <c r="AM324" s="17" t="str">
        <f>IF(NOT(ISBLANK(Audit[[#This Row],[Audit Candidate 9]])), Audit[[#This Row],[Audit Candidate 9]]-Audit[[#This Row],[Candidate 9]], "")</f>
        <v/>
      </c>
      <c r="AN324" s="17" t="str">
        <f>IF(NOT(ISBLANK(Audit[[#This Row],[Audit Candidate 10]])), Audit[[#This Row],[Audit Candidate 10]]-Audit[[#This Row],[Candidate 10]], "")</f>
        <v/>
      </c>
      <c r="AO324" s="17" t="str">
        <f>IF(NOT(ISBLANK(Audit[[#This Row],[Audit Candidate 11]])), Audit[[#This Row],[Audit Candidate 11]]-Audit[[#This Row],[Candidate 11]], "")</f>
        <v/>
      </c>
      <c r="AP324" s="17" t="str">
        <f>IF(NOT(ISBLANK(Audit[[#This Row],[Audit Candidate 12]])), Audit[[#This Row],[Audit Candidate 12]]-Audit[[#This Row],[Candidate 12]], "")</f>
        <v/>
      </c>
      <c r="AQ324" s="17">
        <f>SUMIF(Audit[[#This Row],[Difference Winner]:[Difference Candidate 12]], "&gt;0")</f>
        <v>0</v>
      </c>
      <c r="AR324" s="17">
        <f>SUM(Audit[[#This Row],[Difference Winner]:[Difference Candidate 12]])</f>
        <v>0</v>
      </c>
      <c r="AS324" s="17">
        <f>IF(Audit[[#This Row],[Times p Drawn - With Replacement]]&gt;0, IF(Audit[[#This Row],[Canceled Differences]]&lt;0, Audit[[#This Row],[Max Differences]]+ABS(Audit[[#This Row],[Canceled Differences]]), Audit[[#This Row],[Max Differences]]), 0)</f>
        <v>0</v>
      </c>
      <c r="AT324" s="17">
        <f>'Sampling Data'!AB324</f>
        <v>1.4683415379392294E-2</v>
      </c>
      <c r="AU324" s="17">
        <f>IF(
      SUM(Audit[[#This Row],[Audit Losing Candidate]:[Audit Candidate 12]])
      &lt;&gt;0,
      (Audit[[#This Row],[Winning Candidate]]-Audit[[#This Row],[Losing Candidate]]-(Audit[[#This Row],[Audit Winning Candidate]]-Audit[[#This Row],[Audit Losing Candidate]]))/(Audit[[#Totals],[Winning Candidate]]-Audit[[#Totals],[Losing Candidate]]),
      0
)</f>
        <v>0</v>
      </c>
      <c r="AV3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4" s="17">
        <f>IF(Audit[[#This Row],[Max Relative Error (ep)]] = 0, 0, Audit[[#This Row],[Max Relative Error (ep)]]/Audit[[#This Row],[Error Bound (up) - Max. possible relative overstatement]])</f>
        <v>0</v>
      </c>
      <c r="BH3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24" s="17">
        <f t="shared" si="5"/>
        <v>1</v>
      </c>
      <c r="BJ324" s="17">
        <f>PRODUCT($BI$5:BI324)</f>
        <v>0.48901700950994259</v>
      </c>
      <c r="BK324" s="19">
        <f>1 - Audit[[#This Row],[K-M P Value]]</f>
        <v>0.51098299049005735</v>
      </c>
      <c r="BL324" s="17" t="str">
        <f>IF(Audit[[#This Row],[K-M P Value]]&gt;1-'General Info'!$B$12,"Continue", "Stop")</f>
        <v>Continue</v>
      </c>
      <c r="BM324" s="22" t="b">
        <f>IF(Audit[[#This Row],[Status - Continue or stop audit]] = "Continue", TRUE, IF(BL323 = "Continue", TRUE, FALSE))</f>
        <v>1</v>
      </c>
      <c r="BN324" s="22"/>
    </row>
    <row r="325" spans="1:66" ht="15" hidden="1" customHeight="1" x14ac:dyDescent="0.35">
      <c r="A325" s="17" t="str">
        <f>'Sampling Data'!AI325</f>
        <v/>
      </c>
      <c r="B325" s="17" t="str">
        <f>'Sampling Data'!A325</f>
        <v>5606 AND F   (AV)</v>
      </c>
      <c r="C325" s="17">
        <f>'Sampling Data'!B325</f>
        <v>203</v>
      </c>
      <c r="D325" s="17">
        <f>'Sampling Data'!C325</f>
        <v>240</v>
      </c>
      <c r="E325" s="18">
        <f>'Sampling Data'!D325</f>
        <v>0</v>
      </c>
      <c r="F325" s="18">
        <f>'Sampling Data'!E325</f>
        <v>0</v>
      </c>
      <c r="G325" s="18">
        <f>'Sampling Data'!F325</f>
        <v>0</v>
      </c>
      <c r="H325" s="18">
        <f>'Sampling Data'!G325</f>
        <v>0</v>
      </c>
      <c r="I325" s="18">
        <f>'Sampling Data'!H325</f>
        <v>0</v>
      </c>
      <c r="J325" s="18">
        <f>'Sampling Data'!I325</f>
        <v>0</v>
      </c>
      <c r="K325" s="18">
        <f>'Sampling Data'!J325</f>
        <v>0</v>
      </c>
      <c r="L325" s="18">
        <f>'Sampling Data'!K325</f>
        <v>0</v>
      </c>
      <c r="M325" s="18">
        <f>'Sampling Data'!L325</f>
        <v>0</v>
      </c>
      <c r="N325" s="18">
        <f>'Sampling Data'!M325</f>
        <v>0</v>
      </c>
      <c r="O325" s="17">
        <f>'Sampling Data'!N325</f>
        <v>1</v>
      </c>
      <c r="P325" s="17">
        <f>'Sampling Data'!O325</f>
        <v>13</v>
      </c>
      <c r="Q325" s="17">
        <f>'Sampling Data'!P325</f>
        <v>457</v>
      </c>
      <c r="R325" s="17">
        <f>'Sampling Data'!AJ325</f>
        <v>0</v>
      </c>
      <c r="S325" s="111"/>
      <c r="T325" s="111"/>
      <c r="U325" s="112"/>
      <c r="V325" s="112"/>
      <c r="W325" s="111"/>
      <c r="X325" s="111"/>
      <c r="Y325" s="111"/>
      <c r="Z325" s="111"/>
      <c r="AA325" s="14"/>
      <c r="AB325" s="14"/>
      <c r="AC325" s="14"/>
      <c r="AD325" s="14"/>
      <c r="AE325" s="113" t="str">
        <f>IF(NOT(ISBLANK(Audit[[#This Row],[Audit Winning Candidate]])), Audit[[#This Row],[Audit Winning Candidate]]-Audit[[#This Row],[Winning Candidate]], "")</f>
        <v/>
      </c>
      <c r="AF325" s="17" t="str">
        <f>IF(NOT(ISBLANK(Audit[[#This Row],[Audit Losing Candidate]])), Audit[[#This Row],[Audit Losing Candidate]]-Audit[[#This Row],[Losing Candidate]], "")</f>
        <v/>
      </c>
      <c r="AG325" s="17" t="str">
        <f>IF(NOT(ISBLANK(Audit[[#This Row],[Audit Candidate 3]])), Audit[[#This Row],[Audit Candidate 3]]-Audit[[#This Row],[Candidate 3]], "")</f>
        <v/>
      </c>
      <c r="AH325" s="17" t="str">
        <f>IF(NOT(ISBLANK(Audit[[#This Row],[Audit Candidate 4]])),Audit[[#This Row],[Audit Candidate 4]]-Audit[[#This Row],[Candidate 4]], "")</f>
        <v/>
      </c>
      <c r="AI325" s="17" t="str">
        <f>IF(NOT(ISBLANK(Audit[[#This Row],[Audit Candidate 5]])), Audit[[#This Row],[Audit Candidate 5]]-Audit[[#This Row],[Candidate 5]], "")</f>
        <v/>
      </c>
      <c r="AJ325" s="17" t="str">
        <f>IF(NOT(ISBLANK(Audit[[#This Row],[Audit Candidate 6]])), Audit[[#This Row],[Audit Candidate 6]]-Audit[[#This Row],[Candidate 6]], "")</f>
        <v/>
      </c>
      <c r="AK325" s="17" t="str">
        <f>IF(NOT(ISBLANK(Audit[[#This Row],[Audit Candidate 7]])), Audit[[#This Row],[Audit Candidate 7]]-Audit[[#This Row],[Candidate 7]], "")</f>
        <v/>
      </c>
      <c r="AL325" s="17" t="str">
        <f>IF(NOT(ISBLANK(Audit[[#This Row],[Audit Candidate 8]])), Audit[[#This Row],[Audit Candidate 8]]-Audit[[#This Row],[Candidate 8]], "")</f>
        <v/>
      </c>
      <c r="AM325" s="17" t="str">
        <f>IF(NOT(ISBLANK(Audit[[#This Row],[Audit Candidate 9]])), Audit[[#This Row],[Audit Candidate 9]]-Audit[[#This Row],[Candidate 9]], "")</f>
        <v/>
      </c>
      <c r="AN325" s="17" t="str">
        <f>IF(NOT(ISBLANK(Audit[[#This Row],[Audit Candidate 10]])), Audit[[#This Row],[Audit Candidate 10]]-Audit[[#This Row],[Candidate 10]], "")</f>
        <v/>
      </c>
      <c r="AO325" s="17" t="str">
        <f>IF(NOT(ISBLANK(Audit[[#This Row],[Audit Candidate 11]])), Audit[[#This Row],[Audit Candidate 11]]-Audit[[#This Row],[Candidate 11]], "")</f>
        <v/>
      </c>
      <c r="AP325" s="17" t="str">
        <f>IF(NOT(ISBLANK(Audit[[#This Row],[Audit Candidate 12]])), Audit[[#This Row],[Audit Candidate 12]]-Audit[[#This Row],[Candidate 12]], "")</f>
        <v/>
      </c>
      <c r="AQ325" s="17">
        <f>SUMIF(Audit[[#This Row],[Difference Winner]:[Difference Candidate 12]], "&gt;0")</f>
        <v>0</v>
      </c>
      <c r="AR325" s="17">
        <f>SUM(Audit[[#This Row],[Difference Winner]:[Difference Candidate 12]])</f>
        <v>0</v>
      </c>
      <c r="AS325" s="17">
        <f>IF(Audit[[#This Row],[Times p Drawn - With Replacement]]&gt;0, IF(Audit[[#This Row],[Canceled Differences]]&lt;0, Audit[[#This Row],[Max Differences]]+ABS(Audit[[#This Row],[Canceled Differences]]), Audit[[#This Row],[Max Differences]]), 0)</f>
        <v>0</v>
      </c>
      <c r="AT325" s="17">
        <f>'Sampling Data'!AB325</f>
        <v>1.7823799015447294E-2</v>
      </c>
      <c r="AU325" s="17">
        <f>IF(
      SUM(Audit[[#This Row],[Audit Losing Candidate]:[Audit Candidate 12]])
      &lt;&gt;0,
      (Audit[[#This Row],[Winning Candidate]]-Audit[[#This Row],[Losing Candidate]]-(Audit[[#This Row],[Audit Winning Candidate]]-Audit[[#This Row],[Audit Losing Candidate]]))/(Audit[[#Totals],[Winning Candidate]]-Audit[[#Totals],[Losing Candidate]]),
      0
)</f>
        <v>0</v>
      </c>
      <c r="AV3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5" s="17">
        <f>IF(Audit[[#This Row],[Max Relative Error (ep)]] = 0, 0, Audit[[#This Row],[Max Relative Error (ep)]]/Audit[[#This Row],[Error Bound (up) - Max. possible relative overstatement]])</f>
        <v>0</v>
      </c>
      <c r="BH3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25" s="17">
        <f t="shared" si="5"/>
        <v>1</v>
      </c>
      <c r="BJ325" s="17">
        <f>PRODUCT($BI$5:BI325)</f>
        <v>0.48901700950994259</v>
      </c>
      <c r="BK325" s="19">
        <f>1 - Audit[[#This Row],[K-M P Value]]</f>
        <v>0.51098299049005735</v>
      </c>
      <c r="BL325" s="17" t="str">
        <f>IF(Audit[[#This Row],[K-M P Value]]&gt;1-'General Info'!$B$12,"Continue", "Stop")</f>
        <v>Continue</v>
      </c>
      <c r="BM325" s="22" t="b">
        <f>IF(Audit[[#This Row],[Status - Continue or stop audit]] = "Continue", TRUE, IF(BL324 = "Continue", TRUE, FALSE))</f>
        <v>1</v>
      </c>
      <c r="BN325" s="22"/>
    </row>
    <row r="326" spans="1:66" ht="15" hidden="1" customHeight="1" x14ac:dyDescent="0.35">
      <c r="A326" s="17" t="str">
        <f>'Sampling Data'!AI326</f>
        <v/>
      </c>
      <c r="B326" s="17" t="str">
        <f>'Sampling Data'!A326</f>
        <v>5607 AND G   (AV)</v>
      </c>
      <c r="C326" s="17">
        <f>'Sampling Data'!B326</f>
        <v>161</v>
      </c>
      <c r="D326" s="17">
        <f>'Sampling Data'!C326</f>
        <v>192</v>
      </c>
      <c r="E326" s="18">
        <f>'Sampling Data'!D326</f>
        <v>0</v>
      </c>
      <c r="F326" s="18">
        <f>'Sampling Data'!E326</f>
        <v>0</v>
      </c>
      <c r="G326" s="18">
        <f>'Sampling Data'!F326</f>
        <v>0</v>
      </c>
      <c r="H326" s="18">
        <f>'Sampling Data'!G326</f>
        <v>0</v>
      </c>
      <c r="I326" s="18">
        <f>'Sampling Data'!H326</f>
        <v>0</v>
      </c>
      <c r="J326" s="18">
        <f>'Sampling Data'!I326</f>
        <v>0</v>
      </c>
      <c r="K326" s="18">
        <f>'Sampling Data'!J326</f>
        <v>0</v>
      </c>
      <c r="L326" s="18">
        <f>'Sampling Data'!K326</f>
        <v>0</v>
      </c>
      <c r="M326" s="18">
        <f>'Sampling Data'!L326</f>
        <v>0</v>
      </c>
      <c r="N326" s="18">
        <f>'Sampling Data'!M326</f>
        <v>0</v>
      </c>
      <c r="O326" s="17">
        <f>'Sampling Data'!N326</f>
        <v>0</v>
      </c>
      <c r="P326" s="17">
        <f>'Sampling Data'!O326</f>
        <v>19</v>
      </c>
      <c r="Q326" s="17">
        <f>'Sampling Data'!P326</f>
        <v>372</v>
      </c>
      <c r="R326" s="17">
        <f>'Sampling Data'!AJ326</f>
        <v>0</v>
      </c>
      <c r="S326" s="111"/>
      <c r="T326" s="111"/>
      <c r="U326" s="112"/>
      <c r="V326" s="112"/>
      <c r="W326" s="111"/>
      <c r="X326" s="111"/>
      <c r="Y326" s="111"/>
      <c r="Z326" s="111"/>
      <c r="AA326" s="14"/>
      <c r="AB326" s="14"/>
      <c r="AC326" s="14"/>
      <c r="AD326" s="14"/>
      <c r="AE326" s="113" t="str">
        <f>IF(NOT(ISBLANK(Audit[[#This Row],[Audit Winning Candidate]])), Audit[[#This Row],[Audit Winning Candidate]]-Audit[[#This Row],[Winning Candidate]], "")</f>
        <v/>
      </c>
      <c r="AF326" s="17" t="str">
        <f>IF(NOT(ISBLANK(Audit[[#This Row],[Audit Losing Candidate]])), Audit[[#This Row],[Audit Losing Candidate]]-Audit[[#This Row],[Losing Candidate]], "")</f>
        <v/>
      </c>
      <c r="AG326" s="17" t="str">
        <f>IF(NOT(ISBLANK(Audit[[#This Row],[Audit Candidate 3]])), Audit[[#This Row],[Audit Candidate 3]]-Audit[[#This Row],[Candidate 3]], "")</f>
        <v/>
      </c>
      <c r="AH326" s="17" t="str">
        <f>IF(NOT(ISBLANK(Audit[[#This Row],[Audit Candidate 4]])),Audit[[#This Row],[Audit Candidate 4]]-Audit[[#This Row],[Candidate 4]], "")</f>
        <v/>
      </c>
      <c r="AI326" s="17" t="str">
        <f>IF(NOT(ISBLANK(Audit[[#This Row],[Audit Candidate 5]])), Audit[[#This Row],[Audit Candidate 5]]-Audit[[#This Row],[Candidate 5]], "")</f>
        <v/>
      </c>
      <c r="AJ326" s="17" t="str">
        <f>IF(NOT(ISBLANK(Audit[[#This Row],[Audit Candidate 6]])), Audit[[#This Row],[Audit Candidate 6]]-Audit[[#This Row],[Candidate 6]], "")</f>
        <v/>
      </c>
      <c r="AK326" s="17" t="str">
        <f>IF(NOT(ISBLANK(Audit[[#This Row],[Audit Candidate 7]])), Audit[[#This Row],[Audit Candidate 7]]-Audit[[#This Row],[Candidate 7]], "")</f>
        <v/>
      </c>
      <c r="AL326" s="17" t="str">
        <f>IF(NOT(ISBLANK(Audit[[#This Row],[Audit Candidate 8]])), Audit[[#This Row],[Audit Candidate 8]]-Audit[[#This Row],[Candidate 8]], "")</f>
        <v/>
      </c>
      <c r="AM326" s="17" t="str">
        <f>IF(NOT(ISBLANK(Audit[[#This Row],[Audit Candidate 9]])), Audit[[#This Row],[Audit Candidate 9]]-Audit[[#This Row],[Candidate 9]], "")</f>
        <v/>
      </c>
      <c r="AN326" s="17" t="str">
        <f>IF(NOT(ISBLANK(Audit[[#This Row],[Audit Candidate 10]])), Audit[[#This Row],[Audit Candidate 10]]-Audit[[#This Row],[Candidate 10]], "")</f>
        <v/>
      </c>
      <c r="AO326" s="17" t="str">
        <f>IF(NOT(ISBLANK(Audit[[#This Row],[Audit Candidate 11]])), Audit[[#This Row],[Audit Candidate 11]]-Audit[[#This Row],[Candidate 11]], "")</f>
        <v/>
      </c>
      <c r="AP326" s="17" t="str">
        <f>IF(NOT(ISBLANK(Audit[[#This Row],[Audit Candidate 12]])), Audit[[#This Row],[Audit Candidate 12]]-Audit[[#This Row],[Candidate 12]], "")</f>
        <v/>
      </c>
      <c r="AQ326" s="17">
        <f>SUMIF(Audit[[#This Row],[Difference Winner]:[Difference Candidate 12]], "&gt;0")</f>
        <v>0</v>
      </c>
      <c r="AR326" s="17">
        <f>SUM(Audit[[#This Row],[Difference Winner]:[Difference Candidate 12]])</f>
        <v>0</v>
      </c>
      <c r="AS326" s="17">
        <f>IF(Audit[[#This Row],[Times p Drawn - With Replacement]]&gt;0, IF(Audit[[#This Row],[Canceled Differences]]&lt;0, Audit[[#This Row],[Max Differences]]+ABS(Audit[[#This Row],[Canceled Differences]]), Audit[[#This Row],[Max Differences]]), 0)</f>
        <v>0</v>
      </c>
      <c r="AT326" s="17">
        <f>'Sampling Data'!AB326</f>
        <v>1.4471227295875064E-2</v>
      </c>
      <c r="AU326" s="17">
        <f>IF(
      SUM(Audit[[#This Row],[Audit Losing Candidate]:[Audit Candidate 12]])
      &lt;&gt;0,
      (Audit[[#This Row],[Winning Candidate]]-Audit[[#This Row],[Losing Candidate]]-(Audit[[#This Row],[Audit Winning Candidate]]-Audit[[#This Row],[Audit Losing Candidate]]))/(Audit[[#Totals],[Winning Candidate]]-Audit[[#Totals],[Losing Candidate]]),
      0
)</f>
        <v>0</v>
      </c>
      <c r="AV3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6" s="17">
        <f>IF(Audit[[#This Row],[Max Relative Error (ep)]] = 0, 0, Audit[[#This Row],[Max Relative Error (ep)]]/Audit[[#This Row],[Error Bound (up) - Max. possible relative overstatement]])</f>
        <v>0</v>
      </c>
      <c r="BH3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26" s="17">
        <f t="shared" si="5"/>
        <v>1</v>
      </c>
      <c r="BJ326" s="17">
        <f>PRODUCT($BI$5:BI326)</f>
        <v>0.48901700950994259</v>
      </c>
      <c r="BK326" s="19">
        <f>1 - Audit[[#This Row],[K-M P Value]]</f>
        <v>0.51098299049005735</v>
      </c>
      <c r="BL326" s="17" t="str">
        <f>IF(Audit[[#This Row],[K-M P Value]]&gt;1-'General Info'!$B$12,"Continue", "Stop")</f>
        <v>Continue</v>
      </c>
      <c r="BM326" s="22" t="b">
        <f>IF(Audit[[#This Row],[Status - Continue or stop audit]] = "Continue", TRUE, IF(BL325 = "Continue", TRUE, FALSE))</f>
        <v>1</v>
      </c>
      <c r="BN326" s="22"/>
    </row>
    <row r="327" spans="1:66" ht="15" hidden="1" customHeight="1" x14ac:dyDescent="0.35">
      <c r="A327" s="17" t="str">
        <f>'Sampling Data'!AI327</f>
        <v/>
      </c>
      <c r="B327" s="17" t="str">
        <f>'Sampling Data'!A327</f>
        <v>5608 AND H   (AV)</v>
      </c>
      <c r="C327" s="17">
        <f>'Sampling Data'!B327</f>
        <v>181</v>
      </c>
      <c r="D327" s="17">
        <f>'Sampling Data'!C327</f>
        <v>232</v>
      </c>
      <c r="E327" s="18">
        <f>'Sampling Data'!D327</f>
        <v>0</v>
      </c>
      <c r="F327" s="18">
        <f>'Sampling Data'!E327</f>
        <v>0</v>
      </c>
      <c r="G327" s="18">
        <f>'Sampling Data'!F327</f>
        <v>0</v>
      </c>
      <c r="H327" s="18">
        <f>'Sampling Data'!G327</f>
        <v>0</v>
      </c>
      <c r="I327" s="18">
        <f>'Sampling Data'!H327</f>
        <v>0</v>
      </c>
      <c r="J327" s="18">
        <f>'Sampling Data'!I327</f>
        <v>0</v>
      </c>
      <c r="K327" s="18">
        <f>'Sampling Data'!J327</f>
        <v>0</v>
      </c>
      <c r="L327" s="18">
        <f>'Sampling Data'!K327</f>
        <v>0</v>
      </c>
      <c r="M327" s="18">
        <f>'Sampling Data'!L327</f>
        <v>0</v>
      </c>
      <c r="N327" s="18">
        <f>'Sampling Data'!M327</f>
        <v>0</v>
      </c>
      <c r="O327" s="17">
        <f>'Sampling Data'!N327</f>
        <v>0</v>
      </c>
      <c r="P327" s="17">
        <f>'Sampling Data'!O327</f>
        <v>34</v>
      </c>
      <c r="Q327" s="17">
        <f>'Sampling Data'!P327</f>
        <v>447</v>
      </c>
      <c r="R327" s="17">
        <f>'Sampling Data'!AJ327</f>
        <v>0</v>
      </c>
      <c r="S327" s="111"/>
      <c r="T327" s="111"/>
      <c r="U327" s="112"/>
      <c r="V327" s="112"/>
      <c r="W327" s="111"/>
      <c r="X327" s="111"/>
      <c r="Y327" s="111"/>
      <c r="Z327" s="111"/>
      <c r="AA327" s="14"/>
      <c r="AB327" s="14"/>
      <c r="AC327" s="14"/>
      <c r="AD327" s="14"/>
      <c r="AE327" s="113" t="str">
        <f>IF(NOT(ISBLANK(Audit[[#This Row],[Audit Winning Candidate]])), Audit[[#This Row],[Audit Winning Candidate]]-Audit[[#This Row],[Winning Candidate]], "")</f>
        <v/>
      </c>
      <c r="AF327" s="17" t="str">
        <f>IF(NOT(ISBLANK(Audit[[#This Row],[Audit Losing Candidate]])), Audit[[#This Row],[Audit Losing Candidate]]-Audit[[#This Row],[Losing Candidate]], "")</f>
        <v/>
      </c>
      <c r="AG327" s="17" t="str">
        <f>IF(NOT(ISBLANK(Audit[[#This Row],[Audit Candidate 3]])), Audit[[#This Row],[Audit Candidate 3]]-Audit[[#This Row],[Candidate 3]], "")</f>
        <v/>
      </c>
      <c r="AH327" s="17" t="str">
        <f>IF(NOT(ISBLANK(Audit[[#This Row],[Audit Candidate 4]])),Audit[[#This Row],[Audit Candidate 4]]-Audit[[#This Row],[Candidate 4]], "")</f>
        <v/>
      </c>
      <c r="AI327" s="17" t="str">
        <f>IF(NOT(ISBLANK(Audit[[#This Row],[Audit Candidate 5]])), Audit[[#This Row],[Audit Candidate 5]]-Audit[[#This Row],[Candidate 5]], "")</f>
        <v/>
      </c>
      <c r="AJ327" s="17" t="str">
        <f>IF(NOT(ISBLANK(Audit[[#This Row],[Audit Candidate 6]])), Audit[[#This Row],[Audit Candidate 6]]-Audit[[#This Row],[Candidate 6]], "")</f>
        <v/>
      </c>
      <c r="AK327" s="17" t="str">
        <f>IF(NOT(ISBLANK(Audit[[#This Row],[Audit Candidate 7]])), Audit[[#This Row],[Audit Candidate 7]]-Audit[[#This Row],[Candidate 7]], "")</f>
        <v/>
      </c>
      <c r="AL327" s="17" t="str">
        <f>IF(NOT(ISBLANK(Audit[[#This Row],[Audit Candidate 8]])), Audit[[#This Row],[Audit Candidate 8]]-Audit[[#This Row],[Candidate 8]], "")</f>
        <v/>
      </c>
      <c r="AM327" s="17" t="str">
        <f>IF(NOT(ISBLANK(Audit[[#This Row],[Audit Candidate 9]])), Audit[[#This Row],[Audit Candidate 9]]-Audit[[#This Row],[Candidate 9]], "")</f>
        <v/>
      </c>
      <c r="AN327" s="17" t="str">
        <f>IF(NOT(ISBLANK(Audit[[#This Row],[Audit Candidate 10]])), Audit[[#This Row],[Audit Candidate 10]]-Audit[[#This Row],[Candidate 10]], "")</f>
        <v/>
      </c>
      <c r="AO327" s="17" t="str">
        <f>IF(NOT(ISBLANK(Audit[[#This Row],[Audit Candidate 11]])), Audit[[#This Row],[Audit Candidate 11]]-Audit[[#This Row],[Candidate 11]], "")</f>
        <v/>
      </c>
      <c r="AP327" s="17" t="str">
        <f>IF(NOT(ISBLANK(Audit[[#This Row],[Audit Candidate 12]])), Audit[[#This Row],[Audit Candidate 12]]-Audit[[#This Row],[Candidate 12]], "")</f>
        <v/>
      </c>
      <c r="AQ327" s="17">
        <f>SUMIF(Audit[[#This Row],[Difference Winner]:[Difference Candidate 12]], "&gt;0")</f>
        <v>0</v>
      </c>
      <c r="AR327" s="17">
        <f>SUM(Audit[[#This Row],[Difference Winner]:[Difference Candidate 12]])</f>
        <v>0</v>
      </c>
      <c r="AS327" s="17">
        <f>IF(Audit[[#This Row],[Times p Drawn - With Replacement]]&gt;0, IF(Audit[[#This Row],[Canceled Differences]]&lt;0, Audit[[#This Row],[Max Differences]]+ABS(Audit[[#This Row],[Canceled Differences]]), Audit[[#This Row],[Max Differences]]), 0)</f>
        <v>0</v>
      </c>
      <c r="AT327" s="17">
        <f>'Sampling Data'!AB327</f>
        <v>1.6805296214564589E-2</v>
      </c>
      <c r="AU327" s="17">
        <f>IF(
      SUM(Audit[[#This Row],[Audit Losing Candidate]:[Audit Candidate 12]])
      &lt;&gt;0,
      (Audit[[#This Row],[Winning Candidate]]-Audit[[#This Row],[Losing Candidate]]-(Audit[[#This Row],[Audit Winning Candidate]]-Audit[[#This Row],[Audit Losing Candidate]]))/(Audit[[#Totals],[Winning Candidate]]-Audit[[#Totals],[Losing Candidate]]),
      0
)</f>
        <v>0</v>
      </c>
      <c r="AV3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7" s="17">
        <f>IF(Audit[[#This Row],[Max Relative Error (ep)]] = 0, 0, Audit[[#This Row],[Max Relative Error (ep)]]/Audit[[#This Row],[Error Bound (up) - Max. possible relative overstatement]])</f>
        <v>0</v>
      </c>
      <c r="BH3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27" s="17">
        <f t="shared" si="5"/>
        <v>1</v>
      </c>
      <c r="BJ327" s="17">
        <f>PRODUCT($BI$5:BI327)</f>
        <v>0.48901700950994259</v>
      </c>
      <c r="BK327" s="19">
        <f>1 - Audit[[#This Row],[K-M P Value]]</f>
        <v>0.51098299049005735</v>
      </c>
      <c r="BL327" s="17" t="str">
        <f>IF(Audit[[#This Row],[K-M P Value]]&gt;1-'General Info'!$B$12,"Continue", "Stop")</f>
        <v>Continue</v>
      </c>
      <c r="BM327" s="22" t="b">
        <f>IF(Audit[[#This Row],[Status - Continue or stop audit]] = "Continue", TRUE, IF(BL326 = "Continue", TRUE, FALSE))</f>
        <v>1</v>
      </c>
      <c r="BN327" s="22"/>
    </row>
    <row r="328" spans="1:66" ht="15" hidden="1" customHeight="1" x14ac:dyDescent="0.35">
      <c r="A328" s="17" t="str">
        <f>'Sampling Data'!AI328</f>
        <v/>
      </c>
      <c r="B328" s="17" t="str">
        <f>'Sampling Data'!A328</f>
        <v>5609 AND I   (AV)</v>
      </c>
      <c r="C328" s="17">
        <f>'Sampling Data'!B328</f>
        <v>270</v>
      </c>
      <c r="D328" s="17">
        <f>'Sampling Data'!C328</f>
        <v>308</v>
      </c>
      <c r="E328" s="18">
        <f>'Sampling Data'!D328</f>
        <v>0</v>
      </c>
      <c r="F328" s="18">
        <f>'Sampling Data'!E328</f>
        <v>0</v>
      </c>
      <c r="G328" s="18">
        <f>'Sampling Data'!F328</f>
        <v>0</v>
      </c>
      <c r="H328" s="18">
        <f>'Sampling Data'!G328</f>
        <v>0</v>
      </c>
      <c r="I328" s="18">
        <f>'Sampling Data'!H328</f>
        <v>0</v>
      </c>
      <c r="J328" s="18">
        <f>'Sampling Data'!I328</f>
        <v>0</v>
      </c>
      <c r="K328" s="18">
        <f>'Sampling Data'!J328</f>
        <v>0</v>
      </c>
      <c r="L328" s="18">
        <f>'Sampling Data'!K328</f>
        <v>0</v>
      </c>
      <c r="M328" s="18">
        <f>'Sampling Data'!L328</f>
        <v>0</v>
      </c>
      <c r="N328" s="18">
        <f>'Sampling Data'!M328</f>
        <v>0</v>
      </c>
      <c r="O328" s="17">
        <f>'Sampling Data'!N328</f>
        <v>1</v>
      </c>
      <c r="P328" s="17">
        <f>'Sampling Data'!O328</f>
        <v>38</v>
      </c>
      <c r="Q328" s="17">
        <f>'Sampling Data'!P328</f>
        <v>617</v>
      </c>
      <c r="R328" s="17">
        <f>'Sampling Data'!AJ328</f>
        <v>0</v>
      </c>
      <c r="S328" s="111"/>
      <c r="T328" s="111"/>
      <c r="U328" s="112"/>
      <c r="V328" s="112"/>
      <c r="W328" s="111"/>
      <c r="X328" s="111"/>
      <c r="Y328" s="111"/>
      <c r="Z328" s="111"/>
      <c r="AA328" s="14"/>
      <c r="AB328" s="14"/>
      <c r="AC328" s="14"/>
      <c r="AD328" s="14"/>
      <c r="AE328" s="113" t="str">
        <f>IF(NOT(ISBLANK(Audit[[#This Row],[Audit Winning Candidate]])), Audit[[#This Row],[Audit Winning Candidate]]-Audit[[#This Row],[Winning Candidate]], "")</f>
        <v/>
      </c>
      <c r="AF328" s="17" t="str">
        <f>IF(NOT(ISBLANK(Audit[[#This Row],[Audit Losing Candidate]])), Audit[[#This Row],[Audit Losing Candidate]]-Audit[[#This Row],[Losing Candidate]], "")</f>
        <v/>
      </c>
      <c r="AG328" s="17" t="str">
        <f>IF(NOT(ISBLANK(Audit[[#This Row],[Audit Candidate 3]])), Audit[[#This Row],[Audit Candidate 3]]-Audit[[#This Row],[Candidate 3]], "")</f>
        <v/>
      </c>
      <c r="AH328" s="17" t="str">
        <f>IF(NOT(ISBLANK(Audit[[#This Row],[Audit Candidate 4]])),Audit[[#This Row],[Audit Candidate 4]]-Audit[[#This Row],[Candidate 4]], "")</f>
        <v/>
      </c>
      <c r="AI328" s="17" t="str">
        <f>IF(NOT(ISBLANK(Audit[[#This Row],[Audit Candidate 5]])), Audit[[#This Row],[Audit Candidate 5]]-Audit[[#This Row],[Candidate 5]], "")</f>
        <v/>
      </c>
      <c r="AJ328" s="17" t="str">
        <f>IF(NOT(ISBLANK(Audit[[#This Row],[Audit Candidate 6]])), Audit[[#This Row],[Audit Candidate 6]]-Audit[[#This Row],[Candidate 6]], "")</f>
        <v/>
      </c>
      <c r="AK328" s="17" t="str">
        <f>IF(NOT(ISBLANK(Audit[[#This Row],[Audit Candidate 7]])), Audit[[#This Row],[Audit Candidate 7]]-Audit[[#This Row],[Candidate 7]], "")</f>
        <v/>
      </c>
      <c r="AL328" s="17" t="str">
        <f>IF(NOT(ISBLANK(Audit[[#This Row],[Audit Candidate 8]])), Audit[[#This Row],[Audit Candidate 8]]-Audit[[#This Row],[Candidate 8]], "")</f>
        <v/>
      </c>
      <c r="AM328" s="17" t="str">
        <f>IF(NOT(ISBLANK(Audit[[#This Row],[Audit Candidate 9]])), Audit[[#This Row],[Audit Candidate 9]]-Audit[[#This Row],[Candidate 9]], "")</f>
        <v/>
      </c>
      <c r="AN328" s="17" t="str">
        <f>IF(NOT(ISBLANK(Audit[[#This Row],[Audit Candidate 10]])), Audit[[#This Row],[Audit Candidate 10]]-Audit[[#This Row],[Candidate 10]], "")</f>
        <v/>
      </c>
      <c r="AO328" s="17" t="str">
        <f>IF(NOT(ISBLANK(Audit[[#This Row],[Audit Candidate 11]])), Audit[[#This Row],[Audit Candidate 11]]-Audit[[#This Row],[Candidate 11]], "")</f>
        <v/>
      </c>
      <c r="AP328" s="17" t="str">
        <f>IF(NOT(ISBLANK(Audit[[#This Row],[Audit Candidate 12]])), Audit[[#This Row],[Audit Candidate 12]]-Audit[[#This Row],[Candidate 12]], "")</f>
        <v/>
      </c>
      <c r="AQ328" s="17">
        <f>SUMIF(Audit[[#This Row],[Difference Winner]:[Difference Candidate 12]], "&gt;0")</f>
        <v>0</v>
      </c>
      <c r="AR328" s="17">
        <f>SUM(Audit[[#This Row],[Difference Winner]:[Difference Candidate 12]])</f>
        <v>0</v>
      </c>
      <c r="AS328" s="17">
        <f>IF(Audit[[#This Row],[Times p Drawn - With Replacement]]&gt;0, IF(Audit[[#This Row],[Canceled Differences]]&lt;0, Audit[[#This Row],[Max Differences]]+ABS(Audit[[#This Row],[Canceled Differences]]), Audit[[#This Row],[Max Differences]]), 0)</f>
        <v>0</v>
      </c>
      <c r="AT328" s="17">
        <f>'Sampling Data'!AB328</f>
        <v>2.4571380071295196E-2</v>
      </c>
      <c r="AU328" s="17">
        <f>IF(
      SUM(Audit[[#This Row],[Audit Losing Candidate]:[Audit Candidate 12]])
      &lt;&gt;0,
      (Audit[[#This Row],[Winning Candidate]]-Audit[[#This Row],[Losing Candidate]]-(Audit[[#This Row],[Audit Winning Candidate]]-Audit[[#This Row],[Audit Losing Candidate]]))/(Audit[[#Totals],[Winning Candidate]]-Audit[[#Totals],[Losing Candidate]]),
      0
)</f>
        <v>0</v>
      </c>
      <c r="AV3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8" s="17">
        <f>IF(Audit[[#This Row],[Max Relative Error (ep)]] = 0, 0, Audit[[#This Row],[Max Relative Error (ep)]]/Audit[[#This Row],[Error Bound (up) - Max. possible relative overstatement]])</f>
        <v>0</v>
      </c>
      <c r="BH3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28" s="17">
        <f t="shared" si="5"/>
        <v>1</v>
      </c>
      <c r="BJ328" s="17">
        <f>PRODUCT($BI$5:BI328)</f>
        <v>0.48901700950994259</v>
      </c>
      <c r="BK328" s="19">
        <f>1 - Audit[[#This Row],[K-M P Value]]</f>
        <v>0.51098299049005735</v>
      </c>
      <c r="BL328" s="17" t="str">
        <f>IF(Audit[[#This Row],[K-M P Value]]&gt;1-'General Info'!$B$12,"Continue", "Stop")</f>
        <v>Continue</v>
      </c>
      <c r="BM328" s="22" t="b">
        <f>IF(Audit[[#This Row],[Status - Continue or stop audit]] = "Continue", TRUE, IF(BL327 = "Continue", TRUE, FALSE))</f>
        <v>1</v>
      </c>
      <c r="BN328" s="22"/>
    </row>
    <row r="329" spans="1:66" ht="15" hidden="1" customHeight="1" x14ac:dyDescent="0.35">
      <c r="A329" s="17" t="str">
        <f>'Sampling Data'!AI329</f>
        <v/>
      </c>
      <c r="B329" s="17" t="str">
        <f>'Sampling Data'!A329</f>
        <v>5610 AND J   (AV)</v>
      </c>
      <c r="C329" s="17">
        <f>'Sampling Data'!B329</f>
        <v>124</v>
      </c>
      <c r="D329" s="17">
        <f>'Sampling Data'!C329</f>
        <v>166</v>
      </c>
      <c r="E329" s="18">
        <f>'Sampling Data'!D329</f>
        <v>0</v>
      </c>
      <c r="F329" s="18">
        <f>'Sampling Data'!E329</f>
        <v>0</v>
      </c>
      <c r="G329" s="18">
        <f>'Sampling Data'!F329</f>
        <v>0</v>
      </c>
      <c r="H329" s="18">
        <f>'Sampling Data'!G329</f>
        <v>0</v>
      </c>
      <c r="I329" s="18">
        <f>'Sampling Data'!H329</f>
        <v>0</v>
      </c>
      <c r="J329" s="18">
        <f>'Sampling Data'!I329</f>
        <v>0</v>
      </c>
      <c r="K329" s="18">
        <f>'Sampling Data'!J329</f>
        <v>0</v>
      </c>
      <c r="L329" s="18">
        <f>'Sampling Data'!K329</f>
        <v>0</v>
      </c>
      <c r="M329" s="18">
        <f>'Sampling Data'!L329</f>
        <v>0</v>
      </c>
      <c r="N329" s="18">
        <f>'Sampling Data'!M329</f>
        <v>0</v>
      </c>
      <c r="O329" s="17">
        <f>'Sampling Data'!N329</f>
        <v>0</v>
      </c>
      <c r="P329" s="17">
        <f>'Sampling Data'!O329</f>
        <v>27</v>
      </c>
      <c r="Q329" s="17">
        <f>'Sampling Data'!P329</f>
        <v>317</v>
      </c>
      <c r="R329" s="17">
        <f>'Sampling Data'!AJ329</f>
        <v>0</v>
      </c>
      <c r="S329" s="111"/>
      <c r="T329" s="111"/>
      <c r="U329" s="112"/>
      <c r="V329" s="112"/>
      <c r="W329" s="111"/>
      <c r="X329" s="111"/>
      <c r="Y329" s="111"/>
      <c r="Z329" s="111"/>
      <c r="AA329" s="14"/>
      <c r="AB329" s="14"/>
      <c r="AC329" s="14"/>
      <c r="AD329" s="14"/>
      <c r="AE329" s="113" t="str">
        <f>IF(NOT(ISBLANK(Audit[[#This Row],[Audit Winning Candidate]])), Audit[[#This Row],[Audit Winning Candidate]]-Audit[[#This Row],[Winning Candidate]], "")</f>
        <v/>
      </c>
      <c r="AF329" s="17" t="str">
        <f>IF(NOT(ISBLANK(Audit[[#This Row],[Audit Losing Candidate]])), Audit[[#This Row],[Audit Losing Candidate]]-Audit[[#This Row],[Losing Candidate]], "")</f>
        <v/>
      </c>
      <c r="AG329" s="17" t="str">
        <f>IF(NOT(ISBLANK(Audit[[#This Row],[Audit Candidate 3]])), Audit[[#This Row],[Audit Candidate 3]]-Audit[[#This Row],[Candidate 3]], "")</f>
        <v/>
      </c>
      <c r="AH329" s="17" t="str">
        <f>IF(NOT(ISBLANK(Audit[[#This Row],[Audit Candidate 4]])),Audit[[#This Row],[Audit Candidate 4]]-Audit[[#This Row],[Candidate 4]], "")</f>
        <v/>
      </c>
      <c r="AI329" s="17" t="str">
        <f>IF(NOT(ISBLANK(Audit[[#This Row],[Audit Candidate 5]])), Audit[[#This Row],[Audit Candidate 5]]-Audit[[#This Row],[Candidate 5]], "")</f>
        <v/>
      </c>
      <c r="AJ329" s="17" t="str">
        <f>IF(NOT(ISBLANK(Audit[[#This Row],[Audit Candidate 6]])), Audit[[#This Row],[Audit Candidate 6]]-Audit[[#This Row],[Candidate 6]], "")</f>
        <v/>
      </c>
      <c r="AK329" s="17" t="str">
        <f>IF(NOT(ISBLANK(Audit[[#This Row],[Audit Candidate 7]])), Audit[[#This Row],[Audit Candidate 7]]-Audit[[#This Row],[Candidate 7]], "")</f>
        <v/>
      </c>
      <c r="AL329" s="17" t="str">
        <f>IF(NOT(ISBLANK(Audit[[#This Row],[Audit Candidate 8]])), Audit[[#This Row],[Audit Candidate 8]]-Audit[[#This Row],[Candidate 8]], "")</f>
        <v/>
      </c>
      <c r="AM329" s="17" t="str">
        <f>IF(NOT(ISBLANK(Audit[[#This Row],[Audit Candidate 9]])), Audit[[#This Row],[Audit Candidate 9]]-Audit[[#This Row],[Candidate 9]], "")</f>
        <v/>
      </c>
      <c r="AN329" s="17" t="str">
        <f>IF(NOT(ISBLANK(Audit[[#This Row],[Audit Candidate 10]])), Audit[[#This Row],[Audit Candidate 10]]-Audit[[#This Row],[Candidate 10]], "")</f>
        <v/>
      </c>
      <c r="AO329" s="17" t="str">
        <f>IF(NOT(ISBLANK(Audit[[#This Row],[Audit Candidate 11]])), Audit[[#This Row],[Audit Candidate 11]]-Audit[[#This Row],[Candidate 11]], "")</f>
        <v/>
      </c>
      <c r="AP329" s="17" t="str">
        <f>IF(NOT(ISBLANK(Audit[[#This Row],[Audit Candidate 12]])), Audit[[#This Row],[Audit Candidate 12]]-Audit[[#This Row],[Candidate 12]], "")</f>
        <v/>
      </c>
      <c r="AQ329" s="17">
        <f>SUMIF(Audit[[#This Row],[Difference Winner]:[Difference Candidate 12]], "&gt;0")</f>
        <v>0</v>
      </c>
      <c r="AR329" s="17">
        <f>SUM(Audit[[#This Row],[Difference Winner]:[Difference Candidate 12]])</f>
        <v>0</v>
      </c>
      <c r="AS329" s="17">
        <f>IF(Audit[[#This Row],[Times p Drawn - With Replacement]]&gt;0, IF(Audit[[#This Row],[Canceled Differences]]&lt;0, Audit[[#This Row],[Max Differences]]+ABS(Audit[[#This Row],[Canceled Differences]]), Audit[[#This Row],[Max Differences]]), 0)</f>
        <v>0</v>
      </c>
      <c r="AT329" s="17">
        <f>'Sampling Data'!AB329</f>
        <v>1.1670344593447632E-2</v>
      </c>
      <c r="AU329" s="17">
        <f>IF(
      SUM(Audit[[#This Row],[Audit Losing Candidate]:[Audit Candidate 12]])
      &lt;&gt;0,
      (Audit[[#This Row],[Winning Candidate]]-Audit[[#This Row],[Losing Candidate]]-(Audit[[#This Row],[Audit Winning Candidate]]-Audit[[#This Row],[Audit Losing Candidate]]))/(Audit[[#Totals],[Winning Candidate]]-Audit[[#Totals],[Losing Candidate]]),
      0
)</f>
        <v>0</v>
      </c>
      <c r="AV3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9" s="17">
        <f>IF(Audit[[#This Row],[Max Relative Error (ep)]] = 0, 0, Audit[[#This Row],[Max Relative Error (ep)]]/Audit[[#This Row],[Error Bound (up) - Max. possible relative overstatement]])</f>
        <v>0</v>
      </c>
      <c r="BH3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29" s="17">
        <f t="shared" si="5"/>
        <v>1</v>
      </c>
      <c r="BJ329" s="17">
        <f>PRODUCT($BI$5:BI329)</f>
        <v>0.48901700950994259</v>
      </c>
      <c r="BK329" s="19">
        <f>1 - Audit[[#This Row],[K-M P Value]]</f>
        <v>0.51098299049005735</v>
      </c>
      <c r="BL329" s="17" t="str">
        <f>IF(Audit[[#This Row],[K-M P Value]]&gt;1-'General Info'!$B$12,"Continue", "Stop")</f>
        <v>Continue</v>
      </c>
      <c r="BM329" s="22" t="b">
        <f>IF(Audit[[#This Row],[Status - Continue or stop audit]] = "Continue", TRUE, IF(BL328 = "Continue", TRUE, FALSE))</f>
        <v>1</v>
      </c>
      <c r="BN329" s="22"/>
    </row>
    <row r="330" spans="1:66" ht="15" hidden="1" customHeight="1" x14ac:dyDescent="0.35">
      <c r="A330" s="17" t="str">
        <f>'Sampling Data'!AI330</f>
        <v/>
      </c>
      <c r="B330" s="17" t="str">
        <f>'Sampling Data'!A330</f>
        <v>5611 AND K   (AV)</v>
      </c>
      <c r="C330" s="17">
        <f>'Sampling Data'!B330</f>
        <v>187</v>
      </c>
      <c r="D330" s="17">
        <f>'Sampling Data'!C330</f>
        <v>200</v>
      </c>
      <c r="E330" s="18">
        <f>'Sampling Data'!D330</f>
        <v>0</v>
      </c>
      <c r="F330" s="18">
        <f>'Sampling Data'!E330</f>
        <v>0</v>
      </c>
      <c r="G330" s="18">
        <f>'Sampling Data'!F330</f>
        <v>0</v>
      </c>
      <c r="H330" s="18">
        <f>'Sampling Data'!G330</f>
        <v>0</v>
      </c>
      <c r="I330" s="18">
        <f>'Sampling Data'!H330</f>
        <v>0</v>
      </c>
      <c r="J330" s="18">
        <f>'Sampling Data'!I330</f>
        <v>0</v>
      </c>
      <c r="K330" s="18">
        <f>'Sampling Data'!J330</f>
        <v>0</v>
      </c>
      <c r="L330" s="18">
        <f>'Sampling Data'!K330</f>
        <v>0</v>
      </c>
      <c r="M330" s="18">
        <f>'Sampling Data'!L330</f>
        <v>0</v>
      </c>
      <c r="N330" s="18">
        <f>'Sampling Data'!M330</f>
        <v>0</v>
      </c>
      <c r="O330" s="17">
        <f>'Sampling Data'!N330</f>
        <v>0</v>
      </c>
      <c r="P330" s="17">
        <f>'Sampling Data'!O330</f>
        <v>22</v>
      </c>
      <c r="Q330" s="17">
        <f>'Sampling Data'!P330</f>
        <v>409</v>
      </c>
      <c r="R330" s="17">
        <f>'Sampling Data'!AJ330</f>
        <v>0</v>
      </c>
      <c r="S330" s="111"/>
      <c r="T330" s="111"/>
      <c r="U330" s="112"/>
      <c r="V330" s="112"/>
      <c r="W330" s="111"/>
      <c r="X330" s="111"/>
      <c r="Y330" s="111"/>
      <c r="Z330" s="111"/>
      <c r="AA330" s="14"/>
      <c r="AB330" s="14"/>
      <c r="AC330" s="14"/>
      <c r="AD330" s="14"/>
      <c r="AE330" s="113" t="str">
        <f>IF(NOT(ISBLANK(Audit[[#This Row],[Audit Winning Candidate]])), Audit[[#This Row],[Audit Winning Candidate]]-Audit[[#This Row],[Winning Candidate]], "")</f>
        <v/>
      </c>
      <c r="AF330" s="17" t="str">
        <f>IF(NOT(ISBLANK(Audit[[#This Row],[Audit Losing Candidate]])), Audit[[#This Row],[Audit Losing Candidate]]-Audit[[#This Row],[Losing Candidate]], "")</f>
        <v/>
      </c>
      <c r="AG330" s="17" t="str">
        <f>IF(NOT(ISBLANK(Audit[[#This Row],[Audit Candidate 3]])), Audit[[#This Row],[Audit Candidate 3]]-Audit[[#This Row],[Candidate 3]], "")</f>
        <v/>
      </c>
      <c r="AH330" s="17" t="str">
        <f>IF(NOT(ISBLANK(Audit[[#This Row],[Audit Candidate 4]])),Audit[[#This Row],[Audit Candidate 4]]-Audit[[#This Row],[Candidate 4]], "")</f>
        <v/>
      </c>
      <c r="AI330" s="17" t="str">
        <f>IF(NOT(ISBLANK(Audit[[#This Row],[Audit Candidate 5]])), Audit[[#This Row],[Audit Candidate 5]]-Audit[[#This Row],[Candidate 5]], "")</f>
        <v/>
      </c>
      <c r="AJ330" s="17" t="str">
        <f>IF(NOT(ISBLANK(Audit[[#This Row],[Audit Candidate 6]])), Audit[[#This Row],[Audit Candidate 6]]-Audit[[#This Row],[Candidate 6]], "")</f>
        <v/>
      </c>
      <c r="AK330" s="17" t="str">
        <f>IF(NOT(ISBLANK(Audit[[#This Row],[Audit Candidate 7]])), Audit[[#This Row],[Audit Candidate 7]]-Audit[[#This Row],[Candidate 7]], "")</f>
        <v/>
      </c>
      <c r="AL330" s="17" t="str">
        <f>IF(NOT(ISBLANK(Audit[[#This Row],[Audit Candidate 8]])), Audit[[#This Row],[Audit Candidate 8]]-Audit[[#This Row],[Candidate 8]], "")</f>
        <v/>
      </c>
      <c r="AM330" s="17" t="str">
        <f>IF(NOT(ISBLANK(Audit[[#This Row],[Audit Candidate 9]])), Audit[[#This Row],[Audit Candidate 9]]-Audit[[#This Row],[Candidate 9]], "")</f>
        <v/>
      </c>
      <c r="AN330" s="17" t="str">
        <f>IF(NOT(ISBLANK(Audit[[#This Row],[Audit Candidate 10]])), Audit[[#This Row],[Audit Candidate 10]]-Audit[[#This Row],[Candidate 10]], "")</f>
        <v/>
      </c>
      <c r="AO330" s="17" t="str">
        <f>IF(NOT(ISBLANK(Audit[[#This Row],[Audit Candidate 11]])), Audit[[#This Row],[Audit Candidate 11]]-Audit[[#This Row],[Candidate 11]], "")</f>
        <v/>
      </c>
      <c r="AP330" s="17" t="str">
        <f>IF(NOT(ISBLANK(Audit[[#This Row],[Audit Candidate 12]])), Audit[[#This Row],[Audit Candidate 12]]-Audit[[#This Row],[Candidate 12]], "")</f>
        <v/>
      </c>
      <c r="AQ330" s="17">
        <f>SUMIF(Audit[[#This Row],[Difference Winner]:[Difference Candidate 12]], "&gt;0")</f>
        <v>0</v>
      </c>
      <c r="AR330" s="17">
        <f>SUM(Audit[[#This Row],[Difference Winner]:[Difference Candidate 12]])</f>
        <v>0</v>
      </c>
      <c r="AS330" s="17">
        <f>IF(Audit[[#This Row],[Times p Drawn - With Replacement]]&gt;0, IF(Audit[[#This Row],[Canceled Differences]]&lt;0, Audit[[#This Row],[Max Differences]]+ABS(Audit[[#This Row],[Canceled Differences]]), Audit[[#This Row],[Max Differences]]), 0)</f>
        <v>0</v>
      </c>
      <c r="AT330" s="17">
        <f>'Sampling Data'!AB330</f>
        <v>1.6805296214564589E-2</v>
      </c>
      <c r="AU330" s="17">
        <f>IF(
      SUM(Audit[[#This Row],[Audit Losing Candidate]:[Audit Candidate 12]])
      &lt;&gt;0,
      (Audit[[#This Row],[Winning Candidate]]-Audit[[#This Row],[Losing Candidate]]-(Audit[[#This Row],[Audit Winning Candidate]]-Audit[[#This Row],[Audit Losing Candidate]]))/(Audit[[#Totals],[Winning Candidate]]-Audit[[#Totals],[Losing Candidate]]),
      0
)</f>
        <v>0</v>
      </c>
      <c r="AV3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0" s="17">
        <f>IF(Audit[[#This Row],[Max Relative Error (ep)]] = 0, 0, Audit[[#This Row],[Max Relative Error (ep)]]/Audit[[#This Row],[Error Bound (up) - Max. possible relative overstatement]])</f>
        <v>0</v>
      </c>
      <c r="BH3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30" s="17">
        <f t="shared" si="5"/>
        <v>1</v>
      </c>
      <c r="BJ330" s="17">
        <f>PRODUCT($BI$5:BI330)</f>
        <v>0.48901700950994259</v>
      </c>
      <c r="BK330" s="19">
        <f>1 - Audit[[#This Row],[K-M P Value]]</f>
        <v>0.51098299049005735</v>
      </c>
      <c r="BL330" s="17" t="str">
        <f>IF(Audit[[#This Row],[K-M P Value]]&gt;1-'General Info'!$B$12,"Continue", "Stop")</f>
        <v>Continue</v>
      </c>
      <c r="BM330" s="22" t="b">
        <f>IF(Audit[[#This Row],[Status - Continue or stop audit]] = "Continue", TRUE, IF(BL329 = "Continue", TRUE, FALSE))</f>
        <v>1</v>
      </c>
      <c r="BN330" s="22"/>
    </row>
    <row r="331" spans="1:66" ht="15" hidden="1" customHeight="1" x14ac:dyDescent="0.35">
      <c r="A331" s="17" t="str">
        <f>'Sampling Data'!AI331</f>
        <v/>
      </c>
      <c r="B331" s="17" t="str">
        <f>'Sampling Data'!A331</f>
        <v>5612 AND L   (AV)</v>
      </c>
      <c r="C331" s="17">
        <f>'Sampling Data'!B331</f>
        <v>244</v>
      </c>
      <c r="D331" s="17">
        <f>'Sampling Data'!C331</f>
        <v>239</v>
      </c>
      <c r="E331" s="18">
        <f>'Sampling Data'!D331</f>
        <v>0</v>
      </c>
      <c r="F331" s="18">
        <f>'Sampling Data'!E331</f>
        <v>0</v>
      </c>
      <c r="G331" s="18">
        <f>'Sampling Data'!F331</f>
        <v>0</v>
      </c>
      <c r="H331" s="18">
        <f>'Sampling Data'!G331</f>
        <v>0</v>
      </c>
      <c r="I331" s="18">
        <f>'Sampling Data'!H331</f>
        <v>0</v>
      </c>
      <c r="J331" s="18">
        <f>'Sampling Data'!I331</f>
        <v>0</v>
      </c>
      <c r="K331" s="18">
        <f>'Sampling Data'!J331</f>
        <v>0</v>
      </c>
      <c r="L331" s="18">
        <f>'Sampling Data'!K331</f>
        <v>0</v>
      </c>
      <c r="M331" s="18">
        <f>'Sampling Data'!L331</f>
        <v>0</v>
      </c>
      <c r="N331" s="18">
        <f>'Sampling Data'!M331</f>
        <v>0</v>
      </c>
      <c r="O331" s="17">
        <f>'Sampling Data'!N331</f>
        <v>0</v>
      </c>
      <c r="P331" s="17">
        <f>'Sampling Data'!O331</f>
        <v>22</v>
      </c>
      <c r="Q331" s="17">
        <f>'Sampling Data'!P331</f>
        <v>505</v>
      </c>
      <c r="R331" s="17">
        <f>'Sampling Data'!AJ331</f>
        <v>0</v>
      </c>
      <c r="S331" s="111"/>
      <c r="T331" s="111"/>
      <c r="U331" s="112"/>
      <c r="V331" s="112"/>
      <c r="W331" s="111"/>
      <c r="X331" s="111"/>
      <c r="Y331" s="111"/>
      <c r="Z331" s="111"/>
      <c r="AA331" s="14"/>
      <c r="AB331" s="14"/>
      <c r="AC331" s="14"/>
      <c r="AD331" s="14"/>
      <c r="AE331" s="113" t="str">
        <f>IF(NOT(ISBLANK(Audit[[#This Row],[Audit Winning Candidate]])), Audit[[#This Row],[Audit Winning Candidate]]-Audit[[#This Row],[Winning Candidate]], "")</f>
        <v/>
      </c>
      <c r="AF331" s="17" t="str">
        <f>IF(NOT(ISBLANK(Audit[[#This Row],[Audit Losing Candidate]])), Audit[[#This Row],[Audit Losing Candidate]]-Audit[[#This Row],[Losing Candidate]], "")</f>
        <v/>
      </c>
      <c r="AG331" s="17" t="str">
        <f>IF(NOT(ISBLANK(Audit[[#This Row],[Audit Candidate 3]])), Audit[[#This Row],[Audit Candidate 3]]-Audit[[#This Row],[Candidate 3]], "")</f>
        <v/>
      </c>
      <c r="AH331" s="17" t="str">
        <f>IF(NOT(ISBLANK(Audit[[#This Row],[Audit Candidate 4]])),Audit[[#This Row],[Audit Candidate 4]]-Audit[[#This Row],[Candidate 4]], "")</f>
        <v/>
      </c>
      <c r="AI331" s="17" t="str">
        <f>IF(NOT(ISBLANK(Audit[[#This Row],[Audit Candidate 5]])), Audit[[#This Row],[Audit Candidate 5]]-Audit[[#This Row],[Candidate 5]], "")</f>
        <v/>
      </c>
      <c r="AJ331" s="17" t="str">
        <f>IF(NOT(ISBLANK(Audit[[#This Row],[Audit Candidate 6]])), Audit[[#This Row],[Audit Candidate 6]]-Audit[[#This Row],[Candidate 6]], "")</f>
        <v/>
      </c>
      <c r="AK331" s="17" t="str">
        <f>IF(NOT(ISBLANK(Audit[[#This Row],[Audit Candidate 7]])), Audit[[#This Row],[Audit Candidate 7]]-Audit[[#This Row],[Candidate 7]], "")</f>
        <v/>
      </c>
      <c r="AL331" s="17" t="str">
        <f>IF(NOT(ISBLANK(Audit[[#This Row],[Audit Candidate 8]])), Audit[[#This Row],[Audit Candidate 8]]-Audit[[#This Row],[Candidate 8]], "")</f>
        <v/>
      </c>
      <c r="AM331" s="17" t="str">
        <f>IF(NOT(ISBLANK(Audit[[#This Row],[Audit Candidate 9]])), Audit[[#This Row],[Audit Candidate 9]]-Audit[[#This Row],[Candidate 9]], "")</f>
        <v/>
      </c>
      <c r="AN331" s="17" t="str">
        <f>IF(NOT(ISBLANK(Audit[[#This Row],[Audit Candidate 10]])), Audit[[#This Row],[Audit Candidate 10]]-Audit[[#This Row],[Candidate 10]], "")</f>
        <v/>
      </c>
      <c r="AO331" s="17" t="str">
        <f>IF(NOT(ISBLANK(Audit[[#This Row],[Audit Candidate 11]])), Audit[[#This Row],[Audit Candidate 11]]-Audit[[#This Row],[Candidate 11]], "")</f>
        <v/>
      </c>
      <c r="AP331" s="17" t="str">
        <f>IF(NOT(ISBLANK(Audit[[#This Row],[Audit Candidate 12]])), Audit[[#This Row],[Audit Candidate 12]]-Audit[[#This Row],[Candidate 12]], "")</f>
        <v/>
      </c>
      <c r="AQ331" s="17">
        <f>SUMIF(Audit[[#This Row],[Difference Winner]:[Difference Candidate 12]], "&gt;0")</f>
        <v>0</v>
      </c>
      <c r="AR331" s="17">
        <f>SUM(Audit[[#This Row],[Difference Winner]:[Difference Candidate 12]])</f>
        <v>0</v>
      </c>
      <c r="AS331" s="17">
        <f>IF(Audit[[#This Row],[Times p Drawn - With Replacement]]&gt;0, IF(Audit[[#This Row],[Canceled Differences]]&lt;0, Audit[[#This Row],[Max Differences]]+ABS(Audit[[#This Row],[Canceled Differences]]), Audit[[#This Row],[Max Differences]]), 0)</f>
        <v>0</v>
      </c>
      <c r="AT331" s="17">
        <f>'Sampling Data'!AB331</f>
        <v>2.1643184518757425E-2</v>
      </c>
      <c r="AU331" s="17">
        <f>IF(
      SUM(Audit[[#This Row],[Audit Losing Candidate]:[Audit Candidate 12]])
      &lt;&gt;0,
      (Audit[[#This Row],[Winning Candidate]]-Audit[[#This Row],[Losing Candidate]]-(Audit[[#This Row],[Audit Winning Candidate]]-Audit[[#This Row],[Audit Losing Candidate]]))/(Audit[[#Totals],[Winning Candidate]]-Audit[[#Totals],[Losing Candidate]]),
      0
)</f>
        <v>0</v>
      </c>
      <c r="AV3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1" s="17">
        <f>IF(Audit[[#This Row],[Max Relative Error (ep)]] = 0, 0, Audit[[#This Row],[Max Relative Error (ep)]]/Audit[[#This Row],[Error Bound (up) - Max. possible relative overstatement]])</f>
        <v>0</v>
      </c>
      <c r="BH3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31" s="17">
        <f t="shared" si="5"/>
        <v>1</v>
      </c>
      <c r="BJ331" s="17">
        <f>PRODUCT($BI$5:BI331)</f>
        <v>0.48901700950994259</v>
      </c>
      <c r="BK331" s="19">
        <f>1 - Audit[[#This Row],[K-M P Value]]</f>
        <v>0.51098299049005735</v>
      </c>
      <c r="BL331" s="17" t="str">
        <f>IF(Audit[[#This Row],[K-M P Value]]&gt;1-'General Info'!$B$12,"Continue", "Stop")</f>
        <v>Continue</v>
      </c>
      <c r="BM331" s="22" t="b">
        <f>IF(Audit[[#This Row],[Status - Continue or stop audit]] = "Continue", TRUE, IF(BL330 = "Continue", TRUE, FALSE))</f>
        <v>1</v>
      </c>
      <c r="BN331" s="22"/>
    </row>
    <row r="332" spans="1:66" ht="15" hidden="1" customHeight="1" x14ac:dyDescent="0.35">
      <c r="A332" s="17" t="str">
        <f>'Sampling Data'!AI332</f>
        <v/>
      </c>
      <c r="B332" s="17" t="str">
        <f>'Sampling Data'!A332</f>
        <v>5613 AND M   (AV)</v>
      </c>
      <c r="C332" s="17">
        <f>'Sampling Data'!B332</f>
        <v>88</v>
      </c>
      <c r="D332" s="17">
        <f>'Sampling Data'!C332</f>
        <v>99</v>
      </c>
      <c r="E332" s="18">
        <f>'Sampling Data'!D332</f>
        <v>0</v>
      </c>
      <c r="F332" s="18">
        <f>'Sampling Data'!E332</f>
        <v>0</v>
      </c>
      <c r="G332" s="18">
        <f>'Sampling Data'!F332</f>
        <v>0</v>
      </c>
      <c r="H332" s="18">
        <f>'Sampling Data'!G332</f>
        <v>0</v>
      </c>
      <c r="I332" s="18">
        <f>'Sampling Data'!H332</f>
        <v>0</v>
      </c>
      <c r="J332" s="18">
        <f>'Sampling Data'!I332</f>
        <v>0</v>
      </c>
      <c r="K332" s="18">
        <f>'Sampling Data'!J332</f>
        <v>0</v>
      </c>
      <c r="L332" s="18">
        <f>'Sampling Data'!K332</f>
        <v>0</v>
      </c>
      <c r="M332" s="18">
        <f>'Sampling Data'!L332</f>
        <v>0</v>
      </c>
      <c r="N332" s="18">
        <f>'Sampling Data'!M332</f>
        <v>0</v>
      </c>
      <c r="O332" s="17">
        <f>'Sampling Data'!N332</f>
        <v>1</v>
      </c>
      <c r="P332" s="17">
        <f>'Sampling Data'!O332</f>
        <v>8</v>
      </c>
      <c r="Q332" s="17">
        <f>'Sampling Data'!P332</f>
        <v>196</v>
      </c>
      <c r="R332" s="17">
        <f>'Sampling Data'!AJ332</f>
        <v>0</v>
      </c>
      <c r="S332" s="111"/>
      <c r="T332" s="111"/>
      <c r="U332" s="112"/>
      <c r="V332" s="112"/>
      <c r="W332" s="111"/>
      <c r="X332" s="111"/>
      <c r="Y332" s="111"/>
      <c r="Z332" s="111"/>
      <c r="AA332" s="14"/>
      <c r="AB332" s="14"/>
      <c r="AC332" s="14"/>
      <c r="AD332" s="14"/>
      <c r="AE332" s="113" t="str">
        <f>IF(NOT(ISBLANK(Audit[[#This Row],[Audit Winning Candidate]])), Audit[[#This Row],[Audit Winning Candidate]]-Audit[[#This Row],[Winning Candidate]], "")</f>
        <v/>
      </c>
      <c r="AF332" s="17" t="str">
        <f>IF(NOT(ISBLANK(Audit[[#This Row],[Audit Losing Candidate]])), Audit[[#This Row],[Audit Losing Candidate]]-Audit[[#This Row],[Losing Candidate]], "")</f>
        <v/>
      </c>
      <c r="AG332" s="17" t="str">
        <f>IF(NOT(ISBLANK(Audit[[#This Row],[Audit Candidate 3]])), Audit[[#This Row],[Audit Candidate 3]]-Audit[[#This Row],[Candidate 3]], "")</f>
        <v/>
      </c>
      <c r="AH332" s="17" t="str">
        <f>IF(NOT(ISBLANK(Audit[[#This Row],[Audit Candidate 4]])),Audit[[#This Row],[Audit Candidate 4]]-Audit[[#This Row],[Candidate 4]], "")</f>
        <v/>
      </c>
      <c r="AI332" s="17" t="str">
        <f>IF(NOT(ISBLANK(Audit[[#This Row],[Audit Candidate 5]])), Audit[[#This Row],[Audit Candidate 5]]-Audit[[#This Row],[Candidate 5]], "")</f>
        <v/>
      </c>
      <c r="AJ332" s="17" t="str">
        <f>IF(NOT(ISBLANK(Audit[[#This Row],[Audit Candidate 6]])), Audit[[#This Row],[Audit Candidate 6]]-Audit[[#This Row],[Candidate 6]], "")</f>
        <v/>
      </c>
      <c r="AK332" s="17" t="str">
        <f>IF(NOT(ISBLANK(Audit[[#This Row],[Audit Candidate 7]])), Audit[[#This Row],[Audit Candidate 7]]-Audit[[#This Row],[Candidate 7]], "")</f>
        <v/>
      </c>
      <c r="AL332" s="17" t="str">
        <f>IF(NOT(ISBLANK(Audit[[#This Row],[Audit Candidate 8]])), Audit[[#This Row],[Audit Candidate 8]]-Audit[[#This Row],[Candidate 8]], "")</f>
        <v/>
      </c>
      <c r="AM332" s="17" t="str">
        <f>IF(NOT(ISBLANK(Audit[[#This Row],[Audit Candidate 9]])), Audit[[#This Row],[Audit Candidate 9]]-Audit[[#This Row],[Candidate 9]], "")</f>
        <v/>
      </c>
      <c r="AN332" s="17" t="str">
        <f>IF(NOT(ISBLANK(Audit[[#This Row],[Audit Candidate 10]])), Audit[[#This Row],[Audit Candidate 10]]-Audit[[#This Row],[Candidate 10]], "")</f>
        <v/>
      </c>
      <c r="AO332" s="17" t="str">
        <f>IF(NOT(ISBLANK(Audit[[#This Row],[Audit Candidate 11]])), Audit[[#This Row],[Audit Candidate 11]]-Audit[[#This Row],[Candidate 11]], "")</f>
        <v/>
      </c>
      <c r="AP332" s="17" t="str">
        <f>IF(NOT(ISBLANK(Audit[[#This Row],[Audit Candidate 12]])), Audit[[#This Row],[Audit Candidate 12]]-Audit[[#This Row],[Candidate 12]], "")</f>
        <v/>
      </c>
      <c r="AQ332" s="17">
        <f>SUMIF(Audit[[#This Row],[Difference Winner]:[Difference Candidate 12]], "&gt;0")</f>
        <v>0</v>
      </c>
      <c r="AR332" s="17">
        <f>SUM(Audit[[#This Row],[Difference Winner]:[Difference Candidate 12]])</f>
        <v>0</v>
      </c>
      <c r="AS332" s="17">
        <f>IF(Audit[[#This Row],[Times p Drawn - With Replacement]]&gt;0, IF(Audit[[#This Row],[Canceled Differences]]&lt;0, Audit[[#This Row],[Max Differences]]+ABS(Audit[[#This Row],[Canceled Differences]]), Audit[[#This Row],[Max Differences]]), 0)</f>
        <v>0</v>
      </c>
      <c r="AT332" s="17">
        <f>'Sampling Data'!AB332</f>
        <v>7.8509590901374975E-3</v>
      </c>
      <c r="AU332" s="17">
        <f>IF(
      SUM(Audit[[#This Row],[Audit Losing Candidate]:[Audit Candidate 12]])
      &lt;&gt;0,
      (Audit[[#This Row],[Winning Candidate]]-Audit[[#This Row],[Losing Candidate]]-(Audit[[#This Row],[Audit Winning Candidate]]-Audit[[#This Row],[Audit Losing Candidate]]))/(Audit[[#Totals],[Winning Candidate]]-Audit[[#Totals],[Losing Candidate]]),
      0
)</f>
        <v>0</v>
      </c>
      <c r="AV3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2" s="17">
        <f>IF(Audit[[#This Row],[Max Relative Error (ep)]] = 0, 0, Audit[[#This Row],[Max Relative Error (ep)]]/Audit[[#This Row],[Error Bound (up) - Max. possible relative overstatement]])</f>
        <v>0</v>
      </c>
      <c r="BH3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32" s="17">
        <f t="shared" si="5"/>
        <v>1</v>
      </c>
      <c r="BJ332" s="17">
        <f>PRODUCT($BI$5:BI332)</f>
        <v>0.48901700950994259</v>
      </c>
      <c r="BK332" s="19">
        <f>1 - Audit[[#This Row],[K-M P Value]]</f>
        <v>0.51098299049005735</v>
      </c>
      <c r="BL332" s="17" t="str">
        <f>IF(Audit[[#This Row],[K-M P Value]]&gt;1-'General Info'!$B$12,"Continue", "Stop")</f>
        <v>Continue</v>
      </c>
      <c r="BM332" s="22" t="b">
        <f>IF(Audit[[#This Row],[Status - Continue or stop audit]] = "Continue", TRUE, IF(BL331 = "Continue", TRUE, FALSE))</f>
        <v>1</v>
      </c>
      <c r="BN332" s="22"/>
    </row>
    <row r="333" spans="1:66" ht="15" hidden="1" customHeight="1" x14ac:dyDescent="0.35">
      <c r="A333" s="17" t="str">
        <f>'Sampling Data'!AI333</f>
        <v/>
      </c>
      <c r="B333" s="17" t="str">
        <f>'Sampling Data'!A333</f>
        <v>5614 AND N   (AV)</v>
      </c>
      <c r="C333" s="17">
        <f>'Sampling Data'!B333</f>
        <v>178</v>
      </c>
      <c r="D333" s="17">
        <f>'Sampling Data'!C333</f>
        <v>144</v>
      </c>
      <c r="E333" s="18">
        <f>'Sampling Data'!D333</f>
        <v>0</v>
      </c>
      <c r="F333" s="18">
        <f>'Sampling Data'!E333</f>
        <v>0</v>
      </c>
      <c r="G333" s="18">
        <f>'Sampling Data'!F333</f>
        <v>0</v>
      </c>
      <c r="H333" s="18">
        <f>'Sampling Data'!G333</f>
        <v>0</v>
      </c>
      <c r="I333" s="18">
        <f>'Sampling Data'!H333</f>
        <v>0</v>
      </c>
      <c r="J333" s="18">
        <f>'Sampling Data'!I333</f>
        <v>0</v>
      </c>
      <c r="K333" s="18">
        <f>'Sampling Data'!J333</f>
        <v>0</v>
      </c>
      <c r="L333" s="18">
        <f>'Sampling Data'!K333</f>
        <v>0</v>
      </c>
      <c r="M333" s="18">
        <f>'Sampling Data'!L333</f>
        <v>0</v>
      </c>
      <c r="N333" s="18">
        <f>'Sampling Data'!M333</f>
        <v>0</v>
      </c>
      <c r="O333" s="17">
        <f>'Sampling Data'!N333</f>
        <v>0</v>
      </c>
      <c r="P333" s="17">
        <f>'Sampling Data'!O333</f>
        <v>19</v>
      </c>
      <c r="Q333" s="17">
        <f>'Sampling Data'!P333</f>
        <v>341</v>
      </c>
      <c r="R333" s="17">
        <f>'Sampling Data'!AJ333</f>
        <v>0</v>
      </c>
      <c r="S333" s="111"/>
      <c r="T333" s="111"/>
      <c r="U333" s="112"/>
      <c r="V333" s="112"/>
      <c r="W333" s="111"/>
      <c r="X333" s="111"/>
      <c r="Y333" s="111"/>
      <c r="Z333" s="111"/>
      <c r="AA333" s="14"/>
      <c r="AB333" s="14"/>
      <c r="AC333" s="14"/>
      <c r="AD333" s="14"/>
      <c r="AE333" s="113" t="str">
        <f>IF(NOT(ISBLANK(Audit[[#This Row],[Audit Winning Candidate]])), Audit[[#This Row],[Audit Winning Candidate]]-Audit[[#This Row],[Winning Candidate]], "")</f>
        <v/>
      </c>
      <c r="AF333" s="17" t="str">
        <f>IF(NOT(ISBLANK(Audit[[#This Row],[Audit Losing Candidate]])), Audit[[#This Row],[Audit Losing Candidate]]-Audit[[#This Row],[Losing Candidate]], "")</f>
        <v/>
      </c>
      <c r="AG333" s="17" t="str">
        <f>IF(NOT(ISBLANK(Audit[[#This Row],[Audit Candidate 3]])), Audit[[#This Row],[Audit Candidate 3]]-Audit[[#This Row],[Candidate 3]], "")</f>
        <v/>
      </c>
      <c r="AH333" s="17" t="str">
        <f>IF(NOT(ISBLANK(Audit[[#This Row],[Audit Candidate 4]])),Audit[[#This Row],[Audit Candidate 4]]-Audit[[#This Row],[Candidate 4]], "")</f>
        <v/>
      </c>
      <c r="AI333" s="17" t="str">
        <f>IF(NOT(ISBLANK(Audit[[#This Row],[Audit Candidate 5]])), Audit[[#This Row],[Audit Candidate 5]]-Audit[[#This Row],[Candidate 5]], "")</f>
        <v/>
      </c>
      <c r="AJ333" s="17" t="str">
        <f>IF(NOT(ISBLANK(Audit[[#This Row],[Audit Candidate 6]])), Audit[[#This Row],[Audit Candidate 6]]-Audit[[#This Row],[Candidate 6]], "")</f>
        <v/>
      </c>
      <c r="AK333" s="17" t="str">
        <f>IF(NOT(ISBLANK(Audit[[#This Row],[Audit Candidate 7]])), Audit[[#This Row],[Audit Candidate 7]]-Audit[[#This Row],[Candidate 7]], "")</f>
        <v/>
      </c>
      <c r="AL333" s="17" t="str">
        <f>IF(NOT(ISBLANK(Audit[[#This Row],[Audit Candidate 8]])), Audit[[#This Row],[Audit Candidate 8]]-Audit[[#This Row],[Candidate 8]], "")</f>
        <v/>
      </c>
      <c r="AM333" s="17" t="str">
        <f>IF(NOT(ISBLANK(Audit[[#This Row],[Audit Candidate 9]])), Audit[[#This Row],[Audit Candidate 9]]-Audit[[#This Row],[Candidate 9]], "")</f>
        <v/>
      </c>
      <c r="AN333" s="17" t="str">
        <f>IF(NOT(ISBLANK(Audit[[#This Row],[Audit Candidate 10]])), Audit[[#This Row],[Audit Candidate 10]]-Audit[[#This Row],[Candidate 10]], "")</f>
        <v/>
      </c>
      <c r="AO333" s="17" t="str">
        <f>IF(NOT(ISBLANK(Audit[[#This Row],[Audit Candidate 11]])), Audit[[#This Row],[Audit Candidate 11]]-Audit[[#This Row],[Candidate 11]], "")</f>
        <v/>
      </c>
      <c r="AP333" s="17" t="str">
        <f>IF(NOT(ISBLANK(Audit[[#This Row],[Audit Candidate 12]])), Audit[[#This Row],[Audit Candidate 12]]-Audit[[#This Row],[Candidate 12]], "")</f>
        <v/>
      </c>
      <c r="AQ333" s="17">
        <f>SUMIF(Audit[[#This Row],[Difference Winner]:[Difference Candidate 12]], "&gt;0")</f>
        <v>0</v>
      </c>
      <c r="AR333" s="17">
        <f>SUM(Audit[[#This Row],[Difference Winner]:[Difference Candidate 12]])</f>
        <v>0</v>
      </c>
      <c r="AS333" s="17">
        <f>IF(Audit[[#This Row],[Times p Drawn - With Replacement]]&gt;0, IF(Audit[[#This Row],[Canceled Differences]]&lt;0, Audit[[#This Row],[Max Differences]]+ABS(Audit[[#This Row],[Canceled Differences]]), Audit[[#This Row],[Max Differences]]), 0)</f>
        <v>0</v>
      </c>
      <c r="AT333" s="17">
        <f>'Sampling Data'!AB333</f>
        <v>1.5914106263792225E-2</v>
      </c>
      <c r="AU333" s="17">
        <f>IF(
      SUM(Audit[[#This Row],[Audit Losing Candidate]:[Audit Candidate 12]])
      &lt;&gt;0,
      (Audit[[#This Row],[Winning Candidate]]-Audit[[#This Row],[Losing Candidate]]-(Audit[[#This Row],[Audit Winning Candidate]]-Audit[[#This Row],[Audit Losing Candidate]]))/(Audit[[#Totals],[Winning Candidate]]-Audit[[#Totals],[Losing Candidate]]),
      0
)</f>
        <v>0</v>
      </c>
      <c r="AV3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3" s="17">
        <f>IF(Audit[[#This Row],[Max Relative Error (ep)]] = 0, 0, Audit[[#This Row],[Max Relative Error (ep)]]/Audit[[#This Row],[Error Bound (up) - Max. possible relative overstatement]])</f>
        <v>0</v>
      </c>
      <c r="BH3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33" s="17">
        <f t="shared" si="5"/>
        <v>1</v>
      </c>
      <c r="BJ333" s="17">
        <f>PRODUCT($BI$5:BI333)</f>
        <v>0.48901700950994259</v>
      </c>
      <c r="BK333" s="19">
        <f>1 - Audit[[#This Row],[K-M P Value]]</f>
        <v>0.51098299049005735</v>
      </c>
      <c r="BL333" s="17" t="str">
        <f>IF(Audit[[#This Row],[K-M P Value]]&gt;1-'General Info'!$B$12,"Continue", "Stop")</f>
        <v>Continue</v>
      </c>
      <c r="BM333" s="22" t="b">
        <f>IF(Audit[[#This Row],[Status - Continue or stop audit]] = "Continue", TRUE, IF(BL332 = "Continue", TRUE, FALSE))</f>
        <v>1</v>
      </c>
      <c r="BN333" s="22"/>
    </row>
    <row r="334" spans="1:66" ht="15" hidden="1" customHeight="1" x14ac:dyDescent="0.35">
      <c r="A334" s="17" t="str">
        <f>'Sampling Data'!AI334</f>
        <v/>
      </c>
      <c r="B334" s="17" t="str">
        <f>'Sampling Data'!A334</f>
        <v>5615 AND O   (AV)</v>
      </c>
      <c r="C334" s="17">
        <f>'Sampling Data'!B334</f>
        <v>154</v>
      </c>
      <c r="D334" s="17">
        <f>'Sampling Data'!C334</f>
        <v>166</v>
      </c>
      <c r="E334" s="18">
        <f>'Sampling Data'!D334</f>
        <v>0</v>
      </c>
      <c r="F334" s="18">
        <f>'Sampling Data'!E334</f>
        <v>0</v>
      </c>
      <c r="G334" s="18">
        <f>'Sampling Data'!F334</f>
        <v>0</v>
      </c>
      <c r="H334" s="18">
        <f>'Sampling Data'!G334</f>
        <v>0</v>
      </c>
      <c r="I334" s="18">
        <f>'Sampling Data'!H334</f>
        <v>0</v>
      </c>
      <c r="J334" s="18">
        <f>'Sampling Data'!I334</f>
        <v>0</v>
      </c>
      <c r="K334" s="18">
        <f>'Sampling Data'!J334</f>
        <v>0</v>
      </c>
      <c r="L334" s="18">
        <f>'Sampling Data'!K334</f>
        <v>0</v>
      </c>
      <c r="M334" s="18">
        <f>'Sampling Data'!L334</f>
        <v>0</v>
      </c>
      <c r="N334" s="18">
        <f>'Sampling Data'!M334</f>
        <v>0</v>
      </c>
      <c r="O334" s="17">
        <f>'Sampling Data'!N334</f>
        <v>1</v>
      </c>
      <c r="P334" s="17">
        <f>'Sampling Data'!O334</f>
        <v>23</v>
      </c>
      <c r="Q334" s="17">
        <f>'Sampling Data'!P334</f>
        <v>344</v>
      </c>
      <c r="R334" s="17">
        <f>'Sampling Data'!AJ334</f>
        <v>0</v>
      </c>
      <c r="S334" s="111"/>
      <c r="T334" s="111"/>
      <c r="U334" s="112"/>
      <c r="V334" s="112"/>
      <c r="W334" s="111"/>
      <c r="X334" s="111"/>
      <c r="Y334" s="111"/>
      <c r="Z334" s="111"/>
      <c r="AA334" s="14"/>
      <c r="AB334" s="14"/>
      <c r="AC334" s="14"/>
      <c r="AD334" s="14"/>
      <c r="AE334" s="113" t="str">
        <f>IF(NOT(ISBLANK(Audit[[#This Row],[Audit Winning Candidate]])), Audit[[#This Row],[Audit Winning Candidate]]-Audit[[#This Row],[Winning Candidate]], "")</f>
        <v/>
      </c>
      <c r="AF334" s="17" t="str">
        <f>IF(NOT(ISBLANK(Audit[[#This Row],[Audit Losing Candidate]])), Audit[[#This Row],[Audit Losing Candidate]]-Audit[[#This Row],[Losing Candidate]], "")</f>
        <v/>
      </c>
      <c r="AG334" s="17" t="str">
        <f>IF(NOT(ISBLANK(Audit[[#This Row],[Audit Candidate 3]])), Audit[[#This Row],[Audit Candidate 3]]-Audit[[#This Row],[Candidate 3]], "")</f>
        <v/>
      </c>
      <c r="AH334" s="17" t="str">
        <f>IF(NOT(ISBLANK(Audit[[#This Row],[Audit Candidate 4]])),Audit[[#This Row],[Audit Candidate 4]]-Audit[[#This Row],[Candidate 4]], "")</f>
        <v/>
      </c>
      <c r="AI334" s="17" t="str">
        <f>IF(NOT(ISBLANK(Audit[[#This Row],[Audit Candidate 5]])), Audit[[#This Row],[Audit Candidate 5]]-Audit[[#This Row],[Candidate 5]], "")</f>
        <v/>
      </c>
      <c r="AJ334" s="17" t="str">
        <f>IF(NOT(ISBLANK(Audit[[#This Row],[Audit Candidate 6]])), Audit[[#This Row],[Audit Candidate 6]]-Audit[[#This Row],[Candidate 6]], "")</f>
        <v/>
      </c>
      <c r="AK334" s="17" t="str">
        <f>IF(NOT(ISBLANK(Audit[[#This Row],[Audit Candidate 7]])), Audit[[#This Row],[Audit Candidate 7]]-Audit[[#This Row],[Candidate 7]], "")</f>
        <v/>
      </c>
      <c r="AL334" s="17" t="str">
        <f>IF(NOT(ISBLANK(Audit[[#This Row],[Audit Candidate 8]])), Audit[[#This Row],[Audit Candidate 8]]-Audit[[#This Row],[Candidate 8]], "")</f>
        <v/>
      </c>
      <c r="AM334" s="17" t="str">
        <f>IF(NOT(ISBLANK(Audit[[#This Row],[Audit Candidate 9]])), Audit[[#This Row],[Audit Candidate 9]]-Audit[[#This Row],[Candidate 9]], "")</f>
        <v/>
      </c>
      <c r="AN334" s="17" t="str">
        <f>IF(NOT(ISBLANK(Audit[[#This Row],[Audit Candidate 10]])), Audit[[#This Row],[Audit Candidate 10]]-Audit[[#This Row],[Candidate 10]], "")</f>
        <v/>
      </c>
      <c r="AO334" s="17" t="str">
        <f>IF(NOT(ISBLANK(Audit[[#This Row],[Audit Candidate 11]])), Audit[[#This Row],[Audit Candidate 11]]-Audit[[#This Row],[Candidate 11]], "")</f>
        <v/>
      </c>
      <c r="AP334" s="17" t="str">
        <f>IF(NOT(ISBLANK(Audit[[#This Row],[Audit Candidate 12]])), Audit[[#This Row],[Audit Candidate 12]]-Audit[[#This Row],[Candidate 12]], "")</f>
        <v/>
      </c>
      <c r="AQ334" s="17">
        <f>SUMIF(Audit[[#This Row],[Difference Winner]:[Difference Candidate 12]], "&gt;0")</f>
        <v>0</v>
      </c>
      <c r="AR334" s="17">
        <f>SUM(Audit[[#This Row],[Difference Winner]:[Difference Candidate 12]])</f>
        <v>0</v>
      </c>
      <c r="AS334" s="17">
        <f>IF(Audit[[#This Row],[Times p Drawn - With Replacement]]&gt;0, IF(Audit[[#This Row],[Canceled Differences]]&lt;0, Audit[[#This Row],[Max Differences]]+ABS(Audit[[#This Row],[Canceled Differences]]), Audit[[#This Row],[Max Differences]]), 0)</f>
        <v>0</v>
      </c>
      <c r="AT334" s="17">
        <f>'Sampling Data'!AB334</f>
        <v>1.408928874554405E-2</v>
      </c>
      <c r="AU334" s="17">
        <f>IF(
      SUM(Audit[[#This Row],[Audit Losing Candidate]:[Audit Candidate 12]])
      &lt;&gt;0,
      (Audit[[#This Row],[Winning Candidate]]-Audit[[#This Row],[Losing Candidate]]-(Audit[[#This Row],[Audit Winning Candidate]]-Audit[[#This Row],[Audit Losing Candidate]]))/(Audit[[#Totals],[Winning Candidate]]-Audit[[#Totals],[Losing Candidate]]),
      0
)</f>
        <v>0</v>
      </c>
      <c r="AV3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4" s="17">
        <f>IF(Audit[[#This Row],[Max Relative Error (ep)]] = 0, 0, Audit[[#This Row],[Max Relative Error (ep)]]/Audit[[#This Row],[Error Bound (up) - Max. possible relative overstatement]])</f>
        <v>0</v>
      </c>
      <c r="BH3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34" s="17">
        <f t="shared" si="5"/>
        <v>1</v>
      </c>
      <c r="BJ334" s="17">
        <f>PRODUCT($BI$5:BI334)</f>
        <v>0.48901700950994259</v>
      </c>
      <c r="BK334" s="19">
        <f>1 - Audit[[#This Row],[K-M P Value]]</f>
        <v>0.51098299049005735</v>
      </c>
      <c r="BL334" s="17" t="str">
        <f>IF(Audit[[#This Row],[K-M P Value]]&gt;1-'General Info'!$B$12,"Continue", "Stop")</f>
        <v>Continue</v>
      </c>
      <c r="BM334" s="22" t="b">
        <f>IF(Audit[[#This Row],[Status - Continue or stop audit]] = "Continue", TRUE, IF(BL333 = "Continue", TRUE, FALSE))</f>
        <v>1</v>
      </c>
      <c r="BN334" s="22"/>
    </row>
    <row r="335" spans="1:66" ht="15" hidden="1" customHeight="1" x14ac:dyDescent="0.35">
      <c r="A335" s="17" t="str">
        <f>'Sampling Data'!AI335</f>
        <v/>
      </c>
      <c r="B335" s="17" t="str">
        <f>'Sampling Data'!A335</f>
        <v>5616 AND P   (AV)</v>
      </c>
      <c r="C335" s="17">
        <f>'Sampling Data'!B335</f>
        <v>73</v>
      </c>
      <c r="D335" s="17">
        <f>'Sampling Data'!C335</f>
        <v>103</v>
      </c>
      <c r="E335" s="18">
        <f>'Sampling Data'!D335</f>
        <v>0</v>
      </c>
      <c r="F335" s="18">
        <f>'Sampling Data'!E335</f>
        <v>0</v>
      </c>
      <c r="G335" s="18">
        <f>'Sampling Data'!F335</f>
        <v>0</v>
      </c>
      <c r="H335" s="18">
        <f>'Sampling Data'!G335</f>
        <v>0</v>
      </c>
      <c r="I335" s="18">
        <f>'Sampling Data'!H335</f>
        <v>0</v>
      </c>
      <c r="J335" s="18">
        <f>'Sampling Data'!I335</f>
        <v>0</v>
      </c>
      <c r="K335" s="18">
        <f>'Sampling Data'!J335</f>
        <v>0</v>
      </c>
      <c r="L335" s="18">
        <f>'Sampling Data'!K335</f>
        <v>0</v>
      </c>
      <c r="M335" s="18">
        <f>'Sampling Data'!L335</f>
        <v>0</v>
      </c>
      <c r="N335" s="18">
        <f>'Sampling Data'!M335</f>
        <v>0</v>
      </c>
      <c r="O335" s="17">
        <f>'Sampling Data'!N335</f>
        <v>0</v>
      </c>
      <c r="P335" s="17">
        <f>'Sampling Data'!O335</f>
        <v>10</v>
      </c>
      <c r="Q335" s="17">
        <f>'Sampling Data'!P335</f>
        <v>186</v>
      </c>
      <c r="R335" s="17">
        <f>'Sampling Data'!AJ335</f>
        <v>0</v>
      </c>
      <c r="S335" s="111"/>
      <c r="T335" s="111"/>
      <c r="U335" s="112"/>
      <c r="V335" s="112"/>
      <c r="W335" s="111"/>
      <c r="X335" s="111"/>
      <c r="Y335" s="111"/>
      <c r="Z335" s="111"/>
      <c r="AA335" s="14"/>
      <c r="AB335" s="14"/>
      <c r="AC335" s="14"/>
      <c r="AD335" s="14"/>
      <c r="AE335" s="113" t="str">
        <f>IF(NOT(ISBLANK(Audit[[#This Row],[Audit Winning Candidate]])), Audit[[#This Row],[Audit Winning Candidate]]-Audit[[#This Row],[Winning Candidate]], "")</f>
        <v/>
      </c>
      <c r="AF335" s="17" t="str">
        <f>IF(NOT(ISBLANK(Audit[[#This Row],[Audit Losing Candidate]])), Audit[[#This Row],[Audit Losing Candidate]]-Audit[[#This Row],[Losing Candidate]], "")</f>
        <v/>
      </c>
      <c r="AG335" s="17" t="str">
        <f>IF(NOT(ISBLANK(Audit[[#This Row],[Audit Candidate 3]])), Audit[[#This Row],[Audit Candidate 3]]-Audit[[#This Row],[Candidate 3]], "")</f>
        <v/>
      </c>
      <c r="AH335" s="17" t="str">
        <f>IF(NOT(ISBLANK(Audit[[#This Row],[Audit Candidate 4]])),Audit[[#This Row],[Audit Candidate 4]]-Audit[[#This Row],[Candidate 4]], "")</f>
        <v/>
      </c>
      <c r="AI335" s="17" t="str">
        <f>IF(NOT(ISBLANK(Audit[[#This Row],[Audit Candidate 5]])), Audit[[#This Row],[Audit Candidate 5]]-Audit[[#This Row],[Candidate 5]], "")</f>
        <v/>
      </c>
      <c r="AJ335" s="17" t="str">
        <f>IF(NOT(ISBLANK(Audit[[#This Row],[Audit Candidate 6]])), Audit[[#This Row],[Audit Candidate 6]]-Audit[[#This Row],[Candidate 6]], "")</f>
        <v/>
      </c>
      <c r="AK335" s="17" t="str">
        <f>IF(NOT(ISBLANK(Audit[[#This Row],[Audit Candidate 7]])), Audit[[#This Row],[Audit Candidate 7]]-Audit[[#This Row],[Candidate 7]], "")</f>
        <v/>
      </c>
      <c r="AL335" s="17" t="str">
        <f>IF(NOT(ISBLANK(Audit[[#This Row],[Audit Candidate 8]])), Audit[[#This Row],[Audit Candidate 8]]-Audit[[#This Row],[Candidate 8]], "")</f>
        <v/>
      </c>
      <c r="AM335" s="17" t="str">
        <f>IF(NOT(ISBLANK(Audit[[#This Row],[Audit Candidate 9]])), Audit[[#This Row],[Audit Candidate 9]]-Audit[[#This Row],[Candidate 9]], "")</f>
        <v/>
      </c>
      <c r="AN335" s="17" t="str">
        <f>IF(NOT(ISBLANK(Audit[[#This Row],[Audit Candidate 10]])), Audit[[#This Row],[Audit Candidate 10]]-Audit[[#This Row],[Candidate 10]], "")</f>
        <v/>
      </c>
      <c r="AO335" s="17" t="str">
        <f>IF(NOT(ISBLANK(Audit[[#This Row],[Audit Candidate 11]])), Audit[[#This Row],[Audit Candidate 11]]-Audit[[#This Row],[Candidate 11]], "")</f>
        <v/>
      </c>
      <c r="AP335" s="17" t="str">
        <f>IF(NOT(ISBLANK(Audit[[#This Row],[Audit Candidate 12]])), Audit[[#This Row],[Audit Candidate 12]]-Audit[[#This Row],[Candidate 12]], "")</f>
        <v/>
      </c>
      <c r="AQ335" s="17">
        <f>SUMIF(Audit[[#This Row],[Difference Winner]:[Difference Candidate 12]], "&gt;0")</f>
        <v>0</v>
      </c>
      <c r="AR335" s="17">
        <f>SUM(Audit[[#This Row],[Difference Winner]:[Difference Candidate 12]])</f>
        <v>0</v>
      </c>
      <c r="AS335" s="17">
        <f>IF(Audit[[#This Row],[Times p Drawn - With Replacement]]&gt;0, IF(Audit[[#This Row],[Canceled Differences]]&lt;0, Audit[[#This Row],[Max Differences]]+ABS(Audit[[#This Row],[Canceled Differences]]), Audit[[#This Row],[Max Differences]]), 0)</f>
        <v>0</v>
      </c>
      <c r="AT335" s="17">
        <f>'Sampling Data'!AB335</f>
        <v>6.6202682057375662E-3</v>
      </c>
      <c r="AU335" s="17">
        <f>IF(
      SUM(Audit[[#This Row],[Audit Losing Candidate]:[Audit Candidate 12]])
      &lt;&gt;0,
      (Audit[[#This Row],[Winning Candidate]]-Audit[[#This Row],[Losing Candidate]]-(Audit[[#This Row],[Audit Winning Candidate]]-Audit[[#This Row],[Audit Losing Candidate]]))/(Audit[[#Totals],[Winning Candidate]]-Audit[[#Totals],[Losing Candidate]]),
      0
)</f>
        <v>0</v>
      </c>
      <c r="AV3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5" s="17">
        <f>IF(Audit[[#This Row],[Max Relative Error (ep)]] = 0, 0, Audit[[#This Row],[Max Relative Error (ep)]]/Audit[[#This Row],[Error Bound (up) - Max. possible relative overstatement]])</f>
        <v>0</v>
      </c>
      <c r="BH3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35" s="17">
        <f t="shared" ref="BI335:BI398" si="6">IF(ISERR(POWER(BH335,R335)), 0, POWER(BH335,R335))</f>
        <v>1</v>
      </c>
      <c r="BJ335" s="17">
        <f>PRODUCT($BI$5:BI335)</f>
        <v>0.48901700950994259</v>
      </c>
      <c r="BK335" s="19">
        <f>1 - Audit[[#This Row],[K-M P Value]]</f>
        <v>0.51098299049005735</v>
      </c>
      <c r="BL335" s="17" t="str">
        <f>IF(Audit[[#This Row],[K-M P Value]]&gt;1-'General Info'!$B$12,"Continue", "Stop")</f>
        <v>Continue</v>
      </c>
      <c r="BM335" s="22" t="b">
        <f>IF(Audit[[#This Row],[Status - Continue or stop audit]] = "Continue", TRUE, IF(BL334 = "Continue", TRUE, FALSE))</f>
        <v>1</v>
      </c>
      <c r="BN335" s="22"/>
    </row>
    <row r="336" spans="1:66" ht="15" hidden="1" customHeight="1" x14ac:dyDescent="0.35">
      <c r="A336" s="17" t="str">
        <f>'Sampling Data'!AI336</f>
        <v/>
      </c>
      <c r="B336" s="17" t="str">
        <f>'Sampling Data'!A336</f>
        <v>5617 AND Q   (AV)</v>
      </c>
      <c r="C336" s="17">
        <f>'Sampling Data'!B336</f>
        <v>190</v>
      </c>
      <c r="D336" s="17">
        <f>'Sampling Data'!C336</f>
        <v>190</v>
      </c>
      <c r="E336" s="18">
        <f>'Sampling Data'!D336</f>
        <v>0</v>
      </c>
      <c r="F336" s="18">
        <f>'Sampling Data'!E336</f>
        <v>0</v>
      </c>
      <c r="G336" s="18">
        <f>'Sampling Data'!F336</f>
        <v>0</v>
      </c>
      <c r="H336" s="18">
        <f>'Sampling Data'!G336</f>
        <v>0</v>
      </c>
      <c r="I336" s="18">
        <f>'Sampling Data'!H336</f>
        <v>0</v>
      </c>
      <c r="J336" s="18">
        <f>'Sampling Data'!I336</f>
        <v>0</v>
      </c>
      <c r="K336" s="18">
        <f>'Sampling Data'!J336</f>
        <v>0</v>
      </c>
      <c r="L336" s="18">
        <f>'Sampling Data'!K336</f>
        <v>0</v>
      </c>
      <c r="M336" s="18">
        <f>'Sampling Data'!L336</f>
        <v>0</v>
      </c>
      <c r="N336" s="18">
        <f>'Sampling Data'!M336</f>
        <v>0</v>
      </c>
      <c r="O336" s="17">
        <f>'Sampling Data'!N336</f>
        <v>0</v>
      </c>
      <c r="P336" s="17">
        <f>'Sampling Data'!O336</f>
        <v>23</v>
      </c>
      <c r="Q336" s="17">
        <f>'Sampling Data'!P336</f>
        <v>403</v>
      </c>
      <c r="R336" s="17">
        <f>'Sampling Data'!AJ336</f>
        <v>0</v>
      </c>
      <c r="S336" s="111"/>
      <c r="T336" s="111"/>
      <c r="U336" s="112"/>
      <c r="V336" s="112"/>
      <c r="W336" s="111"/>
      <c r="X336" s="111"/>
      <c r="Y336" s="111"/>
      <c r="Z336" s="111"/>
      <c r="AA336" s="14"/>
      <c r="AB336" s="14"/>
      <c r="AC336" s="14"/>
      <c r="AD336" s="14"/>
      <c r="AE336" s="113" t="str">
        <f>IF(NOT(ISBLANK(Audit[[#This Row],[Audit Winning Candidate]])), Audit[[#This Row],[Audit Winning Candidate]]-Audit[[#This Row],[Winning Candidate]], "")</f>
        <v/>
      </c>
      <c r="AF336" s="17" t="str">
        <f>IF(NOT(ISBLANK(Audit[[#This Row],[Audit Losing Candidate]])), Audit[[#This Row],[Audit Losing Candidate]]-Audit[[#This Row],[Losing Candidate]], "")</f>
        <v/>
      </c>
      <c r="AG336" s="17" t="str">
        <f>IF(NOT(ISBLANK(Audit[[#This Row],[Audit Candidate 3]])), Audit[[#This Row],[Audit Candidate 3]]-Audit[[#This Row],[Candidate 3]], "")</f>
        <v/>
      </c>
      <c r="AH336" s="17" t="str">
        <f>IF(NOT(ISBLANK(Audit[[#This Row],[Audit Candidate 4]])),Audit[[#This Row],[Audit Candidate 4]]-Audit[[#This Row],[Candidate 4]], "")</f>
        <v/>
      </c>
      <c r="AI336" s="17" t="str">
        <f>IF(NOT(ISBLANK(Audit[[#This Row],[Audit Candidate 5]])), Audit[[#This Row],[Audit Candidate 5]]-Audit[[#This Row],[Candidate 5]], "")</f>
        <v/>
      </c>
      <c r="AJ336" s="17" t="str">
        <f>IF(NOT(ISBLANK(Audit[[#This Row],[Audit Candidate 6]])), Audit[[#This Row],[Audit Candidate 6]]-Audit[[#This Row],[Candidate 6]], "")</f>
        <v/>
      </c>
      <c r="AK336" s="17" t="str">
        <f>IF(NOT(ISBLANK(Audit[[#This Row],[Audit Candidate 7]])), Audit[[#This Row],[Audit Candidate 7]]-Audit[[#This Row],[Candidate 7]], "")</f>
        <v/>
      </c>
      <c r="AL336" s="17" t="str">
        <f>IF(NOT(ISBLANK(Audit[[#This Row],[Audit Candidate 8]])), Audit[[#This Row],[Audit Candidate 8]]-Audit[[#This Row],[Candidate 8]], "")</f>
        <v/>
      </c>
      <c r="AM336" s="17" t="str">
        <f>IF(NOT(ISBLANK(Audit[[#This Row],[Audit Candidate 9]])), Audit[[#This Row],[Audit Candidate 9]]-Audit[[#This Row],[Candidate 9]], "")</f>
        <v/>
      </c>
      <c r="AN336" s="17" t="str">
        <f>IF(NOT(ISBLANK(Audit[[#This Row],[Audit Candidate 10]])), Audit[[#This Row],[Audit Candidate 10]]-Audit[[#This Row],[Candidate 10]], "")</f>
        <v/>
      </c>
      <c r="AO336" s="17" t="str">
        <f>IF(NOT(ISBLANK(Audit[[#This Row],[Audit Candidate 11]])), Audit[[#This Row],[Audit Candidate 11]]-Audit[[#This Row],[Candidate 11]], "")</f>
        <v/>
      </c>
      <c r="AP336" s="17" t="str">
        <f>IF(NOT(ISBLANK(Audit[[#This Row],[Audit Candidate 12]])), Audit[[#This Row],[Audit Candidate 12]]-Audit[[#This Row],[Candidate 12]], "")</f>
        <v/>
      </c>
      <c r="AQ336" s="17">
        <f>SUMIF(Audit[[#This Row],[Difference Winner]:[Difference Candidate 12]], "&gt;0")</f>
        <v>0</v>
      </c>
      <c r="AR336" s="17">
        <f>SUM(Audit[[#This Row],[Difference Winner]:[Difference Candidate 12]])</f>
        <v>0</v>
      </c>
      <c r="AS336" s="17">
        <f>IF(Audit[[#This Row],[Times p Drawn - With Replacement]]&gt;0, IF(Audit[[#This Row],[Canceled Differences]]&lt;0, Audit[[#This Row],[Max Differences]]+ABS(Audit[[#This Row],[Canceled Differences]]), Audit[[#This Row],[Max Differences]]), 0)</f>
        <v>0</v>
      </c>
      <c r="AT336" s="17">
        <f>'Sampling Data'!AB336</f>
        <v>1.7102359531488712E-2</v>
      </c>
      <c r="AU336" s="17">
        <f>IF(
      SUM(Audit[[#This Row],[Audit Losing Candidate]:[Audit Candidate 12]])
      &lt;&gt;0,
      (Audit[[#This Row],[Winning Candidate]]-Audit[[#This Row],[Losing Candidate]]-(Audit[[#This Row],[Audit Winning Candidate]]-Audit[[#This Row],[Audit Losing Candidate]]))/(Audit[[#Totals],[Winning Candidate]]-Audit[[#Totals],[Losing Candidate]]),
      0
)</f>
        <v>0</v>
      </c>
      <c r="AV3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6" s="17">
        <f>IF(Audit[[#This Row],[Max Relative Error (ep)]] = 0, 0, Audit[[#This Row],[Max Relative Error (ep)]]/Audit[[#This Row],[Error Bound (up) - Max. possible relative overstatement]])</f>
        <v>0</v>
      </c>
      <c r="BH3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36" s="17">
        <f t="shared" si="6"/>
        <v>1</v>
      </c>
      <c r="BJ336" s="17">
        <f>PRODUCT($BI$5:BI336)</f>
        <v>0.48901700950994259</v>
      </c>
      <c r="BK336" s="19">
        <f>1 - Audit[[#This Row],[K-M P Value]]</f>
        <v>0.51098299049005735</v>
      </c>
      <c r="BL336" s="17" t="str">
        <f>IF(Audit[[#This Row],[K-M P Value]]&gt;1-'General Info'!$B$12,"Continue", "Stop")</f>
        <v>Continue</v>
      </c>
      <c r="BM336" s="22" t="b">
        <f>IF(Audit[[#This Row],[Status - Continue or stop audit]] = "Continue", TRUE, IF(BL335 = "Continue", TRUE, FALSE))</f>
        <v>1</v>
      </c>
      <c r="BN336" s="22"/>
    </row>
    <row r="337" spans="1:66" ht="15" hidden="1" customHeight="1" x14ac:dyDescent="0.35">
      <c r="A337" s="17" t="str">
        <f>'Sampling Data'!AI337</f>
        <v/>
      </c>
      <c r="B337" s="17" t="str">
        <f>'Sampling Data'!A337</f>
        <v>5618 AND R   (AV)</v>
      </c>
      <c r="C337" s="17">
        <f>'Sampling Data'!B337</f>
        <v>186</v>
      </c>
      <c r="D337" s="17">
        <f>'Sampling Data'!C337</f>
        <v>204</v>
      </c>
      <c r="E337" s="18">
        <f>'Sampling Data'!D337</f>
        <v>0</v>
      </c>
      <c r="F337" s="18">
        <f>'Sampling Data'!E337</f>
        <v>0</v>
      </c>
      <c r="G337" s="18">
        <f>'Sampling Data'!F337</f>
        <v>0</v>
      </c>
      <c r="H337" s="18">
        <f>'Sampling Data'!G337</f>
        <v>0</v>
      </c>
      <c r="I337" s="18">
        <f>'Sampling Data'!H337</f>
        <v>0</v>
      </c>
      <c r="J337" s="18">
        <f>'Sampling Data'!I337</f>
        <v>0</v>
      </c>
      <c r="K337" s="18">
        <f>'Sampling Data'!J337</f>
        <v>0</v>
      </c>
      <c r="L337" s="18">
        <f>'Sampling Data'!K337</f>
        <v>0</v>
      </c>
      <c r="M337" s="18">
        <f>'Sampling Data'!L337</f>
        <v>0</v>
      </c>
      <c r="N337" s="18">
        <f>'Sampling Data'!M337</f>
        <v>0</v>
      </c>
      <c r="O337" s="17">
        <f>'Sampling Data'!N337</f>
        <v>0</v>
      </c>
      <c r="P337" s="17">
        <f>'Sampling Data'!O337</f>
        <v>31</v>
      </c>
      <c r="Q337" s="17">
        <f>'Sampling Data'!P337</f>
        <v>421</v>
      </c>
      <c r="R337" s="17">
        <f>'Sampling Data'!AJ337</f>
        <v>0</v>
      </c>
      <c r="S337" s="111"/>
      <c r="T337" s="111"/>
      <c r="U337" s="112"/>
      <c r="V337" s="112"/>
      <c r="W337" s="111"/>
      <c r="X337" s="111"/>
      <c r="Y337" s="111"/>
      <c r="Z337" s="111"/>
      <c r="AA337" s="14"/>
      <c r="AB337" s="14"/>
      <c r="AC337" s="14"/>
      <c r="AD337" s="14"/>
      <c r="AE337" s="113" t="str">
        <f>IF(NOT(ISBLANK(Audit[[#This Row],[Audit Winning Candidate]])), Audit[[#This Row],[Audit Winning Candidate]]-Audit[[#This Row],[Winning Candidate]], "")</f>
        <v/>
      </c>
      <c r="AF337" s="17" t="str">
        <f>IF(NOT(ISBLANK(Audit[[#This Row],[Audit Losing Candidate]])), Audit[[#This Row],[Audit Losing Candidate]]-Audit[[#This Row],[Losing Candidate]], "")</f>
        <v/>
      </c>
      <c r="AG337" s="17" t="str">
        <f>IF(NOT(ISBLANK(Audit[[#This Row],[Audit Candidate 3]])), Audit[[#This Row],[Audit Candidate 3]]-Audit[[#This Row],[Candidate 3]], "")</f>
        <v/>
      </c>
      <c r="AH337" s="17" t="str">
        <f>IF(NOT(ISBLANK(Audit[[#This Row],[Audit Candidate 4]])),Audit[[#This Row],[Audit Candidate 4]]-Audit[[#This Row],[Candidate 4]], "")</f>
        <v/>
      </c>
      <c r="AI337" s="17" t="str">
        <f>IF(NOT(ISBLANK(Audit[[#This Row],[Audit Candidate 5]])), Audit[[#This Row],[Audit Candidate 5]]-Audit[[#This Row],[Candidate 5]], "")</f>
        <v/>
      </c>
      <c r="AJ337" s="17" t="str">
        <f>IF(NOT(ISBLANK(Audit[[#This Row],[Audit Candidate 6]])), Audit[[#This Row],[Audit Candidate 6]]-Audit[[#This Row],[Candidate 6]], "")</f>
        <v/>
      </c>
      <c r="AK337" s="17" t="str">
        <f>IF(NOT(ISBLANK(Audit[[#This Row],[Audit Candidate 7]])), Audit[[#This Row],[Audit Candidate 7]]-Audit[[#This Row],[Candidate 7]], "")</f>
        <v/>
      </c>
      <c r="AL337" s="17" t="str">
        <f>IF(NOT(ISBLANK(Audit[[#This Row],[Audit Candidate 8]])), Audit[[#This Row],[Audit Candidate 8]]-Audit[[#This Row],[Candidate 8]], "")</f>
        <v/>
      </c>
      <c r="AM337" s="17" t="str">
        <f>IF(NOT(ISBLANK(Audit[[#This Row],[Audit Candidate 9]])), Audit[[#This Row],[Audit Candidate 9]]-Audit[[#This Row],[Candidate 9]], "")</f>
        <v/>
      </c>
      <c r="AN337" s="17" t="str">
        <f>IF(NOT(ISBLANK(Audit[[#This Row],[Audit Candidate 10]])), Audit[[#This Row],[Audit Candidate 10]]-Audit[[#This Row],[Candidate 10]], "")</f>
        <v/>
      </c>
      <c r="AO337" s="17" t="str">
        <f>IF(NOT(ISBLANK(Audit[[#This Row],[Audit Candidate 11]])), Audit[[#This Row],[Audit Candidate 11]]-Audit[[#This Row],[Candidate 11]], "")</f>
        <v/>
      </c>
      <c r="AP337" s="17" t="str">
        <f>IF(NOT(ISBLANK(Audit[[#This Row],[Audit Candidate 12]])), Audit[[#This Row],[Audit Candidate 12]]-Audit[[#This Row],[Candidate 12]], "")</f>
        <v/>
      </c>
      <c r="AQ337" s="17">
        <f>SUMIF(Audit[[#This Row],[Difference Winner]:[Difference Candidate 12]], "&gt;0")</f>
        <v>0</v>
      </c>
      <c r="AR337" s="17">
        <f>SUM(Audit[[#This Row],[Difference Winner]:[Difference Candidate 12]])</f>
        <v>0</v>
      </c>
      <c r="AS337" s="17">
        <f>IF(Audit[[#This Row],[Times p Drawn - With Replacement]]&gt;0, IF(Audit[[#This Row],[Canceled Differences]]&lt;0, Audit[[#This Row],[Max Differences]]+ABS(Audit[[#This Row],[Canceled Differences]]), Audit[[#This Row],[Max Differences]]), 0)</f>
        <v>0</v>
      </c>
      <c r="AT337" s="17">
        <f>'Sampling Data'!AB337</f>
        <v>1.7102359531488712E-2</v>
      </c>
      <c r="AU337" s="17">
        <f>IF(
      SUM(Audit[[#This Row],[Audit Losing Candidate]:[Audit Candidate 12]])
      &lt;&gt;0,
      (Audit[[#This Row],[Winning Candidate]]-Audit[[#This Row],[Losing Candidate]]-(Audit[[#This Row],[Audit Winning Candidate]]-Audit[[#This Row],[Audit Losing Candidate]]))/(Audit[[#Totals],[Winning Candidate]]-Audit[[#Totals],[Losing Candidate]]),
      0
)</f>
        <v>0</v>
      </c>
      <c r="AV3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7" s="17">
        <f>IF(Audit[[#This Row],[Max Relative Error (ep)]] = 0, 0, Audit[[#This Row],[Max Relative Error (ep)]]/Audit[[#This Row],[Error Bound (up) - Max. possible relative overstatement]])</f>
        <v>0</v>
      </c>
      <c r="BH3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37" s="17">
        <f t="shared" si="6"/>
        <v>1</v>
      </c>
      <c r="BJ337" s="17">
        <f>PRODUCT($BI$5:BI337)</f>
        <v>0.48901700950994259</v>
      </c>
      <c r="BK337" s="19">
        <f>1 - Audit[[#This Row],[K-M P Value]]</f>
        <v>0.51098299049005735</v>
      </c>
      <c r="BL337" s="17" t="str">
        <f>IF(Audit[[#This Row],[K-M P Value]]&gt;1-'General Info'!$B$12,"Continue", "Stop")</f>
        <v>Continue</v>
      </c>
      <c r="BM337" s="22" t="b">
        <f>IF(Audit[[#This Row],[Status - Continue or stop audit]] = "Continue", TRUE, IF(BL336 = "Continue", TRUE, FALSE))</f>
        <v>1</v>
      </c>
      <c r="BN337" s="22"/>
    </row>
    <row r="338" spans="1:66" ht="15" hidden="1" customHeight="1" x14ac:dyDescent="0.35">
      <c r="A338" s="17" t="str">
        <f>'Sampling Data'!AI338</f>
        <v/>
      </c>
      <c r="B338" s="17" t="str">
        <f>'Sampling Data'!A338</f>
        <v>5619 AND S   (AV)</v>
      </c>
      <c r="C338" s="17">
        <f>'Sampling Data'!B338</f>
        <v>193</v>
      </c>
      <c r="D338" s="17">
        <f>'Sampling Data'!C338</f>
        <v>185</v>
      </c>
      <c r="E338" s="18">
        <f>'Sampling Data'!D338</f>
        <v>0</v>
      </c>
      <c r="F338" s="18">
        <f>'Sampling Data'!E338</f>
        <v>0</v>
      </c>
      <c r="G338" s="18">
        <f>'Sampling Data'!F338</f>
        <v>0</v>
      </c>
      <c r="H338" s="18">
        <f>'Sampling Data'!G338</f>
        <v>0</v>
      </c>
      <c r="I338" s="18">
        <f>'Sampling Data'!H338</f>
        <v>0</v>
      </c>
      <c r="J338" s="18">
        <f>'Sampling Data'!I338</f>
        <v>0</v>
      </c>
      <c r="K338" s="18">
        <f>'Sampling Data'!J338</f>
        <v>0</v>
      </c>
      <c r="L338" s="18">
        <f>'Sampling Data'!K338</f>
        <v>0</v>
      </c>
      <c r="M338" s="18">
        <f>'Sampling Data'!L338</f>
        <v>0</v>
      </c>
      <c r="N338" s="18">
        <f>'Sampling Data'!M338</f>
        <v>0</v>
      </c>
      <c r="O338" s="17">
        <f>'Sampling Data'!N338</f>
        <v>0</v>
      </c>
      <c r="P338" s="17">
        <f>'Sampling Data'!O338</f>
        <v>20</v>
      </c>
      <c r="Q338" s="17">
        <f>'Sampling Data'!P338</f>
        <v>398</v>
      </c>
      <c r="R338" s="17">
        <f>'Sampling Data'!AJ338</f>
        <v>0</v>
      </c>
      <c r="S338" s="111"/>
      <c r="T338" s="111"/>
      <c r="U338" s="112"/>
      <c r="V338" s="112"/>
      <c r="W338" s="111"/>
      <c r="X338" s="111"/>
      <c r="Y338" s="111"/>
      <c r="Z338" s="111"/>
      <c r="AA338" s="14"/>
      <c r="AB338" s="14"/>
      <c r="AC338" s="14"/>
      <c r="AD338" s="14"/>
      <c r="AE338" s="113" t="str">
        <f>IF(NOT(ISBLANK(Audit[[#This Row],[Audit Winning Candidate]])), Audit[[#This Row],[Audit Winning Candidate]]-Audit[[#This Row],[Winning Candidate]], "")</f>
        <v/>
      </c>
      <c r="AF338" s="17" t="str">
        <f>IF(NOT(ISBLANK(Audit[[#This Row],[Audit Losing Candidate]])), Audit[[#This Row],[Audit Losing Candidate]]-Audit[[#This Row],[Losing Candidate]], "")</f>
        <v/>
      </c>
      <c r="AG338" s="17" t="str">
        <f>IF(NOT(ISBLANK(Audit[[#This Row],[Audit Candidate 3]])), Audit[[#This Row],[Audit Candidate 3]]-Audit[[#This Row],[Candidate 3]], "")</f>
        <v/>
      </c>
      <c r="AH338" s="17" t="str">
        <f>IF(NOT(ISBLANK(Audit[[#This Row],[Audit Candidate 4]])),Audit[[#This Row],[Audit Candidate 4]]-Audit[[#This Row],[Candidate 4]], "")</f>
        <v/>
      </c>
      <c r="AI338" s="17" t="str">
        <f>IF(NOT(ISBLANK(Audit[[#This Row],[Audit Candidate 5]])), Audit[[#This Row],[Audit Candidate 5]]-Audit[[#This Row],[Candidate 5]], "")</f>
        <v/>
      </c>
      <c r="AJ338" s="17" t="str">
        <f>IF(NOT(ISBLANK(Audit[[#This Row],[Audit Candidate 6]])), Audit[[#This Row],[Audit Candidate 6]]-Audit[[#This Row],[Candidate 6]], "")</f>
        <v/>
      </c>
      <c r="AK338" s="17" t="str">
        <f>IF(NOT(ISBLANK(Audit[[#This Row],[Audit Candidate 7]])), Audit[[#This Row],[Audit Candidate 7]]-Audit[[#This Row],[Candidate 7]], "")</f>
        <v/>
      </c>
      <c r="AL338" s="17" t="str">
        <f>IF(NOT(ISBLANK(Audit[[#This Row],[Audit Candidate 8]])), Audit[[#This Row],[Audit Candidate 8]]-Audit[[#This Row],[Candidate 8]], "")</f>
        <v/>
      </c>
      <c r="AM338" s="17" t="str">
        <f>IF(NOT(ISBLANK(Audit[[#This Row],[Audit Candidate 9]])), Audit[[#This Row],[Audit Candidate 9]]-Audit[[#This Row],[Candidate 9]], "")</f>
        <v/>
      </c>
      <c r="AN338" s="17" t="str">
        <f>IF(NOT(ISBLANK(Audit[[#This Row],[Audit Candidate 10]])), Audit[[#This Row],[Audit Candidate 10]]-Audit[[#This Row],[Candidate 10]], "")</f>
        <v/>
      </c>
      <c r="AO338" s="17" t="str">
        <f>IF(NOT(ISBLANK(Audit[[#This Row],[Audit Candidate 11]])), Audit[[#This Row],[Audit Candidate 11]]-Audit[[#This Row],[Candidate 11]], "")</f>
        <v/>
      </c>
      <c r="AP338" s="17" t="str">
        <f>IF(NOT(ISBLANK(Audit[[#This Row],[Audit Candidate 12]])), Audit[[#This Row],[Audit Candidate 12]]-Audit[[#This Row],[Candidate 12]], "")</f>
        <v/>
      </c>
      <c r="AQ338" s="17">
        <f>SUMIF(Audit[[#This Row],[Difference Winner]:[Difference Candidate 12]], "&gt;0")</f>
        <v>0</v>
      </c>
      <c r="AR338" s="17">
        <f>SUM(Audit[[#This Row],[Difference Winner]:[Difference Candidate 12]])</f>
        <v>0</v>
      </c>
      <c r="AS338" s="17">
        <f>IF(Audit[[#This Row],[Times p Drawn - With Replacement]]&gt;0, IF(Audit[[#This Row],[Canceled Differences]]&lt;0, Audit[[#This Row],[Max Differences]]+ABS(Audit[[#This Row],[Canceled Differences]]), Audit[[#This Row],[Max Differences]]), 0)</f>
        <v>0</v>
      </c>
      <c r="AT338" s="17">
        <f>'Sampling Data'!AB338</f>
        <v>1.7229672381599049E-2</v>
      </c>
      <c r="AU338" s="17">
        <f>IF(
      SUM(Audit[[#This Row],[Audit Losing Candidate]:[Audit Candidate 12]])
      &lt;&gt;0,
      (Audit[[#This Row],[Winning Candidate]]-Audit[[#This Row],[Losing Candidate]]-(Audit[[#This Row],[Audit Winning Candidate]]-Audit[[#This Row],[Audit Losing Candidate]]))/(Audit[[#Totals],[Winning Candidate]]-Audit[[#Totals],[Losing Candidate]]),
      0
)</f>
        <v>0</v>
      </c>
      <c r="AV3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8" s="17">
        <f>IF(Audit[[#This Row],[Max Relative Error (ep)]] = 0, 0, Audit[[#This Row],[Max Relative Error (ep)]]/Audit[[#This Row],[Error Bound (up) - Max. possible relative overstatement]])</f>
        <v>0</v>
      </c>
      <c r="BH3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38" s="17">
        <f t="shared" si="6"/>
        <v>1</v>
      </c>
      <c r="BJ338" s="17">
        <f>PRODUCT($BI$5:BI338)</f>
        <v>0.48901700950994259</v>
      </c>
      <c r="BK338" s="19">
        <f>1 - Audit[[#This Row],[K-M P Value]]</f>
        <v>0.51098299049005735</v>
      </c>
      <c r="BL338" s="17" t="str">
        <f>IF(Audit[[#This Row],[K-M P Value]]&gt;1-'General Info'!$B$12,"Continue", "Stop")</f>
        <v>Continue</v>
      </c>
      <c r="BM338" s="22" t="b">
        <f>IF(Audit[[#This Row],[Status - Continue or stop audit]] = "Continue", TRUE, IF(BL337 = "Continue", TRUE, FALSE))</f>
        <v>1</v>
      </c>
      <c r="BN338" s="22"/>
    </row>
    <row r="339" spans="1:66" ht="15" hidden="1" customHeight="1" x14ac:dyDescent="0.35">
      <c r="A339" s="17" t="str">
        <f>'Sampling Data'!AI339</f>
        <v/>
      </c>
      <c r="B339" s="17" t="str">
        <f>'Sampling Data'!A339</f>
        <v>5620 AND T   (AV)</v>
      </c>
      <c r="C339" s="17">
        <f>'Sampling Data'!B339</f>
        <v>97</v>
      </c>
      <c r="D339" s="17">
        <f>'Sampling Data'!C339</f>
        <v>145</v>
      </c>
      <c r="E339" s="18">
        <f>'Sampling Data'!D339</f>
        <v>0</v>
      </c>
      <c r="F339" s="18">
        <f>'Sampling Data'!E339</f>
        <v>0</v>
      </c>
      <c r="G339" s="18">
        <f>'Sampling Data'!F339</f>
        <v>0</v>
      </c>
      <c r="H339" s="18">
        <f>'Sampling Data'!G339</f>
        <v>0</v>
      </c>
      <c r="I339" s="18">
        <f>'Sampling Data'!H339</f>
        <v>0</v>
      </c>
      <c r="J339" s="18">
        <f>'Sampling Data'!I339</f>
        <v>0</v>
      </c>
      <c r="K339" s="18">
        <f>'Sampling Data'!J339</f>
        <v>0</v>
      </c>
      <c r="L339" s="18">
        <f>'Sampling Data'!K339</f>
        <v>0</v>
      </c>
      <c r="M339" s="18">
        <f>'Sampling Data'!L339</f>
        <v>0</v>
      </c>
      <c r="N339" s="18">
        <f>'Sampling Data'!M339</f>
        <v>0</v>
      </c>
      <c r="O339" s="17">
        <f>'Sampling Data'!N339</f>
        <v>0</v>
      </c>
      <c r="P339" s="17">
        <f>'Sampling Data'!O339</f>
        <v>20</v>
      </c>
      <c r="Q339" s="17">
        <f>'Sampling Data'!P339</f>
        <v>262</v>
      </c>
      <c r="R339" s="17">
        <f>'Sampling Data'!AJ339</f>
        <v>0</v>
      </c>
      <c r="S339" s="111"/>
      <c r="T339" s="111"/>
      <c r="U339" s="112"/>
      <c r="V339" s="112"/>
      <c r="W339" s="111"/>
      <c r="X339" s="111"/>
      <c r="Y339" s="111"/>
      <c r="Z339" s="111"/>
      <c r="AA339" s="14"/>
      <c r="AB339" s="14"/>
      <c r="AC339" s="14"/>
      <c r="AD339" s="14"/>
      <c r="AE339" s="113" t="str">
        <f>IF(NOT(ISBLANK(Audit[[#This Row],[Audit Winning Candidate]])), Audit[[#This Row],[Audit Winning Candidate]]-Audit[[#This Row],[Winning Candidate]], "")</f>
        <v/>
      </c>
      <c r="AF339" s="17" t="str">
        <f>IF(NOT(ISBLANK(Audit[[#This Row],[Audit Losing Candidate]])), Audit[[#This Row],[Audit Losing Candidate]]-Audit[[#This Row],[Losing Candidate]], "")</f>
        <v/>
      </c>
      <c r="AG339" s="17" t="str">
        <f>IF(NOT(ISBLANK(Audit[[#This Row],[Audit Candidate 3]])), Audit[[#This Row],[Audit Candidate 3]]-Audit[[#This Row],[Candidate 3]], "")</f>
        <v/>
      </c>
      <c r="AH339" s="17" t="str">
        <f>IF(NOT(ISBLANK(Audit[[#This Row],[Audit Candidate 4]])),Audit[[#This Row],[Audit Candidate 4]]-Audit[[#This Row],[Candidate 4]], "")</f>
        <v/>
      </c>
      <c r="AI339" s="17" t="str">
        <f>IF(NOT(ISBLANK(Audit[[#This Row],[Audit Candidate 5]])), Audit[[#This Row],[Audit Candidate 5]]-Audit[[#This Row],[Candidate 5]], "")</f>
        <v/>
      </c>
      <c r="AJ339" s="17" t="str">
        <f>IF(NOT(ISBLANK(Audit[[#This Row],[Audit Candidate 6]])), Audit[[#This Row],[Audit Candidate 6]]-Audit[[#This Row],[Candidate 6]], "")</f>
        <v/>
      </c>
      <c r="AK339" s="17" t="str">
        <f>IF(NOT(ISBLANK(Audit[[#This Row],[Audit Candidate 7]])), Audit[[#This Row],[Audit Candidate 7]]-Audit[[#This Row],[Candidate 7]], "")</f>
        <v/>
      </c>
      <c r="AL339" s="17" t="str">
        <f>IF(NOT(ISBLANK(Audit[[#This Row],[Audit Candidate 8]])), Audit[[#This Row],[Audit Candidate 8]]-Audit[[#This Row],[Candidate 8]], "")</f>
        <v/>
      </c>
      <c r="AM339" s="17" t="str">
        <f>IF(NOT(ISBLANK(Audit[[#This Row],[Audit Candidate 9]])), Audit[[#This Row],[Audit Candidate 9]]-Audit[[#This Row],[Candidate 9]], "")</f>
        <v/>
      </c>
      <c r="AN339" s="17" t="str">
        <f>IF(NOT(ISBLANK(Audit[[#This Row],[Audit Candidate 10]])), Audit[[#This Row],[Audit Candidate 10]]-Audit[[#This Row],[Candidate 10]], "")</f>
        <v/>
      </c>
      <c r="AO339" s="17" t="str">
        <f>IF(NOT(ISBLANK(Audit[[#This Row],[Audit Candidate 11]])), Audit[[#This Row],[Audit Candidate 11]]-Audit[[#This Row],[Candidate 11]], "")</f>
        <v/>
      </c>
      <c r="AP339" s="17" t="str">
        <f>IF(NOT(ISBLANK(Audit[[#This Row],[Audit Candidate 12]])), Audit[[#This Row],[Audit Candidate 12]]-Audit[[#This Row],[Candidate 12]], "")</f>
        <v/>
      </c>
      <c r="AQ339" s="17">
        <f>SUMIF(Audit[[#This Row],[Difference Winner]:[Difference Candidate 12]], "&gt;0")</f>
        <v>0</v>
      </c>
      <c r="AR339" s="17">
        <f>SUM(Audit[[#This Row],[Difference Winner]:[Difference Candidate 12]])</f>
        <v>0</v>
      </c>
      <c r="AS339" s="17">
        <f>IF(Audit[[#This Row],[Times p Drawn - With Replacement]]&gt;0, IF(Audit[[#This Row],[Canceled Differences]]&lt;0, Audit[[#This Row],[Max Differences]]+ABS(Audit[[#This Row],[Canceled Differences]]), Audit[[#This Row],[Max Differences]]), 0)</f>
        <v>0</v>
      </c>
      <c r="AT339" s="17">
        <f>'Sampling Data'!AB339</f>
        <v>9.0816499745374306E-3</v>
      </c>
      <c r="AU339" s="17">
        <f>IF(
      SUM(Audit[[#This Row],[Audit Losing Candidate]:[Audit Candidate 12]])
      &lt;&gt;0,
      (Audit[[#This Row],[Winning Candidate]]-Audit[[#This Row],[Losing Candidate]]-(Audit[[#This Row],[Audit Winning Candidate]]-Audit[[#This Row],[Audit Losing Candidate]]))/(Audit[[#Totals],[Winning Candidate]]-Audit[[#Totals],[Losing Candidate]]),
      0
)</f>
        <v>0</v>
      </c>
      <c r="AV3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9" s="17">
        <f>IF(Audit[[#This Row],[Max Relative Error (ep)]] = 0, 0, Audit[[#This Row],[Max Relative Error (ep)]]/Audit[[#This Row],[Error Bound (up) - Max. possible relative overstatement]])</f>
        <v>0</v>
      </c>
      <c r="BH3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39" s="17">
        <f t="shared" si="6"/>
        <v>1</v>
      </c>
      <c r="BJ339" s="17">
        <f>PRODUCT($BI$5:BI339)</f>
        <v>0.48901700950994259</v>
      </c>
      <c r="BK339" s="19">
        <f>1 - Audit[[#This Row],[K-M P Value]]</f>
        <v>0.51098299049005735</v>
      </c>
      <c r="BL339" s="17" t="str">
        <f>IF(Audit[[#This Row],[K-M P Value]]&gt;1-'General Info'!$B$12,"Continue", "Stop")</f>
        <v>Continue</v>
      </c>
      <c r="BM339" s="22" t="b">
        <f>IF(Audit[[#This Row],[Status - Continue or stop audit]] = "Continue", TRUE, IF(BL338 = "Continue", TRUE, FALSE))</f>
        <v>1</v>
      </c>
      <c r="BN339" s="22"/>
    </row>
    <row r="340" spans="1:66" ht="15" hidden="1" customHeight="1" x14ac:dyDescent="0.35">
      <c r="A340" s="17" t="str">
        <f>'Sampling Data'!AI340</f>
        <v/>
      </c>
      <c r="B340" s="17" t="str">
        <f>'Sampling Data'!A340</f>
        <v>5621 AND U   (AV)</v>
      </c>
      <c r="C340" s="17">
        <f>'Sampling Data'!B340</f>
        <v>159</v>
      </c>
      <c r="D340" s="17">
        <f>'Sampling Data'!C340</f>
        <v>171</v>
      </c>
      <c r="E340" s="18">
        <f>'Sampling Data'!D340</f>
        <v>0</v>
      </c>
      <c r="F340" s="18">
        <f>'Sampling Data'!E340</f>
        <v>0</v>
      </c>
      <c r="G340" s="18">
        <f>'Sampling Data'!F340</f>
        <v>0</v>
      </c>
      <c r="H340" s="18">
        <f>'Sampling Data'!G340</f>
        <v>0</v>
      </c>
      <c r="I340" s="18">
        <f>'Sampling Data'!H340</f>
        <v>0</v>
      </c>
      <c r="J340" s="18">
        <f>'Sampling Data'!I340</f>
        <v>0</v>
      </c>
      <c r="K340" s="18">
        <f>'Sampling Data'!J340</f>
        <v>0</v>
      </c>
      <c r="L340" s="18">
        <f>'Sampling Data'!K340</f>
        <v>0</v>
      </c>
      <c r="M340" s="18">
        <f>'Sampling Data'!L340</f>
        <v>0</v>
      </c>
      <c r="N340" s="18">
        <f>'Sampling Data'!M340</f>
        <v>0</v>
      </c>
      <c r="O340" s="17">
        <f>'Sampling Data'!N340</f>
        <v>1</v>
      </c>
      <c r="P340" s="17">
        <f>'Sampling Data'!O340</f>
        <v>24</v>
      </c>
      <c r="Q340" s="17">
        <f>'Sampling Data'!P340</f>
        <v>355</v>
      </c>
      <c r="R340" s="17">
        <f>'Sampling Data'!AJ340</f>
        <v>0</v>
      </c>
      <c r="S340" s="111"/>
      <c r="T340" s="111"/>
      <c r="U340" s="112"/>
      <c r="V340" s="112"/>
      <c r="W340" s="111"/>
      <c r="X340" s="111"/>
      <c r="Y340" s="111"/>
      <c r="Z340" s="111"/>
      <c r="AA340" s="14"/>
      <c r="AB340" s="14"/>
      <c r="AC340" s="14"/>
      <c r="AD340" s="14"/>
      <c r="AE340" s="113" t="str">
        <f>IF(NOT(ISBLANK(Audit[[#This Row],[Audit Winning Candidate]])), Audit[[#This Row],[Audit Winning Candidate]]-Audit[[#This Row],[Winning Candidate]], "")</f>
        <v/>
      </c>
      <c r="AF340" s="17" t="str">
        <f>IF(NOT(ISBLANK(Audit[[#This Row],[Audit Losing Candidate]])), Audit[[#This Row],[Audit Losing Candidate]]-Audit[[#This Row],[Losing Candidate]], "")</f>
        <v/>
      </c>
      <c r="AG340" s="17" t="str">
        <f>IF(NOT(ISBLANK(Audit[[#This Row],[Audit Candidate 3]])), Audit[[#This Row],[Audit Candidate 3]]-Audit[[#This Row],[Candidate 3]], "")</f>
        <v/>
      </c>
      <c r="AH340" s="17" t="str">
        <f>IF(NOT(ISBLANK(Audit[[#This Row],[Audit Candidate 4]])),Audit[[#This Row],[Audit Candidate 4]]-Audit[[#This Row],[Candidate 4]], "")</f>
        <v/>
      </c>
      <c r="AI340" s="17" t="str">
        <f>IF(NOT(ISBLANK(Audit[[#This Row],[Audit Candidate 5]])), Audit[[#This Row],[Audit Candidate 5]]-Audit[[#This Row],[Candidate 5]], "")</f>
        <v/>
      </c>
      <c r="AJ340" s="17" t="str">
        <f>IF(NOT(ISBLANK(Audit[[#This Row],[Audit Candidate 6]])), Audit[[#This Row],[Audit Candidate 6]]-Audit[[#This Row],[Candidate 6]], "")</f>
        <v/>
      </c>
      <c r="AK340" s="17" t="str">
        <f>IF(NOT(ISBLANK(Audit[[#This Row],[Audit Candidate 7]])), Audit[[#This Row],[Audit Candidate 7]]-Audit[[#This Row],[Candidate 7]], "")</f>
        <v/>
      </c>
      <c r="AL340" s="17" t="str">
        <f>IF(NOT(ISBLANK(Audit[[#This Row],[Audit Candidate 8]])), Audit[[#This Row],[Audit Candidate 8]]-Audit[[#This Row],[Candidate 8]], "")</f>
        <v/>
      </c>
      <c r="AM340" s="17" t="str">
        <f>IF(NOT(ISBLANK(Audit[[#This Row],[Audit Candidate 9]])), Audit[[#This Row],[Audit Candidate 9]]-Audit[[#This Row],[Candidate 9]], "")</f>
        <v/>
      </c>
      <c r="AN340" s="17" t="str">
        <f>IF(NOT(ISBLANK(Audit[[#This Row],[Audit Candidate 10]])), Audit[[#This Row],[Audit Candidate 10]]-Audit[[#This Row],[Candidate 10]], "")</f>
        <v/>
      </c>
      <c r="AO340" s="17" t="str">
        <f>IF(NOT(ISBLANK(Audit[[#This Row],[Audit Candidate 11]])), Audit[[#This Row],[Audit Candidate 11]]-Audit[[#This Row],[Candidate 11]], "")</f>
        <v/>
      </c>
      <c r="AP340" s="17" t="str">
        <f>IF(NOT(ISBLANK(Audit[[#This Row],[Audit Candidate 12]])), Audit[[#This Row],[Audit Candidate 12]]-Audit[[#This Row],[Candidate 12]], "")</f>
        <v/>
      </c>
      <c r="AQ340" s="17">
        <f>SUMIF(Audit[[#This Row],[Difference Winner]:[Difference Candidate 12]], "&gt;0")</f>
        <v>0</v>
      </c>
      <c r="AR340" s="17">
        <f>SUM(Audit[[#This Row],[Difference Winner]:[Difference Candidate 12]])</f>
        <v>0</v>
      </c>
      <c r="AS340" s="17">
        <f>IF(Audit[[#This Row],[Times p Drawn - With Replacement]]&gt;0, IF(Audit[[#This Row],[Canceled Differences]]&lt;0, Audit[[#This Row],[Max Differences]]+ABS(Audit[[#This Row],[Canceled Differences]]), Audit[[#This Row],[Max Differences]]), 0)</f>
        <v>0</v>
      </c>
      <c r="AT340" s="17">
        <f>'Sampling Data'!AB340</f>
        <v>1.4556102529281956E-2</v>
      </c>
      <c r="AU340" s="17">
        <f>IF(
      SUM(Audit[[#This Row],[Audit Losing Candidate]:[Audit Candidate 12]])
      &lt;&gt;0,
      (Audit[[#This Row],[Winning Candidate]]-Audit[[#This Row],[Losing Candidate]]-(Audit[[#This Row],[Audit Winning Candidate]]-Audit[[#This Row],[Audit Losing Candidate]]))/(Audit[[#Totals],[Winning Candidate]]-Audit[[#Totals],[Losing Candidate]]),
      0
)</f>
        <v>0</v>
      </c>
      <c r="AV3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0" s="17">
        <f>IF(Audit[[#This Row],[Max Relative Error (ep)]] = 0, 0, Audit[[#This Row],[Max Relative Error (ep)]]/Audit[[#This Row],[Error Bound (up) - Max. possible relative overstatement]])</f>
        <v>0</v>
      </c>
      <c r="BH3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40" s="17">
        <f t="shared" si="6"/>
        <v>1</v>
      </c>
      <c r="BJ340" s="17">
        <f>PRODUCT($BI$5:BI340)</f>
        <v>0.48901700950994259</v>
      </c>
      <c r="BK340" s="19">
        <f>1 - Audit[[#This Row],[K-M P Value]]</f>
        <v>0.51098299049005735</v>
      </c>
      <c r="BL340" s="17" t="str">
        <f>IF(Audit[[#This Row],[K-M P Value]]&gt;1-'General Info'!$B$12,"Continue", "Stop")</f>
        <v>Continue</v>
      </c>
      <c r="BM340" s="22" t="b">
        <f>IF(Audit[[#This Row],[Status - Continue or stop audit]] = "Continue", TRUE, IF(BL339 = "Continue", TRUE, FALSE))</f>
        <v>1</v>
      </c>
      <c r="BN340" s="22"/>
    </row>
    <row r="341" spans="1:66" ht="15" hidden="1" customHeight="1" x14ac:dyDescent="0.35">
      <c r="A341" s="17" t="str">
        <f>'Sampling Data'!AI341</f>
        <v/>
      </c>
      <c r="B341" s="17" t="str">
        <f>'Sampling Data'!A341</f>
        <v>5622 AND V   (AV)</v>
      </c>
      <c r="C341" s="17">
        <f>'Sampling Data'!B341</f>
        <v>95</v>
      </c>
      <c r="D341" s="17">
        <f>'Sampling Data'!C341</f>
        <v>96</v>
      </c>
      <c r="E341" s="18">
        <f>'Sampling Data'!D341</f>
        <v>0</v>
      </c>
      <c r="F341" s="18">
        <f>'Sampling Data'!E341</f>
        <v>0</v>
      </c>
      <c r="G341" s="18">
        <f>'Sampling Data'!F341</f>
        <v>0</v>
      </c>
      <c r="H341" s="18">
        <f>'Sampling Data'!G341</f>
        <v>0</v>
      </c>
      <c r="I341" s="18">
        <f>'Sampling Data'!H341</f>
        <v>0</v>
      </c>
      <c r="J341" s="18">
        <f>'Sampling Data'!I341</f>
        <v>0</v>
      </c>
      <c r="K341" s="18">
        <f>'Sampling Data'!J341</f>
        <v>0</v>
      </c>
      <c r="L341" s="18">
        <f>'Sampling Data'!K341</f>
        <v>0</v>
      </c>
      <c r="M341" s="18">
        <f>'Sampling Data'!L341</f>
        <v>0</v>
      </c>
      <c r="N341" s="18">
        <f>'Sampling Data'!M341</f>
        <v>0</v>
      </c>
      <c r="O341" s="17">
        <f>'Sampling Data'!N341</f>
        <v>0</v>
      </c>
      <c r="P341" s="17">
        <f>'Sampling Data'!O341</f>
        <v>11</v>
      </c>
      <c r="Q341" s="17">
        <f>'Sampling Data'!P341</f>
        <v>202</v>
      </c>
      <c r="R341" s="17">
        <f>'Sampling Data'!AJ341</f>
        <v>0</v>
      </c>
      <c r="S341" s="111"/>
      <c r="T341" s="111"/>
      <c r="U341" s="112"/>
      <c r="V341" s="112"/>
      <c r="W341" s="111"/>
      <c r="X341" s="111"/>
      <c r="Y341" s="111"/>
      <c r="Z341" s="111"/>
      <c r="AA341" s="14"/>
      <c r="AB341" s="14"/>
      <c r="AC341" s="14"/>
      <c r="AD341" s="14"/>
      <c r="AE341" s="113" t="str">
        <f>IF(NOT(ISBLANK(Audit[[#This Row],[Audit Winning Candidate]])), Audit[[#This Row],[Audit Winning Candidate]]-Audit[[#This Row],[Winning Candidate]], "")</f>
        <v/>
      </c>
      <c r="AF341" s="17" t="str">
        <f>IF(NOT(ISBLANK(Audit[[#This Row],[Audit Losing Candidate]])), Audit[[#This Row],[Audit Losing Candidate]]-Audit[[#This Row],[Losing Candidate]], "")</f>
        <v/>
      </c>
      <c r="AG341" s="17" t="str">
        <f>IF(NOT(ISBLANK(Audit[[#This Row],[Audit Candidate 3]])), Audit[[#This Row],[Audit Candidate 3]]-Audit[[#This Row],[Candidate 3]], "")</f>
        <v/>
      </c>
      <c r="AH341" s="17" t="str">
        <f>IF(NOT(ISBLANK(Audit[[#This Row],[Audit Candidate 4]])),Audit[[#This Row],[Audit Candidate 4]]-Audit[[#This Row],[Candidate 4]], "")</f>
        <v/>
      </c>
      <c r="AI341" s="17" t="str">
        <f>IF(NOT(ISBLANK(Audit[[#This Row],[Audit Candidate 5]])), Audit[[#This Row],[Audit Candidate 5]]-Audit[[#This Row],[Candidate 5]], "")</f>
        <v/>
      </c>
      <c r="AJ341" s="17" t="str">
        <f>IF(NOT(ISBLANK(Audit[[#This Row],[Audit Candidate 6]])), Audit[[#This Row],[Audit Candidate 6]]-Audit[[#This Row],[Candidate 6]], "")</f>
        <v/>
      </c>
      <c r="AK341" s="17" t="str">
        <f>IF(NOT(ISBLANK(Audit[[#This Row],[Audit Candidate 7]])), Audit[[#This Row],[Audit Candidate 7]]-Audit[[#This Row],[Candidate 7]], "")</f>
        <v/>
      </c>
      <c r="AL341" s="17" t="str">
        <f>IF(NOT(ISBLANK(Audit[[#This Row],[Audit Candidate 8]])), Audit[[#This Row],[Audit Candidate 8]]-Audit[[#This Row],[Candidate 8]], "")</f>
        <v/>
      </c>
      <c r="AM341" s="17" t="str">
        <f>IF(NOT(ISBLANK(Audit[[#This Row],[Audit Candidate 9]])), Audit[[#This Row],[Audit Candidate 9]]-Audit[[#This Row],[Candidate 9]], "")</f>
        <v/>
      </c>
      <c r="AN341" s="17" t="str">
        <f>IF(NOT(ISBLANK(Audit[[#This Row],[Audit Candidate 10]])), Audit[[#This Row],[Audit Candidate 10]]-Audit[[#This Row],[Candidate 10]], "")</f>
        <v/>
      </c>
      <c r="AO341" s="17" t="str">
        <f>IF(NOT(ISBLANK(Audit[[#This Row],[Audit Candidate 11]])), Audit[[#This Row],[Audit Candidate 11]]-Audit[[#This Row],[Candidate 11]], "")</f>
        <v/>
      </c>
      <c r="AP341" s="17" t="str">
        <f>IF(NOT(ISBLANK(Audit[[#This Row],[Audit Candidate 12]])), Audit[[#This Row],[Audit Candidate 12]]-Audit[[#This Row],[Candidate 12]], "")</f>
        <v/>
      </c>
      <c r="AQ341" s="17">
        <f>SUMIF(Audit[[#This Row],[Difference Winner]:[Difference Candidate 12]], "&gt;0")</f>
        <v>0</v>
      </c>
      <c r="AR341" s="17">
        <f>SUM(Audit[[#This Row],[Difference Winner]:[Difference Candidate 12]])</f>
        <v>0</v>
      </c>
      <c r="AS341" s="17">
        <f>IF(Audit[[#This Row],[Times p Drawn - With Replacement]]&gt;0, IF(Audit[[#This Row],[Canceled Differences]]&lt;0, Audit[[#This Row],[Max Differences]]+ABS(Audit[[#This Row],[Canceled Differences]]), Audit[[#This Row],[Max Differences]]), 0)</f>
        <v>0</v>
      </c>
      <c r="AT341" s="17">
        <f>'Sampling Data'!AB341</f>
        <v>8.5299609573926335E-3</v>
      </c>
      <c r="AU341" s="17">
        <f>IF(
      SUM(Audit[[#This Row],[Audit Losing Candidate]:[Audit Candidate 12]])
      &lt;&gt;0,
      (Audit[[#This Row],[Winning Candidate]]-Audit[[#This Row],[Losing Candidate]]-(Audit[[#This Row],[Audit Winning Candidate]]-Audit[[#This Row],[Audit Losing Candidate]]))/(Audit[[#Totals],[Winning Candidate]]-Audit[[#Totals],[Losing Candidate]]),
      0
)</f>
        <v>0</v>
      </c>
      <c r="AV3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1" s="17">
        <f>IF(Audit[[#This Row],[Max Relative Error (ep)]] = 0, 0, Audit[[#This Row],[Max Relative Error (ep)]]/Audit[[#This Row],[Error Bound (up) - Max. possible relative overstatement]])</f>
        <v>0</v>
      </c>
      <c r="BH3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41" s="17">
        <f t="shared" si="6"/>
        <v>1</v>
      </c>
      <c r="BJ341" s="17">
        <f>PRODUCT($BI$5:BI341)</f>
        <v>0.48901700950994259</v>
      </c>
      <c r="BK341" s="19">
        <f>1 - Audit[[#This Row],[K-M P Value]]</f>
        <v>0.51098299049005735</v>
      </c>
      <c r="BL341" s="17" t="str">
        <f>IF(Audit[[#This Row],[K-M P Value]]&gt;1-'General Info'!$B$12,"Continue", "Stop")</f>
        <v>Continue</v>
      </c>
      <c r="BM341" s="22" t="b">
        <f>IF(Audit[[#This Row],[Status - Continue or stop audit]] = "Continue", TRUE, IF(BL340 = "Continue", TRUE, FALSE))</f>
        <v>1</v>
      </c>
      <c r="BN341" s="22"/>
    </row>
    <row r="342" spans="1:66" ht="15" hidden="1" customHeight="1" x14ac:dyDescent="0.35">
      <c r="A342" s="17" t="str">
        <f>'Sampling Data'!AI342</f>
        <v/>
      </c>
      <c r="B342" s="17" t="str">
        <f>'Sampling Data'!A342</f>
        <v>5623 AND W   (AV)</v>
      </c>
      <c r="C342" s="17">
        <f>'Sampling Data'!B342</f>
        <v>195</v>
      </c>
      <c r="D342" s="17">
        <f>'Sampling Data'!C342</f>
        <v>171</v>
      </c>
      <c r="E342" s="18">
        <f>'Sampling Data'!D342</f>
        <v>0</v>
      </c>
      <c r="F342" s="18">
        <f>'Sampling Data'!E342</f>
        <v>0</v>
      </c>
      <c r="G342" s="18">
        <f>'Sampling Data'!F342</f>
        <v>0</v>
      </c>
      <c r="H342" s="18">
        <f>'Sampling Data'!G342</f>
        <v>0</v>
      </c>
      <c r="I342" s="18">
        <f>'Sampling Data'!H342</f>
        <v>0</v>
      </c>
      <c r="J342" s="18">
        <f>'Sampling Data'!I342</f>
        <v>0</v>
      </c>
      <c r="K342" s="18">
        <f>'Sampling Data'!J342</f>
        <v>0</v>
      </c>
      <c r="L342" s="18">
        <f>'Sampling Data'!K342</f>
        <v>0</v>
      </c>
      <c r="M342" s="18">
        <f>'Sampling Data'!L342</f>
        <v>0</v>
      </c>
      <c r="N342" s="18">
        <f>'Sampling Data'!M342</f>
        <v>0</v>
      </c>
      <c r="O342" s="17">
        <f>'Sampling Data'!N342</f>
        <v>0</v>
      </c>
      <c r="P342" s="17">
        <f>'Sampling Data'!O342</f>
        <v>18</v>
      </c>
      <c r="Q342" s="17">
        <f>'Sampling Data'!P342</f>
        <v>384</v>
      </c>
      <c r="R342" s="17">
        <f>'Sampling Data'!AJ342</f>
        <v>0</v>
      </c>
      <c r="S342" s="111"/>
      <c r="T342" s="111"/>
      <c r="U342" s="112"/>
      <c r="V342" s="112"/>
      <c r="W342" s="111"/>
      <c r="X342" s="111"/>
      <c r="Y342" s="111"/>
      <c r="Z342" s="111"/>
      <c r="AA342" s="14"/>
      <c r="AB342" s="14"/>
      <c r="AC342" s="14"/>
      <c r="AD342" s="14"/>
      <c r="AE342" s="113" t="str">
        <f>IF(NOT(ISBLANK(Audit[[#This Row],[Audit Winning Candidate]])), Audit[[#This Row],[Audit Winning Candidate]]-Audit[[#This Row],[Winning Candidate]], "")</f>
        <v/>
      </c>
      <c r="AF342" s="17" t="str">
        <f>IF(NOT(ISBLANK(Audit[[#This Row],[Audit Losing Candidate]])), Audit[[#This Row],[Audit Losing Candidate]]-Audit[[#This Row],[Losing Candidate]], "")</f>
        <v/>
      </c>
      <c r="AG342" s="17" t="str">
        <f>IF(NOT(ISBLANK(Audit[[#This Row],[Audit Candidate 3]])), Audit[[#This Row],[Audit Candidate 3]]-Audit[[#This Row],[Candidate 3]], "")</f>
        <v/>
      </c>
      <c r="AH342" s="17" t="str">
        <f>IF(NOT(ISBLANK(Audit[[#This Row],[Audit Candidate 4]])),Audit[[#This Row],[Audit Candidate 4]]-Audit[[#This Row],[Candidate 4]], "")</f>
        <v/>
      </c>
      <c r="AI342" s="17" t="str">
        <f>IF(NOT(ISBLANK(Audit[[#This Row],[Audit Candidate 5]])), Audit[[#This Row],[Audit Candidate 5]]-Audit[[#This Row],[Candidate 5]], "")</f>
        <v/>
      </c>
      <c r="AJ342" s="17" t="str">
        <f>IF(NOT(ISBLANK(Audit[[#This Row],[Audit Candidate 6]])), Audit[[#This Row],[Audit Candidate 6]]-Audit[[#This Row],[Candidate 6]], "")</f>
        <v/>
      </c>
      <c r="AK342" s="17" t="str">
        <f>IF(NOT(ISBLANK(Audit[[#This Row],[Audit Candidate 7]])), Audit[[#This Row],[Audit Candidate 7]]-Audit[[#This Row],[Candidate 7]], "")</f>
        <v/>
      </c>
      <c r="AL342" s="17" t="str">
        <f>IF(NOT(ISBLANK(Audit[[#This Row],[Audit Candidate 8]])), Audit[[#This Row],[Audit Candidate 8]]-Audit[[#This Row],[Candidate 8]], "")</f>
        <v/>
      </c>
      <c r="AM342" s="17" t="str">
        <f>IF(NOT(ISBLANK(Audit[[#This Row],[Audit Candidate 9]])), Audit[[#This Row],[Audit Candidate 9]]-Audit[[#This Row],[Candidate 9]], "")</f>
        <v/>
      </c>
      <c r="AN342" s="17" t="str">
        <f>IF(NOT(ISBLANK(Audit[[#This Row],[Audit Candidate 10]])), Audit[[#This Row],[Audit Candidate 10]]-Audit[[#This Row],[Candidate 10]], "")</f>
        <v/>
      </c>
      <c r="AO342" s="17" t="str">
        <f>IF(NOT(ISBLANK(Audit[[#This Row],[Audit Candidate 11]])), Audit[[#This Row],[Audit Candidate 11]]-Audit[[#This Row],[Candidate 11]], "")</f>
        <v/>
      </c>
      <c r="AP342" s="17" t="str">
        <f>IF(NOT(ISBLANK(Audit[[#This Row],[Audit Candidate 12]])), Audit[[#This Row],[Audit Candidate 12]]-Audit[[#This Row],[Candidate 12]], "")</f>
        <v/>
      </c>
      <c r="AQ342" s="17">
        <f>SUMIF(Audit[[#This Row],[Difference Winner]:[Difference Candidate 12]], "&gt;0")</f>
        <v>0</v>
      </c>
      <c r="AR342" s="17">
        <f>SUM(Audit[[#This Row],[Difference Winner]:[Difference Candidate 12]])</f>
        <v>0</v>
      </c>
      <c r="AS342" s="17">
        <f>IF(Audit[[#This Row],[Times p Drawn - With Replacement]]&gt;0, IF(Audit[[#This Row],[Canceled Differences]]&lt;0, Audit[[#This Row],[Max Differences]]+ABS(Audit[[#This Row],[Canceled Differences]]), Audit[[#This Row],[Max Differences]]), 0)</f>
        <v>0</v>
      </c>
      <c r="AT342" s="17">
        <f>'Sampling Data'!AB342</f>
        <v>1.7314547615005942E-2</v>
      </c>
      <c r="AU342" s="17">
        <f>IF(
      SUM(Audit[[#This Row],[Audit Losing Candidate]:[Audit Candidate 12]])
      &lt;&gt;0,
      (Audit[[#This Row],[Winning Candidate]]-Audit[[#This Row],[Losing Candidate]]-(Audit[[#This Row],[Audit Winning Candidate]]-Audit[[#This Row],[Audit Losing Candidate]]))/(Audit[[#Totals],[Winning Candidate]]-Audit[[#Totals],[Losing Candidate]]),
      0
)</f>
        <v>0</v>
      </c>
      <c r="AV3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2" s="17">
        <f>IF(Audit[[#This Row],[Max Relative Error (ep)]] = 0, 0, Audit[[#This Row],[Max Relative Error (ep)]]/Audit[[#This Row],[Error Bound (up) - Max. possible relative overstatement]])</f>
        <v>0</v>
      </c>
      <c r="BH3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42" s="17">
        <f t="shared" si="6"/>
        <v>1</v>
      </c>
      <c r="BJ342" s="17">
        <f>PRODUCT($BI$5:BI342)</f>
        <v>0.48901700950994259</v>
      </c>
      <c r="BK342" s="19">
        <f>1 - Audit[[#This Row],[K-M P Value]]</f>
        <v>0.51098299049005735</v>
      </c>
      <c r="BL342" s="17" t="str">
        <f>IF(Audit[[#This Row],[K-M P Value]]&gt;1-'General Info'!$B$12,"Continue", "Stop")</f>
        <v>Continue</v>
      </c>
      <c r="BM342" s="22" t="b">
        <f>IF(Audit[[#This Row],[Status - Continue or stop audit]] = "Continue", TRUE, IF(BL341 = "Continue", TRUE, FALSE))</f>
        <v>1</v>
      </c>
      <c r="BN342" s="22"/>
    </row>
    <row r="343" spans="1:66" ht="15" hidden="1" customHeight="1" x14ac:dyDescent="0.35">
      <c r="A343" s="17" t="str">
        <f>'Sampling Data'!AI343</f>
        <v/>
      </c>
      <c r="B343" s="17" t="str">
        <f>'Sampling Data'!A343</f>
        <v>5624 AND X   (AV)</v>
      </c>
      <c r="C343" s="17">
        <f>'Sampling Data'!B343</f>
        <v>94</v>
      </c>
      <c r="D343" s="17">
        <f>'Sampling Data'!C343</f>
        <v>109</v>
      </c>
      <c r="E343" s="18">
        <f>'Sampling Data'!D343</f>
        <v>0</v>
      </c>
      <c r="F343" s="18">
        <f>'Sampling Data'!E343</f>
        <v>0</v>
      </c>
      <c r="G343" s="18">
        <f>'Sampling Data'!F343</f>
        <v>0</v>
      </c>
      <c r="H343" s="18">
        <f>'Sampling Data'!G343</f>
        <v>0</v>
      </c>
      <c r="I343" s="18">
        <f>'Sampling Data'!H343</f>
        <v>0</v>
      </c>
      <c r="J343" s="18">
        <f>'Sampling Data'!I343</f>
        <v>0</v>
      </c>
      <c r="K343" s="18">
        <f>'Sampling Data'!J343</f>
        <v>0</v>
      </c>
      <c r="L343" s="18">
        <f>'Sampling Data'!K343</f>
        <v>0</v>
      </c>
      <c r="M343" s="18">
        <f>'Sampling Data'!L343</f>
        <v>0</v>
      </c>
      <c r="N343" s="18">
        <f>'Sampling Data'!M343</f>
        <v>0</v>
      </c>
      <c r="O343" s="17">
        <f>'Sampling Data'!N343</f>
        <v>0</v>
      </c>
      <c r="P343" s="17">
        <f>'Sampling Data'!O343</f>
        <v>7</v>
      </c>
      <c r="Q343" s="17">
        <f>'Sampling Data'!P343</f>
        <v>210</v>
      </c>
      <c r="R343" s="17">
        <f>'Sampling Data'!AJ343</f>
        <v>0</v>
      </c>
      <c r="S343" s="111"/>
      <c r="T343" s="111"/>
      <c r="U343" s="112"/>
      <c r="V343" s="112"/>
      <c r="W343" s="111"/>
      <c r="X343" s="111"/>
      <c r="Y343" s="111"/>
      <c r="Z343" s="111"/>
      <c r="AA343" s="14"/>
      <c r="AB343" s="14"/>
      <c r="AC343" s="14"/>
      <c r="AD343" s="14"/>
      <c r="AE343" s="113" t="str">
        <f>IF(NOT(ISBLANK(Audit[[#This Row],[Audit Winning Candidate]])), Audit[[#This Row],[Audit Winning Candidate]]-Audit[[#This Row],[Winning Candidate]], "")</f>
        <v/>
      </c>
      <c r="AF343" s="17" t="str">
        <f>IF(NOT(ISBLANK(Audit[[#This Row],[Audit Losing Candidate]])), Audit[[#This Row],[Audit Losing Candidate]]-Audit[[#This Row],[Losing Candidate]], "")</f>
        <v/>
      </c>
      <c r="AG343" s="17" t="str">
        <f>IF(NOT(ISBLANK(Audit[[#This Row],[Audit Candidate 3]])), Audit[[#This Row],[Audit Candidate 3]]-Audit[[#This Row],[Candidate 3]], "")</f>
        <v/>
      </c>
      <c r="AH343" s="17" t="str">
        <f>IF(NOT(ISBLANK(Audit[[#This Row],[Audit Candidate 4]])),Audit[[#This Row],[Audit Candidate 4]]-Audit[[#This Row],[Candidate 4]], "")</f>
        <v/>
      </c>
      <c r="AI343" s="17" t="str">
        <f>IF(NOT(ISBLANK(Audit[[#This Row],[Audit Candidate 5]])), Audit[[#This Row],[Audit Candidate 5]]-Audit[[#This Row],[Candidate 5]], "")</f>
        <v/>
      </c>
      <c r="AJ343" s="17" t="str">
        <f>IF(NOT(ISBLANK(Audit[[#This Row],[Audit Candidate 6]])), Audit[[#This Row],[Audit Candidate 6]]-Audit[[#This Row],[Candidate 6]], "")</f>
        <v/>
      </c>
      <c r="AK343" s="17" t="str">
        <f>IF(NOT(ISBLANK(Audit[[#This Row],[Audit Candidate 7]])), Audit[[#This Row],[Audit Candidate 7]]-Audit[[#This Row],[Candidate 7]], "")</f>
        <v/>
      </c>
      <c r="AL343" s="17" t="str">
        <f>IF(NOT(ISBLANK(Audit[[#This Row],[Audit Candidate 8]])), Audit[[#This Row],[Audit Candidate 8]]-Audit[[#This Row],[Candidate 8]], "")</f>
        <v/>
      </c>
      <c r="AM343" s="17" t="str">
        <f>IF(NOT(ISBLANK(Audit[[#This Row],[Audit Candidate 9]])), Audit[[#This Row],[Audit Candidate 9]]-Audit[[#This Row],[Candidate 9]], "")</f>
        <v/>
      </c>
      <c r="AN343" s="17" t="str">
        <f>IF(NOT(ISBLANK(Audit[[#This Row],[Audit Candidate 10]])), Audit[[#This Row],[Audit Candidate 10]]-Audit[[#This Row],[Candidate 10]], "")</f>
        <v/>
      </c>
      <c r="AO343" s="17" t="str">
        <f>IF(NOT(ISBLANK(Audit[[#This Row],[Audit Candidate 11]])), Audit[[#This Row],[Audit Candidate 11]]-Audit[[#This Row],[Candidate 11]], "")</f>
        <v/>
      </c>
      <c r="AP343" s="17" t="str">
        <f>IF(NOT(ISBLANK(Audit[[#This Row],[Audit Candidate 12]])), Audit[[#This Row],[Audit Candidate 12]]-Audit[[#This Row],[Candidate 12]], "")</f>
        <v/>
      </c>
      <c r="AQ343" s="17">
        <f>SUMIF(Audit[[#This Row],[Difference Winner]:[Difference Candidate 12]], "&gt;0")</f>
        <v>0</v>
      </c>
      <c r="AR343" s="17">
        <f>SUM(Audit[[#This Row],[Difference Winner]:[Difference Candidate 12]])</f>
        <v>0</v>
      </c>
      <c r="AS343" s="17">
        <f>IF(Audit[[#This Row],[Times p Drawn - With Replacement]]&gt;0, IF(Audit[[#This Row],[Canceled Differences]]&lt;0, Audit[[#This Row],[Max Differences]]+ABS(Audit[[#This Row],[Canceled Differences]]), Audit[[#This Row],[Max Differences]]), 0)</f>
        <v>0</v>
      </c>
      <c r="AT343" s="17">
        <f>'Sampling Data'!AB343</f>
        <v>8.2753352571719573E-3</v>
      </c>
      <c r="AU343" s="17">
        <f>IF(
      SUM(Audit[[#This Row],[Audit Losing Candidate]:[Audit Candidate 12]])
      &lt;&gt;0,
      (Audit[[#This Row],[Winning Candidate]]-Audit[[#This Row],[Losing Candidate]]-(Audit[[#This Row],[Audit Winning Candidate]]-Audit[[#This Row],[Audit Losing Candidate]]))/(Audit[[#Totals],[Winning Candidate]]-Audit[[#Totals],[Losing Candidate]]),
      0
)</f>
        <v>0</v>
      </c>
      <c r="AV3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3" s="17">
        <f>IF(Audit[[#This Row],[Max Relative Error (ep)]] = 0, 0, Audit[[#This Row],[Max Relative Error (ep)]]/Audit[[#This Row],[Error Bound (up) - Max. possible relative overstatement]])</f>
        <v>0</v>
      </c>
      <c r="BH3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43" s="17">
        <f t="shared" si="6"/>
        <v>1</v>
      </c>
      <c r="BJ343" s="17">
        <f>PRODUCT($BI$5:BI343)</f>
        <v>0.48901700950994259</v>
      </c>
      <c r="BK343" s="19">
        <f>1 - Audit[[#This Row],[K-M P Value]]</f>
        <v>0.51098299049005735</v>
      </c>
      <c r="BL343" s="17" t="str">
        <f>IF(Audit[[#This Row],[K-M P Value]]&gt;1-'General Info'!$B$12,"Continue", "Stop")</f>
        <v>Continue</v>
      </c>
      <c r="BM343" s="22" t="b">
        <f>IF(Audit[[#This Row],[Status - Continue or stop audit]] = "Continue", TRUE, IF(BL342 = "Continue", TRUE, FALSE))</f>
        <v>1</v>
      </c>
      <c r="BN343" s="22"/>
    </row>
    <row r="344" spans="1:66" ht="15" hidden="1" customHeight="1" x14ac:dyDescent="0.35">
      <c r="A344" s="17" t="str">
        <f>'Sampling Data'!AI344</f>
        <v/>
      </c>
      <c r="B344" s="17" t="str">
        <f>'Sampling Data'!A344</f>
        <v>5625 AND Y   (AV)</v>
      </c>
      <c r="C344" s="17">
        <f>'Sampling Data'!B344</f>
        <v>74</v>
      </c>
      <c r="D344" s="17">
        <f>'Sampling Data'!C344</f>
        <v>136</v>
      </c>
      <c r="E344" s="18">
        <f>'Sampling Data'!D344</f>
        <v>0</v>
      </c>
      <c r="F344" s="18">
        <f>'Sampling Data'!E344</f>
        <v>0</v>
      </c>
      <c r="G344" s="18">
        <f>'Sampling Data'!F344</f>
        <v>0</v>
      </c>
      <c r="H344" s="18">
        <f>'Sampling Data'!G344</f>
        <v>0</v>
      </c>
      <c r="I344" s="18">
        <f>'Sampling Data'!H344</f>
        <v>0</v>
      </c>
      <c r="J344" s="18">
        <f>'Sampling Data'!I344</f>
        <v>0</v>
      </c>
      <c r="K344" s="18">
        <f>'Sampling Data'!J344</f>
        <v>0</v>
      </c>
      <c r="L344" s="18">
        <f>'Sampling Data'!K344</f>
        <v>0</v>
      </c>
      <c r="M344" s="18">
        <f>'Sampling Data'!L344</f>
        <v>0</v>
      </c>
      <c r="N344" s="18">
        <f>'Sampling Data'!M344</f>
        <v>0</v>
      </c>
      <c r="O344" s="17">
        <f>'Sampling Data'!N344</f>
        <v>0</v>
      </c>
      <c r="P344" s="17">
        <f>'Sampling Data'!O344</f>
        <v>10</v>
      </c>
      <c r="Q344" s="17">
        <f>'Sampling Data'!P344</f>
        <v>220</v>
      </c>
      <c r="R344" s="17">
        <f>'Sampling Data'!AJ344</f>
        <v>0</v>
      </c>
      <c r="S344" s="111"/>
      <c r="T344" s="111"/>
      <c r="U344" s="112"/>
      <c r="V344" s="112"/>
      <c r="W344" s="111"/>
      <c r="X344" s="111"/>
      <c r="Y344" s="111"/>
      <c r="Z344" s="111"/>
      <c r="AA344" s="14"/>
      <c r="AB344" s="14"/>
      <c r="AC344" s="14"/>
      <c r="AD344" s="14"/>
      <c r="AE344" s="113" t="str">
        <f>IF(NOT(ISBLANK(Audit[[#This Row],[Audit Winning Candidate]])), Audit[[#This Row],[Audit Winning Candidate]]-Audit[[#This Row],[Winning Candidate]], "")</f>
        <v/>
      </c>
      <c r="AF344" s="17" t="str">
        <f>IF(NOT(ISBLANK(Audit[[#This Row],[Audit Losing Candidate]])), Audit[[#This Row],[Audit Losing Candidate]]-Audit[[#This Row],[Losing Candidate]], "")</f>
        <v/>
      </c>
      <c r="AG344" s="17" t="str">
        <f>IF(NOT(ISBLANK(Audit[[#This Row],[Audit Candidate 3]])), Audit[[#This Row],[Audit Candidate 3]]-Audit[[#This Row],[Candidate 3]], "")</f>
        <v/>
      </c>
      <c r="AH344" s="17" t="str">
        <f>IF(NOT(ISBLANK(Audit[[#This Row],[Audit Candidate 4]])),Audit[[#This Row],[Audit Candidate 4]]-Audit[[#This Row],[Candidate 4]], "")</f>
        <v/>
      </c>
      <c r="AI344" s="17" t="str">
        <f>IF(NOT(ISBLANK(Audit[[#This Row],[Audit Candidate 5]])), Audit[[#This Row],[Audit Candidate 5]]-Audit[[#This Row],[Candidate 5]], "")</f>
        <v/>
      </c>
      <c r="AJ344" s="17" t="str">
        <f>IF(NOT(ISBLANK(Audit[[#This Row],[Audit Candidate 6]])), Audit[[#This Row],[Audit Candidate 6]]-Audit[[#This Row],[Candidate 6]], "")</f>
        <v/>
      </c>
      <c r="AK344" s="17" t="str">
        <f>IF(NOT(ISBLANK(Audit[[#This Row],[Audit Candidate 7]])), Audit[[#This Row],[Audit Candidate 7]]-Audit[[#This Row],[Candidate 7]], "")</f>
        <v/>
      </c>
      <c r="AL344" s="17" t="str">
        <f>IF(NOT(ISBLANK(Audit[[#This Row],[Audit Candidate 8]])), Audit[[#This Row],[Audit Candidate 8]]-Audit[[#This Row],[Candidate 8]], "")</f>
        <v/>
      </c>
      <c r="AM344" s="17" t="str">
        <f>IF(NOT(ISBLANK(Audit[[#This Row],[Audit Candidate 9]])), Audit[[#This Row],[Audit Candidate 9]]-Audit[[#This Row],[Candidate 9]], "")</f>
        <v/>
      </c>
      <c r="AN344" s="17" t="str">
        <f>IF(NOT(ISBLANK(Audit[[#This Row],[Audit Candidate 10]])), Audit[[#This Row],[Audit Candidate 10]]-Audit[[#This Row],[Candidate 10]], "")</f>
        <v/>
      </c>
      <c r="AO344" s="17" t="str">
        <f>IF(NOT(ISBLANK(Audit[[#This Row],[Audit Candidate 11]])), Audit[[#This Row],[Audit Candidate 11]]-Audit[[#This Row],[Candidate 11]], "")</f>
        <v/>
      </c>
      <c r="AP344" s="17" t="str">
        <f>IF(NOT(ISBLANK(Audit[[#This Row],[Audit Candidate 12]])), Audit[[#This Row],[Audit Candidate 12]]-Audit[[#This Row],[Candidate 12]], "")</f>
        <v/>
      </c>
      <c r="AQ344" s="17">
        <f>SUMIF(Audit[[#This Row],[Difference Winner]:[Difference Candidate 12]], "&gt;0")</f>
        <v>0</v>
      </c>
      <c r="AR344" s="17">
        <f>SUM(Audit[[#This Row],[Difference Winner]:[Difference Candidate 12]])</f>
        <v>0</v>
      </c>
      <c r="AS344" s="17">
        <f>IF(Audit[[#This Row],[Times p Drawn - With Replacement]]&gt;0, IF(Audit[[#This Row],[Canceled Differences]]&lt;0, Audit[[#This Row],[Max Differences]]+ABS(Audit[[#This Row],[Canceled Differences]]), Audit[[#This Row],[Max Differences]]), 0)</f>
        <v>0</v>
      </c>
      <c r="AT344" s="17">
        <f>'Sampling Data'!AB344</f>
        <v>6.705143439144458E-3</v>
      </c>
      <c r="AU344" s="17">
        <f>IF(
      SUM(Audit[[#This Row],[Audit Losing Candidate]:[Audit Candidate 12]])
      &lt;&gt;0,
      (Audit[[#This Row],[Winning Candidate]]-Audit[[#This Row],[Losing Candidate]]-(Audit[[#This Row],[Audit Winning Candidate]]-Audit[[#This Row],[Audit Losing Candidate]]))/(Audit[[#Totals],[Winning Candidate]]-Audit[[#Totals],[Losing Candidate]]),
      0
)</f>
        <v>0</v>
      </c>
      <c r="AV3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4" s="17">
        <f>IF(Audit[[#This Row],[Max Relative Error (ep)]] = 0, 0, Audit[[#This Row],[Max Relative Error (ep)]]/Audit[[#This Row],[Error Bound (up) - Max. possible relative overstatement]])</f>
        <v>0</v>
      </c>
      <c r="BH3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44" s="17">
        <f t="shared" si="6"/>
        <v>1</v>
      </c>
      <c r="BJ344" s="17">
        <f>PRODUCT($BI$5:BI344)</f>
        <v>0.48901700950994259</v>
      </c>
      <c r="BK344" s="19">
        <f>1 - Audit[[#This Row],[K-M P Value]]</f>
        <v>0.51098299049005735</v>
      </c>
      <c r="BL344" s="17" t="str">
        <f>IF(Audit[[#This Row],[K-M P Value]]&gt;1-'General Info'!$B$12,"Continue", "Stop")</f>
        <v>Continue</v>
      </c>
      <c r="BM344" s="22" t="b">
        <f>IF(Audit[[#This Row],[Status - Continue or stop audit]] = "Continue", TRUE, IF(BL343 = "Continue", TRUE, FALSE))</f>
        <v>1</v>
      </c>
      <c r="BN344" s="22"/>
    </row>
    <row r="345" spans="1:66" ht="15" hidden="1" customHeight="1" x14ac:dyDescent="0.35">
      <c r="A345" s="17" t="str">
        <f>'Sampling Data'!AI345</f>
        <v/>
      </c>
      <c r="B345" s="17" t="str">
        <f>'Sampling Data'!A345</f>
        <v>5626 AND Z   (AV)</v>
      </c>
      <c r="C345" s="17">
        <f>'Sampling Data'!B345</f>
        <v>173</v>
      </c>
      <c r="D345" s="17">
        <f>'Sampling Data'!C345</f>
        <v>175</v>
      </c>
      <c r="E345" s="18">
        <f>'Sampling Data'!D345</f>
        <v>0</v>
      </c>
      <c r="F345" s="18">
        <f>'Sampling Data'!E345</f>
        <v>0</v>
      </c>
      <c r="G345" s="18">
        <f>'Sampling Data'!F345</f>
        <v>0</v>
      </c>
      <c r="H345" s="18">
        <f>'Sampling Data'!G345</f>
        <v>0</v>
      </c>
      <c r="I345" s="18">
        <f>'Sampling Data'!H345</f>
        <v>0</v>
      </c>
      <c r="J345" s="18">
        <f>'Sampling Data'!I345</f>
        <v>0</v>
      </c>
      <c r="K345" s="18">
        <f>'Sampling Data'!J345</f>
        <v>0</v>
      </c>
      <c r="L345" s="18">
        <f>'Sampling Data'!K345</f>
        <v>0</v>
      </c>
      <c r="M345" s="18">
        <f>'Sampling Data'!L345</f>
        <v>0</v>
      </c>
      <c r="N345" s="18">
        <f>'Sampling Data'!M345</f>
        <v>0</v>
      </c>
      <c r="O345" s="17">
        <f>'Sampling Data'!N345</f>
        <v>0</v>
      </c>
      <c r="P345" s="17">
        <f>'Sampling Data'!O345</f>
        <v>16</v>
      </c>
      <c r="Q345" s="17">
        <f>'Sampling Data'!P345</f>
        <v>364</v>
      </c>
      <c r="R345" s="17">
        <f>'Sampling Data'!AJ345</f>
        <v>0</v>
      </c>
      <c r="S345" s="111"/>
      <c r="T345" s="111"/>
      <c r="U345" s="112"/>
      <c r="V345" s="112"/>
      <c r="W345" s="111"/>
      <c r="X345" s="111"/>
      <c r="Y345" s="111"/>
      <c r="Z345" s="111"/>
      <c r="AA345" s="14"/>
      <c r="AB345" s="14"/>
      <c r="AC345" s="14"/>
      <c r="AD345" s="14"/>
      <c r="AE345" s="113" t="str">
        <f>IF(NOT(ISBLANK(Audit[[#This Row],[Audit Winning Candidate]])), Audit[[#This Row],[Audit Winning Candidate]]-Audit[[#This Row],[Winning Candidate]], "")</f>
        <v/>
      </c>
      <c r="AF345" s="17" t="str">
        <f>IF(NOT(ISBLANK(Audit[[#This Row],[Audit Losing Candidate]])), Audit[[#This Row],[Audit Losing Candidate]]-Audit[[#This Row],[Losing Candidate]], "")</f>
        <v/>
      </c>
      <c r="AG345" s="17" t="str">
        <f>IF(NOT(ISBLANK(Audit[[#This Row],[Audit Candidate 3]])), Audit[[#This Row],[Audit Candidate 3]]-Audit[[#This Row],[Candidate 3]], "")</f>
        <v/>
      </c>
      <c r="AH345" s="17" t="str">
        <f>IF(NOT(ISBLANK(Audit[[#This Row],[Audit Candidate 4]])),Audit[[#This Row],[Audit Candidate 4]]-Audit[[#This Row],[Candidate 4]], "")</f>
        <v/>
      </c>
      <c r="AI345" s="17" t="str">
        <f>IF(NOT(ISBLANK(Audit[[#This Row],[Audit Candidate 5]])), Audit[[#This Row],[Audit Candidate 5]]-Audit[[#This Row],[Candidate 5]], "")</f>
        <v/>
      </c>
      <c r="AJ345" s="17" t="str">
        <f>IF(NOT(ISBLANK(Audit[[#This Row],[Audit Candidate 6]])), Audit[[#This Row],[Audit Candidate 6]]-Audit[[#This Row],[Candidate 6]], "")</f>
        <v/>
      </c>
      <c r="AK345" s="17" t="str">
        <f>IF(NOT(ISBLANK(Audit[[#This Row],[Audit Candidate 7]])), Audit[[#This Row],[Audit Candidate 7]]-Audit[[#This Row],[Candidate 7]], "")</f>
        <v/>
      </c>
      <c r="AL345" s="17" t="str">
        <f>IF(NOT(ISBLANK(Audit[[#This Row],[Audit Candidate 8]])), Audit[[#This Row],[Audit Candidate 8]]-Audit[[#This Row],[Candidate 8]], "")</f>
        <v/>
      </c>
      <c r="AM345" s="17" t="str">
        <f>IF(NOT(ISBLANK(Audit[[#This Row],[Audit Candidate 9]])), Audit[[#This Row],[Audit Candidate 9]]-Audit[[#This Row],[Candidate 9]], "")</f>
        <v/>
      </c>
      <c r="AN345" s="17" t="str">
        <f>IF(NOT(ISBLANK(Audit[[#This Row],[Audit Candidate 10]])), Audit[[#This Row],[Audit Candidate 10]]-Audit[[#This Row],[Candidate 10]], "")</f>
        <v/>
      </c>
      <c r="AO345" s="17" t="str">
        <f>IF(NOT(ISBLANK(Audit[[#This Row],[Audit Candidate 11]])), Audit[[#This Row],[Audit Candidate 11]]-Audit[[#This Row],[Candidate 11]], "")</f>
        <v/>
      </c>
      <c r="AP345" s="17" t="str">
        <f>IF(NOT(ISBLANK(Audit[[#This Row],[Audit Candidate 12]])), Audit[[#This Row],[Audit Candidate 12]]-Audit[[#This Row],[Candidate 12]], "")</f>
        <v/>
      </c>
      <c r="AQ345" s="17">
        <f>SUMIF(Audit[[#This Row],[Difference Winner]:[Difference Candidate 12]], "&gt;0")</f>
        <v>0</v>
      </c>
      <c r="AR345" s="17">
        <f>SUM(Audit[[#This Row],[Difference Winner]:[Difference Candidate 12]])</f>
        <v>0</v>
      </c>
      <c r="AS345" s="17">
        <f>IF(Audit[[#This Row],[Times p Drawn - With Replacement]]&gt;0, IF(Audit[[#This Row],[Canceled Differences]]&lt;0, Audit[[#This Row],[Max Differences]]+ABS(Audit[[#This Row],[Canceled Differences]]), Audit[[#This Row],[Max Differences]]), 0)</f>
        <v>0</v>
      </c>
      <c r="AT345" s="17">
        <f>'Sampling Data'!AB345</f>
        <v>1.5362417246647428E-2</v>
      </c>
      <c r="AU345" s="17">
        <f>IF(
      SUM(Audit[[#This Row],[Audit Losing Candidate]:[Audit Candidate 12]])
      &lt;&gt;0,
      (Audit[[#This Row],[Winning Candidate]]-Audit[[#This Row],[Losing Candidate]]-(Audit[[#This Row],[Audit Winning Candidate]]-Audit[[#This Row],[Audit Losing Candidate]]))/(Audit[[#Totals],[Winning Candidate]]-Audit[[#Totals],[Losing Candidate]]),
      0
)</f>
        <v>0</v>
      </c>
      <c r="AV3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5" s="17">
        <f>IF(Audit[[#This Row],[Max Relative Error (ep)]] = 0, 0, Audit[[#This Row],[Max Relative Error (ep)]]/Audit[[#This Row],[Error Bound (up) - Max. possible relative overstatement]])</f>
        <v>0</v>
      </c>
      <c r="BH3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45" s="17">
        <f t="shared" si="6"/>
        <v>1</v>
      </c>
      <c r="BJ345" s="17">
        <f>PRODUCT($BI$5:BI345)</f>
        <v>0.48901700950994259</v>
      </c>
      <c r="BK345" s="19">
        <f>1 - Audit[[#This Row],[K-M P Value]]</f>
        <v>0.51098299049005735</v>
      </c>
      <c r="BL345" s="17" t="str">
        <f>IF(Audit[[#This Row],[K-M P Value]]&gt;1-'General Info'!$B$12,"Continue", "Stop")</f>
        <v>Continue</v>
      </c>
      <c r="BM345" s="22" t="b">
        <f>IF(Audit[[#This Row],[Status - Continue or stop audit]] = "Continue", TRUE, IF(BL344 = "Continue", TRUE, FALSE))</f>
        <v>1</v>
      </c>
      <c r="BN345" s="22"/>
    </row>
    <row r="346" spans="1:66" ht="15" hidden="1" customHeight="1" x14ac:dyDescent="0.35">
      <c r="A346" s="17" t="str">
        <f>'Sampling Data'!AI346</f>
        <v/>
      </c>
      <c r="B346" s="17" t="str">
        <f>'Sampling Data'!A346</f>
        <v>5627 AND AA   (AV)</v>
      </c>
      <c r="C346" s="17">
        <f>'Sampling Data'!B346</f>
        <v>186</v>
      </c>
      <c r="D346" s="17">
        <f>'Sampling Data'!C346</f>
        <v>153</v>
      </c>
      <c r="E346" s="18">
        <f>'Sampling Data'!D346</f>
        <v>0</v>
      </c>
      <c r="F346" s="18">
        <f>'Sampling Data'!E346</f>
        <v>0</v>
      </c>
      <c r="G346" s="18">
        <f>'Sampling Data'!F346</f>
        <v>0</v>
      </c>
      <c r="H346" s="18">
        <f>'Sampling Data'!G346</f>
        <v>0</v>
      </c>
      <c r="I346" s="18">
        <f>'Sampling Data'!H346</f>
        <v>0</v>
      </c>
      <c r="J346" s="18">
        <f>'Sampling Data'!I346</f>
        <v>0</v>
      </c>
      <c r="K346" s="18">
        <f>'Sampling Data'!J346</f>
        <v>0</v>
      </c>
      <c r="L346" s="18">
        <f>'Sampling Data'!K346</f>
        <v>0</v>
      </c>
      <c r="M346" s="18">
        <f>'Sampling Data'!L346</f>
        <v>0</v>
      </c>
      <c r="N346" s="18">
        <f>'Sampling Data'!M346</f>
        <v>0</v>
      </c>
      <c r="O346" s="17">
        <f>'Sampling Data'!N346</f>
        <v>0</v>
      </c>
      <c r="P346" s="17">
        <f>'Sampling Data'!O346</f>
        <v>14</v>
      </c>
      <c r="Q346" s="17">
        <f>'Sampling Data'!P346</f>
        <v>353</v>
      </c>
      <c r="R346" s="17">
        <f>'Sampling Data'!AJ346</f>
        <v>0</v>
      </c>
      <c r="S346" s="111"/>
      <c r="T346" s="111"/>
      <c r="U346" s="112"/>
      <c r="V346" s="112"/>
      <c r="W346" s="111"/>
      <c r="X346" s="111"/>
      <c r="Y346" s="111"/>
      <c r="Z346" s="111"/>
      <c r="AA346" s="14"/>
      <c r="AB346" s="14"/>
      <c r="AC346" s="14"/>
      <c r="AD346" s="14"/>
      <c r="AE346" s="113" t="str">
        <f>IF(NOT(ISBLANK(Audit[[#This Row],[Audit Winning Candidate]])), Audit[[#This Row],[Audit Winning Candidate]]-Audit[[#This Row],[Winning Candidate]], "")</f>
        <v/>
      </c>
      <c r="AF346" s="17" t="str">
        <f>IF(NOT(ISBLANK(Audit[[#This Row],[Audit Losing Candidate]])), Audit[[#This Row],[Audit Losing Candidate]]-Audit[[#This Row],[Losing Candidate]], "")</f>
        <v/>
      </c>
      <c r="AG346" s="17" t="str">
        <f>IF(NOT(ISBLANK(Audit[[#This Row],[Audit Candidate 3]])), Audit[[#This Row],[Audit Candidate 3]]-Audit[[#This Row],[Candidate 3]], "")</f>
        <v/>
      </c>
      <c r="AH346" s="17" t="str">
        <f>IF(NOT(ISBLANK(Audit[[#This Row],[Audit Candidate 4]])),Audit[[#This Row],[Audit Candidate 4]]-Audit[[#This Row],[Candidate 4]], "")</f>
        <v/>
      </c>
      <c r="AI346" s="17" t="str">
        <f>IF(NOT(ISBLANK(Audit[[#This Row],[Audit Candidate 5]])), Audit[[#This Row],[Audit Candidate 5]]-Audit[[#This Row],[Candidate 5]], "")</f>
        <v/>
      </c>
      <c r="AJ346" s="17" t="str">
        <f>IF(NOT(ISBLANK(Audit[[#This Row],[Audit Candidate 6]])), Audit[[#This Row],[Audit Candidate 6]]-Audit[[#This Row],[Candidate 6]], "")</f>
        <v/>
      </c>
      <c r="AK346" s="17" t="str">
        <f>IF(NOT(ISBLANK(Audit[[#This Row],[Audit Candidate 7]])), Audit[[#This Row],[Audit Candidate 7]]-Audit[[#This Row],[Candidate 7]], "")</f>
        <v/>
      </c>
      <c r="AL346" s="17" t="str">
        <f>IF(NOT(ISBLANK(Audit[[#This Row],[Audit Candidate 8]])), Audit[[#This Row],[Audit Candidate 8]]-Audit[[#This Row],[Candidate 8]], "")</f>
        <v/>
      </c>
      <c r="AM346" s="17" t="str">
        <f>IF(NOT(ISBLANK(Audit[[#This Row],[Audit Candidate 9]])), Audit[[#This Row],[Audit Candidate 9]]-Audit[[#This Row],[Candidate 9]], "")</f>
        <v/>
      </c>
      <c r="AN346" s="17" t="str">
        <f>IF(NOT(ISBLANK(Audit[[#This Row],[Audit Candidate 10]])), Audit[[#This Row],[Audit Candidate 10]]-Audit[[#This Row],[Candidate 10]], "")</f>
        <v/>
      </c>
      <c r="AO346" s="17" t="str">
        <f>IF(NOT(ISBLANK(Audit[[#This Row],[Audit Candidate 11]])), Audit[[#This Row],[Audit Candidate 11]]-Audit[[#This Row],[Candidate 11]], "")</f>
        <v/>
      </c>
      <c r="AP346" s="17" t="str">
        <f>IF(NOT(ISBLANK(Audit[[#This Row],[Audit Candidate 12]])), Audit[[#This Row],[Audit Candidate 12]]-Audit[[#This Row],[Candidate 12]], "")</f>
        <v/>
      </c>
      <c r="AQ346" s="17">
        <f>SUMIF(Audit[[#This Row],[Difference Winner]:[Difference Candidate 12]], "&gt;0")</f>
        <v>0</v>
      </c>
      <c r="AR346" s="17">
        <f>SUM(Audit[[#This Row],[Difference Winner]:[Difference Candidate 12]])</f>
        <v>0</v>
      </c>
      <c r="AS346" s="17">
        <f>IF(Audit[[#This Row],[Times p Drawn - With Replacement]]&gt;0, IF(Audit[[#This Row],[Canceled Differences]]&lt;0, Audit[[#This Row],[Max Differences]]+ABS(Audit[[#This Row],[Canceled Differences]]), Audit[[#This Row],[Max Differences]]), 0)</f>
        <v>0</v>
      </c>
      <c r="AT346" s="17">
        <f>'Sampling Data'!AB346</f>
        <v>1.6380920047530129E-2</v>
      </c>
      <c r="AU346" s="17">
        <f>IF(
      SUM(Audit[[#This Row],[Audit Losing Candidate]:[Audit Candidate 12]])
      &lt;&gt;0,
      (Audit[[#This Row],[Winning Candidate]]-Audit[[#This Row],[Losing Candidate]]-(Audit[[#This Row],[Audit Winning Candidate]]-Audit[[#This Row],[Audit Losing Candidate]]))/(Audit[[#Totals],[Winning Candidate]]-Audit[[#Totals],[Losing Candidate]]),
      0
)</f>
        <v>0</v>
      </c>
      <c r="AV3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6" s="17">
        <f>IF(Audit[[#This Row],[Max Relative Error (ep)]] = 0, 0, Audit[[#This Row],[Max Relative Error (ep)]]/Audit[[#This Row],[Error Bound (up) - Max. possible relative overstatement]])</f>
        <v>0</v>
      </c>
      <c r="BH3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46" s="17">
        <f t="shared" si="6"/>
        <v>1</v>
      </c>
      <c r="BJ346" s="17">
        <f>PRODUCT($BI$5:BI346)</f>
        <v>0.48901700950994259</v>
      </c>
      <c r="BK346" s="19">
        <f>1 - Audit[[#This Row],[K-M P Value]]</f>
        <v>0.51098299049005735</v>
      </c>
      <c r="BL346" s="17" t="str">
        <f>IF(Audit[[#This Row],[K-M P Value]]&gt;1-'General Info'!$B$12,"Continue", "Stop")</f>
        <v>Continue</v>
      </c>
      <c r="BM346" s="22" t="b">
        <f>IF(Audit[[#This Row],[Status - Continue or stop audit]] = "Continue", TRUE, IF(BL345 = "Continue", TRUE, FALSE))</f>
        <v>1</v>
      </c>
      <c r="BN346" s="22"/>
    </row>
    <row r="347" spans="1:66" ht="15" hidden="1" customHeight="1" x14ac:dyDescent="0.35">
      <c r="A347" s="17" t="str">
        <f>'Sampling Data'!AI347</f>
        <v/>
      </c>
      <c r="B347" s="17" t="str">
        <f>'Sampling Data'!A347</f>
        <v>5628 AND BB   (AV)</v>
      </c>
      <c r="C347" s="17">
        <f>'Sampling Data'!B347</f>
        <v>94</v>
      </c>
      <c r="D347" s="17">
        <f>'Sampling Data'!C347</f>
        <v>105</v>
      </c>
      <c r="E347" s="18">
        <f>'Sampling Data'!D347</f>
        <v>0</v>
      </c>
      <c r="F347" s="18">
        <f>'Sampling Data'!E347</f>
        <v>0</v>
      </c>
      <c r="G347" s="18">
        <f>'Sampling Data'!F347</f>
        <v>0</v>
      </c>
      <c r="H347" s="18">
        <f>'Sampling Data'!G347</f>
        <v>0</v>
      </c>
      <c r="I347" s="18">
        <f>'Sampling Data'!H347</f>
        <v>0</v>
      </c>
      <c r="J347" s="18">
        <f>'Sampling Data'!I347</f>
        <v>0</v>
      </c>
      <c r="K347" s="18">
        <f>'Sampling Data'!J347</f>
        <v>0</v>
      </c>
      <c r="L347" s="18">
        <f>'Sampling Data'!K347</f>
        <v>0</v>
      </c>
      <c r="M347" s="18">
        <f>'Sampling Data'!L347</f>
        <v>0</v>
      </c>
      <c r="N347" s="18">
        <f>'Sampling Data'!M347</f>
        <v>0</v>
      </c>
      <c r="O347" s="17">
        <f>'Sampling Data'!N347</f>
        <v>0</v>
      </c>
      <c r="P347" s="17">
        <f>'Sampling Data'!O347</f>
        <v>11</v>
      </c>
      <c r="Q347" s="17">
        <f>'Sampling Data'!P347</f>
        <v>210</v>
      </c>
      <c r="R347" s="17">
        <f>'Sampling Data'!AJ347</f>
        <v>0</v>
      </c>
      <c r="S347" s="111"/>
      <c r="T347" s="111"/>
      <c r="U347" s="112"/>
      <c r="V347" s="112"/>
      <c r="W347" s="111"/>
      <c r="X347" s="111"/>
      <c r="Y347" s="111"/>
      <c r="Z347" s="111"/>
      <c r="AA347" s="14"/>
      <c r="AB347" s="14"/>
      <c r="AC347" s="14"/>
      <c r="AD347" s="14"/>
      <c r="AE347" s="113" t="str">
        <f>IF(NOT(ISBLANK(Audit[[#This Row],[Audit Winning Candidate]])), Audit[[#This Row],[Audit Winning Candidate]]-Audit[[#This Row],[Winning Candidate]], "")</f>
        <v/>
      </c>
      <c r="AF347" s="17" t="str">
        <f>IF(NOT(ISBLANK(Audit[[#This Row],[Audit Losing Candidate]])), Audit[[#This Row],[Audit Losing Candidate]]-Audit[[#This Row],[Losing Candidate]], "")</f>
        <v/>
      </c>
      <c r="AG347" s="17" t="str">
        <f>IF(NOT(ISBLANK(Audit[[#This Row],[Audit Candidate 3]])), Audit[[#This Row],[Audit Candidate 3]]-Audit[[#This Row],[Candidate 3]], "")</f>
        <v/>
      </c>
      <c r="AH347" s="17" t="str">
        <f>IF(NOT(ISBLANK(Audit[[#This Row],[Audit Candidate 4]])),Audit[[#This Row],[Audit Candidate 4]]-Audit[[#This Row],[Candidate 4]], "")</f>
        <v/>
      </c>
      <c r="AI347" s="17" t="str">
        <f>IF(NOT(ISBLANK(Audit[[#This Row],[Audit Candidate 5]])), Audit[[#This Row],[Audit Candidate 5]]-Audit[[#This Row],[Candidate 5]], "")</f>
        <v/>
      </c>
      <c r="AJ347" s="17" t="str">
        <f>IF(NOT(ISBLANK(Audit[[#This Row],[Audit Candidate 6]])), Audit[[#This Row],[Audit Candidate 6]]-Audit[[#This Row],[Candidate 6]], "")</f>
        <v/>
      </c>
      <c r="AK347" s="17" t="str">
        <f>IF(NOT(ISBLANK(Audit[[#This Row],[Audit Candidate 7]])), Audit[[#This Row],[Audit Candidate 7]]-Audit[[#This Row],[Candidate 7]], "")</f>
        <v/>
      </c>
      <c r="AL347" s="17" t="str">
        <f>IF(NOT(ISBLANK(Audit[[#This Row],[Audit Candidate 8]])), Audit[[#This Row],[Audit Candidate 8]]-Audit[[#This Row],[Candidate 8]], "")</f>
        <v/>
      </c>
      <c r="AM347" s="17" t="str">
        <f>IF(NOT(ISBLANK(Audit[[#This Row],[Audit Candidate 9]])), Audit[[#This Row],[Audit Candidate 9]]-Audit[[#This Row],[Candidate 9]], "")</f>
        <v/>
      </c>
      <c r="AN347" s="17" t="str">
        <f>IF(NOT(ISBLANK(Audit[[#This Row],[Audit Candidate 10]])), Audit[[#This Row],[Audit Candidate 10]]-Audit[[#This Row],[Candidate 10]], "")</f>
        <v/>
      </c>
      <c r="AO347" s="17" t="str">
        <f>IF(NOT(ISBLANK(Audit[[#This Row],[Audit Candidate 11]])), Audit[[#This Row],[Audit Candidate 11]]-Audit[[#This Row],[Candidate 11]], "")</f>
        <v/>
      </c>
      <c r="AP347" s="17" t="str">
        <f>IF(NOT(ISBLANK(Audit[[#This Row],[Audit Candidate 12]])), Audit[[#This Row],[Audit Candidate 12]]-Audit[[#This Row],[Candidate 12]], "")</f>
        <v/>
      </c>
      <c r="AQ347" s="17">
        <f>SUMIF(Audit[[#This Row],[Difference Winner]:[Difference Candidate 12]], "&gt;0")</f>
        <v>0</v>
      </c>
      <c r="AR347" s="17">
        <f>SUM(Audit[[#This Row],[Difference Winner]:[Difference Candidate 12]])</f>
        <v>0</v>
      </c>
      <c r="AS347" s="17">
        <f>IF(Audit[[#This Row],[Times p Drawn - With Replacement]]&gt;0, IF(Audit[[#This Row],[Canceled Differences]]&lt;0, Audit[[#This Row],[Max Differences]]+ABS(Audit[[#This Row],[Canceled Differences]]), Audit[[#This Row],[Max Differences]]), 0)</f>
        <v>0</v>
      </c>
      <c r="AT347" s="17">
        <f>'Sampling Data'!AB347</f>
        <v>8.4450857239857409E-3</v>
      </c>
      <c r="AU347" s="17">
        <f>IF(
      SUM(Audit[[#This Row],[Audit Losing Candidate]:[Audit Candidate 12]])
      &lt;&gt;0,
      (Audit[[#This Row],[Winning Candidate]]-Audit[[#This Row],[Losing Candidate]]-(Audit[[#This Row],[Audit Winning Candidate]]-Audit[[#This Row],[Audit Losing Candidate]]))/(Audit[[#Totals],[Winning Candidate]]-Audit[[#Totals],[Losing Candidate]]),
      0
)</f>
        <v>0</v>
      </c>
      <c r="AV3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7" s="17">
        <f>IF(Audit[[#This Row],[Max Relative Error (ep)]] = 0, 0, Audit[[#This Row],[Max Relative Error (ep)]]/Audit[[#This Row],[Error Bound (up) - Max. possible relative overstatement]])</f>
        <v>0</v>
      </c>
      <c r="BH3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47" s="17">
        <f t="shared" si="6"/>
        <v>1</v>
      </c>
      <c r="BJ347" s="17">
        <f>PRODUCT($BI$5:BI347)</f>
        <v>0.48901700950994259</v>
      </c>
      <c r="BK347" s="19">
        <f>1 - Audit[[#This Row],[K-M P Value]]</f>
        <v>0.51098299049005735</v>
      </c>
      <c r="BL347" s="17" t="str">
        <f>IF(Audit[[#This Row],[K-M P Value]]&gt;1-'General Info'!$B$12,"Continue", "Stop")</f>
        <v>Continue</v>
      </c>
      <c r="BM347" s="22" t="b">
        <f>IF(Audit[[#This Row],[Status - Continue or stop audit]] = "Continue", TRUE, IF(BL346 = "Continue", TRUE, FALSE))</f>
        <v>1</v>
      </c>
      <c r="BN347" s="22"/>
    </row>
    <row r="348" spans="1:66" ht="15" hidden="1" customHeight="1" x14ac:dyDescent="0.35">
      <c r="A348" s="17" t="str">
        <f>'Sampling Data'!AI348</f>
        <v/>
      </c>
      <c r="B348" s="17" t="str">
        <f>'Sampling Data'!A348</f>
        <v>5629 AND CC   (AV)</v>
      </c>
      <c r="C348" s="17">
        <f>'Sampling Data'!B348</f>
        <v>102</v>
      </c>
      <c r="D348" s="17">
        <f>'Sampling Data'!C348</f>
        <v>109</v>
      </c>
      <c r="E348" s="18">
        <f>'Sampling Data'!D348</f>
        <v>0</v>
      </c>
      <c r="F348" s="18">
        <f>'Sampling Data'!E348</f>
        <v>0</v>
      </c>
      <c r="G348" s="18">
        <f>'Sampling Data'!F348</f>
        <v>0</v>
      </c>
      <c r="H348" s="18">
        <f>'Sampling Data'!G348</f>
        <v>0</v>
      </c>
      <c r="I348" s="18">
        <f>'Sampling Data'!H348</f>
        <v>0</v>
      </c>
      <c r="J348" s="18">
        <f>'Sampling Data'!I348</f>
        <v>0</v>
      </c>
      <c r="K348" s="18">
        <f>'Sampling Data'!J348</f>
        <v>0</v>
      </c>
      <c r="L348" s="18">
        <f>'Sampling Data'!K348</f>
        <v>0</v>
      </c>
      <c r="M348" s="18">
        <f>'Sampling Data'!L348</f>
        <v>0</v>
      </c>
      <c r="N348" s="18">
        <f>'Sampling Data'!M348</f>
        <v>0</v>
      </c>
      <c r="O348" s="17">
        <f>'Sampling Data'!N348</f>
        <v>1</v>
      </c>
      <c r="P348" s="17">
        <f>'Sampling Data'!O348</f>
        <v>17</v>
      </c>
      <c r="Q348" s="17">
        <f>'Sampling Data'!P348</f>
        <v>229</v>
      </c>
      <c r="R348" s="17">
        <f>'Sampling Data'!AJ348</f>
        <v>0</v>
      </c>
      <c r="S348" s="111"/>
      <c r="T348" s="111"/>
      <c r="U348" s="112"/>
      <c r="V348" s="112"/>
      <c r="W348" s="111"/>
      <c r="X348" s="111"/>
      <c r="Y348" s="111"/>
      <c r="Z348" s="111"/>
      <c r="AA348" s="14"/>
      <c r="AB348" s="14"/>
      <c r="AC348" s="14"/>
      <c r="AD348" s="14"/>
      <c r="AE348" s="113" t="str">
        <f>IF(NOT(ISBLANK(Audit[[#This Row],[Audit Winning Candidate]])), Audit[[#This Row],[Audit Winning Candidate]]-Audit[[#This Row],[Winning Candidate]], "")</f>
        <v/>
      </c>
      <c r="AF348" s="17" t="str">
        <f>IF(NOT(ISBLANK(Audit[[#This Row],[Audit Losing Candidate]])), Audit[[#This Row],[Audit Losing Candidate]]-Audit[[#This Row],[Losing Candidate]], "")</f>
        <v/>
      </c>
      <c r="AG348" s="17" t="str">
        <f>IF(NOT(ISBLANK(Audit[[#This Row],[Audit Candidate 3]])), Audit[[#This Row],[Audit Candidate 3]]-Audit[[#This Row],[Candidate 3]], "")</f>
        <v/>
      </c>
      <c r="AH348" s="17" t="str">
        <f>IF(NOT(ISBLANK(Audit[[#This Row],[Audit Candidate 4]])),Audit[[#This Row],[Audit Candidate 4]]-Audit[[#This Row],[Candidate 4]], "")</f>
        <v/>
      </c>
      <c r="AI348" s="17" t="str">
        <f>IF(NOT(ISBLANK(Audit[[#This Row],[Audit Candidate 5]])), Audit[[#This Row],[Audit Candidate 5]]-Audit[[#This Row],[Candidate 5]], "")</f>
        <v/>
      </c>
      <c r="AJ348" s="17" t="str">
        <f>IF(NOT(ISBLANK(Audit[[#This Row],[Audit Candidate 6]])), Audit[[#This Row],[Audit Candidate 6]]-Audit[[#This Row],[Candidate 6]], "")</f>
        <v/>
      </c>
      <c r="AK348" s="17" t="str">
        <f>IF(NOT(ISBLANK(Audit[[#This Row],[Audit Candidate 7]])), Audit[[#This Row],[Audit Candidate 7]]-Audit[[#This Row],[Candidate 7]], "")</f>
        <v/>
      </c>
      <c r="AL348" s="17" t="str">
        <f>IF(NOT(ISBLANK(Audit[[#This Row],[Audit Candidate 8]])), Audit[[#This Row],[Audit Candidate 8]]-Audit[[#This Row],[Candidate 8]], "")</f>
        <v/>
      </c>
      <c r="AM348" s="17" t="str">
        <f>IF(NOT(ISBLANK(Audit[[#This Row],[Audit Candidate 9]])), Audit[[#This Row],[Audit Candidate 9]]-Audit[[#This Row],[Candidate 9]], "")</f>
        <v/>
      </c>
      <c r="AN348" s="17" t="str">
        <f>IF(NOT(ISBLANK(Audit[[#This Row],[Audit Candidate 10]])), Audit[[#This Row],[Audit Candidate 10]]-Audit[[#This Row],[Candidate 10]], "")</f>
        <v/>
      </c>
      <c r="AO348" s="17" t="str">
        <f>IF(NOT(ISBLANK(Audit[[#This Row],[Audit Candidate 11]])), Audit[[#This Row],[Audit Candidate 11]]-Audit[[#This Row],[Candidate 11]], "")</f>
        <v/>
      </c>
      <c r="AP348" s="17" t="str">
        <f>IF(NOT(ISBLANK(Audit[[#This Row],[Audit Candidate 12]])), Audit[[#This Row],[Audit Candidate 12]]-Audit[[#This Row],[Candidate 12]], "")</f>
        <v/>
      </c>
      <c r="AQ348" s="17">
        <f>SUMIF(Audit[[#This Row],[Difference Winner]:[Difference Candidate 12]], "&gt;0")</f>
        <v>0</v>
      </c>
      <c r="AR348" s="17">
        <f>SUM(Audit[[#This Row],[Difference Winner]:[Difference Candidate 12]])</f>
        <v>0</v>
      </c>
      <c r="AS348" s="17">
        <f>IF(Audit[[#This Row],[Times p Drawn - With Replacement]]&gt;0, IF(Audit[[#This Row],[Canceled Differences]]&lt;0, Audit[[#This Row],[Max Differences]]+ABS(Audit[[#This Row],[Canceled Differences]]), Audit[[#This Row],[Max Differences]]), 0)</f>
        <v>0</v>
      </c>
      <c r="AT348" s="17">
        <f>'Sampling Data'!AB348</f>
        <v>9.4211509081649977E-3</v>
      </c>
      <c r="AU348" s="17">
        <f>IF(
      SUM(Audit[[#This Row],[Audit Losing Candidate]:[Audit Candidate 12]])
      &lt;&gt;0,
      (Audit[[#This Row],[Winning Candidate]]-Audit[[#This Row],[Losing Candidate]]-(Audit[[#This Row],[Audit Winning Candidate]]-Audit[[#This Row],[Audit Losing Candidate]]))/(Audit[[#Totals],[Winning Candidate]]-Audit[[#Totals],[Losing Candidate]]),
      0
)</f>
        <v>0</v>
      </c>
      <c r="AV3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8" s="17">
        <f>IF(Audit[[#This Row],[Max Relative Error (ep)]] = 0, 0, Audit[[#This Row],[Max Relative Error (ep)]]/Audit[[#This Row],[Error Bound (up) - Max. possible relative overstatement]])</f>
        <v>0</v>
      </c>
      <c r="BH3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48" s="17">
        <f t="shared" si="6"/>
        <v>1</v>
      </c>
      <c r="BJ348" s="17">
        <f>PRODUCT($BI$5:BI348)</f>
        <v>0.48901700950994259</v>
      </c>
      <c r="BK348" s="19">
        <f>1 - Audit[[#This Row],[K-M P Value]]</f>
        <v>0.51098299049005735</v>
      </c>
      <c r="BL348" s="17" t="str">
        <f>IF(Audit[[#This Row],[K-M P Value]]&gt;1-'General Info'!$B$12,"Continue", "Stop")</f>
        <v>Continue</v>
      </c>
      <c r="BM348" s="22" t="b">
        <f>IF(Audit[[#This Row],[Status - Continue or stop audit]] = "Continue", TRUE, IF(BL347 = "Continue", TRUE, FALSE))</f>
        <v>1</v>
      </c>
      <c r="BN348" s="22"/>
    </row>
    <row r="349" spans="1:66" ht="15" hidden="1" customHeight="1" x14ac:dyDescent="0.35">
      <c r="A349" s="17" t="str">
        <f>'Sampling Data'!AI349</f>
        <v/>
      </c>
      <c r="B349" s="17" t="str">
        <f>'Sampling Data'!A349</f>
        <v>5630 AND DD   (AV)</v>
      </c>
      <c r="C349" s="17">
        <f>'Sampling Data'!B349</f>
        <v>153</v>
      </c>
      <c r="D349" s="17">
        <f>'Sampling Data'!C349</f>
        <v>143</v>
      </c>
      <c r="E349" s="18">
        <f>'Sampling Data'!D349</f>
        <v>0</v>
      </c>
      <c r="F349" s="18">
        <f>'Sampling Data'!E349</f>
        <v>0</v>
      </c>
      <c r="G349" s="18">
        <f>'Sampling Data'!F349</f>
        <v>0</v>
      </c>
      <c r="H349" s="18">
        <f>'Sampling Data'!G349</f>
        <v>0</v>
      </c>
      <c r="I349" s="18">
        <f>'Sampling Data'!H349</f>
        <v>0</v>
      </c>
      <c r="J349" s="18">
        <f>'Sampling Data'!I349</f>
        <v>0</v>
      </c>
      <c r="K349" s="18">
        <f>'Sampling Data'!J349</f>
        <v>0</v>
      </c>
      <c r="L349" s="18">
        <f>'Sampling Data'!K349</f>
        <v>0</v>
      </c>
      <c r="M349" s="18">
        <f>'Sampling Data'!L349</f>
        <v>0</v>
      </c>
      <c r="N349" s="18">
        <f>'Sampling Data'!M349</f>
        <v>0</v>
      </c>
      <c r="O349" s="17">
        <f>'Sampling Data'!N349</f>
        <v>0</v>
      </c>
      <c r="P349" s="17">
        <f>'Sampling Data'!O349</f>
        <v>9</v>
      </c>
      <c r="Q349" s="17">
        <f>'Sampling Data'!P349</f>
        <v>305</v>
      </c>
      <c r="R349" s="17">
        <f>'Sampling Data'!AJ349</f>
        <v>0</v>
      </c>
      <c r="S349" s="111"/>
      <c r="T349" s="111"/>
      <c r="U349" s="112"/>
      <c r="V349" s="112"/>
      <c r="W349" s="111"/>
      <c r="X349" s="111"/>
      <c r="Y349" s="111"/>
      <c r="Z349" s="111"/>
      <c r="AA349" s="14"/>
      <c r="AB349" s="14"/>
      <c r="AC349" s="14"/>
      <c r="AD349" s="14"/>
      <c r="AE349" s="113" t="str">
        <f>IF(NOT(ISBLANK(Audit[[#This Row],[Audit Winning Candidate]])), Audit[[#This Row],[Audit Winning Candidate]]-Audit[[#This Row],[Winning Candidate]], "")</f>
        <v/>
      </c>
      <c r="AF349" s="17" t="str">
        <f>IF(NOT(ISBLANK(Audit[[#This Row],[Audit Losing Candidate]])), Audit[[#This Row],[Audit Losing Candidate]]-Audit[[#This Row],[Losing Candidate]], "")</f>
        <v/>
      </c>
      <c r="AG349" s="17" t="str">
        <f>IF(NOT(ISBLANK(Audit[[#This Row],[Audit Candidate 3]])), Audit[[#This Row],[Audit Candidate 3]]-Audit[[#This Row],[Candidate 3]], "")</f>
        <v/>
      </c>
      <c r="AH349" s="17" t="str">
        <f>IF(NOT(ISBLANK(Audit[[#This Row],[Audit Candidate 4]])),Audit[[#This Row],[Audit Candidate 4]]-Audit[[#This Row],[Candidate 4]], "")</f>
        <v/>
      </c>
      <c r="AI349" s="17" t="str">
        <f>IF(NOT(ISBLANK(Audit[[#This Row],[Audit Candidate 5]])), Audit[[#This Row],[Audit Candidate 5]]-Audit[[#This Row],[Candidate 5]], "")</f>
        <v/>
      </c>
      <c r="AJ349" s="17" t="str">
        <f>IF(NOT(ISBLANK(Audit[[#This Row],[Audit Candidate 6]])), Audit[[#This Row],[Audit Candidate 6]]-Audit[[#This Row],[Candidate 6]], "")</f>
        <v/>
      </c>
      <c r="AK349" s="17" t="str">
        <f>IF(NOT(ISBLANK(Audit[[#This Row],[Audit Candidate 7]])), Audit[[#This Row],[Audit Candidate 7]]-Audit[[#This Row],[Candidate 7]], "")</f>
        <v/>
      </c>
      <c r="AL349" s="17" t="str">
        <f>IF(NOT(ISBLANK(Audit[[#This Row],[Audit Candidate 8]])), Audit[[#This Row],[Audit Candidate 8]]-Audit[[#This Row],[Candidate 8]], "")</f>
        <v/>
      </c>
      <c r="AM349" s="17" t="str">
        <f>IF(NOT(ISBLANK(Audit[[#This Row],[Audit Candidate 9]])), Audit[[#This Row],[Audit Candidate 9]]-Audit[[#This Row],[Candidate 9]], "")</f>
        <v/>
      </c>
      <c r="AN349" s="17" t="str">
        <f>IF(NOT(ISBLANK(Audit[[#This Row],[Audit Candidate 10]])), Audit[[#This Row],[Audit Candidate 10]]-Audit[[#This Row],[Candidate 10]], "")</f>
        <v/>
      </c>
      <c r="AO349" s="17" t="str">
        <f>IF(NOT(ISBLANK(Audit[[#This Row],[Audit Candidate 11]])), Audit[[#This Row],[Audit Candidate 11]]-Audit[[#This Row],[Candidate 11]], "")</f>
        <v/>
      </c>
      <c r="AP349" s="17" t="str">
        <f>IF(NOT(ISBLANK(Audit[[#This Row],[Audit Candidate 12]])), Audit[[#This Row],[Audit Candidate 12]]-Audit[[#This Row],[Candidate 12]], "")</f>
        <v/>
      </c>
      <c r="AQ349" s="17">
        <f>SUMIF(Audit[[#This Row],[Difference Winner]:[Difference Candidate 12]], "&gt;0")</f>
        <v>0</v>
      </c>
      <c r="AR349" s="17">
        <f>SUM(Audit[[#This Row],[Difference Winner]:[Difference Candidate 12]])</f>
        <v>0</v>
      </c>
      <c r="AS349" s="17">
        <f>IF(Audit[[#This Row],[Times p Drawn - With Replacement]]&gt;0, IF(Audit[[#This Row],[Canceled Differences]]&lt;0, Audit[[#This Row],[Max Differences]]+ABS(Audit[[#This Row],[Canceled Differences]]), Audit[[#This Row],[Max Differences]]), 0)</f>
        <v>0</v>
      </c>
      <c r="AT349" s="17">
        <f>'Sampling Data'!AB349</f>
        <v>1.336784926158547E-2</v>
      </c>
      <c r="AU349" s="17">
        <f>IF(
      SUM(Audit[[#This Row],[Audit Losing Candidate]:[Audit Candidate 12]])
      &lt;&gt;0,
      (Audit[[#This Row],[Winning Candidate]]-Audit[[#This Row],[Losing Candidate]]-(Audit[[#This Row],[Audit Winning Candidate]]-Audit[[#This Row],[Audit Losing Candidate]]))/(Audit[[#Totals],[Winning Candidate]]-Audit[[#Totals],[Losing Candidate]]),
      0
)</f>
        <v>0</v>
      </c>
      <c r="AV3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9" s="17">
        <f>IF(Audit[[#This Row],[Max Relative Error (ep)]] = 0, 0, Audit[[#This Row],[Max Relative Error (ep)]]/Audit[[#This Row],[Error Bound (up) - Max. possible relative overstatement]])</f>
        <v>0</v>
      </c>
      <c r="BH3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49" s="17">
        <f t="shared" si="6"/>
        <v>1</v>
      </c>
      <c r="BJ349" s="17">
        <f>PRODUCT($BI$5:BI349)</f>
        <v>0.48901700950994259</v>
      </c>
      <c r="BK349" s="19">
        <f>1 - Audit[[#This Row],[K-M P Value]]</f>
        <v>0.51098299049005735</v>
      </c>
      <c r="BL349" s="17" t="str">
        <f>IF(Audit[[#This Row],[K-M P Value]]&gt;1-'General Info'!$B$12,"Continue", "Stop")</f>
        <v>Continue</v>
      </c>
      <c r="BM349" s="22" t="b">
        <f>IF(Audit[[#This Row],[Status - Continue or stop audit]] = "Continue", TRUE, IF(BL348 = "Continue", TRUE, FALSE))</f>
        <v>1</v>
      </c>
      <c r="BN349" s="22"/>
    </row>
    <row r="350" spans="1:66" ht="15" hidden="1" customHeight="1" x14ac:dyDescent="0.35">
      <c r="A350" s="17" t="str">
        <f>'Sampling Data'!AI350</f>
        <v/>
      </c>
      <c r="B350" s="17" t="str">
        <f>'Sampling Data'!A350</f>
        <v>5631 AND EE   (AV)</v>
      </c>
      <c r="C350" s="17">
        <f>'Sampling Data'!B350</f>
        <v>102</v>
      </c>
      <c r="D350" s="17">
        <f>'Sampling Data'!C350</f>
        <v>100</v>
      </c>
      <c r="E350" s="18">
        <f>'Sampling Data'!D350</f>
        <v>0</v>
      </c>
      <c r="F350" s="18">
        <f>'Sampling Data'!E350</f>
        <v>0</v>
      </c>
      <c r="G350" s="18">
        <f>'Sampling Data'!F350</f>
        <v>0</v>
      </c>
      <c r="H350" s="18">
        <f>'Sampling Data'!G350</f>
        <v>0</v>
      </c>
      <c r="I350" s="18">
        <f>'Sampling Data'!H350</f>
        <v>0</v>
      </c>
      <c r="J350" s="18">
        <f>'Sampling Data'!I350</f>
        <v>0</v>
      </c>
      <c r="K350" s="18">
        <f>'Sampling Data'!J350</f>
        <v>0</v>
      </c>
      <c r="L350" s="18">
        <f>'Sampling Data'!K350</f>
        <v>0</v>
      </c>
      <c r="M350" s="18">
        <f>'Sampling Data'!L350</f>
        <v>0</v>
      </c>
      <c r="N350" s="18">
        <f>'Sampling Data'!M350</f>
        <v>0</v>
      </c>
      <c r="O350" s="17">
        <f>'Sampling Data'!N350</f>
        <v>0</v>
      </c>
      <c r="P350" s="17">
        <f>'Sampling Data'!O350</f>
        <v>10</v>
      </c>
      <c r="Q350" s="17">
        <f>'Sampling Data'!P350</f>
        <v>212</v>
      </c>
      <c r="R350" s="17">
        <f>'Sampling Data'!AJ350</f>
        <v>0</v>
      </c>
      <c r="S350" s="111"/>
      <c r="T350" s="111"/>
      <c r="U350" s="112"/>
      <c r="V350" s="112"/>
      <c r="W350" s="111"/>
      <c r="X350" s="111"/>
      <c r="Y350" s="111"/>
      <c r="Z350" s="111"/>
      <c r="AA350" s="14"/>
      <c r="AB350" s="14"/>
      <c r="AC350" s="14"/>
      <c r="AD350" s="14"/>
      <c r="AE350" s="113" t="str">
        <f>IF(NOT(ISBLANK(Audit[[#This Row],[Audit Winning Candidate]])), Audit[[#This Row],[Audit Winning Candidate]]-Audit[[#This Row],[Winning Candidate]], "")</f>
        <v/>
      </c>
      <c r="AF350" s="17" t="str">
        <f>IF(NOT(ISBLANK(Audit[[#This Row],[Audit Losing Candidate]])), Audit[[#This Row],[Audit Losing Candidate]]-Audit[[#This Row],[Losing Candidate]], "")</f>
        <v/>
      </c>
      <c r="AG350" s="17" t="str">
        <f>IF(NOT(ISBLANK(Audit[[#This Row],[Audit Candidate 3]])), Audit[[#This Row],[Audit Candidate 3]]-Audit[[#This Row],[Candidate 3]], "")</f>
        <v/>
      </c>
      <c r="AH350" s="17" t="str">
        <f>IF(NOT(ISBLANK(Audit[[#This Row],[Audit Candidate 4]])),Audit[[#This Row],[Audit Candidate 4]]-Audit[[#This Row],[Candidate 4]], "")</f>
        <v/>
      </c>
      <c r="AI350" s="17" t="str">
        <f>IF(NOT(ISBLANK(Audit[[#This Row],[Audit Candidate 5]])), Audit[[#This Row],[Audit Candidate 5]]-Audit[[#This Row],[Candidate 5]], "")</f>
        <v/>
      </c>
      <c r="AJ350" s="17" t="str">
        <f>IF(NOT(ISBLANK(Audit[[#This Row],[Audit Candidate 6]])), Audit[[#This Row],[Audit Candidate 6]]-Audit[[#This Row],[Candidate 6]], "")</f>
        <v/>
      </c>
      <c r="AK350" s="17" t="str">
        <f>IF(NOT(ISBLANK(Audit[[#This Row],[Audit Candidate 7]])), Audit[[#This Row],[Audit Candidate 7]]-Audit[[#This Row],[Candidate 7]], "")</f>
        <v/>
      </c>
      <c r="AL350" s="17" t="str">
        <f>IF(NOT(ISBLANK(Audit[[#This Row],[Audit Candidate 8]])), Audit[[#This Row],[Audit Candidate 8]]-Audit[[#This Row],[Candidate 8]], "")</f>
        <v/>
      </c>
      <c r="AM350" s="17" t="str">
        <f>IF(NOT(ISBLANK(Audit[[#This Row],[Audit Candidate 9]])), Audit[[#This Row],[Audit Candidate 9]]-Audit[[#This Row],[Candidate 9]], "")</f>
        <v/>
      </c>
      <c r="AN350" s="17" t="str">
        <f>IF(NOT(ISBLANK(Audit[[#This Row],[Audit Candidate 10]])), Audit[[#This Row],[Audit Candidate 10]]-Audit[[#This Row],[Candidate 10]], "")</f>
        <v/>
      </c>
      <c r="AO350" s="17" t="str">
        <f>IF(NOT(ISBLANK(Audit[[#This Row],[Audit Candidate 11]])), Audit[[#This Row],[Audit Candidate 11]]-Audit[[#This Row],[Candidate 11]], "")</f>
        <v/>
      </c>
      <c r="AP350" s="17" t="str">
        <f>IF(NOT(ISBLANK(Audit[[#This Row],[Audit Candidate 12]])), Audit[[#This Row],[Audit Candidate 12]]-Audit[[#This Row],[Candidate 12]], "")</f>
        <v/>
      </c>
      <c r="AQ350" s="17">
        <f>SUMIF(Audit[[#This Row],[Difference Winner]:[Difference Candidate 12]], "&gt;0")</f>
        <v>0</v>
      </c>
      <c r="AR350" s="17">
        <f>SUM(Audit[[#This Row],[Difference Winner]:[Difference Candidate 12]])</f>
        <v>0</v>
      </c>
      <c r="AS350" s="17">
        <f>IF(Audit[[#This Row],[Times p Drawn - With Replacement]]&gt;0, IF(Audit[[#This Row],[Canceled Differences]]&lt;0, Audit[[#This Row],[Max Differences]]+ABS(Audit[[#This Row],[Canceled Differences]]), Audit[[#This Row],[Max Differences]]), 0)</f>
        <v>0</v>
      </c>
      <c r="AT350" s="17">
        <f>'Sampling Data'!AB350</f>
        <v>9.0816499745374306E-3</v>
      </c>
      <c r="AU350" s="17">
        <f>IF(
      SUM(Audit[[#This Row],[Audit Losing Candidate]:[Audit Candidate 12]])
      &lt;&gt;0,
      (Audit[[#This Row],[Winning Candidate]]-Audit[[#This Row],[Losing Candidate]]-(Audit[[#This Row],[Audit Winning Candidate]]-Audit[[#This Row],[Audit Losing Candidate]]))/(Audit[[#Totals],[Winning Candidate]]-Audit[[#Totals],[Losing Candidate]]),
      0
)</f>
        <v>0</v>
      </c>
      <c r="AV3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0" s="17">
        <f>IF(Audit[[#This Row],[Max Relative Error (ep)]] = 0, 0, Audit[[#This Row],[Max Relative Error (ep)]]/Audit[[#This Row],[Error Bound (up) - Max. possible relative overstatement]])</f>
        <v>0</v>
      </c>
      <c r="BH3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50" s="17">
        <f t="shared" si="6"/>
        <v>1</v>
      </c>
      <c r="BJ350" s="17">
        <f>PRODUCT($BI$5:BI350)</f>
        <v>0.48901700950994259</v>
      </c>
      <c r="BK350" s="19">
        <f>1 - Audit[[#This Row],[K-M P Value]]</f>
        <v>0.51098299049005735</v>
      </c>
      <c r="BL350" s="17" t="str">
        <f>IF(Audit[[#This Row],[K-M P Value]]&gt;1-'General Info'!$B$12,"Continue", "Stop")</f>
        <v>Continue</v>
      </c>
      <c r="BM350" s="22" t="b">
        <f>IF(Audit[[#This Row],[Status - Continue or stop audit]] = "Continue", TRUE, IF(BL349 = "Continue", TRUE, FALSE))</f>
        <v>1</v>
      </c>
      <c r="BN350" s="22"/>
    </row>
    <row r="351" spans="1:66" ht="15" hidden="1" customHeight="1" x14ac:dyDescent="0.35">
      <c r="A351" s="17" t="str">
        <f>'Sampling Data'!AI351</f>
        <v/>
      </c>
      <c r="B351" s="17" t="str">
        <f>'Sampling Data'!A351</f>
        <v>5632 AND FF   (AV)</v>
      </c>
      <c r="C351" s="17">
        <f>'Sampling Data'!B351</f>
        <v>203</v>
      </c>
      <c r="D351" s="17">
        <f>'Sampling Data'!C351</f>
        <v>197</v>
      </c>
      <c r="E351" s="18">
        <f>'Sampling Data'!D351</f>
        <v>0</v>
      </c>
      <c r="F351" s="18">
        <f>'Sampling Data'!E351</f>
        <v>0</v>
      </c>
      <c r="G351" s="18">
        <f>'Sampling Data'!F351</f>
        <v>0</v>
      </c>
      <c r="H351" s="18">
        <f>'Sampling Data'!G351</f>
        <v>0</v>
      </c>
      <c r="I351" s="18">
        <f>'Sampling Data'!H351</f>
        <v>0</v>
      </c>
      <c r="J351" s="18">
        <f>'Sampling Data'!I351</f>
        <v>0</v>
      </c>
      <c r="K351" s="18">
        <f>'Sampling Data'!J351</f>
        <v>0</v>
      </c>
      <c r="L351" s="18">
        <f>'Sampling Data'!K351</f>
        <v>0</v>
      </c>
      <c r="M351" s="18">
        <f>'Sampling Data'!L351</f>
        <v>0</v>
      </c>
      <c r="N351" s="18">
        <f>'Sampling Data'!M351</f>
        <v>0</v>
      </c>
      <c r="O351" s="17">
        <f>'Sampling Data'!N351</f>
        <v>0</v>
      </c>
      <c r="P351" s="17">
        <f>'Sampling Data'!O351</f>
        <v>24</v>
      </c>
      <c r="Q351" s="17">
        <f>'Sampling Data'!P351</f>
        <v>424</v>
      </c>
      <c r="R351" s="17">
        <f>'Sampling Data'!AJ351</f>
        <v>0</v>
      </c>
      <c r="S351" s="111"/>
      <c r="T351" s="111"/>
      <c r="U351" s="112"/>
      <c r="V351" s="112"/>
      <c r="W351" s="111"/>
      <c r="X351" s="111"/>
      <c r="Y351" s="111"/>
      <c r="Z351" s="111"/>
      <c r="AA351" s="14"/>
      <c r="AB351" s="14"/>
      <c r="AC351" s="14"/>
      <c r="AD351" s="14"/>
      <c r="AE351" s="113" t="str">
        <f>IF(NOT(ISBLANK(Audit[[#This Row],[Audit Winning Candidate]])), Audit[[#This Row],[Audit Winning Candidate]]-Audit[[#This Row],[Winning Candidate]], "")</f>
        <v/>
      </c>
      <c r="AF351" s="17" t="str">
        <f>IF(NOT(ISBLANK(Audit[[#This Row],[Audit Losing Candidate]])), Audit[[#This Row],[Audit Losing Candidate]]-Audit[[#This Row],[Losing Candidate]], "")</f>
        <v/>
      </c>
      <c r="AG351" s="17" t="str">
        <f>IF(NOT(ISBLANK(Audit[[#This Row],[Audit Candidate 3]])), Audit[[#This Row],[Audit Candidate 3]]-Audit[[#This Row],[Candidate 3]], "")</f>
        <v/>
      </c>
      <c r="AH351" s="17" t="str">
        <f>IF(NOT(ISBLANK(Audit[[#This Row],[Audit Candidate 4]])),Audit[[#This Row],[Audit Candidate 4]]-Audit[[#This Row],[Candidate 4]], "")</f>
        <v/>
      </c>
      <c r="AI351" s="17" t="str">
        <f>IF(NOT(ISBLANK(Audit[[#This Row],[Audit Candidate 5]])), Audit[[#This Row],[Audit Candidate 5]]-Audit[[#This Row],[Candidate 5]], "")</f>
        <v/>
      </c>
      <c r="AJ351" s="17" t="str">
        <f>IF(NOT(ISBLANK(Audit[[#This Row],[Audit Candidate 6]])), Audit[[#This Row],[Audit Candidate 6]]-Audit[[#This Row],[Candidate 6]], "")</f>
        <v/>
      </c>
      <c r="AK351" s="17" t="str">
        <f>IF(NOT(ISBLANK(Audit[[#This Row],[Audit Candidate 7]])), Audit[[#This Row],[Audit Candidate 7]]-Audit[[#This Row],[Candidate 7]], "")</f>
        <v/>
      </c>
      <c r="AL351" s="17" t="str">
        <f>IF(NOT(ISBLANK(Audit[[#This Row],[Audit Candidate 8]])), Audit[[#This Row],[Audit Candidate 8]]-Audit[[#This Row],[Candidate 8]], "")</f>
        <v/>
      </c>
      <c r="AM351" s="17" t="str">
        <f>IF(NOT(ISBLANK(Audit[[#This Row],[Audit Candidate 9]])), Audit[[#This Row],[Audit Candidate 9]]-Audit[[#This Row],[Candidate 9]], "")</f>
        <v/>
      </c>
      <c r="AN351" s="17" t="str">
        <f>IF(NOT(ISBLANK(Audit[[#This Row],[Audit Candidate 10]])), Audit[[#This Row],[Audit Candidate 10]]-Audit[[#This Row],[Candidate 10]], "")</f>
        <v/>
      </c>
      <c r="AO351" s="17" t="str">
        <f>IF(NOT(ISBLANK(Audit[[#This Row],[Audit Candidate 11]])), Audit[[#This Row],[Audit Candidate 11]]-Audit[[#This Row],[Candidate 11]], "")</f>
        <v/>
      </c>
      <c r="AP351" s="17" t="str">
        <f>IF(NOT(ISBLANK(Audit[[#This Row],[Audit Candidate 12]])), Audit[[#This Row],[Audit Candidate 12]]-Audit[[#This Row],[Candidate 12]], "")</f>
        <v/>
      </c>
      <c r="AQ351" s="17">
        <f>SUMIF(Audit[[#This Row],[Difference Winner]:[Difference Candidate 12]], "&gt;0")</f>
        <v>0</v>
      </c>
      <c r="AR351" s="17">
        <f>SUM(Audit[[#This Row],[Difference Winner]:[Difference Candidate 12]])</f>
        <v>0</v>
      </c>
      <c r="AS351" s="17">
        <f>IF(Audit[[#This Row],[Times p Drawn - With Replacement]]&gt;0, IF(Audit[[#This Row],[Canceled Differences]]&lt;0, Audit[[#This Row],[Max Differences]]+ABS(Audit[[#This Row],[Canceled Differences]]), Audit[[#This Row],[Max Differences]]), 0)</f>
        <v>0</v>
      </c>
      <c r="AT351" s="17">
        <f>'Sampling Data'!AB351</f>
        <v>1.824817518248175E-2</v>
      </c>
      <c r="AU351" s="17">
        <f>IF(
      SUM(Audit[[#This Row],[Audit Losing Candidate]:[Audit Candidate 12]])
      &lt;&gt;0,
      (Audit[[#This Row],[Winning Candidate]]-Audit[[#This Row],[Losing Candidate]]-(Audit[[#This Row],[Audit Winning Candidate]]-Audit[[#This Row],[Audit Losing Candidate]]))/(Audit[[#Totals],[Winning Candidate]]-Audit[[#Totals],[Losing Candidate]]),
      0
)</f>
        <v>0</v>
      </c>
      <c r="AV3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1" s="17">
        <f>IF(Audit[[#This Row],[Max Relative Error (ep)]] = 0, 0, Audit[[#This Row],[Max Relative Error (ep)]]/Audit[[#This Row],[Error Bound (up) - Max. possible relative overstatement]])</f>
        <v>0</v>
      </c>
      <c r="BH3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51" s="17">
        <f t="shared" si="6"/>
        <v>1</v>
      </c>
      <c r="BJ351" s="17">
        <f>PRODUCT($BI$5:BI351)</f>
        <v>0.48901700950994259</v>
      </c>
      <c r="BK351" s="19">
        <f>1 - Audit[[#This Row],[K-M P Value]]</f>
        <v>0.51098299049005735</v>
      </c>
      <c r="BL351" s="17" t="str">
        <f>IF(Audit[[#This Row],[K-M P Value]]&gt;1-'General Info'!$B$12,"Continue", "Stop")</f>
        <v>Continue</v>
      </c>
      <c r="BM351" s="22" t="b">
        <f>IF(Audit[[#This Row],[Status - Continue or stop audit]] = "Continue", TRUE, IF(BL350 = "Continue", TRUE, FALSE))</f>
        <v>1</v>
      </c>
      <c r="BN351" s="22"/>
    </row>
    <row r="352" spans="1:66" ht="15" hidden="1" customHeight="1" x14ac:dyDescent="0.35">
      <c r="A352" s="17" t="str">
        <f>'Sampling Data'!AI352</f>
        <v/>
      </c>
      <c r="B352" s="17" t="str">
        <f>'Sampling Data'!A352</f>
        <v>5801 ARLN A   (AV)</v>
      </c>
      <c r="C352" s="17">
        <f>'Sampling Data'!B352</f>
        <v>29</v>
      </c>
      <c r="D352" s="17">
        <f>'Sampling Data'!C352</f>
        <v>29</v>
      </c>
      <c r="E352" s="18">
        <f>'Sampling Data'!D352</f>
        <v>0</v>
      </c>
      <c r="F352" s="18">
        <f>'Sampling Data'!E352</f>
        <v>0</v>
      </c>
      <c r="G352" s="18">
        <f>'Sampling Data'!F352</f>
        <v>0</v>
      </c>
      <c r="H352" s="18">
        <f>'Sampling Data'!G352</f>
        <v>0</v>
      </c>
      <c r="I352" s="18">
        <f>'Sampling Data'!H352</f>
        <v>0</v>
      </c>
      <c r="J352" s="18">
        <f>'Sampling Data'!I352</f>
        <v>0</v>
      </c>
      <c r="K352" s="18">
        <f>'Sampling Data'!J352</f>
        <v>0</v>
      </c>
      <c r="L352" s="18">
        <f>'Sampling Data'!K352</f>
        <v>0</v>
      </c>
      <c r="M352" s="18">
        <f>'Sampling Data'!L352</f>
        <v>0</v>
      </c>
      <c r="N352" s="18">
        <f>'Sampling Data'!M352</f>
        <v>0</v>
      </c>
      <c r="O352" s="17">
        <f>'Sampling Data'!N352</f>
        <v>0</v>
      </c>
      <c r="P352" s="17">
        <f>'Sampling Data'!O352</f>
        <v>1</v>
      </c>
      <c r="Q352" s="17">
        <f>'Sampling Data'!P352</f>
        <v>59</v>
      </c>
      <c r="R352" s="17">
        <f>'Sampling Data'!AJ352</f>
        <v>0</v>
      </c>
      <c r="S352" s="111"/>
      <c r="T352" s="111"/>
      <c r="U352" s="112"/>
      <c r="V352" s="112"/>
      <c r="W352" s="111"/>
      <c r="X352" s="111"/>
      <c r="Y352" s="111"/>
      <c r="Z352" s="111"/>
      <c r="AA352" s="14"/>
      <c r="AB352" s="14"/>
      <c r="AC352" s="14"/>
      <c r="AD352" s="14"/>
      <c r="AE352" s="113" t="str">
        <f>IF(NOT(ISBLANK(Audit[[#This Row],[Audit Winning Candidate]])), Audit[[#This Row],[Audit Winning Candidate]]-Audit[[#This Row],[Winning Candidate]], "")</f>
        <v/>
      </c>
      <c r="AF352" s="17" t="str">
        <f>IF(NOT(ISBLANK(Audit[[#This Row],[Audit Losing Candidate]])), Audit[[#This Row],[Audit Losing Candidate]]-Audit[[#This Row],[Losing Candidate]], "")</f>
        <v/>
      </c>
      <c r="AG352" s="17" t="str">
        <f>IF(NOT(ISBLANK(Audit[[#This Row],[Audit Candidate 3]])), Audit[[#This Row],[Audit Candidate 3]]-Audit[[#This Row],[Candidate 3]], "")</f>
        <v/>
      </c>
      <c r="AH352" s="17" t="str">
        <f>IF(NOT(ISBLANK(Audit[[#This Row],[Audit Candidate 4]])),Audit[[#This Row],[Audit Candidate 4]]-Audit[[#This Row],[Candidate 4]], "")</f>
        <v/>
      </c>
      <c r="AI352" s="17" t="str">
        <f>IF(NOT(ISBLANK(Audit[[#This Row],[Audit Candidate 5]])), Audit[[#This Row],[Audit Candidate 5]]-Audit[[#This Row],[Candidate 5]], "")</f>
        <v/>
      </c>
      <c r="AJ352" s="17" t="str">
        <f>IF(NOT(ISBLANK(Audit[[#This Row],[Audit Candidate 6]])), Audit[[#This Row],[Audit Candidate 6]]-Audit[[#This Row],[Candidate 6]], "")</f>
        <v/>
      </c>
      <c r="AK352" s="17" t="str">
        <f>IF(NOT(ISBLANK(Audit[[#This Row],[Audit Candidate 7]])), Audit[[#This Row],[Audit Candidate 7]]-Audit[[#This Row],[Candidate 7]], "")</f>
        <v/>
      </c>
      <c r="AL352" s="17" t="str">
        <f>IF(NOT(ISBLANK(Audit[[#This Row],[Audit Candidate 8]])), Audit[[#This Row],[Audit Candidate 8]]-Audit[[#This Row],[Candidate 8]], "")</f>
        <v/>
      </c>
      <c r="AM352" s="17" t="str">
        <f>IF(NOT(ISBLANK(Audit[[#This Row],[Audit Candidate 9]])), Audit[[#This Row],[Audit Candidate 9]]-Audit[[#This Row],[Candidate 9]], "")</f>
        <v/>
      </c>
      <c r="AN352" s="17" t="str">
        <f>IF(NOT(ISBLANK(Audit[[#This Row],[Audit Candidate 10]])), Audit[[#This Row],[Audit Candidate 10]]-Audit[[#This Row],[Candidate 10]], "")</f>
        <v/>
      </c>
      <c r="AO352" s="17" t="str">
        <f>IF(NOT(ISBLANK(Audit[[#This Row],[Audit Candidate 11]])), Audit[[#This Row],[Audit Candidate 11]]-Audit[[#This Row],[Candidate 11]], "")</f>
        <v/>
      </c>
      <c r="AP352" s="17" t="str">
        <f>IF(NOT(ISBLANK(Audit[[#This Row],[Audit Candidate 12]])), Audit[[#This Row],[Audit Candidate 12]]-Audit[[#This Row],[Candidate 12]], "")</f>
        <v/>
      </c>
      <c r="AQ352" s="17">
        <f>SUMIF(Audit[[#This Row],[Difference Winner]:[Difference Candidate 12]], "&gt;0")</f>
        <v>0</v>
      </c>
      <c r="AR352" s="17">
        <f>SUM(Audit[[#This Row],[Difference Winner]:[Difference Candidate 12]])</f>
        <v>0</v>
      </c>
      <c r="AS352" s="17">
        <f>IF(Audit[[#This Row],[Times p Drawn - With Replacement]]&gt;0, IF(Audit[[#This Row],[Canceled Differences]]&lt;0, Audit[[#This Row],[Max Differences]]+ABS(Audit[[#This Row],[Canceled Differences]]), Audit[[#This Row],[Max Differences]]), 0)</f>
        <v>0</v>
      </c>
      <c r="AT352" s="17">
        <f>'Sampling Data'!AB352</f>
        <v>2.5038193855033103E-3</v>
      </c>
      <c r="AU352" s="17">
        <f>IF(
      SUM(Audit[[#This Row],[Audit Losing Candidate]:[Audit Candidate 12]])
      &lt;&gt;0,
      (Audit[[#This Row],[Winning Candidate]]-Audit[[#This Row],[Losing Candidate]]-(Audit[[#This Row],[Audit Winning Candidate]]-Audit[[#This Row],[Audit Losing Candidate]]))/(Audit[[#Totals],[Winning Candidate]]-Audit[[#Totals],[Losing Candidate]]),
      0
)</f>
        <v>0</v>
      </c>
      <c r="AV3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2" s="17">
        <f>IF(Audit[[#This Row],[Max Relative Error (ep)]] = 0, 0, Audit[[#This Row],[Max Relative Error (ep)]]/Audit[[#This Row],[Error Bound (up) - Max. possible relative overstatement]])</f>
        <v>0</v>
      </c>
      <c r="BH3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52" s="17">
        <f t="shared" si="6"/>
        <v>1</v>
      </c>
      <c r="BJ352" s="17">
        <f>PRODUCT($BI$5:BI352)</f>
        <v>0.48901700950994259</v>
      </c>
      <c r="BK352" s="19">
        <f>1 - Audit[[#This Row],[K-M P Value]]</f>
        <v>0.51098299049005735</v>
      </c>
      <c r="BL352" s="17" t="str">
        <f>IF(Audit[[#This Row],[K-M P Value]]&gt;1-'General Info'!$B$12,"Continue", "Stop")</f>
        <v>Continue</v>
      </c>
      <c r="BM352" s="22" t="b">
        <f>IF(Audit[[#This Row],[Status - Continue or stop audit]] = "Continue", TRUE, IF(BL351 = "Continue", TRUE, FALSE))</f>
        <v>1</v>
      </c>
      <c r="BN352" s="22"/>
    </row>
    <row r="353" spans="1:66" ht="15" hidden="1" customHeight="1" x14ac:dyDescent="0.35">
      <c r="A353" s="17" t="str">
        <f>'Sampling Data'!AI353</f>
        <v/>
      </c>
      <c r="B353" s="17" t="str">
        <f>'Sampling Data'!A353</f>
        <v>5901 COLE A   (AV)</v>
      </c>
      <c r="C353" s="17">
        <f>'Sampling Data'!B353</f>
        <v>105</v>
      </c>
      <c r="D353" s="17">
        <f>'Sampling Data'!C353</f>
        <v>271</v>
      </c>
      <c r="E353" s="18">
        <f>'Sampling Data'!D353</f>
        <v>0</v>
      </c>
      <c r="F353" s="18">
        <f>'Sampling Data'!E353</f>
        <v>0</v>
      </c>
      <c r="G353" s="18">
        <f>'Sampling Data'!F353</f>
        <v>0</v>
      </c>
      <c r="H353" s="18">
        <f>'Sampling Data'!G353</f>
        <v>0</v>
      </c>
      <c r="I353" s="18">
        <f>'Sampling Data'!H353</f>
        <v>0</v>
      </c>
      <c r="J353" s="18">
        <f>'Sampling Data'!I353</f>
        <v>0</v>
      </c>
      <c r="K353" s="18">
        <f>'Sampling Data'!J353</f>
        <v>0</v>
      </c>
      <c r="L353" s="18">
        <f>'Sampling Data'!K353</f>
        <v>0</v>
      </c>
      <c r="M353" s="18">
        <f>'Sampling Data'!L353</f>
        <v>0</v>
      </c>
      <c r="N353" s="18">
        <f>'Sampling Data'!M353</f>
        <v>0</v>
      </c>
      <c r="O353" s="17">
        <f>'Sampling Data'!N353</f>
        <v>0</v>
      </c>
      <c r="P353" s="17">
        <f>'Sampling Data'!O353</f>
        <v>22</v>
      </c>
      <c r="Q353" s="17">
        <f>'Sampling Data'!P353</f>
        <v>398</v>
      </c>
      <c r="R353" s="17">
        <f>'Sampling Data'!AJ353</f>
        <v>0</v>
      </c>
      <c r="S353" s="111"/>
      <c r="T353" s="111"/>
      <c r="U353" s="112"/>
      <c r="V353" s="112"/>
      <c r="W353" s="111"/>
      <c r="X353" s="111"/>
      <c r="Y353" s="111"/>
      <c r="Z353" s="111"/>
      <c r="AA353" s="14"/>
      <c r="AB353" s="14"/>
      <c r="AC353" s="14"/>
      <c r="AD353" s="14"/>
      <c r="AE353" s="113" t="str">
        <f>IF(NOT(ISBLANK(Audit[[#This Row],[Audit Winning Candidate]])), Audit[[#This Row],[Audit Winning Candidate]]-Audit[[#This Row],[Winning Candidate]], "")</f>
        <v/>
      </c>
      <c r="AF353" s="17" t="str">
        <f>IF(NOT(ISBLANK(Audit[[#This Row],[Audit Losing Candidate]])), Audit[[#This Row],[Audit Losing Candidate]]-Audit[[#This Row],[Losing Candidate]], "")</f>
        <v/>
      </c>
      <c r="AG353" s="17" t="str">
        <f>IF(NOT(ISBLANK(Audit[[#This Row],[Audit Candidate 3]])), Audit[[#This Row],[Audit Candidate 3]]-Audit[[#This Row],[Candidate 3]], "")</f>
        <v/>
      </c>
      <c r="AH353" s="17" t="str">
        <f>IF(NOT(ISBLANK(Audit[[#This Row],[Audit Candidate 4]])),Audit[[#This Row],[Audit Candidate 4]]-Audit[[#This Row],[Candidate 4]], "")</f>
        <v/>
      </c>
      <c r="AI353" s="17" t="str">
        <f>IF(NOT(ISBLANK(Audit[[#This Row],[Audit Candidate 5]])), Audit[[#This Row],[Audit Candidate 5]]-Audit[[#This Row],[Candidate 5]], "")</f>
        <v/>
      </c>
      <c r="AJ353" s="17" t="str">
        <f>IF(NOT(ISBLANK(Audit[[#This Row],[Audit Candidate 6]])), Audit[[#This Row],[Audit Candidate 6]]-Audit[[#This Row],[Candidate 6]], "")</f>
        <v/>
      </c>
      <c r="AK353" s="17" t="str">
        <f>IF(NOT(ISBLANK(Audit[[#This Row],[Audit Candidate 7]])), Audit[[#This Row],[Audit Candidate 7]]-Audit[[#This Row],[Candidate 7]], "")</f>
        <v/>
      </c>
      <c r="AL353" s="17" t="str">
        <f>IF(NOT(ISBLANK(Audit[[#This Row],[Audit Candidate 8]])), Audit[[#This Row],[Audit Candidate 8]]-Audit[[#This Row],[Candidate 8]], "")</f>
        <v/>
      </c>
      <c r="AM353" s="17" t="str">
        <f>IF(NOT(ISBLANK(Audit[[#This Row],[Audit Candidate 9]])), Audit[[#This Row],[Audit Candidate 9]]-Audit[[#This Row],[Candidate 9]], "")</f>
        <v/>
      </c>
      <c r="AN353" s="17" t="str">
        <f>IF(NOT(ISBLANK(Audit[[#This Row],[Audit Candidate 10]])), Audit[[#This Row],[Audit Candidate 10]]-Audit[[#This Row],[Candidate 10]], "")</f>
        <v/>
      </c>
      <c r="AO353" s="17" t="str">
        <f>IF(NOT(ISBLANK(Audit[[#This Row],[Audit Candidate 11]])), Audit[[#This Row],[Audit Candidate 11]]-Audit[[#This Row],[Candidate 11]], "")</f>
        <v/>
      </c>
      <c r="AP353" s="17" t="str">
        <f>IF(NOT(ISBLANK(Audit[[#This Row],[Audit Candidate 12]])), Audit[[#This Row],[Audit Candidate 12]]-Audit[[#This Row],[Candidate 12]], "")</f>
        <v/>
      </c>
      <c r="AQ353" s="17">
        <f>SUMIF(Audit[[#This Row],[Difference Winner]:[Difference Candidate 12]], "&gt;0")</f>
        <v>0</v>
      </c>
      <c r="AR353" s="17">
        <f>SUM(Audit[[#This Row],[Difference Winner]:[Difference Candidate 12]])</f>
        <v>0</v>
      </c>
      <c r="AS353" s="17">
        <f>IF(Audit[[#This Row],[Times p Drawn - With Replacement]]&gt;0, IF(Audit[[#This Row],[Canceled Differences]]&lt;0, Audit[[#This Row],[Max Differences]]+ABS(Audit[[#This Row],[Canceled Differences]]), Audit[[#This Row],[Max Differences]]), 0)</f>
        <v>0</v>
      </c>
      <c r="AT353" s="17">
        <f>'Sampling Data'!AB353</f>
        <v>9.8455270751994575E-3</v>
      </c>
      <c r="AU353" s="17">
        <f>IF(
      SUM(Audit[[#This Row],[Audit Losing Candidate]:[Audit Candidate 12]])
      &lt;&gt;0,
      (Audit[[#This Row],[Winning Candidate]]-Audit[[#This Row],[Losing Candidate]]-(Audit[[#This Row],[Audit Winning Candidate]]-Audit[[#This Row],[Audit Losing Candidate]]))/(Audit[[#Totals],[Winning Candidate]]-Audit[[#Totals],[Losing Candidate]]),
      0
)</f>
        <v>0</v>
      </c>
      <c r="AV3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3" s="17">
        <f>IF(Audit[[#This Row],[Max Relative Error (ep)]] = 0, 0, Audit[[#This Row],[Max Relative Error (ep)]]/Audit[[#This Row],[Error Bound (up) - Max. possible relative overstatement]])</f>
        <v>0</v>
      </c>
      <c r="BH3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53" s="17">
        <f t="shared" si="6"/>
        <v>1</v>
      </c>
      <c r="BJ353" s="17">
        <f>PRODUCT($BI$5:BI353)</f>
        <v>0.48901700950994259</v>
      </c>
      <c r="BK353" s="19">
        <f>1 - Audit[[#This Row],[K-M P Value]]</f>
        <v>0.51098299049005735</v>
      </c>
      <c r="BL353" s="17" t="str">
        <f>IF(Audit[[#This Row],[K-M P Value]]&gt;1-'General Info'!$B$12,"Continue", "Stop")</f>
        <v>Continue</v>
      </c>
      <c r="BM353" s="22" t="b">
        <f>IF(Audit[[#This Row],[Status - Continue or stop audit]] = "Continue", TRUE, IF(BL352 = "Continue", TRUE, FALSE))</f>
        <v>1</v>
      </c>
      <c r="BN353" s="22"/>
    </row>
    <row r="354" spans="1:66" ht="15" hidden="1" customHeight="1" x14ac:dyDescent="0.35">
      <c r="A354" s="17" t="str">
        <f>'Sampling Data'!AI354</f>
        <v/>
      </c>
      <c r="B354" s="17" t="str">
        <f>'Sampling Data'!A354</f>
        <v>5902 COLE B   (AV)</v>
      </c>
      <c r="C354" s="17">
        <f>'Sampling Data'!B354</f>
        <v>124</v>
      </c>
      <c r="D354" s="17">
        <f>'Sampling Data'!C354</f>
        <v>80</v>
      </c>
      <c r="E354" s="18">
        <f>'Sampling Data'!D354</f>
        <v>0</v>
      </c>
      <c r="F354" s="18">
        <f>'Sampling Data'!E354</f>
        <v>0</v>
      </c>
      <c r="G354" s="18">
        <f>'Sampling Data'!F354</f>
        <v>0</v>
      </c>
      <c r="H354" s="18">
        <f>'Sampling Data'!G354</f>
        <v>0</v>
      </c>
      <c r="I354" s="18">
        <f>'Sampling Data'!H354</f>
        <v>0</v>
      </c>
      <c r="J354" s="18">
        <f>'Sampling Data'!I354</f>
        <v>0</v>
      </c>
      <c r="K354" s="18">
        <f>'Sampling Data'!J354</f>
        <v>0</v>
      </c>
      <c r="L354" s="18">
        <f>'Sampling Data'!K354</f>
        <v>0</v>
      </c>
      <c r="M354" s="18">
        <f>'Sampling Data'!L354</f>
        <v>0</v>
      </c>
      <c r="N354" s="18">
        <f>'Sampling Data'!M354</f>
        <v>0</v>
      </c>
      <c r="O354" s="17">
        <f>'Sampling Data'!N354</f>
        <v>0</v>
      </c>
      <c r="P354" s="17">
        <f>'Sampling Data'!O354</f>
        <v>7</v>
      </c>
      <c r="Q354" s="17">
        <f>'Sampling Data'!P354</f>
        <v>211</v>
      </c>
      <c r="R354" s="17">
        <f>'Sampling Data'!AJ354</f>
        <v>0</v>
      </c>
      <c r="S354" s="111"/>
      <c r="T354" s="111"/>
      <c r="U354" s="112"/>
      <c r="V354" s="112"/>
      <c r="W354" s="111"/>
      <c r="X354" s="111"/>
      <c r="Y354" s="111"/>
      <c r="Z354" s="111"/>
      <c r="AA354" s="14"/>
      <c r="AB354" s="14"/>
      <c r="AC354" s="14"/>
      <c r="AD354" s="14"/>
      <c r="AE354" s="113" t="str">
        <f>IF(NOT(ISBLANK(Audit[[#This Row],[Audit Winning Candidate]])), Audit[[#This Row],[Audit Winning Candidate]]-Audit[[#This Row],[Winning Candidate]], "")</f>
        <v/>
      </c>
      <c r="AF354" s="17" t="str">
        <f>IF(NOT(ISBLANK(Audit[[#This Row],[Audit Losing Candidate]])), Audit[[#This Row],[Audit Losing Candidate]]-Audit[[#This Row],[Losing Candidate]], "")</f>
        <v/>
      </c>
      <c r="AG354" s="17" t="str">
        <f>IF(NOT(ISBLANK(Audit[[#This Row],[Audit Candidate 3]])), Audit[[#This Row],[Audit Candidate 3]]-Audit[[#This Row],[Candidate 3]], "")</f>
        <v/>
      </c>
      <c r="AH354" s="17" t="str">
        <f>IF(NOT(ISBLANK(Audit[[#This Row],[Audit Candidate 4]])),Audit[[#This Row],[Audit Candidate 4]]-Audit[[#This Row],[Candidate 4]], "")</f>
        <v/>
      </c>
      <c r="AI354" s="17" t="str">
        <f>IF(NOT(ISBLANK(Audit[[#This Row],[Audit Candidate 5]])), Audit[[#This Row],[Audit Candidate 5]]-Audit[[#This Row],[Candidate 5]], "")</f>
        <v/>
      </c>
      <c r="AJ354" s="17" t="str">
        <f>IF(NOT(ISBLANK(Audit[[#This Row],[Audit Candidate 6]])), Audit[[#This Row],[Audit Candidate 6]]-Audit[[#This Row],[Candidate 6]], "")</f>
        <v/>
      </c>
      <c r="AK354" s="17" t="str">
        <f>IF(NOT(ISBLANK(Audit[[#This Row],[Audit Candidate 7]])), Audit[[#This Row],[Audit Candidate 7]]-Audit[[#This Row],[Candidate 7]], "")</f>
        <v/>
      </c>
      <c r="AL354" s="17" t="str">
        <f>IF(NOT(ISBLANK(Audit[[#This Row],[Audit Candidate 8]])), Audit[[#This Row],[Audit Candidate 8]]-Audit[[#This Row],[Candidate 8]], "")</f>
        <v/>
      </c>
      <c r="AM354" s="17" t="str">
        <f>IF(NOT(ISBLANK(Audit[[#This Row],[Audit Candidate 9]])), Audit[[#This Row],[Audit Candidate 9]]-Audit[[#This Row],[Candidate 9]], "")</f>
        <v/>
      </c>
      <c r="AN354" s="17" t="str">
        <f>IF(NOT(ISBLANK(Audit[[#This Row],[Audit Candidate 10]])), Audit[[#This Row],[Audit Candidate 10]]-Audit[[#This Row],[Candidate 10]], "")</f>
        <v/>
      </c>
      <c r="AO354" s="17" t="str">
        <f>IF(NOT(ISBLANK(Audit[[#This Row],[Audit Candidate 11]])), Audit[[#This Row],[Audit Candidate 11]]-Audit[[#This Row],[Candidate 11]], "")</f>
        <v/>
      </c>
      <c r="AP354" s="17" t="str">
        <f>IF(NOT(ISBLANK(Audit[[#This Row],[Audit Candidate 12]])), Audit[[#This Row],[Audit Candidate 12]]-Audit[[#This Row],[Candidate 12]], "")</f>
        <v/>
      </c>
      <c r="AQ354" s="17">
        <f>SUMIF(Audit[[#This Row],[Difference Winner]:[Difference Candidate 12]], "&gt;0")</f>
        <v>0</v>
      </c>
      <c r="AR354" s="17">
        <f>SUM(Audit[[#This Row],[Difference Winner]:[Difference Candidate 12]])</f>
        <v>0</v>
      </c>
      <c r="AS354" s="17">
        <f>IF(Audit[[#This Row],[Times p Drawn - With Replacement]]&gt;0, IF(Audit[[#This Row],[Canceled Differences]]&lt;0, Audit[[#This Row],[Max Differences]]+ABS(Audit[[#This Row],[Canceled Differences]]), Audit[[#This Row],[Max Differences]]), 0)</f>
        <v>0</v>
      </c>
      <c r="AT354" s="17">
        <f>'Sampling Data'!AB354</f>
        <v>1.0821592259378713E-2</v>
      </c>
      <c r="AU354" s="17">
        <f>IF(
      SUM(Audit[[#This Row],[Audit Losing Candidate]:[Audit Candidate 12]])
      &lt;&gt;0,
      (Audit[[#This Row],[Winning Candidate]]-Audit[[#This Row],[Losing Candidate]]-(Audit[[#This Row],[Audit Winning Candidate]]-Audit[[#This Row],[Audit Losing Candidate]]))/(Audit[[#Totals],[Winning Candidate]]-Audit[[#Totals],[Losing Candidate]]),
      0
)</f>
        <v>0</v>
      </c>
      <c r="AV3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4" s="17">
        <f>IF(Audit[[#This Row],[Max Relative Error (ep)]] = 0, 0, Audit[[#This Row],[Max Relative Error (ep)]]/Audit[[#This Row],[Error Bound (up) - Max. possible relative overstatement]])</f>
        <v>0</v>
      </c>
      <c r="BH3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54" s="17">
        <f t="shared" si="6"/>
        <v>1</v>
      </c>
      <c r="BJ354" s="17">
        <f>PRODUCT($BI$5:BI354)</f>
        <v>0.48901700950994259</v>
      </c>
      <c r="BK354" s="19">
        <f>1 - Audit[[#This Row],[K-M P Value]]</f>
        <v>0.51098299049005735</v>
      </c>
      <c r="BL354" s="17" t="str">
        <f>IF(Audit[[#This Row],[K-M P Value]]&gt;1-'General Info'!$B$12,"Continue", "Stop")</f>
        <v>Continue</v>
      </c>
      <c r="BM354" s="22" t="b">
        <f>IF(Audit[[#This Row],[Status - Continue or stop audit]] = "Continue", TRUE, IF(BL353 = "Continue", TRUE, FALSE))</f>
        <v>1</v>
      </c>
      <c r="BN354" s="22"/>
    </row>
    <row r="355" spans="1:66" ht="15" hidden="1" customHeight="1" x14ac:dyDescent="0.35">
      <c r="A355" s="17" t="str">
        <f>'Sampling Data'!AI355</f>
        <v/>
      </c>
      <c r="B355" s="17" t="str">
        <f>'Sampling Data'!A355</f>
        <v>5903 COLE C   (AV)</v>
      </c>
      <c r="C355" s="17">
        <f>'Sampling Data'!B355</f>
        <v>125</v>
      </c>
      <c r="D355" s="17">
        <f>'Sampling Data'!C355</f>
        <v>129</v>
      </c>
      <c r="E355" s="18">
        <f>'Sampling Data'!D355</f>
        <v>0</v>
      </c>
      <c r="F355" s="18">
        <f>'Sampling Data'!E355</f>
        <v>0</v>
      </c>
      <c r="G355" s="18">
        <f>'Sampling Data'!F355</f>
        <v>0</v>
      </c>
      <c r="H355" s="18">
        <f>'Sampling Data'!G355</f>
        <v>0</v>
      </c>
      <c r="I355" s="18">
        <f>'Sampling Data'!H355</f>
        <v>0</v>
      </c>
      <c r="J355" s="18">
        <f>'Sampling Data'!I355</f>
        <v>0</v>
      </c>
      <c r="K355" s="18">
        <f>'Sampling Data'!J355</f>
        <v>0</v>
      </c>
      <c r="L355" s="18">
        <f>'Sampling Data'!K355</f>
        <v>0</v>
      </c>
      <c r="M355" s="18">
        <f>'Sampling Data'!L355</f>
        <v>0</v>
      </c>
      <c r="N355" s="18">
        <f>'Sampling Data'!M355</f>
        <v>0</v>
      </c>
      <c r="O355" s="17">
        <f>'Sampling Data'!N355</f>
        <v>0</v>
      </c>
      <c r="P355" s="17">
        <f>'Sampling Data'!O355</f>
        <v>8</v>
      </c>
      <c r="Q355" s="17">
        <f>'Sampling Data'!P355</f>
        <v>262</v>
      </c>
      <c r="R355" s="17">
        <f>'Sampling Data'!AJ355</f>
        <v>0</v>
      </c>
      <c r="S355" s="111"/>
      <c r="T355" s="111"/>
      <c r="U355" s="112"/>
      <c r="V355" s="112"/>
      <c r="W355" s="111"/>
      <c r="X355" s="111"/>
      <c r="Y355" s="111"/>
      <c r="Z355" s="111"/>
      <c r="AA355" s="14"/>
      <c r="AB355" s="14"/>
      <c r="AC355" s="14"/>
      <c r="AD355" s="14"/>
      <c r="AE355" s="113" t="str">
        <f>IF(NOT(ISBLANK(Audit[[#This Row],[Audit Winning Candidate]])), Audit[[#This Row],[Audit Winning Candidate]]-Audit[[#This Row],[Winning Candidate]], "")</f>
        <v/>
      </c>
      <c r="AF355" s="17" t="str">
        <f>IF(NOT(ISBLANK(Audit[[#This Row],[Audit Losing Candidate]])), Audit[[#This Row],[Audit Losing Candidate]]-Audit[[#This Row],[Losing Candidate]], "")</f>
        <v/>
      </c>
      <c r="AG355" s="17" t="str">
        <f>IF(NOT(ISBLANK(Audit[[#This Row],[Audit Candidate 3]])), Audit[[#This Row],[Audit Candidate 3]]-Audit[[#This Row],[Candidate 3]], "")</f>
        <v/>
      </c>
      <c r="AH355" s="17" t="str">
        <f>IF(NOT(ISBLANK(Audit[[#This Row],[Audit Candidate 4]])),Audit[[#This Row],[Audit Candidate 4]]-Audit[[#This Row],[Candidate 4]], "")</f>
        <v/>
      </c>
      <c r="AI355" s="17" t="str">
        <f>IF(NOT(ISBLANK(Audit[[#This Row],[Audit Candidate 5]])), Audit[[#This Row],[Audit Candidate 5]]-Audit[[#This Row],[Candidate 5]], "")</f>
        <v/>
      </c>
      <c r="AJ355" s="17" t="str">
        <f>IF(NOT(ISBLANK(Audit[[#This Row],[Audit Candidate 6]])), Audit[[#This Row],[Audit Candidate 6]]-Audit[[#This Row],[Candidate 6]], "")</f>
        <v/>
      </c>
      <c r="AK355" s="17" t="str">
        <f>IF(NOT(ISBLANK(Audit[[#This Row],[Audit Candidate 7]])), Audit[[#This Row],[Audit Candidate 7]]-Audit[[#This Row],[Candidate 7]], "")</f>
        <v/>
      </c>
      <c r="AL355" s="17" t="str">
        <f>IF(NOT(ISBLANK(Audit[[#This Row],[Audit Candidate 8]])), Audit[[#This Row],[Audit Candidate 8]]-Audit[[#This Row],[Candidate 8]], "")</f>
        <v/>
      </c>
      <c r="AM355" s="17" t="str">
        <f>IF(NOT(ISBLANK(Audit[[#This Row],[Audit Candidate 9]])), Audit[[#This Row],[Audit Candidate 9]]-Audit[[#This Row],[Candidate 9]], "")</f>
        <v/>
      </c>
      <c r="AN355" s="17" t="str">
        <f>IF(NOT(ISBLANK(Audit[[#This Row],[Audit Candidate 10]])), Audit[[#This Row],[Audit Candidate 10]]-Audit[[#This Row],[Candidate 10]], "")</f>
        <v/>
      </c>
      <c r="AO355" s="17" t="str">
        <f>IF(NOT(ISBLANK(Audit[[#This Row],[Audit Candidate 11]])), Audit[[#This Row],[Audit Candidate 11]]-Audit[[#This Row],[Candidate 11]], "")</f>
        <v/>
      </c>
      <c r="AP355" s="17" t="str">
        <f>IF(NOT(ISBLANK(Audit[[#This Row],[Audit Candidate 12]])), Audit[[#This Row],[Audit Candidate 12]]-Audit[[#This Row],[Candidate 12]], "")</f>
        <v/>
      </c>
      <c r="AQ355" s="17">
        <f>SUMIF(Audit[[#This Row],[Difference Winner]:[Difference Candidate 12]], "&gt;0")</f>
        <v>0</v>
      </c>
      <c r="AR355" s="17">
        <f>SUM(Audit[[#This Row],[Difference Winner]:[Difference Candidate 12]])</f>
        <v>0</v>
      </c>
      <c r="AS355" s="17">
        <f>IF(Audit[[#This Row],[Times p Drawn - With Replacement]]&gt;0, IF(Audit[[#This Row],[Canceled Differences]]&lt;0, Audit[[#This Row],[Max Differences]]+ABS(Audit[[#This Row],[Canceled Differences]]), Audit[[#This Row],[Max Differences]]), 0)</f>
        <v>0</v>
      </c>
      <c r="AT355" s="17">
        <f>'Sampling Data'!AB355</f>
        <v>1.0948905109489052E-2</v>
      </c>
      <c r="AU355" s="17">
        <f>IF(
      SUM(Audit[[#This Row],[Audit Losing Candidate]:[Audit Candidate 12]])
      &lt;&gt;0,
      (Audit[[#This Row],[Winning Candidate]]-Audit[[#This Row],[Losing Candidate]]-(Audit[[#This Row],[Audit Winning Candidate]]-Audit[[#This Row],[Audit Losing Candidate]]))/(Audit[[#Totals],[Winning Candidate]]-Audit[[#Totals],[Losing Candidate]]),
      0
)</f>
        <v>0</v>
      </c>
      <c r="AV3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5" s="17">
        <f>IF(Audit[[#This Row],[Max Relative Error (ep)]] = 0, 0, Audit[[#This Row],[Max Relative Error (ep)]]/Audit[[#This Row],[Error Bound (up) - Max. possible relative overstatement]])</f>
        <v>0</v>
      </c>
      <c r="BH3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55" s="17">
        <f t="shared" si="6"/>
        <v>1</v>
      </c>
      <c r="BJ355" s="17">
        <f>PRODUCT($BI$5:BI355)</f>
        <v>0.48901700950994259</v>
      </c>
      <c r="BK355" s="19">
        <f>1 - Audit[[#This Row],[K-M P Value]]</f>
        <v>0.51098299049005735</v>
      </c>
      <c r="BL355" s="17" t="str">
        <f>IF(Audit[[#This Row],[K-M P Value]]&gt;1-'General Info'!$B$12,"Continue", "Stop")</f>
        <v>Continue</v>
      </c>
      <c r="BM355" s="22" t="b">
        <f>IF(Audit[[#This Row],[Status - Continue or stop audit]] = "Continue", TRUE, IF(BL354 = "Continue", TRUE, FALSE))</f>
        <v>1</v>
      </c>
      <c r="BN355" s="22"/>
    </row>
    <row r="356" spans="1:66" ht="15" hidden="1" customHeight="1" x14ac:dyDescent="0.35">
      <c r="A356" s="17" t="str">
        <f>'Sampling Data'!AI356</f>
        <v/>
      </c>
      <c r="B356" s="17" t="str">
        <f>'Sampling Data'!A356</f>
        <v>5904 COLE D   (AV)</v>
      </c>
      <c r="C356" s="17">
        <f>'Sampling Data'!B356</f>
        <v>115</v>
      </c>
      <c r="D356" s="17">
        <f>'Sampling Data'!C356</f>
        <v>54</v>
      </c>
      <c r="E356" s="18">
        <f>'Sampling Data'!D356</f>
        <v>0</v>
      </c>
      <c r="F356" s="18">
        <f>'Sampling Data'!E356</f>
        <v>0</v>
      </c>
      <c r="G356" s="18">
        <f>'Sampling Data'!F356</f>
        <v>0</v>
      </c>
      <c r="H356" s="18">
        <f>'Sampling Data'!G356</f>
        <v>0</v>
      </c>
      <c r="I356" s="18">
        <f>'Sampling Data'!H356</f>
        <v>0</v>
      </c>
      <c r="J356" s="18">
        <f>'Sampling Data'!I356</f>
        <v>0</v>
      </c>
      <c r="K356" s="18">
        <f>'Sampling Data'!J356</f>
        <v>0</v>
      </c>
      <c r="L356" s="18">
        <f>'Sampling Data'!K356</f>
        <v>0</v>
      </c>
      <c r="M356" s="18">
        <f>'Sampling Data'!L356</f>
        <v>0</v>
      </c>
      <c r="N356" s="18">
        <f>'Sampling Data'!M356</f>
        <v>0</v>
      </c>
      <c r="O356" s="17">
        <f>'Sampling Data'!N356</f>
        <v>1</v>
      </c>
      <c r="P356" s="17">
        <f>'Sampling Data'!O356</f>
        <v>6</v>
      </c>
      <c r="Q356" s="17">
        <f>'Sampling Data'!P356</f>
        <v>176</v>
      </c>
      <c r="R356" s="17">
        <f>'Sampling Data'!AJ356</f>
        <v>0</v>
      </c>
      <c r="S356" s="111"/>
      <c r="T356" s="111"/>
      <c r="U356" s="112"/>
      <c r="V356" s="112"/>
      <c r="W356" s="111"/>
      <c r="X356" s="111"/>
      <c r="Y356" s="111"/>
      <c r="Z356" s="111"/>
      <c r="AA356" s="14"/>
      <c r="AB356" s="14"/>
      <c r="AC356" s="14"/>
      <c r="AD356" s="14"/>
      <c r="AE356" s="113" t="str">
        <f>IF(NOT(ISBLANK(Audit[[#This Row],[Audit Winning Candidate]])), Audit[[#This Row],[Audit Winning Candidate]]-Audit[[#This Row],[Winning Candidate]], "")</f>
        <v/>
      </c>
      <c r="AF356" s="17" t="str">
        <f>IF(NOT(ISBLANK(Audit[[#This Row],[Audit Losing Candidate]])), Audit[[#This Row],[Audit Losing Candidate]]-Audit[[#This Row],[Losing Candidate]], "")</f>
        <v/>
      </c>
      <c r="AG356" s="17" t="str">
        <f>IF(NOT(ISBLANK(Audit[[#This Row],[Audit Candidate 3]])), Audit[[#This Row],[Audit Candidate 3]]-Audit[[#This Row],[Candidate 3]], "")</f>
        <v/>
      </c>
      <c r="AH356" s="17" t="str">
        <f>IF(NOT(ISBLANK(Audit[[#This Row],[Audit Candidate 4]])),Audit[[#This Row],[Audit Candidate 4]]-Audit[[#This Row],[Candidate 4]], "")</f>
        <v/>
      </c>
      <c r="AI356" s="17" t="str">
        <f>IF(NOT(ISBLANK(Audit[[#This Row],[Audit Candidate 5]])), Audit[[#This Row],[Audit Candidate 5]]-Audit[[#This Row],[Candidate 5]], "")</f>
        <v/>
      </c>
      <c r="AJ356" s="17" t="str">
        <f>IF(NOT(ISBLANK(Audit[[#This Row],[Audit Candidate 6]])), Audit[[#This Row],[Audit Candidate 6]]-Audit[[#This Row],[Candidate 6]], "")</f>
        <v/>
      </c>
      <c r="AK356" s="17" t="str">
        <f>IF(NOT(ISBLANK(Audit[[#This Row],[Audit Candidate 7]])), Audit[[#This Row],[Audit Candidate 7]]-Audit[[#This Row],[Candidate 7]], "")</f>
        <v/>
      </c>
      <c r="AL356" s="17" t="str">
        <f>IF(NOT(ISBLANK(Audit[[#This Row],[Audit Candidate 8]])), Audit[[#This Row],[Audit Candidate 8]]-Audit[[#This Row],[Candidate 8]], "")</f>
        <v/>
      </c>
      <c r="AM356" s="17" t="str">
        <f>IF(NOT(ISBLANK(Audit[[#This Row],[Audit Candidate 9]])), Audit[[#This Row],[Audit Candidate 9]]-Audit[[#This Row],[Candidate 9]], "")</f>
        <v/>
      </c>
      <c r="AN356" s="17" t="str">
        <f>IF(NOT(ISBLANK(Audit[[#This Row],[Audit Candidate 10]])), Audit[[#This Row],[Audit Candidate 10]]-Audit[[#This Row],[Candidate 10]], "")</f>
        <v/>
      </c>
      <c r="AO356" s="17" t="str">
        <f>IF(NOT(ISBLANK(Audit[[#This Row],[Audit Candidate 11]])), Audit[[#This Row],[Audit Candidate 11]]-Audit[[#This Row],[Candidate 11]], "")</f>
        <v/>
      </c>
      <c r="AP356" s="17" t="str">
        <f>IF(NOT(ISBLANK(Audit[[#This Row],[Audit Candidate 12]])), Audit[[#This Row],[Audit Candidate 12]]-Audit[[#This Row],[Candidate 12]], "")</f>
        <v/>
      </c>
      <c r="AQ356" s="17">
        <f>SUMIF(Audit[[#This Row],[Difference Winner]:[Difference Candidate 12]], "&gt;0")</f>
        <v>0</v>
      </c>
      <c r="AR356" s="17">
        <f>SUM(Audit[[#This Row],[Difference Winner]:[Difference Candidate 12]])</f>
        <v>0</v>
      </c>
      <c r="AS356" s="17">
        <f>IF(Audit[[#This Row],[Times p Drawn - With Replacement]]&gt;0, IF(Audit[[#This Row],[Canceled Differences]]&lt;0, Audit[[#This Row],[Max Differences]]+ABS(Audit[[#This Row],[Canceled Differences]]), Audit[[#This Row],[Max Differences]]), 0)</f>
        <v>0</v>
      </c>
      <c r="AT356" s="17">
        <f>'Sampling Data'!AB356</f>
        <v>1.0057715158716686E-2</v>
      </c>
      <c r="AU356" s="17">
        <f>IF(
      SUM(Audit[[#This Row],[Audit Losing Candidate]:[Audit Candidate 12]])
      &lt;&gt;0,
      (Audit[[#This Row],[Winning Candidate]]-Audit[[#This Row],[Losing Candidate]]-(Audit[[#This Row],[Audit Winning Candidate]]-Audit[[#This Row],[Audit Losing Candidate]]))/(Audit[[#Totals],[Winning Candidate]]-Audit[[#Totals],[Losing Candidate]]),
      0
)</f>
        <v>0</v>
      </c>
      <c r="AV3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6" s="17">
        <f>IF(Audit[[#This Row],[Max Relative Error (ep)]] = 0, 0, Audit[[#This Row],[Max Relative Error (ep)]]/Audit[[#This Row],[Error Bound (up) - Max. possible relative overstatement]])</f>
        <v>0</v>
      </c>
      <c r="BH3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56" s="17">
        <f t="shared" si="6"/>
        <v>1</v>
      </c>
      <c r="BJ356" s="17">
        <f>PRODUCT($BI$5:BI356)</f>
        <v>0.48901700950994259</v>
      </c>
      <c r="BK356" s="19">
        <f>1 - Audit[[#This Row],[K-M P Value]]</f>
        <v>0.51098299049005735</v>
      </c>
      <c r="BL356" s="17" t="str">
        <f>IF(Audit[[#This Row],[K-M P Value]]&gt;1-'General Info'!$B$12,"Continue", "Stop")</f>
        <v>Continue</v>
      </c>
      <c r="BM356" s="22" t="b">
        <f>IF(Audit[[#This Row],[Status - Continue or stop audit]] = "Continue", TRUE, IF(BL355 = "Continue", TRUE, FALSE))</f>
        <v>1</v>
      </c>
      <c r="BN356" s="22"/>
    </row>
    <row r="357" spans="1:66" ht="15" hidden="1" customHeight="1" x14ac:dyDescent="0.35">
      <c r="A357" s="17" t="str">
        <f>'Sampling Data'!AI357</f>
        <v/>
      </c>
      <c r="B357" s="17" t="str">
        <f>'Sampling Data'!A357</f>
        <v>5905 COLE E   (AV)</v>
      </c>
      <c r="C357" s="17">
        <f>'Sampling Data'!B357</f>
        <v>155</v>
      </c>
      <c r="D357" s="17">
        <f>'Sampling Data'!C357</f>
        <v>364</v>
      </c>
      <c r="E357" s="18">
        <f>'Sampling Data'!D357</f>
        <v>0</v>
      </c>
      <c r="F357" s="18">
        <f>'Sampling Data'!E357</f>
        <v>0</v>
      </c>
      <c r="G357" s="18">
        <f>'Sampling Data'!F357</f>
        <v>0</v>
      </c>
      <c r="H357" s="18">
        <f>'Sampling Data'!G357</f>
        <v>0</v>
      </c>
      <c r="I357" s="18">
        <f>'Sampling Data'!H357</f>
        <v>0</v>
      </c>
      <c r="J357" s="18">
        <f>'Sampling Data'!I357</f>
        <v>0</v>
      </c>
      <c r="K357" s="18">
        <f>'Sampling Data'!J357</f>
        <v>0</v>
      </c>
      <c r="L357" s="18">
        <f>'Sampling Data'!K357</f>
        <v>0</v>
      </c>
      <c r="M357" s="18">
        <f>'Sampling Data'!L357</f>
        <v>0</v>
      </c>
      <c r="N357" s="18">
        <f>'Sampling Data'!M357</f>
        <v>0</v>
      </c>
      <c r="O357" s="17">
        <f>'Sampling Data'!N357</f>
        <v>1</v>
      </c>
      <c r="P357" s="17">
        <f>'Sampling Data'!O357</f>
        <v>34</v>
      </c>
      <c r="Q357" s="17">
        <f>'Sampling Data'!P357</f>
        <v>554</v>
      </c>
      <c r="R357" s="17">
        <f>'Sampling Data'!AJ357</f>
        <v>0</v>
      </c>
      <c r="S357" s="111"/>
      <c r="T357" s="111"/>
      <c r="U357" s="112"/>
      <c r="V357" s="112"/>
      <c r="W357" s="111"/>
      <c r="X357" s="111"/>
      <c r="Y357" s="111"/>
      <c r="Z357" s="111"/>
      <c r="AA357" s="14"/>
      <c r="AB357" s="14"/>
      <c r="AC357" s="14"/>
      <c r="AD357" s="14"/>
      <c r="AE357" s="113" t="str">
        <f>IF(NOT(ISBLANK(Audit[[#This Row],[Audit Winning Candidate]])), Audit[[#This Row],[Audit Winning Candidate]]-Audit[[#This Row],[Winning Candidate]], "")</f>
        <v/>
      </c>
      <c r="AF357" s="17" t="str">
        <f>IF(NOT(ISBLANK(Audit[[#This Row],[Audit Losing Candidate]])), Audit[[#This Row],[Audit Losing Candidate]]-Audit[[#This Row],[Losing Candidate]], "")</f>
        <v/>
      </c>
      <c r="AG357" s="17" t="str">
        <f>IF(NOT(ISBLANK(Audit[[#This Row],[Audit Candidate 3]])), Audit[[#This Row],[Audit Candidate 3]]-Audit[[#This Row],[Candidate 3]], "")</f>
        <v/>
      </c>
      <c r="AH357" s="17" t="str">
        <f>IF(NOT(ISBLANK(Audit[[#This Row],[Audit Candidate 4]])),Audit[[#This Row],[Audit Candidate 4]]-Audit[[#This Row],[Candidate 4]], "")</f>
        <v/>
      </c>
      <c r="AI357" s="17" t="str">
        <f>IF(NOT(ISBLANK(Audit[[#This Row],[Audit Candidate 5]])), Audit[[#This Row],[Audit Candidate 5]]-Audit[[#This Row],[Candidate 5]], "")</f>
        <v/>
      </c>
      <c r="AJ357" s="17" t="str">
        <f>IF(NOT(ISBLANK(Audit[[#This Row],[Audit Candidate 6]])), Audit[[#This Row],[Audit Candidate 6]]-Audit[[#This Row],[Candidate 6]], "")</f>
        <v/>
      </c>
      <c r="AK357" s="17" t="str">
        <f>IF(NOT(ISBLANK(Audit[[#This Row],[Audit Candidate 7]])), Audit[[#This Row],[Audit Candidate 7]]-Audit[[#This Row],[Candidate 7]], "")</f>
        <v/>
      </c>
      <c r="AL357" s="17" t="str">
        <f>IF(NOT(ISBLANK(Audit[[#This Row],[Audit Candidate 8]])), Audit[[#This Row],[Audit Candidate 8]]-Audit[[#This Row],[Candidate 8]], "")</f>
        <v/>
      </c>
      <c r="AM357" s="17" t="str">
        <f>IF(NOT(ISBLANK(Audit[[#This Row],[Audit Candidate 9]])), Audit[[#This Row],[Audit Candidate 9]]-Audit[[#This Row],[Candidate 9]], "")</f>
        <v/>
      </c>
      <c r="AN357" s="17" t="str">
        <f>IF(NOT(ISBLANK(Audit[[#This Row],[Audit Candidate 10]])), Audit[[#This Row],[Audit Candidate 10]]-Audit[[#This Row],[Candidate 10]], "")</f>
        <v/>
      </c>
      <c r="AO357" s="17" t="str">
        <f>IF(NOT(ISBLANK(Audit[[#This Row],[Audit Candidate 11]])), Audit[[#This Row],[Audit Candidate 11]]-Audit[[#This Row],[Candidate 11]], "")</f>
        <v/>
      </c>
      <c r="AP357" s="17" t="str">
        <f>IF(NOT(ISBLANK(Audit[[#This Row],[Audit Candidate 12]])), Audit[[#This Row],[Audit Candidate 12]]-Audit[[#This Row],[Candidate 12]], "")</f>
        <v/>
      </c>
      <c r="AQ357" s="17">
        <f>SUMIF(Audit[[#This Row],[Difference Winner]:[Difference Candidate 12]], "&gt;0")</f>
        <v>0</v>
      </c>
      <c r="AR357" s="17">
        <f>SUM(Audit[[#This Row],[Difference Winner]:[Difference Candidate 12]])</f>
        <v>0</v>
      </c>
      <c r="AS357" s="17">
        <f>IF(Audit[[#This Row],[Times p Drawn - With Replacement]]&gt;0, IF(Audit[[#This Row],[Canceled Differences]]&lt;0, Audit[[#This Row],[Max Differences]]+ABS(Audit[[#This Row],[Canceled Differences]]), Audit[[#This Row],[Max Differences]]), 0)</f>
        <v>0</v>
      </c>
      <c r="AT357" s="17">
        <f>'Sampling Data'!AB357</f>
        <v>1.4640977762688847E-2</v>
      </c>
      <c r="AU357" s="17">
        <f>IF(
      SUM(Audit[[#This Row],[Audit Losing Candidate]:[Audit Candidate 12]])
      &lt;&gt;0,
      (Audit[[#This Row],[Winning Candidate]]-Audit[[#This Row],[Losing Candidate]]-(Audit[[#This Row],[Audit Winning Candidate]]-Audit[[#This Row],[Audit Losing Candidate]]))/(Audit[[#Totals],[Winning Candidate]]-Audit[[#Totals],[Losing Candidate]]),
      0
)</f>
        <v>0</v>
      </c>
      <c r="AV3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7" s="17">
        <f>IF(Audit[[#This Row],[Max Relative Error (ep)]] = 0, 0, Audit[[#This Row],[Max Relative Error (ep)]]/Audit[[#This Row],[Error Bound (up) - Max. possible relative overstatement]])</f>
        <v>0</v>
      </c>
      <c r="BH3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57" s="17">
        <f t="shared" si="6"/>
        <v>1</v>
      </c>
      <c r="BJ357" s="17">
        <f>PRODUCT($BI$5:BI357)</f>
        <v>0.48901700950994259</v>
      </c>
      <c r="BK357" s="19">
        <f>1 - Audit[[#This Row],[K-M P Value]]</f>
        <v>0.51098299049005735</v>
      </c>
      <c r="BL357" s="17" t="str">
        <f>IF(Audit[[#This Row],[K-M P Value]]&gt;1-'General Info'!$B$12,"Continue", "Stop")</f>
        <v>Continue</v>
      </c>
      <c r="BM357" s="22" t="b">
        <f>IF(Audit[[#This Row],[Status - Continue or stop audit]] = "Continue", TRUE, IF(BL356 = "Continue", TRUE, FALSE))</f>
        <v>1</v>
      </c>
      <c r="BN357" s="22"/>
    </row>
    <row r="358" spans="1:66" ht="15" hidden="1" customHeight="1" x14ac:dyDescent="0.35">
      <c r="A358" s="17" t="str">
        <f>'Sampling Data'!AI358</f>
        <v/>
      </c>
      <c r="B358" s="17" t="str">
        <f>'Sampling Data'!A358</f>
        <v>5906 COLE F   (AV)</v>
      </c>
      <c r="C358" s="17">
        <f>'Sampling Data'!B358</f>
        <v>101</v>
      </c>
      <c r="D358" s="17">
        <f>'Sampling Data'!C358</f>
        <v>266</v>
      </c>
      <c r="E358" s="18">
        <f>'Sampling Data'!D358</f>
        <v>0</v>
      </c>
      <c r="F358" s="18">
        <f>'Sampling Data'!E358</f>
        <v>0</v>
      </c>
      <c r="G358" s="18">
        <f>'Sampling Data'!F358</f>
        <v>0</v>
      </c>
      <c r="H358" s="18">
        <f>'Sampling Data'!G358</f>
        <v>0</v>
      </c>
      <c r="I358" s="18">
        <f>'Sampling Data'!H358</f>
        <v>0</v>
      </c>
      <c r="J358" s="18">
        <f>'Sampling Data'!I358</f>
        <v>0</v>
      </c>
      <c r="K358" s="18">
        <f>'Sampling Data'!J358</f>
        <v>0</v>
      </c>
      <c r="L358" s="18">
        <f>'Sampling Data'!K358</f>
        <v>0</v>
      </c>
      <c r="M358" s="18">
        <f>'Sampling Data'!L358</f>
        <v>0</v>
      </c>
      <c r="N358" s="18">
        <f>'Sampling Data'!M358</f>
        <v>0</v>
      </c>
      <c r="O358" s="17">
        <f>'Sampling Data'!N358</f>
        <v>0</v>
      </c>
      <c r="P358" s="17">
        <f>'Sampling Data'!O358</f>
        <v>18</v>
      </c>
      <c r="Q358" s="17">
        <f>'Sampling Data'!P358</f>
        <v>385</v>
      </c>
      <c r="R358" s="17">
        <f>'Sampling Data'!AJ358</f>
        <v>0</v>
      </c>
      <c r="S358" s="111"/>
      <c r="T358" s="111"/>
      <c r="U358" s="112"/>
      <c r="V358" s="112"/>
      <c r="W358" s="111"/>
      <c r="X358" s="111"/>
      <c r="Y358" s="111"/>
      <c r="Z358" s="111"/>
      <c r="AA358" s="14"/>
      <c r="AB358" s="14"/>
      <c r="AC358" s="14"/>
      <c r="AD358" s="14"/>
      <c r="AE358" s="113" t="str">
        <f>IF(NOT(ISBLANK(Audit[[#This Row],[Audit Winning Candidate]])), Audit[[#This Row],[Audit Winning Candidate]]-Audit[[#This Row],[Winning Candidate]], "")</f>
        <v/>
      </c>
      <c r="AF358" s="17" t="str">
        <f>IF(NOT(ISBLANK(Audit[[#This Row],[Audit Losing Candidate]])), Audit[[#This Row],[Audit Losing Candidate]]-Audit[[#This Row],[Losing Candidate]], "")</f>
        <v/>
      </c>
      <c r="AG358" s="17" t="str">
        <f>IF(NOT(ISBLANK(Audit[[#This Row],[Audit Candidate 3]])), Audit[[#This Row],[Audit Candidate 3]]-Audit[[#This Row],[Candidate 3]], "")</f>
        <v/>
      </c>
      <c r="AH358" s="17" t="str">
        <f>IF(NOT(ISBLANK(Audit[[#This Row],[Audit Candidate 4]])),Audit[[#This Row],[Audit Candidate 4]]-Audit[[#This Row],[Candidate 4]], "")</f>
        <v/>
      </c>
      <c r="AI358" s="17" t="str">
        <f>IF(NOT(ISBLANK(Audit[[#This Row],[Audit Candidate 5]])), Audit[[#This Row],[Audit Candidate 5]]-Audit[[#This Row],[Candidate 5]], "")</f>
        <v/>
      </c>
      <c r="AJ358" s="17" t="str">
        <f>IF(NOT(ISBLANK(Audit[[#This Row],[Audit Candidate 6]])), Audit[[#This Row],[Audit Candidate 6]]-Audit[[#This Row],[Candidate 6]], "")</f>
        <v/>
      </c>
      <c r="AK358" s="17" t="str">
        <f>IF(NOT(ISBLANK(Audit[[#This Row],[Audit Candidate 7]])), Audit[[#This Row],[Audit Candidate 7]]-Audit[[#This Row],[Candidate 7]], "")</f>
        <v/>
      </c>
      <c r="AL358" s="17" t="str">
        <f>IF(NOT(ISBLANK(Audit[[#This Row],[Audit Candidate 8]])), Audit[[#This Row],[Audit Candidate 8]]-Audit[[#This Row],[Candidate 8]], "")</f>
        <v/>
      </c>
      <c r="AM358" s="17" t="str">
        <f>IF(NOT(ISBLANK(Audit[[#This Row],[Audit Candidate 9]])), Audit[[#This Row],[Audit Candidate 9]]-Audit[[#This Row],[Candidate 9]], "")</f>
        <v/>
      </c>
      <c r="AN358" s="17" t="str">
        <f>IF(NOT(ISBLANK(Audit[[#This Row],[Audit Candidate 10]])), Audit[[#This Row],[Audit Candidate 10]]-Audit[[#This Row],[Candidate 10]], "")</f>
        <v/>
      </c>
      <c r="AO358" s="17" t="str">
        <f>IF(NOT(ISBLANK(Audit[[#This Row],[Audit Candidate 11]])), Audit[[#This Row],[Audit Candidate 11]]-Audit[[#This Row],[Candidate 11]], "")</f>
        <v/>
      </c>
      <c r="AP358" s="17" t="str">
        <f>IF(NOT(ISBLANK(Audit[[#This Row],[Audit Candidate 12]])), Audit[[#This Row],[Audit Candidate 12]]-Audit[[#This Row],[Candidate 12]], "")</f>
        <v/>
      </c>
      <c r="AQ358" s="17">
        <f>SUMIF(Audit[[#This Row],[Difference Winner]:[Difference Candidate 12]], "&gt;0")</f>
        <v>0</v>
      </c>
      <c r="AR358" s="17">
        <f>SUM(Audit[[#This Row],[Difference Winner]:[Difference Candidate 12]])</f>
        <v>0</v>
      </c>
      <c r="AS358" s="17">
        <f>IF(Audit[[#This Row],[Times p Drawn - With Replacement]]&gt;0, IF(Audit[[#This Row],[Canceled Differences]]&lt;0, Audit[[#This Row],[Max Differences]]+ABS(Audit[[#This Row],[Canceled Differences]]), Audit[[#This Row],[Max Differences]]), 0)</f>
        <v>0</v>
      </c>
      <c r="AT358" s="17">
        <f>'Sampling Data'!AB358</f>
        <v>9.3362756747581051E-3</v>
      </c>
      <c r="AU358" s="17">
        <f>IF(
      SUM(Audit[[#This Row],[Audit Losing Candidate]:[Audit Candidate 12]])
      &lt;&gt;0,
      (Audit[[#This Row],[Winning Candidate]]-Audit[[#This Row],[Losing Candidate]]-(Audit[[#This Row],[Audit Winning Candidate]]-Audit[[#This Row],[Audit Losing Candidate]]))/(Audit[[#Totals],[Winning Candidate]]-Audit[[#Totals],[Losing Candidate]]),
      0
)</f>
        <v>0</v>
      </c>
      <c r="AV3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8" s="17">
        <f>IF(Audit[[#This Row],[Max Relative Error (ep)]] = 0, 0, Audit[[#This Row],[Max Relative Error (ep)]]/Audit[[#This Row],[Error Bound (up) - Max. possible relative overstatement]])</f>
        <v>0</v>
      </c>
      <c r="BH3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58" s="17">
        <f t="shared" si="6"/>
        <v>1</v>
      </c>
      <c r="BJ358" s="17">
        <f>PRODUCT($BI$5:BI358)</f>
        <v>0.48901700950994259</v>
      </c>
      <c r="BK358" s="19">
        <f>1 - Audit[[#This Row],[K-M P Value]]</f>
        <v>0.51098299049005735</v>
      </c>
      <c r="BL358" s="17" t="str">
        <f>IF(Audit[[#This Row],[K-M P Value]]&gt;1-'General Info'!$B$12,"Continue", "Stop")</f>
        <v>Continue</v>
      </c>
      <c r="BM358" s="22" t="b">
        <f>IF(Audit[[#This Row],[Status - Continue or stop audit]] = "Continue", TRUE, IF(BL357 = "Continue", TRUE, FALSE))</f>
        <v>1</v>
      </c>
      <c r="BN358" s="22"/>
    </row>
    <row r="359" spans="1:66" ht="15" hidden="1" customHeight="1" x14ac:dyDescent="0.35">
      <c r="A359" s="17" t="str">
        <f>'Sampling Data'!AI359</f>
        <v/>
      </c>
      <c r="B359" s="17" t="str">
        <f>'Sampling Data'!A359</f>
        <v>5907 COLE G   (AV)</v>
      </c>
      <c r="C359" s="17">
        <f>'Sampling Data'!B359</f>
        <v>99</v>
      </c>
      <c r="D359" s="17">
        <f>'Sampling Data'!C359</f>
        <v>234</v>
      </c>
      <c r="E359" s="18">
        <f>'Sampling Data'!D359</f>
        <v>0</v>
      </c>
      <c r="F359" s="18">
        <f>'Sampling Data'!E359</f>
        <v>0</v>
      </c>
      <c r="G359" s="18">
        <f>'Sampling Data'!F359</f>
        <v>0</v>
      </c>
      <c r="H359" s="18">
        <f>'Sampling Data'!G359</f>
        <v>0</v>
      </c>
      <c r="I359" s="18">
        <f>'Sampling Data'!H359</f>
        <v>0</v>
      </c>
      <c r="J359" s="18">
        <f>'Sampling Data'!I359</f>
        <v>0</v>
      </c>
      <c r="K359" s="18">
        <f>'Sampling Data'!J359</f>
        <v>0</v>
      </c>
      <c r="L359" s="18">
        <f>'Sampling Data'!K359</f>
        <v>0</v>
      </c>
      <c r="M359" s="18">
        <f>'Sampling Data'!L359</f>
        <v>0</v>
      </c>
      <c r="N359" s="18">
        <f>'Sampling Data'!M359</f>
        <v>0</v>
      </c>
      <c r="O359" s="17">
        <f>'Sampling Data'!N359</f>
        <v>0</v>
      </c>
      <c r="P359" s="17">
        <f>'Sampling Data'!O359</f>
        <v>12</v>
      </c>
      <c r="Q359" s="17">
        <f>'Sampling Data'!P359</f>
        <v>345</v>
      </c>
      <c r="R359" s="17">
        <f>'Sampling Data'!AJ359</f>
        <v>0</v>
      </c>
      <c r="S359" s="111"/>
      <c r="T359" s="111"/>
      <c r="U359" s="112"/>
      <c r="V359" s="112"/>
      <c r="W359" s="111"/>
      <c r="X359" s="111"/>
      <c r="Y359" s="111"/>
      <c r="Z359" s="111"/>
      <c r="AA359" s="14"/>
      <c r="AB359" s="14"/>
      <c r="AC359" s="14"/>
      <c r="AD359" s="14"/>
      <c r="AE359" s="113" t="str">
        <f>IF(NOT(ISBLANK(Audit[[#This Row],[Audit Winning Candidate]])), Audit[[#This Row],[Audit Winning Candidate]]-Audit[[#This Row],[Winning Candidate]], "")</f>
        <v/>
      </c>
      <c r="AF359" s="17" t="str">
        <f>IF(NOT(ISBLANK(Audit[[#This Row],[Audit Losing Candidate]])), Audit[[#This Row],[Audit Losing Candidate]]-Audit[[#This Row],[Losing Candidate]], "")</f>
        <v/>
      </c>
      <c r="AG359" s="17" t="str">
        <f>IF(NOT(ISBLANK(Audit[[#This Row],[Audit Candidate 3]])), Audit[[#This Row],[Audit Candidate 3]]-Audit[[#This Row],[Candidate 3]], "")</f>
        <v/>
      </c>
      <c r="AH359" s="17" t="str">
        <f>IF(NOT(ISBLANK(Audit[[#This Row],[Audit Candidate 4]])),Audit[[#This Row],[Audit Candidate 4]]-Audit[[#This Row],[Candidate 4]], "")</f>
        <v/>
      </c>
      <c r="AI359" s="17" t="str">
        <f>IF(NOT(ISBLANK(Audit[[#This Row],[Audit Candidate 5]])), Audit[[#This Row],[Audit Candidate 5]]-Audit[[#This Row],[Candidate 5]], "")</f>
        <v/>
      </c>
      <c r="AJ359" s="17" t="str">
        <f>IF(NOT(ISBLANK(Audit[[#This Row],[Audit Candidate 6]])), Audit[[#This Row],[Audit Candidate 6]]-Audit[[#This Row],[Candidate 6]], "")</f>
        <v/>
      </c>
      <c r="AK359" s="17" t="str">
        <f>IF(NOT(ISBLANK(Audit[[#This Row],[Audit Candidate 7]])), Audit[[#This Row],[Audit Candidate 7]]-Audit[[#This Row],[Candidate 7]], "")</f>
        <v/>
      </c>
      <c r="AL359" s="17" t="str">
        <f>IF(NOT(ISBLANK(Audit[[#This Row],[Audit Candidate 8]])), Audit[[#This Row],[Audit Candidate 8]]-Audit[[#This Row],[Candidate 8]], "")</f>
        <v/>
      </c>
      <c r="AM359" s="17" t="str">
        <f>IF(NOT(ISBLANK(Audit[[#This Row],[Audit Candidate 9]])), Audit[[#This Row],[Audit Candidate 9]]-Audit[[#This Row],[Candidate 9]], "")</f>
        <v/>
      </c>
      <c r="AN359" s="17" t="str">
        <f>IF(NOT(ISBLANK(Audit[[#This Row],[Audit Candidate 10]])), Audit[[#This Row],[Audit Candidate 10]]-Audit[[#This Row],[Candidate 10]], "")</f>
        <v/>
      </c>
      <c r="AO359" s="17" t="str">
        <f>IF(NOT(ISBLANK(Audit[[#This Row],[Audit Candidate 11]])), Audit[[#This Row],[Audit Candidate 11]]-Audit[[#This Row],[Candidate 11]], "")</f>
        <v/>
      </c>
      <c r="AP359" s="17" t="str">
        <f>IF(NOT(ISBLANK(Audit[[#This Row],[Audit Candidate 12]])), Audit[[#This Row],[Audit Candidate 12]]-Audit[[#This Row],[Candidate 12]], "")</f>
        <v/>
      </c>
      <c r="AQ359" s="17">
        <f>SUMIF(Audit[[#This Row],[Difference Winner]:[Difference Candidate 12]], "&gt;0")</f>
        <v>0</v>
      </c>
      <c r="AR359" s="17">
        <f>SUM(Audit[[#This Row],[Difference Winner]:[Difference Candidate 12]])</f>
        <v>0</v>
      </c>
      <c r="AS359" s="17">
        <f>IF(Audit[[#This Row],[Times p Drawn - With Replacement]]&gt;0, IF(Audit[[#This Row],[Canceled Differences]]&lt;0, Audit[[#This Row],[Max Differences]]+ABS(Audit[[#This Row],[Canceled Differences]]), Audit[[#This Row],[Max Differences]]), 0)</f>
        <v>0</v>
      </c>
      <c r="AT359" s="17">
        <f>'Sampling Data'!AB359</f>
        <v>8.911899507723647E-3</v>
      </c>
      <c r="AU359" s="17">
        <f>IF(
      SUM(Audit[[#This Row],[Audit Losing Candidate]:[Audit Candidate 12]])
      &lt;&gt;0,
      (Audit[[#This Row],[Winning Candidate]]-Audit[[#This Row],[Losing Candidate]]-(Audit[[#This Row],[Audit Winning Candidate]]-Audit[[#This Row],[Audit Losing Candidate]]))/(Audit[[#Totals],[Winning Candidate]]-Audit[[#Totals],[Losing Candidate]]),
      0
)</f>
        <v>0</v>
      </c>
      <c r="AV3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9" s="17">
        <f>IF(Audit[[#This Row],[Max Relative Error (ep)]] = 0, 0, Audit[[#This Row],[Max Relative Error (ep)]]/Audit[[#This Row],[Error Bound (up) - Max. possible relative overstatement]])</f>
        <v>0</v>
      </c>
      <c r="BH3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59" s="17">
        <f t="shared" si="6"/>
        <v>1</v>
      </c>
      <c r="BJ359" s="17">
        <f>PRODUCT($BI$5:BI359)</f>
        <v>0.48901700950994259</v>
      </c>
      <c r="BK359" s="19">
        <f>1 - Audit[[#This Row],[K-M P Value]]</f>
        <v>0.51098299049005735</v>
      </c>
      <c r="BL359" s="17" t="str">
        <f>IF(Audit[[#This Row],[K-M P Value]]&gt;1-'General Info'!$B$12,"Continue", "Stop")</f>
        <v>Continue</v>
      </c>
      <c r="BM359" s="22" t="b">
        <f>IF(Audit[[#This Row],[Status - Continue or stop audit]] = "Continue", TRUE, IF(BL358 = "Continue", TRUE, FALSE))</f>
        <v>1</v>
      </c>
      <c r="BN359" s="22"/>
    </row>
    <row r="360" spans="1:66" ht="15" hidden="1" customHeight="1" x14ac:dyDescent="0.35">
      <c r="A360" s="17" t="str">
        <f>'Sampling Data'!AI360</f>
        <v/>
      </c>
      <c r="B360" s="17" t="str">
        <f>'Sampling Data'!A360</f>
        <v>5908 COLE H   (AV)</v>
      </c>
      <c r="C360" s="17">
        <f>'Sampling Data'!B360</f>
        <v>218</v>
      </c>
      <c r="D360" s="17">
        <f>'Sampling Data'!C360</f>
        <v>217</v>
      </c>
      <c r="E360" s="18">
        <f>'Sampling Data'!D360</f>
        <v>0</v>
      </c>
      <c r="F360" s="18">
        <f>'Sampling Data'!E360</f>
        <v>0</v>
      </c>
      <c r="G360" s="18">
        <f>'Sampling Data'!F360</f>
        <v>0</v>
      </c>
      <c r="H360" s="18">
        <f>'Sampling Data'!G360</f>
        <v>0</v>
      </c>
      <c r="I360" s="18">
        <f>'Sampling Data'!H360</f>
        <v>0</v>
      </c>
      <c r="J360" s="18">
        <f>'Sampling Data'!I360</f>
        <v>0</v>
      </c>
      <c r="K360" s="18">
        <f>'Sampling Data'!J360</f>
        <v>0</v>
      </c>
      <c r="L360" s="18">
        <f>'Sampling Data'!K360</f>
        <v>0</v>
      </c>
      <c r="M360" s="18">
        <f>'Sampling Data'!L360</f>
        <v>0</v>
      </c>
      <c r="N360" s="18">
        <f>'Sampling Data'!M360</f>
        <v>0</v>
      </c>
      <c r="O360" s="17">
        <f>'Sampling Data'!N360</f>
        <v>0</v>
      </c>
      <c r="P360" s="17">
        <f>'Sampling Data'!O360</f>
        <v>19</v>
      </c>
      <c r="Q360" s="17">
        <f>'Sampling Data'!P360</f>
        <v>454</v>
      </c>
      <c r="R360" s="17">
        <f>'Sampling Data'!AJ360</f>
        <v>0</v>
      </c>
      <c r="S360" s="111"/>
      <c r="T360" s="111"/>
      <c r="U360" s="112"/>
      <c r="V360" s="112"/>
      <c r="W360" s="111"/>
      <c r="X360" s="111"/>
      <c r="Y360" s="111"/>
      <c r="Z360" s="111"/>
      <c r="AA360" s="14"/>
      <c r="AB360" s="14"/>
      <c r="AC360" s="14"/>
      <c r="AD360" s="14"/>
      <c r="AE360" s="113" t="str">
        <f>IF(NOT(ISBLANK(Audit[[#This Row],[Audit Winning Candidate]])), Audit[[#This Row],[Audit Winning Candidate]]-Audit[[#This Row],[Winning Candidate]], "")</f>
        <v/>
      </c>
      <c r="AF360" s="17" t="str">
        <f>IF(NOT(ISBLANK(Audit[[#This Row],[Audit Losing Candidate]])), Audit[[#This Row],[Audit Losing Candidate]]-Audit[[#This Row],[Losing Candidate]], "")</f>
        <v/>
      </c>
      <c r="AG360" s="17" t="str">
        <f>IF(NOT(ISBLANK(Audit[[#This Row],[Audit Candidate 3]])), Audit[[#This Row],[Audit Candidate 3]]-Audit[[#This Row],[Candidate 3]], "")</f>
        <v/>
      </c>
      <c r="AH360" s="17" t="str">
        <f>IF(NOT(ISBLANK(Audit[[#This Row],[Audit Candidate 4]])),Audit[[#This Row],[Audit Candidate 4]]-Audit[[#This Row],[Candidate 4]], "")</f>
        <v/>
      </c>
      <c r="AI360" s="17" t="str">
        <f>IF(NOT(ISBLANK(Audit[[#This Row],[Audit Candidate 5]])), Audit[[#This Row],[Audit Candidate 5]]-Audit[[#This Row],[Candidate 5]], "")</f>
        <v/>
      </c>
      <c r="AJ360" s="17" t="str">
        <f>IF(NOT(ISBLANK(Audit[[#This Row],[Audit Candidate 6]])), Audit[[#This Row],[Audit Candidate 6]]-Audit[[#This Row],[Candidate 6]], "")</f>
        <v/>
      </c>
      <c r="AK360" s="17" t="str">
        <f>IF(NOT(ISBLANK(Audit[[#This Row],[Audit Candidate 7]])), Audit[[#This Row],[Audit Candidate 7]]-Audit[[#This Row],[Candidate 7]], "")</f>
        <v/>
      </c>
      <c r="AL360" s="17" t="str">
        <f>IF(NOT(ISBLANK(Audit[[#This Row],[Audit Candidate 8]])), Audit[[#This Row],[Audit Candidate 8]]-Audit[[#This Row],[Candidate 8]], "")</f>
        <v/>
      </c>
      <c r="AM360" s="17" t="str">
        <f>IF(NOT(ISBLANK(Audit[[#This Row],[Audit Candidate 9]])), Audit[[#This Row],[Audit Candidate 9]]-Audit[[#This Row],[Candidate 9]], "")</f>
        <v/>
      </c>
      <c r="AN360" s="17" t="str">
        <f>IF(NOT(ISBLANK(Audit[[#This Row],[Audit Candidate 10]])), Audit[[#This Row],[Audit Candidate 10]]-Audit[[#This Row],[Candidate 10]], "")</f>
        <v/>
      </c>
      <c r="AO360" s="17" t="str">
        <f>IF(NOT(ISBLANK(Audit[[#This Row],[Audit Candidate 11]])), Audit[[#This Row],[Audit Candidate 11]]-Audit[[#This Row],[Candidate 11]], "")</f>
        <v/>
      </c>
      <c r="AP360" s="17" t="str">
        <f>IF(NOT(ISBLANK(Audit[[#This Row],[Audit Candidate 12]])), Audit[[#This Row],[Audit Candidate 12]]-Audit[[#This Row],[Candidate 12]], "")</f>
        <v/>
      </c>
      <c r="AQ360" s="17">
        <f>SUMIF(Audit[[#This Row],[Difference Winner]:[Difference Candidate 12]], "&gt;0")</f>
        <v>0</v>
      </c>
      <c r="AR360" s="17">
        <f>SUM(Audit[[#This Row],[Difference Winner]:[Difference Candidate 12]])</f>
        <v>0</v>
      </c>
      <c r="AS360" s="17">
        <f>IF(Audit[[#This Row],[Times p Drawn - With Replacement]]&gt;0, IF(Audit[[#This Row],[Canceled Differences]]&lt;0, Audit[[#This Row],[Max Differences]]+ABS(Audit[[#This Row],[Canceled Differences]]), Audit[[#This Row],[Max Differences]]), 0)</f>
        <v>0</v>
      </c>
      <c r="AT360" s="17">
        <f>'Sampling Data'!AB360</f>
        <v>1.93091156000679E-2</v>
      </c>
      <c r="AU360" s="17">
        <f>IF(
      SUM(Audit[[#This Row],[Audit Losing Candidate]:[Audit Candidate 12]])
      &lt;&gt;0,
      (Audit[[#This Row],[Winning Candidate]]-Audit[[#This Row],[Losing Candidate]]-(Audit[[#This Row],[Audit Winning Candidate]]-Audit[[#This Row],[Audit Losing Candidate]]))/(Audit[[#Totals],[Winning Candidate]]-Audit[[#Totals],[Losing Candidate]]),
      0
)</f>
        <v>0</v>
      </c>
      <c r="AV3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0" s="17">
        <f>IF(Audit[[#This Row],[Max Relative Error (ep)]] = 0, 0, Audit[[#This Row],[Max Relative Error (ep)]]/Audit[[#This Row],[Error Bound (up) - Max. possible relative overstatement]])</f>
        <v>0</v>
      </c>
      <c r="BH3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60" s="17">
        <f t="shared" si="6"/>
        <v>1</v>
      </c>
      <c r="BJ360" s="17">
        <f>PRODUCT($BI$5:BI360)</f>
        <v>0.48901700950994259</v>
      </c>
      <c r="BK360" s="19">
        <f>1 - Audit[[#This Row],[K-M P Value]]</f>
        <v>0.51098299049005735</v>
      </c>
      <c r="BL360" s="17" t="str">
        <f>IF(Audit[[#This Row],[K-M P Value]]&gt;1-'General Info'!$B$12,"Continue", "Stop")</f>
        <v>Continue</v>
      </c>
      <c r="BM360" s="22" t="b">
        <f>IF(Audit[[#This Row],[Status - Continue or stop audit]] = "Continue", TRUE, IF(BL359 = "Continue", TRUE, FALSE))</f>
        <v>1</v>
      </c>
      <c r="BN360" s="22"/>
    </row>
    <row r="361" spans="1:66" ht="15" hidden="1" customHeight="1" x14ac:dyDescent="0.35">
      <c r="A361" s="17" t="str">
        <f>'Sampling Data'!AI361</f>
        <v/>
      </c>
      <c r="B361" s="17" t="str">
        <f>'Sampling Data'!A361</f>
        <v>5909 COLE I   (AV)</v>
      </c>
      <c r="C361" s="17">
        <f>'Sampling Data'!B361</f>
        <v>67</v>
      </c>
      <c r="D361" s="17">
        <f>'Sampling Data'!C361</f>
        <v>155</v>
      </c>
      <c r="E361" s="18">
        <f>'Sampling Data'!D361</f>
        <v>0</v>
      </c>
      <c r="F361" s="18">
        <f>'Sampling Data'!E361</f>
        <v>0</v>
      </c>
      <c r="G361" s="18">
        <f>'Sampling Data'!F361</f>
        <v>0</v>
      </c>
      <c r="H361" s="18">
        <f>'Sampling Data'!G361</f>
        <v>0</v>
      </c>
      <c r="I361" s="18">
        <f>'Sampling Data'!H361</f>
        <v>0</v>
      </c>
      <c r="J361" s="18">
        <f>'Sampling Data'!I361</f>
        <v>0</v>
      </c>
      <c r="K361" s="18">
        <f>'Sampling Data'!J361</f>
        <v>0</v>
      </c>
      <c r="L361" s="18">
        <f>'Sampling Data'!K361</f>
        <v>0</v>
      </c>
      <c r="M361" s="18">
        <f>'Sampling Data'!L361</f>
        <v>0</v>
      </c>
      <c r="N361" s="18">
        <f>'Sampling Data'!M361</f>
        <v>0</v>
      </c>
      <c r="O361" s="17">
        <f>'Sampling Data'!N361</f>
        <v>0</v>
      </c>
      <c r="P361" s="17">
        <f>'Sampling Data'!O361</f>
        <v>10</v>
      </c>
      <c r="Q361" s="17">
        <f>'Sampling Data'!P361</f>
        <v>232</v>
      </c>
      <c r="R361" s="17">
        <f>'Sampling Data'!AJ361</f>
        <v>0</v>
      </c>
      <c r="S361" s="111"/>
      <c r="T361" s="111"/>
      <c r="U361" s="112"/>
      <c r="V361" s="112"/>
      <c r="W361" s="111"/>
      <c r="X361" s="111"/>
      <c r="Y361" s="111"/>
      <c r="Z361" s="111"/>
      <c r="AA361" s="14"/>
      <c r="AB361" s="14"/>
      <c r="AC361" s="14"/>
      <c r="AD361" s="14"/>
      <c r="AE361" s="113" t="str">
        <f>IF(NOT(ISBLANK(Audit[[#This Row],[Audit Winning Candidate]])), Audit[[#This Row],[Audit Winning Candidate]]-Audit[[#This Row],[Winning Candidate]], "")</f>
        <v/>
      </c>
      <c r="AF361" s="17" t="str">
        <f>IF(NOT(ISBLANK(Audit[[#This Row],[Audit Losing Candidate]])), Audit[[#This Row],[Audit Losing Candidate]]-Audit[[#This Row],[Losing Candidate]], "")</f>
        <v/>
      </c>
      <c r="AG361" s="17" t="str">
        <f>IF(NOT(ISBLANK(Audit[[#This Row],[Audit Candidate 3]])), Audit[[#This Row],[Audit Candidate 3]]-Audit[[#This Row],[Candidate 3]], "")</f>
        <v/>
      </c>
      <c r="AH361" s="17" t="str">
        <f>IF(NOT(ISBLANK(Audit[[#This Row],[Audit Candidate 4]])),Audit[[#This Row],[Audit Candidate 4]]-Audit[[#This Row],[Candidate 4]], "")</f>
        <v/>
      </c>
      <c r="AI361" s="17" t="str">
        <f>IF(NOT(ISBLANK(Audit[[#This Row],[Audit Candidate 5]])), Audit[[#This Row],[Audit Candidate 5]]-Audit[[#This Row],[Candidate 5]], "")</f>
        <v/>
      </c>
      <c r="AJ361" s="17" t="str">
        <f>IF(NOT(ISBLANK(Audit[[#This Row],[Audit Candidate 6]])), Audit[[#This Row],[Audit Candidate 6]]-Audit[[#This Row],[Candidate 6]], "")</f>
        <v/>
      </c>
      <c r="AK361" s="17" t="str">
        <f>IF(NOT(ISBLANK(Audit[[#This Row],[Audit Candidate 7]])), Audit[[#This Row],[Audit Candidate 7]]-Audit[[#This Row],[Candidate 7]], "")</f>
        <v/>
      </c>
      <c r="AL361" s="17" t="str">
        <f>IF(NOT(ISBLANK(Audit[[#This Row],[Audit Candidate 8]])), Audit[[#This Row],[Audit Candidate 8]]-Audit[[#This Row],[Candidate 8]], "")</f>
        <v/>
      </c>
      <c r="AM361" s="17" t="str">
        <f>IF(NOT(ISBLANK(Audit[[#This Row],[Audit Candidate 9]])), Audit[[#This Row],[Audit Candidate 9]]-Audit[[#This Row],[Candidate 9]], "")</f>
        <v/>
      </c>
      <c r="AN361" s="17" t="str">
        <f>IF(NOT(ISBLANK(Audit[[#This Row],[Audit Candidate 10]])), Audit[[#This Row],[Audit Candidate 10]]-Audit[[#This Row],[Candidate 10]], "")</f>
        <v/>
      </c>
      <c r="AO361" s="17" t="str">
        <f>IF(NOT(ISBLANK(Audit[[#This Row],[Audit Candidate 11]])), Audit[[#This Row],[Audit Candidate 11]]-Audit[[#This Row],[Candidate 11]], "")</f>
        <v/>
      </c>
      <c r="AP361" s="17" t="str">
        <f>IF(NOT(ISBLANK(Audit[[#This Row],[Audit Candidate 12]])), Audit[[#This Row],[Audit Candidate 12]]-Audit[[#This Row],[Candidate 12]], "")</f>
        <v/>
      </c>
      <c r="AQ361" s="17">
        <f>SUMIF(Audit[[#This Row],[Difference Winner]:[Difference Candidate 12]], "&gt;0")</f>
        <v>0</v>
      </c>
      <c r="AR361" s="17">
        <f>SUM(Audit[[#This Row],[Difference Winner]:[Difference Candidate 12]])</f>
        <v>0</v>
      </c>
      <c r="AS361" s="17">
        <f>IF(Audit[[#This Row],[Times p Drawn - With Replacement]]&gt;0, IF(Audit[[#This Row],[Canceled Differences]]&lt;0, Audit[[#This Row],[Max Differences]]+ABS(Audit[[#This Row],[Canceled Differences]]), Audit[[#This Row],[Max Differences]]), 0)</f>
        <v>0</v>
      </c>
      <c r="AT361" s="17">
        <f>'Sampling Data'!AB361</f>
        <v>6.1110168052962146E-3</v>
      </c>
      <c r="AU361" s="17">
        <f>IF(
      SUM(Audit[[#This Row],[Audit Losing Candidate]:[Audit Candidate 12]])
      &lt;&gt;0,
      (Audit[[#This Row],[Winning Candidate]]-Audit[[#This Row],[Losing Candidate]]-(Audit[[#This Row],[Audit Winning Candidate]]-Audit[[#This Row],[Audit Losing Candidate]]))/(Audit[[#Totals],[Winning Candidate]]-Audit[[#Totals],[Losing Candidate]]),
      0
)</f>
        <v>0</v>
      </c>
      <c r="AV3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1" s="17">
        <f>IF(Audit[[#This Row],[Max Relative Error (ep)]] = 0, 0, Audit[[#This Row],[Max Relative Error (ep)]]/Audit[[#This Row],[Error Bound (up) - Max. possible relative overstatement]])</f>
        <v>0</v>
      </c>
      <c r="BH3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61" s="17">
        <f t="shared" si="6"/>
        <v>1</v>
      </c>
      <c r="BJ361" s="17">
        <f>PRODUCT($BI$5:BI361)</f>
        <v>0.48901700950994259</v>
      </c>
      <c r="BK361" s="19">
        <f>1 - Audit[[#This Row],[K-M P Value]]</f>
        <v>0.51098299049005735</v>
      </c>
      <c r="BL361" s="17" t="str">
        <f>IF(Audit[[#This Row],[K-M P Value]]&gt;1-'General Info'!$B$12,"Continue", "Stop")</f>
        <v>Continue</v>
      </c>
      <c r="BM361" s="22" t="b">
        <f>IF(Audit[[#This Row],[Status - Continue or stop audit]] = "Continue", TRUE, IF(BL360 = "Continue", TRUE, FALSE))</f>
        <v>1</v>
      </c>
      <c r="BN361" s="22"/>
    </row>
    <row r="362" spans="1:66" ht="15" hidden="1" customHeight="1" x14ac:dyDescent="0.35">
      <c r="A362" s="17" t="str">
        <f>'Sampling Data'!AI362</f>
        <v/>
      </c>
      <c r="B362" s="17" t="str">
        <f>'Sampling Data'!A362</f>
        <v>5910 COLE J   (AV)</v>
      </c>
      <c r="C362" s="17">
        <f>'Sampling Data'!B362</f>
        <v>146</v>
      </c>
      <c r="D362" s="17">
        <f>'Sampling Data'!C362</f>
        <v>138</v>
      </c>
      <c r="E362" s="18">
        <f>'Sampling Data'!D362</f>
        <v>0</v>
      </c>
      <c r="F362" s="18">
        <f>'Sampling Data'!E362</f>
        <v>0</v>
      </c>
      <c r="G362" s="18">
        <f>'Sampling Data'!F362</f>
        <v>0</v>
      </c>
      <c r="H362" s="18">
        <f>'Sampling Data'!G362</f>
        <v>0</v>
      </c>
      <c r="I362" s="18">
        <f>'Sampling Data'!H362</f>
        <v>0</v>
      </c>
      <c r="J362" s="18">
        <f>'Sampling Data'!I362</f>
        <v>0</v>
      </c>
      <c r="K362" s="18">
        <f>'Sampling Data'!J362</f>
        <v>0</v>
      </c>
      <c r="L362" s="18">
        <f>'Sampling Data'!K362</f>
        <v>0</v>
      </c>
      <c r="M362" s="18">
        <f>'Sampling Data'!L362</f>
        <v>0</v>
      </c>
      <c r="N362" s="18">
        <f>'Sampling Data'!M362</f>
        <v>0</v>
      </c>
      <c r="O362" s="17">
        <f>'Sampling Data'!N362</f>
        <v>0</v>
      </c>
      <c r="P362" s="17">
        <f>'Sampling Data'!O362</f>
        <v>19</v>
      </c>
      <c r="Q362" s="17">
        <f>'Sampling Data'!P362</f>
        <v>303</v>
      </c>
      <c r="R362" s="17">
        <f>'Sampling Data'!AJ362</f>
        <v>0</v>
      </c>
      <c r="S362" s="111"/>
      <c r="T362" s="111"/>
      <c r="U362" s="112"/>
      <c r="V362" s="112"/>
      <c r="W362" s="111"/>
      <c r="X362" s="111"/>
      <c r="Y362" s="111"/>
      <c r="Z362" s="111"/>
      <c r="AA362" s="14"/>
      <c r="AB362" s="14"/>
      <c r="AC362" s="14"/>
      <c r="AD362" s="14"/>
      <c r="AE362" s="113" t="str">
        <f>IF(NOT(ISBLANK(Audit[[#This Row],[Audit Winning Candidate]])), Audit[[#This Row],[Audit Winning Candidate]]-Audit[[#This Row],[Winning Candidate]], "")</f>
        <v/>
      </c>
      <c r="AF362" s="17" t="str">
        <f>IF(NOT(ISBLANK(Audit[[#This Row],[Audit Losing Candidate]])), Audit[[#This Row],[Audit Losing Candidate]]-Audit[[#This Row],[Losing Candidate]], "")</f>
        <v/>
      </c>
      <c r="AG362" s="17" t="str">
        <f>IF(NOT(ISBLANK(Audit[[#This Row],[Audit Candidate 3]])), Audit[[#This Row],[Audit Candidate 3]]-Audit[[#This Row],[Candidate 3]], "")</f>
        <v/>
      </c>
      <c r="AH362" s="17" t="str">
        <f>IF(NOT(ISBLANK(Audit[[#This Row],[Audit Candidate 4]])),Audit[[#This Row],[Audit Candidate 4]]-Audit[[#This Row],[Candidate 4]], "")</f>
        <v/>
      </c>
      <c r="AI362" s="17" t="str">
        <f>IF(NOT(ISBLANK(Audit[[#This Row],[Audit Candidate 5]])), Audit[[#This Row],[Audit Candidate 5]]-Audit[[#This Row],[Candidate 5]], "")</f>
        <v/>
      </c>
      <c r="AJ362" s="17" t="str">
        <f>IF(NOT(ISBLANK(Audit[[#This Row],[Audit Candidate 6]])), Audit[[#This Row],[Audit Candidate 6]]-Audit[[#This Row],[Candidate 6]], "")</f>
        <v/>
      </c>
      <c r="AK362" s="17" t="str">
        <f>IF(NOT(ISBLANK(Audit[[#This Row],[Audit Candidate 7]])), Audit[[#This Row],[Audit Candidate 7]]-Audit[[#This Row],[Candidate 7]], "")</f>
        <v/>
      </c>
      <c r="AL362" s="17" t="str">
        <f>IF(NOT(ISBLANK(Audit[[#This Row],[Audit Candidate 8]])), Audit[[#This Row],[Audit Candidate 8]]-Audit[[#This Row],[Candidate 8]], "")</f>
        <v/>
      </c>
      <c r="AM362" s="17" t="str">
        <f>IF(NOT(ISBLANK(Audit[[#This Row],[Audit Candidate 9]])), Audit[[#This Row],[Audit Candidate 9]]-Audit[[#This Row],[Candidate 9]], "")</f>
        <v/>
      </c>
      <c r="AN362" s="17" t="str">
        <f>IF(NOT(ISBLANK(Audit[[#This Row],[Audit Candidate 10]])), Audit[[#This Row],[Audit Candidate 10]]-Audit[[#This Row],[Candidate 10]], "")</f>
        <v/>
      </c>
      <c r="AO362" s="17" t="str">
        <f>IF(NOT(ISBLANK(Audit[[#This Row],[Audit Candidate 11]])), Audit[[#This Row],[Audit Candidate 11]]-Audit[[#This Row],[Candidate 11]], "")</f>
        <v/>
      </c>
      <c r="AP362" s="17" t="str">
        <f>IF(NOT(ISBLANK(Audit[[#This Row],[Audit Candidate 12]])), Audit[[#This Row],[Audit Candidate 12]]-Audit[[#This Row],[Candidate 12]], "")</f>
        <v/>
      </c>
      <c r="AQ362" s="17">
        <f>SUMIF(Audit[[#This Row],[Difference Winner]:[Difference Candidate 12]], "&gt;0")</f>
        <v>0</v>
      </c>
      <c r="AR362" s="17">
        <f>SUM(Audit[[#This Row],[Difference Winner]:[Difference Candidate 12]])</f>
        <v>0</v>
      </c>
      <c r="AS362" s="17">
        <f>IF(Audit[[#This Row],[Times p Drawn - With Replacement]]&gt;0, IF(Audit[[#This Row],[Canceled Differences]]&lt;0, Audit[[#This Row],[Max Differences]]+ABS(Audit[[#This Row],[Canceled Differences]]), Audit[[#This Row],[Max Differences]]), 0)</f>
        <v>0</v>
      </c>
      <c r="AT362" s="17">
        <f>'Sampling Data'!AB362</f>
        <v>1.3198098794771686E-2</v>
      </c>
      <c r="AU362" s="17">
        <f>IF(
      SUM(Audit[[#This Row],[Audit Losing Candidate]:[Audit Candidate 12]])
      &lt;&gt;0,
      (Audit[[#This Row],[Winning Candidate]]-Audit[[#This Row],[Losing Candidate]]-(Audit[[#This Row],[Audit Winning Candidate]]-Audit[[#This Row],[Audit Losing Candidate]]))/(Audit[[#Totals],[Winning Candidate]]-Audit[[#Totals],[Losing Candidate]]),
      0
)</f>
        <v>0</v>
      </c>
      <c r="AV3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2" s="17">
        <f>IF(Audit[[#This Row],[Max Relative Error (ep)]] = 0, 0, Audit[[#This Row],[Max Relative Error (ep)]]/Audit[[#This Row],[Error Bound (up) - Max. possible relative overstatement]])</f>
        <v>0</v>
      </c>
      <c r="BH3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62" s="17">
        <f t="shared" si="6"/>
        <v>1</v>
      </c>
      <c r="BJ362" s="17">
        <f>PRODUCT($BI$5:BI362)</f>
        <v>0.48901700950994259</v>
      </c>
      <c r="BK362" s="19">
        <f>1 - Audit[[#This Row],[K-M P Value]]</f>
        <v>0.51098299049005735</v>
      </c>
      <c r="BL362" s="17" t="str">
        <f>IF(Audit[[#This Row],[K-M P Value]]&gt;1-'General Info'!$B$12,"Continue", "Stop")</f>
        <v>Continue</v>
      </c>
      <c r="BM362" s="22" t="b">
        <f>IF(Audit[[#This Row],[Status - Continue or stop audit]] = "Continue", TRUE, IF(BL361 = "Continue", TRUE, FALSE))</f>
        <v>1</v>
      </c>
      <c r="BN362" s="22"/>
    </row>
    <row r="363" spans="1:66" ht="15" hidden="1" customHeight="1" x14ac:dyDescent="0.35">
      <c r="A363" s="17" t="str">
        <f>'Sampling Data'!AI363</f>
        <v/>
      </c>
      <c r="B363" s="17" t="str">
        <f>'Sampling Data'!A363</f>
        <v>5911 COLE K   (AV)</v>
      </c>
      <c r="C363" s="17">
        <f>'Sampling Data'!B363</f>
        <v>127</v>
      </c>
      <c r="D363" s="17">
        <f>'Sampling Data'!C363</f>
        <v>148</v>
      </c>
      <c r="E363" s="18">
        <f>'Sampling Data'!D363</f>
        <v>0</v>
      </c>
      <c r="F363" s="18">
        <f>'Sampling Data'!E363</f>
        <v>0</v>
      </c>
      <c r="G363" s="18">
        <f>'Sampling Data'!F363</f>
        <v>0</v>
      </c>
      <c r="H363" s="18">
        <f>'Sampling Data'!G363</f>
        <v>0</v>
      </c>
      <c r="I363" s="18">
        <f>'Sampling Data'!H363</f>
        <v>0</v>
      </c>
      <c r="J363" s="18">
        <f>'Sampling Data'!I363</f>
        <v>0</v>
      </c>
      <c r="K363" s="18">
        <f>'Sampling Data'!J363</f>
        <v>0</v>
      </c>
      <c r="L363" s="18">
        <f>'Sampling Data'!K363</f>
        <v>0</v>
      </c>
      <c r="M363" s="18">
        <f>'Sampling Data'!L363</f>
        <v>0</v>
      </c>
      <c r="N363" s="18">
        <f>'Sampling Data'!M363</f>
        <v>0</v>
      </c>
      <c r="O363" s="17">
        <f>'Sampling Data'!N363</f>
        <v>0</v>
      </c>
      <c r="P363" s="17">
        <f>'Sampling Data'!O363</f>
        <v>11</v>
      </c>
      <c r="Q363" s="17">
        <f>'Sampling Data'!P363</f>
        <v>286</v>
      </c>
      <c r="R363" s="17">
        <f>'Sampling Data'!AJ363</f>
        <v>0</v>
      </c>
      <c r="S363" s="111"/>
      <c r="T363" s="111"/>
      <c r="U363" s="112"/>
      <c r="V363" s="112"/>
      <c r="W363" s="111"/>
      <c r="X363" s="111"/>
      <c r="Y363" s="111"/>
      <c r="Z363" s="111"/>
      <c r="AA363" s="14"/>
      <c r="AB363" s="14"/>
      <c r="AC363" s="14"/>
      <c r="AD363" s="14"/>
      <c r="AE363" s="113" t="str">
        <f>IF(NOT(ISBLANK(Audit[[#This Row],[Audit Winning Candidate]])), Audit[[#This Row],[Audit Winning Candidate]]-Audit[[#This Row],[Winning Candidate]], "")</f>
        <v/>
      </c>
      <c r="AF363" s="17" t="str">
        <f>IF(NOT(ISBLANK(Audit[[#This Row],[Audit Losing Candidate]])), Audit[[#This Row],[Audit Losing Candidate]]-Audit[[#This Row],[Losing Candidate]], "")</f>
        <v/>
      </c>
      <c r="AG363" s="17" t="str">
        <f>IF(NOT(ISBLANK(Audit[[#This Row],[Audit Candidate 3]])), Audit[[#This Row],[Audit Candidate 3]]-Audit[[#This Row],[Candidate 3]], "")</f>
        <v/>
      </c>
      <c r="AH363" s="17" t="str">
        <f>IF(NOT(ISBLANK(Audit[[#This Row],[Audit Candidate 4]])),Audit[[#This Row],[Audit Candidate 4]]-Audit[[#This Row],[Candidate 4]], "")</f>
        <v/>
      </c>
      <c r="AI363" s="17" t="str">
        <f>IF(NOT(ISBLANK(Audit[[#This Row],[Audit Candidate 5]])), Audit[[#This Row],[Audit Candidate 5]]-Audit[[#This Row],[Candidate 5]], "")</f>
        <v/>
      </c>
      <c r="AJ363" s="17" t="str">
        <f>IF(NOT(ISBLANK(Audit[[#This Row],[Audit Candidate 6]])), Audit[[#This Row],[Audit Candidate 6]]-Audit[[#This Row],[Candidate 6]], "")</f>
        <v/>
      </c>
      <c r="AK363" s="17" t="str">
        <f>IF(NOT(ISBLANK(Audit[[#This Row],[Audit Candidate 7]])), Audit[[#This Row],[Audit Candidate 7]]-Audit[[#This Row],[Candidate 7]], "")</f>
        <v/>
      </c>
      <c r="AL363" s="17" t="str">
        <f>IF(NOT(ISBLANK(Audit[[#This Row],[Audit Candidate 8]])), Audit[[#This Row],[Audit Candidate 8]]-Audit[[#This Row],[Candidate 8]], "")</f>
        <v/>
      </c>
      <c r="AM363" s="17" t="str">
        <f>IF(NOT(ISBLANK(Audit[[#This Row],[Audit Candidate 9]])), Audit[[#This Row],[Audit Candidate 9]]-Audit[[#This Row],[Candidate 9]], "")</f>
        <v/>
      </c>
      <c r="AN363" s="17" t="str">
        <f>IF(NOT(ISBLANK(Audit[[#This Row],[Audit Candidate 10]])), Audit[[#This Row],[Audit Candidate 10]]-Audit[[#This Row],[Candidate 10]], "")</f>
        <v/>
      </c>
      <c r="AO363" s="17" t="str">
        <f>IF(NOT(ISBLANK(Audit[[#This Row],[Audit Candidate 11]])), Audit[[#This Row],[Audit Candidate 11]]-Audit[[#This Row],[Candidate 11]], "")</f>
        <v/>
      </c>
      <c r="AP363" s="17" t="str">
        <f>IF(NOT(ISBLANK(Audit[[#This Row],[Audit Candidate 12]])), Audit[[#This Row],[Audit Candidate 12]]-Audit[[#This Row],[Candidate 12]], "")</f>
        <v/>
      </c>
      <c r="AQ363" s="17">
        <f>SUMIF(Audit[[#This Row],[Difference Winner]:[Difference Candidate 12]], "&gt;0")</f>
        <v>0</v>
      </c>
      <c r="AR363" s="17">
        <f>SUM(Audit[[#This Row],[Difference Winner]:[Difference Candidate 12]])</f>
        <v>0</v>
      </c>
      <c r="AS363" s="17">
        <f>IF(Audit[[#This Row],[Times p Drawn - With Replacement]]&gt;0, IF(Audit[[#This Row],[Canceled Differences]]&lt;0, Audit[[#This Row],[Max Differences]]+ABS(Audit[[#This Row],[Canceled Differences]]), Audit[[#This Row],[Max Differences]]), 0)</f>
        <v>0</v>
      </c>
      <c r="AT363" s="17">
        <f>'Sampling Data'!AB363</f>
        <v>1.1245968426413172E-2</v>
      </c>
      <c r="AU363" s="17">
        <f>IF(
      SUM(Audit[[#This Row],[Audit Losing Candidate]:[Audit Candidate 12]])
      &lt;&gt;0,
      (Audit[[#This Row],[Winning Candidate]]-Audit[[#This Row],[Losing Candidate]]-(Audit[[#This Row],[Audit Winning Candidate]]-Audit[[#This Row],[Audit Losing Candidate]]))/(Audit[[#Totals],[Winning Candidate]]-Audit[[#Totals],[Losing Candidate]]),
      0
)</f>
        <v>0</v>
      </c>
      <c r="AV3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3" s="17">
        <f>IF(Audit[[#This Row],[Max Relative Error (ep)]] = 0, 0, Audit[[#This Row],[Max Relative Error (ep)]]/Audit[[#This Row],[Error Bound (up) - Max. possible relative overstatement]])</f>
        <v>0</v>
      </c>
      <c r="BH3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63" s="17">
        <f t="shared" si="6"/>
        <v>1</v>
      </c>
      <c r="BJ363" s="17">
        <f>PRODUCT($BI$5:BI363)</f>
        <v>0.48901700950994259</v>
      </c>
      <c r="BK363" s="19">
        <f>1 - Audit[[#This Row],[K-M P Value]]</f>
        <v>0.51098299049005735</v>
      </c>
      <c r="BL363" s="17" t="str">
        <f>IF(Audit[[#This Row],[K-M P Value]]&gt;1-'General Info'!$B$12,"Continue", "Stop")</f>
        <v>Continue</v>
      </c>
      <c r="BM363" s="22" t="b">
        <f>IF(Audit[[#This Row],[Status - Continue or stop audit]] = "Continue", TRUE, IF(BL362 = "Continue", TRUE, FALSE))</f>
        <v>1</v>
      </c>
      <c r="BN363" s="22"/>
    </row>
    <row r="364" spans="1:66" ht="15" hidden="1" customHeight="1" x14ac:dyDescent="0.35">
      <c r="A364" s="17" t="str">
        <f>'Sampling Data'!AI364</f>
        <v/>
      </c>
      <c r="B364" s="17" t="str">
        <f>'Sampling Data'!A364</f>
        <v>5912 COLE L   (AV)</v>
      </c>
      <c r="C364" s="17">
        <f>'Sampling Data'!B364</f>
        <v>112</v>
      </c>
      <c r="D364" s="17">
        <f>'Sampling Data'!C364</f>
        <v>340</v>
      </c>
      <c r="E364" s="18">
        <f>'Sampling Data'!D364</f>
        <v>0</v>
      </c>
      <c r="F364" s="18">
        <f>'Sampling Data'!E364</f>
        <v>0</v>
      </c>
      <c r="G364" s="18">
        <f>'Sampling Data'!F364</f>
        <v>0</v>
      </c>
      <c r="H364" s="18">
        <f>'Sampling Data'!G364</f>
        <v>0</v>
      </c>
      <c r="I364" s="18">
        <f>'Sampling Data'!H364</f>
        <v>0</v>
      </c>
      <c r="J364" s="18">
        <f>'Sampling Data'!I364</f>
        <v>0</v>
      </c>
      <c r="K364" s="18">
        <f>'Sampling Data'!J364</f>
        <v>0</v>
      </c>
      <c r="L364" s="18">
        <f>'Sampling Data'!K364</f>
        <v>0</v>
      </c>
      <c r="M364" s="18">
        <f>'Sampling Data'!L364</f>
        <v>0</v>
      </c>
      <c r="N364" s="18">
        <f>'Sampling Data'!M364</f>
        <v>0</v>
      </c>
      <c r="O364" s="17">
        <f>'Sampling Data'!N364</f>
        <v>0</v>
      </c>
      <c r="P364" s="17">
        <f>'Sampling Data'!O364</f>
        <v>14</v>
      </c>
      <c r="Q364" s="17">
        <f>'Sampling Data'!P364</f>
        <v>466</v>
      </c>
      <c r="R364" s="17">
        <f>'Sampling Data'!AJ364</f>
        <v>0</v>
      </c>
      <c r="S364" s="111"/>
      <c r="T364" s="111"/>
      <c r="U364" s="112"/>
      <c r="V364" s="112"/>
      <c r="W364" s="111"/>
      <c r="X364" s="111"/>
      <c r="Y364" s="111"/>
      <c r="Z364" s="111"/>
      <c r="AA364" s="14"/>
      <c r="AB364" s="14"/>
      <c r="AC364" s="14"/>
      <c r="AD364" s="14"/>
      <c r="AE364" s="113" t="str">
        <f>IF(NOT(ISBLANK(Audit[[#This Row],[Audit Winning Candidate]])), Audit[[#This Row],[Audit Winning Candidate]]-Audit[[#This Row],[Winning Candidate]], "")</f>
        <v/>
      </c>
      <c r="AF364" s="17" t="str">
        <f>IF(NOT(ISBLANK(Audit[[#This Row],[Audit Losing Candidate]])), Audit[[#This Row],[Audit Losing Candidate]]-Audit[[#This Row],[Losing Candidate]], "")</f>
        <v/>
      </c>
      <c r="AG364" s="17" t="str">
        <f>IF(NOT(ISBLANK(Audit[[#This Row],[Audit Candidate 3]])), Audit[[#This Row],[Audit Candidate 3]]-Audit[[#This Row],[Candidate 3]], "")</f>
        <v/>
      </c>
      <c r="AH364" s="17" t="str">
        <f>IF(NOT(ISBLANK(Audit[[#This Row],[Audit Candidate 4]])),Audit[[#This Row],[Audit Candidate 4]]-Audit[[#This Row],[Candidate 4]], "")</f>
        <v/>
      </c>
      <c r="AI364" s="17" t="str">
        <f>IF(NOT(ISBLANK(Audit[[#This Row],[Audit Candidate 5]])), Audit[[#This Row],[Audit Candidate 5]]-Audit[[#This Row],[Candidate 5]], "")</f>
        <v/>
      </c>
      <c r="AJ364" s="17" t="str">
        <f>IF(NOT(ISBLANK(Audit[[#This Row],[Audit Candidate 6]])), Audit[[#This Row],[Audit Candidate 6]]-Audit[[#This Row],[Candidate 6]], "")</f>
        <v/>
      </c>
      <c r="AK364" s="17" t="str">
        <f>IF(NOT(ISBLANK(Audit[[#This Row],[Audit Candidate 7]])), Audit[[#This Row],[Audit Candidate 7]]-Audit[[#This Row],[Candidate 7]], "")</f>
        <v/>
      </c>
      <c r="AL364" s="17" t="str">
        <f>IF(NOT(ISBLANK(Audit[[#This Row],[Audit Candidate 8]])), Audit[[#This Row],[Audit Candidate 8]]-Audit[[#This Row],[Candidate 8]], "")</f>
        <v/>
      </c>
      <c r="AM364" s="17" t="str">
        <f>IF(NOT(ISBLANK(Audit[[#This Row],[Audit Candidate 9]])), Audit[[#This Row],[Audit Candidate 9]]-Audit[[#This Row],[Candidate 9]], "")</f>
        <v/>
      </c>
      <c r="AN364" s="17" t="str">
        <f>IF(NOT(ISBLANK(Audit[[#This Row],[Audit Candidate 10]])), Audit[[#This Row],[Audit Candidate 10]]-Audit[[#This Row],[Candidate 10]], "")</f>
        <v/>
      </c>
      <c r="AO364" s="17" t="str">
        <f>IF(NOT(ISBLANK(Audit[[#This Row],[Audit Candidate 11]])), Audit[[#This Row],[Audit Candidate 11]]-Audit[[#This Row],[Candidate 11]], "")</f>
        <v/>
      </c>
      <c r="AP364" s="17" t="str">
        <f>IF(NOT(ISBLANK(Audit[[#This Row],[Audit Candidate 12]])), Audit[[#This Row],[Audit Candidate 12]]-Audit[[#This Row],[Candidate 12]], "")</f>
        <v/>
      </c>
      <c r="AQ364" s="17">
        <f>SUMIF(Audit[[#This Row],[Difference Winner]:[Difference Candidate 12]], "&gt;0")</f>
        <v>0</v>
      </c>
      <c r="AR364" s="17">
        <f>SUM(Audit[[#This Row],[Difference Winner]:[Difference Candidate 12]])</f>
        <v>0</v>
      </c>
      <c r="AS364" s="17">
        <f>IF(Audit[[#This Row],[Times p Drawn - With Replacement]]&gt;0, IF(Audit[[#This Row],[Canceled Differences]]&lt;0, Audit[[#This Row],[Max Differences]]+ABS(Audit[[#This Row],[Canceled Differences]]), Audit[[#This Row],[Max Differences]]), 0)</f>
        <v>0</v>
      </c>
      <c r="AT364" s="17">
        <f>'Sampling Data'!AB364</f>
        <v>1.0100152775420132E-2</v>
      </c>
      <c r="AU364" s="17">
        <f>IF(
      SUM(Audit[[#This Row],[Audit Losing Candidate]:[Audit Candidate 12]])
      &lt;&gt;0,
      (Audit[[#This Row],[Winning Candidate]]-Audit[[#This Row],[Losing Candidate]]-(Audit[[#This Row],[Audit Winning Candidate]]-Audit[[#This Row],[Audit Losing Candidate]]))/(Audit[[#Totals],[Winning Candidate]]-Audit[[#Totals],[Losing Candidate]]),
      0
)</f>
        <v>0</v>
      </c>
      <c r="AV3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4" s="17">
        <f>IF(Audit[[#This Row],[Max Relative Error (ep)]] = 0, 0, Audit[[#This Row],[Max Relative Error (ep)]]/Audit[[#This Row],[Error Bound (up) - Max. possible relative overstatement]])</f>
        <v>0</v>
      </c>
      <c r="BH3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64" s="17">
        <f t="shared" si="6"/>
        <v>1</v>
      </c>
      <c r="BJ364" s="17">
        <f>PRODUCT($BI$5:BI364)</f>
        <v>0.48901700950994259</v>
      </c>
      <c r="BK364" s="19">
        <f>1 - Audit[[#This Row],[K-M P Value]]</f>
        <v>0.51098299049005735</v>
      </c>
      <c r="BL364" s="17" t="str">
        <f>IF(Audit[[#This Row],[K-M P Value]]&gt;1-'General Info'!$B$12,"Continue", "Stop")</f>
        <v>Continue</v>
      </c>
      <c r="BM364" s="22" t="b">
        <f>IF(Audit[[#This Row],[Status - Continue or stop audit]] = "Continue", TRUE, IF(BL363 = "Continue", TRUE, FALSE))</f>
        <v>1</v>
      </c>
      <c r="BN364" s="22"/>
    </row>
    <row r="365" spans="1:66" ht="15" hidden="1" customHeight="1" x14ac:dyDescent="0.35">
      <c r="A365" s="17" t="str">
        <f>'Sampling Data'!AI365</f>
        <v/>
      </c>
      <c r="B365" s="17" t="str">
        <f>'Sampling Data'!A365</f>
        <v>5913 COLE M   (AV)</v>
      </c>
      <c r="C365" s="17">
        <f>'Sampling Data'!B365</f>
        <v>100</v>
      </c>
      <c r="D365" s="17">
        <f>'Sampling Data'!C365</f>
        <v>104</v>
      </c>
      <c r="E365" s="18">
        <f>'Sampling Data'!D365</f>
        <v>0</v>
      </c>
      <c r="F365" s="18">
        <f>'Sampling Data'!E365</f>
        <v>0</v>
      </c>
      <c r="G365" s="18">
        <f>'Sampling Data'!F365</f>
        <v>0</v>
      </c>
      <c r="H365" s="18">
        <f>'Sampling Data'!G365</f>
        <v>0</v>
      </c>
      <c r="I365" s="18">
        <f>'Sampling Data'!H365</f>
        <v>0</v>
      </c>
      <c r="J365" s="18">
        <f>'Sampling Data'!I365</f>
        <v>0</v>
      </c>
      <c r="K365" s="18">
        <f>'Sampling Data'!J365</f>
        <v>0</v>
      </c>
      <c r="L365" s="18">
        <f>'Sampling Data'!K365</f>
        <v>0</v>
      </c>
      <c r="M365" s="18">
        <f>'Sampling Data'!L365</f>
        <v>0</v>
      </c>
      <c r="N365" s="18">
        <f>'Sampling Data'!M365</f>
        <v>0</v>
      </c>
      <c r="O365" s="17">
        <f>'Sampling Data'!N365</f>
        <v>1</v>
      </c>
      <c r="P365" s="17">
        <f>'Sampling Data'!O365</f>
        <v>6</v>
      </c>
      <c r="Q365" s="17">
        <f>'Sampling Data'!P365</f>
        <v>211</v>
      </c>
      <c r="R365" s="17">
        <f>'Sampling Data'!AJ365</f>
        <v>0</v>
      </c>
      <c r="S365" s="111"/>
      <c r="T365" s="111"/>
      <c r="U365" s="112"/>
      <c r="V365" s="112"/>
      <c r="W365" s="111"/>
      <c r="X365" s="111"/>
      <c r="Y365" s="111"/>
      <c r="Z365" s="111"/>
      <c r="AA365" s="14"/>
      <c r="AB365" s="14"/>
      <c r="AC365" s="14"/>
      <c r="AD365" s="14"/>
      <c r="AE365" s="113" t="str">
        <f>IF(NOT(ISBLANK(Audit[[#This Row],[Audit Winning Candidate]])), Audit[[#This Row],[Audit Winning Candidate]]-Audit[[#This Row],[Winning Candidate]], "")</f>
        <v/>
      </c>
      <c r="AF365" s="17" t="str">
        <f>IF(NOT(ISBLANK(Audit[[#This Row],[Audit Losing Candidate]])), Audit[[#This Row],[Audit Losing Candidate]]-Audit[[#This Row],[Losing Candidate]], "")</f>
        <v/>
      </c>
      <c r="AG365" s="17" t="str">
        <f>IF(NOT(ISBLANK(Audit[[#This Row],[Audit Candidate 3]])), Audit[[#This Row],[Audit Candidate 3]]-Audit[[#This Row],[Candidate 3]], "")</f>
        <v/>
      </c>
      <c r="AH365" s="17" t="str">
        <f>IF(NOT(ISBLANK(Audit[[#This Row],[Audit Candidate 4]])),Audit[[#This Row],[Audit Candidate 4]]-Audit[[#This Row],[Candidate 4]], "")</f>
        <v/>
      </c>
      <c r="AI365" s="17" t="str">
        <f>IF(NOT(ISBLANK(Audit[[#This Row],[Audit Candidate 5]])), Audit[[#This Row],[Audit Candidate 5]]-Audit[[#This Row],[Candidate 5]], "")</f>
        <v/>
      </c>
      <c r="AJ365" s="17" t="str">
        <f>IF(NOT(ISBLANK(Audit[[#This Row],[Audit Candidate 6]])), Audit[[#This Row],[Audit Candidate 6]]-Audit[[#This Row],[Candidate 6]], "")</f>
        <v/>
      </c>
      <c r="AK365" s="17" t="str">
        <f>IF(NOT(ISBLANK(Audit[[#This Row],[Audit Candidate 7]])), Audit[[#This Row],[Audit Candidate 7]]-Audit[[#This Row],[Candidate 7]], "")</f>
        <v/>
      </c>
      <c r="AL365" s="17" t="str">
        <f>IF(NOT(ISBLANK(Audit[[#This Row],[Audit Candidate 8]])), Audit[[#This Row],[Audit Candidate 8]]-Audit[[#This Row],[Candidate 8]], "")</f>
        <v/>
      </c>
      <c r="AM365" s="17" t="str">
        <f>IF(NOT(ISBLANK(Audit[[#This Row],[Audit Candidate 9]])), Audit[[#This Row],[Audit Candidate 9]]-Audit[[#This Row],[Candidate 9]], "")</f>
        <v/>
      </c>
      <c r="AN365" s="17" t="str">
        <f>IF(NOT(ISBLANK(Audit[[#This Row],[Audit Candidate 10]])), Audit[[#This Row],[Audit Candidate 10]]-Audit[[#This Row],[Candidate 10]], "")</f>
        <v/>
      </c>
      <c r="AO365" s="17" t="str">
        <f>IF(NOT(ISBLANK(Audit[[#This Row],[Audit Candidate 11]])), Audit[[#This Row],[Audit Candidate 11]]-Audit[[#This Row],[Candidate 11]], "")</f>
        <v/>
      </c>
      <c r="AP365" s="17" t="str">
        <f>IF(NOT(ISBLANK(Audit[[#This Row],[Audit Candidate 12]])), Audit[[#This Row],[Audit Candidate 12]]-Audit[[#This Row],[Candidate 12]], "")</f>
        <v/>
      </c>
      <c r="AQ365" s="17">
        <f>SUMIF(Audit[[#This Row],[Difference Winner]:[Difference Candidate 12]], "&gt;0")</f>
        <v>0</v>
      </c>
      <c r="AR365" s="17">
        <f>SUM(Audit[[#This Row],[Difference Winner]:[Difference Candidate 12]])</f>
        <v>0</v>
      </c>
      <c r="AS365" s="17">
        <f>IF(Audit[[#This Row],[Times p Drawn - With Replacement]]&gt;0, IF(Audit[[#This Row],[Canceled Differences]]&lt;0, Audit[[#This Row],[Max Differences]]+ABS(Audit[[#This Row],[Canceled Differences]]), Audit[[#This Row],[Max Differences]]), 0)</f>
        <v>0</v>
      </c>
      <c r="AT365" s="17">
        <f>'Sampling Data'!AB365</f>
        <v>8.784586657613308E-3</v>
      </c>
      <c r="AU365" s="17">
        <f>IF(
      SUM(Audit[[#This Row],[Audit Losing Candidate]:[Audit Candidate 12]])
      &lt;&gt;0,
      (Audit[[#This Row],[Winning Candidate]]-Audit[[#This Row],[Losing Candidate]]-(Audit[[#This Row],[Audit Winning Candidate]]-Audit[[#This Row],[Audit Losing Candidate]]))/(Audit[[#Totals],[Winning Candidate]]-Audit[[#Totals],[Losing Candidate]]),
      0
)</f>
        <v>0</v>
      </c>
      <c r="AV3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5" s="17">
        <f>IF(Audit[[#This Row],[Max Relative Error (ep)]] = 0, 0, Audit[[#This Row],[Max Relative Error (ep)]]/Audit[[#This Row],[Error Bound (up) - Max. possible relative overstatement]])</f>
        <v>0</v>
      </c>
      <c r="BH3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65" s="17">
        <f t="shared" si="6"/>
        <v>1</v>
      </c>
      <c r="BJ365" s="17">
        <f>PRODUCT($BI$5:BI365)</f>
        <v>0.48901700950994259</v>
      </c>
      <c r="BK365" s="19">
        <f>1 - Audit[[#This Row],[K-M P Value]]</f>
        <v>0.51098299049005735</v>
      </c>
      <c r="BL365" s="17" t="str">
        <f>IF(Audit[[#This Row],[K-M P Value]]&gt;1-'General Info'!$B$12,"Continue", "Stop")</f>
        <v>Continue</v>
      </c>
      <c r="BM365" s="22" t="b">
        <f>IF(Audit[[#This Row],[Status - Continue or stop audit]] = "Continue", TRUE, IF(BL364 = "Continue", TRUE, FALSE))</f>
        <v>1</v>
      </c>
      <c r="BN365" s="22"/>
    </row>
    <row r="366" spans="1:66" ht="15" customHeight="1" x14ac:dyDescent="0.35">
      <c r="A366" s="17">
        <f>'Sampling Data'!AI366</f>
        <v>5</v>
      </c>
      <c r="B366" s="17" t="str">
        <f>'Sampling Data'!A366</f>
        <v>5914 COLE N   (AV)</v>
      </c>
      <c r="C366" s="17">
        <f>'Sampling Data'!B366</f>
        <v>154</v>
      </c>
      <c r="D366" s="17">
        <f>'Sampling Data'!C366</f>
        <v>242</v>
      </c>
      <c r="E366" s="18">
        <f>'Sampling Data'!D366</f>
        <v>0</v>
      </c>
      <c r="F366" s="18">
        <f>'Sampling Data'!E366</f>
        <v>0</v>
      </c>
      <c r="G366" s="18">
        <f>'Sampling Data'!F366</f>
        <v>0</v>
      </c>
      <c r="H366" s="18">
        <f>'Sampling Data'!G366</f>
        <v>0</v>
      </c>
      <c r="I366" s="18">
        <f>'Sampling Data'!H366</f>
        <v>0</v>
      </c>
      <c r="J366" s="18">
        <f>'Sampling Data'!I366</f>
        <v>0</v>
      </c>
      <c r="K366" s="18">
        <f>'Sampling Data'!J366</f>
        <v>0</v>
      </c>
      <c r="L366" s="18">
        <f>'Sampling Data'!K366</f>
        <v>0</v>
      </c>
      <c r="M366" s="18">
        <f>'Sampling Data'!L366</f>
        <v>0</v>
      </c>
      <c r="N366" s="18">
        <f>'Sampling Data'!M366</f>
        <v>0</v>
      </c>
      <c r="O366" s="17">
        <f>'Sampling Data'!N366</f>
        <v>0</v>
      </c>
      <c r="P366" s="17">
        <f>'Sampling Data'!O366</f>
        <v>24</v>
      </c>
      <c r="Q366" s="17">
        <f>'Sampling Data'!P366</f>
        <v>420</v>
      </c>
      <c r="R366" s="17">
        <f>'Sampling Data'!AJ366</f>
        <v>1</v>
      </c>
      <c r="S366" s="111">
        <v>154</v>
      </c>
      <c r="T366" s="111">
        <v>242</v>
      </c>
      <c r="U366" s="112"/>
      <c r="V366" s="112"/>
      <c r="W366" s="111"/>
      <c r="X366" s="111"/>
      <c r="Y366" s="111"/>
      <c r="Z366" s="111"/>
      <c r="AA366" s="14"/>
      <c r="AB366" s="14"/>
      <c r="AC366" s="14"/>
      <c r="AD366" s="14"/>
      <c r="AE366" s="113">
        <f>IF(NOT(ISBLANK(Audit[[#This Row],[Audit Winning Candidate]])), Audit[[#This Row],[Audit Winning Candidate]]-Audit[[#This Row],[Winning Candidate]], "")</f>
        <v>0</v>
      </c>
      <c r="AF366" s="17">
        <f>IF(NOT(ISBLANK(Audit[[#This Row],[Audit Losing Candidate]])), Audit[[#This Row],[Audit Losing Candidate]]-Audit[[#This Row],[Losing Candidate]], "")</f>
        <v>0</v>
      </c>
      <c r="AG366" s="17" t="str">
        <f>IF(NOT(ISBLANK(Audit[[#This Row],[Audit Candidate 3]])), Audit[[#This Row],[Audit Candidate 3]]-Audit[[#This Row],[Candidate 3]], "")</f>
        <v/>
      </c>
      <c r="AH366" s="17" t="str">
        <f>IF(NOT(ISBLANK(Audit[[#This Row],[Audit Candidate 4]])),Audit[[#This Row],[Audit Candidate 4]]-Audit[[#This Row],[Candidate 4]], "")</f>
        <v/>
      </c>
      <c r="AI366" s="17" t="str">
        <f>IF(NOT(ISBLANK(Audit[[#This Row],[Audit Candidate 5]])), Audit[[#This Row],[Audit Candidate 5]]-Audit[[#This Row],[Candidate 5]], "")</f>
        <v/>
      </c>
      <c r="AJ366" s="17" t="str">
        <f>IF(NOT(ISBLANK(Audit[[#This Row],[Audit Candidate 6]])), Audit[[#This Row],[Audit Candidate 6]]-Audit[[#This Row],[Candidate 6]], "")</f>
        <v/>
      </c>
      <c r="AK366" s="17" t="str">
        <f>IF(NOT(ISBLANK(Audit[[#This Row],[Audit Candidate 7]])), Audit[[#This Row],[Audit Candidate 7]]-Audit[[#This Row],[Candidate 7]], "")</f>
        <v/>
      </c>
      <c r="AL366" s="17" t="str">
        <f>IF(NOT(ISBLANK(Audit[[#This Row],[Audit Candidate 8]])), Audit[[#This Row],[Audit Candidate 8]]-Audit[[#This Row],[Candidate 8]], "")</f>
        <v/>
      </c>
      <c r="AM366" s="17" t="str">
        <f>IF(NOT(ISBLANK(Audit[[#This Row],[Audit Candidate 9]])), Audit[[#This Row],[Audit Candidate 9]]-Audit[[#This Row],[Candidate 9]], "")</f>
        <v/>
      </c>
      <c r="AN366" s="17" t="str">
        <f>IF(NOT(ISBLANK(Audit[[#This Row],[Audit Candidate 10]])), Audit[[#This Row],[Audit Candidate 10]]-Audit[[#This Row],[Candidate 10]], "")</f>
        <v/>
      </c>
      <c r="AO366" s="17" t="str">
        <f>IF(NOT(ISBLANK(Audit[[#This Row],[Audit Candidate 11]])), Audit[[#This Row],[Audit Candidate 11]]-Audit[[#This Row],[Candidate 11]], "")</f>
        <v/>
      </c>
      <c r="AP366" s="17" t="str">
        <f>IF(NOT(ISBLANK(Audit[[#This Row],[Audit Candidate 12]])), Audit[[#This Row],[Audit Candidate 12]]-Audit[[#This Row],[Candidate 12]], "")</f>
        <v/>
      </c>
      <c r="AQ366" s="17">
        <f>SUMIF(Audit[[#This Row],[Difference Winner]:[Difference Candidate 12]], "&gt;0")</f>
        <v>0</v>
      </c>
      <c r="AR366" s="17">
        <f>SUM(Audit[[#This Row],[Difference Winner]:[Difference Candidate 12]])</f>
        <v>0</v>
      </c>
      <c r="AS366" s="17">
        <f>IF(Audit[[#This Row],[Times p Drawn - With Replacement]]&gt;0, IF(Audit[[#This Row],[Canceled Differences]]&lt;0, Audit[[#This Row],[Max Differences]]+ABS(Audit[[#This Row],[Canceled Differences]]), Audit[[#This Row],[Max Differences]]), 0)</f>
        <v>0</v>
      </c>
      <c r="AT366" s="17">
        <f>'Sampling Data'!AB366</f>
        <v>1.408928874554405E-2</v>
      </c>
      <c r="AU366" s="17">
        <f>IF(
      SUM(Audit[[#This Row],[Audit Losing Candidate]:[Audit Candidate 12]])
      &lt;&gt;0,
      (Audit[[#This Row],[Winning Candidate]]-Audit[[#This Row],[Losing Candidate]]-(Audit[[#This Row],[Audit Winning Candidate]]-Audit[[#This Row],[Audit Losing Candidate]]))/(Audit[[#Totals],[Winning Candidate]]-Audit[[#Totals],[Losing Candidate]]),
      0
)</f>
        <v>0</v>
      </c>
      <c r="AV3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6" s="17">
        <f>IF(Audit[[#This Row],[Max Relative Error (ep)]] = 0, 0, Audit[[#This Row],[Max Relative Error (ep)]]/Audit[[#This Row],[Error Bound (up) - Max. possible relative overstatement]])</f>
        <v>0</v>
      </c>
      <c r="BH3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66" s="17">
        <f t="shared" si="6"/>
        <v>0.94645908314247273</v>
      </c>
      <c r="BJ366" s="17">
        <f>PRODUCT($BI$5:BI366)</f>
        <v>0.46283459046185416</v>
      </c>
      <c r="BK366" s="19">
        <f>1 - Audit[[#This Row],[K-M P Value]]</f>
        <v>0.53716540953814584</v>
      </c>
      <c r="BL366" s="17" t="str">
        <f>IF(Audit[[#This Row],[K-M P Value]]&gt;1-'General Info'!$B$12,"Continue", "Stop")</f>
        <v>Continue</v>
      </c>
      <c r="BM366" s="22" t="b">
        <f>IF(Audit[[#This Row],[Status - Continue or stop audit]] = "Continue", TRUE, IF(BL365 = "Continue", TRUE, FALSE))</f>
        <v>1</v>
      </c>
      <c r="BN366" s="22"/>
    </row>
    <row r="367" spans="1:66" ht="15" hidden="1" customHeight="1" x14ac:dyDescent="0.35">
      <c r="A367" s="17" t="str">
        <f>'Sampling Data'!AI367</f>
        <v/>
      </c>
      <c r="B367" s="17" t="str">
        <f>'Sampling Data'!A367</f>
        <v>5915 COLE O   (AV)</v>
      </c>
      <c r="C367" s="17">
        <f>'Sampling Data'!B367</f>
        <v>50</v>
      </c>
      <c r="D367" s="17">
        <f>'Sampling Data'!C367</f>
        <v>85</v>
      </c>
      <c r="E367" s="18">
        <f>'Sampling Data'!D367</f>
        <v>0</v>
      </c>
      <c r="F367" s="18">
        <f>'Sampling Data'!E367</f>
        <v>0</v>
      </c>
      <c r="G367" s="18">
        <f>'Sampling Data'!F367</f>
        <v>0</v>
      </c>
      <c r="H367" s="18">
        <f>'Sampling Data'!G367</f>
        <v>0</v>
      </c>
      <c r="I367" s="18">
        <f>'Sampling Data'!H367</f>
        <v>0</v>
      </c>
      <c r="J367" s="18">
        <f>'Sampling Data'!I367</f>
        <v>0</v>
      </c>
      <c r="K367" s="18">
        <f>'Sampling Data'!J367</f>
        <v>0</v>
      </c>
      <c r="L367" s="18">
        <f>'Sampling Data'!K367</f>
        <v>0</v>
      </c>
      <c r="M367" s="18">
        <f>'Sampling Data'!L367</f>
        <v>0</v>
      </c>
      <c r="N367" s="18">
        <f>'Sampling Data'!M367</f>
        <v>0</v>
      </c>
      <c r="O367" s="17">
        <f>'Sampling Data'!N367</f>
        <v>0</v>
      </c>
      <c r="P367" s="17">
        <f>'Sampling Data'!O367</f>
        <v>11</v>
      </c>
      <c r="Q367" s="17">
        <f>'Sampling Data'!P367</f>
        <v>146</v>
      </c>
      <c r="R367" s="17">
        <f>'Sampling Data'!AJ367</f>
        <v>0</v>
      </c>
      <c r="S367" s="111"/>
      <c r="T367" s="111"/>
      <c r="U367" s="112"/>
      <c r="V367" s="112"/>
      <c r="W367" s="111"/>
      <c r="X367" s="111"/>
      <c r="Y367" s="111"/>
      <c r="Z367" s="111"/>
      <c r="AA367" s="14"/>
      <c r="AB367" s="14"/>
      <c r="AC367" s="14"/>
      <c r="AD367" s="14"/>
      <c r="AE367" s="113" t="str">
        <f>IF(NOT(ISBLANK(Audit[[#This Row],[Audit Winning Candidate]])), Audit[[#This Row],[Audit Winning Candidate]]-Audit[[#This Row],[Winning Candidate]], "")</f>
        <v/>
      </c>
      <c r="AF367" s="17" t="str">
        <f>IF(NOT(ISBLANK(Audit[[#This Row],[Audit Losing Candidate]])), Audit[[#This Row],[Audit Losing Candidate]]-Audit[[#This Row],[Losing Candidate]], "")</f>
        <v/>
      </c>
      <c r="AG367" s="17" t="str">
        <f>IF(NOT(ISBLANK(Audit[[#This Row],[Audit Candidate 3]])), Audit[[#This Row],[Audit Candidate 3]]-Audit[[#This Row],[Candidate 3]], "")</f>
        <v/>
      </c>
      <c r="AH367" s="17" t="str">
        <f>IF(NOT(ISBLANK(Audit[[#This Row],[Audit Candidate 4]])),Audit[[#This Row],[Audit Candidate 4]]-Audit[[#This Row],[Candidate 4]], "")</f>
        <v/>
      </c>
      <c r="AI367" s="17" t="str">
        <f>IF(NOT(ISBLANK(Audit[[#This Row],[Audit Candidate 5]])), Audit[[#This Row],[Audit Candidate 5]]-Audit[[#This Row],[Candidate 5]], "")</f>
        <v/>
      </c>
      <c r="AJ367" s="17" t="str">
        <f>IF(NOT(ISBLANK(Audit[[#This Row],[Audit Candidate 6]])), Audit[[#This Row],[Audit Candidate 6]]-Audit[[#This Row],[Candidate 6]], "")</f>
        <v/>
      </c>
      <c r="AK367" s="17" t="str">
        <f>IF(NOT(ISBLANK(Audit[[#This Row],[Audit Candidate 7]])), Audit[[#This Row],[Audit Candidate 7]]-Audit[[#This Row],[Candidate 7]], "")</f>
        <v/>
      </c>
      <c r="AL367" s="17" t="str">
        <f>IF(NOT(ISBLANK(Audit[[#This Row],[Audit Candidate 8]])), Audit[[#This Row],[Audit Candidate 8]]-Audit[[#This Row],[Candidate 8]], "")</f>
        <v/>
      </c>
      <c r="AM367" s="17" t="str">
        <f>IF(NOT(ISBLANK(Audit[[#This Row],[Audit Candidate 9]])), Audit[[#This Row],[Audit Candidate 9]]-Audit[[#This Row],[Candidate 9]], "")</f>
        <v/>
      </c>
      <c r="AN367" s="17" t="str">
        <f>IF(NOT(ISBLANK(Audit[[#This Row],[Audit Candidate 10]])), Audit[[#This Row],[Audit Candidate 10]]-Audit[[#This Row],[Candidate 10]], "")</f>
        <v/>
      </c>
      <c r="AO367" s="17" t="str">
        <f>IF(NOT(ISBLANK(Audit[[#This Row],[Audit Candidate 11]])), Audit[[#This Row],[Audit Candidate 11]]-Audit[[#This Row],[Candidate 11]], "")</f>
        <v/>
      </c>
      <c r="AP367" s="17" t="str">
        <f>IF(NOT(ISBLANK(Audit[[#This Row],[Audit Candidate 12]])), Audit[[#This Row],[Audit Candidate 12]]-Audit[[#This Row],[Candidate 12]], "")</f>
        <v/>
      </c>
      <c r="AQ367" s="17">
        <f>SUMIF(Audit[[#This Row],[Difference Winner]:[Difference Candidate 12]], "&gt;0")</f>
        <v>0</v>
      </c>
      <c r="AR367" s="17">
        <f>SUM(Audit[[#This Row],[Difference Winner]:[Difference Candidate 12]])</f>
        <v>0</v>
      </c>
      <c r="AS367" s="17">
        <f>IF(Audit[[#This Row],[Times p Drawn - With Replacement]]&gt;0, IF(Audit[[#This Row],[Canceled Differences]]&lt;0, Audit[[#This Row],[Max Differences]]+ABS(Audit[[#This Row],[Canceled Differences]]), Audit[[#This Row],[Max Differences]]), 0)</f>
        <v>0</v>
      </c>
      <c r="AT367" s="17">
        <f>'Sampling Data'!AB367</f>
        <v>4.7105754540824989E-3</v>
      </c>
      <c r="AU367" s="17">
        <f>IF(
      SUM(Audit[[#This Row],[Audit Losing Candidate]:[Audit Candidate 12]])
      &lt;&gt;0,
      (Audit[[#This Row],[Winning Candidate]]-Audit[[#This Row],[Losing Candidate]]-(Audit[[#This Row],[Audit Winning Candidate]]-Audit[[#This Row],[Audit Losing Candidate]]))/(Audit[[#Totals],[Winning Candidate]]-Audit[[#Totals],[Losing Candidate]]),
      0
)</f>
        <v>0</v>
      </c>
      <c r="AV3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7" s="17">
        <f>IF(Audit[[#This Row],[Max Relative Error (ep)]] = 0, 0, Audit[[#This Row],[Max Relative Error (ep)]]/Audit[[#This Row],[Error Bound (up) - Max. possible relative overstatement]])</f>
        <v>0</v>
      </c>
      <c r="BH3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67" s="17">
        <f t="shared" si="6"/>
        <v>1</v>
      </c>
      <c r="BJ367" s="17">
        <f>PRODUCT($BI$5:BI367)</f>
        <v>0.46283459046185416</v>
      </c>
      <c r="BK367" s="19">
        <f>1 - Audit[[#This Row],[K-M P Value]]</f>
        <v>0.53716540953814584</v>
      </c>
      <c r="BL367" s="17" t="str">
        <f>IF(Audit[[#This Row],[K-M P Value]]&gt;1-'General Info'!$B$12,"Continue", "Stop")</f>
        <v>Continue</v>
      </c>
      <c r="BM367" s="22" t="b">
        <f>IF(Audit[[#This Row],[Status - Continue or stop audit]] = "Continue", TRUE, IF(BL366 = "Continue", TRUE, FALSE))</f>
        <v>1</v>
      </c>
      <c r="BN367" s="22"/>
    </row>
    <row r="368" spans="1:66" ht="15" hidden="1" customHeight="1" x14ac:dyDescent="0.35">
      <c r="A368" s="17" t="str">
        <f>'Sampling Data'!AI368</f>
        <v/>
      </c>
      <c r="B368" s="17" t="str">
        <f>'Sampling Data'!A368</f>
        <v>5916 COLE P   (AV)</v>
      </c>
      <c r="C368" s="17">
        <f>'Sampling Data'!B368</f>
        <v>86</v>
      </c>
      <c r="D368" s="17">
        <f>'Sampling Data'!C368</f>
        <v>32</v>
      </c>
      <c r="E368" s="18">
        <f>'Sampling Data'!D368</f>
        <v>0</v>
      </c>
      <c r="F368" s="18">
        <f>'Sampling Data'!E368</f>
        <v>0</v>
      </c>
      <c r="G368" s="18">
        <f>'Sampling Data'!F368</f>
        <v>0</v>
      </c>
      <c r="H368" s="18">
        <f>'Sampling Data'!G368</f>
        <v>0</v>
      </c>
      <c r="I368" s="18">
        <f>'Sampling Data'!H368</f>
        <v>0</v>
      </c>
      <c r="J368" s="18">
        <f>'Sampling Data'!I368</f>
        <v>0</v>
      </c>
      <c r="K368" s="18">
        <f>'Sampling Data'!J368</f>
        <v>0</v>
      </c>
      <c r="L368" s="18">
        <f>'Sampling Data'!K368</f>
        <v>0</v>
      </c>
      <c r="M368" s="18">
        <f>'Sampling Data'!L368</f>
        <v>0</v>
      </c>
      <c r="N368" s="18">
        <f>'Sampling Data'!M368</f>
        <v>0</v>
      </c>
      <c r="O368" s="17">
        <f>'Sampling Data'!N368</f>
        <v>0</v>
      </c>
      <c r="P368" s="17">
        <f>'Sampling Data'!O368</f>
        <v>2</v>
      </c>
      <c r="Q368" s="17">
        <f>'Sampling Data'!P368</f>
        <v>120</v>
      </c>
      <c r="R368" s="17">
        <f>'Sampling Data'!AJ368</f>
        <v>0</v>
      </c>
      <c r="S368" s="111"/>
      <c r="T368" s="111"/>
      <c r="U368" s="112"/>
      <c r="V368" s="112"/>
      <c r="W368" s="111"/>
      <c r="X368" s="111"/>
      <c r="Y368" s="111"/>
      <c r="Z368" s="111"/>
      <c r="AA368" s="14"/>
      <c r="AB368" s="14"/>
      <c r="AC368" s="14"/>
      <c r="AD368" s="14"/>
      <c r="AE368" s="113" t="str">
        <f>IF(NOT(ISBLANK(Audit[[#This Row],[Audit Winning Candidate]])), Audit[[#This Row],[Audit Winning Candidate]]-Audit[[#This Row],[Winning Candidate]], "")</f>
        <v/>
      </c>
      <c r="AF368" s="17" t="str">
        <f>IF(NOT(ISBLANK(Audit[[#This Row],[Audit Losing Candidate]])), Audit[[#This Row],[Audit Losing Candidate]]-Audit[[#This Row],[Losing Candidate]], "")</f>
        <v/>
      </c>
      <c r="AG368" s="17" t="str">
        <f>IF(NOT(ISBLANK(Audit[[#This Row],[Audit Candidate 3]])), Audit[[#This Row],[Audit Candidate 3]]-Audit[[#This Row],[Candidate 3]], "")</f>
        <v/>
      </c>
      <c r="AH368" s="17" t="str">
        <f>IF(NOT(ISBLANK(Audit[[#This Row],[Audit Candidate 4]])),Audit[[#This Row],[Audit Candidate 4]]-Audit[[#This Row],[Candidate 4]], "")</f>
        <v/>
      </c>
      <c r="AI368" s="17" t="str">
        <f>IF(NOT(ISBLANK(Audit[[#This Row],[Audit Candidate 5]])), Audit[[#This Row],[Audit Candidate 5]]-Audit[[#This Row],[Candidate 5]], "")</f>
        <v/>
      </c>
      <c r="AJ368" s="17" t="str">
        <f>IF(NOT(ISBLANK(Audit[[#This Row],[Audit Candidate 6]])), Audit[[#This Row],[Audit Candidate 6]]-Audit[[#This Row],[Candidate 6]], "")</f>
        <v/>
      </c>
      <c r="AK368" s="17" t="str">
        <f>IF(NOT(ISBLANK(Audit[[#This Row],[Audit Candidate 7]])), Audit[[#This Row],[Audit Candidate 7]]-Audit[[#This Row],[Candidate 7]], "")</f>
        <v/>
      </c>
      <c r="AL368" s="17" t="str">
        <f>IF(NOT(ISBLANK(Audit[[#This Row],[Audit Candidate 8]])), Audit[[#This Row],[Audit Candidate 8]]-Audit[[#This Row],[Candidate 8]], "")</f>
        <v/>
      </c>
      <c r="AM368" s="17" t="str">
        <f>IF(NOT(ISBLANK(Audit[[#This Row],[Audit Candidate 9]])), Audit[[#This Row],[Audit Candidate 9]]-Audit[[#This Row],[Candidate 9]], "")</f>
        <v/>
      </c>
      <c r="AN368" s="17" t="str">
        <f>IF(NOT(ISBLANK(Audit[[#This Row],[Audit Candidate 10]])), Audit[[#This Row],[Audit Candidate 10]]-Audit[[#This Row],[Candidate 10]], "")</f>
        <v/>
      </c>
      <c r="AO368" s="17" t="str">
        <f>IF(NOT(ISBLANK(Audit[[#This Row],[Audit Candidate 11]])), Audit[[#This Row],[Audit Candidate 11]]-Audit[[#This Row],[Candidate 11]], "")</f>
        <v/>
      </c>
      <c r="AP368" s="17" t="str">
        <f>IF(NOT(ISBLANK(Audit[[#This Row],[Audit Candidate 12]])), Audit[[#This Row],[Audit Candidate 12]]-Audit[[#This Row],[Candidate 12]], "")</f>
        <v/>
      </c>
      <c r="AQ368" s="17">
        <f>SUMIF(Audit[[#This Row],[Difference Winner]:[Difference Candidate 12]], "&gt;0")</f>
        <v>0</v>
      </c>
      <c r="AR368" s="17">
        <f>SUM(Audit[[#This Row],[Difference Winner]:[Difference Candidate 12]])</f>
        <v>0</v>
      </c>
      <c r="AS368" s="17">
        <f>IF(Audit[[#This Row],[Times p Drawn - With Replacement]]&gt;0, IF(Audit[[#This Row],[Canceled Differences]]&lt;0, Audit[[#This Row],[Max Differences]]+ABS(Audit[[#This Row],[Canceled Differences]]), Audit[[#This Row],[Max Differences]]), 0)</f>
        <v>0</v>
      </c>
      <c r="AT368" s="17">
        <f>'Sampling Data'!AB368</f>
        <v>7.3841453063995923E-3</v>
      </c>
      <c r="AU368" s="17">
        <f>IF(
      SUM(Audit[[#This Row],[Audit Losing Candidate]:[Audit Candidate 12]])
      &lt;&gt;0,
      (Audit[[#This Row],[Winning Candidate]]-Audit[[#This Row],[Losing Candidate]]-(Audit[[#This Row],[Audit Winning Candidate]]-Audit[[#This Row],[Audit Losing Candidate]]))/(Audit[[#Totals],[Winning Candidate]]-Audit[[#Totals],[Losing Candidate]]),
      0
)</f>
        <v>0</v>
      </c>
      <c r="AV3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8" s="17">
        <f>IF(Audit[[#This Row],[Max Relative Error (ep)]] = 0, 0, Audit[[#This Row],[Max Relative Error (ep)]]/Audit[[#This Row],[Error Bound (up) - Max. possible relative overstatement]])</f>
        <v>0</v>
      </c>
      <c r="BH3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68" s="17">
        <f t="shared" si="6"/>
        <v>1</v>
      </c>
      <c r="BJ368" s="17">
        <f>PRODUCT($BI$5:BI368)</f>
        <v>0.46283459046185416</v>
      </c>
      <c r="BK368" s="19">
        <f>1 - Audit[[#This Row],[K-M P Value]]</f>
        <v>0.53716540953814584</v>
      </c>
      <c r="BL368" s="17" t="str">
        <f>IF(Audit[[#This Row],[K-M P Value]]&gt;1-'General Info'!$B$12,"Continue", "Stop")</f>
        <v>Continue</v>
      </c>
      <c r="BM368" s="22" t="b">
        <f>IF(Audit[[#This Row],[Status - Continue or stop audit]] = "Continue", TRUE, IF(BL367 = "Continue", TRUE, FALSE))</f>
        <v>1</v>
      </c>
      <c r="BN368" s="22"/>
    </row>
    <row r="369" spans="1:66" ht="15" hidden="1" customHeight="1" x14ac:dyDescent="0.35">
      <c r="A369" s="17" t="str">
        <f>'Sampling Data'!AI369</f>
        <v/>
      </c>
      <c r="B369" s="17" t="str">
        <f>'Sampling Data'!A369</f>
        <v>5917 COLE Q   (AV)</v>
      </c>
      <c r="C369" s="17">
        <f>'Sampling Data'!B369</f>
        <v>102</v>
      </c>
      <c r="D369" s="17">
        <f>'Sampling Data'!C369</f>
        <v>301</v>
      </c>
      <c r="E369" s="18">
        <f>'Sampling Data'!D369</f>
        <v>0</v>
      </c>
      <c r="F369" s="18">
        <f>'Sampling Data'!E369</f>
        <v>0</v>
      </c>
      <c r="G369" s="18">
        <f>'Sampling Data'!F369</f>
        <v>0</v>
      </c>
      <c r="H369" s="18">
        <f>'Sampling Data'!G369</f>
        <v>0</v>
      </c>
      <c r="I369" s="18">
        <f>'Sampling Data'!H369</f>
        <v>0</v>
      </c>
      <c r="J369" s="18">
        <f>'Sampling Data'!I369</f>
        <v>0</v>
      </c>
      <c r="K369" s="18">
        <f>'Sampling Data'!J369</f>
        <v>0</v>
      </c>
      <c r="L369" s="18">
        <f>'Sampling Data'!K369</f>
        <v>0</v>
      </c>
      <c r="M369" s="18">
        <f>'Sampling Data'!L369</f>
        <v>0</v>
      </c>
      <c r="N369" s="18">
        <f>'Sampling Data'!M369</f>
        <v>0</v>
      </c>
      <c r="O369" s="17">
        <f>'Sampling Data'!N369</f>
        <v>0</v>
      </c>
      <c r="P369" s="17">
        <f>'Sampling Data'!O369</f>
        <v>18</v>
      </c>
      <c r="Q369" s="17">
        <f>'Sampling Data'!P369</f>
        <v>421</v>
      </c>
      <c r="R369" s="17">
        <f>'Sampling Data'!AJ369</f>
        <v>0</v>
      </c>
      <c r="S369" s="111"/>
      <c r="T369" s="111"/>
      <c r="U369" s="112"/>
      <c r="V369" s="112"/>
      <c r="W369" s="111"/>
      <c r="X369" s="111"/>
      <c r="Y369" s="111"/>
      <c r="Z369" s="111"/>
      <c r="AA369" s="14"/>
      <c r="AB369" s="14"/>
      <c r="AC369" s="14"/>
      <c r="AD369" s="14"/>
      <c r="AE369" s="113" t="str">
        <f>IF(NOT(ISBLANK(Audit[[#This Row],[Audit Winning Candidate]])), Audit[[#This Row],[Audit Winning Candidate]]-Audit[[#This Row],[Winning Candidate]], "")</f>
        <v/>
      </c>
      <c r="AF369" s="17" t="str">
        <f>IF(NOT(ISBLANK(Audit[[#This Row],[Audit Losing Candidate]])), Audit[[#This Row],[Audit Losing Candidate]]-Audit[[#This Row],[Losing Candidate]], "")</f>
        <v/>
      </c>
      <c r="AG369" s="17" t="str">
        <f>IF(NOT(ISBLANK(Audit[[#This Row],[Audit Candidate 3]])), Audit[[#This Row],[Audit Candidate 3]]-Audit[[#This Row],[Candidate 3]], "")</f>
        <v/>
      </c>
      <c r="AH369" s="17" t="str">
        <f>IF(NOT(ISBLANK(Audit[[#This Row],[Audit Candidate 4]])),Audit[[#This Row],[Audit Candidate 4]]-Audit[[#This Row],[Candidate 4]], "")</f>
        <v/>
      </c>
      <c r="AI369" s="17" t="str">
        <f>IF(NOT(ISBLANK(Audit[[#This Row],[Audit Candidate 5]])), Audit[[#This Row],[Audit Candidate 5]]-Audit[[#This Row],[Candidate 5]], "")</f>
        <v/>
      </c>
      <c r="AJ369" s="17" t="str">
        <f>IF(NOT(ISBLANK(Audit[[#This Row],[Audit Candidate 6]])), Audit[[#This Row],[Audit Candidate 6]]-Audit[[#This Row],[Candidate 6]], "")</f>
        <v/>
      </c>
      <c r="AK369" s="17" t="str">
        <f>IF(NOT(ISBLANK(Audit[[#This Row],[Audit Candidate 7]])), Audit[[#This Row],[Audit Candidate 7]]-Audit[[#This Row],[Candidate 7]], "")</f>
        <v/>
      </c>
      <c r="AL369" s="17" t="str">
        <f>IF(NOT(ISBLANK(Audit[[#This Row],[Audit Candidate 8]])), Audit[[#This Row],[Audit Candidate 8]]-Audit[[#This Row],[Candidate 8]], "")</f>
        <v/>
      </c>
      <c r="AM369" s="17" t="str">
        <f>IF(NOT(ISBLANK(Audit[[#This Row],[Audit Candidate 9]])), Audit[[#This Row],[Audit Candidate 9]]-Audit[[#This Row],[Candidate 9]], "")</f>
        <v/>
      </c>
      <c r="AN369" s="17" t="str">
        <f>IF(NOT(ISBLANK(Audit[[#This Row],[Audit Candidate 10]])), Audit[[#This Row],[Audit Candidate 10]]-Audit[[#This Row],[Candidate 10]], "")</f>
        <v/>
      </c>
      <c r="AO369" s="17" t="str">
        <f>IF(NOT(ISBLANK(Audit[[#This Row],[Audit Candidate 11]])), Audit[[#This Row],[Audit Candidate 11]]-Audit[[#This Row],[Candidate 11]], "")</f>
        <v/>
      </c>
      <c r="AP369" s="17" t="str">
        <f>IF(NOT(ISBLANK(Audit[[#This Row],[Audit Candidate 12]])), Audit[[#This Row],[Audit Candidate 12]]-Audit[[#This Row],[Candidate 12]], "")</f>
        <v/>
      </c>
      <c r="AQ369" s="17">
        <f>SUMIF(Audit[[#This Row],[Difference Winner]:[Difference Candidate 12]], "&gt;0")</f>
        <v>0</v>
      </c>
      <c r="AR369" s="17">
        <f>SUM(Audit[[#This Row],[Difference Winner]:[Difference Candidate 12]])</f>
        <v>0</v>
      </c>
      <c r="AS369" s="17">
        <f>IF(Audit[[#This Row],[Times p Drawn - With Replacement]]&gt;0, IF(Audit[[#This Row],[Canceled Differences]]&lt;0, Audit[[#This Row],[Max Differences]]+ABS(Audit[[#This Row],[Canceled Differences]]), Audit[[#This Row],[Max Differences]]), 0)</f>
        <v>0</v>
      </c>
      <c r="AT369" s="17">
        <f>'Sampling Data'!AB369</f>
        <v>9.4211509081649977E-3</v>
      </c>
      <c r="AU369" s="17">
        <f>IF(
      SUM(Audit[[#This Row],[Audit Losing Candidate]:[Audit Candidate 12]])
      &lt;&gt;0,
      (Audit[[#This Row],[Winning Candidate]]-Audit[[#This Row],[Losing Candidate]]-(Audit[[#This Row],[Audit Winning Candidate]]-Audit[[#This Row],[Audit Losing Candidate]]))/(Audit[[#Totals],[Winning Candidate]]-Audit[[#Totals],[Losing Candidate]]),
      0
)</f>
        <v>0</v>
      </c>
      <c r="AV3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9" s="17">
        <f>IF(Audit[[#This Row],[Max Relative Error (ep)]] = 0, 0, Audit[[#This Row],[Max Relative Error (ep)]]/Audit[[#This Row],[Error Bound (up) - Max. possible relative overstatement]])</f>
        <v>0</v>
      </c>
      <c r="BH3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69" s="17">
        <f t="shared" si="6"/>
        <v>1</v>
      </c>
      <c r="BJ369" s="17">
        <f>PRODUCT($BI$5:BI369)</f>
        <v>0.46283459046185416</v>
      </c>
      <c r="BK369" s="19">
        <f>1 - Audit[[#This Row],[K-M P Value]]</f>
        <v>0.53716540953814584</v>
      </c>
      <c r="BL369" s="17" t="str">
        <f>IF(Audit[[#This Row],[K-M P Value]]&gt;1-'General Info'!$B$12,"Continue", "Stop")</f>
        <v>Continue</v>
      </c>
      <c r="BM369" s="22" t="b">
        <f>IF(Audit[[#This Row],[Status - Continue or stop audit]] = "Continue", TRUE, IF(BL368 = "Continue", TRUE, FALSE))</f>
        <v>1</v>
      </c>
      <c r="BN369" s="22"/>
    </row>
    <row r="370" spans="1:66" ht="15" hidden="1" customHeight="1" x14ac:dyDescent="0.35">
      <c r="A370" s="17" t="str">
        <f>'Sampling Data'!AI370</f>
        <v/>
      </c>
      <c r="B370" s="17" t="str">
        <f>'Sampling Data'!A370</f>
        <v>5918 COLE R   (AV)</v>
      </c>
      <c r="C370" s="17">
        <f>'Sampling Data'!B370</f>
        <v>142</v>
      </c>
      <c r="D370" s="17">
        <f>'Sampling Data'!C370</f>
        <v>144</v>
      </c>
      <c r="E370" s="18">
        <f>'Sampling Data'!D370</f>
        <v>0</v>
      </c>
      <c r="F370" s="18">
        <f>'Sampling Data'!E370</f>
        <v>0</v>
      </c>
      <c r="G370" s="18">
        <f>'Sampling Data'!F370</f>
        <v>0</v>
      </c>
      <c r="H370" s="18">
        <f>'Sampling Data'!G370</f>
        <v>0</v>
      </c>
      <c r="I370" s="18">
        <f>'Sampling Data'!H370</f>
        <v>0</v>
      </c>
      <c r="J370" s="18">
        <f>'Sampling Data'!I370</f>
        <v>0</v>
      </c>
      <c r="K370" s="18">
        <f>'Sampling Data'!J370</f>
        <v>0</v>
      </c>
      <c r="L370" s="18">
        <f>'Sampling Data'!K370</f>
        <v>0</v>
      </c>
      <c r="M370" s="18">
        <f>'Sampling Data'!L370</f>
        <v>0</v>
      </c>
      <c r="N370" s="18">
        <f>'Sampling Data'!M370</f>
        <v>0</v>
      </c>
      <c r="O370" s="17">
        <f>'Sampling Data'!N370</f>
        <v>0</v>
      </c>
      <c r="P370" s="17">
        <f>'Sampling Data'!O370</f>
        <v>21</v>
      </c>
      <c r="Q370" s="17">
        <f>'Sampling Data'!P370</f>
        <v>307</v>
      </c>
      <c r="R370" s="17">
        <f>'Sampling Data'!AJ370</f>
        <v>0</v>
      </c>
      <c r="S370" s="111"/>
      <c r="T370" s="111"/>
      <c r="U370" s="112"/>
      <c r="V370" s="112"/>
      <c r="W370" s="111"/>
      <c r="X370" s="111"/>
      <c r="Y370" s="111"/>
      <c r="Z370" s="111"/>
      <c r="AA370" s="14"/>
      <c r="AB370" s="14"/>
      <c r="AC370" s="14"/>
      <c r="AD370" s="14"/>
      <c r="AE370" s="113" t="str">
        <f>IF(NOT(ISBLANK(Audit[[#This Row],[Audit Winning Candidate]])), Audit[[#This Row],[Audit Winning Candidate]]-Audit[[#This Row],[Winning Candidate]], "")</f>
        <v/>
      </c>
      <c r="AF370" s="17" t="str">
        <f>IF(NOT(ISBLANK(Audit[[#This Row],[Audit Losing Candidate]])), Audit[[#This Row],[Audit Losing Candidate]]-Audit[[#This Row],[Losing Candidate]], "")</f>
        <v/>
      </c>
      <c r="AG370" s="17" t="str">
        <f>IF(NOT(ISBLANK(Audit[[#This Row],[Audit Candidate 3]])), Audit[[#This Row],[Audit Candidate 3]]-Audit[[#This Row],[Candidate 3]], "")</f>
        <v/>
      </c>
      <c r="AH370" s="17" t="str">
        <f>IF(NOT(ISBLANK(Audit[[#This Row],[Audit Candidate 4]])),Audit[[#This Row],[Audit Candidate 4]]-Audit[[#This Row],[Candidate 4]], "")</f>
        <v/>
      </c>
      <c r="AI370" s="17" t="str">
        <f>IF(NOT(ISBLANK(Audit[[#This Row],[Audit Candidate 5]])), Audit[[#This Row],[Audit Candidate 5]]-Audit[[#This Row],[Candidate 5]], "")</f>
        <v/>
      </c>
      <c r="AJ370" s="17" t="str">
        <f>IF(NOT(ISBLANK(Audit[[#This Row],[Audit Candidate 6]])), Audit[[#This Row],[Audit Candidate 6]]-Audit[[#This Row],[Candidate 6]], "")</f>
        <v/>
      </c>
      <c r="AK370" s="17" t="str">
        <f>IF(NOT(ISBLANK(Audit[[#This Row],[Audit Candidate 7]])), Audit[[#This Row],[Audit Candidate 7]]-Audit[[#This Row],[Candidate 7]], "")</f>
        <v/>
      </c>
      <c r="AL370" s="17" t="str">
        <f>IF(NOT(ISBLANK(Audit[[#This Row],[Audit Candidate 8]])), Audit[[#This Row],[Audit Candidate 8]]-Audit[[#This Row],[Candidate 8]], "")</f>
        <v/>
      </c>
      <c r="AM370" s="17" t="str">
        <f>IF(NOT(ISBLANK(Audit[[#This Row],[Audit Candidate 9]])), Audit[[#This Row],[Audit Candidate 9]]-Audit[[#This Row],[Candidate 9]], "")</f>
        <v/>
      </c>
      <c r="AN370" s="17" t="str">
        <f>IF(NOT(ISBLANK(Audit[[#This Row],[Audit Candidate 10]])), Audit[[#This Row],[Audit Candidate 10]]-Audit[[#This Row],[Candidate 10]], "")</f>
        <v/>
      </c>
      <c r="AO370" s="17" t="str">
        <f>IF(NOT(ISBLANK(Audit[[#This Row],[Audit Candidate 11]])), Audit[[#This Row],[Audit Candidate 11]]-Audit[[#This Row],[Candidate 11]], "")</f>
        <v/>
      </c>
      <c r="AP370" s="17" t="str">
        <f>IF(NOT(ISBLANK(Audit[[#This Row],[Audit Candidate 12]])), Audit[[#This Row],[Audit Candidate 12]]-Audit[[#This Row],[Candidate 12]], "")</f>
        <v/>
      </c>
      <c r="AQ370" s="17">
        <f>SUMIF(Audit[[#This Row],[Difference Winner]:[Difference Candidate 12]], "&gt;0")</f>
        <v>0</v>
      </c>
      <c r="AR370" s="17">
        <f>SUM(Audit[[#This Row],[Difference Winner]:[Difference Candidate 12]])</f>
        <v>0</v>
      </c>
      <c r="AS370" s="17">
        <f>IF(Audit[[#This Row],[Times p Drawn - With Replacement]]&gt;0, IF(Audit[[#This Row],[Canceled Differences]]&lt;0, Audit[[#This Row],[Max Differences]]+ABS(Audit[[#This Row],[Canceled Differences]]), Audit[[#This Row],[Max Differences]]), 0)</f>
        <v>0</v>
      </c>
      <c r="AT370" s="17">
        <f>'Sampling Data'!AB370</f>
        <v>1.294347309455101E-2</v>
      </c>
      <c r="AU370" s="17">
        <f>IF(
      SUM(Audit[[#This Row],[Audit Losing Candidate]:[Audit Candidate 12]])
      &lt;&gt;0,
      (Audit[[#This Row],[Winning Candidate]]-Audit[[#This Row],[Losing Candidate]]-(Audit[[#This Row],[Audit Winning Candidate]]-Audit[[#This Row],[Audit Losing Candidate]]))/(Audit[[#Totals],[Winning Candidate]]-Audit[[#Totals],[Losing Candidate]]),
      0
)</f>
        <v>0</v>
      </c>
      <c r="AV3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0" s="17">
        <f>IF(Audit[[#This Row],[Max Relative Error (ep)]] = 0, 0, Audit[[#This Row],[Max Relative Error (ep)]]/Audit[[#This Row],[Error Bound (up) - Max. possible relative overstatement]])</f>
        <v>0</v>
      </c>
      <c r="BH3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70" s="17">
        <f t="shared" si="6"/>
        <v>1</v>
      </c>
      <c r="BJ370" s="17">
        <f>PRODUCT($BI$5:BI370)</f>
        <v>0.46283459046185416</v>
      </c>
      <c r="BK370" s="19">
        <f>1 - Audit[[#This Row],[K-M P Value]]</f>
        <v>0.53716540953814584</v>
      </c>
      <c r="BL370" s="17" t="str">
        <f>IF(Audit[[#This Row],[K-M P Value]]&gt;1-'General Info'!$B$12,"Continue", "Stop")</f>
        <v>Continue</v>
      </c>
      <c r="BM370" s="22" t="b">
        <f>IF(Audit[[#This Row],[Status - Continue or stop audit]] = "Continue", TRUE, IF(BL369 = "Continue", TRUE, FALSE))</f>
        <v>1</v>
      </c>
      <c r="BN370" s="22"/>
    </row>
    <row r="371" spans="1:66" ht="15" hidden="1" customHeight="1" x14ac:dyDescent="0.35">
      <c r="A371" s="17" t="str">
        <f>'Sampling Data'!AI371</f>
        <v/>
      </c>
      <c r="B371" s="17" t="str">
        <f>'Sampling Data'!A371</f>
        <v>5919 COLE S   (AV)</v>
      </c>
      <c r="C371" s="17">
        <f>'Sampling Data'!B371</f>
        <v>91</v>
      </c>
      <c r="D371" s="17">
        <f>'Sampling Data'!C371</f>
        <v>169</v>
      </c>
      <c r="E371" s="18">
        <f>'Sampling Data'!D371</f>
        <v>0</v>
      </c>
      <c r="F371" s="18">
        <f>'Sampling Data'!E371</f>
        <v>0</v>
      </c>
      <c r="G371" s="18">
        <f>'Sampling Data'!F371</f>
        <v>0</v>
      </c>
      <c r="H371" s="18">
        <f>'Sampling Data'!G371</f>
        <v>0</v>
      </c>
      <c r="I371" s="18">
        <f>'Sampling Data'!H371</f>
        <v>0</v>
      </c>
      <c r="J371" s="18">
        <f>'Sampling Data'!I371</f>
        <v>0</v>
      </c>
      <c r="K371" s="18">
        <f>'Sampling Data'!J371</f>
        <v>0</v>
      </c>
      <c r="L371" s="18">
        <f>'Sampling Data'!K371</f>
        <v>0</v>
      </c>
      <c r="M371" s="18">
        <f>'Sampling Data'!L371</f>
        <v>0</v>
      </c>
      <c r="N371" s="18">
        <f>'Sampling Data'!M371</f>
        <v>0</v>
      </c>
      <c r="O371" s="17">
        <f>'Sampling Data'!N371</f>
        <v>0</v>
      </c>
      <c r="P371" s="17">
        <f>'Sampling Data'!O371</f>
        <v>11</v>
      </c>
      <c r="Q371" s="17">
        <f>'Sampling Data'!P371</f>
        <v>271</v>
      </c>
      <c r="R371" s="17">
        <f>'Sampling Data'!AJ371</f>
        <v>0</v>
      </c>
      <c r="S371" s="111"/>
      <c r="T371" s="111"/>
      <c r="U371" s="112"/>
      <c r="V371" s="112"/>
      <c r="W371" s="111"/>
      <c r="X371" s="111"/>
      <c r="Y371" s="111"/>
      <c r="Z371" s="111"/>
      <c r="AA371" s="14"/>
      <c r="AB371" s="14"/>
      <c r="AC371" s="14"/>
      <c r="AD371" s="14"/>
      <c r="AE371" s="113" t="str">
        <f>IF(NOT(ISBLANK(Audit[[#This Row],[Audit Winning Candidate]])), Audit[[#This Row],[Audit Winning Candidate]]-Audit[[#This Row],[Winning Candidate]], "")</f>
        <v/>
      </c>
      <c r="AF371" s="17" t="str">
        <f>IF(NOT(ISBLANK(Audit[[#This Row],[Audit Losing Candidate]])), Audit[[#This Row],[Audit Losing Candidate]]-Audit[[#This Row],[Losing Candidate]], "")</f>
        <v/>
      </c>
      <c r="AG371" s="17" t="str">
        <f>IF(NOT(ISBLANK(Audit[[#This Row],[Audit Candidate 3]])), Audit[[#This Row],[Audit Candidate 3]]-Audit[[#This Row],[Candidate 3]], "")</f>
        <v/>
      </c>
      <c r="AH371" s="17" t="str">
        <f>IF(NOT(ISBLANK(Audit[[#This Row],[Audit Candidate 4]])),Audit[[#This Row],[Audit Candidate 4]]-Audit[[#This Row],[Candidate 4]], "")</f>
        <v/>
      </c>
      <c r="AI371" s="17" t="str">
        <f>IF(NOT(ISBLANK(Audit[[#This Row],[Audit Candidate 5]])), Audit[[#This Row],[Audit Candidate 5]]-Audit[[#This Row],[Candidate 5]], "")</f>
        <v/>
      </c>
      <c r="AJ371" s="17" t="str">
        <f>IF(NOT(ISBLANK(Audit[[#This Row],[Audit Candidate 6]])), Audit[[#This Row],[Audit Candidate 6]]-Audit[[#This Row],[Candidate 6]], "")</f>
        <v/>
      </c>
      <c r="AK371" s="17" t="str">
        <f>IF(NOT(ISBLANK(Audit[[#This Row],[Audit Candidate 7]])), Audit[[#This Row],[Audit Candidate 7]]-Audit[[#This Row],[Candidate 7]], "")</f>
        <v/>
      </c>
      <c r="AL371" s="17" t="str">
        <f>IF(NOT(ISBLANK(Audit[[#This Row],[Audit Candidate 8]])), Audit[[#This Row],[Audit Candidate 8]]-Audit[[#This Row],[Candidate 8]], "")</f>
        <v/>
      </c>
      <c r="AM371" s="17" t="str">
        <f>IF(NOT(ISBLANK(Audit[[#This Row],[Audit Candidate 9]])), Audit[[#This Row],[Audit Candidate 9]]-Audit[[#This Row],[Candidate 9]], "")</f>
        <v/>
      </c>
      <c r="AN371" s="17" t="str">
        <f>IF(NOT(ISBLANK(Audit[[#This Row],[Audit Candidate 10]])), Audit[[#This Row],[Audit Candidate 10]]-Audit[[#This Row],[Candidate 10]], "")</f>
        <v/>
      </c>
      <c r="AO371" s="17" t="str">
        <f>IF(NOT(ISBLANK(Audit[[#This Row],[Audit Candidate 11]])), Audit[[#This Row],[Audit Candidate 11]]-Audit[[#This Row],[Candidate 11]], "")</f>
        <v/>
      </c>
      <c r="AP371" s="17" t="str">
        <f>IF(NOT(ISBLANK(Audit[[#This Row],[Audit Candidate 12]])), Audit[[#This Row],[Audit Candidate 12]]-Audit[[#This Row],[Candidate 12]], "")</f>
        <v/>
      </c>
      <c r="AQ371" s="17">
        <f>SUMIF(Audit[[#This Row],[Difference Winner]:[Difference Candidate 12]], "&gt;0")</f>
        <v>0</v>
      </c>
      <c r="AR371" s="17">
        <f>SUM(Audit[[#This Row],[Difference Winner]:[Difference Candidate 12]])</f>
        <v>0</v>
      </c>
      <c r="AS371" s="17">
        <f>IF(Audit[[#This Row],[Times p Drawn - With Replacement]]&gt;0, IF(Audit[[#This Row],[Canceled Differences]]&lt;0, Audit[[#This Row],[Max Differences]]+ABS(Audit[[#This Row],[Canceled Differences]]), Audit[[#This Row],[Max Differences]]), 0)</f>
        <v>0</v>
      </c>
      <c r="AT371" s="17">
        <f>'Sampling Data'!AB371</f>
        <v>8.1904600237650647E-3</v>
      </c>
      <c r="AU371" s="17">
        <f>IF(
      SUM(Audit[[#This Row],[Audit Losing Candidate]:[Audit Candidate 12]])
      &lt;&gt;0,
      (Audit[[#This Row],[Winning Candidate]]-Audit[[#This Row],[Losing Candidate]]-(Audit[[#This Row],[Audit Winning Candidate]]-Audit[[#This Row],[Audit Losing Candidate]]))/(Audit[[#Totals],[Winning Candidate]]-Audit[[#Totals],[Losing Candidate]]),
      0
)</f>
        <v>0</v>
      </c>
      <c r="AV3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1" s="17">
        <f>IF(Audit[[#This Row],[Max Relative Error (ep)]] = 0, 0, Audit[[#This Row],[Max Relative Error (ep)]]/Audit[[#This Row],[Error Bound (up) - Max. possible relative overstatement]])</f>
        <v>0</v>
      </c>
      <c r="BH3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71" s="17">
        <f t="shared" si="6"/>
        <v>1</v>
      </c>
      <c r="BJ371" s="17">
        <f>PRODUCT($BI$5:BI371)</f>
        <v>0.46283459046185416</v>
      </c>
      <c r="BK371" s="19">
        <f>1 - Audit[[#This Row],[K-M P Value]]</f>
        <v>0.53716540953814584</v>
      </c>
      <c r="BL371" s="17" t="str">
        <f>IF(Audit[[#This Row],[K-M P Value]]&gt;1-'General Info'!$B$12,"Continue", "Stop")</f>
        <v>Continue</v>
      </c>
      <c r="BM371" s="22" t="b">
        <f>IF(Audit[[#This Row],[Status - Continue or stop audit]] = "Continue", TRUE, IF(BL370 = "Continue", TRUE, FALSE))</f>
        <v>1</v>
      </c>
      <c r="BN371" s="22"/>
    </row>
    <row r="372" spans="1:66" ht="15" hidden="1" customHeight="1" x14ac:dyDescent="0.35">
      <c r="A372" s="17" t="str">
        <f>'Sampling Data'!AI372</f>
        <v/>
      </c>
      <c r="B372" s="17" t="str">
        <f>'Sampling Data'!A372</f>
        <v>5920 COLE T   (AV)</v>
      </c>
      <c r="C372" s="17">
        <f>'Sampling Data'!B372</f>
        <v>177</v>
      </c>
      <c r="D372" s="17">
        <f>'Sampling Data'!C372</f>
        <v>78</v>
      </c>
      <c r="E372" s="18">
        <f>'Sampling Data'!D372</f>
        <v>0</v>
      </c>
      <c r="F372" s="18">
        <f>'Sampling Data'!E372</f>
        <v>0</v>
      </c>
      <c r="G372" s="18">
        <f>'Sampling Data'!F372</f>
        <v>0</v>
      </c>
      <c r="H372" s="18">
        <f>'Sampling Data'!G372</f>
        <v>0</v>
      </c>
      <c r="I372" s="18">
        <f>'Sampling Data'!H372</f>
        <v>0</v>
      </c>
      <c r="J372" s="18">
        <f>'Sampling Data'!I372</f>
        <v>0</v>
      </c>
      <c r="K372" s="18">
        <f>'Sampling Data'!J372</f>
        <v>0</v>
      </c>
      <c r="L372" s="18">
        <f>'Sampling Data'!K372</f>
        <v>0</v>
      </c>
      <c r="M372" s="18">
        <f>'Sampling Data'!L372</f>
        <v>0</v>
      </c>
      <c r="N372" s="18">
        <f>'Sampling Data'!M372</f>
        <v>0</v>
      </c>
      <c r="O372" s="17">
        <f>'Sampling Data'!N372</f>
        <v>0</v>
      </c>
      <c r="P372" s="17">
        <f>'Sampling Data'!O372</f>
        <v>16</v>
      </c>
      <c r="Q372" s="17">
        <f>'Sampling Data'!P372</f>
        <v>271</v>
      </c>
      <c r="R372" s="17">
        <f>'Sampling Data'!AJ372</f>
        <v>0</v>
      </c>
      <c r="S372" s="111"/>
      <c r="T372" s="111"/>
      <c r="U372" s="112"/>
      <c r="V372" s="112"/>
      <c r="W372" s="111"/>
      <c r="X372" s="111"/>
      <c r="Y372" s="111"/>
      <c r="Z372" s="111"/>
      <c r="AA372" s="14"/>
      <c r="AB372" s="14"/>
      <c r="AC372" s="14"/>
      <c r="AD372" s="14"/>
      <c r="AE372" s="113" t="str">
        <f>IF(NOT(ISBLANK(Audit[[#This Row],[Audit Winning Candidate]])), Audit[[#This Row],[Audit Winning Candidate]]-Audit[[#This Row],[Winning Candidate]], "")</f>
        <v/>
      </c>
      <c r="AF372" s="17" t="str">
        <f>IF(NOT(ISBLANK(Audit[[#This Row],[Audit Losing Candidate]])), Audit[[#This Row],[Audit Losing Candidate]]-Audit[[#This Row],[Losing Candidate]], "")</f>
        <v/>
      </c>
      <c r="AG372" s="17" t="str">
        <f>IF(NOT(ISBLANK(Audit[[#This Row],[Audit Candidate 3]])), Audit[[#This Row],[Audit Candidate 3]]-Audit[[#This Row],[Candidate 3]], "")</f>
        <v/>
      </c>
      <c r="AH372" s="17" t="str">
        <f>IF(NOT(ISBLANK(Audit[[#This Row],[Audit Candidate 4]])),Audit[[#This Row],[Audit Candidate 4]]-Audit[[#This Row],[Candidate 4]], "")</f>
        <v/>
      </c>
      <c r="AI372" s="17" t="str">
        <f>IF(NOT(ISBLANK(Audit[[#This Row],[Audit Candidate 5]])), Audit[[#This Row],[Audit Candidate 5]]-Audit[[#This Row],[Candidate 5]], "")</f>
        <v/>
      </c>
      <c r="AJ372" s="17" t="str">
        <f>IF(NOT(ISBLANK(Audit[[#This Row],[Audit Candidate 6]])), Audit[[#This Row],[Audit Candidate 6]]-Audit[[#This Row],[Candidate 6]], "")</f>
        <v/>
      </c>
      <c r="AK372" s="17" t="str">
        <f>IF(NOT(ISBLANK(Audit[[#This Row],[Audit Candidate 7]])), Audit[[#This Row],[Audit Candidate 7]]-Audit[[#This Row],[Candidate 7]], "")</f>
        <v/>
      </c>
      <c r="AL372" s="17" t="str">
        <f>IF(NOT(ISBLANK(Audit[[#This Row],[Audit Candidate 8]])), Audit[[#This Row],[Audit Candidate 8]]-Audit[[#This Row],[Candidate 8]], "")</f>
        <v/>
      </c>
      <c r="AM372" s="17" t="str">
        <f>IF(NOT(ISBLANK(Audit[[#This Row],[Audit Candidate 9]])), Audit[[#This Row],[Audit Candidate 9]]-Audit[[#This Row],[Candidate 9]], "")</f>
        <v/>
      </c>
      <c r="AN372" s="17" t="str">
        <f>IF(NOT(ISBLANK(Audit[[#This Row],[Audit Candidate 10]])), Audit[[#This Row],[Audit Candidate 10]]-Audit[[#This Row],[Candidate 10]], "")</f>
        <v/>
      </c>
      <c r="AO372" s="17" t="str">
        <f>IF(NOT(ISBLANK(Audit[[#This Row],[Audit Candidate 11]])), Audit[[#This Row],[Audit Candidate 11]]-Audit[[#This Row],[Candidate 11]], "")</f>
        <v/>
      </c>
      <c r="AP372" s="17" t="str">
        <f>IF(NOT(ISBLANK(Audit[[#This Row],[Audit Candidate 12]])), Audit[[#This Row],[Audit Candidate 12]]-Audit[[#This Row],[Candidate 12]], "")</f>
        <v/>
      </c>
      <c r="AQ372" s="17">
        <f>SUMIF(Audit[[#This Row],[Difference Winner]:[Difference Candidate 12]], "&gt;0")</f>
        <v>0</v>
      </c>
      <c r="AR372" s="17">
        <f>SUM(Audit[[#This Row],[Difference Winner]:[Difference Candidate 12]])</f>
        <v>0</v>
      </c>
      <c r="AS372" s="17">
        <f>IF(Audit[[#This Row],[Times p Drawn - With Replacement]]&gt;0, IF(Audit[[#This Row],[Canceled Differences]]&lt;0, Audit[[#This Row],[Max Differences]]+ABS(Audit[[#This Row],[Canceled Differences]]), Audit[[#This Row],[Max Differences]]), 0)</f>
        <v>0</v>
      </c>
      <c r="AT372" s="17">
        <f>'Sampling Data'!AB372</f>
        <v>1.5701918180274995E-2</v>
      </c>
      <c r="AU372" s="17">
        <f>IF(
      SUM(Audit[[#This Row],[Audit Losing Candidate]:[Audit Candidate 12]])
      &lt;&gt;0,
      (Audit[[#This Row],[Winning Candidate]]-Audit[[#This Row],[Losing Candidate]]-(Audit[[#This Row],[Audit Winning Candidate]]-Audit[[#This Row],[Audit Losing Candidate]]))/(Audit[[#Totals],[Winning Candidate]]-Audit[[#Totals],[Losing Candidate]]),
      0
)</f>
        <v>0</v>
      </c>
      <c r="AV3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2" s="17">
        <f>IF(Audit[[#This Row],[Max Relative Error (ep)]] = 0, 0, Audit[[#This Row],[Max Relative Error (ep)]]/Audit[[#This Row],[Error Bound (up) - Max. possible relative overstatement]])</f>
        <v>0</v>
      </c>
      <c r="BH3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72" s="17">
        <f t="shared" si="6"/>
        <v>1</v>
      </c>
      <c r="BJ372" s="17">
        <f>PRODUCT($BI$5:BI372)</f>
        <v>0.46283459046185416</v>
      </c>
      <c r="BK372" s="19">
        <f>1 - Audit[[#This Row],[K-M P Value]]</f>
        <v>0.53716540953814584</v>
      </c>
      <c r="BL372" s="17" t="str">
        <f>IF(Audit[[#This Row],[K-M P Value]]&gt;1-'General Info'!$B$12,"Continue", "Stop")</f>
        <v>Continue</v>
      </c>
      <c r="BM372" s="22" t="b">
        <f>IF(Audit[[#This Row],[Status - Continue or stop audit]] = "Continue", TRUE, IF(BL371 = "Continue", TRUE, FALSE))</f>
        <v>1</v>
      </c>
      <c r="BN372" s="22"/>
    </row>
    <row r="373" spans="1:66" ht="15" hidden="1" customHeight="1" x14ac:dyDescent="0.35">
      <c r="A373" s="17" t="str">
        <f>'Sampling Data'!AI373</f>
        <v/>
      </c>
      <c r="B373" s="17" t="str">
        <f>'Sampling Data'!A373</f>
        <v>5921 COLE U   (AV)</v>
      </c>
      <c r="C373" s="17">
        <f>'Sampling Data'!B373</f>
        <v>173</v>
      </c>
      <c r="D373" s="17">
        <f>'Sampling Data'!C373</f>
        <v>113</v>
      </c>
      <c r="E373" s="18">
        <f>'Sampling Data'!D373</f>
        <v>0</v>
      </c>
      <c r="F373" s="18">
        <f>'Sampling Data'!E373</f>
        <v>0</v>
      </c>
      <c r="G373" s="18">
        <f>'Sampling Data'!F373</f>
        <v>0</v>
      </c>
      <c r="H373" s="18">
        <f>'Sampling Data'!G373</f>
        <v>0</v>
      </c>
      <c r="I373" s="18">
        <f>'Sampling Data'!H373</f>
        <v>0</v>
      </c>
      <c r="J373" s="18">
        <f>'Sampling Data'!I373</f>
        <v>0</v>
      </c>
      <c r="K373" s="18">
        <f>'Sampling Data'!J373</f>
        <v>0</v>
      </c>
      <c r="L373" s="18">
        <f>'Sampling Data'!K373</f>
        <v>0</v>
      </c>
      <c r="M373" s="18">
        <f>'Sampling Data'!L373</f>
        <v>0</v>
      </c>
      <c r="N373" s="18">
        <f>'Sampling Data'!M373</f>
        <v>0</v>
      </c>
      <c r="O373" s="17">
        <f>'Sampling Data'!N373</f>
        <v>0</v>
      </c>
      <c r="P373" s="17">
        <f>'Sampling Data'!O373</f>
        <v>18</v>
      </c>
      <c r="Q373" s="17">
        <f>'Sampling Data'!P373</f>
        <v>304</v>
      </c>
      <c r="R373" s="17">
        <f>'Sampling Data'!AJ373</f>
        <v>0</v>
      </c>
      <c r="S373" s="111"/>
      <c r="T373" s="111"/>
      <c r="U373" s="112"/>
      <c r="V373" s="112"/>
      <c r="W373" s="111"/>
      <c r="X373" s="111"/>
      <c r="Y373" s="111"/>
      <c r="Z373" s="111"/>
      <c r="AA373" s="14"/>
      <c r="AB373" s="14"/>
      <c r="AC373" s="14"/>
      <c r="AD373" s="14"/>
      <c r="AE373" s="113" t="str">
        <f>IF(NOT(ISBLANK(Audit[[#This Row],[Audit Winning Candidate]])), Audit[[#This Row],[Audit Winning Candidate]]-Audit[[#This Row],[Winning Candidate]], "")</f>
        <v/>
      </c>
      <c r="AF373" s="17" t="str">
        <f>IF(NOT(ISBLANK(Audit[[#This Row],[Audit Losing Candidate]])), Audit[[#This Row],[Audit Losing Candidate]]-Audit[[#This Row],[Losing Candidate]], "")</f>
        <v/>
      </c>
      <c r="AG373" s="17" t="str">
        <f>IF(NOT(ISBLANK(Audit[[#This Row],[Audit Candidate 3]])), Audit[[#This Row],[Audit Candidate 3]]-Audit[[#This Row],[Candidate 3]], "")</f>
        <v/>
      </c>
      <c r="AH373" s="17" t="str">
        <f>IF(NOT(ISBLANK(Audit[[#This Row],[Audit Candidate 4]])),Audit[[#This Row],[Audit Candidate 4]]-Audit[[#This Row],[Candidate 4]], "")</f>
        <v/>
      </c>
      <c r="AI373" s="17" t="str">
        <f>IF(NOT(ISBLANK(Audit[[#This Row],[Audit Candidate 5]])), Audit[[#This Row],[Audit Candidate 5]]-Audit[[#This Row],[Candidate 5]], "")</f>
        <v/>
      </c>
      <c r="AJ373" s="17" t="str">
        <f>IF(NOT(ISBLANK(Audit[[#This Row],[Audit Candidate 6]])), Audit[[#This Row],[Audit Candidate 6]]-Audit[[#This Row],[Candidate 6]], "")</f>
        <v/>
      </c>
      <c r="AK373" s="17" t="str">
        <f>IF(NOT(ISBLANK(Audit[[#This Row],[Audit Candidate 7]])), Audit[[#This Row],[Audit Candidate 7]]-Audit[[#This Row],[Candidate 7]], "")</f>
        <v/>
      </c>
      <c r="AL373" s="17" t="str">
        <f>IF(NOT(ISBLANK(Audit[[#This Row],[Audit Candidate 8]])), Audit[[#This Row],[Audit Candidate 8]]-Audit[[#This Row],[Candidate 8]], "")</f>
        <v/>
      </c>
      <c r="AM373" s="17" t="str">
        <f>IF(NOT(ISBLANK(Audit[[#This Row],[Audit Candidate 9]])), Audit[[#This Row],[Audit Candidate 9]]-Audit[[#This Row],[Candidate 9]], "")</f>
        <v/>
      </c>
      <c r="AN373" s="17" t="str">
        <f>IF(NOT(ISBLANK(Audit[[#This Row],[Audit Candidate 10]])), Audit[[#This Row],[Audit Candidate 10]]-Audit[[#This Row],[Candidate 10]], "")</f>
        <v/>
      </c>
      <c r="AO373" s="17" t="str">
        <f>IF(NOT(ISBLANK(Audit[[#This Row],[Audit Candidate 11]])), Audit[[#This Row],[Audit Candidate 11]]-Audit[[#This Row],[Candidate 11]], "")</f>
        <v/>
      </c>
      <c r="AP373" s="17" t="str">
        <f>IF(NOT(ISBLANK(Audit[[#This Row],[Audit Candidate 12]])), Audit[[#This Row],[Audit Candidate 12]]-Audit[[#This Row],[Candidate 12]], "")</f>
        <v/>
      </c>
      <c r="AQ373" s="17">
        <f>SUMIF(Audit[[#This Row],[Difference Winner]:[Difference Candidate 12]], "&gt;0")</f>
        <v>0</v>
      </c>
      <c r="AR373" s="17">
        <f>SUM(Audit[[#This Row],[Difference Winner]:[Difference Candidate 12]])</f>
        <v>0</v>
      </c>
      <c r="AS373" s="17">
        <f>IF(Audit[[#This Row],[Times p Drawn - With Replacement]]&gt;0, IF(Audit[[#This Row],[Canceled Differences]]&lt;0, Audit[[#This Row],[Max Differences]]+ABS(Audit[[#This Row],[Canceled Differences]]), Audit[[#This Row],[Max Differences]]), 0)</f>
        <v>0</v>
      </c>
      <c r="AT373" s="17">
        <f>'Sampling Data'!AB373</f>
        <v>1.5447292480054321E-2</v>
      </c>
      <c r="AU373" s="17">
        <f>IF(
      SUM(Audit[[#This Row],[Audit Losing Candidate]:[Audit Candidate 12]])
      &lt;&gt;0,
      (Audit[[#This Row],[Winning Candidate]]-Audit[[#This Row],[Losing Candidate]]-(Audit[[#This Row],[Audit Winning Candidate]]-Audit[[#This Row],[Audit Losing Candidate]]))/(Audit[[#Totals],[Winning Candidate]]-Audit[[#Totals],[Losing Candidate]]),
      0
)</f>
        <v>0</v>
      </c>
      <c r="AV3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3" s="17">
        <f>IF(Audit[[#This Row],[Max Relative Error (ep)]] = 0, 0, Audit[[#This Row],[Max Relative Error (ep)]]/Audit[[#This Row],[Error Bound (up) - Max. possible relative overstatement]])</f>
        <v>0</v>
      </c>
      <c r="BH3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73" s="17">
        <f t="shared" si="6"/>
        <v>1</v>
      </c>
      <c r="BJ373" s="17">
        <f>PRODUCT($BI$5:BI373)</f>
        <v>0.46283459046185416</v>
      </c>
      <c r="BK373" s="19">
        <f>1 - Audit[[#This Row],[K-M P Value]]</f>
        <v>0.53716540953814584</v>
      </c>
      <c r="BL373" s="17" t="str">
        <f>IF(Audit[[#This Row],[K-M P Value]]&gt;1-'General Info'!$B$12,"Continue", "Stop")</f>
        <v>Continue</v>
      </c>
      <c r="BM373" s="22" t="b">
        <f>IF(Audit[[#This Row],[Status - Continue or stop audit]] = "Continue", TRUE, IF(BL372 = "Continue", TRUE, FALSE))</f>
        <v>1</v>
      </c>
      <c r="BN373" s="22"/>
    </row>
    <row r="374" spans="1:66" ht="15" hidden="1" customHeight="1" x14ac:dyDescent="0.35">
      <c r="A374" s="17" t="str">
        <f>'Sampling Data'!AI374</f>
        <v/>
      </c>
      <c r="B374" s="17" t="str">
        <f>'Sampling Data'!A374</f>
        <v>5922 COLE V   (AV)</v>
      </c>
      <c r="C374" s="17">
        <f>'Sampling Data'!B374</f>
        <v>91</v>
      </c>
      <c r="D374" s="17">
        <f>'Sampling Data'!C374</f>
        <v>118</v>
      </c>
      <c r="E374" s="18">
        <f>'Sampling Data'!D374</f>
        <v>0</v>
      </c>
      <c r="F374" s="18">
        <f>'Sampling Data'!E374</f>
        <v>0</v>
      </c>
      <c r="G374" s="18">
        <f>'Sampling Data'!F374</f>
        <v>0</v>
      </c>
      <c r="H374" s="18">
        <f>'Sampling Data'!G374</f>
        <v>0</v>
      </c>
      <c r="I374" s="18">
        <f>'Sampling Data'!H374</f>
        <v>0</v>
      </c>
      <c r="J374" s="18">
        <f>'Sampling Data'!I374</f>
        <v>0</v>
      </c>
      <c r="K374" s="18">
        <f>'Sampling Data'!J374</f>
        <v>0</v>
      </c>
      <c r="L374" s="18">
        <f>'Sampling Data'!K374</f>
        <v>0</v>
      </c>
      <c r="M374" s="18">
        <f>'Sampling Data'!L374</f>
        <v>0</v>
      </c>
      <c r="N374" s="18">
        <f>'Sampling Data'!M374</f>
        <v>0</v>
      </c>
      <c r="O374" s="17">
        <f>'Sampling Data'!N374</f>
        <v>0</v>
      </c>
      <c r="P374" s="17">
        <f>'Sampling Data'!O374</f>
        <v>11</v>
      </c>
      <c r="Q374" s="17">
        <f>'Sampling Data'!P374</f>
        <v>220</v>
      </c>
      <c r="R374" s="17">
        <f>'Sampling Data'!AJ374</f>
        <v>0</v>
      </c>
      <c r="S374" s="111"/>
      <c r="T374" s="111"/>
      <c r="U374" s="112"/>
      <c r="V374" s="112"/>
      <c r="W374" s="111"/>
      <c r="X374" s="111"/>
      <c r="Y374" s="111"/>
      <c r="Z374" s="111"/>
      <c r="AA374" s="14"/>
      <c r="AB374" s="14"/>
      <c r="AC374" s="14"/>
      <c r="AD374" s="14"/>
      <c r="AE374" s="113" t="str">
        <f>IF(NOT(ISBLANK(Audit[[#This Row],[Audit Winning Candidate]])), Audit[[#This Row],[Audit Winning Candidate]]-Audit[[#This Row],[Winning Candidate]], "")</f>
        <v/>
      </c>
      <c r="AF374" s="17" t="str">
        <f>IF(NOT(ISBLANK(Audit[[#This Row],[Audit Losing Candidate]])), Audit[[#This Row],[Audit Losing Candidate]]-Audit[[#This Row],[Losing Candidate]], "")</f>
        <v/>
      </c>
      <c r="AG374" s="17" t="str">
        <f>IF(NOT(ISBLANK(Audit[[#This Row],[Audit Candidate 3]])), Audit[[#This Row],[Audit Candidate 3]]-Audit[[#This Row],[Candidate 3]], "")</f>
        <v/>
      </c>
      <c r="AH374" s="17" t="str">
        <f>IF(NOT(ISBLANK(Audit[[#This Row],[Audit Candidate 4]])),Audit[[#This Row],[Audit Candidate 4]]-Audit[[#This Row],[Candidate 4]], "")</f>
        <v/>
      </c>
      <c r="AI374" s="17" t="str">
        <f>IF(NOT(ISBLANK(Audit[[#This Row],[Audit Candidate 5]])), Audit[[#This Row],[Audit Candidate 5]]-Audit[[#This Row],[Candidate 5]], "")</f>
        <v/>
      </c>
      <c r="AJ374" s="17" t="str">
        <f>IF(NOT(ISBLANK(Audit[[#This Row],[Audit Candidate 6]])), Audit[[#This Row],[Audit Candidate 6]]-Audit[[#This Row],[Candidate 6]], "")</f>
        <v/>
      </c>
      <c r="AK374" s="17" t="str">
        <f>IF(NOT(ISBLANK(Audit[[#This Row],[Audit Candidate 7]])), Audit[[#This Row],[Audit Candidate 7]]-Audit[[#This Row],[Candidate 7]], "")</f>
        <v/>
      </c>
      <c r="AL374" s="17" t="str">
        <f>IF(NOT(ISBLANK(Audit[[#This Row],[Audit Candidate 8]])), Audit[[#This Row],[Audit Candidate 8]]-Audit[[#This Row],[Candidate 8]], "")</f>
        <v/>
      </c>
      <c r="AM374" s="17" t="str">
        <f>IF(NOT(ISBLANK(Audit[[#This Row],[Audit Candidate 9]])), Audit[[#This Row],[Audit Candidate 9]]-Audit[[#This Row],[Candidate 9]], "")</f>
        <v/>
      </c>
      <c r="AN374" s="17" t="str">
        <f>IF(NOT(ISBLANK(Audit[[#This Row],[Audit Candidate 10]])), Audit[[#This Row],[Audit Candidate 10]]-Audit[[#This Row],[Candidate 10]], "")</f>
        <v/>
      </c>
      <c r="AO374" s="17" t="str">
        <f>IF(NOT(ISBLANK(Audit[[#This Row],[Audit Candidate 11]])), Audit[[#This Row],[Audit Candidate 11]]-Audit[[#This Row],[Candidate 11]], "")</f>
        <v/>
      </c>
      <c r="AP374" s="17" t="str">
        <f>IF(NOT(ISBLANK(Audit[[#This Row],[Audit Candidate 12]])), Audit[[#This Row],[Audit Candidate 12]]-Audit[[#This Row],[Candidate 12]], "")</f>
        <v/>
      </c>
      <c r="AQ374" s="17">
        <f>SUMIF(Audit[[#This Row],[Difference Winner]:[Difference Candidate 12]], "&gt;0")</f>
        <v>0</v>
      </c>
      <c r="AR374" s="17">
        <f>SUM(Audit[[#This Row],[Difference Winner]:[Difference Candidate 12]])</f>
        <v>0</v>
      </c>
      <c r="AS374" s="17">
        <f>IF(Audit[[#This Row],[Times p Drawn - With Replacement]]&gt;0, IF(Audit[[#This Row],[Canceled Differences]]&lt;0, Audit[[#This Row],[Max Differences]]+ABS(Audit[[#This Row],[Canceled Differences]]), Audit[[#This Row],[Max Differences]]), 0)</f>
        <v>0</v>
      </c>
      <c r="AT374" s="17">
        <f>'Sampling Data'!AB374</f>
        <v>8.1904600237650647E-3</v>
      </c>
      <c r="AU374" s="17">
        <f>IF(
      SUM(Audit[[#This Row],[Audit Losing Candidate]:[Audit Candidate 12]])
      &lt;&gt;0,
      (Audit[[#This Row],[Winning Candidate]]-Audit[[#This Row],[Losing Candidate]]-(Audit[[#This Row],[Audit Winning Candidate]]-Audit[[#This Row],[Audit Losing Candidate]]))/(Audit[[#Totals],[Winning Candidate]]-Audit[[#Totals],[Losing Candidate]]),
      0
)</f>
        <v>0</v>
      </c>
      <c r="AV3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4" s="17">
        <f>IF(Audit[[#This Row],[Max Relative Error (ep)]] = 0, 0, Audit[[#This Row],[Max Relative Error (ep)]]/Audit[[#This Row],[Error Bound (up) - Max. possible relative overstatement]])</f>
        <v>0</v>
      </c>
      <c r="BH3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74" s="17">
        <f t="shared" si="6"/>
        <v>1</v>
      </c>
      <c r="BJ374" s="17">
        <f>PRODUCT($BI$5:BI374)</f>
        <v>0.46283459046185416</v>
      </c>
      <c r="BK374" s="19">
        <f>1 - Audit[[#This Row],[K-M P Value]]</f>
        <v>0.53716540953814584</v>
      </c>
      <c r="BL374" s="17" t="str">
        <f>IF(Audit[[#This Row],[K-M P Value]]&gt;1-'General Info'!$B$12,"Continue", "Stop")</f>
        <v>Continue</v>
      </c>
      <c r="BM374" s="22" t="b">
        <f>IF(Audit[[#This Row],[Status - Continue or stop audit]] = "Continue", TRUE, IF(BL373 = "Continue", TRUE, FALSE))</f>
        <v>1</v>
      </c>
      <c r="BN374" s="22"/>
    </row>
    <row r="375" spans="1:66" ht="15" hidden="1" customHeight="1" x14ac:dyDescent="0.35">
      <c r="A375" s="17" t="str">
        <f>'Sampling Data'!AI375</f>
        <v/>
      </c>
      <c r="B375" s="17" t="str">
        <f>'Sampling Data'!A375</f>
        <v>5923 COLE W   (AV)</v>
      </c>
      <c r="C375" s="17">
        <f>'Sampling Data'!B375</f>
        <v>61</v>
      </c>
      <c r="D375" s="17">
        <f>'Sampling Data'!C375</f>
        <v>40</v>
      </c>
      <c r="E375" s="18">
        <f>'Sampling Data'!D375</f>
        <v>0</v>
      </c>
      <c r="F375" s="18">
        <f>'Sampling Data'!E375</f>
        <v>0</v>
      </c>
      <c r="G375" s="18">
        <f>'Sampling Data'!F375</f>
        <v>0</v>
      </c>
      <c r="H375" s="18">
        <f>'Sampling Data'!G375</f>
        <v>0</v>
      </c>
      <c r="I375" s="18">
        <f>'Sampling Data'!H375</f>
        <v>0</v>
      </c>
      <c r="J375" s="18">
        <f>'Sampling Data'!I375</f>
        <v>0</v>
      </c>
      <c r="K375" s="18">
        <f>'Sampling Data'!J375</f>
        <v>0</v>
      </c>
      <c r="L375" s="18">
        <f>'Sampling Data'!K375</f>
        <v>0</v>
      </c>
      <c r="M375" s="18">
        <f>'Sampling Data'!L375</f>
        <v>0</v>
      </c>
      <c r="N375" s="18">
        <f>'Sampling Data'!M375</f>
        <v>0</v>
      </c>
      <c r="O375" s="17">
        <f>'Sampling Data'!N375</f>
        <v>0</v>
      </c>
      <c r="P375" s="17">
        <f>'Sampling Data'!O375</f>
        <v>7</v>
      </c>
      <c r="Q375" s="17">
        <f>'Sampling Data'!P375</f>
        <v>108</v>
      </c>
      <c r="R375" s="17">
        <f>'Sampling Data'!AJ375</f>
        <v>0</v>
      </c>
      <c r="S375" s="111"/>
      <c r="T375" s="111"/>
      <c r="U375" s="112"/>
      <c r="V375" s="112"/>
      <c r="W375" s="111"/>
      <c r="X375" s="111"/>
      <c r="Y375" s="111"/>
      <c r="Z375" s="111"/>
      <c r="AA375" s="14"/>
      <c r="AB375" s="14"/>
      <c r="AC375" s="14"/>
      <c r="AD375" s="14"/>
      <c r="AE375" s="113" t="str">
        <f>IF(NOT(ISBLANK(Audit[[#This Row],[Audit Winning Candidate]])), Audit[[#This Row],[Audit Winning Candidate]]-Audit[[#This Row],[Winning Candidate]], "")</f>
        <v/>
      </c>
      <c r="AF375" s="17" t="str">
        <f>IF(NOT(ISBLANK(Audit[[#This Row],[Audit Losing Candidate]])), Audit[[#This Row],[Audit Losing Candidate]]-Audit[[#This Row],[Losing Candidate]], "")</f>
        <v/>
      </c>
      <c r="AG375" s="17" t="str">
        <f>IF(NOT(ISBLANK(Audit[[#This Row],[Audit Candidate 3]])), Audit[[#This Row],[Audit Candidate 3]]-Audit[[#This Row],[Candidate 3]], "")</f>
        <v/>
      </c>
      <c r="AH375" s="17" t="str">
        <f>IF(NOT(ISBLANK(Audit[[#This Row],[Audit Candidate 4]])),Audit[[#This Row],[Audit Candidate 4]]-Audit[[#This Row],[Candidate 4]], "")</f>
        <v/>
      </c>
      <c r="AI375" s="17" t="str">
        <f>IF(NOT(ISBLANK(Audit[[#This Row],[Audit Candidate 5]])), Audit[[#This Row],[Audit Candidate 5]]-Audit[[#This Row],[Candidate 5]], "")</f>
        <v/>
      </c>
      <c r="AJ375" s="17" t="str">
        <f>IF(NOT(ISBLANK(Audit[[#This Row],[Audit Candidate 6]])), Audit[[#This Row],[Audit Candidate 6]]-Audit[[#This Row],[Candidate 6]], "")</f>
        <v/>
      </c>
      <c r="AK375" s="17" t="str">
        <f>IF(NOT(ISBLANK(Audit[[#This Row],[Audit Candidate 7]])), Audit[[#This Row],[Audit Candidate 7]]-Audit[[#This Row],[Candidate 7]], "")</f>
        <v/>
      </c>
      <c r="AL375" s="17" t="str">
        <f>IF(NOT(ISBLANK(Audit[[#This Row],[Audit Candidate 8]])), Audit[[#This Row],[Audit Candidate 8]]-Audit[[#This Row],[Candidate 8]], "")</f>
        <v/>
      </c>
      <c r="AM375" s="17" t="str">
        <f>IF(NOT(ISBLANK(Audit[[#This Row],[Audit Candidate 9]])), Audit[[#This Row],[Audit Candidate 9]]-Audit[[#This Row],[Candidate 9]], "")</f>
        <v/>
      </c>
      <c r="AN375" s="17" t="str">
        <f>IF(NOT(ISBLANK(Audit[[#This Row],[Audit Candidate 10]])), Audit[[#This Row],[Audit Candidate 10]]-Audit[[#This Row],[Candidate 10]], "")</f>
        <v/>
      </c>
      <c r="AO375" s="17" t="str">
        <f>IF(NOT(ISBLANK(Audit[[#This Row],[Audit Candidate 11]])), Audit[[#This Row],[Audit Candidate 11]]-Audit[[#This Row],[Candidate 11]], "")</f>
        <v/>
      </c>
      <c r="AP375" s="17" t="str">
        <f>IF(NOT(ISBLANK(Audit[[#This Row],[Audit Candidate 12]])), Audit[[#This Row],[Audit Candidate 12]]-Audit[[#This Row],[Candidate 12]], "")</f>
        <v/>
      </c>
      <c r="AQ375" s="17">
        <f>SUMIF(Audit[[#This Row],[Difference Winner]:[Difference Candidate 12]], "&gt;0")</f>
        <v>0</v>
      </c>
      <c r="AR375" s="17">
        <f>SUM(Audit[[#This Row],[Difference Winner]:[Difference Candidate 12]])</f>
        <v>0</v>
      </c>
      <c r="AS375" s="17">
        <f>IF(Audit[[#This Row],[Times p Drawn - With Replacement]]&gt;0, IF(Audit[[#This Row],[Canceled Differences]]&lt;0, Audit[[#This Row],[Max Differences]]+ABS(Audit[[#This Row],[Canceled Differences]]), Audit[[#This Row],[Max Differences]]), 0)</f>
        <v>0</v>
      </c>
      <c r="AT375" s="17">
        <f>'Sampling Data'!AB375</f>
        <v>5.4744525547445258E-3</v>
      </c>
      <c r="AU375" s="17">
        <f>IF(
      SUM(Audit[[#This Row],[Audit Losing Candidate]:[Audit Candidate 12]])
      &lt;&gt;0,
      (Audit[[#This Row],[Winning Candidate]]-Audit[[#This Row],[Losing Candidate]]-(Audit[[#This Row],[Audit Winning Candidate]]-Audit[[#This Row],[Audit Losing Candidate]]))/(Audit[[#Totals],[Winning Candidate]]-Audit[[#Totals],[Losing Candidate]]),
      0
)</f>
        <v>0</v>
      </c>
      <c r="AV3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5" s="17">
        <f>IF(Audit[[#This Row],[Max Relative Error (ep)]] = 0, 0, Audit[[#This Row],[Max Relative Error (ep)]]/Audit[[#This Row],[Error Bound (up) - Max. possible relative overstatement]])</f>
        <v>0</v>
      </c>
      <c r="BH3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75" s="17">
        <f t="shared" si="6"/>
        <v>1</v>
      </c>
      <c r="BJ375" s="17">
        <f>PRODUCT($BI$5:BI375)</f>
        <v>0.46283459046185416</v>
      </c>
      <c r="BK375" s="19">
        <f>1 - Audit[[#This Row],[K-M P Value]]</f>
        <v>0.53716540953814584</v>
      </c>
      <c r="BL375" s="17" t="str">
        <f>IF(Audit[[#This Row],[K-M P Value]]&gt;1-'General Info'!$B$12,"Continue", "Stop")</f>
        <v>Continue</v>
      </c>
      <c r="BM375" s="22" t="b">
        <f>IF(Audit[[#This Row],[Status - Continue or stop audit]] = "Continue", TRUE, IF(BL374 = "Continue", TRUE, FALSE))</f>
        <v>1</v>
      </c>
      <c r="BN375" s="22"/>
    </row>
    <row r="376" spans="1:66" ht="15" hidden="1" customHeight="1" x14ac:dyDescent="0.35">
      <c r="A376" s="17" t="str">
        <f>'Sampling Data'!AI376</f>
        <v/>
      </c>
      <c r="B376" s="17" t="str">
        <f>'Sampling Data'!A376</f>
        <v>5924 COLE X   (AV)</v>
      </c>
      <c r="C376" s="17">
        <f>'Sampling Data'!B376</f>
        <v>124</v>
      </c>
      <c r="D376" s="17">
        <f>'Sampling Data'!C376</f>
        <v>77</v>
      </c>
      <c r="E376" s="18">
        <f>'Sampling Data'!D376</f>
        <v>0</v>
      </c>
      <c r="F376" s="18">
        <f>'Sampling Data'!E376</f>
        <v>0</v>
      </c>
      <c r="G376" s="18">
        <f>'Sampling Data'!F376</f>
        <v>0</v>
      </c>
      <c r="H376" s="18">
        <f>'Sampling Data'!G376</f>
        <v>0</v>
      </c>
      <c r="I376" s="18">
        <f>'Sampling Data'!H376</f>
        <v>0</v>
      </c>
      <c r="J376" s="18">
        <f>'Sampling Data'!I376</f>
        <v>0</v>
      </c>
      <c r="K376" s="18">
        <f>'Sampling Data'!J376</f>
        <v>0</v>
      </c>
      <c r="L376" s="18">
        <f>'Sampling Data'!K376</f>
        <v>0</v>
      </c>
      <c r="M376" s="18">
        <f>'Sampling Data'!L376</f>
        <v>0</v>
      </c>
      <c r="N376" s="18">
        <f>'Sampling Data'!M376</f>
        <v>0</v>
      </c>
      <c r="O376" s="17">
        <f>'Sampling Data'!N376</f>
        <v>0</v>
      </c>
      <c r="P376" s="17">
        <f>'Sampling Data'!O376</f>
        <v>5</v>
      </c>
      <c r="Q376" s="17">
        <f>'Sampling Data'!P376</f>
        <v>206</v>
      </c>
      <c r="R376" s="17">
        <f>'Sampling Data'!AJ376</f>
        <v>0</v>
      </c>
      <c r="S376" s="111"/>
      <c r="T376" s="111"/>
      <c r="U376" s="112"/>
      <c r="V376" s="112"/>
      <c r="W376" s="111"/>
      <c r="X376" s="111"/>
      <c r="Y376" s="111"/>
      <c r="Z376" s="111"/>
      <c r="AA376" s="14"/>
      <c r="AB376" s="14"/>
      <c r="AC376" s="14"/>
      <c r="AD376" s="14"/>
      <c r="AE376" s="113" t="str">
        <f>IF(NOT(ISBLANK(Audit[[#This Row],[Audit Winning Candidate]])), Audit[[#This Row],[Audit Winning Candidate]]-Audit[[#This Row],[Winning Candidate]], "")</f>
        <v/>
      </c>
      <c r="AF376" s="17" t="str">
        <f>IF(NOT(ISBLANK(Audit[[#This Row],[Audit Losing Candidate]])), Audit[[#This Row],[Audit Losing Candidate]]-Audit[[#This Row],[Losing Candidate]], "")</f>
        <v/>
      </c>
      <c r="AG376" s="17" t="str">
        <f>IF(NOT(ISBLANK(Audit[[#This Row],[Audit Candidate 3]])), Audit[[#This Row],[Audit Candidate 3]]-Audit[[#This Row],[Candidate 3]], "")</f>
        <v/>
      </c>
      <c r="AH376" s="17" t="str">
        <f>IF(NOT(ISBLANK(Audit[[#This Row],[Audit Candidate 4]])),Audit[[#This Row],[Audit Candidate 4]]-Audit[[#This Row],[Candidate 4]], "")</f>
        <v/>
      </c>
      <c r="AI376" s="17" t="str">
        <f>IF(NOT(ISBLANK(Audit[[#This Row],[Audit Candidate 5]])), Audit[[#This Row],[Audit Candidate 5]]-Audit[[#This Row],[Candidate 5]], "")</f>
        <v/>
      </c>
      <c r="AJ376" s="17" t="str">
        <f>IF(NOT(ISBLANK(Audit[[#This Row],[Audit Candidate 6]])), Audit[[#This Row],[Audit Candidate 6]]-Audit[[#This Row],[Candidate 6]], "")</f>
        <v/>
      </c>
      <c r="AK376" s="17" t="str">
        <f>IF(NOT(ISBLANK(Audit[[#This Row],[Audit Candidate 7]])), Audit[[#This Row],[Audit Candidate 7]]-Audit[[#This Row],[Candidate 7]], "")</f>
        <v/>
      </c>
      <c r="AL376" s="17" t="str">
        <f>IF(NOT(ISBLANK(Audit[[#This Row],[Audit Candidate 8]])), Audit[[#This Row],[Audit Candidate 8]]-Audit[[#This Row],[Candidate 8]], "")</f>
        <v/>
      </c>
      <c r="AM376" s="17" t="str">
        <f>IF(NOT(ISBLANK(Audit[[#This Row],[Audit Candidate 9]])), Audit[[#This Row],[Audit Candidate 9]]-Audit[[#This Row],[Candidate 9]], "")</f>
        <v/>
      </c>
      <c r="AN376" s="17" t="str">
        <f>IF(NOT(ISBLANK(Audit[[#This Row],[Audit Candidate 10]])), Audit[[#This Row],[Audit Candidate 10]]-Audit[[#This Row],[Candidate 10]], "")</f>
        <v/>
      </c>
      <c r="AO376" s="17" t="str">
        <f>IF(NOT(ISBLANK(Audit[[#This Row],[Audit Candidate 11]])), Audit[[#This Row],[Audit Candidate 11]]-Audit[[#This Row],[Candidate 11]], "")</f>
        <v/>
      </c>
      <c r="AP376" s="17" t="str">
        <f>IF(NOT(ISBLANK(Audit[[#This Row],[Audit Candidate 12]])), Audit[[#This Row],[Audit Candidate 12]]-Audit[[#This Row],[Candidate 12]], "")</f>
        <v/>
      </c>
      <c r="AQ376" s="17">
        <f>SUMIF(Audit[[#This Row],[Difference Winner]:[Difference Candidate 12]], "&gt;0")</f>
        <v>0</v>
      </c>
      <c r="AR376" s="17">
        <f>SUM(Audit[[#This Row],[Difference Winner]:[Difference Candidate 12]])</f>
        <v>0</v>
      </c>
      <c r="AS376" s="17">
        <f>IF(Audit[[#This Row],[Times p Drawn - With Replacement]]&gt;0, IF(Audit[[#This Row],[Canceled Differences]]&lt;0, Audit[[#This Row],[Max Differences]]+ABS(Audit[[#This Row],[Canceled Differences]]), Audit[[#This Row],[Max Differences]]), 0)</f>
        <v>0</v>
      </c>
      <c r="AT376" s="17">
        <f>'Sampling Data'!AB376</f>
        <v>1.0736717025971822E-2</v>
      </c>
      <c r="AU376" s="17">
        <f>IF(
      SUM(Audit[[#This Row],[Audit Losing Candidate]:[Audit Candidate 12]])
      &lt;&gt;0,
      (Audit[[#This Row],[Winning Candidate]]-Audit[[#This Row],[Losing Candidate]]-(Audit[[#This Row],[Audit Winning Candidate]]-Audit[[#This Row],[Audit Losing Candidate]]))/(Audit[[#Totals],[Winning Candidate]]-Audit[[#Totals],[Losing Candidate]]),
      0
)</f>
        <v>0</v>
      </c>
      <c r="AV3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6" s="17">
        <f>IF(Audit[[#This Row],[Max Relative Error (ep)]] = 0, 0, Audit[[#This Row],[Max Relative Error (ep)]]/Audit[[#This Row],[Error Bound (up) - Max. possible relative overstatement]])</f>
        <v>0</v>
      </c>
      <c r="BH3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76" s="17">
        <f t="shared" si="6"/>
        <v>1</v>
      </c>
      <c r="BJ376" s="17">
        <f>PRODUCT($BI$5:BI376)</f>
        <v>0.46283459046185416</v>
      </c>
      <c r="BK376" s="19">
        <f>1 - Audit[[#This Row],[K-M P Value]]</f>
        <v>0.53716540953814584</v>
      </c>
      <c r="BL376" s="17" t="str">
        <f>IF(Audit[[#This Row],[K-M P Value]]&gt;1-'General Info'!$B$12,"Continue", "Stop")</f>
        <v>Continue</v>
      </c>
      <c r="BM376" s="22" t="b">
        <f>IF(Audit[[#This Row],[Status - Continue or stop audit]] = "Continue", TRUE, IF(BL375 = "Continue", TRUE, FALSE))</f>
        <v>1</v>
      </c>
      <c r="BN376" s="22"/>
    </row>
    <row r="377" spans="1:66" ht="15" hidden="1" customHeight="1" x14ac:dyDescent="0.35">
      <c r="A377" s="17" t="str">
        <f>'Sampling Data'!AI377</f>
        <v/>
      </c>
      <c r="B377" s="17" t="str">
        <f>'Sampling Data'!A377</f>
        <v>5925 COLE Y   (AV)</v>
      </c>
      <c r="C377" s="17">
        <f>'Sampling Data'!B377</f>
        <v>193</v>
      </c>
      <c r="D377" s="17">
        <f>'Sampling Data'!C377</f>
        <v>92</v>
      </c>
      <c r="E377" s="18">
        <f>'Sampling Data'!D377</f>
        <v>0</v>
      </c>
      <c r="F377" s="18">
        <f>'Sampling Data'!E377</f>
        <v>0</v>
      </c>
      <c r="G377" s="18">
        <f>'Sampling Data'!F377</f>
        <v>0</v>
      </c>
      <c r="H377" s="18">
        <f>'Sampling Data'!G377</f>
        <v>0</v>
      </c>
      <c r="I377" s="18">
        <f>'Sampling Data'!H377</f>
        <v>0</v>
      </c>
      <c r="J377" s="18">
        <f>'Sampling Data'!I377</f>
        <v>0</v>
      </c>
      <c r="K377" s="18">
        <f>'Sampling Data'!J377</f>
        <v>0</v>
      </c>
      <c r="L377" s="18">
        <f>'Sampling Data'!K377</f>
        <v>0</v>
      </c>
      <c r="M377" s="18">
        <f>'Sampling Data'!L377</f>
        <v>0</v>
      </c>
      <c r="N377" s="18">
        <f>'Sampling Data'!M377</f>
        <v>0</v>
      </c>
      <c r="O377" s="17">
        <f>'Sampling Data'!N377</f>
        <v>0</v>
      </c>
      <c r="P377" s="17">
        <f>'Sampling Data'!O377</f>
        <v>14</v>
      </c>
      <c r="Q377" s="17">
        <f>'Sampling Data'!P377</f>
        <v>299</v>
      </c>
      <c r="R377" s="17">
        <f>'Sampling Data'!AJ377</f>
        <v>0</v>
      </c>
      <c r="S377" s="111"/>
      <c r="T377" s="111"/>
      <c r="U377" s="112"/>
      <c r="V377" s="112"/>
      <c r="W377" s="111"/>
      <c r="X377" s="111"/>
      <c r="Y377" s="111"/>
      <c r="Z377" s="111"/>
      <c r="AA377" s="14"/>
      <c r="AB377" s="14"/>
      <c r="AC377" s="14"/>
      <c r="AD377" s="14"/>
      <c r="AE377" s="113" t="str">
        <f>IF(NOT(ISBLANK(Audit[[#This Row],[Audit Winning Candidate]])), Audit[[#This Row],[Audit Winning Candidate]]-Audit[[#This Row],[Winning Candidate]], "")</f>
        <v/>
      </c>
      <c r="AF377" s="17" t="str">
        <f>IF(NOT(ISBLANK(Audit[[#This Row],[Audit Losing Candidate]])), Audit[[#This Row],[Audit Losing Candidate]]-Audit[[#This Row],[Losing Candidate]], "")</f>
        <v/>
      </c>
      <c r="AG377" s="17" t="str">
        <f>IF(NOT(ISBLANK(Audit[[#This Row],[Audit Candidate 3]])), Audit[[#This Row],[Audit Candidate 3]]-Audit[[#This Row],[Candidate 3]], "")</f>
        <v/>
      </c>
      <c r="AH377" s="17" t="str">
        <f>IF(NOT(ISBLANK(Audit[[#This Row],[Audit Candidate 4]])),Audit[[#This Row],[Audit Candidate 4]]-Audit[[#This Row],[Candidate 4]], "")</f>
        <v/>
      </c>
      <c r="AI377" s="17" t="str">
        <f>IF(NOT(ISBLANK(Audit[[#This Row],[Audit Candidate 5]])), Audit[[#This Row],[Audit Candidate 5]]-Audit[[#This Row],[Candidate 5]], "")</f>
        <v/>
      </c>
      <c r="AJ377" s="17" t="str">
        <f>IF(NOT(ISBLANK(Audit[[#This Row],[Audit Candidate 6]])), Audit[[#This Row],[Audit Candidate 6]]-Audit[[#This Row],[Candidate 6]], "")</f>
        <v/>
      </c>
      <c r="AK377" s="17" t="str">
        <f>IF(NOT(ISBLANK(Audit[[#This Row],[Audit Candidate 7]])), Audit[[#This Row],[Audit Candidate 7]]-Audit[[#This Row],[Candidate 7]], "")</f>
        <v/>
      </c>
      <c r="AL377" s="17" t="str">
        <f>IF(NOT(ISBLANK(Audit[[#This Row],[Audit Candidate 8]])), Audit[[#This Row],[Audit Candidate 8]]-Audit[[#This Row],[Candidate 8]], "")</f>
        <v/>
      </c>
      <c r="AM377" s="17" t="str">
        <f>IF(NOT(ISBLANK(Audit[[#This Row],[Audit Candidate 9]])), Audit[[#This Row],[Audit Candidate 9]]-Audit[[#This Row],[Candidate 9]], "")</f>
        <v/>
      </c>
      <c r="AN377" s="17" t="str">
        <f>IF(NOT(ISBLANK(Audit[[#This Row],[Audit Candidate 10]])), Audit[[#This Row],[Audit Candidate 10]]-Audit[[#This Row],[Candidate 10]], "")</f>
        <v/>
      </c>
      <c r="AO377" s="17" t="str">
        <f>IF(NOT(ISBLANK(Audit[[#This Row],[Audit Candidate 11]])), Audit[[#This Row],[Audit Candidate 11]]-Audit[[#This Row],[Candidate 11]], "")</f>
        <v/>
      </c>
      <c r="AP377" s="17" t="str">
        <f>IF(NOT(ISBLANK(Audit[[#This Row],[Audit Candidate 12]])), Audit[[#This Row],[Audit Candidate 12]]-Audit[[#This Row],[Candidate 12]], "")</f>
        <v/>
      </c>
      <c r="AQ377" s="17">
        <f>SUMIF(Audit[[#This Row],[Difference Winner]:[Difference Candidate 12]], "&gt;0")</f>
        <v>0</v>
      </c>
      <c r="AR377" s="17">
        <f>SUM(Audit[[#This Row],[Difference Winner]:[Difference Candidate 12]])</f>
        <v>0</v>
      </c>
      <c r="AS377" s="17">
        <f>IF(Audit[[#This Row],[Times p Drawn - With Replacement]]&gt;0, IF(Audit[[#This Row],[Canceled Differences]]&lt;0, Audit[[#This Row],[Max Differences]]+ABS(Audit[[#This Row],[Canceled Differences]]), Audit[[#This Row],[Max Differences]]), 0)</f>
        <v>0</v>
      </c>
      <c r="AT377" s="17">
        <f>'Sampling Data'!AB377</f>
        <v>1.6975046681378374E-2</v>
      </c>
      <c r="AU377" s="17">
        <f>IF(
      SUM(Audit[[#This Row],[Audit Losing Candidate]:[Audit Candidate 12]])
      &lt;&gt;0,
      (Audit[[#This Row],[Winning Candidate]]-Audit[[#This Row],[Losing Candidate]]-(Audit[[#This Row],[Audit Winning Candidate]]-Audit[[#This Row],[Audit Losing Candidate]]))/(Audit[[#Totals],[Winning Candidate]]-Audit[[#Totals],[Losing Candidate]]),
      0
)</f>
        <v>0</v>
      </c>
      <c r="AV3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7" s="17">
        <f>IF(Audit[[#This Row],[Max Relative Error (ep)]] = 0, 0, Audit[[#This Row],[Max Relative Error (ep)]]/Audit[[#This Row],[Error Bound (up) - Max. possible relative overstatement]])</f>
        <v>0</v>
      </c>
      <c r="BH3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77" s="17">
        <f t="shared" si="6"/>
        <v>1</v>
      </c>
      <c r="BJ377" s="17">
        <f>PRODUCT($BI$5:BI377)</f>
        <v>0.46283459046185416</v>
      </c>
      <c r="BK377" s="19">
        <f>1 - Audit[[#This Row],[K-M P Value]]</f>
        <v>0.53716540953814584</v>
      </c>
      <c r="BL377" s="17" t="str">
        <f>IF(Audit[[#This Row],[K-M P Value]]&gt;1-'General Info'!$B$12,"Continue", "Stop")</f>
        <v>Continue</v>
      </c>
      <c r="BM377" s="22" t="b">
        <f>IF(Audit[[#This Row],[Status - Continue or stop audit]] = "Continue", TRUE, IF(BL376 = "Continue", TRUE, FALSE))</f>
        <v>1</v>
      </c>
      <c r="BN377" s="22"/>
    </row>
    <row r="378" spans="1:66" ht="15" hidden="1" customHeight="1" x14ac:dyDescent="0.35">
      <c r="A378" s="17" t="str">
        <f>'Sampling Data'!AI378</f>
        <v/>
      </c>
      <c r="B378" s="17" t="str">
        <f>'Sampling Data'!A378</f>
        <v>5926 COLE Z   (AV)</v>
      </c>
      <c r="C378" s="17">
        <f>'Sampling Data'!B378</f>
        <v>168</v>
      </c>
      <c r="D378" s="17">
        <f>'Sampling Data'!C378</f>
        <v>92</v>
      </c>
      <c r="E378" s="18">
        <f>'Sampling Data'!D378</f>
        <v>0</v>
      </c>
      <c r="F378" s="18">
        <f>'Sampling Data'!E378</f>
        <v>0</v>
      </c>
      <c r="G378" s="18">
        <f>'Sampling Data'!F378</f>
        <v>0</v>
      </c>
      <c r="H378" s="18">
        <f>'Sampling Data'!G378</f>
        <v>0</v>
      </c>
      <c r="I378" s="18">
        <f>'Sampling Data'!H378</f>
        <v>0</v>
      </c>
      <c r="J378" s="18">
        <f>'Sampling Data'!I378</f>
        <v>0</v>
      </c>
      <c r="K378" s="18">
        <f>'Sampling Data'!J378</f>
        <v>0</v>
      </c>
      <c r="L378" s="18">
        <f>'Sampling Data'!K378</f>
        <v>0</v>
      </c>
      <c r="M378" s="18">
        <f>'Sampling Data'!L378</f>
        <v>0</v>
      </c>
      <c r="N378" s="18">
        <f>'Sampling Data'!M378</f>
        <v>0</v>
      </c>
      <c r="O378" s="17">
        <f>'Sampling Data'!N378</f>
        <v>0</v>
      </c>
      <c r="P378" s="17">
        <f>'Sampling Data'!O378</f>
        <v>6</v>
      </c>
      <c r="Q378" s="17">
        <f>'Sampling Data'!P378</f>
        <v>266</v>
      </c>
      <c r="R378" s="17">
        <f>'Sampling Data'!AJ378</f>
        <v>0</v>
      </c>
      <c r="S378" s="111"/>
      <c r="T378" s="111"/>
      <c r="U378" s="112"/>
      <c r="V378" s="112"/>
      <c r="W378" s="111"/>
      <c r="X378" s="111"/>
      <c r="Y378" s="111"/>
      <c r="Z378" s="111"/>
      <c r="AA378" s="14"/>
      <c r="AB378" s="14"/>
      <c r="AC378" s="14"/>
      <c r="AD378" s="14"/>
      <c r="AE378" s="113" t="str">
        <f>IF(NOT(ISBLANK(Audit[[#This Row],[Audit Winning Candidate]])), Audit[[#This Row],[Audit Winning Candidate]]-Audit[[#This Row],[Winning Candidate]], "")</f>
        <v/>
      </c>
      <c r="AF378" s="17" t="str">
        <f>IF(NOT(ISBLANK(Audit[[#This Row],[Audit Losing Candidate]])), Audit[[#This Row],[Audit Losing Candidate]]-Audit[[#This Row],[Losing Candidate]], "")</f>
        <v/>
      </c>
      <c r="AG378" s="17" t="str">
        <f>IF(NOT(ISBLANK(Audit[[#This Row],[Audit Candidate 3]])), Audit[[#This Row],[Audit Candidate 3]]-Audit[[#This Row],[Candidate 3]], "")</f>
        <v/>
      </c>
      <c r="AH378" s="17" t="str">
        <f>IF(NOT(ISBLANK(Audit[[#This Row],[Audit Candidate 4]])),Audit[[#This Row],[Audit Candidate 4]]-Audit[[#This Row],[Candidate 4]], "")</f>
        <v/>
      </c>
      <c r="AI378" s="17" t="str">
        <f>IF(NOT(ISBLANK(Audit[[#This Row],[Audit Candidate 5]])), Audit[[#This Row],[Audit Candidate 5]]-Audit[[#This Row],[Candidate 5]], "")</f>
        <v/>
      </c>
      <c r="AJ378" s="17" t="str">
        <f>IF(NOT(ISBLANK(Audit[[#This Row],[Audit Candidate 6]])), Audit[[#This Row],[Audit Candidate 6]]-Audit[[#This Row],[Candidate 6]], "")</f>
        <v/>
      </c>
      <c r="AK378" s="17" t="str">
        <f>IF(NOT(ISBLANK(Audit[[#This Row],[Audit Candidate 7]])), Audit[[#This Row],[Audit Candidate 7]]-Audit[[#This Row],[Candidate 7]], "")</f>
        <v/>
      </c>
      <c r="AL378" s="17" t="str">
        <f>IF(NOT(ISBLANK(Audit[[#This Row],[Audit Candidate 8]])), Audit[[#This Row],[Audit Candidate 8]]-Audit[[#This Row],[Candidate 8]], "")</f>
        <v/>
      </c>
      <c r="AM378" s="17" t="str">
        <f>IF(NOT(ISBLANK(Audit[[#This Row],[Audit Candidate 9]])), Audit[[#This Row],[Audit Candidate 9]]-Audit[[#This Row],[Candidate 9]], "")</f>
        <v/>
      </c>
      <c r="AN378" s="17" t="str">
        <f>IF(NOT(ISBLANK(Audit[[#This Row],[Audit Candidate 10]])), Audit[[#This Row],[Audit Candidate 10]]-Audit[[#This Row],[Candidate 10]], "")</f>
        <v/>
      </c>
      <c r="AO378" s="17" t="str">
        <f>IF(NOT(ISBLANK(Audit[[#This Row],[Audit Candidate 11]])), Audit[[#This Row],[Audit Candidate 11]]-Audit[[#This Row],[Candidate 11]], "")</f>
        <v/>
      </c>
      <c r="AP378" s="17" t="str">
        <f>IF(NOT(ISBLANK(Audit[[#This Row],[Audit Candidate 12]])), Audit[[#This Row],[Audit Candidate 12]]-Audit[[#This Row],[Candidate 12]], "")</f>
        <v/>
      </c>
      <c r="AQ378" s="17">
        <f>SUMIF(Audit[[#This Row],[Difference Winner]:[Difference Candidate 12]], "&gt;0")</f>
        <v>0</v>
      </c>
      <c r="AR378" s="17">
        <f>SUM(Audit[[#This Row],[Difference Winner]:[Difference Candidate 12]])</f>
        <v>0</v>
      </c>
      <c r="AS378" s="17">
        <f>IF(Audit[[#This Row],[Times p Drawn - With Replacement]]&gt;0, IF(Audit[[#This Row],[Canceled Differences]]&lt;0, Audit[[#This Row],[Max Differences]]+ABS(Audit[[#This Row],[Canceled Differences]]), Audit[[#This Row],[Max Differences]]), 0)</f>
        <v>0</v>
      </c>
      <c r="AT378" s="17">
        <f>'Sampling Data'!AB378</f>
        <v>1.451366491257851E-2</v>
      </c>
      <c r="AU378" s="17">
        <f>IF(
      SUM(Audit[[#This Row],[Audit Losing Candidate]:[Audit Candidate 12]])
      &lt;&gt;0,
      (Audit[[#This Row],[Winning Candidate]]-Audit[[#This Row],[Losing Candidate]]-(Audit[[#This Row],[Audit Winning Candidate]]-Audit[[#This Row],[Audit Losing Candidate]]))/(Audit[[#Totals],[Winning Candidate]]-Audit[[#Totals],[Losing Candidate]]),
      0
)</f>
        <v>0</v>
      </c>
      <c r="AV3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8" s="17">
        <f>IF(Audit[[#This Row],[Max Relative Error (ep)]] = 0, 0, Audit[[#This Row],[Max Relative Error (ep)]]/Audit[[#This Row],[Error Bound (up) - Max. possible relative overstatement]])</f>
        <v>0</v>
      </c>
      <c r="BH3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78" s="17">
        <f t="shared" si="6"/>
        <v>1</v>
      </c>
      <c r="BJ378" s="17">
        <f>PRODUCT($BI$5:BI378)</f>
        <v>0.46283459046185416</v>
      </c>
      <c r="BK378" s="19">
        <f>1 - Audit[[#This Row],[K-M P Value]]</f>
        <v>0.53716540953814584</v>
      </c>
      <c r="BL378" s="17" t="str">
        <f>IF(Audit[[#This Row],[K-M P Value]]&gt;1-'General Info'!$B$12,"Continue", "Stop")</f>
        <v>Continue</v>
      </c>
      <c r="BM378" s="22" t="b">
        <f>IF(Audit[[#This Row],[Status - Continue or stop audit]] = "Continue", TRUE, IF(BL377 = "Continue", TRUE, FALSE))</f>
        <v>1</v>
      </c>
      <c r="BN378" s="22"/>
    </row>
    <row r="379" spans="1:66" ht="15" hidden="1" customHeight="1" x14ac:dyDescent="0.35">
      <c r="A379" s="17" t="str">
        <f>'Sampling Data'!AI379</f>
        <v/>
      </c>
      <c r="B379" s="17" t="str">
        <f>'Sampling Data'!A379</f>
        <v>5927 COLE AA   (AV)</v>
      </c>
      <c r="C379" s="17">
        <f>'Sampling Data'!B379</f>
        <v>123</v>
      </c>
      <c r="D379" s="17">
        <f>'Sampling Data'!C379</f>
        <v>342</v>
      </c>
      <c r="E379" s="18">
        <f>'Sampling Data'!D379</f>
        <v>0</v>
      </c>
      <c r="F379" s="18">
        <f>'Sampling Data'!E379</f>
        <v>0</v>
      </c>
      <c r="G379" s="18">
        <f>'Sampling Data'!F379</f>
        <v>0</v>
      </c>
      <c r="H379" s="18">
        <f>'Sampling Data'!G379</f>
        <v>0</v>
      </c>
      <c r="I379" s="18">
        <f>'Sampling Data'!H379</f>
        <v>0</v>
      </c>
      <c r="J379" s="18">
        <f>'Sampling Data'!I379</f>
        <v>0</v>
      </c>
      <c r="K379" s="18">
        <f>'Sampling Data'!J379</f>
        <v>0</v>
      </c>
      <c r="L379" s="18">
        <f>'Sampling Data'!K379</f>
        <v>0</v>
      </c>
      <c r="M379" s="18">
        <f>'Sampling Data'!L379</f>
        <v>0</v>
      </c>
      <c r="N379" s="18">
        <f>'Sampling Data'!M379</f>
        <v>0</v>
      </c>
      <c r="O379" s="17">
        <f>'Sampling Data'!N379</f>
        <v>0</v>
      </c>
      <c r="P379" s="17">
        <f>'Sampling Data'!O379</f>
        <v>30</v>
      </c>
      <c r="Q379" s="17">
        <f>'Sampling Data'!P379</f>
        <v>495</v>
      </c>
      <c r="R379" s="17">
        <f>'Sampling Data'!AJ379</f>
        <v>0</v>
      </c>
      <c r="S379" s="111"/>
      <c r="T379" s="111"/>
      <c r="U379" s="112"/>
      <c r="V379" s="112"/>
      <c r="W379" s="111"/>
      <c r="X379" s="111"/>
      <c r="Y379" s="111"/>
      <c r="Z379" s="111"/>
      <c r="AA379" s="14"/>
      <c r="AB379" s="14"/>
      <c r="AC379" s="14"/>
      <c r="AD379" s="14"/>
      <c r="AE379" s="113" t="str">
        <f>IF(NOT(ISBLANK(Audit[[#This Row],[Audit Winning Candidate]])), Audit[[#This Row],[Audit Winning Candidate]]-Audit[[#This Row],[Winning Candidate]], "")</f>
        <v/>
      </c>
      <c r="AF379" s="17" t="str">
        <f>IF(NOT(ISBLANK(Audit[[#This Row],[Audit Losing Candidate]])), Audit[[#This Row],[Audit Losing Candidate]]-Audit[[#This Row],[Losing Candidate]], "")</f>
        <v/>
      </c>
      <c r="AG379" s="17" t="str">
        <f>IF(NOT(ISBLANK(Audit[[#This Row],[Audit Candidate 3]])), Audit[[#This Row],[Audit Candidate 3]]-Audit[[#This Row],[Candidate 3]], "")</f>
        <v/>
      </c>
      <c r="AH379" s="17" t="str">
        <f>IF(NOT(ISBLANK(Audit[[#This Row],[Audit Candidate 4]])),Audit[[#This Row],[Audit Candidate 4]]-Audit[[#This Row],[Candidate 4]], "")</f>
        <v/>
      </c>
      <c r="AI379" s="17" t="str">
        <f>IF(NOT(ISBLANK(Audit[[#This Row],[Audit Candidate 5]])), Audit[[#This Row],[Audit Candidate 5]]-Audit[[#This Row],[Candidate 5]], "")</f>
        <v/>
      </c>
      <c r="AJ379" s="17" t="str">
        <f>IF(NOT(ISBLANK(Audit[[#This Row],[Audit Candidate 6]])), Audit[[#This Row],[Audit Candidate 6]]-Audit[[#This Row],[Candidate 6]], "")</f>
        <v/>
      </c>
      <c r="AK379" s="17" t="str">
        <f>IF(NOT(ISBLANK(Audit[[#This Row],[Audit Candidate 7]])), Audit[[#This Row],[Audit Candidate 7]]-Audit[[#This Row],[Candidate 7]], "")</f>
        <v/>
      </c>
      <c r="AL379" s="17" t="str">
        <f>IF(NOT(ISBLANK(Audit[[#This Row],[Audit Candidate 8]])), Audit[[#This Row],[Audit Candidate 8]]-Audit[[#This Row],[Candidate 8]], "")</f>
        <v/>
      </c>
      <c r="AM379" s="17" t="str">
        <f>IF(NOT(ISBLANK(Audit[[#This Row],[Audit Candidate 9]])), Audit[[#This Row],[Audit Candidate 9]]-Audit[[#This Row],[Candidate 9]], "")</f>
        <v/>
      </c>
      <c r="AN379" s="17" t="str">
        <f>IF(NOT(ISBLANK(Audit[[#This Row],[Audit Candidate 10]])), Audit[[#This Row],[Audit Candidate 10]]-Audit[[#This Row],[Candidate 10]], "")</f>
        <v/>
      </c>
      <c r="AO379" s="17" t="str">
        <f>IF(NOT(ISBLANK(Audit[[#This Row],[Audit Candidate 11]])), Audit[[#This Row],[Audit Candidate 11]]-Audit[[#This Row],[Candidate 11]], "")</f>
        <v/>
      </c>
      <c r="AP379" s="17" t="str">
        <f>IF(NOT(ISBLANK(Audit[[#This Row],[Audit Candidate 12]])), Audit[[#This Row],[Audit Candidate 12]]-Audit[[#This Row],[Candidate 12]], "")</f>
        <v/>
      </c>
      <c r="AQ379" s="17">
        <f>SUMIF(Audit[[#This Row],[Difference Winner]:[Difference Candidate 12]], "&gt;0")</f>
        <v>0</v>
      </c>
      <c r="AR379" s="17">
        <f>SUM(Audit[[#This Row],[Difference Winner]:[Difference Candidate 12]])</f>
        <v>0</v>
      </c>
      <c r="AS379" s="17">
        <f>IF(Audit[[#This Row],[Times p Drawn - With Replacement]]&gt;0, IF(Audit[[#This Row],[Canceled Differences]]&lt;0, Audit[[#This Row],[Max Differences]]+ABS(Audit[[#This Row],[Canceled Differences]]), Audit[[#This Row],[Max Differences]]), 0)</f>
        <v>0</v>
      </c>
      <c r="AT379" s="17">
        <f>'Sampling Data'!AB379</f>
        <v>1.1712782210151079E-2</v>
      </c>
      <c r="AU379" s="17">
        <f>IF(
      SUM(Audit[[#This Row],[Audit Losing Candidate]:[Audit Candidate 12]])
      &lt;&gt;0,
      (Audit[[#This Row],[Winning Candidate]]-Audit[[#This Row],[Losing Candidate]]-(Audit[[#This Row],[Audit Winning Candidate]]-Audit[[#This Row],[Audit Losing Candidate]]))/(Audit[[#Totals],[Winning Candidate]]-Audit[[#Totals],[Losing Candidate]]),
      0
)</f>
        <v>0</v>
      </c>
      <c r="AV3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9" s="17">
        <f>IF(Audit[[#This Row],[Max Relative Error (ep)]] = 0, 0, Audit[[#This Row],[Max Relative Error (ep)]]/Audit[[#This Row],[Error Bound (up) - Max. possible relative overstatement]])</f>
        <v>0</v>
      </c>
      <c r="BH3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79" s="17">
        <f t="shared" si="6"/>
        <v>1</v>
      </c>
      <c r="BJ379" s="17">
        <f>PRODUCT($BI$5:BI379)</f>
        <v>0.46283459046185416</v>
      </c>
      <c r="BK379" s="19">
        <f>1 - Audit[[#This Row],[K-M P Value]]</f>
        <v>0.53716540953814584</v>
      </c>
      <c r="BL379" s="17" t="str">
        <f>IF(Audit[[#This Row],[K-M P Value]]&gt;1-'General Info'!$B$12,"Continue", "Stop")</f>
        <v>Continue</v>
      </c>
      <c r="BM379" s="22" t="b">
        <f>IF(Audit[[#This Row],[Status - Continue or stop audit]] = "Continue", TRUE, IF(BL378 = "Continue", TRUE, FALSE))</f>
        <v>1</v>
      </c>
      <c r="BN379" s="22"/>
    </row>
    <row r="380" spans="1:66" ht="15" hidden="1" customHeight="1" x14ac:dyDescent="0.35">
      <c r="A380" s="17" t="str">
        <f>'Sampling Data'!AI380</f>
        <v/>
      </c>
      <c r="B380" s="17" t="str">
        <f>'Sampling Data'!A380</f>
        <v>5928 COLE BB   (AV)</v>
      </c>
      <c r="C380" s="17">
        <f>'Sampling Data'!B380</f>
        <v>110</v>
      </c>
      <c r="D380" s="17">
        <f>'Sampling Data'!C380</f>
        <v>224</v>
      </c>
      <c r="E380" s="18">
        <f>'Sampling Data'!D380</f>
        <v>0</v>
      </c>
      <c r="F380" s="18">
        <f>'Sampling Data'!E380</f>
        <v>0</v>
      </c>
      <c r="G380" s="18">
        <f>'Sampling Data'!F380</f>
        <v>0</v>
      </c>
      <c r="H380" s="18">
        <f>'Sampling Data'!G380</f>
        <v>0</v>
      </c>
      <c r="I380" s="18">
        <f>'Sampling Data'!H380</f>
        <v>0</v>
      </c>
      <c r="J380" s="18">
        <f>'Sampling Data'!I380</f>
        <v>0</v>
      </c>
      <c r="K380" s="18">
        <f>'Sampling Data'!J380</f>
        <v>0</v>
      </c>
      <c r="L380" s="18">
        <f>'Sampling Data'!K380</f>
        <v>0</v>
      </c>
      <c r="M380" s="18">
        <f>'Sampling Data'!L380</f>
        <v>0</v>
      </c>
      <c r="N380" s="18">
        <f>'Sampling Data'!M380</f>
        <v>0</v>
      </c>
      <c r="O380" s="17">
        <f>'Sampling Data'!N380</f>
        <v>0</v>
      </c>
      <c r="P380" s="17">
        <f>'Sampling Data'!O380</f>
        <v>19</v>
      </c>
      <c r="Q380" s="17">
        <f>'Sampling Data'!P380</f>
        <v>353</v>
      </c>
      <c r="R380" s="17">
        <f>'Sampling Data'!AJ380</f>
        <v>0</v>
      </c>
      <c r="S380" s="111"/>
      <c r="T380" s="111"/>
      <c r="U380" s="112"/>
      <c r="V380" s="112"/>
      <c r="W380" s="111"/>
      <c r="X380" s="111"/>
      <c r="Y380" s="111"/>
      <c r="Z380" s="111"/>
      <c r="AA380" s="14"/>
      <c r="AB380" s="14"/>
      <c r="AC380" s="14"/>
      <c r="AD380" s="14"/>
      <c r="AE380" s="113" t="str">
        <f>IF(NOT(ISBLANK(Audit[[#This Row],[Audit Winning Candidate]])), Audit[[#This Row],[Audit Winning Candidate]]-Audit[[#This Row],[Winning Candidate]], "")</f>
        <v/>
      </c>
      <c r="AF380" s="17" t="str">
        <f>IF(NOT(ISBLANK(Audit[[#This Row],[Audit Losing Candidate]])), Audit[[#This Row],[Audit Losing Candidate]]-Audit[[#This Row],[Losing Candidate]], "")</f>
        <v/>
      </c>
      <c r="AG380" s="17" t="str">
        <f>IF(NOT(ISBLANK(Audit[[#This Row],[Audit Candidate 3]])), Audit[[#This Row],[Audit Candidate 3]]-Audit[[#This Row],[Candidate 3]], "")</f>
        <v/>
      </c>
      <c r="AH380" s="17" t="str">
        <f>IF(NOT(ISBLANK(Audit[[#This Row],[Audit Candidate 4]])),Audit[[#This Row],[Audit Candidate 4]]-Audit[[#This Row],[Candidate 4]], "")</f>
        <v/>
      </c>
      <c r="AI380" s="17" t="str">
        <f>IF(NOT(ISBLANK(Audit[[#This Row],[Audit Candidate 5]])), Audit[[#This Row],[Audit Candidate 5]]-Audit[[#This Row],[Candidate 5]], "")</f>
        <v/>
      </c>
      <c r="AJ380" s="17" t="str">
        <f>IF(NOT(ISBLANK(Audit[[#This Row],[Audit Candidate 6]])), Audit[[#This Row],[Audit Candidate 6]]-Audit[[#This Row],[Candidate 6]], "")</f>
        <v/>
      </c>
      <c r="AK380" s="17" t="str">
        <f>IF(NOT(ISBLANK(Audit[[#This Row],[Audit Candidate 7]])), Audit[[#This Row],[Audit Candidate 7]]-Audit[[#This Row],[Candidate 7]], "")</f>
        <v/>
      </c>
      <c r="AL380" s="17" t="str">
        <f>IF(NOT(ISBLANK(Audit[[#This Row],[Audit Candidate 8]])), Audit[[#This Row],[Audit Candidate 8]]-Audit[[#This Row],[Candidate 8]], "")</f>
        <v/>
      </c>
      <c r="AM380" s="17" t="str">
        <f>IF(NOT(ISBLANK(Audit[[#This Row],[Audit Candidate 9]])), Audit[[#This Row],[Audit Candidate 9]]-Audit[[#This Row],[Candidate 9]], "")</f>
        <v/>
      </c>
      <c r="AN380" s="17" t="str">
        <f>IF(NOT(ISBLANK(Audit[[#This Row],[Audit Candidate 10]])), Audit[[#This Row],[Audit Candidate 10]]-Audit[[#This Row],[Candidate 10]], "")</f>
        <v/>
      </c>
      <c r="AO380" s="17" t="str">
        <f>IF(NOT(ISBLANK(Audit[[#This Row],[Audit Candidate 11]])), Audit[[#This Row],[Audit Candidate 11]]-Audit[[#This Row],[Candidate 11]], "")</f>
        <v/>
      </c>
      <c r="AP380" s="17" t="str">
        <f>IF(NOT(ISBLANK(Audit[[#This Row],[Audit Candidate 12]])), Audit[[#This Row],[Audit Candidate 12]]-Audit[[#This Row],[Candidate 12]], "")</f>
        <v/>
      </c>
      <c r="AQ380" s="17">
        <f>SUMIF(Audit[[#This Row],[Difference Winner]:[Difference Candidate 12]], "&gt;0")</f>
        <v>0</v>
      </c>
      <c r="AR380" s="17">
        <f>SUM(Audit[[#This Row],[Difference Winner]:[Difference Candidate 12]])</f>
        <v>0</v>
      </c>
      <c r="AS380" s="17">
        <f>IF(Audit[[#This Row],[Times p Drawn - With Replacement]]&gt;0, IF(Audit[[#This Row],[Canceled Differences]]&lt;0, Audit[[#This Row],[Max Differences]]+ABS(Audit[[#This Row],[Canceled Differences]]), Audit[[#This Row],[Max Differences]]), 0)</f>
        <v>0</v>
      </c>
      <c r="AT380" s="17">
        <f>'Sampling Data'!AB380</f>
        <v>1.0142590392123578E-2</v>
      </c>
      <c r="AU380" s="17">
        <f>IF(
      SUM(Audit[[#This Row],[Audit Losing Candidate]:[Audit Candidate 12]])
      &lt;&gt;0,
      (Audit[[#This Row],[Winning Candidate]]-Audit[[#This Row],[Losing Candidate]]-(Audit[[#This Row],[Audit Winning Candidate]]-Audit[[#This Row],[Audit Losing Candidate]]))/(Audit[[#Totals],[Winning Candidate]]-Audit[[#Totals],[Losing Candidate]]),
      0
)</f>
        <v>0</v>
      </c>
      <c r="AV3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0" s="17">
        <f>IF(Audit[[#This Row],[Max Relative Error (ep)]] = 0, 0, Audit[[#This Row],[Max Relative Error (ep)]]/Audit[[#This Row],[Error Bound (up) - Max. possible relative overstatement]])</f>
        <v>0</v>
      </c>
      <c r="BH3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80" s="17">
        <f t="shared" si="6"/>
        <v>1</v>
      </c>
      <c r="BJ380" s="17">
        <f>PRODUCT($BI$5:BI380)</f>
        <v>0.46283459046185416</v>
      </c>
      <c r="BK380" s="19">
        <f>1 - Audit[[#This Row],[K-M P Value]]</f>
        <v>0.53716540953814584</v>
      </c>
      <c r="BL380" s="17" t="str">
        <f>IF(Audit[[#This Row],[K-M P Value]]&gt;1-'General Info'!$B$12,"Continue", "Stop")</f>
        <v>Continue</v>
      </c>
      <c r="BM380" s="22" t="b">
        <f>IF(Audit[[#This Row],[Status - Continue or stop audit]] = "Continue", TRUE, IF(BL379 = "Continue", TRUE, FALSE))</f>
        <v>1</v>
      </c>
      <c r="BN380" s="22"/>
    </row>
    <row r="381" spans="1:66" ht="15" hidden="1" customHeight="1" x14ac:dyDescent="0.35">
      <c r="A381" s="17" t="str">
        <f>'Sampling Data'!AI381</f>
        <v/>
      </c>
      <c r="B381" s="17" t="str">
        <f>'Sampling Data'!A381</f>
        <v>5929 COLE CC   (AV)</v>
      </c>
      <c r="C381" s="17">
        <f>'Sampling Data'!B381</f>
        <v>91</v>
      </c>
      <c r="D381" s="17">
        <f>'Sampling Data'!C381</f>
        <v>78</v>
      </c>
      <c r="E381" s="18">
        <f>'Sampling Data'!D381</f>
        <v>0</v>
      </c>
      <c r="F381" s="18">
        <f>'Sampling Data'!E381</f>
        <v>0</v>
      </c>
      <c r="G381" s="18">
        <f>'Sampling Data'!F381</f>
        <v>0</v>
      </c>
      <c r="H381" s="18">
        <f>'Sampling Data'!G381</f>
        <v>0</v>
      </c>
      <c r="I381" s="18">
        <f>'Sampling Data'!H381</f>
        <v>0</v>
      </c>
      <c r="J381" s="18">
        <f>'Sampling Data'!I381</f>
        <v>0</v>
      </c>
      <c r="K381" s="18">
        <f>'Sampling Data'!J381</f>
        <v>0</v>
      </c>
      <c r="L381" s="18">
        <f>'Sampling Data'!K381</f>
        <v>0</v>
      </c>
      <c r="M381" s="18">
        <f>'Sampling Data'!L381</f>
        <v>0</v>
      </c>
      <c r="N381" s="18">
        <f>'Sampling Data'!M381</f>
        <v>0</v>
      </c>
      <c r="O381" s="17">
        <f>'Sampling Data'!N381</f>
        <v>0</v>
      </c>
      <c r="P381" s="17">
        <f>'Sampling Data'!O381</f>
        <v>8</v>
      </c>
      <c r="Q381" s="17">
        <f>'Sampling Data'!P381</f>
        <v>177</v>
      </c>
      <c r="R381" s="17">
        <f>'Sampling Data'!AJ381</f>
        <v>0</v>
      </c>
      <c r="S381" s="111"/>
      <c r="T381" s="111"/>
      <c r="U381" s="112"/>
      <c r="V381" s="112"/>
      <c r="W381" s="111"/>
      <c r="X381" s="111"/>
      <c r="Y381" s="111"/>
      <c r="Z381" s="111"/>
      <c r="AA381" s="14"/>
      <c r="AB381" s="14"/>
      <c r="AC381" s="14"/>
      <c r="AD381" s="14"/>
      <c r="AE381" s="113" t="str">
        <f>IF(NOT(ISBLANK(Audit[[#This Row],[Audit Winning Candidate]])), Audit[[#This Row],[Audit Winning Candidate]]-Audit[[#This Row],[Winning Candidate]], "")</f>
        <v/>
      </c>
      <c r="AF381" s="17" t="str">
        <f>IF(NOT(ISBLANK(Audit[[#This Row],[Audit Losing Candidate]])), Audit[[#This Row],[Audit Losing Candidate]]-Audit[[#This Row],[Losing Candidate]], "")</f>
        <v/>
      </c>
      <c r="AG381" s="17" t="str">
        <f>IF(NOT(ISBLANK(Audit[[#This Row],[Audit Candidate 3]])), Audit[[#This Row],[Audit Candidate 3]]-Audit[[#This Row],[Candidate 3]], "")</f>
        <v/>
      </c>
      <c r="AH381" s="17" t="str">
        <f>IF(NOT(ISBLANK(Audit[[#This Row],[Audit Candidate 4]])),Audit[[#This Row],[Audit Candidate 4]]-Audit[[#This Row],[Candidate 4]], "")</f>
        <v/>
      </c>
      <c r="AI381" s="17" t="str">
        <f>IF(NOT(ISBLANK(Audit[[#This Row],[Audit Candidate 5]])), Audit[[#This Row],[Audit Candidate 5]]-Audit[[#This Row],[Candidate 5]], "")</f>
        <v/>
      </c>
      <c r="AJ381" s="17" t="str">
        <f>IF(NOT(ISBLANK(Audit[[#This Row],[Audit Candidate 6]])), Audit[[#This Row],[Audit Candidate 6]]-Audit[[#This Row],[Candidate 6]], "")</f>
        <v/>
      </c>
      <c r="AK381" s="17" t="str">
        <f>IF(NOT(ISBLANK(Audit[[#This Row],[Audit Candidate 7]])), Audit[[#This Row],[Audit Candidate 7]]-Audit[[#This Row],[Candidate 7]], "")</f>
        <v/>
      </c>
      <c r="AL381" s="17" t="str">
        <f>IF(NOT(ISBLANK(Audit[[#This Row],[Audit Candidate 8]])), Audit[[#This Row],[Audit Candidate 8]]-Audit[[#This Row],[Candidate 8]], "")</f>
        <v/>
      </c>
      <c r="AM381" s="17" t="str">
        <f>IF(NOT(ISBLANK(Audit[[#This Row],[Audit Candidate 9]])), Audit[[#This Row],[Audit Candidate 9]]-Audit[[#This Row],[Candidate 9]], "")</f>
        <v/>
      </c>
      <c r="AN381" s="17" t="str">
        <f>IF(NOT(ISBLANK(Audit[[#This Row],[Audit Candidate 10]])), Audit[[#This Row],[Audit Candidate 10]]-Audit[[#This Row],[Candidate 10]], "")</f>
        <v/>
      </c>
      <c r="AO381" s="17" t="str">
        <f>IF(NOT(ISBLANK(Audit[[#This Row],[Audit Candidate 11]])), Audit[[#This Row],[Audit Candidate 11]]-Audit[[#This Row],[Candidate 11]], "")</f>
        <v/>
      </c>
      <c r="AP381" s="17" t="str">
        <f>IF(NOT(ISBLANK(Audit[[#This Row],[Audit Candidate 12]])), Audit[[#This Row],[Audit Candidate 12]]-Audit[[#This Row],[Candidate 12]], "")</f>
        <v/>
      </c>
      <c r="AQ381" s="17">
        <f>SUMIF(Audit[[#This Row],[Difference Winner]:[Difference Candidate 12]], "&gt;0")</f>
        <v>0</v>
      </c>
      <c r="AR381" s="17">
        <f>SUM(Audit[[#This Row],[Difference Winner]:[Difference Candidate 12]])</f>
        <v>0</v>
      </c>
      <c r="AS381" s="17">
        <f>IF(Audit[[#This Row],[Times p Drawn - With Replacement]]&gt;0, IF(Audit[[#This Row],[Canceled Differences]]&lt;0, Audit[[#This Row],[Max Differences]]+ABS(Audit[[#This Row],[Canceled Differences]]), Audit[[#This Row],[Max Differences]]), 0)</f>
        <v>0</v>
      </c>
      <c r="AT381" s="17">
        <f>'Sampling Data'!AB381</f>
        <v>8.0631471736547274E-3</v>
      </c>
      <c r="AU381" s="17">
        <f>IF(
      SUM(Audit[[#This Row],[Audit Losing Candidate]:[Audit Candidate 12]])
      &lt;&gt;0,
      (Audit[[#This Row],[Winning Candidate]]-Audit[[#This Row],[Losing Candidate]]-(Audit[[#This Row],[Audit Winning Candidate]]-Audit[[#This Row],[Audit Losing Candidate]]))/(Audit[[#Totals],[Winning Candidate]]-Audit[[#Totals],[Losing Candidate]]),
      0
)</f>
        <v>0</v>
      </c>
      <c r="AV3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1" s="17">
        <f>IF(Audit[[#This Row],[Max Relative Error (ep)]] = 0, 0, Audit[[#This Row],[Max Relative Error (ep)]]/Audit[[#This Row],[Error Bound (up) - Max. possible relative overstatement]])</f>
        <v>0</v>
      </c>
      <c r="BH3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81" s="17">
        <f t="shared" si="6"/>
        <v>1</v>
      </c>
      <c r="BJ381" s="17">
        <f>PRODUCT($BI$5:BI381)</f>
        <v>0.46283459046185416</v>
      </c>
      <c r="BK381" s="19">
        <f>1 - Audit[[#This Row],[K-M P Value]]</f>
        <v>0.53716540953814584</v>
      </c>
      <c r="BL381" s="17" t="str">
        <f>IF(Audit[[#This Row],[K-M P Value]]&gt;1-'General Info'!$B$12,"Continue", "Stop")</f>
        <v>Continue</v>
      </c>
      <c r="BM381" s="22" t="b">
        <f>IF(Audit[[#This Row],[Status - Continue or stop audit]] = "Continue", TRUE, IF(BL380 = "Continue", TRUE, FALSE))</f>
        <v>1</v>
      </c>
      <c r="BN381" s="22"/>
    </row>
    <row r="382" spans="1:66" ht="15" hidden="1" customHeight="1" x14ac:dyDescent="0.35">
      <c r="A382" s="17" t="str">
        <f>'Sampling Data'!AI382</f>
        <v/>
      </c>
      <c r="B382" s="17" t="str">
        <f>'Sampling Data'!A382</f>
        <v>5930 COLE DD   (AV)</v>
      </c>
      <c r="C382" s="17">
        <f>'Sampling Data'!B382</f>
        <v>175</v>
      </c>
      <c r="D382" s="17">
        <f>'Sampling Data'!C382</f>
        <v>34</v>
      </c>
      <c r="E382" s="18">
        <f>'Sampling Data'!D382</f>
        <v>0</v>
      </c>
      <c r="F382" s="18">
        <f>'Sampling Data'!E382</f>
        <v>0</v>
      </c>
      <c r="G382" s="18">
        <f>'Sampling Data'!F382</f>
        <v>0</v>
      </c>
      <c r="H382" s="18">
        <f>'Sampling Data'!G382</f>
        <v>0</v>
      </c>
      <c r="I382" s="18">
        <f>'Sampling Data'!H382</f>
        <v>0</v>
      </c>
      <c r="J382" s="18">
        <f>'Sampling Data'!I382</f>
        <v>0</v>
      </c>
      <c r="K382" s="18">
        <f>'Sampling Data'!J382</f>
        <v>0</v>
      </c>
      <c r="L382" s="18">
        <f>'Sampling Data'!K382</f>
        <v>0</v>
      </c>
      <c r="M382" s="18">
        <f>'Sampling Data'!L382</f>
        <v>0</v>
      </c>
      <c r="N382" s="18">
        <f>'Sampling Data'!M382</f>
        <v>0</v>
      </c>
      <c r="O382" s="17">
        <f>'Sampling Data'!N382</f>
        <v>0</v>
      </c>
      <c r="P382" s="17">
        <f>'Sampling Data'!O382</f>
        <v>10</v>
      </c>
      <c r="Q382" s="17">
        <f>'Sampling Data'!P382</f>
        <v>219</v>
      </c>
      <c r="R382" s="17">
        <f>'Sampling Data'!AJ382</f>
        <v>0</v>
      </c>
      <c r="S382" s="111"/>
      <c r="T382" s="111"/>
      <c r="U382" s="112"/>
      <c r="V382" s="112"/>
      <c r="W382" s="111"/>
      <c r="X382" s="111"/>
      <c r="Y382" s="111"/>
      <c r="Z382" s="111"/>
      <c r="AA382" s="14"/>
      <c r="AB382" s="14"/>
      <c r="AC382" s="14"/>
      <c r="AD382" s="14"/>
      <c r="AE382" s="113" t="str">
        <f>IF(NOT(ISBLANK(Audit[[#This Row],[Audit Winning Candidate]])), Audit[[#This Row],[Audit Winning Candidate]]-Audit[[#This Row],[Winning Candidate]], "")</f>
        <v/>
      </c>
      <c r="AF382" s="17" t="str">
        <f>IF(NOT(ISBLANK(Audit[[#This Row],[Audit Losing Candidate]])), Audit[[#This Row],[Audit Losing Candidate]]-Audit[[#This Row],[Losing Candidate]], "")</f>
        <v/>
      </c>
      <c r="AG382" s="17" t="str">
        <f>IF(NOT(ISBLANK(Audit[[#This Row],[Audit Candidate 3]])), Audit[[#This Row],[Audit Candidate 3]]-Audit[[#This Row],[Candidate 3]], "")</f>
        <v/>
      </c>
      <c r="AH382" s="17" t="str">
        <f>IF(NOT(ISBLANK(Audit[[#This Row],[Audit Candidate 4]])),Audit[[#This Row],[Audit Candidate 4]]-Audit[[#This Row],[Candidate 4]], "")</f>
        <v/>
      </c>
      <c r="AI382" s="17" t="str">
        <f>IF(NOT(ISBLANK(Audit[[#This Row],[Audit Candidate 5]])), Audit[[#This Row],[Audit Candidate 5]]-Audit[[#This Row],[Candidate 5]], "")</f>
        <v/>
      </c>
      <c r="AJ382" s="17" t="str">
        <f>IF(NOT(ISBLANK(Audit[[#This Row],[Audit Candidate 6]])), Audit[[#This Row],[Audit Candidate 6]]-Audit[[#This Row],[Candidate 6]], "")</f>
        <v/>
      </c>
      <c r="AK382" s="17" t="str">
        <f>IF(NOT(ISBLANK(Audit[[#This Row],[Audit Candidate 7]])), Audit[[#This Row],[Audit Candidate 7]]-Audit[[#This Row],[Candidate 7]], "")</f>
        <v/>
      </c>
      <c r="AL382" s="17" t="str">
        <f>IF(NOT(ISBLANK(Audit[[#This Row],[Audit Candidate 8]])), Audit[[#This Row],[Audit Candidate 8]]-Audit[[#This Row],[Candidate 8]], "")</f>
        <v/>
      </c>
      <c r="AM382" s="17" t="str">
        <f>IF(NOT(ISBLANK(Audit[[#This Row],[Audit Candidate 9]])), Audit[[#This Row],[Audit Candidate 9]]-Audit[[#This Row],[Candidate 9]], "")</f>
        <v/>
      </c>
      <c r="AN382" s="17" t="str">
        <f>IF(NOT(ISBLANK(Audit[[#This Row],[Audit Candidate 10]])), Audit[[#This Row],[Audit Candidate 10]]-Audit[[#This Row],[Candidate 10]], "")</f>
        <v/>
      </c>
      <c r="AO382" s="17" t="str">
        <f>IF(NOT(ISBLANK(Audit[[#This Row],[Audit Candidate 11]])), Audit[[#This Row],[Audit Candidate 11]]-Audit[[#This Row],[Candidate 11]], "")</f>
        <v/>
      </c>
      <c r="AP382" s="17" t="str">
        <f>IF(NOT(ISBLANK(Audit[[#This Row],[Audit Candidate 12]])), Audit[[#This Row],[Audit Candidate 12]]-Audit[[#This Row],[Candidate 12]], "")</f>
        <v/>
      </c>
      <c r="AQ382" s="17">
        <f>SUMIF(Audit[[#This Row],[Difference Winner]:[Difference Candidate 12]], "&gt;0")</f>
        <v>0</v>
      </c>
      <c r="AR382" s="17">
        <f>SUM(Audit[[#This Row],[Difference Winner]:[Difference Candidate 12]])</f>
        <v>0</v>
      </c>
      <c r="AS382" s="17">
        <f>IF(Audit[[#This Row],[Times p Drawn - With Replacement]]&gt;0, IF(Audit[[#This Row],[Canceled Differences]]&lt;0, Audit[[#This Row],[Max Differences]]+ABS(Audit[[#This Row],[Canceled Differences]]), Audit[[#This Row],[Max Differences]]), 0)</f>
        <v>0</v>
      </c>
      <c r="AT382" s="17">
        <f>'Sampling Data'!AB382</f>
        <v>1.5277542013240537E-2</v>
      </c>
      <c r="AU382" s="17">
        <f>IF(
      SUM(Audit[[#This Row],[Audit Losing Candidate]:[Audit Candidate 12]])
      &lt;&gt;0,
      (Audit[[#This Row],[Winning Candidate]]-Audit[[#This Row],[Losing Candidate]]-(Audit[[#This Row],[Audit Winning Candidate]]-Audit[[#This Row],[Audit Losing Candidate]]))/(Audit[[#Totals],[Winning Candidate]]-Audit[[#Totals],[Losing Candidate]]),
      0
)</f>
        <v>0</v>
      </c>
      <c r="AV3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2" s="17">
        <f>IF(Audit[[#This Row],[Max Relative Error (ep)]] = 0, 0, Audit[[#This Row],[Max Relative Error (ep)]]/Audit[[#This Row],[Error Bound (up) - Max. possible relative overstatement]])</f>
        <v>0</v>
      </c>
      <c r="BH3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82" s="17">
        <f t="shared" si="6"/>
        <v>1</v>
      </c>
      <c r="BJ382" s="17">
        <f>PRODUCT($BI$5:BI382)</f>
        <v>0.46283459046185416</v>
      </c>
      <c r="BK382" s="19">
        <f>1 - Audit[[#This Row],[K-M P Value]]</f>
        <v>0.53716540953814584</v>
      </c>
      <c r="BL382" s="17" t="str">
        <f>IF(Audit[[#This Row],[K-M P Value]]&gt;1-'General Info'!$B$12,"Continue", "Stop")</f>
        <v>Continue</v>
      </c>
      <c r="BM382" s="22" t="b">
        <f>IF(Audit[[#This Row],[Status - Continue or stop audit]] = "Continue", TRUE, IF(BL381 = "Continue", TRUE, FALSE))</f>
        <v>1</v>
      </c>
      <c r="BN382" s="22"/>
    </row>
    <row r="383" spans="1:66" ht="15" hidden="1" customHeight="1" x14ac:dyDescent="0.35">
      <c r="A383" s="17" t="str">
        <f>'Sampling Data'!AI383</f>
        <v/>
      </c>
      <c r="B383" s="17" t="str">
        <f>'Sampling Data'!A383</f>
        <v>5931 COLE EE   (AV)</v>
      </c>
      <c r="C383" s="17">
        <f>'Sampling Data'!B383</f>
        <v>116</v>
      </c>
      <c r="D383" s="17">
        <f>'Sampling Data'!C383</f>
        <v>143</v>
      </c>
      <c r="E383" s="18">
        <f>'Sampling Data'!D383</f>
        <v>0</v>
      </c>
      <c r="F383" s="18">
        <f>'Sampling Data'!E383</f>
        <v>0</v>
      </c>
      <c r="G383" s="18">
        <f>'Sampling Data'!F383</f>
        <v>0</v>
      </c>
      <c r="H383" s="18">
        <f>'Sampling Data'!G383</f>
        <v>0</v>
      </c>
      <c r="I383" s="18">
        <f>'Sampling Data'!H383</f>
        <v>0</v>
      </c>
      <c r="J383" s="18">
        <f>'Sampling Data'!I383</f>
        <v>0</v>
      </c>
      <c r="K383" s="18">
        <f>'Sampling Data'!J383</f>
        <v>0</v>
      </c>
      <c r="L383" s="18">
        <f>'Sampling Data'!K383</f>
        <v>0</v>
      </c>
      <c r="M383" s="18">
        <f>'Sampling Data'!L383</f>
        <v>0</v>
      </c>
      <c r="N383" s="18">
        <f>'Sampling Data'!M383</f>
        <v>0</v>
      </c>
      <c r="O383" s="17">
        <f>'Sampling Data'!N383</f>
        <v>0</v>
      </c>
      <c r="P383" s="17">
        <f>'Sampling Data'!O383</f>
        <v>17</v>
      </c>
      <c r="Q383" s="17">
        <f>'Sampling Data'!P383</f>
        <v>276</v>
      </c>
      <c r="R383" s="17">
        <f>'Sampling Data'!AJ383</f>
        <v>0</v>
      </c>
      <c r="S383" s="111"/>
      <c r="T383" s="111"/>
      <c r="U383" s="112"/>
      <c r="V383" s="112"/>
      <c r="W383" s="111"/>
      <c r="X383" s="111"/>
      <c r="Y383" s="111"/>
      <c r="Z383" s="111"/>
      <c r="AA383" s="14"/>
      <c r="AB383" s="14"/>
      <c r="AC383" s="14"/>
      <c r="AD383" s="14"/>
      <c r="AE383" s="113" t="str">
        <f>IF(NOT(ISBLANK(Audit[[#This Row],[Audit Winning Candidate]])), Audit[[#This Row],[Audit Winning Candidate]]-Audit[[#This Row],[Winning Candidate]], "")</f>
        <v/>
      </c>
      <c r="AF383" s="17" t="str">
        <f>IF(NOT(ISBLANK(Audit[[#This Row],[Audit Losing Candidate]])), Audit[[#This Row],[Audit Losing Candidate]]-Audit[[#This Row],[Losing Candidate]], "")</f>
        <v/>
      </c>
      <c r="AG383" s="17" t="str">
        <f>IF(NOT(ISBLANK(Audit[[#This Row],[Audit Candidate 3]])), Audit[[#This Row],[Audit Candidate 3]]-Audit[[#This Row],[Candidate 3]], "")</f>
        <v/>
      </c>
      <c r="AH383" s="17" t="str">
        <f>IF(NOT(ISBLANK(Audit[[#This Row],[Audit Candidate 4]])),Audit[[#This Row],[Audit Candidate 4]]-Audit[[#This Row],[Candidate 4]], "")</f>
        <v/>
      </c>
      <c r="AI383" s="17" t="str">
        <f>IF(NOT(ISBLANK(Audit[[#This Row],[Audit Candidate 5]])), Audit[[#This Row],[Audit Candidate 5]]-Audit[[#This Row],[Candidate 5]], "")</f>
        <v/>
      </c>
      <c r="AJ383" s="17" t="str">
        <f>IF(NOT(ISBLANK(Audit[[#This Row],[Audit Candidate 6]])), Audit[[#This Row],[Audit Candidate 6]]-Audit[[#This Row],[Candidate 6]], "")</f>
        <v/>
      </c>
      <c r="AK383" s="17" t="str">
        <f>IF(NOT(ISBLANK(Audit[[#This Row],[Audit Candidate 7]])), Audit[[#This Row],[Audit Candidate 7]]-Audit[[#This Row],[Candidate 7]], "")</f>
        <v/>
      </c>
      <c r="AL383" s="17" t="str">
        <f>IF(NOT(ISBLANK(Audit[[#This Row],[Audit Candidate 8]])), Audit[[#This Row],[Audit Candidate 8]]-Audit[[#This Row],[Candidate 8]], "")</f>
        <v/>
      </c>
      <c r="AM383" s="17" t="str">
        <f>IF(NOT(ISBLANK(Audit[[#This Row],[Audit Candidate 9]])), Audit[[#This Row],[Audit Candidate 9]]-Audit[[#This Row],[Candidate 9]], "")</f>
        <v/>
      </c>
      <c r="AN383" s="17" t="str">
        <f>IF(NOT(ISBLANK(Audit[[#This Row],[Audit Candidate 10]])), Audit[[#This Row],[Audit Candidate 10]]-Audit[[#This Row],[Candidate 10]], "")</f>
        <v/>
      </c>
      <c r="AO383" s="17" t="str">
        <f>IF(NOT(ISBLANK(Audit[[#This Row],[Audit Candidate 11]])), Audit[[#This Row],[Audit Candidate 11]]-Audit[[#This Row],[Candidate 11]], "")</f>
        <v/>
      </c>
      <c r="AP383" s="17" t="str">
        <f>IF(NOT(ISBLANK(Audit[[#This Row],[Audit Candidate 12]])), Audit[[#This Row],[Audit Candidate 12]]-Audit[[#This Row],[Candidate 12]], "")</f>
        <v/>
      </c>
      <c r="AQ383" s="17">
        <f>SUMIF(Audit[[#This Row],[Difference Winner]:[Difference Candidate 12]], "&gt;0")</f>
        <v>0</v>
      </c>
      <c r="AR383" s="17">
        <f>SUM(Audit[[#This Row],[Difference Winner]:[Difference Candidate 12]])</f>
        <v>0</v>
      </c>
      <c r="AS383" s="17">
        <f>IF(Audit[[#This Row],[Times p Drawn - With Replacement]]&gt;0, IF(Audit[[#This Row],[Canceled Differences]]&lt;0, Audit[[#This Row],[Max Differences]]+ABS(Audit[[#This Row],[Canceled Differences]]), Audit[[#This Row],[Max Differences]]), 0)</f>
        <v>0</v>
      </c>
      <c r="AT383" s="17">
        <f>'Sampling Data'!AB383</f>
        <v>1.0566966559158038E-2</v>
      </c>
      <c r="AU383" s="17">
        <f>IF(
      SUM(Audit[[#This Row],[Audit Losing Candidate]:[Audit Candidate 12]])
      &lt;&gt;0,
      (Audit[[#This Row],[Winning Candidate]]-Audit[[#This Row],[Losing Candidate]]-(Audit[[#This Row],[Audit Winning Candidate]]-Audit[[#This Row],[Audit Losing Candidate]]))/(Audit[[#Totals],[Winning Candidate]]-Audit[[#Totals],[Losing Candidate]]),
      0
)</f>
        <v>0</v>
      </c>
      <c r="AV3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3" s="17">
        <f>IF(Audit[[#This Row],[Max Relative Error (ep)]] = 0, 0, Audit[[#This Row],[Max Relative Error (ep)]]/Audit[[#This Row],[Error Bound (up) - Max. possible relative overstatement]])</f>
        <v>0</v>
      </c>
      <c r="BH3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83" s="17">
        <f t="shared" si="6"/>
        <v>1</v>
      </c>
      <c r="BJ383" s="17">
        <f>PRODUCT($BI$5:BI383)</f>
        <v>0.46283459046185416</v>
      </c>
      <c r="BK383" s="19">
        <f>1 - Audit[[#This Row],[K-M P Value]]</f>
        <v>0.53716540953814584</v>
      </c>
      <c r="BL383" s="17" t="str">
        <f>IF(Audit[[#This Row],[K-M P Value]]&gt;1-'General Info'!$B$12,"Continue", "Stop")</f>
        <v>Continue</v>
      </c>
      <c r="BM383" s="22" t="b">
        <f>IF(Audit[[#This Row],[Status - Continue or stop audit]] = "Continue", TRUE, IF(BL382 = "Continue", TRUE, FALSE))</f>
        <v>1</v>
      </c>
      <c r="BN383" s="22"/>
    </row>
    <row r="384" spans="1:66" ht="15" hidden="1" customHeight="1" x14ac:dyDescent="0.35">
      <c r="A384" s="17" t="str">
        <f>'Sampling Data'!AI384</f>
        <v/>
      </c>
      <c r="B384" s="17" t="str">
        <f>'Sampling Data'!A384</f>
        <v>5932 COLE FF   (AV)</v>
      </c>
      <c r="C384" s="17">
        <f>'Sampling Data'!B384</f>
        <v>37</v>
      </c>
      <c r="D384" s="17">
        <f>'Sampling Data'!C384</f>
        <v>55</v>
      </c>
      <c r="E384" s="18">
        <f>'Sampling Data'!D384</f>
        <v>0</v>
      </c>
      <c r="F384" s="18">
        <f>'Sampling Data'!E384</f>
        <v>0</v>
      </c>
      <c r="G384" s="18">
        <f>'Sampling Data'!F384</f>
        <v>0</v>
      </c>
      <c r="H384" s="18">
        <f>'Sampling Data'!G384</f>
        <v>0</v>
      </c>
      <c r="I384" s="18">
        <f>'Sampling Data'!H384</f>
        <v>0</v>
      </c>
      <c r="J384" s="18">
        <f>'Sampling Data'!I384</f>
        <v>0</v>
      </c>
      <c r="K384" s="18">
        <f>'Sampling Data'!J384</f>
        <v>0</v>
      </c>
      <c r="L384" s="18">
        <f>'Sampling Data'!K384</f>
        <v>0</v>
      </c>
      <c r="M384" s="18">
        <f>'Sampling Data'!L384</f>
        <v>0</v>
      </c>
      <c r="N384" s="18">
        <f>'Sampling Data'!M384</f>
        <v>0</v>
      </c>
      <c r="O384" s="17">
        <f>'Sampling Data'!N384</f>
        <v>0</v>
      </c>
      <c r="P384" s="17">
        <f>'Sampling Data'!O384</f>
        <v>6</v>
      </c>
      <c r="Q384" s="17">
        <f>'Sampling Data'!P384</f>
        <v>98</v>
      </c>
      <c r="R384" s="17">
        <f>'Sampling Data'!AJ384</f>
        <v>0</v>
      </c>
      <c r="S384" s="111"/>
      <c r="T384" s="111"/>
      <c r="U384" s="112"/>
      <c r="V384" s="112"/>
      <c r="W384" s="111"/>
      <c r="X384" s="111"/>
      <c r="Y384" s="111"/>
      <c r="Z384" s="111"/>
      <c r="AA384" s="14"/>
      <c r="AB384" s="14"/>
      <c r="AC384" s="14"/>
      <c r="AD384" s="14"/>
      <c r="AE384" s="113" t="str">
        <f>IF(NOT(ISBLANK(Audit[[#This Row],[Audit Winning Candidate]])), Audit[[#This Row],[Audit Winning Candidate]]-Audit[[#This Row],[Winning Candidate]], "")</f>
        <v/>
      </c>
      <c r="AF384" s="17" t="str">
        <f>IF(NOT(ISBLANK(Audit[[#This Row],[Audit Losing Candidate]])), Audit[[#This Row],[Audit Losing Candidate]]-Audit[[#This Row],[Losing Candidate]], "")</f>
        <v/>
      </c>
      <c r="AG384" s="17" t="str">
        <f>IF(NOT(ISBLANK(Audit[[#This Row],[Audit Candidate 3]])), Audit[[#This Row],[Audit Candidate 3]]-Audit[[#This Row],[Candidate 3]], "")</f>
        <v/>
      </c>
      <c r="AH384" s="17" t="str">
        <f>IF(NOT(ISBLANK(Audit[[#This Row],[Audit Candidate 4]])),Audit[[#This Row],[Audit Candidate 4]]-Audit[[#This Row],[Candidate 4]], "")</f>
        <v/>
      </c>
      <c r="AI384" s="17" t="str">
        <f>IF(NOT(ISBLANK(Audit[[#This Row],[Audit Candidate 5]])), Audit[[#This Row],[Audit Candidate 5]]-Audit[[#This Row],[Candidate 5]], "")</f>
        <v/>
      </c>
      <c r="AJ384" s="17" t="str">
        <f>IF(NOT(ISBLANK(Audit[[#This Row],[Audit Candidate 6]])), Audit[[#This Row],[Audit Candidate 6]]-Audit[[#This Row],[Candidate 6]], "")</f>
        <v/>
      </c>
      <c r="AK384" s="17" t="str">
        <f>IF(NOT(ISBLANK(Audit[[#This Row],[Audit Candidate 7]])), Audit[[#This Row],[Audit Candidate 7]]-Audit[[#This Row],[Candidate 7]], "")</f>
        <v/>
      </c>
      <c r="AL384" s="17" t="str">
        <f>IF(NOT(ISBLANK(Audit[[#This Row],[Audit Candidate 8]])), Audit[[#This Row],[Audit Candidate 8]]-Audit[[#This Row],[Candidate 8]], "")</f>
        <v/>
      </c>
      <c r="AM384" s="17" t="str">
        <f>IF(NOT(ISBLANK(Audit[[#This Row],[Audit Candidate 9]])), Audit[[#This Row],[Audit Candidate 9]]-Audit[[#This Row],[Candidate 9]], "")</f>
        <v/>
      </c>
      <c r="AN384" s="17" t="str">
        <f>IF(NOT(ISBLANK(Audit[[#This Row],[Audit Candidate 10]])), Audit[[#This Row],[Audit Candidate 10]]-Audit[[#This Row],[Candidate 10]], "")</f>
        <v/>
      </c>
      <c r="AO384" s="17" t="str">
        <f>IF(NOT(ISBLANK(Audit[[#This Row],[Audit Candidate 11]])), Audit[[#This Row],[Audit Candidate 11]]-Audit[[#This Row],[Candidate 11]], "")</f>
        <v/>
      </c>
      <c r="AP384" s="17" t="str">
        <f>IF(NOT(ISBLANK(Audit[[#This Row],[Audit Candidate 12]])), Audit[[#This Row],[Audit Candidate 12]]-Audit[[#This Row],[Candidate 12]], "")</f>
        <v/>
      </c>
      <c r="AQ384" s="17">
        <f>SUMIF(Audit[[#This Row],[Difference Winner]:[Difference Candidate 12]], "&gt;0")</f>
        <v>0</v>
      </c>
      <c r="AR384" s="17">
        <f>SUM(Audit[[#This Row],[Difference Winner]:[Difference Candidate 12]])</f>
        <v>0</v>
      </c>
      <c r="AS384" s="17">
        <f>IF(Audit[[#This Row],[Times p Drawn - With Replacement]]&gt;0, IF(Audit[[#This Row],[Canceled Differences]]&lt;0, Audit[[#This Row],[Max Differences]]+ABS(Audit[[#This Row],[Canceled Differences]]), Audit[[#This Row],[Max Differences]]), 0)</f>
        <v>0</v>
      </c>
      <c r="AT384" s="17">
        <f>'Sampling Data'!AB384</f>
        <v>3.3950093362756749E-3</v>
      </c>
      <c r="AU384" s="17">
        <f>IF(
      SUM(Audit[[#This Row],[Audit Losing Candidate]:[Audit Candidate 12]])
      &lt;&gt;0,
      (Audit[[#This Row],[Winning Candidate]]-Audit[[#This Row],[Losing Candidate]]-(Audit[[#This Row],[Audit Winning Candidate]]-Audit[[#This Row],[Audit Losing Candidate]]))/(Audit[[#Totals],[Winning Candidate]]-Audit[[#Totals],[Losing Candidate]]),
      0
)</f>
        <v>0</v>
      </c>
      <c r="AV3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4" s="17">
        <f>IF(Audit[[#This Row],[Max Relative Error (ep)]] = 0, 0, Audit[[#This Row],[Max Relative Error (ep)]]/Audit[[#This Row],[Error Bound (up) - Max. possible relative overstatement]])</f>
        <v>0</v>
      </c>
      <c r="BH3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84" s="17">
        <f t="shared" si="6"/>
        <v>1</v>
      </c>
      <c r="BJ384" s="17">
        <f>PRODUCT($BI$5:BI384)</f>
        <v>0.46283459046185416</v>
      </c>
      <c r="BK384" s="19">
        <f>1 - Audit[[#This Row],[K-M P Value]]</f>
        <v>0.53716540953814584</v>
      </c>
      <c r="BL384" s="17" t="str">
        <f>IF(Audit[[#This Row],[K-M P Value]]&gt;1-'General Info'!$B$12,"Continue", "Stop")</f>
        <v>Continue</v>
      </c>
      <c r="BM384" s="22" t="b">
        <f>IF(Audit[[#This Row],[Status - Continue or stop audit]] = "Continue", TRUE, IF(BL383 = "Continue", TRUE, FALSE))</f>
        <v>1</v>
      </c>
      <c r="BN384" s="22"/>
    </row>
    <row r="385" spans="1:66" ht="15" hidden="1" customHeight="1" x14ac:dyDescent="0.35">
      <c r="A385" s="17" t="str">
        <f>'Sampling Data'!AI385</f>
        <v/>
      </c>
      <c r="B385" s="17" t="str">
        <f>'Sampling Data'!A385</f>
        <v>5933 COLE GG   (AV)</v>
      </c>
      <c r="C385" s="17">
        <f>'Sampling Data'!B385</f>
        <v>169</v>
      </c>
      <c r="D385" s="17">
        <f>'Sampling Data'!C385</f>
        <v>120</v>
      </c>
      <c r="E385" s="18">
        <f>'Sampling Data'!D385</f>
        <v>0</v>
      </c>
      <c r="F385" s="18">
        <f>'Sampling Data'!E385</f>
        <v>0</v>
      </c>
      <c r="G385" s="18">
        <f>'Sampling Data'!F385</f>
        <v>0</v>
      </c>
      <c r="H385" s="18">
        <f>'Sampling Data'!G385</f>
        <v>0</v>
      </c>
      <c r="I385" s="18">
        <f>'Sampling Data'!H385</f>
        <v>0</v>
      </c>
      <c r="J385" s="18">
        <f>'Sampling Data'!I385</f>
        <v>0</v>
      </c>
      <c r="K385" s="18">
        <f>'Sampling Data'!J385</f>
        <v>0</v>
      </c>
      <c r="L385" s="18">
        <f>'Sampling Data'!K385</f>
        <v>0</v>
      </c>
      <c r="M385" s="18">
        <f>'Sampling Data'!L385</f>
        <v>0</v>
      </c>
      <c r="N385" s="18">
        <f>'Sampling Data'!M385</f>
        <v>0</v>
      </c>
      <c r="O385" s="17">
        <f>'Sampling Data'!N385</f>
        <v>0</v>
      </c>
      <c r="P385" s="17">
        <f>'Sampling Data'!O385</f>
        <v>9</v>
      </c>
      <c r="Q385" s="17">
        <f>'Sampling Data'!P385</f>
        <v>298</v>
      </c>
      <c r="R385" s="17">
        <f>'Sampling Data'!AJ385</f>
        <v>0</v>
      </c>
      <c r="S385" s="111"/>
      <c r="T385" s="111"/>
      <c r="U385" s="112"/>
      <c r="V385" s="112"/>
      <c r="W385" s="111"/>
      <c r="X385" s="111"/>
      <c r="Y385" s="111"/>
      <c r="Z385" s="111"/>
      <c r="AA385" s="14"/>
      <c r="AB385" s="14"/>
      <c r="AC385" s="14"/>
      <c r="AD385" s="14"/>
      <c r="AE385" s="113" t="str">
        <f>IF(NOT(ISBLANK(Audit[[#This Row],[Audit Winning Candidate]])), Audit[[#This Row],[Audit Winning Candidate]]-Audit[[#This Row],[Winning Candidate]], "")</f>
        <v/>
      </c>
      <c r="AF385" s="17" t="str">
        <f>IF(NOT(ISBLANK(Audit[[#This Row],[Audit Losing Candidate]])), Audit[[#This Row],[Audit Losing Candidate]]-Audit[[#This Row],[Losing Candidate]], "")</f>
        <v/>
      </c>
      <c r="AG385" s="17" t="str">
        <f>IF(NOT(ISBLANK(Audit[[#This Row],[Audit Candidate 3]])), Audit[[#This Row],[Audit Candidate 3]]-Audit[[#This Row],[Candidate 3]], "")</f>
        <v/>
      </c>
      <c r="AH385" s="17" t="str">
        <f>IF(NOT(ISBLANK(Audit[[#This Row],[Audit Candidate 4]])),Audit[[#This Row],[Audit Candidate 4]]-Audit[[#This Row],[Candidate 4]], "")</f>
        <v/>
      </c>
      <c r="AI385" s="17" t="str">
        <f>IF(NOT(ISBLANK(Audit[[#This Row],[Audit Candidate 5]])), Audit[[#This Row],[Audit Candidate 5]]-Audit[[#This Row],[Candidate 5]], "")</f>
        <v/>
      </c>
      <c r="AJ385" s="17" t="str">
        <f>IF(NOT(ISBLANK(Audit[[#This Row],[Audit Candidate 6]])), Audit[[#This Row],[Audit Candidate 6]]-Audit[[#This Row],[Candidate 6]], "")</f>
        <v/>
      </c>
      <c r="AK385" s="17" t="str">
        <f>IF(NOT(ISBLANK(Audit[[#This Row],[Audit Candidate 7]])), Audit[[#This Row],[Audit Candidate 7]]-Audit[[#This Row],[Candidate 7]], "")</f>
        <v/>
      </c>
      <c r="AL385" s="17" t="str">
        <f>IF(NOT(ISBLANK(Audit[[#This Row],[Audit Candidate 8]])), Audit[[#This Row],[Audit Candidate 8]]-Audit[[#This Row],[Candidate 8]], "")</f>
        <v/>
      </c>
      <c r="AM385" s="17" t="str">
        <f>IF(NOT(ISBLANK(Audit[[#This Row],[Audit Candidate 9]])), Audit[[#This Row],[Audit Candidate 9]]-Audit[[#This Row],[Candidate 9]], "")</f>
        <v/>
      </c>
      <c r="AN385" s="17" t="str">
        <f>IF(NOT(ISBLANK(Audit[[#This Row],[Audit Candidate 10]])), Audit[[#This Row],[Audit Candidate 10]]-Audit[[#This Row],[Candidate 10]], "")</f>
        <v/>
      </c>
      <c r="AO385" s="17" t="str">
        <f>IF(NOT(ISBLANK(Audit[[#This Row],[Audit Candidate 11]])), Audit[[#This Row],[Audit Candidate 11]]-Audit[[#This Row],[Candidate 11]], "")</f>
        <v/>
      </c>
      <c r="AP385" s="17" t="str">
        <f>IF(NOT(ISBLANK(Audit[[#This Row],[Audit Candidate 12]])), Audit[[#This Row],[Audit Candidate 12]]-Audit[[#This Row],[Candidate 12]], "")</f>
        <v/>
      </c>
      <c r="AQ385" s="17">
        <f>SUMIF(Audit[[#This Row],[Difference Winner]:[Difference Candidate 12]], "&gt;0")</f>
        <v>0</v>
      </c>
      <c r="AR385" s="17">
        <f>SUM(Audit[[#This Row],[Difference Winner]:[Difference Candidate 12]])</f>
        <v>0</v>
      </c>
      <c r="AS385" s="17">
        <f>IF(Audit[[#This Row],[Times p Drawn - With Replacement]]&gt;0, IF(Audit[[#This Row],[Canceled Differences]]&lt;0, Audit[[#This Row],[Max Differences]]+ABS(Audit[[#This Row],[Canceled Differences]]), Audit[[#This Row],[Max Differences]]), 0)</f>
        <v>0</v>
      </c>
      <c r="AT385" s="17">
        <f>'Sampling Data'!AB385</f>
        <v>1.472585299609574E-2</v>
      </c>
      <c r="AU385" s="17">
        <f>IF(
      SUM(Audit[[#This Row],[Audit Losing Candidate]:[Audit Candidate 12]])
      &lt;&gt;0,
      (Audit[[#This Row],[Winning Candidate]]-Audit[[#This Row],[Losing Candidate]]-(Audit[[#This Row],[Audit Winning Candidate]]-Audit[[#This Row],[Audit Losing Candidate]]))/(Audit[[#Totals],[Winning Candidate]]-Audit[[#Totals],[Losing Candidate]]),
      0
)</f>
        <v>0</v>
      </c>
      <c r="AV3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5" s="17">
        <f>IF(Audit[[#This Row],[Max Relative Error (ep)]] = 0, 0, Audit[[#This Row],[Max Relative Error (ep)]]/Audit[[#This Row],[Error Bound (up) - Max. possible relative overstatement]])</f>
        <v>0</v>
      </c>
      <c r="BH3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85" s="17">
        <f t="shared" si="6"/>
        <v>1</v>
      </c>
      <c r="BJ385" s="17">
        <f>PRODUCT($BI$5:BI385)</f>
        <v>0.46283459046185416</v>
      </c>
      <c r="BK385" s="19">
        <f>1 - Audit[[#This Row],[K-M P Value]]</f>
        <v>0.53716540953814584</v>
      </c>
      <c r="BL385" s="17" t="str">
        <f>IF(Audit[[#This Row],[K-M P Value]]&gt;1-'General Info'!$B$12,"Continue", "Stop")</f>
        <v>Continue</v>
      </c>
      <c r="BM385" s="22" t="b">
        <f>IF(Audit[[#This Row],[Status - Continue or stop audit]] = "Continue", TRUE, IF(BL384 = "Continue", TRUE, FALSE))</f>
        <v>1</v>
      </c>
      <c r="BN385" s="22"/>
    </row>
    <row r="386" spans="1:66" ht="15" hidden="1" customHeight="1" x14ac:dyDescent="0.35">
      <c r="A386" s="17" t="str">
        <f>'Sampling Data'!AI386</f>
        <v/>
      </c>
      <c r="B386" s="17" t="str">
        <f>'Sampling Data'!A386</f>
        <v>5934 COLE HH   (AV)</v>
      </c>
      <c r="C386" s="17">
        <f>'Sampling Data'!B386</f>
        <v>135</v>
      </c>
      <c r="D386" s="17">
        <f>'Sampling Data'!C386</f>
        <v>86</v>
      </c>
      <c r="E386" s="18">
        <f>'Sampling Data'!D386</f>
        <v>0</v>
      </c>
      <c r="F386" s="18">
        <f>'Sampling Data'!E386</f>
        <v>0</v>
      </c>
      <c r="G386" s="18">
        <f>'Sampling Data'!F386</f>
        <v>0</v>
      </c>
      <c r="H386" s="18">
        <f>'Sampling Data'!G386</f>
        <v>0</v>
      </c>
      <c r="I386" s="18">
        <f>'Sampling Data'!H386</f>
        <v>0</v>
      </c>
      <c r="J386" s="18">
        <f>'Sampling Data'!I386</f>
        <v>0</v>
      </c>
      <c r="K386" s="18">
        <f>'Sampling Data'!J386</f>
        <v>0</v>
      </c>
      <c r="L386" s="18">
        <f>'Sampling Data'!K386</f>
        <v>0</v>
      </c>
      <c r="M386" s="18">
        <f>'Sampling Data'!L386</f>
        <v>0</v>
      </c>
      <c r="N386" s="18">
        <f>'Sampling Data'!M386</f>
        <v>0</v>
      </c>
      <c r="O386" s="17">
        <f>'Sampling Data'!N386</f>
        <v>1</v>
      </c>
      <c r="P386" s="17">
        <f>'Sampling Data'!O386</f>
        <v>12</v>
      </c>
      <c r="Q386" s="17">
        <f>'Sampling Data'!P386</f>
        <v>234</v>
      </c>
      <c r="R386" s="17">
        <f>'Sampling Data'!AJ386</f>
        <v>0</v>
      </c>
      <c r="S386" s="111"/>
      <c r="T386" s="111"/>
      <c r="U386" s="112"/>
      <c r="V386" s="112"/>
      <c r="W386" s="111"/>
      <c r="X386" s="111"/>
      <c r="Y386" s="111"/>
      <c r="Z386" s="111"/>
      <c r="AA386" s="14"/>
      <c r="AB386" s="14"/>
      <c r="AC386" s="14"/>
      <c r="AD386" s="14"/>
      <c r="AE386" s="113" t="str">
        <f>IF(NOT(ISBLANK(Audit[[#This Row],[Audit Winning Candidate]])), Audit[[#This Row],[Audit Winning Candidate]]-Audit[[#This Row],[Winning Candidate]], "")</f>
        <v/>
      </c>
      <c r="AF386" s="17" t="str">
        <f>IF(NOT(ISBLANK(Audit[[#This Row],[Audit Losing Candidate]])), Audit[[#This Row],[Audit Losing Candidate]]-Audit[[#This Row],[Losing Candidate]], "")</f>
        <v/>
      </c>
      <c r="AG386" s="17" t="str">
        <f>IF(NOT(ISBLANK(Audit[[#This Row],[Audit Candidate 3]])), Audit[[#This Row],[Audit Candidate 3]]-Audit[[#This Row],[Candidate 3]], "")</f>
        <v/>
      </c>
      <c r="AH386" s="17" t="str">
        <f>IF(NOT(ISBLANK(Audit[[#This Row],[Audit Candidate 4]])),Audit[[#This Row],[Audit Candidate 4]]-Audit[[#This Row],[Candidate 4]], "")</f>
        <v/>
      </c>
      <c r="AI386" s="17" t="str">
        <f>IF(NOT(ISBLANK(Audit[[#This Row],[Audit Candidate 5]])), Audit[[#This Row],[Audit Candidate 5]]-Audit[[#This Row],[Candidate 5]], "")</f>
        <v/>
      </c>
      <c r="AJ386" s="17" t="str">
        <f>IF(NOT(ISBLANK(Audit[[#This Row],[Audit Candidate 6]])), Audit[[#This Row],[Audit Candidate 6]]-Audit[[#This Row],[Candidate 6]], "")</f>
        <v/>
      </c>
      <c r="AK386" s="17" t="str">
        <f>IF(NOT(ISBLANK(Audit[[#This Row],[Audit Candidate 7]])), Audit[[#This Row],[Audit Candidate 7]]-Audit[[#This Row],[Candidate 7]], "")</f>
        <v/>
      </c>
      <c r="AL386" s="17" t="str">
        <f>IF(NOT(ISBLANK(Audit[[#This Row],[Audit Candidate 8]])), Audit[[#This Row],[Audit Candidate 8]]-Audit[[#This Row],[Candidate 8]], "")</f>
        <v/>
      </c>
      <c r="AM386" s="17" t="str">
        <f>IF(NOT(ISBLANK(Audit[[#This Row],[Audit Candidate 9]])), Audit[[#This Row],[Audit Candidate 9]]-Audit[[#This Row],[Candidate 9]], "")</f>
        <v/>
      </c>
      <c r="AN386" s="17" t="str">
        <f>IF(NOT(ISBLANK(Audit[[#This Row],[Audit Candidate 10]])), Audit[[#This Row],[Audit Candidate 10]]-Audit[[#This Row],[Candidate 10]], "")</f>
        <v/>
      </c>
      <c r="AO386" s="17" t="str">
        <f>IF(NOT(ISBLANK(Audit[[#This Row],[Audit Candidate 11]])), Audit[[#This Row],[Audit Candidate 11]]-Audit[[#This Row],[Candidate 11]], "")</f>
        <v/>
      </c>
      <c r="AP386" s="17" t="str">
        <f>IF(NOT(ISBLANK(Audit[[#This Row],[Audit Candidate 12]])), Audit[[#This Row],[Audit Candidate 12]]-Audit[[#This Row],[Candidate 12]], "")</f>
        <v/>
      </c>
      <c r="AQ386" s="17">
        <f>SUMIF(Audit[[#This Row],[Difference Winner]:[Difference Candidate 12]], "&gt;0")</f>
        <v>0</v>
      </c>
      <c r="AR386" s="17">
        <f>SUM(Audit[[#This Row],[Difference Winner]:[Difference Candidate 12]])</f>
        <v>0</v>
      </c>
      <c r="AS386" s="17">
        <f>IF(Audit[[#This Row],[Times p Drawn - With Replacement]]&gt;0, IF(Audit[[#This Row],[Canceled Differences]]&lt;0, Audit[[#This Row],[Max Differences]]+ABS(Audit[[#This Row],[Canceled Differences]]), Audit[[#This Row],[Max Differences]]), 0)</f>
        <v>0</v>
      </c>
      <c r="AT386" s="17">
        <f>'Sampling Data'!AB386</f>
        <v>1.2009845527075199E-2</v>
      </c>
      <c r="AU386" s="17">
        <f>IF(
      SUM(Audit[[#This Row],[Audit Losing Candidate]:[Audit Candidate 12]])
      &lt;&gt;0,
      (Audit[[#This Row],[Winning Candidate]]-Audit[[#This Row],[Losing Candidate]]-(Audit[[#This Row],[Audit Winning Candidate]]-Audit[[#This Row],[Audit Losing Candidate]]))/(Audit[[#Totals],[Winning Candidate]]-Audit[[#Totals],[Losing Candidate]]),
      0
)</f>
        <v>0</v>
      </c>
      <c r="AV3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6" s="17">
        <f>IF(Audit[[#This Row],[Max Relative Error (ep)]] = 0, 0, Audit[[#This Row],[Max Relative Error (ep)]]/Audit[[#This Row],[Error Bound (up) - Max. possible relative overstatement]])</f>
        <v>0</v>
      </c>
      <c r="BH3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86" s="17">
        <f t="shared" si="6"/>
        <v>1</v>
      </c>
      <c r="BJ386" s="17">
        <f>PRODUCT($BI$5:BI386)</f>
        <v>0.46283459046185416</v>
      </c>
      <c r="BK386" s="19">
        <f>1 - Audit[[#This Row],[K-M P Value]]</f>
        <v>0.53716540953814584</v>
      </c>
      <c r="BL386" s="17" t="str">
        <f>IF(Audit[[#This Row],[K-M P Value]]&gt;1-'General Info'!$B$12,"Continue", "Stop")</f>
        <v>Continue</v>
      </c>
      <c r="BM386" s="22" t="b">
        <f>IF(Audit[[#This Row],[Status - Continue or stop audit]] = "Continue", TRUE, IF(BL385 = "Continue", TRUE, FALSE))</f>
        <v>1</v>
      </c>
      <c r="BN386" s="22"/>
    </row>
    <row r="387" spans="1:66" ht="15" hidden="1" customHeight="1" x14ac:dyDescent="0.35">
      <c r="A387" s="17" t="str">
        <f>'Sampling Data'!AI387</f>
        <v/>
      </c>
      <c r="B387" s="17" t="str">
        <f>'Sampling Data'!A387</f>
        <v>5935 COLE II   (AV)</v>
      </c>
      <c r="C387" s="17">
        <f>'Sampling Data'!B387</f>
        <v>39</v>
      </c>
      <c r="D387" s="17">
        <f>'Sampling Data'!C387</f>
        <v>35</v>
      </c>
      <c r="E387" s="18">
        <f>'Sampling Data'!D387</f>
        <v>0</v>
      </c>
      <c r="F387" s="18">
        <f>'Sampling Data'!E387</f>
        <v>0</v>
      </c>
      <c r="G387" s="18">
        <f>'Sampling Data'!F387</f>
        <v>0</v>
      </c>
      <c r="H387" s="18">
        <f>'Sampling Data'!G387</f>
        <v>0</v>
      </c>
      <c r="I387" s="18">
        <f>'Sampling Data'!H387</f>
        <v>0</v>
      </c>
      <c r="J387" s="18">
        <f>'Sampling Data'!I387</f>
        <v>0</v>
      </c>
      <c r="K387" s="18">
        <f>'Sampling Data'!J387</f>
        <v>0</v>
      </c>
      <c r="L387" s="18">
        <f>'Sampling Data'!K387</f>
        <v>0</v>
      </c>
      <c r="M387" s="18">
        <f>'Sampling Data'!L387</f>
        <v>0</v>
      </c>
      <c r="N387" s="18">
        <f>'Sampling Data'!M387</f>
        <v>0</v>
      </c>
      <c r="O387" s="17">
        <f>'Sampling Data'!N387</f>
        <v>0</v>
      </c>
      <c r="P387" s="17">
        <f>'Sampling Data'!O387</f>
        <v>5</v>
      </c>
      <c r="Q387" s="17">
        <f>'Sampling Data'!P387</f>
        <v>79</v>
      </c>
      <c r="R387" s="17">
        <f>'Sampling Data'!AJ387</f>
        <v>0</v>
      </c>
      <c r="S387" s="111"/>
      <c r="T387" s="111"/>
      <c r="U387" s="112"/>
      <c r="V387" s="112"/>
      <c r="W387" s="111"/>
      <c r="X387" s="111"/>
      <c r="Y387" s="111"/>
      <c r="Z387" s="111"/>
      <c r="AA387" s="14"/>
      <c r="AB387" s="14"/>
      <c r="AC387" s="14"/>
      <c r="AD387" s="14"/>
      <c r="AE387" s="113" t="str">
        <f>IF(NOT(ISBLANK(Audit[[#This Row],[Audit Winning Candidate]])), Audit[[#This Row],[Audit Winning Candidate]]-Audit[[#This Row],[Winning Candidate]], "")</f>
        <v/>
      </c>
      <c r="AF387" s="17" t="str">
        <f>IF(NOT(ISBLANK(Audit[[#This Row],[Audit Losing Candidate]])), Audit[[#This Row],[Audit Losing Candidate]]-Audit[[#This Row],[Losing Candidate]], "")</f>
        <v/>
      </c>
      <c r="AG387" s="17" t="str">
        <f>IF(NOT(ISBLANK(Audit[[#This Row],[Audit Candidate 3]])), Audit[[#This Row],[Audit Candidate 3]]-Audit[[#This Row],[Candidate 3]], "")</f>
        <v/>
      </c>
      <c r="AH387" s="17" t="str">
        <f>IF(NOT(ISBLANK(Audit[[#This Row],[Audit Candidate 4]])),Audit[[#This Row],[Audit Candidate 4]]-Audit[[#This Row],[Candidate 4]], "")</f>
        <v/>
      </c>
      <c r="AI387" s="17" t="str">
        <f>IF(NOT(ISBLANK(Audit[[#This Row],[Audit Candidate 5]])), Audit[[#This Row],[Audit Candidate 5]]-Audit[[#This Row],[Candidate 5]], "")</f>
        <v/>
      </c>
      <c r="AJ387" s="17" t="str">
        <f>IF(NOT(ISBLANK(Audit[[#This Row],[Audit Candidate 6]])), Audit[[#This Row],[Audit Candidate 6]]-Audit[[#This Row],[Candidate 6]], "")</f>
        <v/>
      </c>
      <c r="AK387" s="17" t="str">
        <f>IF(NOT(ISBLANK(Audit[[#This Row],[Audit Candidate 7]])), Audit[[#This Row],[Audit Candidate 7]]-Audit[[#This Row],[Candidate 7]], "")</f>
        <v/>
      </c>
      <c r="AL387" s="17" t="str">
        <f>IF(NOT(ISBLANK(Audit[[#This Row],[Audit Candidate 8]])), Audit[[#This Row],[Audit Candidate 8]]-Audit[[#This Row],[Candidate 8]], "")</f>
        <v/>
      </c>
      <c r="AM387" s="17" t="str">
        <f>IF(NOT(ISBLANK(Audit[[#This Row],[Audit Candidate 9]])), Audit[[#This Row],[Audit Candidate 9]]-Audit[[#This Row],[Candidate 9]], "")</f>
        <v/>
      </c>
      <c r="AN387" s="17" t="str">
        <f>IF(NOT(ISBLANK(Audit[[#This Row],[Audit Candidate 10]])), Audit[[#This Row],[Audit Candidate 10]]-Audit[[#This Row],[Candidate 10]], "")</f>
        <v/>
      </c>
      <c r="AO387" s="17" t="str">
        <f>IF(NOT(ISBLANK(Audit[[#This Row],[Audit Candidate 11]])), Audit[[#This Row],[Audit Candidate 11]]-Audit[[#This Row],[Candidate 11]], "")</f>
        <v/>
      </c>
      <c r="AP387" s="17" t="str">
        <f>IF(NOT(ISBLANK(Audit[[#This Row],[Audit Candidate 12]])), Audit[[#This Row],[Audit Candidate 12]]-Audit[[#This Row],[Candidate 12]], "")</f>
        <v/>
      </c>
      <c r="AQ387" s="17">
        <f>SUMIF(Audit[[#This Row],[Difference Winner]:[Difference Candidate 12]], "&gt;0")</f>
        <v>0</v>
      </c>
      <c r="AR387" s="17">
        <f>SUM(Audit[[#This Row],[Difference Winner]:[Difference Candidate 12]])</f>
        <v>0</v>
      </c>
      <c r="AS387" s="17">
        <f>IF(Audit[[#This Row],[Times p Drawn - With Replacement]]&gt;0, IF(Audit[[#This Row],[Canceled Differences]]&lt;0, Audit[[#This Row],[Max Differences]]+ABS(Audit[[#This Row],[Canceled Differences]]), Audit[[#This Row],[Max Differences]]), 0)</f>
        <v>0</v>
      </c>
      <c r="AT387" s="17">
        <f>'Sampling Data'!AB387</f>
        <v>3.5223221863860126E-3</v>
      </c>
      <c r="AU387" s="17">
        <f>IF(
      SUM(Audit[[#This Row],[Audit Losing Candidate]:[Audit Candidate 12]])
      &lt;&gt;0,
      (Audit[[#This Row],[Winning Candidate]]-Audit[[#This Row],[Losing Candidate]]-(Audit[[#This Row],[Audit Winning Candidate]]-Audit[[#This Row],[Audit Losing Candidate]]))/(Audit[[#Totals],[Winning Candidate]]-Audit[[#Totals],[Losing Candidate]]),
      0
)</f>
        <v>0</v>
      </c>
      <c r="AV3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7" s="17">
        <f>IF(Audit[[#This Row],[Max Relative Error (ep)]] = 0, 0, Audit[[#This Row],[Max Relative Error (ep)]]/Audit[[#This Row],[Error Bound (up) - Max. possible relative overstatement]])</f>
        <v>0</v>
      </c>
      <c r="BH3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87" s="17">
        <f t="shared" si="6"/>
        <v>1</v>
      </c>
      <c r="BJ387" s="17">
        <f>PRODUCT($BI$5:BI387)</f>
        <v>0.46283459046185416</v>
      </c>
      <c r="BK387" s="19">
        <f>1 - Audit[[#This Row],[K-M P Value]]</f>
        <v>0.53716540953814584</v>
      </c>
      <c r="BL387" s="17" t="str">
        <f>IF(Audit[[#This Row],[K-M P Value]]&gt;1-'General Info'!$B$12,"Continue", "Stop")</f>
        <v>Continue</v>
      </c>
      <c r="BM387" s="22" t="b">
        <f>IF(Audit[[#This Row],[Status - Continue or stop audit]] = "Continue", TRUE, IF(BL386 = "Continue", TRUE, FALSE))</f>
        <v>1</v>
      </c>
      <c r="BN387" s="22"/>
    </row>
    <row r="388" spans="1:66" ht="15" hidden="1" customHeight="1" x14ac:dyDescent="0.35">
      <c r="A388" s="17" t="str">
        <f>'Sampling Data'!AI388</f>
        <v/>
      </c>
      <c r="B388" s="17" t="str">
        <f>'Sampling Data'!A388</f>
        <v>5936 COLE JJ   (AV)</v>
      </c>
      <c r="C388" s="17">
        <f>'Sampling Data'!B388</f>
        <v>123</v>
      </c>
      <c r="D388" s="17">
        <f>'Sampling Data'!C388</f>
        <v>100</v>
      </c>
      <c r="E388" s="18">
        <f>'Sampling Data'!D388</f>
        <v>0</v>
      </c>
      <c r="F388" s="18">
        <f>'Sampling Data'!E388</f>
        <v>0</v>
      </c>
      <c r="G388" s="18">
        <f>'Sampling Data'!F388</f>
        <v>0</v>
      </c>
      <c r="H388" s="18">
        <f>'Sampling Data'!G388</f>
        <v>0</v>
      </c>
      <c r="I388" s="18">
        <f>'Sampling Data'!H388</f>
        <v>0</v>
      </c>
      <c r="J388" s="18">
        <f>'Sampling Data'!I388</f>
        <v>0</v>
      </c>
      <c r="K388" s="18">
        <f>'Sampling Data'!J388</f>
        <v>0</v>
      </c>
      <c r="L388" s="18">
        <f>'Sampling Data'!K388</f>
        <v>0</v>
      </c>
      <c r="M388" s="18">
        <f>'Sampling Data'!L388</f>
        <v>0</v>
      </c>
      <c r="N388" s="18">
        <f>'Sampling Data'!M388</f>
        <v>0</v>
      </c>
      <c r="O388" s="17">
        <f>'Sampling Data'!N388</f>
        <v>0</v>
      </c>
      <c r="P388" s="17">
        <f>'Sampling Data'!O388</f>
        <v>10</v>
      </c>
      <c r="Q388" s="17">
        <f>'Sampling Data'!P388</f>
        <v>233</v>
      </c>
      <c r="R388" s="17">
        <f>'Sampling Data'!AJ388</f>
        <v>0</v>
      </c>
      <c r="S388" s="111"/>
      <c r="T388" s="111"/>
      <c r="U388" s="112"/>
      <c r="V388" s="112"/>
      <c r="W388" s="111"/>
      <c r="X388" s="111"/>
      <c r="Y388" s="111"/>
      <c r="Z388" s="111"/>
      <c r="AA388" s="14"/>
      <c r="AB388" s="14"/>
      <c r="AC388" s="14"/>
      <c r="AD388" s="14"/>
      <c r="AE388" s="113" t="str">
        <f>IF(NOT(ISBLANK(Audit[[#This Row],[Audit Winning Candidate]])), Audit[[#This Row],[Audit Winning Candidate]]-Audit[[#This Row],[Winning Candidate]], "")</f>
        <v/>
      </c>
      <c r="AF388" s="17" t="str">
        <f>IF(NOT(ISBLANK(Audit[[#This Row],[Audit Losing Candidate]])), Audit[[#This Row],[Audit Losing Candidate]]-Audit[[#This Row],[Losing Candidate]], "")</f>
        <v/>
      </c>
      <c r="AG388" s="17" t="str">
        <f>IF(NOT(ISBLANK(Audit[[#This Row],[Audit Candidate 3]])), Audit[[#This Row],[Audit Candidate 3]]-Audit[[#This Row],[Candidate 3]], "")</f>
        <v/>
      </c>
      <c r="AH388" s="17" t="str">
        <f>IF(NOT(ISBLANK(Audit[[#This Row],[Audit Candidate 4]])),Audit[[#This Row],[Audit Candidate 4]]-Audit[[#This Row],[Candidate 4]], "")</f>
        <v/>
      </c>
      <c r="AI388" s="17" t="str">
        <f>IF(NOT(ISBLANK(Audit[[#This Row],[Audit Candidate 5]])), Audit[[#This Row],[Audit Candidate 5]]-Audit[[#This Row],[Candidate 5]], "")</f>
        <v/>
      </c>
      <c r="AJ388" s="17" t="str">
        <f>IF(NOT(ISBLANK(Audit[[#This Row],[Audit Candidate 6]])), Audit[[#This Row],[Audit Candidate 6]]-Audit[[#This Row],[Candidate 6]], "")</f>
        <v/>
      </c>
      <c r="AK388" s="17" t="str">
        <f>IF(NOT(ISBLANK(Audit[[#This Row],[Audit Candidate 7]])), Audit[[#This Row],[Audit Candidate 7]]-Audit[[#This Row],[Candidate 7]], "")</f>
        <v/>
      </c>
      <c r="AL388" s="17" t="str">
        <f>IF(NOT(ISBLANK(Audit[[#This Row],[Audit Candidate 8]])), Audit[[#This Row],[Audit Candidate 8]]-Audit[[#This Row],[Candidate 8]], "")</f>
        <v/>
      </c>
      <c r="AM388" s="17" t="str">
        <f>IF(NOT(ISBLANK(Audit[[#This Row],[Audit Candidate 9]])), Audit[[#This Row],[Audit Candidate 9]]-Audit[[#This Row],[Candidate 9]], "")</f>
        <v/>
      </c>
      <c r="AN388" s="17" t="str">
        <f>IF(NOT(ISBLANK(Audit[[#This Row],[Audit Candidate 10]])), Audit[[#This Row],[Audit Candidate 10]]-Audit[[#This Row],[Candidate 10]], "")</f>
        <v/>
      </c>
      <c r="AO388" s="17" t="str">
        <f>IF(NOT(ISBLANK(Audit[[#This Row],[Audit Candidate 11]])), Audit[[#This Row],[Audit Candidate 11]]-Audit[[#This Row],[Candidate 11]], "")</f>
        <v/>
      </c>
      <c r="AP388" s="17" t="str">
        <f>IF(NOT(ISBLANK(Audit[[#This Row],[Audit Candidate 12]])), Audit[[#This Row],[Audit Candidate 12]]-Audit[[#This Row],[Candidate 12]], "")</f>
        <v/>
      </c>
      <c r="AQ388" s="17">
        <f>SUMIF(Audit[[#This Row],[Difference Winner]:[Difference Candidate 12]], "&gt;0")</f>
        <v>0</v>
      </c>
      <c r="AR388" s="17">
        <f>SUM(Audit[[#This Row],[Difference Winner]:[Difference Candidate 12]])</f>
        <v>0</v>
      </c>
      <c r="AS388" s="17">
        <f>IF(Audit[[#This Row],[Times p Drawn - With Replacement]]&gt;0, IF(Audit[[#This Row],[Canceled Differences]]&lt;0, Audit[[#This Row],[Max Differences]]+ABS(Audit[[#This Row],[Canceled Differences]]), Audit[[#This Row],[Max Differences]]), 0)</f>
        <v>0</v>
      </c>
      <c r="AT388" s="17">
        <f>'Sampling Data'!AB388</f>
        <v>1.0864029876082159E-2</v>
      </c>
      <c r="AU388" s="17">
        <f>IF(
      SUM(Audit[[#This Row],[Audit Losing Candidate]:[Audit Candidate 12]])
      &lt;&gt;0,
      (Audit[[#This Row],[Winning Candidate]]-Audit[[#This Row],[Losing Candidate]]-(Audit[[#This Row],[Audit Winning Candidate]]-Audit[[#This Row],[Audit Losing Candidate]]))/(Audit[[#Totals],[Winning Candidate]]-Audit[[#Totals],[Losing Candidate]]),
      0
)</f>
        <v>0</v>
      </c>
      <c r="AV3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8" s="17">
        <f>IF(Audit[[#This Row],[Max Relative Error (ep)]] = 0, 0, Audit[[#This Row],[Max Relative Error (ep)]]/Audit[[#This Row],[Error Bound (up) - Max. possible relative overstatement]])</f>
        <v>0</v>
      </c>
      <c r="BH3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88" s="17">
        <f t="shared" si="6"/>
        <v>1</v>
      </c>
      <c r="BJ388" s="17">
        <f>PRODUCT($BI$5:BI388)</f>
        <v>0.46283459046185416</v>
      </c>
      <c r="BK388" s="19">
        <f>1 - Audit[[#This Row],[K-M P Value]]</f>
        <v>0.53716540953814584</v>
      </c>
      <c r="BL388" s="17" t="str">
        <f>IF(Audit[[#This Row],[K-M P Value]]&gt;1-'General Info'!$B$12,"Continue", "Stop")</f>
        <v>Continue</v>
      </c>
      <c r="BM388" s="22" t="b">
        <f>IF(Audit[[#This Row],[Status - Continue or stop audit]] = "Continue", TRUE, IF(BL387 = "Continue", TRUE, FALSE))</f>
        <v>1</v>
      </c>
      <c r="BN388" s="22"/>
    </row>
    <row r="389" spans="1:66" ht="15" hidden="1" customHeight="1" x14ac:dyDescent="0.35">
      <c r="A389" s="17" t="str">
        <f>'Sampling Data'!AI389</f>
        <v/>
      </c>
      <c r="B389" s="17" t="str">
        <f>'Sampling Data'!A389</f>
        <v>5937 COLE KK   (AV)</v>
      </c>
      <c r="C389" s="17">
        <f>'Sampling Data'!B389</f>
        <v>256</v>
      </c>
      <c r="D389" s="17">
        <f>'Sampling Data'!C389</f>
        <v>114</v>
      </c>
      <c r="E389" s="18">
        <f>'Sampling Data'!D389</f>
        <v>0</v>
      </c>
      <c r="F389" s="18">
        <f>'Sampling Data'!E389</f>
        <v>0</v>
      </c>
      <c r="G389" s="18">
        <f>'Sampling Data'!F389</f>
        <v>0</v>
      </c>
      <c r="H389" s="18">
        <f>'Sampling Data'!G389</f>
        <v>0</v>
      </c>
      <c r="I389" s="18">
        <f>'Sampling Data'!H389</f>
        <v>0</v>
      </c>
      <c r="J389" s="18">
        <f>'Sampling Data'!I389</f>
        <v>0</v>
      </c>
      <c r="K389" s="18">
        <f>'Sampling Data'!J389</f>
        <v>0</v>
      </c>
      <c r="L389" s="18">
        <f>'Sampling Data'!K389</f>
        <v>0</v>
      </c>
      <c r="M389" s="18">
        <f>'Sampling Data'!L389</f>
        <v>0</v>
      </c>
      <c r="N389" s="18">
        <f>'Sampling Data'!M389</f>
        <v>0</v>
      </c>
      <c r="O389" s="17">
        <f>'Sampling Data'!N389</f>
        <v>0</v>
      </c>
      <c r="P389" s="17">
        <f>'Sampling Data'!O389</f>
        <v>16</v>
      </c>
      <c r="Q389" s="17">
        <f>'Sampling Data'!P389</f>
        <v>386</v>
      </c>
      <c r="R389" s="17">
        <f>'Sampling Data'!AJ389</f>
        <v>0</v>
      </c>
      <c r="S389" s="111"/>
      <c r="T389" s="111"/>
      <c r="U389" s="112"/>
      <c r="V389" s="112"/>
      <c r="W389" s="111"/>
      <c r="X389" s="111"/>
      <c r="Y389" s="111"/>
      <c r="Z389" s="111"/>
      <c r="AA389" s="14"/>
      <c r="AB389" s="14"/>
      <c r="AC389" s="14"/>
      <c r="AD389" s="14"/>
      <c r="AE389" s="113" t="str">
        <f>IF(NOT(ISBLANK(Audit[[#This Row],[Audit Winning Candidate]])), Audit[[#This Row],[Audit Winning Candidate]]-Audit[[#This Row],[Winning Candidate]], "")</f>
        <v/>
      </c>
      <c r="AF389" s="17" t="str">
        <f>IF(NOT(ISBLANK(Audit[[#This Row],[Audit Losing Candidate]])), Audit[[#This Row],[Audit Losing Candidate]]-Audit[[#This Row],[Losing Candidate]], "")</f>
        <v/>
      </c>
      <c r="AG389" s="17" t="str">
        <f>IF(NOT(ISBLANK(Audit[[#This Row],[Audit Candidate 3]])), Audit[[#This Row],[Audit Candidate 3]]-Audit[[#This Row],[Candidate 3]], "")</f>
        <v/>
      </c>
      <c r="AH389" s="17" t="str">
        <f>IF(NOT(ISBLANK(Audit[[#This Row],[Audit Candidate 4]])),Audit[[#This Row],[Audit Candidate 4]]-Audit[[#This Row],[Candidate 4]], "")</f>
        <v/>
      </c>
      <c r="AI389" s="17" t="str">
        <f>IF(NOT(ISBLANK(Audit[[#This Row],[Audit Candidate 5]])), Audit[[#This Row],[Audit Candidate 5]]-Audit[[#This Row],[Candidate 5]], "")</f>
        <v/>
      </c>
      <c r="AJ389" s="17" t="str">
        <f>IF(NOT(ISBLANK(Audit[[#This Row],[Audit Candidate 6]])), Audit[[#This Row],[Audit Candidate 6]]-Audit[[#This Row],[Candidate 6]], "")</f>
        <v/>
      </c>
      <c r="AK389" s="17" t="str">
        <f>IF(NOT(ISBLANK(Audit[[#This Row],[Audit Candidate 7]])), Audit[[#This Row],[Audit Candidate 7]]-Audit[[#This Row],[Candidate 7]], "")</f>
        <v/>
      </c>
      <c r="AL389" s="17" t="str">
        <f>IF(NOT(ISBLANK(Audit[[#This Row],[Audit Candidate 8]])), Audit[[#This Row],[Audit Candidate 8]]-Audit[[#This Row],[Candidate 8]], "")</f>
        <v/>
      </c>
      <c r="AM389" s="17" t="str">
        <f>IF(NOT(ISBLANK(Audit[[#This Row],[Audit Candidate 9]])), Audit[[#This Row],[Audit Candidate 9]]-Audit[[#This Row],[Candidate 9]], "")</f>
        <v/>
      </c>
      <c r="AN389" s="17" t="str">
        <f>IF(NOT(ISBLANK(Audit[[#This Row],[Audit Candidate 10]])), Audit[[#This Row],[Audit Candidate 10]]-Audit[[#This Row],[Candidate 10]], "")</f>
        <v/>
      </c>
      <c r="AO389" s="17" t="str">
        <f>IF(NOT(ISBLANK(Audit[[#This Row],[Audit Candidate 11]])), Audit[[#This Row],[Audit Candidate 11]]-Audit[[#This Row],[Candidate 11]], "")</f>
        <v/>
      </c>
      <c r="AP389" s="17" t="str">
        <f>IF(NOT(ISBLANK(Audit[[#This Row],[Audit Candidate 12]])), Audit[[#This Row],[Audit Candidate 12]]-Audit[[#This Row],[Candidate 12]], "")</f>
        <v/>
      </c>
      <c r="AQ389" s="17">
        <f>SUMIF(Audit[[#This Row],[Difference Winner]:[Difference Candidate 12]], "&gt;0")</f>
        <v>0</v>
      </c>
      <c r="AR389" s="17">
        <f>SUM(Audit[[#This Row],[Difference Winner]:[Difference Candidate 12]])</f>
        <v>0</v>
      </c>
      <c r="AS389" s="17">
        <f>IF(Audit[[#This Row],[Times p Drawn - With Replacement]]&gt;0, IF(Audit[[#This Row],[Canceled Differences]]&lt;0, Audit[[#This Row],[Max Differences]]+ABS(Audit[[#This Row],[Canceled Differences]]), Audit[[#This Row],[Max Differences]]), 0)</f>
        <v>0</v>
      </c>
      <c r="AT389" s="17">
        <f>'Sampling Data'!AB389</f>
        <v>2.2407061619419452E-2</v>
      </c>
      <c r="AU389" s="17">
        <f>IF(
      SUM(Audit[[#This Row],[Audit Losing Candidate]:[Audit Candidate 12]])
      &lt;&gt;0,
      (Audit[[#This Row],[Winning Candidate]]-Audit[[#This Row],[Losing Candidate]]-(Audit[[#This Row],[Audit Winning Candidate]]-Audit[[#This Row],[Audit Losing Candidate]]))/(Audit[[#Totals],[Winning Candidate]]-Audit[[#Totals],[Losing Candidate]]),
      0
)</f>
        <v>0</v>
      </c>
      <c r="AV3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9" s="17">
        <f>IF(Audit[[#This Row],[Max Relative Error (ep)]] = 0, 0, Audit[[#This Row],[Max Relative Error (ep)]]/Audit[[#This Row],[Error Bound (up) - Max. possible relative overstatement]])</f>
        <v>0</v>
      </c>
      <c r="BH3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89" s="17">
        <f t="shared" si="6"/>
        <v>1</v>
      </c>
      <c r="BJ389" s="17">
        <f>PRODUCT($BI$5:BI389)</f>
        <v>0.46283459046185416</v>
      </c>
      <c r="BK389" s="19">
        <f>1 - Audit[[#This Row],[K-M P Value]]</f>
        <v>0.53716540953814584</v>
      </c>
      <c r="BL389" s="17" t="str">
        <f>IF(Audit[[#This Row],[K-M P Value]]&gt;1-'General Info'!$B$12,"Continue", "Stop")</f>
        <v>Continue</v>
      </c>
      <c r="BM389" s="22" t="b">
        <f>IF(Audit[[#This Row],[Status - Continue or stop audit]] = "Continue", TRUE, IF(BL388 = "Continue", TRUE, FALSE))</f>
        <v>1</v>
      </c>
      <c r="BN389" s="22"/>
    </row>
    <row r="390" spans="1:66" ht="15" hidden="1" customHeight="1" x14ac:dyDescent="0.35">
      <c r="A390" s="17" t="str">
        <f>'Sampling Data'!AI390</f>
        <v/>
      </c>
      <c r="B390" s="17" t="str">
        <f>'Sampling Data'!A390</f>
        <v>5938 COLE LL   (AV)</v>
      </c>
      <c r="C390" s="17">
        <f>'Sampling Data'!B390</f>
        <v>87</v>
      </c>
      <c r="D390" s="17">
        <f>'Sampling Data'!C390</f>
        <v>57</v>
      </c>
      <c r="E390" s="18">
        <f>'Sampling Data'!D390</f>
        <v>0</v>
      </c>
      <c r="F390" s="18">
        <f>'Sampling Data'!E390</f>
        <v>0</v>
      </c>
      <c r="G390" s="18">
        <f>'Sampling Data'!F390</f>
        <v>0</v>
      </c>
      <c r="H390" s="18">
        <f>'Sampling Data'!G390</f>
        <v>0</v>
      </c>
      <c r="I390" s="18">
        <f>'Sampling Data'!H390</f>
        <v>0</v>
      </c>
      <c r="J390" s="18">
        <f>'Sampling Data'!I390</f>
        <v>0</v>
      </c>
      <c r="K390" s="18">
        <f>'Sampling Data'!J390</f>
        <v>0</v>
      </c>
      <c r="L390" s="18">
        <f>'Sampling Data'!K390</f>
        <v>0</v>
      </c>
      <c r="M390" s="18">
        <f>'Sampling Data'!L390</f>
        <v>0</v>
      </c>
      <c r="N390" s="18">
        <f>'Sampling Data'!M390</f>
        <v>0</v>
      </c>
      <c r="O390" s="17">
        <f>'Sampling Data'!N390</f>
        <v>0</v>
      </c>
      <c r="P390" s="17">
        <f>'Sampling Data'!O390</f>
        <v>5</v>
      </c>
      <c r="Q390" s="17">
        <f>'Sampling Data'!P390</f>
        <v>149</v>
      </c>
      <c r="R390" s="17">
        <f>'Sampling Data'!AJ390</f>
        <v>0</v>
      </c>
      <c r="S390" s="111"/>
      <c r="T390" s="111"/>
      <c r="U390" s="112"/>
      <c r="V390" s="112"/>
      <c r="W390" s="111"/>
      <c r="X390" s="111"/>
      <c r="Y390" s="111"/>
      <c r="Z390" s="111"/>
      <c r="AA390" s="14"/>
      <c r="AB390" s="14"/>
      <c r="AC390" s="14"/>
      <c r="AD390" s="14"/>
      <c r="AE390" s="113" t="str">
        <f>IF(NOT(ISBLANK(Audit[[#This Row],[Audit Winning Candidate]])), Audit[[#This Row],[Audit Winning Candidate]]-Audit[[#This Row],[Winning Candidate]], "")</f>
        <v/>
      </c>
      <c r="AF390" s="17" t="str">
        <f>IF(NOT(ISBLANK(Audit[[#This Row],[Audit Losing Candidate]])), Audit[[#This Row],[Audit Losing Candidate]]-Audit[[#This Row],[Losing Candidate]], "")</f>
        <v/>
      </c>
      <c r="AG390" s="17" t="str">
        <f>IF(NOT(ISBLANK(Audit[[#This Row],[Audit Candidate 3]])), Audit[[#This Row],[Audit Candidate 3]]-Audit[[#This Row],[Candidate 3]], "")</f>
        <v/>
      </c>
      <c r="AH390" s="17" t="str">
        <f>IF(NOT(ISBLANK(Audit[[#This Row],[Audit Candidate 4]])),Audit[[#This Row],[Audit Candidate 4]]-Audit[[#This Row],[Candidate 4]], "")</f>
        <v/>
      </c>
      <c r="AI390" s="17" t="str">
        <f>IF(NOT(ISBLANK(Audit[[#This Row],[Audit Candidate 5]])), Audit[[#This Row],[Audit Candidate 5]]-Audit[[#This Row],[Candidate 5]], "")</f>
        <v/>
      </c>
      <c r="AJ390" s="17" t="str">
        <f>IF(NOT(ISBLANK(Audit[[#This Row],[Audit Candidate 6]])), Audit[[#This Row],[Audit Candidate 6]]-Audit[[#This Row],[Candidate 6]], "")</f>
        <v/>
      </c>
      <c r="AK390" s="17" t="str">
        <f>IF(NOT(ISBLANK(Audit[[#This Row],[Audit Candidate 7]])), Audit[[#This Row],[Audit Candidate 7]]-Audit[[#This Row],[Candidate 7]], "")</f>
        <v/>
      </c>
      <c r="AL390" s="17" t="str">
        <f>IF(NOT(ISBLANK(Audit[[#This Row],[Audit Candidate 8]])), Audit[[#This Row],[Audit Candidate 8]]-Audit[[#This Row],[Candidate 8]], "")</f>
        <v/>
      </c>
      <c r="AM390" s="17" t="str">
        <f>IF(NOT(ISBLANK(Audit[[#This Row],[Audit Candidate 9]])), Audit[[#This Row],[Audit Candidate 9]]-Audit[[#This Row],[Candidate 9]], "")</f>
        <v/>
      </c>
      <c r="AN390" s="17" t="str">
        <f>IF(NOT(ISBLANK(Audit[[#This Row],[Audit Candidate 10]])), Audit[[#This Row],[Audit Candidate 10]]-Audit[[#This Row],[Candidate 10]], "")</f>
        <v/>
      </c>
      <c r="AO390" s="17" t="str">
        <f>IF(NOT(ISBLANK(Audit[[#This Row],[Audit Candidate 11]])), Audit[[#This Row],[Audit Candidate 11]]-Audit[[#This Row],[Candidate 11]], "")</f>
        <v/>
      </c>
      <c r="AP390" s="17" t="str">
        <f>IF(NOT(ISBLANK(Audit[[#This Row],[Audit Candidate 12]])), Audit[[#This Row],[Audit Candidate 12]]-Audit[[#This Row],[Candidate 12]], "")</f>
        <v/>
      </c>
      <c r="AQ390" s="17">
        <f>SUMIF(Audit[[#This Row],[Difference Winner]:[Difference Candidate 12]], "&gt;0")</f>
        <v>0</v>
      </c>
      <c r="AR390" s="17">
        <f>SUM(Audit[[#This Row],[Difference Winner]:[Difference Candidate 12]])</f>
        <v>0</v>
      </c>
      <c r="AS390" s="17">
        <f>IF(Audit[[#This Row],[Times p Drawn - With Replacement]]&gt;0, IF(Audit[[#This Row],[Canceled Differences]]&lt;0, Audit[[#This Row],[Max Differences]]+ABS(Audit[[#This Row],[Canceled Differences]]), Audit[[#This Row],[Max Differences]]), 0)</f>
        <v>0</v>
      </c>
      <c r="AT390" s="17">
        <f>'Sampling Data'!AB390</f>
        <v>7.5963333899168222E-3</v>
      </c>
      <c r="AU390" s="17">
        <f>IF(
      SUM(Audit[[#This Row],[Audit Losing Candidate]:[Audit Candidate 12]])
      &lt;&gt;0,
      (Audit[[#This Row],[Winning Candidate]]-Audit[[#This Row],[Losing Candidate]]-(Audit[[#This Row],[Audit Winning Candidate]]-Audit[[#This Row],[Audit Losing Candidate]]))/(Audit[[#Totals],[Winning Candidate]]-Audit[[#Totals],[Losing Candidate]]),
      0
)</f>
        <v>0</v>
      </c>
      <c r="AV3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0" s="17">
        <f>IF(Audit[[#This Row],[Max Relative Error (ep)]] = 0, 0, Audit[[#This Row],[Max Relative Error (ep)]]/Audit[[#This Row],[Error Bound (up) - Max. possible relative overstatement]])</f>
        <v>0</v>
      </c>
      <c r="BH3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90" s="17">
        <f t="shared" si="6"/>
        <v>1</v>
      </c>
      <c r="BJ390" s="17">
        <f>PRODUCT($BI$5:BI390)</f>
        <v>0.46283459046185416</v>
      </c>
      <c r="BK390" s="19">
        <f>1 - Audit[[#This Row],[K-M P Value]]</f>
        <v>0.53716540953814584</v>
      </c>
      <c r="BL390" s="17" t="str">
        <f>IF(Audit[[#This Row],[K-M P Value]]&gt;1-'General Info'!$B$12,"Continue", "Stop")</f>
        <v>Continue</v>
      </c>
      <c r="BM390" s="22" t="b">
        <f>IF(Audit[[#This Row],[Status - Continue or stop audit]] = "Continue", TRUE, IF(BL389 = "Continue", TRUE, FALSE))</f>
        <v>1</v>
      </c>
      <c r="BN390" s="22"/>
    </row>
    <row r="391" spans="1:66" ht="15" hidden="1" customHeight="1" x14ac:dyDescent="0.35">
      <c r="A391" s="17" t="str">
        <f>'Sampling Data'!AI391</f>
        <v/>
      </c>
      <c r="B391" s="17" t="str">
        <f>'Sampling Data'!A391</f>
        <v>6201 COLUM A   (AV)</v>
      </c>
      <c r="C391" s="17">
        <f>'Sampling Data'!B391</f>
        <v>42</v>
      </c>
      <c r="D391" s="17">
        <f>'Sampling Data'!C391</f>
        <v>16</v>
      </c>
      <c r="E391" s="18">
        <f>'Sampling Data'!D391</f>
        <v>0</v>
      </c>
      <c r="F391" s="18">
        <f>'Sampling Data'!E391</f>
        <v>0</v>
      </c>
      <c r="G391" s="18">
        <f>'Sampling Data'!F391</f>
        <v>0</v>
      </c>
      <c r="H391" s="18">
        <f>'Sampling Data'!G391</f>
        <v>0</v>
      </c>
      <c r="I391" s="18">
        <f>'Sampling Data'!H391</f>
        <v>0</v>
      </c>
      <c r="J391" s="18">
        <f>'Sampling Data'!I391</f>
        <v>0</v>
      </c>
      <c r="K391" s="18">
        <f>'Sampling Data'!J391</f>
        <v>0</v>
      </c>
      <c r="L391" s="18">
        <f>'Sampling Data'!K391</f>
        <v>0</v>
      </c>
      <c r="M391" s="18">
        <f>'Sampling Data'!L391</f>
        <v>0</v>
      </c>
      <c r="N391" s="18">
        <f>'Sampling Data'!M391</f>
        <v>0</v>
      </c>
      <c r="O391" s="17">
        <f>'Sampling Data'!N391</f>
        <v>0</v>
      </c>
      <c r="P391" s="17">
        <f>'Sampling Data'!O391</f>
        <v>4</v>
      </c>
      <c r="Q391" s="17">
        <f>'Sampling Data'!P391</f>
        <v>62</v>
      </c>
      <c r="R391" s="17">
        <f>'Sampling Data'!AJ391</f>
        <v>0</v>
      </c>
      <c r="S391" s="111"/>
      <c r="T391" s="111"/>
      <c r="U391" s="112"/>
      <c r="V391" s="112"/>
      <c r="W391" s="111"/>
      <c r="X391" s="111"/>
      <c r="Y391" s="111"/>
      <c r="Z391" s="111"/>
      <c r="AA391" s="14"/>
      <c r="AB391" s="14"/>
      <c r="AC391" s="14"/>
      <c r="AD391" s="14"/>
      <c r="AE391" s="113" t="str">
        <f>IF(NOT(ISBLANK(Audit[[#This Row],[Audit Winning Candidate]])), Audit[[#This Row],[Audit Winning Candidate]]-Audit[[#This Row],[Winning Candidate]], "")</f>
        <v/>
      </c>
      <c r="AF391" s="17" t="str">
        <f>IF(NOT(ISBLANK(Audit[[#This Row],[Audit Losing Candidate]])), Audit[[#This Row],[Audit Losing Candidate]]-Audit[[#This Row],[Losing Candidate]], "")</f>
        <v/>
      </c>
      <c r="AG391" s="17" t="str">
        <f>IF(NOT(ISBLANK(Audit[[#This Row],[Audit Candidate 3]])), Audit[[#This Row],[Audit Candidate 3]]-Audit[[#This Row],[Candidate 3]], "")</f>
        <v/>
      </c>
      <c r="AH391" s="17" t="str">
        <f>IF(NOT(ISBLANK(Audit[[#This Row],[Audit Candidate 4]])),Audit[[#This Row],[Audit Candidate 4]]-Audit[[#This Row],[Candidate 4]], "")</f>
        <v/>
      </c>
      <c r="AI391" s="17" t="str">
        <f>IF(NOT(ISBLANK(Audit[[#This Row],[Audit Candidate 5]])), Audit[[#This Row],[Audit Candidate 5]]-Audit[[#This Row],[Candidate 5]], "")</f>
        <v/>
      </c>
      <c r="AJ391" s="17" t="str">
        <f>IF(NOT(ISBLANK(Audit[[#This Row],[Audit Candidate 6]])), Audit[[#This Row],[Audit Candidate 6]]-Audit[[#This Row],[Candidate 6]], "")</f>
        <v/>
      </c>
      <c r="AK391" s="17" t="str">
        <f>IF(NOT(ISBLANK(Audit[[#This Row],[Audit Candidate 7]])), Audit[[#This Row],[Audit Candidate 7]]-Audit[[#This Row],[Candidate 7]], "")</f>
        <v/>
      </c>
      <c r="AL391" s="17" t="str">
        <f>IF(NOT(ISBLANK(Audit[[#This Row],[Audit Candidate 8]])), Audit[[#This Row],[Audit Candidate 8]]-Audit[[#This Row],[Candidate 8]], "")</f>
        <v/>
      </c>
      <c r="AM391" s="17" t="str">
        <f>IF(NOT(ISBLANK(Audit[[#This Row],[Audit Candidate 9]])), Audit[[#This Row],[Audit Candidate 9]]-Audit[[#This Row],[Candidate 9]], "")</f>
        <v/>
      </c>
      <c r="AN391" s="17" t="str">
        <f>IF(NOT(ISBLANK(Audit[[#This Row],[Audit Candidate 10]])), Audit[[#This Row],[Audit Candidate 10]]-Audit[[#This Row],[Candidate 10]], "")</f>
        <v/>
      </c>
      <c r="AO391" s="17" t="str">
        <f>IF(NOT(ISBLANK(Audit[[#This Row],[Audit Candidate 11]])), Audit[[#This Row],[Audit Candidate 11]]-Audit[[#This Row],[Candidate 11]], "")</f>
        <v/>
      </c>
      <c r="AP391" s="17" t="str">
        <f>IF(NOT(ISBLANK(Audit[[#This Row],[Audit Candidate 12]])), Audit[[#This Row],[Audit Candidate 12]]-Audit[[#This Row],[Candidate 12]], "")</f>
        <v/>
      </c>
      <c r="AQ391" s="17">
        <f>SUMIF(Audit[[#This Row],[Difference Winner]:[Difference Candidate 12]], "&gt;0")</f>
        <v>0</v>
      </c>
      <c r="AR391" s="17">
        <f>SUM(Audit[[#This Row],[Difference Winner]:[Difference Candidate 12]])</f>
        <v>0</v>
      </c>
      <c r="AS391" s="17">
        <f>IF(Audit[[#This Row],[Times p Drawn - With Replacement]]&gt;0, IF(Audit[[#This Row],[Canceled Differences]]&lt;0, Audit[[#This Row],[Max Differences]]+ABS(Audit[[#This Row],[Canceled Differences]]), Audit[[#This Row],[Max Differences]]), 0)</f>
        <v>0</v>
      </c>
      <c r="AT391" s="17">
        <f>'Sampling Data'!AB391</f>
        <v>3.734510269903242E-3</v>
      </c>
      <c r="AU391" s="17">
        <f>IF(
      SUM(Audit[[#This Row],[Audit Losing Candidate]:[Audit Candidate 12]])
      &lt;&gt;0,
      (Audit[[#This Row],[Winning Candidate]]-Audit[[#This Row],[Losing Candidate]]-(Audit[[#This Row],[Audit Winning Candidate]]-Audit[[#This Row],[Audit Losing Candidate]]))/(Audit[[#Totals],[Winning Candidate]]-Audit[[#Totals],[Losing Candidate]]),
      0
)</f>
        <v>0</v>
      </c>
      <c r="AV3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1" s="17">
        <f>IF(Audit[[#This Row],[Max Relative Error (ep)]] = 0, 0, Audit[[#This Row],[Max Relative Error (ep)]]/Audit[[#This Row],[Error Bound (up) - Max. possible relative overstatement]])</f>
        <v>0</v>
      </c>
      <c r="BH3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91" s="17">
        <f t="shared" si="6"/>
        <v>1</v>
      </c>
      <c r="BJ391" s="17">
        <f>PRODUCT($BI$5:BI391)</f>
        <v>0.46283459046185416</v>
      </c>
      <c r="BK391" s="19">
        <f>1 - Audit[[#This Row],[K-M P Value]]</f>
        <v>0.53716540953814584</v>
      </c>
      <c r="BL391" s="17" t="str">
        <f>IF(Audit[[#This Row],[K-M P Value]]&gt;1-'General Info'!$B$12,"Continue", "Stop")</f>
        <v>Continue</v>
      </c>
      <c r="BM391" s="22" t="b">
        <f>IF(Audit[[#This Row],[Status - Continue or stop audit]] = "Continue", TRUE, IF(BL390 = "Continue", TRUE, FALSE))</f>
        <v>1</v>
      </c>
      <c r="BN391" s="22"/>
    </row>
    <row r="392" spans="1:66" ht="15" hidden="1" customHeight="1" x14ac:dyDescent="0.35">
      <c r="A392" s="17" t="str">
        <f>'Sampling Data'!AI392</f>
        <v/>
      </c>
      <c r="B392" s="17" t="str">
        <f>'Sampling Data'!A392</f>
        <v>6202 COLUM B   (AV)</v>
      </c>
      <c r="C392" s="17">
        <f>'Sampling Data'!B392</f>
        <v>91</v>
      </c>
      <c r="D392" s="17">
        <f>'Sampling Data'!C392</f>
        <v>46</v>
      </c>
      <c r="E392" s="18">
        <f>'Sampling Data'!D392</f>
        <v>0</v>
      </c>
      <c r="F392" s="18">
        <f>'Sampling Data'!E392</f>
        <v>0</v>
      </c>
      <c r="G392" s="18">
        <f>'Sampling Data'!F392</f>
        <v>0</v>
      </c>
      <c r="H392" s="18">
        <f>'Sampling Data'!G392</f>
        <v>0</v>
      </c>
      <c r="I392" s="18">
        <f>'Sampling Data'!H392</f>
        <v>0</v>
      </c>
      <c r="J392" s="18">
        <f>'Sampling Data'!I392</f>
        <v>0</v>
      </c>
      <c r="K392" s="18">
        <f>'Sampling Data'!J392</f>
        <v>0</v>
      </c>
      <c r="L392" s="18">
        <f>'Sampling Data'!K392</f>
        <v>0</v>
      </c>
      <c r="M392" s="18">
        <f>'Sampling Data'!L392</f>
        <v>0</v>
      </c>
      <c r="N392" s="18">
        <f>'Sampling Data'!M392</f>
        <v>0</v>
      </c>
      <c r="O392" s="17">
        <f>'Sampling Data'!N392</f>
        <v>0</v>
      </c>
      <c r="P392" s="17">
        <f>'Sampling Data'!O392</f>
        <v>6</v>
      </c>
      <c r="Q392" s="17">
        <f>'Sampling Data'!P392</f>
        <v>143</v>
      </c>
      <c r="R392" s="17">
        <f>'Sampling Data'!AJ392</f>
        <v>0</v>
      </c>
      <c r="S392" s="111"/>
      <c r="T392" s="111"/>
      <c r="U392" s="112"/>
      <c r="V392" s="112"/>
      <c r="W392" s="111"/>
      <c r="X392" s="111"/>
      <c r="Y392" s="111"/>
      <c r="Z392" s="111"/>
      <c r="AA392" s="14"/>
      <c r="AB392" s="14"/>
      <c r="AC392" s="14"/>
      <c r="AD392" s="14"/>
      <c r="AE392" s="113" t="str">
        <f>IF(NOT(ISBLANK(Audit[[#This Row],[Audit Winning Candidate]])), Audit[[#This Row],[Audit Winning Candidate]]-Audit[[#This Row],[Winning Candidate]], "")</f>
        <v/>
      </c>
      <c r="AF392" s="17" t="str">
        <f>IF(NOT(ISBLANK(Audit[[#This Row],[Audit Losing Candidate]])), Audit[[#This Row],[Audit Losing Candidate]]-Audit[[#This Row],[Losing Candidate]], "")</f>
        <v/>
      </c>
      <c r="AG392" s="17" t="str">
        <f>IF(NOT(ISBLANK(Audit[[#This Row],[Audit Candidate 3]])), Audit[[#This Row],[Audit Candidate 3]]-Audit[[#This Row],[Candidate 3]], "")</f>
        <v/>
      </c>
      <c r="AH392" s="17" t="str">
        <f>IF(NOT(ISBLANK(Audit[[#This Row],[Audit Candidate 4]])),Audit[[#This Row],[Audit Candidate 4]]-Audit[[#This Row],[Candidate 4]], "")</f>
        <v/>
      </c>
      <c r="AI392" s="17" t="str">
        <f>IF(NOT(ISBLANK(Audit[[#This Row],[Audit Candidate 5]])), Audit[[#This Row],[Audit Candidate 5]]-Audit[[#This Row],[Candidate 5]], "")</f>
        <v/>
      </c>
      <c r="AJ392" s="17" t="str">
        <f>IF(NOT(ISBLANK(Audit[[#This Row],[Audit Candidate 6]])), Audit[[#This Row],[Audit Candidate 6]]-Audit[[#This Row],[Candidate 6]], "")</f>
        <v/>
      </c>
      <c r="AK392" s="17" t="str">
        <f>IF(NOT(ISBLANK(Audit[[#This Row],[Audit Candidate 7]])), Audit[[#This Row],[Audit Candidate 7]]-Audit[[#This Row],[Candidate 7]], "")</f>
        <v/>
      </c>
      <c r="AL392" s="17" t="str">
        <f>IF(NOT(ISBLANK(Audit[[#This Row],[Audit Candidate 8]])), Audit[[#This Row],[Audit Candidate 8]]-Audit[[#This Row],[Candidate 8]], "")</f>
        <v/>
      </c>
      <c r="AM392" s="17" t="str">
        <f>IF(NOT(ISBLANK(Audit[[#This Row],[Audit Candidate 9]])), Audit[[#This Row],[Audit Candidate 9]]-Audit[[#This Row],[Candidate 9]], "")</f>
        <v/>
      </c>
      <c r="AN392" s="17" t="str">
        <f>IF(NOT(ISBLANK(Audit[[#This Row],[Audit Candidate 10]])), Audit[[#This Row],[Audit Candidate 10]]-Audit[[#This Row],[Candidate 10]], "")</f>
        <v/>
      </c>
      <c r="AO392" s="17" t="str">
        <f>IF(NOT(ISBLANK(Audit[[#This Row],[Audit Candidate 11]])), Audit[[#This Row],[Audit Candidate 11]]-Audit[[#This Row],[Candidate 11]], "")</f>
        <v/>
      </c>
      <c r="AP392" s="17" t="str">
        <f>IF(NOT(ISBLANK(Audit[[#This Row],[Audit Candidate 12]])), Audit[[#This Row],[Audit Candidate 12]]-Audit[[#This Row],[Candidate 12]], "")</f>
        <v/>
      </c>
      <c r="AQ392" s="17">
        <f>SUMIF(Audit[[#This Row],[Difference Winner]:[Difference Candidate 12]], "&gt;0")</f>
        <v>0</v>
      </c>
      <c r="AR392" s="17">
        <f>SUM(Audit[[#This Row],[Difference Winner]:[Difference Candidate 12]])</f>
        <v>0</v>
      </c>
      <c r="AS392" s="17">
        <f>IF(Audit[[#This Row],[Times p Drawn - With Replacement]]&gt;0, IF(Audit[[#This Row],[Canceled Differences]]&lt;0, Audit[[#This Row],[Max Differences]]+ABS(Audit[[#This Row],[Canceled Differences]]), Audit[[#This Row],[Max Differences]]), 0)</f>
        <v>0</v>
      </c>
      <c r="AT392" s="17">
        <f>'Sampling Data'!AB392</f>
        <v>7.9782719402478365E-3</v>
      </c>
      <c r="AU392" s="17">
        <f>IF(
      SUM(Audit[[#This Row],[Audit Losing Candidate]:[Audit Candidate 12]])
      &lt;&gt;0,
      (Audit[[#This Row],[Winning Candidate]]-Audit[[#This Row],[Losing Candidate]]-(Audit[[#This Row],[Audit Winning Candidate]]-Audit[[#This Row],[Audit Losing Candidate]]))/(Audit[[#Totals],[Winning Candidate]]-Audit[[#Totals],[Losing Candidate]]),
      0
)</f>
        <v>0</v>
      </c>
      <c r="AV3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2" s="17">
        <f>IF(Audit[[#This Row],[Max Relative Error (ep)]] = 0, 0, Audit[[#This Row],[Max Relative Error (ep)]]/Audit[[#This Row],[Error Bound (up) - Max. possible relative overstatement]])</f>
        <v>0</v>
      </c>
      <c r="BH3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92" s="17">
        <f t="shared" si="6"/>
        <v>1</v>
      </c>
      <c r="BJ392" s="17">
        <f>PRODUCT($BI$5:BI392)</f>
        <v>0.46283459046185416</v>
      </c>
      <c r="BK392" s="19">
        <f>1 - Audit[[#This Row],[K-M P Value]]</f>
        <v>0.53716540953814584</v>
      </c>
      <c r="BL392" s="17" t="str">
        <f>IF(Audit[[#This Row],[K-M P Value]]&gt;1-'General Info'!$B$12,"Continue", "Stop")</f>
        <v>Continue</v>
      </c>
      <c r="BM392" s="22" t="b">
        <f>IF(Audit[[#This Row],[Status - Continue or stop audit]] = "Continue", TRUE, IF(BL391 = "Continue", TRUE, FALSE))</f>
        <v>1</v>
      </c>
      <c r="BN392" s="22"/>
    </row>
    <row r="393" spans="1:66" ht="15" hidden="1" customHeight="1" x14ac:dyDescent="0.35">
      <c r="A393" s="17" t="str">
        <f>'Sampling Data'!AI393</f>
        <v/>
      </c>
      <c r="B393" s="17" t="str">
        <f>'Sampling Data'!A393</f>
        <v>6203 COLUM C   (AV)</v>
      </c>
      <c r="C393" s="17">
        <f>'Sampling Data'!B393</f>
        <v>155</v>
      </c>
      <c r="D393" s="17">
        <f>'Sampling Data'!C393</f>
        <v>48</v>
      </c>
      <c r="E393" s="18">
        <f>'Sampling Data'!D393</f>
        <v>0</v>
      </c>
      <c r="F393" s="18">
        <f>'Sampling Data'!E393</f>
        <v>0</v>
      </c>
      <c r="G393" s="18">
        <f>'Sampling Data'!F393</f>
        <v>0</v>
      </c>
      <c r="H393" s="18">
        <f>'Sampling Data'!G393</f>
        <v>0</v>
      </c>
      <c r="I393" s="18">
        <f>'Sampling Data'!H393</f>
        <v>0</v>
      </c>
      <c r="J393" s="18">
        <f>'Sampling Data'!I393</f>
        <v>0</v>
      </c>
      <c r="K393" s="18">
        <f>'Sampling Data'!J393</f>
        <v>0</v>
      </c>
      <c r="L393" s="18">
        <f>'Sampling Data'!K393</f>
        <v>0</v>
      </c>
      <c r="M393" s="18">
        <f>'Sampling Data'!L393</f>
        <v>0</v>
      </c>
      <c r="N393" s="18">
        <f>'Sampling Data'!M393</f>
        <v>0</v>
      </c>
      <c r="O393" s="17">
        <f>'Sampling Data'!N393</f>
        <v>0</v>
      </c>
      <c r="P393" s="17">
        <f>'Sampling Data'!O393</f>
        <v>9</v>
      </c>
      <c r="Q393" s="17">
        <f>'Sampling Data'!P393</f>
        <v>212</v>
      </c>
      <c r="R393" s="17">
        <f>'Sampling Data'!AJ393</f>
        <v>0</v>
      </c>
      <c r="S393" s="111"/>
      <c r="T393" s="111"/>
      <c r="U393" s="112"/>
      <c r="V393" s="112"/>
      <c r="W393" s="111"/>
      <c r="X393" s="111"/>
      <c r="Y393" s="111"/>
      <c r="Z393" s="111"/>
      <c r="AA393" s="14"/>
      <c r="AB393" s="14"/>
      <c r="AC393" s="14"/>
      <c r="AD393" s="14"/>
      <c r="AE393" s="113" t="str">
        <f>IF(NOT(ISBLANK(Audit[[#This Row],[Audit Winning Candidate]])), Audit[[#This Row],[Audit Winning Candidate]]-Audit[[#This Row],[Winning Candidate]], "")</f>
        <v/>
      </c>
      <c r="AF393" s="17" t="str">
        <f>IF(NOT(ISBLANK(Audit[[#This Row],[Audit Losing Candidate]])), Audit[[#This Row],[Audit Losing Candidate]]-Audit[[#This Row],[Losing Candidate]], "")</f>
        <v/>
      </c>
      <c r="AG393" s="17" t="str">
        <f>IF(NOT(ISBLANK(Audit[[#This Row],[Audit Candidate 3]])), Audit[[#This Row],[Audit Candidate 3]]-Audit[[#This Row],[Candidate 3]], "")</f>
        <v/>
      </c>
      <c r="AH393" s="17" t="str">
        <f>IF(NOT(ISBLANK(Audit[[#This Row],[Audit Candidate 4]])),Audit[[#This Row],[Audit Candidate 4]]-Audit[[#This Row],[Candidate 4]], "")</f>
        <v/>
      </c>
      <c r="AI393" s="17" t="str">
        <f>IF(NOT(ISBLANK(Audit[[#This Row],[Audit Candidate 5]])), Audit[[#This Row],[Audit Candidate 5]]-Audit[[#This Row],[Candidate 5]], "")</f>
        <v/>
      </c>
      <c r="AJ393" s="17" t="str">
        <f>IF(NOT(ISBLANK(Audit[[#This Row],[Audit Candidate 6]])), Audit[[#This Row],[Audit Candidate 6]]-Audit[[#This Row],[Candidate 6]], "")</f>
        <v/>
      </c>
      <c r="AK393" s="17" t="str">
        <f>IF(NOT(ISBLANK(Audit[[#This Row],[Audit Candidate 7]])), Audit[[#This Row],[Audit Candidate 7]]-Audit[[#This Row],[Candidate 7]], "")</f>
        <v/>
      </c>
      <c r="AL393" s="17" t="str">
        <f>IF(NOT(ISBLANK(Audit[[#This Row],[Audit Candidate 8]])), Audit[[#This Row],[Audit Candidate 8]]-Audit[[#This Row],[Candidate 8]], "")</f>
        <v/>
      </c>
      <c r="AM393" s="17" t="str">
        <f>IF(NOT(ISBLANK(Audit[[#This Row],[Audit Candidate 9]])), Audit[[#This Row],[Audit Candidate 9]]-Audit[[#This Row],[Candidate 9]], "")</f>
        <v/>
      </c>
      <c r="AN393" s="17" t="str">
        <f>IF(NOT(ISBLANK(Audit[[#This Row],[Audit Candidate 10]])), Audit[[#This Row],[Audit Candidate 10]]-Audit[[#This Row],[Candidate 10]], "")</f>
        <v/>
      </c>
      <c r="AO393" s="17" t="str">
        <f>IF(NOT(ISBLANK(Audit[[#This Row],[Audit Candidate 11]])), Audit[[#This Row],[Audit Candidate 11]]-Audit[[#This Row],[Candidate 11]], "")</f>
        <v/>
      </c>
      <c r="AP393" s="17" t="str">
        <f>IF(NOT(ISBLANK(Audit[[#This Row],[Audit Candidate 12]])), Audit[[#This Row],[Audit Candidate 12]]-Audit[[#This Row],[Candidate 12]], "")</f>
        <v/>
      </c>
      <c r="AQ393" s="17">
        <f>SUMIF(Audit[[#This Row],[Difference Winner]:[Difference Candidate 12]], "&gt;0")</f>
        <v>0</v>
      </c>
      <c r="AR393" s="17">
        <f>SUM(Audit[[#This Row],[Difference Winner]:[Difference Candidate 12]])</f>
        <v>0</v>
      </c>
      <c r="AS393" s="17">
        <f>IF(Audit[[#This Row],[Times p Drawn - With Replacement]]&gt;0, IF(Audit[[#This Row],[Canceled Differences]]&lt;0, Audit[[#This Row],[Max Differences]]+ABS(Audit[[#This Row],[Canceled Differences]]), Audit[[#This Row],[Max Differences]]), 0)</f>
        <v>0</v>
      </c>
      <c r="AT393" s="17">
        <f>'Sampling Data'!AB393</f>
        <v>1.3537599728399253E-2</v>
      </c>
      <c r="AU393" s="17">
        <f>IF(
      SUM(Audit[[#This Row],[Audit Losing Candidate]:[Audit Candidate 12]])
      &lt;&gt;0,
      (Audit[[#This Row],[Winning Candidate]]-Audit[[#This Row],[Losing Candidate]]-(Audit[[#This Row],[Audit Winning Candidate]]-Audit[[#This Row],[Audit Losing Candidate]]))/(Audit[[#Totals],[Winning Candidate]]-Audit[[#Totals],[Losing Candidate]]),
      0
)</f>
        <v>0</v>
      </c>
      <c r="AV3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3" s="17">
        <f>IF(Audit[[#This Row],[Max Relative Error (ep)]] = 0, 0, Audit[[#This Row],[Max Relative Error (ep)]]/Audit[[#This Row],[Error Bound (up) - Max. possible relative overstatement]])</f>
        <v>0</v>
      </c>
      <c r="BH3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93" s="17">
        <f t="shared" si="6"/>
        <v>1</v>
      </c>
      <c r="BJ393" s="17">
        <f>PRODUCT($BI$5:BI393)</f>
        <v>0.46283459046185416</v>
      </c>
      <c r="BK393" s="19">
        <f>1 - Audit[[#This Row],[K-M P Value]]</f>
        <v>0.53716540953814584</v>
      </c>
      <c r="BL393" s="17" t="str">
        <f>IF(Audit[[#This Row],[K-M P Value]]&gt;1-'General Info'!$B$12,"Continue", "Stop")</f>
        <v>Continue</v>
      </c>
      <c r="BM393" s="22" t="b">
        <f>IF(Audit[[#This Row],[Status - Continue or stop audit]] = "Continue", TRUE, IF(BL392 = "Continue", TRUE, FALSE))</f>
        <v>1</v>
      </c>
      <c r="BN393" s="22"/>
    </row>
    <row r="394" spans="1:66" ht="15" hidden="1" customHeight="1" x14ac:dyDescent="0.35">
      <c r="A394" s="17" t="str">
        <f>'Sampling Data'!AI394</f>
        <v/>
      </c>
      <c r="B394" s="17" t="str">
        <f>'Sampling Data'!A394</f>
        <v>6204 COLUM D   (AV)</v>
      </c>
      <c r="C394" s="17">
        <f>'Sampling Data'!B394</f>
        <v>133</v>
      </c>
      <c r="D394" s="17">
        <f>'Sampling Data'!C394</f>
        <v>19</v>
      </c>
      <c r="E394" s="18">
        <f>'Sampling Data'!D394</f>
        <v>0</v>
      </c>
      <c r="F394" s="18">
        <f>'Sampling Data'!E394</f>
        <v>0</v>
      </c>
      <c r="G394" s="18">
        <f>'Sampling Data'!F394</f>
        <v>0</v>
      </c>
      <c r="H394" s="18">
        <f>'Sampling Data'!G394</f>
        <v>0</v>
      </c>
      <c r="I394" s="18">
        <f>'Sampling Data'!H394</f>
        <v>0</v>
      </c>
      <c r="J394" s="18">
        <f>'Sampling Data'!I394</f>
        <v>0</v>
      </c>
      <c r="K394" s="18">
        <f>'Sampling Data'!J394</f>
        <v>0</v>
      </c>
      <c r="L394" s="18">
        <f>'Sampling Data'!K394</f>
        <v>0</v>
      </c>
      <c r="M394" s="18">
        <f>'Sampling Data'!L394</f>
        <v>0</v>
      </c>
      <c r="N394" s="18">
        <f>'Sampling Data'!M394</f>
        <v>0</v>
      </c>
      <c r="O394" s="17">
        <f>'Sampling Data'!N394</f>
        <v>1</v>
      </c>
      <c r="P394" s="17">
        <f>'Sampling Data'!O394</f>
        <v>13</v>
      </c>
      <c r="Q394" s="17">
        <f>'Sampling Data'!P394</f>
        <v>166</v>
      </c>
      <c r="R394" s="17">
        <f>'Sampling Data'!AJ394</f>
        <v>0</v>
      </c>
      <c r="S394" s="111"/>
      <c r="T394" s="111"/>
      <c r="U394" s="112"/>
      <c r="V394" s="112"/>
      <c r="W394" s="111"/>
      <c r="X394" s="111"/>
      <c r="Y394" s="111"/>
      <c r="Z394" s="111"/>
      <c r="AA394" s="14"/>
      <c r="AB394" s="14"/>
      <c r="AC394" s="14"/>
      <c r="AD394" s="14"/>
      <c r="AE394" s="113" t="str">
        <f>IF(NOT(ISBLANK(Audit[[#This Row],[Audit Winning Candidate]])), Audit[[#This Row],[Audit Winning Candidate]]-Audit[[#This Row],[Winning Candidate]], "")</f>
        <v/>
      </c>
      <c r="AF394" s="17" t="str">
        <f>IF(NOT(ISBLANK(Audit[[#This Row],[Audit Losing Candidate]])), Audit[[#This Row],[Audit Losing Candidate]]-Audit[[#This Row],[Losing Candidate]], "")</f>
        <v/>
      </c>
      <c r="AG394" s="17" t="str">
        <f>IF(NOT(ISBLANK(Audit[[#This Row],[Audit Candidate 3]])), Audit[[#This Row],[Audit Candidate 3]]-Audit[[#This Row],[Candidate 3]], "")</f>
        <v/>
      </c>
      <c r="AH394" s="17" t="str">
        <f>IF(NOT(ISBLANK(Audit[[#This Row],[Audit Candidate 4]])),Audit[[#This Row],[Audit Candidate 4]]-Audit[[#This Row],[Candidate 4]], "")</f>
        <v/>
      </c>
      <c r="AI394" s="17" t="str">
        <f>IF(NOT(ISBLANK(Audit[[#This Row],[Audit Candidate 5]])), Audit[[#This Row],[Audit Candidate 5]]-Audit[[#This Row],[Candidate 5]], "")</f>
        <v/>
      </c>
      <c r="AJ394" s="17" t="str">
        <f>IF(NOT(ISBLANK(Audit[[#This Row],[Audit Candidate 6]])), Audit[[#This Row],[Audit Candidate 6]]-Audit[[#This Row],[Candidate 6]], "")</f>
        <v/>
      </c>
      <c r="AK394" s="17" t="str">
        <f>IF(NOT(ISBLANK(Audit[[#This Row],[Audit Candidate 7]])), Audit[[#This Row],[Audit Candidate 7]]-Audit[[#This Row],[Candidate 7]], "")</f>
        <v/>
      </c>
      <c r="AL394" s="17" t="str">
        <f>IF(NOT(ISBLANK(Audit[[#This Row],[Audit Candidate 8]])), Audit[[#This Row],[Audit Candidate 8]]-Audit[[#This Row],[Candidate 8]], "")</f>
        <v/>
      </c>
      <c r="AM394" s="17" t="str">
        <f>IF(NOT(ISBLANK(Audit[[#This Row],[Audit Candidate 9]])), Audit[[#This Row],[Audit Candidate 9]]-Audit[[#This Row],[Candidate 9]], "")</f>
        <v/>
      </c>
      <c r="AN394" s="17" t="str">
        <f>IF(NOT(ISBLANK(Audit[[#This Row],[Audit Candidate 10]])), Audit[[#This Row],[Audit Candidate 10]]-Audit[[#This Row],[Candidate 10]], "")</f>
        <v/>
      </c>
      <c r="AO394" s="17" t="str">
        <f>IF(NOT(ISBLANK(Audit[[#This Row],[Audit Candidate 11]])), Audit[[#This Row],[Audit Candidate 11]]-Audit[[#This Row],[Candidate 11]], "")</f>
        <v/>
      </c>
      <c r="AP394" s="17" t="str">
        <f>IF(NOT(ISBLANK(Audit[[#This Row],[Audit Candidate 12]])), Audit[[#This Row],[Audit Candidate 12]]-Audit[[#This Row],[Candidate 12]], "")</f>
        <v/>
      </c>
      <c r="AQ394" s="17">
        <f>SUMIF(Audit[[#This Row],[Difference Winner]:[Difference Candidate 12]], "&gt;0")</f>
        <v>0</v>
      </c>
      <c r="AR394" s="17">
        <f>SUM(Audit[[#This Row],[Difference Winner]:[Difference Candidate 12]])</f>
        <v>0</v>
      </c>
      <c r="AS394" s="17">
        <f>IF(Audit[[#This Row],[Times p Drawn - With Replacement]]&gt;0, IF(Audit[[#This Row],[Canceled Differences]]&lt;0, Audit[[#This Row],[Max Differences]]+ABS(Audit[[#This Row],[Canceled Differences]]), Audit[[#This Row],[Max Differences]]), 0)</f>
        <v>0</v>
      </c>
      <c r="AT394" s="17">
        <f>'Sampling Data'!AB394</f>
        <v>1.1882532676964862E-2</v>
      </c>
      <c r="AU394" s="17">
        <f>IF(
      SUM(Audit[[#This Row],[Audit Losing Candidate]:[Audit Candidate 12]])
      &lt;&gt;0,
      (Audit[[#This Row],[Winning Candidate]]-Audit[[#This Row],[Losing Candidate]]-(Audit[[#This Row],[Audit Winning Candidate]]-Audit[[#This Row],[Audit Losing Candidate]]))/(Audit[[#Totals],[Winning Candidate]]-Audit[[#Totals],[Losing Candidate]]),
      0
)</f>
        <v>0</v>
      </c>
      <c r="AV3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4" s="17">
        <f>IF(Audit[[#This Row],[Max Relative Error (ep)]] = 0, 0, Audit[[#This Row],[Max Relative Error (ep)]]/Audit[[#This Row],[Error Bound (up) - Max. possible relative overstatement]])</f>
        <v>0</v>
      </c>
      <c r="BH3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94" s="17">
        <f t="shared" si="6"/>
        <v>1</v>
      </c>
      <c r="BJ394" s="17">
        <f>PRODUCT($BI$5:BI394)</f>
        <v>0.46283459046185416</v>
      </c>
      <c r="BK394" s="19">
        <f>1 - Audit[[#This Row],[K-M P Value]]</f>
        <v>0.53716540953814584</v>
      </c>
      <c r="BL394" s="17" t="str">
        <f>IF(Audit[[#This Row],[K-M P Value]]&gt;1-'General Info'!$B$12,"Continue", "Stop")</f>
        <v>Continue</v>
      </c>
      <c r="BM394" s="22" t="b">
        <f>IF(Audit[[#This Row],[Status - Continue or stop audit]] = "Continue", TRUE, IF(BL393 = "Continue", TRUE, FALSE))</f>
        <v>1</v>
      </c>
      <c r="BN394" s="22"/>
    </row>
    <row r="395" spans="1:66" ht="15" hidden="1" customHeight="1" x14ac:dyDescent="0.35">
      <c r="A395" s="17" t="str">
        <f>'Sampling Data'!AI395</f>
        <v/>
      </c>
      <c r="B395" s="17" t="str">
        <f>'Sampling Data'!A395</f>
        <v>6205 COLUM E   (AV)</v>
      </c>
      <c r="C395" s="17">
        <f>'Sampling Data'!B395</f>
        <v>76</v>
      </c>
      <c r="D395" s="17">
        <f>'Sampling Data'!C395</f>
        <v>53</v>
      </c>
      <c r="E395" s="18">
        <f>'Sampling Data'!D395</f>
        <v>0</v>
      </c>
      <c r="F395" s="18">
        <f>'Sampling Data'!E395</f>
        <v>0</v>
      </c>
      <c r="G395" s="18">
        <f>'Sampling Data'!F395</f>
        <v>0</v>
      </c>
      <c r="H395" s="18">
        <f>'Sampling Data'!G395</f>
        <v>0</v>
      </c>
      <c r="I395" s="18">
        <f>'Sampling Data'!H395</f>
        <v>0</v>
      </c>
      <c r="J395" s="18">
        <f>'Sampling Data'!I395</f>
        <v>0</v>
      </c>
      <c r="K395" s="18">
        <f>'Sampling Data'!J395</f>
        <v>0</v>
      </c>
      <c r="L395" s="18">
        <f>'Sampling Data'!K395</f>
        <v>0</v>
      </c>
      <c r="M395" s="18">
        <f>'Sampling Data'!L395</f>
        <v>0</v>
      </c>
      <c r="N395" s="18">
        <f>'Sampling Data'!M395</f>
        <v>0</v>
      </c>
      <c r="O395" s="17">
        <f>'Sampling Data'!N395</f>
        <v>0</v>
      </c>
      <c r="P395" s="17">
        <f>'Sampling Data'!O395</f>
        <v>7</v>
      </c>
      <c r="Q395" s="17">
        <f>'Sampling Data'!P395</f>
        <v>136</v>
      </c>
      <c r="R395" s="17">
        <f>'Sampling Data'!AJ395</f>
        <v>0</v>
      </c>
      <c r="S395" s="111"/>
      <c r="T395" s="111"/>
      <c r="U395" s="112"/>
      <c r="V395" s="112"/>
      <c r="W395" s="111"/>
      <c r="X395" s="111"/>
      <c r="Y395" s="111"/>
      <c r="Z395" s="111"/>
      <c r="AA395" s="14"/>
      <c r="AB395" s="14"/>
      <c r="AC395" s="14"/>
      <c r="AD395" s="14"/>
      <c r="AE395" s="113" t="str">
        <f>IF(NOT(ISBLANK(Audit[[#This Row],[Audit Winning Candidate]])), Audit[[#This Row],[Audit Winning Candidate]]-Audit[[#This Row],[Winning Candidate]], "")</f>
        <v/>
      </c>
      <c r="AF395" s="17" t="str">
        <f>IF(NOT(ISBLANK(Audit[[#This Row],[Audit Losing Candidate]])), Audit[[#This Row],[Audit Losing Candidate]]-Audit[[#This Row],[Losing Candidate]], "")</f>
        <v/>
      </c>
      <c r="AG395" s="17" t="str">
        <f>IF(NOT(ISBLANK(Audit[[#This Row],[Audit Candidate 3]])), Audit[[#This Row],[Audit Candidate 3]]-Audit[[#This Row],[Candidate 3]], "")</f>
        <v/>
      </c>
      <c r="AH395" s="17" t="str">
        <f>IF(NOT(ISBLANK(Audit[[#This Row],[Audit Candidate 4]])),Audit[[#This Row],[Audit Candidate 4]]-Audit[[#This Row],[Candidate 4]], "")</f>
        <v/>
      </c>
      <c r="AI395" s="17" t="str">
        <f>IF(NOT(ISBLANK(Audit[[#This Row],[Audit Candidate 5]])), Audit[[#This Row],[Audit Candidate 5]]-Audit[[#This Row],[Candidate 5]], "")</f>
        <v/>
      </c>
      <c r="AJ395" s="17" t="str">
        <f>IF(NOT(ISBLANK(Audit[[#This Row],[Audit Candidate 6]])), Audit[[#This Row],[Audit Candidate 6]]-Audit[[#This Row],[Candidate 6]], "")</f>
        <v/>
      </c>
      <c r="AK395" s="17" t="str">
        <f>IF(NOT(ISBLANK(Audit[[#This Row],[Audit Candidate 7]])), Audit[[#This Row],[Audit Candidate 7]]-Audit[[#This Row],[Candidate 7]], "")</f>
        <v/>
      </c>
      <c r="AL395" s="17" t="str">
        <f>IF(NOT(ISBLANK(Audit[[#This Row],[Audit Candidate 8]])), Audit[[#This Row],[Audit Candidate 8]]-Audit[[#This Row],[Candidate 8]], "")</f>
        <v/>
      </c>
      <c r="AM395" s="17" t="str">
        <f>IF(NOT(ISBLANK(Audit[[#This Row],[Audit Candidate 9]])), Audit[[#This Row],[Audit Candidate 9]]-Audit[[#This Row],[Candidate 9]], "")</f>
        <v/>
      </c>
      <c r="AN395" s="17" t="str">
        <f>IF(NOT(ISBLANK(Audit[[#This Row],[Audit Candidate 10]])), Audit[[#This Row],[Audit Candidate 10]]-Audit[[#This Row],[Candidate 10]], "")</f>
        <v/>
      </c>
      <c r="AO395" s="17" t="str">
        <f>IF(NOT(ISBLANK(Audit[[#This Row],[Audit Candidate 11]])), Audit[[#This Row],[Audit Candidate 11]]-Audit[[#This Row],[Candidate 11]], "")</f>
        <v/>
      </c>
      <c r="AP395" s="17" t="str">
        <f>IF(NOT(ISBLANK(Audit[[#This Row],[Audit Candidate 12]])), Audit[[#This Row],[Audit Candidate 12]]-Audit[[#This Row],[Candidate 12]], "")</f>
        <v/>
      </c>
      <c r="AQ395" s="17">
        <f>SUMIF(Audit[[#This Row],[Difference Winner]:[Difference Candidate 12]], "&gt;0")</f>
        <v>0</v>
      </c>
      <c r="AR395" s="17">
        <f>SUM(Audit[[#This Row],[Difference Winner]:[Difference Candidate 12]])</f>
        <v>0</v>
      </c>
      <c r="AS395" s="17">
        <f>IF(Audit[[#This Row],[Times p Drawn - With Replacement]]&gt;0, IF(Audit[[#This Row],[Canceled Differences]]&lt;0, Audit[[#This Row],[Max Differences]]+ABS(Audit[[#This Row],[Canceled Differences]]), Audit[[#This Row],[Max Differences]]), 0)</f>
        <v>0</v>
      </c>
      <c r="AT395" s="17">
        <f>'Sampling Data'!AB395</f>
        <v>6.7475810558479035E-3</v>
      </c>
      <c r="AU395" s="17">
        <f>IF(
      SUM(Audit[[#This Row],[Audit Losing Candidate]:[Audit Candidate 12]])
      &lt;&gt;0,
      (Audit[[#This Row],[Winning Candidate]]-Audit[[#This Row],[Losing Candidate]]-(Audit[[#This Row],[Audit Winning Candidate]]-Audit[[#This Row],[Audit Losing Candidate]]))/(Audit[[#Totals],[Winning Candidate]]-Audit[[#Totals],[Losing Candidate]]),
      0
)</f>
        <v>0</v>
      </c>
      <c r="AV3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5" s="17">
        <f>IF(Audit[[#This Row],[Max Relative Error (ep)]] = 0, 0, Audit[[#This Row],[Max Relative Error (ep)]]/Audit[[#This Row],[Error Bound (up) - Max. possible relative overstatement]])</f>
        <v>0</v>
      </c>
      <c r="BH3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95" s="17">
        <f t="shared" si="6"/>
        <v>1</v>
      </c>
      <c r="BJ395" s="17">
        <f>PRODUCT($BI$5:BI395)</f>
        <v>0.46283459046185416</v>
      </c>
      <c r="BK395" s="19">
        <f>1 - Audit[[#This Row],[K-M P Value]]</f>
        <v>0.53716540953814584</v>
      </c>
      <c r="BL395" s="17" t="str">
        <f>IF(Audit[[#This Row],[K-M P Value]]&gt;1-'General Info'!$B$12,"Continue", "Stop")</f>
        <v>Continue</v>
      </c>
      <c r="BM395" s="22" t="b">
        <f>IF(Audit[[#This Row],[Status - Continue or stop audit]] = "Continue", TRUE, IF(BL394 = "Continue", TRUE, FALSE))</f>
        <v>1</v>
      </c>
      <c r="BN395" s="22"/>
    </row>
    <row r="396" spans="1:66" ht="15" hidden="1" customHeight="1" x14ac:dyDescent="0.35">
      <c r="A396" s="17" t="str">
        <f>'Sampling Data'!AI396</f>
        <v/>
      </c>
      <c r="B396" s="17" t="str">
        <f>'Sampling Data'!A396</f>
        <v>6206 COLUM F   (AV)</v>
      </c>
      <c r="C396" s="17">
        <f>'Sampling Data'!B396</f>
        <v>113</v>
      </c>
      <c r="D396" s="17">
        <f>'Sampling Data'!C396</f>
        <v>99</v>
      </c>
      <c r="E396" s="18">
        <f>'Sampling Data'!D396</f>
        <v>0</v>
      </c>
      <c r="F396" s="18">
        <f>'Sampling Data'!E396</f>
        <v>0</v>
      </c>
      <c r="G396" s="18">
        <f>'Sampling Data'!F396</f>
        <v>0</v>
      </c>
      <c r="H396" s="18">
        <f>'Sampling Data'!G396</f>
        <v>0</v>
      </c>
      <c r="I396" s="18">
        <f>'Sampling Data'!H396</f>
        <v>0</v>
      </c>
      <c r="J396" s="18">
        <f>'Sampling Data'!I396</f>
        <v>0</v>
      </c>
      <c r="K396" s="18">
        <f>'Sampling Data'!J396</f>
        <v>0</v>
      </c>
      <c r="L396" s="18">
        <f>'Sampling Data'!K396</f>
        <v>0</v>
      </c>
      <c r="M396" s="18">
        <f>'Sampling Data'!L396</f>
        <v>0</v>
      </c>
      <c r="N396" s="18">
        <f>'Sampling Data'!M396</f>
        <v>0</v>
      </c>
      <c r="O396" s="17">
        <f>'Sampling Data'!N396</f>
        <v>0</v>
      </c>
      <c r="P396" s="17">
        <f>'Sampling Data'!O396</f>
        <v>20</v>
      </c>
      <c r="Q396" s="17">
        <f>'Sampling Data'!P396</f>
        <v>232</v>
      </c>
      <c r="R396" s="17">
        <f>'Sampling Data'!AJ396</f>
        <v>0</v>
      </c>
      <c r="S396" s="111"/>
      <c r="T396" s="111"/>
      <c r="U396" s="112"/>
      <c r="V396" s="112"/>
      <c r="W396" s="111"/>
      <c r="X396" s="111"/>
      <c r="Y396" s="111"/>
      <c r="Z396" s="111"/>
      <c r="AA396" s="14"/>
      <c r="AB396" s="14"/>
      <c r="AC396" s="14"/>
      <c r="AD396" s="14"/>
      <c r="AE396" s="113" t="str">
        <f>IF(NOT(ISBLANK(Audit[[#This Row],[Audit Winning Candidate]])), Audit[[#This Row],[Audit Winning Candidate]]-Audit[[#This Row],[Winning Candidate]], "")</f>
        <v/>
      </c>
      <c r="AF396" s="17" t="str">
        <f>IF(NOT(ISBLANK(Audit[[#This Row],[Audit Losing Candidate]])), Audit[[#This Row],[Audit Losing Candidate]]-Audit[[#This Row],[Losing Candidate]], "")</f>
        <v/>
      </c>
      <c r="AG396" s="17" t="str">
        <f>IF(NOT(ISBLANK(Audit[[#This Row],[Audit Candidate 3]])), Audit[[#This Row],[Audit Candidate 3]]-Audit[[#This Row],[Candidate 3]], "")</f>
        <v/>
      </c>
      <c r="AH396" s="17" t="str">
        <f>IF(NOT(ISBLANK(Audit[[#This Row],[Audit Candidate 4]])),Audit[[#This Row],[Audit Candidate 4]]-Audit[[#This Row],[Candidate 4]], "")</f>
        <v/>
      </c>
      <c r="AI396" s="17" t="str">
        <f>IF(NOT(ISBLANK(Audit[[#This Row],[Audit Candidate 5]])), Audit[[#This Row],[Audit Candidate 5]]-Audit[[#This Row],[Candidate 5]], "")</f>
        <v/>
      </c>
      <c r="AJ396" s="17" t="str">
        <f>IF(NOT(ISBLANK(Audit[[#This Row],[Audit Candidate 6]])), Audit[[#This Row],[Audit Candidate 6]]-Audit[[#This Row],[Candidate 6]], "")</f>
        <v/>
      </c>
      <c r="AK396" s="17" t="str">
        <f>IF(NOT(ISBLANK(Audit[[#This Row],[Audit Candidate 7]])), Audit[[#This Row],[Audit Candidate 7]]-Audit[[#This Row],[Candidate 7]], "")</f>
        <v/>
      </c>
      <c r="AL396" s="17" t="str">
        <f>IF(NOT(ISBLANK(Audit[[#This Row],[Audit Candidate 8]])), Audit[[#This Row],[Audit Candidate 8]]-Audit[[#This Row],[Candidate 8]], "")</f>
        <v/>
      </c>
      <c r="AM396" s="17" t="str">
        <f>IF(NOT(ISBLANK(Audit[[#This Row],[Audit Candidate 9]])), Audit[[#This Row],[Audit Candidate 9]]-Audit[[#This Row],[Candidate 9]], "")</f>
        <v/>
      </c>
      <c r="AN396" s="17" t="str">
        <f>IF(NOT(ISBLANK(Audit[[#This Row],[Audit Candidate 10]])), Audit[[#This Row],[Audit Candidate 10]]-Audit[[#This Row],[Candidate 10]], "")</f>
        <v/>
      </c>
      <c r="AO396" s="17" t="str">
        <f>IF(NOT(ISBLANK(Audit[[#This Row],[Audit Candidate 11]])), Audit[[#This Row],[Audit Candidate 11]]-Audit[[#This Row],[Candidate 11]], "")</f>
        <v/>
      </c>
      <c r="AP396" s="17" t="str">
        <f>IF(NOT(ISBLANK(Audit[[#This Row],[Audit Candidate 12]])), Audit[[#This Row],[Audit Candidate 12]]-Audit[[#This Row],[Candidate 12]], "")</f>
        <v/>
      </c>
      <c r="AQ396" s="17">
        <f>SUMIF(Audit[[#This Row],[Difference Winner]:[Difference Candidate 12]], "&gt;0")</f>
        <v>0</v>
      </c>
      <c r="AR396" s="17">
        <f>SUM(Audit[[#This Row],[Difference Winner]:[Difference Candidate 12]])</f>
        <v>0</v>
      </c>
      <c r="AS396" s="17">
        <f>IF(Audit[[#This Row],[Times p Drawn - With Replacement]]&gt;0, IF(Audit[[#This Row],[Canceled Differences]]&lt;0, Audit[[#This Row],[Max Differences]]+ABS(Audit[[#This Row],[Canceled Differences]]), Audit[[#This Row],[Max Differences]]), 0)</f>
        <v>0</v>
      </c>
      <c r="AT396" s="17">
        <f>'Sampling Data'!AB396</f>
        <v>1.0439653709047699E-2</v>
      </c>
      <c r="AU396" s="17">
        <f>IF(
      SUM(Audit[[#This Row],[Audit Losing Candidate]:[Audit Candidate 12]])
      &lt;&gt;0,
      (Audit[[#This Row],[Winning Candidate]]-Audit[[#This Row],[Losing Candidate]]-(Audit[[#This Row],[Audit Winning Candidate]]-Audit[[#This Row],[Audit Losing Candidate]]))/(Audit[[#Totals],[Winning Candidate]]-Audit[[#Totals],[Losing Candidate]]),
      0
)</f>
        <v>0</v>
      </c>
      <c r="AV3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6" s="17">
        <f>IF(Audit[[#This Row],[Max Relative Error (ep)]] = 0, 0, Audit[[#This Row],[Max Relative Error (ep)]]/Audit[[#This Row],[Error Bound (up) - Max. possible relative overstatement]])</f>
        <v>0</v>
      </c>
      <c r="BH3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96" s="17">
        <f t="shared" si="6"/>
        <v>1</v>
      </c>
      <c r="BJ396" s="17">
        <f>PRODUCT($BI$5:BI396)</f>
        <v>0.46283459046185416</v>
      </c>
      <c r="BK396" s="19">
        <f>1 - Audit[[#This Row],[K-M P Value]]</f>
        <v>0.53716540953814584</v>
      </c>
      <c r="BL396" s="17" t="str">
        <f>IF(Audit[[#This Row],[K-M P Value]]&gt;1-'General Info'!$B$12,"Continue", "Stop")</f>
        <v>Continue</v>
      </c>
      <c r="BM396" s="22" t="b">
        <f>IF(Audit[[#This Row],[Status - Continue or stop audit]] = "Continue", TRUE, IF(BL395 = "Continue", TRUE, FALSE))</f>
        <v>1</v>
      </c>
      <c r="BN396" s="22"/>
    </row>
    <row r="397" spans="1:66" ht="15" hidden="1" customHeight="1" x14ac:dyDescent="0.35">
      <c r="A397" s="17" t="str">
        <f>'Sampling Data'!AI397</f>
        <v/>
      </c>
      <c r="B397" s="17" t="str">
        <f>'Sampling Data'!A397</f>
        <v>6207 COLUM G   (AV)</v>
      </c>
      <c r="C397" s="17">
        <f>'Sampling Data'!B397</f>
        <v>159</v>
      </c>
      <c r="D397" s="17">
        <f>'Sampling Data'!C397</f>
        <v>99</v>
      </c>
      <c r="E397" s="18">
        <f>'Sampling Data'!D397</f>
        <v>0</v>
      </c>
      <c r="F397" s="18">
        <f>'Sampling Data'!E397</f>
        <v>0</v>
      </c>
      <c r="G397" s="18">
        <f>'Sampling Data'!F397</f>
        <v>0</v>
      </c>
      <c r="H397" s="18">
        <f>'Sampling Data'!G397</f>
        <v>0</v>
      </c>
      <c r="I397" s="18">
        <f>'Sampling Data'!H397</f>
        <v>0</v>
      </c>
      <c r="J397" s="18">
        <f>'Sampling Data'!I397</f>
        <v>0</v>
      </c>
      <c r="K397" s="18">
        <f>'Sampling Data'!J397</f>
        <v>0</v>
      </c>
      <c r="L397" s="18">
        <f>'Sampling Data'!K397</f>
        <v>0</v>
      </c>
      <c r="M397" s="18">
        <f>'Sampling Data'!L397</f>
        <v>0</v>
      </c>
      <c r="N397" s="18">
        <f>'Sampling Data'!M397</f>
        <v>0</v>
      </c>
      <c r="O397" s="17">
        <f>'Sampling Data'!N397</f>
        <v>0</v>
      </c>
      <c r="P397" s="17">
        <f>'Sampling Data'!O397</f>
        <v>17</v>
      </c>
      <c r="Q397" s="17">
        <f>'Sampling Data'!P397</f>
        <v>275</v>
      </c>
      <c r="R397" s="17">
        <f>'Sampling Data'!AJ397</f>
        <v>0</v>
      </c>
      <c r="S397" s="111"/>
      <c r="T397" s="111"/>
      <c r="U397" s="112"/>
      <c r="V397" s="112"/>
      <c r="W397" s="111"/>
      <c r="X397" s="111"/>
      <c r="Y397" s="111"/>
      <c r="Z397" s="111"/>
      <c r="AA397" s="14"/>
      <c r="AB397" s="14"/>
      <c r="AC397" s="14"/>
      <c r="AD397" s="14"/>
      <c r="AE397" s="113" t="str">
        <f>IF(NOT(ISBLANK(Audit[[#This Row],[Audit Winning Candidate]])), Audit[[#This Row],[Audit Winning Candidate]]-Audit[[#This Row],[Winning Candidate]], "")</f>
        <v/>
      </c>
      <c r="AF397" s="17" t="str">
        <f>IF(NOT(ISBLANK(Audit[[#This Row],[Audit Losing Candidate]])), Audit[[#This Row],[Audit Losing Candidate]]-Audit[[#This Row],[Losing Candidate]], "")</f>
        <v/>
      </c>
      <c r="AG397" s="17" t="str">
        <f>IF(NOT(ISBLANK(Audit[[#This Row],[Audit Candidate 3]])), Audit[[#This Row],[Audit Candidate 3]]-Audit[[#This Row],[Candidate 3]], "")</f>
        <v/>
      </c>
      <c r="AH397" s="17" t="str">
        <f>IF(NOT(ISBLANK(Audit[[#This Row],[Audit Candidate 4]])),Audit[[#This Row],[Audit Candidate 4]]-Audit[[#This Row],[Candidate 4]], "")</f>
        <v/>
      </c>
      <c r="AI397" s="17" t="str">
        <f>IF(NOT(ISBLANK(Audit[[#This Row],[Audit Candidate 5]])), Audit[[#This Row],[Audit Candidate 5]]-Audit[[#This Row],[Candidate 5]], "")</f>
        <v/>
      </c>
      <c r="AJ397" s="17" t="str">
        <f>IF(NOT(ISBLANK(Audit[[#This Row],[Audit Candidate 6]])), Audit[[#This Row],[Audit Candidate 6]]-Audit[[#This Row],[Candidate 6]], "")</f>
        <v/>
      </c>
      <c r="AK397" s="17" t="str">
        <f>IF(NOT(ISBLANK(Audit[[#This Row],[Audit Candidate 7]])), Audit[[#This Row],[Audit Candidate 7]]-Audit[[#This Row],[Candidate 7]], "")</f>
        <v/>
      </c>
      <c r="AL397" s="17" t="str">
        <f>IF(NOT(ISBLANK(Audit[[#This Row],[Audit Candidate 8]])), Audit[[#This Row],[Audit Candidate 8]]-Audit[[#This Row],[Candidate 8]], "")</f>
        <v/>
      </c>
      <c r="AM397" s="17" t="str">
        <f>IF(NOT(ISBLANK(Audit[[#This Row],[Audit Candidate 9]])), Audit[[#This Row],[Audit Candidate 9]]-Audit[[#This Row],[Candidate 9]], "")</f>
        <v/>
      </c>
      <c r="AN397" s="17" t="str">
        <f>IF(NOT(ISBLANK(Audit[[#This Row],[Audit Candidate 10]])), Audit[[#This Row],[Audit Candidate 10]]-Audit[[#This Row],[Candidate 10]], "")</f>
        <v/>
      </c>
      <c r="AO397" s="17" t="str">
        <f>IF(NOT(ISBLANK(Audit[[#This Row],[Audit Candidate 11]])), Audit[[#This Row],[Audit Candidate 11]]-Audit[[#This Row],[Candidate 11]], "")</f>
        <v/>
      </c>
      <c r="AP397" s="17" t="str">
        <f>IF(NOT(ISBLANK(Audit[[#This Row],[Audit Candidate 12]])), Audit[[#This Row],[Audit Candidate 12]]-Audit[[#This Row],[Candidate 12]], "")</f>
        <v/>
      </c>
      <c r="AQ397" s="17">
        <f>SUMIF(Audit[[#This Row],[Difference Winner]:[Difference Candidate 12]], "&gt;0")</f>
        <v>0</v>
      </c>
      <c r="AR397" s="17">
        <f>SUM(Audit[[#This Row],[Difference Winner]:[Difference Candidate 12]])</f>
        <v>0</v>
      </c>
      <c r="AS397" s="17">
        <f>IF(Audit[[#This Row],[Times p Drawn - With Replacement]]&gt;0, IF(Audit[[#This Row],[Canceled Differences]]&lt;0, Audit[[#This Row],[Max Differences]]+ABS(Audit[[#This Row],[Canceled Differences]]), Audit[[#This Row],[Max Differences]]), 0)</f>
        <v>0</v>
      </c>
      <c r="AT397" s="17">
        <f>'Sampling Data'!AB397</f>
        <v>1.4216601595654388E-2</v>
      </c>
      <c r="AU397" s="17">
        <f>IF(
      SUM(Audit[[#This Row],[Audit Losing Candidate]:[Audit Candidate 12]])
      &lt;&gt;0,
      (Audit[[#This Row],[Winning Candidate]]-Audit[[#This Row],[Losing Candidate]]-(Audit[[#This Row],[Audit Winning Candidate]]-Audit[[#This Row],[Audit Losing Candidate]]))/(Audit[[#Totals],[Winning Candidate]]-Audit[[#Totals],[Losing Candidate]]),
      0
)</f>
        <v>0</v>
      </c>
      <c r="AV3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7" s="17">
        <f>IF(Audit[[#This Row],[Max Relative Error (ep)]] = 0, 0, Audit[[#This Row],[Max Relative Error (ep)]]/Audit[[#This Row],[Error Bound (up) - Max. possible relative overstatement]])</f>
        <v>0</v>
      </c>
      <c r="BH3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97" s="17">
        <f t="shared" si="6"/>
        <v>1</v>
      </c>
      <c r="BJ397" s="17">
        <f>PRODUCT($BI$5:BI397)</f>
        <v>0.46283459046185416</v>
      </c>
      <c r="BK397" s="19">
        <f>1 - Audit[[#This Row],[K-M P Value]]</f>
        <v>0.53716540953814584</v>
      </c>
      <c r="BL397" s="17" t="str">
        <f>IF(Audit[[#This Row],[K-M P Value]]&gt;1-'General Info'!$B$12,"Continue", "Stop")</f>
        <v>Continue</v>
      </c>
      <c r="BM397" s="22" t="b">
        <f>IF(Audit[[#This Row],[Status - Continue or stop audit]] = "Continue", TRUE, IF(BL396 = "Continue", TRUE, FALSE))</f>
        <v>1</v>
      </c>
      <c r="BN397" s="22"/>
    </row>
    <row r="398" spans="1:66" ht="15" hidden="1" customHeight="1" x14ac:dyDescent="0.35">
      <c r="A398" s="17" t="str">
        <f>'Sampling Data'!AI398</f>
        <v/>
      </c>
      <c r="B398" s="17" t="str">
        <f>'Sampling Data'!A398</f>
        <v>6208 COLUM H   (AV)</v>
      </c>
      <c r="C398" s="17">
        <f>'Sampling Data'!B398</f>
        <v>0</v>
      </c>
      <c r="D398" s="17">
        <f>'Sampling Data'!C398</f>
        <v>0</v>
      </c>
      <c r="E398" s="18">
        <f>'Sampling Data'!D398</f>
        <v>0</v>
      </c>
      <c r="F398" s="18">
        <f>'Sampling Data'!E398</f>
        <v>0</v>
      </c>
      <c r="G398" s="18">
        <f>'Sampling Data'!F398</f>
        <v>0</v>
      </c>
      <c r="H398" s="18">
        <f>'Sampling Data'!G398</f>
        <v>0</v>
      </c>
      <c r="I398" s="18">
        <f>'Sampling Data'!H398</f>
        <v>0</v>
      </c>
      <c r="J398" s="18">
        <f>'Sampling Data'!I398</f>
        <v>0</v>
      </c>
      <c r="K398" s="18">
        <f>'Sampling Data'!J398</f>
        <v>0</v>
      </c>
      <c r="L398" s="18">
        <f>'Sampling Data'!K398</f>
        <v>0</v>
      </c>
      <c r="M398" s="18">
        <f>'Sampling Data'!L398</f>
        <v>0</v>
      </c>
      <c r="N398" s="18">
        <f>'Sampling Data'!M398</f>
        <v>0</v>
      </c>
      <c r="O398" s="17">
        <f>'Sampling Data'!N398</f>
        <v>0</v>
      </c>
      <c r="P398" s="17">
        <f>'Sampling Data'!O398</f>
        <v>0</v>
      </c>
      <c r="Q398" s="17">
        <f>'Sampling Data'!P398</f>
        <v>0</v>
      </c>
      <c r="R398" s="17">
        <f>'Sampling Data'!AJ398</f>
        <v>0</v>
      </c>
      <c r="S398" s="111"/>
      <c r="T398" s="111"/>
      <c r="U398" s="112"/>
      <c r="V398" s="112"/>
      <c r="W398" s="111"/>
      <c r="X398" s="111"/>
      <c r="Y398" s="111"/>
      <c r="Z398" s="111"/>
      <c r="AA398" s="14"/>
      <c r="AB398" s="14"/>
      <c r="AC398" s="14"/>
      <c r="AD398" s="14"/>
      <c r="AE398" s="113" t="str">
        <f>IF(NOT(ISBLANK(Audit[[#This Row],[Audit Winning Candidate]])), Audit[[#This Row],[Audit Winning Candidate]]-Audit[[#This Row],[Winning Candidate]], "")</f>
        <v/>
      </c>
      <c r="AF398" s="17" t="str">
        <f>IF(NOT(ISBLANK(Audit[[#This Row],[Audit Losing Candidate]])), Audit[[#This Row],[Audit Losing Candidate]]-Audit[[#This Row],[Losing Candidate]], "")</f>
        <v/>
      </c>
      <c r="AG398" s="17" t="str">
        <f>IF(NOT(ISBLANK(Audit[[#This Row],[Audit Candidate 3]])), Audit[[#This Row],[Audit Candidate 3]]-Audit[[#This Row],[Candidate 3]], "")</f>
        <v/>
      </c>
      <c r="AH398" s="17" t="str">
        <f>IF(NOT(ISBLANK(Audit[[#This Row],[Audit Candidate 4]])),Audit[[#This Row],[Audit Candidate 4]]-Audit[[#This Row],[Candidate 4]], "")</f>
        <v/>
      </c>
      <c r="AI398" s="17" t="str">
        <f>IF(NOT(ISBLANK(Audit[[#This Row],[Audit Candidate 5]])), Audit[[#This Row],[Audit Candidate 5]]-Audit[[#This Row],[Candidate 5]], "")</f>
        <v/>
      </c>
      <c r="AJ398" s="17" t="str">
        <f>IF(NOT(ISBLANK(Audit[[#This Row],[Audit Candidate 6]])), Audit[[#This Row],[Audit Candidate 6]]-Audit[[#This Row],[Candidate 6]], "")</f>
        <v/>
      </c>
      <c r="AK398" s="17" t="str">
        <f>IF(NOT(ISBLANK(Audit[[#This Row],[Audit Candidate 7]])), Audit[[#This Row],[Audit Candidate 7]]-Audit[[#This Row],[Candidate 7]], "")</f>
        <v/>
      </c>
      <c r="AL398" s="17" t="str">
        <f>IF(NOT(ISBLANK(Audit[[#This Row],[Audit Candidate 8]])), Audit[[#This Row],[Audit Candidate 8]]-Audit[[#This Row],[Candidate 8]], "")</f>
        <v/>
      </c>
      <c r="AM398" s="17" t="str">
        <f>IF(NOT(ISBLANK(Audit[[#This Row],[Audit Candidate 9]])), Audit[[#This Row],[Audit Candidate 9]]-Audit[[#This Row],[Candidate 9]], "")</f>
        <v/>
      </c>
      <c r="AN398" s="17" t="str">
        <f>IF(NOT(ISBLANK(Audit[[#This Row],[Audit Candidate 10]])), Audit[[#This Row],[Audit Candidate 10]]-Audit[[#This Row],[Candidate 10]], "")</f>
        <v/>
      </c>
      <c r="AO398" s="17" t="str">
        <f>IF(NOT(ISBLANK(Audit[[#This Row],[Audit Candidate 11]])), Audit[[#This Row],[Audit Candidate 11]]-Audit[[#This Row],[Candidate 11]], "")</f>
        <v/>
      </c>
      <c r="AP398" s="17" t="str">
        <f>IF(NOT(ISBLANK(Audit[[#This Row],[Audit Candidate 12]])), Audit[[#This Row],[Audit Candidate 12]]-Audit[[#This Row],[Candidate 12]], "")</f>
        <v/>
      </c>
      <c r="AQ398" s="17">
        <f>SUMIF(Audit[[#This Row],[Difference Winner]:[Difference Candidate 12]], "&gt;0")</f>
        <v>0</v>
      </c>
      <c r="AR398" s="17">
        <f>SUM(Audit[[#This Row],[Difference Winner]:[Difference Candidate 12]])</f>
        <v>0</v>
      </c>
      <c r="AS398" s="17">
        <f>IF(Audit[[#This Row],[Times p Drawn - With Replacement]]&gt;0, IF(Audit[[#This Row],[Canceled Differences]]&lt;0, Audit[[#This Row],[Max Differences]]+ABS(Audit[[#This Row],[Canceled Differences]]), Audit[[#This Row],[Max Differences]]), 0)</f>
        <v>0</v>
      </c>
      <c r="AT398" s="17">
        <f>'Sampling Data'!AB398</f>
        <v>0</v>
      </c>
      <c r="AU398" s="17">
        <f>IF(
      SUM(Audit[[#This Row],[Audit Losing Candidate]:[Audit Candidate 12]])
      &lt;&gt;0,
      (Audit[[#This Row],[Winning Candidate]]-Audit[[#This Row],[Losing Candidate]]-(Audit[[#This Row],[Audit Winning Candidate]]-Audit[[#This Row],[Audit Losing Candidate]]))/(Audit[[#Totals],[Winning Candidate]]-Audit[[#Totals],[Losing Candidate]]),
      0
)</f>
        <v>0</v>
      </c>
      <c r="AV3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8" s="17">
        <f>IF(Audit[[#This Row],[Max Relative Error (ep)]] = 0, 0, Audit[[#This Row],[Max Relative Error (ep)]]/Audit[[#This Row],[Error Bound (up) - Max. possible relative overstatement]])</f>
        <v>0</v>
      </c>
      <c r="BH3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98" s="17">
        <f t="shared" si="6"/>
        <v>1</v>
      </c>
      <c r="BJ398" s="17">
        <f>PRODUCT($BI$5:BI398)</f>
        <v>0.46283459046185416</v>
      </c>
      <c r="BK398" s="19">
        <f>1 - Audit[[#This Row],[K-M P Value]]</f>
        <v>0.53716540953814584</v>
      </c>
      <c r="BL398" s="17" t="str">
        <f>IF(Audit[[#This Row],[K-M P Value]]&gt;1-'General Info'!$B$12,"Continue", "Stop")</f>
        <v>Continue</v>
      </c>
      <c r="BM398" s="22" t="b">
        <f>IF(Audit[[#This Row],[Status - Continue or stop audit]] = "Continue", TRUE, IF(BL397 = "Continue", TRUE, FALSE))</f>
        <v>1</v>
      </c>
      <c r="BN398" s="22"/>
    </row>
    <row r="399" spans="1:66" ht="15" hidden="1" customHeight="1" x14ac:dyDescent="0.35">
      <c r="A399" s="17" t="str">
        <f>'Sampling Data'!AI399</f>
        <v/>
      </c>
      <c r="B399" s="17" t="str">
        <f>'Sampling Data'!A399</f>
        <v>6209 COLUM I   (AV)</v>
      </c>
      <c r="C399" s="17">
        <f>'Sampling Data'!B399</f>
        <v>18</v>
      </c>
      <c r="D399" s="17">
        <f>'Sampling Data'!C399</f>
        <v>9</v>
      </c>
      <c r="E399" s="18">
        <f>'Sampling Data'!D399</f>
        <v>0</v>
      </c>
      <c r="F399" s="18">
        <f>'Sampling Data'!E399</f>
        <v>0</v>
      </c>
      <c r="G399" s="18">
        <f>'Sampling Data'!F399</f>
        <v>0</v>
      </c>
      <c r="H399" s="18">
        <f>'Sampling Data'!G399</f>
        <v>0</v>
      </c>
      <c r="I399" s="18">
        <f>'Sampling Data'!H399</f>
        <v>0</v>
      </c>
      <c r="J399" s="18">
        <f>'Sampling Data'!I399</f>
        <v>0</v>
      </c>
      <c r="K399" s="18">
        <f>'Sampling Data'!J399</f>
        <v>0</v>
      </c>
      <c r="L399" s="18">
        <f>'Sampling Data'!K399</f>
        <v>0</v>
      </c>
      <c r="M399" s="18">
        <f>'Sampling Data'!L399</f>
        <v>0</v>
      </c>
      <c r="N399" s="18">
        <f>'Sampling Data'!M399</f>
        <v>0</v>
      </c>
      <c r="O399" s="17">
        <f>'Sampling Data'!N399</f>
        <v>0</v>
      </c>
      <c r="P399" s="17">
        <f>'Sampling Data'!O399</f>
        <v>1</v>
      </c>
      <c r="Q399" s="17">
        <f>'Sampling Data'!P399</f>
        <v>28</v>
      </c>
      <c r="R399" s="17">
        <f>'Sampling Data'!AJ399</f>
        <v>0</v>
      </c>
      <c r="S399" s="111"/>
      <c r="T399" s="111"/>
      <c r="U399" s="112"/>
      <c r="V399" s="112"/>
      <c r="W399" s="111"/>
      <c r="X399" s="111"/>
      <c r="Y399" s="111"/>
      <c r="Z399" s="111"/>
      <c r="AA399" s="14"/>
      <c r="AB399" s="14"/>
      <c r="AC399" s="14"/>
      <c r="AD399" s="14"/>
      <c r="AE399" s="113" t="str">
        <f>IF(NOT(ISBLANK(Audit[[#This Row],[Audit Winning Candidate]])), Audit[[#This Row],[Audit Winning Candidate]]-Audit[[#This Row],[Winning Candidate]], "")</f>
        <v/>
      </c>
      <c r="AF399" s="17" t="str">
        <f>IF(NOT(ISBLANK(Audit[[#This Row],[Audit Losing Candidate]])), Audit[[#This Row],[Audit Losing Candidate]]-Audit[[#This Row],[Losing Candidate]], "")</f>
        <v/>
      </c>
      <c r="AG399" s="17" t="str">
        <f>IF(NOT(ISBLANK(Audit[[#This Row],[Audit Candidate 3]])), Audit[[#This Row],[Audit Candidate 3]]-Audit[[#This Row],[Candidate 3]], "")</f>
        <v/>
      </c>
      <c r="AH399" s="17" t="str">
        <f>IF(NOT(ISBLANK(Audit[[#This Row],[Audit Candidate 4]])),Audit[[#This Row],[Audit Candidate 4]]-Audit[[#This Row],[Candidate 4]], "")</f>
        <v/>
      </c>
      <c r="AI399" s="17" t="str">
        <f>IF(NOT(ISBLANK(Audit[[#This Row],[Audit Candidate 5]])), Audit[[#This Row],[Audit Candidate 5]]-Audit[[#This Row],[Candidate 5]], "")</f>
        <v/>
      </c>
      <c r="AJ399" s="17" t="str">
        <f>IF(NOT(ISBLANK(Audit[[#This Row],[Audit Candidate 6]])), Audit[[#This Row],[Audit Candidate 6]]-Audit[[#This Row],[Candidate 6]], "")</f>
        <v/>
      </c>
      <c r="AK399" s="17" t="str">
        <f>IF(NOT(ISBLANK(Audit[[#This Row],[Audit Candidate 7]])), Audit[[#This Row],[Audit Candidate 7]]-Audit[[#This Row],[Candidate 7]], "")</f>
        <v/>
      </c>
      <c r="AL399" s="17" t="str">
        <f>IF(NOT(ISBLANK(Audit[[#This Row],[Audit Candidate 8]])), Audit[[#This Row],[Audit Candidate 8]]-Audit[[#This Row],[Candidate 8]], "")</f>
        <v/>
      </c>
      <c r="AM399" s="17" t="str">
        <f>IF(NOT(ISBLANK(Audit[[#This Row],[Audit Candidate 9]])), Audit[[#This Row],[Audit Candidate 9]]-Audit[[#This Row],[Candidate 9]], "")</f>
        <v/>
      </c>
      <c r="AN399" s="17" t="str">
        <f>IF(NOT(ISBLANK(Audit[[#This Row],[Audit Candidate 10]])), Audit[[#This Row],[Audit Candidate 10]]-Audit[[#This Row],[Candidate 10]], "")</f>
        <v/>
      </c>
      <c r="AO399" s="17" t="str">
        <f>IF(NOT(ISBLANK(Audit[[#This Row],[Audit Candidate 11]])), Audit[[#This Row],[Audit Candidate 11]]-Audit[[#This Row],[Candidate 11]], "")</f>
        <v/>
      </c>
      <c r="AP399" s="17" t="str">
        <f>IF(NOT(ISBLANK(Audit[[#This Row],[Audit Candidate 12]])), Audit[[#This Row],[Audit Candidate 12]]-Audit[[#This Row],[Candidate 12]], "")</f>
        <v/>
      </c>
      <c r="AQ399" s="17">
        <f>SUMIF(Audit[[#This Row],[Difference Winner]:[Difference Candidate 12]], "&gt;0")</f>
        <v>0</v>
      </c>
      <c r="AR399" s="17">
        <f>SUM(Audit[[#This Row],[Difference Winner]:[Difference Candidate 12]])</f>
        <v>0</v>
      </c>
      <c r="AS399" s="17">
        <f>IF(Audit[[#This Row],[Times p Drawn - With Replacement]]&gt;0, IF(Audit[[#This Row],[Canceled Differences]]&lt;0, Audit[[#This Row],[Max Differences]]+ABS(Audit[[#This Row],[Canceled Differences]]), Audit[[#This Row],[Max Differences]]), 0)</f>
        <v>0</v>
      </c>
      <c r="AT399" s="17">
        <f>'Sampling Data'!AB399</f>
        <v>1.5701918180274995E-3</v>
      </c>
      <c r="AU399" s="17">
        <f>IF(
      SUM(Audit[[#This Row],[Audit Losing Candidate]:[Audit Candidate 12]])
      &lt;&gt;0,
      (Audit[[#This Row],[Winning Candidate]]-Audit[[#This Row],[Losing Candidate]]-(Audit[[#This Row],[Audit Winning Candidate]]-Audit[[#This Row],[Audit Losing Candidate]]))/(Audit[[#Totals],[Winning Candidate]]-Audit[[#Totals],[Losing Candidate]]),
      0
)</f>
        <v>0</v>
      </c>
      <c r="AV3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9" s="17">
        <f>IF(Audit[[#This Row],[Max Relative Error (ep)]] = 0, 0, Audit[[#This Row],[Max Relative Error (ep)]]/Audit[[#This Row],[Error Bound (up) - Max. possible relative overstatement]])</f>
        <v>0</v>
      </c>
      <c r="BH3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399" s="17">
        <f t="shared" ref="BI399:BI462" si="7">IF(ISERR(POWER(BH399,R399)), 0, POWER(BH399,R399))</f>
        <v>1</v>
      </c>
      <c r="BJ399" s="17">
        <f>PRODUCT($BI$5:BI399)</f>
        <v>0.46283459046185416</v>
      </c>
      <c r="BK399" s="19">
        <f>1 - Audit[[#This Row],[K-M P Value]]</f>
        <v>0.53716540953814584</v>
      </c>
      <c r="BL399" s="17" t="str">
        <f>IF(Audit[[#This Row],[K-M P Value]]&gt;1-'General Info'!$B$12,"Continue", "Stop")</f>
        <v>Continue</v>
      </c>
      <c r="BM399" s="22" t="b">
        <f>IF(Audit[[#This Row],[Status - Continue or stop audit]] = "Continue", TRUE, IF(BL398 = "Continue", TRUE, FALSE))</f>
        <v>1</v>
      </c>
      <c r="BN399" s="22"/>
    </row>
    <row r="400" spans="1:66" ht="15" hidden="1" customHeight="1" x14ac:dyDescent="0.35">
      <c r="A400" s="17" t="str">
        <f>'Sampling Data'!AI400</f>
        <v/>
      </c>
      <c r="B400" s="17" t="str">
        <f>'Sampling Data'!A400</f>
        <v>6401 CROSB A   (AV)</v>
      </c>
      <c r="C400" s="17">
        <f>'Sampling Data'!B400</f>
        <v>87</v>
      </c>
      <c r="D400" s="17">
        <f>'Sampling Data'!C400</f>
        <v>215</v>
      </c>
      <c r="E400" s="18">
        <f>'Sampling Data'!D400</f>
        <v>0</v>
      </c>
      <c r="F400" s="18">
        <f>'Sampling Data'!E400</f>
        <v>0</v>
      </c>
      <c r="G400" s="18">
        <f>'Sampling Data'!F400</f>
        <v>0</v>
      </c>
      <c r="H400" s="18">
        <f>'Sampling Data'!G400</f>
        <v>0</v>
      </c>
      <c r="I400" s="18">
        <f>'Sampling Data'!H400</f>
        <v>0</v>
      </c>
      <c r="J400" s="18">
        <f>'Sampling Data'!I400</f>
        <v>0</v>
      </c>
      <c r="K400" s="18">
        <f>'Sampling Data'!J400</f>
        <v>0</v>
      </c>
      <c r="L400" s="18">
        <f>'Sampling Data'!K400</f>
        <v>0</v>
      </c>
      <c r="M400" s="18">
        <f>'Sampling Data'!L400</f>
        <v>0</v>
      </c>
      <c r="N400" s="18">
        <f>'Sampling Data'!M400</f>
        <v>0</v>
      </c>
      <c r="O400" s="17">
        <f>'Sampling Data'!N400</f>
        <v>0</v>
      </c>
      <c r="P400" s="17">
        <f>'Sampling Data'!O400</f>
        <v>22</v>
      </c>
      <c r="Q400" s="17">
        <f>'Sampling Data'!P400</f>
        <v>324</v>
      </c>
      <c r="R400" s="17">
        <f>'Sampling Data'!AJ400</f>
        <v>0</v>
      </c>
      <c r="S400" s="111"/>
      <c r="T400" s="111"/>
      <c r="U400" s="112"/>
      <c r="V400" s="112"/>
      <c r="W400" s="111"/>
      <c r="X400" s="111"/>
      <c r="Y400" s="111"/>
      <c r="Z400" s="111"/>
      <c r="AA400" s="14"/>
      <c r="AB400" s="14"/>
      <c r="AC400" s="14"/>
      <c r="AD400" s="14"/>
      <c r="AE400" s="113" t="str">
        <f>IF(NOT(ISBLANK(Audit[[#This Row],[Audit Winning Candidate]])), Audit[[#This Row],[Audit Winning Candidate]]-Audit[[#This Row],[Winning Candidate]], "")</f>
        <v/>
      </c>
      <c r="AF400" s="17" t="str">
        <f>IF(NOT(ISBLANK(Audit[[#This Row],[Audit Losing Candidate]])), Audit[[#This Row],[Audit Losing Candidate]]-Audit[[#This Row],[Losing Candidate]], "")</f>
        <v/>
      </c>
      <c r="AG400" s="17" t="str">
        <f>IF(NOT(ISBLANK(Audit[[#This Row],[Audit Candidate 3]])), Audit[[#This Row],[Audit Candidate 3]]-Audit[[#This Row],[Candidate 3]], "")</f>
        <v/>
      </c>
      <c r="AH400" s="17" t="str">
        <f>IF(NOT(ISBLANK(Audit[[#This Row],[Audit Candidate 4]])),Audit[[#This Row],[Audit Candidate 4]]-Audit[[#This Row],[Candidate 4]], "")</f>
        <v/>
      </c>
      <c r="AI400" s="17" t="str">
        <f>IF(NOT(ISBLANK(Audit[[#This Row],[Audit Candidate 5]])), Audit[[#This Row],[Audit Candidate 5]]-Audit[[#This Row],[Candidate 5]], "")</f>
        <v/>
      </c>
      <c r="AJ400" s="17" t="str">
        <f>IF(NOT(ISBLANK(Audit[[#This Row],[Audit Candidate 6]])), Audit[[#This Row],[Audit Candidate 6]]-Audit[[#This Row],[Candidate 6]], "")</f>
        <v/>
      </c>
      <c r="AK400" s="17" t="str">
        <f>IF(NOT(ISBLANK(Audit[[#This Row],[Audit Candidate 7]])), Audit[[#This Row],[Audit Candidate 7]]-Audit[[#This Row],[Candidate 7]], "")</f>
        <v/>
      </c>
      <c r="AL400" s="17" t="str">
        <f>IF(NOT(ISBLANK(Audit[[#This Row],[Audit Candidate 8]])), Audit[[#This Row],[Audit Candidate 8]]-Audit[[#This Row],[Candidate 8]], "")</f>
        <v/>
      </c>
      <c r="AM400" s="17" t="str">
        <f>IF(NOT(ISBLANK(Audit[[#This Row],[Audit Candidate 9]])), Audit[[#This Row],[Audit Candidate 9]]-Audit[[#This Row],[Candidate 9]], "")</f>
        <v/>
      </c>
      <c r="AN400" s="17" t="str">
        <f>IF(NOT(ISBLANK(Audit[[#This Row],[Audit Candidate 10]])), Audit[[#This Row],[Audit Candidate 10]]-Audit[[#This Row],[Candidate 10]], "")</f>
        <v/>
      </c>
      <c r="AO400" s="17" t="str">
        <f>IF(NOT(ISBLANK(Audit[[#This Row],[Audit Candidate 11]])), Audit[[#This Row],[Audit Candidate 11]]-Audit[[#This Row],[Candidate 11]], "")</f>
        <v/>
      </c>
      <c r="AP400" s="17" t="str">
        <f>IF(NOT(ISBLANK(Audit[[#This Row],[Audit Candidate 12]])), Audit[[#This Row],[Audit Candidate 12]]-Audit[[#This Row],[Candidate 12]], "")</f>
        <v/>
      </c>
      <c r="AQ400" s="17">
        <f>SUMIF(Audit[[#This Row],[Difference Winner]:[Difference Candidate 12]], "&gt;0")</f>
        <v>0</v>
      </c>
      <c r="AR400" s="17">
        <f>SUM(Audit[[#This Row],[Difference Winner]:[Difference Candidate 12]])</f>
        <v>0</v>
      </c>
      <c r="AS400" s="17">
        <f>IF(Audit[[#This Row],[Times p Drawn - With Replacement]]&gt;0, IF(Audit[[#This Row],[Canceled Differences]]&lt;0, Audit[[#This Row],[Max Differences]]+ABS(Audit[[#This Row],[Canceled Differences]]), Audit[[#This Row],[Max Differences]]), 0)</f>
        <v>0</v>
      </c>
      <c r="AT400" s="17">
        <f>'Sampling Data'!AB400</f>
        <v>8.3177728738754036E-3</v>
      </c>
      <c r="AU400" s="17">
        <f>IF(
      SUM(Audit[[#This Row],[Audit Losing Candidate]:[Audit Candidate 12]])
      &lt;&gt;0,
      (Audit[[#This Row],[Winning Candidate]]-Audit[[#This Row],[Losing Candidate]]-(Audit[[#This Row],[Audit Winning Candidate]]-Audit[[#This Row],[Audit Losing Candidate]]))/(Audit[[#Totals],[Winning Candidate]]-Audit[[#Totals],[Losing Candidate]]),
      0
)</f>
        <v>0</v>
      </c>
      <c r="AV4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0" s="17">
        <f>IF(Audit[[#This Row],[Max Relative Error (ep)]] = 0, 0, Audit[[#This Row],[Max Relative Error (ep)]]/Audit[[#This Row],[Error Bound (up) - Max. possible relative overstatement]])</f>
        <v>0</v>
      </c>
      <c r="BH4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00" s="17">
        <f t="shared" si="7"/>
        <v>1</v>
      </c>
      <c r="BJ400" s="17">
        <f>PRODUCT($BI$5:BI400)</f>
        <v>0.46283459046185416</v>
      </c>
      <c r="BK400" s="19">
        <f>1 - Audit[[#This Row],[K-M P Value]]</f>
        <v>0.53716540953814584</v>
      </c>
      <c r="BL400" s="17" t="str">
        <f>IF(Audit[[#This Row],[K-M P Value]]&gt;1-'General Info'!$B$12,"Continue", "Stop")</f>
        <v>Continue</v>
      </c>
      <c r="BM400" s="22" t="b">
        <f>IF(Audit[[#This Row],[Status - Continue or stop audit]] = "Continue", TRUE, IF(BL399 = "Continue", TRUE, FALSE))</f>
        <v>1</v>
      </c>
      <c r="BN400" s="22"/>
    </row>
    <row r="401" spans="1:66" ht="15" hidden="1" customHeight="1" x14ac:dyDescent="0.35">
      <c r="A401" s="17" t="str">
        <f>'Sampling Data'!AI401</f>
        <v/>
      </c>
      <c r="B401" s="17" t="str">
        <f>'Sampling Data'!A401</f>
        <v>6402 CROSB B   (AV)</v>
      </c>
      <c r="C401" s="17">
        <f>'Sampling Data'!B401</f>
        <v>58</v>
      </c>
      <c r="D401" s="17">
        <f>'Sampling Data'!C401</f>
        <v>224</v>
      </c>
      <c r="E401" s="18">
        <f>'Sampling Data'!D401</f>
        <v>0</v>
      </c>
      <c r="F401" s="18">
        <f>'Sampling Data'!E401</f>
        <v>0</v>
      </c>
      <c r="G401" s="18">
        <f>'Sampling Data'!F401</f>
        <v>0</v>
      </c>
      <c r="H401" s="18">
        <f>'Sampling Data'!G401</f>
        <v>0</v>
      </c>
      <c r="I401" s="18">
        <f>'Sampling Data'!H401</f>
        <v>0</v>
      </c>
      <c r="J401" s="18">
        <f>'Sampling Data'!I401</f>
        <v>0</v>
      </c>
      <c r="K401" s="18">
        <f>'Sampling Data'!J401</f>
        <v>0</v>
      </c>
      <c r="L401" s="18">
        <f>'Sampling Data'!K401</f>
        <v>0</v>
      </c>
      <c r="M401" s="18">
        <f>'Sampling Data'!L401</f>
        <v>0</v>
      </c>
      <c r="N401" s="18">
        <f>'Sampling Data'!M401</f>
        <v>0</v>
      </c>
      <c r="O401" s="17">
        <f>'Sampling Data'!N401</f>
        <v>1</v>
      </c>
      <c r="P401" s="17">
        <f>'Sampling Data'!O401</f>
        <v>18</v>
      </c>
      <c r="Q401" s="17">
        <f>'Sampling Data'!P401</f>
        <v>301</v>
      </c>
      <c r="R401" s="17">
        <f>'Sampling Data'!AJ401</f>
        <v>0</v>
      </c>
      <c r="S401" s="111"/>
      <c r="T401" s="111"/>
      <c r="U401" s="112"/>
      <c r="V401" s="112"/>
      <c r="W401" s="111"/>
      <c r="X401" s="111"/>
      <c r="Y401" s="111"/>
      <c r="Z401" s="111"/>
      <c r="AA401" s="14"/>
      <c r="AB401" s="14"/>
      <c r="AC401" s="14"/>
      <c r="AD401" s="14"/>
      <c r="AE401" s="113" t="str">
        <f>IF(NOT(ISBLANK(Audit[[#This Row],[Audit Winning Candidate]])), Audit[[#This Row],[Audit Winning Candidate]]-Audit[[#This Row],[Winning Candidate]], "")</f>
        <v/>
      </c>
      <c r="AF401" s="17" t="str">
        <f>IF(NOT(ISBLANK(Audit[[#This Row],[Audit Losing Candidate]])), Audit[[#This Row],[Audit Losing Candidate]]-Audit[[#This Row],[Losing Candidate]], "")</f>
        <v/>
      </c>
      <c r="AG401" s="17" t="str">
        <f>IF(NOT(ISBLANK(Audit[[#This Row],[Audit Candidate 3]])), Audit[[#This Row],[Audit Candidate 3]]-Audit[[#This Row],[Candidate 3]], "")</f>
        <v/>
      </c>
      <c r="AH401" s="17" t="str">
        <f>IF(NOT(ISBLANK(Audit[[#This Row],[Audit Candidate 4]])),Audit[[#This Row],[Audit Candidate 4]]-Audit[[#This Row],[Candidate 4]], "")</f>
        <v/>
      </c>
      <c r="AI401" s="17" t="str">
        <f>IF(NOT(ISBLANK(Audit[[#This Row],[Audit Candidate 5]])), Audit[[#This Row],[Audit Candidate 5]]-Audit[[#This Row],[Candidate 5]], "")</f>
        <v/>
      </c>
      <c r="AJ401" s="17" t="str">
        <f>IF(NOT(ISBLANK(Audit[[#This Row],[Audit Candidate 6]])), Audit[[#This Row],[Audit Candidate 6]]-Audit[[#This Row],[Candidate 6]], "")</f>
        <v/>
      </c>
      <c r="AK401" s="17" t="str">
        <f>IF(NOT(ISBLANK(Audit[[#This Row],[Audit Candidate 7]])), Audit[[#This Row],[Audit Candidate 7]]-Audit[[#This Row],[Candidate 7]], "")</f>
        <v/>
      </c>
      <c r="AL401" s="17" t="str">
        <f>IF(NOT(ISBLANK(Audit[[#This Row],[Audit Candidate 8]])), Audit[[#This Row],[Audit Candidate 8]]-Audit[[#This Row],[Candidate 8]], "")</f>
        <v/>
      </c>
      <c r="AM401" s="17" t="str">
        <f>IF(NOT(ISBLANK(Audit[[#This Row],[Audit Candidate 9]])), Audit[[#This Row],[Audit Candidate 9]]-Audit[[#This Row],[Candidate 9]], "")</f>
        <v/>
      </c>
      <c r="AN401" s="17" t="str">
        <f>IF(NOT(ISBLANK(Audit[[#This Row],[Audit Candidate 10]])), Audit[[#This Row],[Audit Candidate 10]]-Audit[[#This Row],[Candidate 10]], "")</f>
        <v/>
      </c>
      <c r="AO401" s="17" t="str">
        <f>IF(NOT(ISBLANK(Audit[[#This Row],[Audit Candidate 11]])), Audit[[#This Row],[Audit Candidate 11]]-Audit[[#This Row],[Candidate 11]], "")</f>
        <v/>
      </c>
      <c r="AP401" s="17" t="str">
        <f>IF(NOT(ISBLANK(Audit[[#This Row],[Audit Candidate 12]])), Audit[[#This Row],[Audit Candidate 12]]-Audit[[#This Row],[Candidate 12]], "")</f>
        <v/>
      </c>
      <c r="AQ401" s="17">
        <f>SUMIF(Audit[[#This Row],[Difference Winner]:[Difference Candidate 12]], "&gt;0")</f>
        <v>0</v>
      </c>
      <c r="AR401" s="17">
        <f>SUM(Audit[[#This Row],[Difference Winner]:[Difference Candidate 12]])</f>
        <v>0</v>
      </c>
      <c r="AS401" s="17">
        <f>IF(Audit[[#This Row],[Times p Drawn - With Replacement]]&gt;0, IF(Audit[[#This Row],[Canceled Differences]]&lt;0, Audit[[#This Row],[Max Differences]]+ABS(Audit[[#This Row],[Canceled Differences]]), Audit[[#This Row],[Max Differences]]), 0)</f>
        <v>0</v>
      </c>
      <c r="AT401" s="17">
        <f>'Sampling Data'!AB401</f>
        <v>5.7290782549652012E-3</v>
      </c>
      <c r="AU401" s="17">
        <f>IF(
      SUM(Audit[[#This Row],[Audit Losing Candidate]:[Audit Candidate 12]])
      &lt;&gt;0,
      (Audit[[#This Row],[Winning Candidate]]-Audit[[#This Row],[Losing Candidate]]-(Audit[[#This Row],[Audit Winning Candidate]]-Audit[[#This Row],[Audit Losing Candidate]]))/(Audit[[#Totals],[Winning Candidate]]-Audit[[#Totals],[Losing Candidate]]),
      0
)</f>
        <v>0</v>
      </c>
      <c r="AV4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1" s="17">
        <f>IF(Audit[[#This Row],[Max Relative Error (ep)]] = 0, 0, Audit[[#This Row],[Max Relative Error (ep)]]/Audit[[#This Row],[Error Bound (up) - Max. possible relative overstatement]])</f>
        <v>0</v>
      </c>
      <c r="BH4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01" s="17">
        <f t="shared" si="7"/>
        <v>1</v>
      </c>
      <c r="BJ401" s="17">
        <f>PRODUCT($BI$5:BI401)</f>
        <v>0.46283459046185416</v>
      </c>
      <c r="BK401" s="19">
        <f>1 - Audit[[#This Row],[K-M P Value]]</f>
        <v>0.53716540953814584</v>
      </c>
      <c r="BL401" s="17" t="str">
        <f>IF(Audit[[#This Row],[K-M P Value]]&gt;1-'General Info'!$B$12,"Continue", "Stop")</f>
        <v>Continue</v>
      </c>
      <c r="BM401" s="22" t="b">
        <f>IF(Audit[[#This Row],[Status - Continue or stop audit]] = "Continue", TRUE, IF(BL400 = "Continue", TRUE, FALSE))</f>
        <v>1</v>
      </c>
      <c r="BN401" s="22"/>
    </row>
    <row r="402" spans="1:66" ht="15" hidden="1" customHeight="1" x14ac:dyDescent="0.35">
      <c r="A402" s="17" t="str">
        <f>'Sampling Data'!AI402</f>
        <v/>
      </c>
      <c r="B402" s="17" t="str">
        <f>'Sampling Data'!A402</f>
        <v>6501 DELHI A   (AV)</v>
      </c>
      <c r="C402" s="17">
        <f>'Sampling Data'!B402</f>
        <v>80</v>
      </c>
      <c r="D402" s="17">
        <f>'Sampling Data'!C402</f>
        <v>110</v>
      </c>
      <c r="E402" s="18">
        <f>'Sampling Data'!D402</f>
        <v>0</v>
      </c>
      <c r="F402" s="18">
        <f>'Sampling Data'!E402</f>
        <v>0</v>
      </c>
      <c r="G402" s="18">
        <f>'Sampling Data'!F402</f>
        <v>0</v>
      </c>
      <c r="H402" s="18">
        <f>'Sampling Data'!G402</f>
        <v>0</v>
      </c>
      <c r="I402" s="18">
        <f>'Sampling Data'!H402</f>
        <v>0</v>
      </c>
      <c r="J402" s="18">
        <f>'Sampling Data'!I402</f>
        <v>0</v>
      </c>
      <c r="K402" s="18">
        <f>'Sampling Data'!J402</f>
        <v>0</v>
      </c>
      <c r="L402" s="18">
        <f>'Sampling Data'!K402</f>
        <v>0</v>
      </c>
      <c r="M402" s="18">
        <f>'Sampling Data'!L402</f>
        <v>0</v>
      </c>
      <c r="N402" s="18">
        <f>'Sampling Data'!M402</f>
        <v>0</v>
      </c>
      <c r="O402" s="17">
        <f>'Sampling Data'!N402</f>
        <v>0</v>
      </c>
      <c r="P402" s="17">
        <f>'Sampling Data'!O402</f>
        <v>5</v>
      </c>
      <c r="Q402" s="17">
        <f>'Sampling Data'!P402</f>
        <v>195</v>
      </c>
      <c r="R402" s="17">
        <f>'Sampling Data'!AJ402</f>
        <v>0</v>
      </c>
      <c r="S402" s="111"/>
      <c r="T402" s="111"/>
      <c r="U402" s="112"/>
      <c r="V402" s="112"/>
      <c r="W402" s="111"/>
      <c r="X402" s="111"/>
      <c r="Y402" s="111"/>
      <c r="Z402" s="111"/>
      <c r="AA402" s="14"/>
      <c r="AB402" s="14"/>
      <c r="AC402" s="14"/>
      <c r="AD402" s="14"/>
      <c r="AE402" s="113" t="str">
        <f>IF(NOT(ISBLANK(Audit[[#This Row],[Audit Winning Candidate]])), Audit[[#This Row],[Audit Winning Candidate]]-Audit[[#This Row],[Winning Candidate]], "")</f>
        <v/>
      </c>
      <c r="AF402" s="17" t="str">
        <f>IF(NOT(ISBLANK(Audit[[#This Row],[Audit Losing Candidate]])), Audit[[#This Row],[Audit Losing Candidate]]-Audit[[#This Row],[Losing Candidate]], "")</f>
        <v/>
      </c>
      <c r="AG402" s="17" t="str">
        <f>IF(NOT(ISBLANK(Audit[[#This Row],[Audit Candidate 3]])), Audit[[#This Row],[Audit Candidate 3]]-Audit[[#This Row],[Candidate 3]], "")</f>
        <v/>
      </c>
      <c r="AH402" s="17" t="str">
        <f>IF(NOT(ISBLANK(Audit[[#This Row],[Audit Candidate 4]])),Audit[[#This Row],[Audit Candidate 4]]-Audit[[#This Row],[Candidate 4]], "")</f>
        <v/>
      </c>
      <c r="AI402" s="17" t="str">
        <f>IF(NOT(ISBLANK(Audit[[#This Row],[Audit Candidate 5]])), Audit[[#This Row],[Audit Candidate 5]]-Audit[[#This Row],[Candidate 5]], "")</f>
        <v/>
      </c>
      <c r="AJ402" s="17" t="str">
        <f>IF(NOT(ISBLANK(Audit[[#This Row],[Audit Candidate 6]])), Audit[[#This Row],[Audit Candidate 6]]-Audit[[#This Row],[Candidate 6]], "")</f>
        <v/>
      </c>
      <c r="AK402" s="17" t="str">
        <f>IF(NOT(ISBLANK(Audit[[#This Row],[Audit Candidate 7]])), Audit[[#This Row],[Audit Candidate 7]]-Audit[[#This Row],[Candidate 7]], "")</f>
        <v/>
      </c>
      <c r="AL402" s="17" t="str">
        <f>IF(NOT(ISBLANK(Audit[[#This Row],[Audit Candidate 8]])), Audit[[#This Row],[Audit Candidate 8]]-Audit[[#This Row],[Candidate 8]], "")</f>
        <v/>
      </c>
      <c r="AM402" s="17" t="str">
        <f>IF(NOT(ISBLANK(Audit[[#This Row],[Audit Candidate 9]])), Audit[[#This Row],[Audit Candidate 9]]-Audit[[#This Row],[Candidate 9]], "")</f>
        <v/>
      </c>
      <c r="AN402" s="17" t="str">
        <f>IF(NOT(ISBLANK(Audit[[#This Row],[Audit Candidate 10]])), Audit[[#This Row],[Audit Candidate 10]]-Audit[[#This Row],[Candidate 10]], "")</f>
        <v/>
      </c>
      <c r="AO402" s="17" t="str">
        <f>IF(NOT(ISBLANK(Audit[[#This Row],[Audit Candidate 11]])), Audit[[#This Row],[Audit Candidate 11]]-Audit[[#This Row],[Candidate 11]], "")</f>
        <v/>
      </c>
      <c r="AP402" s="17" t="str">
        <f>IF(NOT(ISBLANK(Audit[[#This Row],[Audit Candidate 12]])), Audit[[#This Row],[Audit Candidate 12]]-Audit[[#This Row],[Candidate 12]], "")</f>
        <v/>
      </c>
      <c r="AQ402" s="17">
        <f>SUMIF(Audit[[#This Row],[Difference Winner]:[Difference Candidate 12]], "&gt;0")</f>
        <v>0</v>
      </c>
      <c r="AR402" s="17">
        <f>SUM(Audit[[#This Row],[Difference Winner]:[Difference Candidate 12]])</f>
        <v>0</v>
      </c>
      <c r="AS402" s="17">
        <f>IF(Audit[[#This Row],[Times p Drawn - With Replacement]]&gt;0, IF(Audit[[#This Row],[Canceled Differences]]&lt;0, Audit[[#This Row],[Max Differences]]+ABS(Audit[[#This Row],[Canceled Differences]]), Audit[[#This Row],[Max Differences]]), 0)</f>
        <v>0</v>
      </c>
      <c r="AT402" s="17">
        <f>'Sampling Data'!AB402</f>
        <v>7.0022067560685788E-3</v>
      </c>
      <c r="AU402" s="17">
        <f>IF(
      SUM(Audit[[#This Row],[Audit Losing Candidate]:[Audit Candidate 12]])
      &lt;&gt;0,
      (Audit[[#This Row],[Winning Candidate]]-Audit[[#This Row],[Losing Candidate]]-(Audit[[#This Row],[Audit Winning Candidate]]-Audit[[#This Row],[Audit Losing Candidate]]))/(Audit[[#Totals],[Winning Candidate]]-Audit[[#Totals],[Losing Candidate]]),
      0
)</f>
        <v>0</v>
      </c>
      <c r="AV4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2" s="17">
        <f>IF(Audit[[#This Row],[Max Relative Error (ep)]] = 0, 0, Audit[[#This Row],[Max Relative Error (ep)]]/Audit[[#This Row],[Error Bound (up) - Max. possible relative overstatement]])</f>
        <v>0</v>
      </c>
      <c r="BH4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02" s="17">
        <f t="shared" si="7"/>
        <v>1</v>
      </c>
      <c r="BJ402" s="17">
        <f>PRODUCT($BI$5:BI402)</f>
        <v>0.46283459046185416</v>
      </c>
      <c r="BK402" s="19">
        <f>1 - Audit[[#This Row],[K-M P Value]]</f>
        <v>0.53716540953814584</v>
      </c>
      <c r="BL402" s="17" t="str">
        <f>IF(Audit[[#This Row],[K-M P Value]]&gt;1-'General Info'!$B$12,"Continue", "Stop")</f>
        <v>Continue</v>
      </c>
      <c r="BM402" s="22" t="b">
        <f>IF(Audit[[#This Row],[Status - Continue or stop audit]] = "Continue", TRUE, IF(BL401 = "Continue", TRUE, FALSE))</f>
        <v>1</v>
      </c>
      <c r="BN402" s="22"/>
    </row>
    <row r="403" spans="1:66" ht="15" hidden="1" customHeight="1" x14ac:dyDescent="0.35">
      <c r="A403" s="17" t="str">
        <f>'Sampling Data'!AI403</f>
        <v/>
      </c>
      <c r="B403" s="17" t="str">
        <f>'Sampling Data'!A403</f>
        <v>6502 DELHI B   (AV)</v>
      </c>
      <c r="C403" s="17">
        <f>'Sampling Data'!B403</f>
        <v>77</v>
      </c>
      <c r="D403" s="17">
        <f>'Sampling Data'!C403</f>
        <v>110</v>
      </c>
      <c r="E403" s="18">
        <f>'Sampling Data'!D403</f>
        <v>0</v>
      </c>
      <c r="F403" s="18">
        <f>'Sampling Data'!E403</f>
        <v>0</v>
      </c>
      <c r="G403" s="18">
        <f>'Sampling Data'!F403</f>
        <v>0</v>
      </c>
      <c r="H403" s="18">
        <f>'Sampling Data'!G403</f>
        <v>0</v>
      </c>
      <c r="I403" s="18">
        <f>'Sampling Data'!H403</f>
        <v>0</v>
      </c>
      <c r="J403" s="18">
        <f>'Sampling Data'!I403</f>
        <v>0</v>
      </c>
      <c r="K403" s="18">
        <f>'Sampling Data'!J403</f>
        <v>0</v>
      </c>
      <c r="L403" s="18">
        <f>'Sampling Data'!K403</f>
        <v>0</v>
      </c>
      <c r="M403" s="18">
        <f>'Sampling Data'!L403</f>
        <v>0</v>
      </c>
      <c r="N403" s="18">
        <f>'Sampling Data'!M403</f>
        <v>0</v>
      </c>
      <c r="O403" s="17">
        <f>'Sampling Data'!N403</f>
        <v>0</v>
      </c>
      <c r="P403" s="17">
        <f>'Sampling Data'!O403</f>
        <v>10</v>
      </c>
      <c r="Q403" s="17">
        <f>'Sampling Data'!P403</f>
        <v>197</v>
      </c>
      <c r="R403" s="17">
        <f>'Sampling Data'!AJ403</f>
        <v>0</v>
      </c>
      <c r="S403" s="111"/>
      <c r="T403" s="111"/>
      <c r="U403" s="112"/>
      <c r="V403" s="112"/>
      <c r="W403" s="111"/>
      <c r="X403" s="111"/>
      <c r="Y403" s="111"/>
      <c r="Z403" s="111"/>
      <c r="AA403" s="14"/>
      <c r="AB403" s="14"/>
      <c r="AC403" s="14"/>
      <c r="AD403" s="14"/>
      <c r="AE403" s="113" t="str">
        <f>IF(NOT(ISBLANK(Audit[[#This Row],[Audit Winning Candidate]])), Audit[[#This Row],[Audit Winning Candidate]]-Audit[[#This Row],[Winning Candidate]], "")</f>
        <v/>
      </c>
      <c r="AF403" s="17" t="str">
        <f>IF(NOT(ISBLANK(Audit[[#This Row],[Audit Losing Candidate]])), Audit[[#This Row],[Audit Losing Candidate]]-Audit[[#This Row],[Losing Candidate]], "")</f>
        <v/>
      </c>
      <c r="AG403" s="17" t="str">
        <f>IF(NOT(ISBLANK(Audit[[#This Row],[Audit Candidate 3]])), Audit[[#This Row],[Audit Candidate 3]]-Audit[[#This Row],[Candidate 3]], "")</f>
        <v/>
      </c>
      <c r="AH403" s="17" t="str">
        <f>IF(NOT(ISBLANK(Audit[[#This Row],[Audit Candidate 4]])),Audit[[#This Row],[Audit Candidate 4]]-Audit[[#This Row],[Candidate 4]], "")</f>
        <v/>
      </c>
      <c r="AI403" s="17" t="str">
        <f>IF(NOT(ISBLANK(Audit[[#This Row],[Audit Candidate 5]])), Audit[[#This Row],[Audit Candidate 5]]-Audit[[#This Row],[Candidate 5]], "")</f>
        <v/>
      </c>
      <c r="AJ403" s="17" t="str">
        <f>IF(NOT(ISBLANK(Audit[[#This Row],[Audit Candidate 6]])), Audit[[#This Row],[Audit Candidate 6]]-Audit[[#This Row],[Candidate 6]], "")</f>
        <v/>
      </c>
      <c r="AK403" s="17" t="str">
        <f>IF(NOT(ISBLANK(Audit[[#This Row],[Audit Candidate 7]])), Audit[[#This Row],[Audit Candidate 7]]-Audit[[#This Row],[Candidate 7]], "")</f>
        <v/>
      </c>
      <c r="AL403" s="17" t="str">
        <f>IF(NOT(ISBLANK(Audit[[#This Row],[Audit Candidate 8]])), Audit[[#This Row],[Audit Candidate 8]]-Audit[[#This Row],[Candidate 8]], "")</f>
        <v/>
      </c>
      <c r="AM403" s="17" t="str">
        <f>IF(NOT(ISBLANK(Audit[[#This Row],[Audit Candidate 9]])), Audit[[#This Row],[Audit Candidate 9]]-Audit[[#This Row],[Candidate 9]], "")</f>
        <v/>
      </c>
      <c r="AN403" s="17" t="str">
        <f>IF(NOT(ISBLANK(Audit[[#This Row],[Audit Candidate 10]])), Audit[[#This Row],[Audit Candidate 10]]-Audit[[#This Row],[Candidate 10]], "")</f>
        <v/>
      </c>
      <c r="AO403" s="17" t="str">
        <f>IF(NOT(ISBLANK(Audit[[#This Row],[Audit Candidate 11]])), Audit[[#This Row],[Audit Candidate 11]]-Audit[[#This Row],[Candidate 11]], "")</f>
        <v/>
      </c>
      <c r="AP403" s="17" t="str">
        <f>IF(NOT(ISBLANK(Audit[[#This Row],[Audit Candidate 12]])), Audit[[#This Row],[Audit Candidate 12]]-Audit[[#This Row],[Candidate 12]], "")</f>
        <v/>
      </c>
      <c r="AQ403" s="17">
        <f>SUMIF(Audit[[#This Row],[Difference Winner]:[Difference Candidate 12]], "&gt;0")</f>
        <v>0</v>
      </c>
      <c r="AR403" s="17">
        <f>SUM(Audit[[#This Row],[Difference Winner]:[Difference Candidate 12]])</f>
        <v>0</v>
      </c>
      <c r="AS403" s="17">
        <f>IF(Audit[[#This Row],[Times p Drawn - With Replacement]]&gt;0, IF(Audit[[#This Row],[Canceled Differences]]&lt;0, Audit[[#This Row],[Max Differences]]+ABS(Audit[[#This Row],[Canceled Differences]]), Audit[[#This Row],[Max Differences]]), 0)</f>
        <v>0</v>
      </c>
      <c r="AT403" s="17">
        <f>'Sampling Data'!AB403</f>
        <v>6.9597691393651333E-3</v>
      </c>
      <c r="AU403" s="17">
        <f>IF(
      SUM(Audit[[#This Row],[Audit Losing Candidate]:[Audit Candidate 12]])
      &lt;&gt;0,
      (Audit[[#This Row],[Winning Candidate]]-Audit[[#This Row],[Losing Candidate]]-(Audit[[#This Row],[Audit Winning Candidate]]-Audit[[#This Row],[Audit Losing Candidate]]))/(Audit[[#Totals],[Winning Candidate]]-Audit[[#Totals],[Losing Candidate]]),
      0
)</f>
        <v>0</v>
      </c>
      <c r="AV4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3" s="17">
        <f>IF(Audit[[#This Row],[Max Relative Error (ep)]] = 0, 0, Audit[[#This Row],[Max Relative Error (ep)]]/Audit[[#This Row],[Error Bound (up) - Max. possible relative overstatement]])</f>
        <v>0</v>
      </c>
      <c r="BH4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03" s="17">
        <f t="shared" si="7"/>
        <v>1</v>
      </c>
      <c r="BJ403" s="17">
        <f>PRODUCT($BI$5:BI403)</f>
        <v>0.46283459046185416</v>
      </c>
      <c r="BK403" s="19">
        <f>1 - Audit[[#This Row],[K-M P Value]]</f>
        <v>0.53716540953814584</v>
      </c>
      <c r="BL403" s="17" t="str">
        <f>IF(Audit[[#This Row],[K-M P Value]]&gt;1-'General Info'!$B$12,"Continue", "Stop")</f>
        <v>Continue</v>
      </c>
      <c r="BM403" s="22" t="b">
        <f>IF(Audit[[#This Row],[Status - Continue or stop audit]] = "Continue", TRUE, IF(BL402 = "Continue", TRUE, FALSE))</f>
        <v>1</v>
      </c>
      <c r="BN403" s="22"/>
    </row>
    <row r="404" spans="1:66" ht="15" hidden="1" customHeight="1" x14ac:dyDescent="0.35">
      <c r="A404" s="17" t="str">
        <f>'Sampling Data'!AI404</f>
        <v/>
      </c>
      <c r="B404" s="17" t="str">
        <f>'Sampling Data'!A404</f>
        <v>6503 DELHI C   (AV)</v>
      </c>
      <c r="C404" s="17">
        <f>'Sampling Data'!B404</f>
        <v>77</v>
      </c>
      <c r="D404" s="17">
        <f>'Sampling Data'!C404</f>
        <v>156</v>
      </c>
      <c r="E404" s="18">
        <f>'Sampling Data'!D404</f>
        <v>0</v>
      </c>
      <c r="F404" s="18">
        <f>'Sampling Data'!E404</f>
        <v>0</v>
      </c>
      <c r="G404" s="18">
        <f>'Sampling Data'!F404</f>
        <v>0</v>
      </c>
      <c r="H404" s="18">
        <f>'Sampling Data'!G404</f>
        <v>0</v>
      </c>
      <c r="I404" s="18">
        <f>'Sampling Data'!H404</f>
        <v>0</v>
      </c>
      <c r="J404" s="18">
        <f>'Sampling Data'!I404</f>
        <v>0</v>
      </c>
      <c r="K404" s="18">
        <f>'Sampling Data'!J404</f>
        <v>0</v>
      </c>
      <c r="L404" s="18">
        <f>'Sampling Data'!K404</f>
        <v>0</v>
      </c>
      <c r="M404" s="18">
        <f>'Sampling Data'!L404</f>
        <v>0</v>
      </c>
      <c r="N404" s="18">
        <f>'Sampling Data'!M404</f>
        <v>0</v>
      </c>
      <c r="O404" s="17">
        <f>'Sampling Data'!N404</f>
        <v>0</v>
      </c>
      <c r="P404" s="17">
        <f>'Sampling Data'!O404</f>
        <v>16</v>
      </c>
      <c r="Q404" s="17">
        <f>'Sampling Data'!P404</f>
        <v>249</v>
      </c>
      <c r="R404" s="17">
        <f>'Sampling Data'!AJ404</f>
        <v>0</v>
      </c>
      <c r="S404" s="111"/>
      <c r="T404" s="111"/>
      <c r="U404" s="112"/>
      <c r="V404" s="112"/>
      <c r="W404" s="111"/>
      <c r="X404" s="111"/>
      <c r="Y404" s="111"/>
      <c r="Z404" s="111"/>
      <c r="AA404" s="14"/>
      <c r="AB404" s="14"/>
      <c r="AC404" s="14"/>
      <c r="AD404" s="14"/>
      <c r="AE404" s="113" t="str">
        <f>IF(NOT(ISBLANK(Audit[[#This Row],[Audit Winning Candidate]])), Audit[[#This Row],[Audit Winning Candidate]]-Audit[[#This Row],[Winning Candidate]], "")</f>
        <v/>
      </c>
      <c r="AF404" s="17" t="str">
        <f>IF(NOT(ISBLANK(Audit[[#This Row],[Audit Losing Candidate]])), Audit[[#This Row],[Audit Losing Candidate]]-Audit[[#This Row],[Losing Candidate]], "")</f>
        <v/>
      </c>
      <c r="AG404" s="17" t="str">
        <f>IF(NOT(ISBLANK(Audit[[#This Row],[Audit Candidate 3]])), Audit[[#This Row],[Audit Candidate 3]]-Audit[[#This Row],[Candidate 3]], "")</f>
        <v/>
      </c>
      <c r="AH404" s="17" t="str">
        <f>IF(NOT(ISBLANK(Audit[[#This Row],[Audit Candidate 4]])),Audit[[#This Row],[Audit Candidate 4]]-Audit[[#This Row],[Candidate 4]], "")</f>
        <v/>
      </c>
      <c r="AI404" s="17" t="str">
        <f>IF(NOT(ISBLANK(Audit[[#This Row],[Audit Candidate 5]])), Audit[[#This Row],[Audit Candidate 5]]-Audit[[#This Row],[Candidate 5]], "")</f>
        <v/>
      </c>
      <c r="AJ404" s="17" t="str">
        <f>IF(NOT(ISBLANK(Audit[[#This Row],[Audit Candidate 6]])), Audit[[#This Row],[Audit Candidate 6]]-Audit[[#This Row],[Candidate 6]], "")</f>
        <v/>
      </c>
      <c r="AK404" s="17" t="str">
        <f>IF(NOT(ISBLANK(Audit[[#This Row],[Audit Candidate 7]])), Audit[[#This Row],[Audit Candidate 7]]-Audit[[#This Row],[Candidate 7]], "")</f>
        <v/>
      </c>
      <c r="AL404" s="17" t="str">
        <f>IF(NOT(ISBLANK(Audit[[#This Row],[Audit Candidate 8]])), Audit[[#This Row],[Audit Candidate 8]]-Audit[[#This Row],[Candidate 8]], "")</f>
        <v/>
      </c>
      <c r="AM404" s="17" t="str">
        <f>IF(NOT(ISBLANK(Audit[[#This Row],[Audit Candidate 9]])), Audit[[#This Row],[Audit Candidate 9]]-Audit[[#This Row],[Candidate 9]], "")</f>
        <v/>
      </c>
      <c r="AN404" s="17" t="str">
        <f>IF(NOT(ISBLANK(Audit[[#This Row],[Audit Candidate 10]])), Audit[[#This Row],[Audit Candidate 10]]-Audit[[#This Row],[Candidate 10]], "")</f>
        <v/>
      </c>
      <c r="AO404" s="17" t="str">
        <f>IF(NOT(ISBLANK(Audit[[#This Row],[Audit Candidate 11]])), Audit[[#This Row],[Audit Candidate 11]]-Audit[[#This Row],[Candidate 11]], "")</f>
        <v/>
      </c>
      <c r="AP404" s="17" t="str">
        <f>IF(NOT(ISBLANK(Audit[[#This Row],[Audit Candidate 12]])), Audit[[#This Row],[Audit Candidate 12]]-Audit[[#This Row],[Candidate 12]], "")</f>
        <v/>
      </c>
      <c r="AQ404" s="17">
        <f>SUMIF(Audit[[#This Row],[Difference Winner]:[Difference Candidate 12]], "&gt;0")</f>
        <v>0</v>
      </c>
      <c r="AR404" s="17">
        <f>SUM(Audit[[#This Row],[Difference Winner]:[Difference Candidate 12]])</f>
        <v>0</v>
      </c>
      <c r="AS404" s="17">
        <f>IF(Audit[[#This Row],[Times p Drawn - With Replacement]]&gt;0, IF(Audit[[#This Row],[Canceled Differences]]&lt;0, Audit[[#This Row],[Max Differences]]+ABS(Audit[[#This Row],[Canceled Differences]]), Audit[[#This Row],[Max Differences]]), 0)</f>
        <v>0</v>
      </c>
      <c r="AT404" s="17">
        <f>'Sampling Data'!AB404</f>
        <v>7.2143948395858087E-3</v>
      </c>
      <c r="AU404" s="17">
        <f>IF(
      SUM(Audit[[#This Row],[Audit Losing Candidate]:[Audit Candidate 12]])
      &lt;&gt;0,
      (Audit[[#This Row],[Winning Candidate]]-Audit[[#This Row],[Losing Candidate]]-(Audit[[#This Row],[Audit Winning Candidate]]-Audit[[#This Row],[Audit Losing Candidate]]))/(Audit[[#Totals],[Winning Candidate]]-Audit[[#Totals],[Losing Candidate]]),
      0
)</f>
        <v>0</v>
      </c>
      <c r="AV4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4" s="17">
        <f>IF(Audit[[#This Row],[Max Relative Error (ep)]] = 0, 0, Audit[[#This Row],[Max Relative Error (ep)]]/Audit[[#This Row],[Error Bound (up) - Max. possible relative overstatement]])</f>
        <v>0</v>
      </c>
      <c r="BH4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04" s="17">
        <f t="shared" si="7"/>
        <v>1</v>
      </c>
      <c r="BJ404" s="17">
        <f>PRODUCT($BI$5:BI404)</f>
        <v>0.46283459046185416</v>
      </c>
      <c r="BK404" s="19">
        <f>1 - Audit[[#This Row],[K-M P Value]]</f>
        <v>0.53716540953814584</v>
      </c>
      <c r="BL404" s="17" t="str">
        <f>IF(Audit[[#This Row],[K-M P Value]]&gt;1-'General Info'!$B$12,"Continue", "Stop")</f>
        <v>Continue</v>
      </c>
      <c r="BM404" s="22" t="b">
        <f>IF(Audit[[#This Row],[Status - Continue or stop audit]] = "Continue", TRUE, IF(BL403 = "Continue", TRUE, FALSE))</f>
        <v>1</v>
      </c>
      <c r="BN404" s="22"/>
    </row>
    <row r="405" spans="1:66" ht="15" hidden="1" customHeight="1" x14ac:dyDescent="0.35">
      <c r="A405" s="17" t="str">
        <f>'Sampling Data'!AI405</f>
        <v/>
      </c>
      <c r="B405" s="17" t="str">
        <f>'Sampling Data'!A405</f>
        <v>6504 DELHI D   (AV)</v>
      </c>
      <c r="C405" s="17">
        <f>'Sampling Data'!B405</f>
        <v>60</v>
      </c>
      <c r="D405" s="17">
        <f>'Sampling Data'!C405</f>
        <v>118</v>
      </c>
      <c r="E405" s="18">
        <f>'Sampling Data'!D405</f>
        <v>0</v>
      </c>
      <c r="F405" s="18">
        <f>'Sampling Data'!E405</f>
        <v>0</v>
      </c>
      <c r="G405" s="18">
        <f>'Sampling Data'!F405</f>
        <v>0</v>
      </c>
      <c r="H405" s="18">
        <f>'Sampling Data'!G405</f>
        <v>0</v>
      </c>
      <c r="I405" s="18">
        <f>'Sampling Data'!H405</f>
        <v>0</v>
      </c>
      <c r="J405" s="18">
        <f>'Sampling Data'!I405</f>
        <v>0</v>
      </c>
      <c r="K405" s="18">
        <f>'Sampling Data'!J405</f>
        <v>0</v>
      </c>
      <c r="L405" s="18">
        <f>'Sampling Data'!K405</f>
        <v>0</v>
      </c>
      <c r="M405" s="18">
        <f>'Sampling Data'!L405</f>
        <v>0</v>
      </c>
      <c r="N405" s="18">
        <f>'Sampling Data'!M405</f>
        <v>0</v>
      </c>
      <c r="O405" s="17">
        <f>'Sampling Data'!N405</f>
        <v>0</v>
      </c>
      <c r="P405" s="17">
        <f>'Sampling Data'!O405</f>
        <v>10</v>
      </c>
      <c r="Q405" s="17">
        <f>'Sampling Data'!P405</f>
        <v>188</v>
      </c>
      <c r="R405" s="17">
        <f>'Sampling Data'!AJ405</f>
        <v>0</v>
      </c>
      <c r="S405" s="111"/>
      <c r="T405" s="111"/>
      <c r="U405" s="112"/>
      <c r="V405" s="112"/>
      <c r="W405" s="111"/>
      <c r="X405" s="111"/>
      <c r="Y405" s="111"/>
      <c r="Z405" s="111"/>
      <c r="AA405" s="14"/>
      <c r="AB405" s="14"/>
      <c r="AC405" s="14"/>
      <c r="AD405" s="14"/>
      <c r="AE405" s="113" t="str">
        <f>IF(NOT(ISBLANK(Audit[[#This Row],[Audit Winning Candidate]])), Audit[[#This Row],[Audit Winning Candidate]]-Audit[[#This Row],[Winning Candidate]], "")</f>
        <v/>
      </c>
      <c r="AF405" s="17" t="str">
        <f>IF(NOT(ISBLANK(Audit[[#This Row],[Audit Losing Candidate]])), Audit[[#This Row],[Audit Losing Candidate]]-Audit[[#This Row],[Losing Candidate]], "")</f>
        <v/>
      </c>
      <c r="AG405" s="17" t="str">
        <f>IF(NOT(ISBLANK(Audit[[#This Row],[Audit Candidate 3]])), Audit[[#This Row],[Audit Candidate 3]]-Audit[[#This Row],[Candidate 3]], "")</f>
        <v/>
      </c>
      <c r="AH405" s="17" t="str">
        <f>IF(NOT(ISBLANK(Audit[[#This Row],[Audit Candidate 4]])),Audit[[#This Row],[Audit Candidate 4]]-Audit[[#This Row],[Candidate 4]], "")</f>
        <v/>
      </c>
      <c r="AI405" s="17" t="str">
        <f>IF(NOT(ISBLANK(Audit[[#This Row],[Audit Candidate 5]])), Audit[[#This Row],[Audit Candidate 5]]-Audit[[#This Row],[Candidate 5]], "")</f>
        <v/>
      </c>
      <c r="AJ405" s="17" t="str">
        <f>IF(NOT(ISBLANK(Audit[[#This Row],[Audit Candidate 6]])), Audit[[#This Row],[Audit Candidate 6]]-Audit[[#This Row],[Candidate 6]], "")</f>
        <v/>
      </c>
      <c r="AK405" s="17" t="str">
        <f>IF(NOT(ISBLANK(Audit[[#This Row],[Audit Candidate 7]])), Audit[[#This Row],[Audit Candidate 7]]-Audit[[#This Row],[Candidate 7]], "")</f>
        <v/>
      </c>
      <c r="AL405" s="17" t="str">
        <f>IF(NOT(ISBLANK(Audit[[#This Row],[Audit Candidate 8]])), Audit[[#This Row],[Audit Candidate 8]]-Audit[[#This Row],[Candidate 8]], "")</f>
        <v/>
      </c>
      <c r="AM405" s="17" t="str">
        <f>IF(NOT(ISBLANK(Audit[[#This Row],[Audit Candidate 9]])), Audit[[#This Row],[Audit Candidate 9]]-Audit[[#This Row],[Candidate 9]], "")</f>
        <v/>
      </c>
      <c r="AN405" s="17" t="str">
        <f>IF(NOT(ISBLANK(Audit[[#This Row],[Audit Candidate 10]])), Audit[[#This Row],[Audit Candidate 10]]-Audit[[#This Row],[Candidate 10]], "")</f>
        <v/>
      </c>
      <c r="AO405" s="17" t="str">
        <f>IF(NOT(ISBLANK(Audit[[#This Row],[Audit Candidate 11]])), Audit[[#This Row],[Audit Candidate 11]]-Audit[[#This Row],[Candidate 11]], "")</f>
        <v/>
      </c>
      <c r="AP405" s="17" t="str">
        <f>IF(NOT(ISBLANK(Audit[[#This Row],[Audit Candidate 12]])), Audit[[#This Row],[Audit Candidate 12]]-Audit[[#This Row],[Candidate 12]], "")</f>
        <v/>
      </c>
      <c r="AQ405" s="17">
        <f>SUMIF(Audit[[#This Row],[Difference Winner]:[Difference Candidate 12]], "&gt;0")</f>
        <v>0</v>
      </c>
      <c r="AR405" s="17">
        <f>SUM(Audit[[#This Row],[Difference Winner]:[Difference Candidate 12]])</f>
        <v>0</v>
      </c>
      <c r="AS405" s="17">
        <f>IF(Audit[[#This Row],[Times p Drawn - With Replacement]]&gt;0, IF(Audit[[#This Row],[Canceled Differences]]&lt;0, Audit[[#This Row],[Max Differences]]+ABS(Audit[[#This Row],[Canceled Differences]]), Audit[[#This Row],[Max Differences]]), 0)</f>
        <v>0</v>
      </c>
      <c r="AT405" s="17">
        <f>'Sampling Data'!AB405</f>
        <v>5.5168901714479713E-3</v>
      </c>
      <c r="AU405" s="17">
        <f>IF(
      SUM(Audit[[#This Row],[Audit Losing Candidate]:[Audit Candidate 12]])
      &lt;&gt;0,
      (Audit[[#This Row],[Winning Candidate]]-Audit[[#This Row],[Losing Candidate]]-(Audit[[#This Row],[Audit Winning Candidate]]-Audit[[#This Row],[Audit Losing Candidate]]))/(Audit[[#Totals],[Winning Candidate]]-Audit[[#Totals],[Losing Candidate]]),
      0
)</f>
        <v>0</v>
      </c>
      <c r="AV4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5" s="17">
        <f>IF(Audit[[#This Row],[Max Relative Error (ep)]] = 0, 0, Audit[[#This Row],[Max Relative Error (ep)]]/Audit[[#This Row],[Error Bound (up) - Max. possible relative overstatement]])</f>
        <v>0</v>
      </c>
      <c r="BH4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05" s="17">
        <f t="shared" si="7"/>
        <v>1</v>
      </c>
      <c r="BJ405" s="17">
        <f>PRODUCT($BI$5:BI405)</f>
        <v>0.46283459046185416</v>
      </c>
      <c r="BK405" s="19">
        <f>1 - Audit[[#This Row],[K-M P Value]]</f>
        <v>0.53716540953814584</v>
      </c>
      <c r="BL405" s="17" t="str">
        <f>IF(Audit[[#This Row],[K-M P Value]]&gt;1-'General Info'!$B$12,"Continue", "Stop")</f>
        <v>Continue</v>
      </c>
      <c r="BM405" s="22" t="b">
        <f>IF(Audit[[#This Row],[Status - Continue or stop audit]] = "Continue", TRUE, IF(BL404 = "Continue", TRUE, FALSE))</f>
        <v>1</v>
      </c>
      <c r="BN405" s="22"/>
    </row>
    <row r="406" spans="1:66" ht="15" hidden="1" customHeight="1" x14ac:dyDescent="0.35">
      <c r="A406" s="17" t="str">
        <f>'Sampling Data'!AI406</f>
        <v/>
      </c>
      <c r="B406" s="17" t="str">
        <f>'Sampling Data'!A406</f>
        <v>6505 DELHI E   (AV)</v>
      </c>
      <c r="C406" s="17">
        <f>'Sampling Data'!B406</f>
        <v>44</v>
      </c>
      <c r="D406" s="17">
        <f>'Sampling Data'!C406</f>
        <v>182</v>
      </c>
      <c r="E406" s="18">
        <f>'Sampling Data'!D406</f>
        <v>0</v>
      </c>
      <c r="F406" s="18">
        <f>'Sampling Data'!E406</f>
        <v>0</v>
      </c>
      <c r="G406" s="18">
        <f>'Sampling Data'!F406</f>
        <v>0</v>
      </c>
      <c r="H406" s="18">
        <f>'Sampling Data'!G406</f>
        <v>0</v>
      </c>
      <c r="I406" s="18">
        <f>'Sampling Data'!H406</f>
        <v>0</v>
      </c>
      <c r="J406" s="18">
        <f>'Sampling Data'!I406</f>
        <v>0</v>
      </c>
      <c r="K406" s="18">
        <f>'Sampling Data'!J406</f>
        <v>0</v>
      </c>
      <c r="L406" s="18">
        <f>'Sampling Data'!K406</f>
        <v>0</v>
      </c>
      <c r="M406" s="18">
        <f>'Sampling Data'!L406</f>
        <v>0</v>
      </c>
      <c r="N406" s="18">
        <f>'Sampling Data'!M406</f>
        <v>0</v>
      </c>
      <c r="O406" s="17">
        <f>'Sampling Data'!N406</f>
        <v>0</v>
      </c>
      <c r="P406" s="17">
        <f>'Sampling Data'!O406</f>
        <v>15</v>
      </c>
      <c r="Q406" s="17">
        <f>'Sampling Data'!P406</f>
        <v>241</v>
      </c>
      <c r="R406" s="17">
        <f>'Sampling Data'!AJ406</f>
        <v>0</v>
      </c>
      <c r="S406" s="111"/>
      <c r="T406" s="111"/>
      <c r="U406" s="112"/>
      <c r="V406" s="112"/>
      <c r="W406" s="111"/>
      <c r="X406" s="111"/>
      <c r="Y406" s="111"/>
      <c r="Z406" s="111"/>
      <c r="AA406" s="14"/>
      <c r="AB406" s="14"/>
      <c r="AC406" s="14"/>
      <c r="AD406" s="14"/>
      <c r="AE406" s="113" t="str">
        <f>IF(NOT(ISBLANK(Audit[[#This Row],[Audit Winning Candidate]])), Audit[[#This Row],[Audit Winning Candidate]]-Audit[[#This Row],[Winning Candidate]], "")</f>
        <v/>
      </c>
      <c r="AF406" s="17" t="str">
        <f>IF(NOT(ISBLANK(Audit[[#This Row],[Audit Losing Candidate]])), Audit[[#This Row],[Audit Losing Candidate]]-Audit[[#This Row],[Losing Candidate]], "")</f>
        <v/>
      </c>
      <c r="AG406" s="17" t="str">
        <f>IF(NOT(ISBLANK(Audit[[#This Row],[Audit Candidate 3]])), Audit[[#This Row],[Audit Candidate 3]]-Audit[[#This Row],[Candidate 3]], "")</f>
        <v/>
      </c>
      <c r="AH406" s="17" t="str">
        <f>IF(NOT(ISBLANK(Audit[[#This Row],[Audit Candidate 4]])),Audit[[#This Row],[Audit Candidate 4]]-Audit[[#This Row],[Candidate 4]], "")</f>
        <v/>
      </c>
      <c r="AI406" s="17" t="str">
        <f>IF(NOT(ISBLANK(Audit[[#This Row],[Audit Candidate 5]])), Audit[[#This Row],[Audit Candidate 5]]-Audit[[#This Row],[Candidate 5]], "")</f>
        <v/>
      </c>
      <c r="AJ406" s="17" t="str">
        <f>IF(NOT(ISBLANK(Audit[[#This Row],[Audit Candidate 6]])), Audit[[#This Row],[Audit Candidate 6]]-Audit[[#This Row],[Candidate 6]], "")</f>
        <v/>
      </c>
      <c r="AK406" s="17" t="str">
        <f>IF(NOT(ISBLANK(Audit[[#This Row],[Audit Candidate 7]])), Audit[[#This Row],[Audit Candidate 7]]-Audit[[#This Row],[Candidate 7]], "")</f>
        <v/>
      </c>
      <c r="AL406" s="17" t="str">
        <f>IF(NOT(ISBLANK(Audit[[#This Row],[Audit Candidate 8]])), Audit[[#This Row],[Audit Candidate 8]]-Audit[[#This Row],[Candidate 8]], "")</f>
        <v/>
      </c>
      <c r="AM406" s="17" t="str">
        <f>IF(NOT(ISBLANK(Audit[[#This Row],[Audit Candidate 9]])), Audit[[#This Row],[Audit Candidate 9]]-Audit[[#This Row],[Candidate 9]], "")</f>
        <v/>
      </c>
      <c r="AN406" s="17" t="str">
        <f>IF(NOT(ISBLANK(Audit[[#This Row],[Audit Candidate 10]])), Audit[[#This Row],[Audit Candidate 10]]-Audit[[#This Row],[Candidate 10]], "")</f>
        <v/>
      </c>
      <c r="AO406" s="17" t="str">
        <f>IF(NOT(ISBLANK(Audit[[#This Row],[Audit Candidate 11]])), Audit[[#This Row],[Audit Candidate 11]]-Audit[[#This Row],[Candidate 11]], "")</f>
        <v/>
      </c>
      <c r="AP406" s="17" t="str">
        <f>IF(NOT(ISBLANK(Audit[[#This Row],[Audit Candidate 12]])), Audit[[#This Row],[Audit Candidate 12]]-Audit[[#This Row],[Candidate 12]], "")</f>
        <v/>
      </c>
      <c r="AQ406" s="17">
        <f>SUMIF(Audit[[#This Row],[Difference Winner]:[Difference Candidate 12]], "&gt;0")</f>
        <v>0</v>
      </c>
      <c r="AR406" s="17">
        <f>SUM(Audit[[#This Row],[Difference Winner]:[Difference Candidate 12]])</f>
        <v>0</v>
      </c>
      <c r="AS406" s="17">
        <f>IF(Audit[[#This Row],[Times p Drawn - With Replacement]]&gt;0, IF(Audit[[#This Row],[Canceled Differences]]&lt;0, Audit[[#This Row],[Max Differences]]+ABS(Audit[[#This Row],[Canceled Differences]]), Audit[[#This Row],[Max Differences]]), 0)</f>
        <v>0</v>
      </c>
      <c r="AT406" s="17">
        <f>'Sampling Data'!AB406</f>
        <v>4.3710745204549309E-3</v>
      </c>
      <c r="AU406" s="17">
        <f>IF(
      SUM(Audit[[#This Row],[Audit Losing Candidate]:[Audit Candidate 12]])
      &lt;&gt;0,
      (Audit[[#This Row],[Winning Candidate]]-Audit[[#This Row],[Losing Candidate]]-(Audit[[#This Row],[Audit Winning Candidate]]-Audit[[#This Row],[Audit Losing Candidate]]))/(Audit[[#Totals],[Winning Candidate]]-Audit[[#Totals],[Losing Candidate]]),
      0
)</f>
        <v>0</v>
      </c>
      <c r="AV4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6" s="17">
        <f>IF(Audit[[#This Row],[Max Relative Error (ep)]] = 0, 0, Audit[[#This Row],[Max Relative Error (ep)]]/Audit[[#This Row],[Error Bound (up) - Max. possible relative overstatement]])</f>
        <v>0</v>
      </c>
      <c r="BH4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06" s="17">
        <f t="shared" si="7"/>
        <v>1</v>
      </c>
      <c r="BJ406" s="17">
        <f>PRODUCT($BI$5:BI406)</f>
        <v>0.46283459046185416</v>
      </c>
      <c r="BK406" s="19">
        <f>1 - Audit[[#This Row],[K-M P Value]]</f>
        <v>0.53716540953814584</v>
      </c>
      <c r="BL406" s="17" t="str">
        <f>IF(Audit[[#This Row],[K-M P Value]]&gt;1-'General Info'!$B$12,"Continue", "Stop")</f>
        <v>Continue</v>
      </c>
      <c r="BM406" s="22" t="b">
        <f>IF(Audit[[#This Row],[Status - Continue or stop audit]] = "Continue", TRUE, IF(BL405 = "Continue", TRUE, FALSE))</f>
        <v>1</v>
      </c>
      <c r="BN406" s="22"/>
    </row>
    <row r="407" spans="1:66" ht="15" hidden="1" customHeight="1" x14ac:dyDescent="0.35">
      <c r="A407" s="17" t="str">
        <f>'Sampling Data'!AI407</f>
        <v/>
      </c>
      <c r="B407" s="17" t="str">
        <f>'Sampling Data'!A407</f>
        <v>6506 DELHI F   (AV)</v>
      </c>
      <c r="C407" s="17">
        <f>'Sampling Data'!B407</f>
        <v>90</v>
      </c>
      <c r="D407" s="17">
        <f>'Sampling Data'!C407</f>
        <v>145</v>
      </c>
      <c r="E407" s="18">
        <f>'Sampling Data'!D407</f>
        <v>0</v>
      </c>
      <c r="F407" s="18">
        <f>'Sampling Data'!E407</f>
        <v>0</v>
      </c>
      <c r="G407" s="18">
        <f>'Sampling Data'!F407</f>
        <v>0</v>
      </c>
      <c r="H407" s="18">
        <f>'Sampling Data'!G407</f>
        <v>0</v>
      </c>
      <c r="I407" s="18">
        <f>'Sampling Data'!H407</f>
        <v>0</v>
      </c>
      <c r="J407" s="18">
        <f>'Sampling Data'!I407</f>
        <v>0</v>
      </c>
      <c r="K407" s="18">
        <f>'Sampling Data'!J407</f>
        <v>0</v>
      </c>
      <c r="L407" s="18">
        <f>'Sampling Data'!K407</f>
        <v>0</v>
      </c>
      <c r="M407" s="18">
        <f>'Sampling Data'!L407</f>
        <v>0</v>
      </c>
      <c r="N407" s="18">
        <f>'Sampling Data'!M407</f>
        <v>0</v>
      </c>
      <c r="O407" s="17">
        <f>'Sampling Data'!N407</f>
        <v>0</v>
      </c>
      <c r="P407" s="17">
        <f>'Sampling Data'!O407</f>
        <v>15</v>
      </c>
      <c r="Q407" s="17">
        <f>'Sampling Data'!P407</f>
        <v>250</v>
      </c>
      <c r="R407" s="17">
        <f>'Sampling Data'!AJ407</f>
        <v>0</v>
      </c>
      <c r="S407" s="111"/>
      <c r="T407" s="111"/>
      <c r="U407" s="112"/>
      <c r="V407" s="112"/>
      <c r="W407" s="111"/>
      <c r="X407" s="111"/>
      <c r="Y407" s="111"/>
      <c r="Z407" s="111"/>
      <c r="AA407" s="14"/>
      <c r="AB407" s="14"/>
      <c r="AC407" s="14"/>
      <c r="AD407" s="14"/>
      <c r="AE407" s="113" t="str">
        <f>IF(NOT(ISBLANK(Audit[[#This Row],[Audit Winning Candidate]])), Audit[[#This Row],[Audit Winning Candidate]]-Audit[[#This Row],[Winning Candidate]], "")</f>
        <v/>
      </c>
      <c r="AF407" s="17" t="str">
        <f>IF(NOT(ISBLANK(Audit[[#This Row],[Audit Losing Candidate]])), Audit[[#This Row],[Audit Losing Candidate]]-Audit[[#This Row],[Losing Candidate]], "")</f>
        <v/>
      </c>
      <c r="AG407" s="17" t="str">
        <f>IF(NOT(ISBLANK(Audit[[#This Row],[Audit Candidate 3]])), Audit[[#This Row],[Audit Candidate 3]]-Audit[[#This Row],[Candidate 3]], "")</f>
        <v/>
      </c>
      <c r="AH407" s="17" t="str">
        <f>IF(NOT(ISBLANK(Audit[[#This Row],[Audit Candidate 4]])),Audit[[#This Row],[Audit Candidate 4]]-Audit[[#This Row],[Candidate 4]], "")</f>
        <v/>
      </c>
      <c r="AI407" s="17" t="str">
        <f>IF(NOT(ISBLANK(Audit[[#This Row],[Audit Candidate 5]])), Audit[[#This Row],[Audit Candidate 5]]-Audit[[#This Row],[Candidate 5]], "")</f>
        <v/>
      </c>
      <c r="AJ407" s="17" t="str">
        <f>IF(NOT(ISBLANK(Audit[[#This Row],[Audit Candidate 6]])), Audit[[#This Row],[Audit Candidate 6]]-Audit[[#This Row],[Candidate 6]], "")</f>
        <v/>
      </c>
      <c r="AK407" s="17" t="str">
        <f>IF(NOT(ISBLANK(Audit[[#This Row],[Audit Candidate 7]])), Audit[[#This Row],[Audit Candidate 7]]-Audit[[#This Row],[Candidate 7]], "")</f>
        <v/>
      </c>
      <c r="AL407" s="17" t="str">
        <f>IF(NOT(ISBLANK(Audit[[#This Row],[Audit Candidate 8]])), Audit[[#This Row],[Audit Candidate 8]]-Audit[[#This Row],[Candidate 8]], "")</f>
        <v/>
      </c>
      <c r="AM407" s="17" t="str">
        <f>IF(NOT(ISBLANK(Audit[[#This Row],[Audit Candidate 9]])), Audit[[#This Row],[Audit Candidate 9]]-Audit[[#This Row],[Candidate 9]], "")</f>
        <v/>
      </c>
      <c r="AN407" s="17" t="str">
        <f>IF(NOT(ISBLANK(Audit[[#This Row],[Audit Candidate 10]])), Audit[[#This Row],[Audit Candidate 10]]-Audit[[#This Row],[Candidate 10]], "")</f>
        <v/>
      </c>
      <c r="AO407" s="17" t="str">
        <f>IF(NOT(ISBLANK(Audit[[#This Row],[Audit Candidate 11]])), Audit[[#This Row],[Audit Candidate 11]]-Audit[[#This Row],[Candidate 11]], "")</f>
        <v/>
      </c>
      <c r="AP407" s="17" t="str">
        <f>IF(NOT(ISBLANK(Audit[[#This Row],[Audit Candidate 12]])), Audit[[#This Row],[Audit Candidate 12]]-Audit[[#This Row],[Candidate 12]], "")</f>
        <v/>
      </c>
      <c r="AQ407" s="17">
        <f>SUMIF(Audit[[#This Row],[Difference Winner]:[Difference Candidate 12]], "&gt;0")</f>
        <v>0</v>
      </c>
      <c r="AR407" s="17">
        <f>SUM(Audit[[#This Row],[Difference Winner]:[Difference Candidate 12]])</f>
        <v>0</v>
      </c>
      <c r="AS407" s="17">
        <f>IF(Audit[[#This Row],[Times p Drawn - With Replacement]]&gt;0, IF(Audit[[#This Row],[Canceled Differences]]&lt;0, Audit[[#This Row],[Max Differences]]+ABS(Audit[[#This Row],[Canceled Differences]]), Audit[[#This Row],[Max Differences]]), 0)</f>
        <v>0</v>
      </c>
      <c r="AT407" s="17">
        <f>'Sampling Data'!AB407</f>
        <v>8.2753352571719573E-3</v>
      </c>
      <c r="AU407" s="17">
        <f>IF(
      SUM(Audit[[#This Row],[Audit Losing Candidate]:[Audit Candidate 12]])
      &lt;&gt;0,
      (Audit[[#This Row],[Winning Candidate]]-Audit[[#This Row],[Losing Candidate]]-(Audit[[#This Row],[Audit Winning Candidate]]-Audit[[#This Row],[Audit Losing Candidate]]))/(Audit[[#Totals],[Winning Candidate]]-Audit[[#Totals],[Losing Candidate]]),
      0
)</f>
        <v>0</v>
      </c>
      <c r="AV4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7" s="17">
        <f>IF(Audit[[#This Row],[Max Relative Error (ep)]] = 0, 0, Audit[[#This Row],[Max Relative Error (ep)]]/Audit[[#This Row],[Error Bound (up) - Max. possible relative overstatement]])</f>
        <v>0</v>
      </c>
      <c r="BH4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07" s="17">
        <f t="shared" si="7"/>
        <v>1</v>
      </c>
      <c r="BJ407" s="17">
        <f>PRODUCT($BI$5:BI407)</f>
        <v>0.46283459046185416</v>
      </c>
      <c r="BK407" s="19">
        <f>1 - Audit[[#This Row],[K-M P Value]]</f>
        <v>0.53716540953814584</v>
      </c>
      <c r="BL407" s="17" t="str">
        <f>IF(Audit[[#This Row],[K-M P Value]]&gt;1-'General Info'!$B$12,"Continue", "Stop")</f>
        <v>Continue</v>
      </c>
      <c r="BM407" s="22" t="b">
        <f>IF(Audit[[#This Row],[Status - Continue or stop audit]] = "Continue", TRUE, IF(BL406 = "Continue", TRUE, FALSE))</f>
        <v>1</v>
      </c>
      <c r="BN407" s="22"/>
    </row>
    <row r="408" spans="1:66" ht="15" hidden="1" customHeight="1" x14ac:dyDescent="0.35">
      <c r="A408" s="17" t="str">
        <f>'Sampling Data'!AI408</f>
        <v/>
      </c>
      <c r="B408" s="17" t="str">
        <f>'Sampling Data'!A408</f>
        <v>6507 DELHI G   (AV)</v>
      </c>
      <c r="C408" s="17">
        <f>'Sampling Data'!B408</f>
        <v>63</v>
      </c>
      <c r="D408" s="17">
        <f>'Sampling Data'!C408</f>
        <v>220</v>
      </c>
      <c r="E408" s="18">
        <f>'Sampling Data'!D408</f>
        <v>0</v>
      </c>
      <c r="F408" s="18">
        <f>'Sampling Data'!E408</f>
        <v>0</v>
      </c>
      <c r="G408" s="18">
        <f>'Sampling Data'!F408</f>
        <v>0</v>
      </c>
      <c r="H408" s="18">
        <f>'Sampling Data'!G408</f>
        <v>0</v>
      </c>
      <c r="I408" s="18">
        <f>'Sampling Data'!H408</f>
        <v>0</v>
      </c>
      <c r="J408" s="18">
        <f>'Sampling Data'!I408</f>
        <v>0</v>
      </c>
      <c r="K408" s="18">
        <f>'Sampling Data'!J408</f>
        <v>0</v>
      </c>
      <c r="L408" s="18">
        <f>'Sampling Data'!K408</f>
        <v>0</v>
      </c>
      <c r="M408" s="18">
        <f>'Sampling Data'!L408</f>
        <v>0</v>
      </c>
      <c r="N408" s="18">
        <f>'Sampling Data'!M408</f>
        <v>0</v>
      </c>
      <c r="O408" s="17">
        <f>'Sampling Data'!N408</f>
        <v>0</v>
      </c>
      <c r="P408" s="17">
        <f>'Sampling Data'!O408</f>
        <v>16</v>
      </c>
      <c r="Q408" s="17">
        <f>'Sampling Data'!P408</f>
        <v>299</v>
      </c>
      <c r="R408" s="17">
        <f>'Sampling Data'!AJ408</f>
        <v>0</v>
      </c>
      <c r="S408" s="111"/>
      <c r="T408" s="111"/>
      <c r="U408" s="112"/>
      <c r="V408" s="112"/>
      <c r="W408" s="111"/>
      <c r="X408" s="111"/>
      <c r="Y408" s="111"/>
      <c r="Z408" s="111"/>
      <c r="AA408" s="14"/>
      <c r="AB408" s="14"/>
      <c r="AC408" s="14"/>
      <c r="AD408" s="14"/>
      <c r="AE408" s="113" t="str">
        <f>IF(NOT(ISBLANK(Audit[[#This Row],[Audit Winning Candidate]])), Audit[[#This Row],[Audit Winning Candidate]]-Audit[[#This Row],[Winning Candidate]], "")</f>
        <v/>
      </c>
      <c r="AF408" s="17" t="str">
        <f>IF(NOT(ISBLANK(Audit[[#This Row],[Audit Losing Candidate]])), Audit[[#This Row],[Audit Losing Candidate]]-Audit[[#This Row],[Losing Candidate]], "")</f>
        <v/>
      </c>
      <c r="AG408" s="17" t="str">
        <f>IF(NOT(ISBLANK(Audit[[#This Row],[Audit Candidate 3]])), Audit[[#This Row],[Audit Candidate 3]]-Audit[[#This Row],[Candidate 3]], "")</f>
        <v/>
      </c>
      <c r="AH408" s="17" t="str">
        <f>IF(NOT(ISBLANK(Audit[[#This Row],[Audit Candidate 4]])),Audit[[#This Row],[Audit Candidate 4]]-Audit[[#This Row],[Candidate 4]], "")</f>
        <v/>
      </c>
      <c r="AI408" s="17" t="str">
        <f>IF(NOT(ISBLANK(Audit[[#This Row],[Audit Candidate 5]])), Audit[[#This Row],[Audit Candidate 5]]-Audit[[#This Row],[Candidate 5]], "")</f>
        <v/>
      </c>
      <c r="AJ408" s="17" t="str">
        <f>IF(NOT(ISBLANK(Audit[[#This Row],[Audit Candidate 6]])), Audit[[#This Row],[Audit Candidate 6]]-Audit[[#This Row],[Candidate 6]], "")</f>
        <v/>
      </c>
      <c r="AK408" s="17" t="str">
        <f>IF(NOT(ISBLANK(Audit[[#This Row],[Audit Candidate 7]])), Audit[[#This Row],[Audit Candidate 7]]-Audit[[#This Row],[Candidate 7]], "")</f>
        <v/>
      </c>
      <c r="AL408" s="17" t="str">
        <f>IF(NOT(ISBLANK(Audit[[#This Row],[Audit Candidate 8]])), Audit[[#This Row],[Audit Candidate 8]]-Audit[[#This Row],[Candidate 8]], "")</f>
        <v/>
      </c>
      <c r="AM408" s="17" t="str">
        <f>IF(NOT(ISBLANK(Audit[[#This Row],[Audit Candidate 9]])), Audit[[#This Row],[Audit Candidate 9]]-Audit[[#This Row],[Candidate 9]], "")</f>
        <v/>
      </c>
      <c r="AN408" s="17" t="str">
        <f>IF(NOT(ISBLANK(Audit[[#This Row],[Audit Candidate 10]])), Audit[[#This Row],[Audit Candidate 10]]-Audit[[#This Row],[Candidate 10]], "")</f>
        <v/>
      </c>
      <c r="AO408" s="17" t="str">
        <f>IF(NOT(ISBLANK(Audit[[#This Row],[Audit Candidate 11]])), Audit[[#This Row],[Audit Candidate 11]]-Audit[[#This Row],[Candidate 11]], "")</f>
        <v/>
      </c>
      <c r="AP408" s="17" t="str">
        <f>IF(NOT(ISBLANK(Audit[[#This Row],[Audit Candidate 12]])), Audit[[#This Row],[Audit Candidate 12]]-Audit[[#This Row],[Candidate 12]], "")</f>
        <v/>
      </c>
      <c r="AQ408" s="17">
        <f>SUMIF(Audit[[#This Row],[Difference Winner]:[Difference Candidate 12]], "&gt;0")</f>
        <v>0</v>
      </c>
      <c r="AR408" s="17">
        <f>SUM(Audit[[#This Row],[Difference Winner]:[Difference Candidate 12]])</f>
        <v>0</v>
      </c>
      <c r="AS408" s="17">
        <f>IF(Audit[[#This Row],[Times p Drawn - With Replacement]]&gt;0, IF(Audit[[#This Row],[Canceled Differences]]&lt;0, Audit[[#This Row],[Max Differences]]+ABS(Audit[[#This Row],[Canceled Differences]]), Audit[[#This Row],[Max Differences]]), 0)</f>
        <v>0</v>
      </c>
      <c r="AT408" s="17">
        <f>'Sampling Data'!AB408</f>
        <v>6.0261415718893228E-3</v>
      </c>
      <c r="AU408" s="17">
        <f>IF(
      SUM(Audit[[#This Row],[Audit Losing Candidate]:[Audit Candidate 12]])
      &lt;&gt;0,
      (Audit[[#This Row],[Winning Candidate]]-Audit[[#This Row],[Losing Candidate]]-(Audit[[#This Row],[Audit Winning Candidate]]-Audit[[#This Row],[Audit Losing Candidate]]))/(Audit[[#Totals],[Winning Candidate]]-Audit[[#Totals],[Losing Candidate]]),
      0
)</f>
        <v>0</v>
      </c>
      <c r="AV4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8" s="17">
        <f>IF(Audit[[#This Row],[Max Relative Error (ep)]] = 0, 0, Audit[[#This Row],[Max Relative Error (ep)]]/Audit[[#This Row],[Error Bound (up) - Max. possible relative overstatement]])</f>
        <v>0</v>
      </c>
      <c r="BH4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08" s="17">
        <f t="shared" si="7"/>
        <v>1</v>
      </c>
      <c r="BJ408" s="17">
        <f>PRODUCT($BI$5:BI408)</f>
        <v>0.46283459046185416</v>
      </c>
      <c r="BK408" s="19">
        <f>1 - Audit[[#This Row],[K-M P Value]]</f>
        <v>0.53716540953814584</v>
      </c>
      <c r="BL408" s="17" t="str">
        <f>IF(Audit[[#This Row],[K-M P Value]]&gt;1-'General Info'!$B$12,"Continue", "Stop")</f>
        <v>Continue</v>
      </c>
      <c r="BM408" s="22" t="b">
        <f>IF(Audit[[#This Row],[Status - Continue or stop audit]] = "Continue", TRUE, IF(BL407 = "Continue", TRUE, FALSE))</f>
        <v>1</v>
      </c>
      <c r="BN408" s="22"/>
    </row>
    <row r="409" spans="1:66" ht="15" hidden="1" customHeight="1" x14ac:dyDescent="0.35">
      <c r="A409" s="17" t="str">
        <f>'Sampling Data'!AI409</f>
        <v/>
      </c>
      <c r="B409" s="17" t="str">
        <f>'Sampling Data'!A409</f>
        <v>6508 DELHI H   (AV)</v>
      </c>
      <c r="C409" s="17">
        <f>'Sampling Data'!B409</f>
        <v>95</v>
      </c>
      <c r="D409" s="17">
        <f>'Sampling Data'!C409</f>
        <v>181</v>
      </c>
      <c r="E409" s="18">
        <f>'Sampling Data'!D409</f>
        <v>0</v>
      </c>
      <c r="F409" s="18">
        <f>'Sampling Data'!E409</f>
        <v>0</v>
      </c>
      <c r="G409" s="18">
        <f>'Sampling Data'!F409</f>
        <v>0</v>
      </c>
      <c r="H409" s="18">
        <f>'Sampling Data'!G409</f>
        <v>0</v>
      </c>
      <c r="I409" s="18">
        <f>'Sampling Data'!H409</f>
        <v>0</v>
      </c>
      <c r="J409" s="18">
        <f>'Sampling Data'!I409</f>
        <v>0</v>
      </c>
      <c r="K409" s="18">
        <f>'Sampling Data'!J409</f>
        <v>0</v>
      </c>
      <c r="L409" s="18">
        <f>'Sampling Data'!K409</f>
        <v>0</v>
      </c>
      <c r="M409" s="18">
        <f>'Sampling Data'!L409</f>
        <v>0</v>
      </c>
      <c r="N409" s="18">
        <f>'Sampling Data'!M409</f>
        <v>0</v>
      </c>
      <c r="O409" s="17">
        <f>'Sampling Data'!N409</f>
        <v>0</v>
      </c>
      <c r="P409" s="17">
        <f>'Sampling Data'!O409</f>
        <v>13</v>
      </c>
      <c r="Q409" s="17">
        <f>'Sampling Data'!P409</f>
        <v>289</v>
      </c>
      <c r="R409" s="17">
        <f>'Sampling Data'!AJ409</f>
        <v>0</v>
      </c>
      <c r="S409" s="111"/>
      <c r="T409" s="111"/>
      <c r="U409" s="112"/>
      <c r="V409" s="112"/>
      <c r="W409" s="111"/>
      <c r="X409" s="111"/>
      <c r="Y409" s="111"/>
      <c r="Z409" s="111"/>
      <c r="AA409" s="14"/>
      <c r="AB409" s="14"/>
      <c r="AC409" s="14"/>
      <c r="AD409" s="14"/>
      <c r="AE409" s="113" t="str">
        <f>IF(NOT(ISBLANK(Audit[[#This Row],[Audit Winning Candidate]])), Audit[[#This Row],[Audit Winning Candidate]]-Audit[[#This Row],[Winning Candidate]], "")</f>
        <v/>
      </c>
      <c r="AF409" s="17" t="str">
        <f>IF(NOT(ISBLANK(Audit[[#This Row],[Audit Losing Candidate]])), Audit[[#This Row],[Audit Losing Candidate]]-Audit[[#This Row],[Losing Candidate]], "")</f>
        <v/>
      </c>
      <c r="AG409" s="17" t="str">
        <f>IF(NOT(ISBLANK(Audit[[#This Row],[Audit Candidate 3]])), Audit[[#This Row],[Audit Candidate 3]]-Audit[[#This Row],[Candidate 3]], "")</f>
        <v/>
      </c>
      <c r="AH409" s="17" t="str">
        <f>IF(NOT(ISBLANK(Audit[[#This Row],[Audit Candidate 4]])),Audit[[#This Row],[Audit Candidate 4]]-Audit[[#This Row],[Candidate 4]], "")</f>
        <v/>
      </c>
      <c r="AI409" s="17" t="str">
        <f>IF(NOT(ISBLANK(Audit[[#This Row],[Audit Candidate 5]])), Audit[[#This Row],[Audit Candidate 5]]-Audit[[#This Row],[Candidate 5]], "")</f>
        <v/>
      </c>
      <c r="AJ409" s="17" t="str">
        <f>IF(NOT(ISBLANK(Audit[[#This Row],[Audit Candidate 6]])), Audit[[#This Row],[Audit Candidate 6]]-Audit[[#This Row],[Candidate 6]], "")</f>
        <v/>
      </c>
      <c r="AK409" s="17" t="str">
        <f>IF(NOT(ISBLANK(Audit[[#This Row],[Audit Candidate 7]])), Audit[[#This Row],[Audit Candidate 7]]-Audit[[#This Row],[Candidate 7]], "")</f>
        <v/>
      </c>
      <c r="AL409" s="17" t="str">
        <f>IF(NOT(ISBLANK(Audit[[#This Row],[Audit Candidate 8]])), Audit[[#This Row],[Audit Candidate 8]]-Audit[[#This Row],[Candidate 8]], "")</f>
        <v/>
      </c>
      <c r="AM409" s="17" t="str">
        <f>IF(NOT(ISBLANK(Audit[[#This Row],[Audit Candidate 9]])), Audit[[#This Row],[Audit Candidate 9]]-Audit[[#This Row],[Candidate 9]], "")</f>
        <v/>
      </c>
      <c r="AN409" s="17" t="str">
        <f>IF(NOT(ISBLANK(Audit[[#This Row],[Audit Candidate 10]])), Audit[[#This Row],[Audit Candidate 10]]-Audit[[#This Row],[Candidate 10]], "")</f>
        <v/>
      </c>
      <c r="AO409" s="17" t="str">
        <f>IF(NOT(ISBLANK(Audit[[#This Row],[Audit Candidate 11]])), Audit[[#This Row],[Audit Candidate 11]]-Audit[[#This Row],[Candidate 11]], "")</f>
        <v/>
      </c>
      <c r="AP409" s="17" t="str">
        <f>IF(NOT(ISBLANK(Audit[[#This Row],[Audit Candidate 12]])), Audit[[#This Row],[Audit Candidate 12]]-Audit[[#This Row],[Candidate 12]], "")</f>
        <v/>
      </c>
      <c r="AQ409" s="17">
        <f>SUMIF(Audit[[#This Row],[Difference Winner]:[Difference Candidate 12]], "&gt;0")</f>
        <v>0</v>
      </c>
      <c r="AR409" s="17">
        <f>SUM(Audit[[#This Row],[Difference Winner]:[Difference Candidate 12]])</f>
        <v>0</v>
      </c>
      <c r="AS409" s="17">
        <f>IF(Audit[[#This Row],[Times p Drawn - With Replacement]]&gt;0, IF(Audit[[#This Row],[Canceled Differences]]&lt;0, Audit[[#This Row],[Max Differences]]+ABS(Audit[[#This Row],[Canceled Differences]]), Audit[[#This Row],[Max Differences]]), 0)</f>
        <v>0</v>
      </c>
      <c r="AT409" s="17">
        <f>'Sampling Data'!AB409</f>
        <v>8.6148361907995245E-3</v>
      </c>
      <c r="AU409" s="17">
        <f>IF(
      SUM(Audit[[#This Row],[Audit Losing Candidate]:[Audit Candidate 12]])
      &lt;&gt;0,
      (Audit[[#This Row],[Winning Candidate]]-Audit[[#This Row],[Losing Candidate]]-(Audit[[#This Row],[Audit Winning Candidate]]-Audit[[#This Row],[Audit Losing Candidate]]))/(Audit[[#Totals],[Winning Candidate]]-Audit[[#Totals],[Losing Candidate]]),
      0
)</f>
        <v>0</v>
      </c>
      <c r="AV4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9" s="17">
        <f>IF(Audit[[#This Row],[Max Relative Error (ep)]] = 0, 0, Audit[[#This Row],[Max Relative Error (ep)]]/Audit[[#This Row],[Error Bound (up) - Max. possible relative overstatement]])</f>
        <v>0</v>
      </c>
      <c r="BH4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09" s="17">
        <f t="shared" si="7"/>
        <v>1</v>
      </c>
      <c r="BJ409" s="17">
        <f>PRODUCT($BI$5:BI409)</f>
        <v>0.46283459046185416</v>
      </c>
      <c r="BK409" s="19">
        <f>1 - Audit[[#This Row],[K-M P Value]]</f>
        <v>0.53716540953814584</v>
      </c>
      <c r="BL409" s="17" t="str">
        <f>IF(Audit[[#This Row],[K-M P Value]]&gt;1-'General Info'!$B$12,"Continue", "Stop")</f>
        <v>Continue</v>
      </c>
      <c r="BM409" s="22" t="b">
        <f>IF(Audit[[#This Row],[Status - Continue or stop audit]] = "Continue", TRUE, IF(BL408 = "Continue", TRUE, FALSE))</f>
        <v>1</v>
      </c>
      <c r="BN409" s="22"/>
    </row>
    <row r="410" spans="1:66" ht="15" hidden="1" customHeight="1" x14ac:dyDescent="0.35">
      <c r="A410" s="17" t="str">
        <f>'Sampling Data'!AI410</f>
        <v/>
      </c>
      <c r="B410" s="17" t="str">
        <f>'Sampling Data'!A410</f>
        <v>6509 DELHI I   (AV)</v>
      </c>
      <c r="C410" s="17">
        <f>'Sampling Data'!B410</f>
        <v>49</v>
      </c>
      <c r="D410" s="17">
        <f>'Sampling Data'!C410</f>
        <v>86</v>
      </c>
      <c r="E410" s="18">
        <f>'Sampling Data'!D410</f>
        <v>0</v>
      </c>
      <c r="F410" s="18">
        <f>'Sampling Data'!E410</f>
        <v>0</v>
      </c>
      <c r="G410" s="18">
        <f>'Sampling Data'!F410</f>
        <v>0</v>
      </c>
      <c r="H410" s="18">
        <f>'Sampling Data'!G410</f>
        <v>0</v>
      </c>
      <c r="I410" s="18">
        <f>'Sampling Data'!H410</f>
        <v>0</v>
      </c>
      <c r="J410" s="18">
        <f>'Sampling Data'!I410</f>
        <v>0</v>
      </c>
      <c r="K410" s="18">
        <f>'Sampling Data'!J410</f>
        <v>0</v>
      </c>
      <c r="L410" s="18">
        <f>'Sampling Data'!K410</f>
        <v>0</v>
      </c>
      <c r="M410" s="18">
        <f>'Sampling Data'!L410</f>
        <v>0</v>
      </c>
      <c r="N410" s="18">
        <f>'Sampling Data'!M410</f>
        <v>0</v>
      </c>
      <c r="O410" s="17">
        <f>'Sampling Data'!N410</f>
        <v>0</v>
      </c>
      <c r="P410" s="17">
        <f>'Sampling Data'!O410</f>
        <v>6</v>
      </c>
      <c r="Q410" s="17">
        <f>'Sampling Data'!P410</f>
        <v>141</v>
      </c>
      <c r="R410" s="17">
        <f>'Sampling Data'!AJ410</f>
        <v>0</v>
      </c>
      <c r="S410" s="111"/>
      <c r="T410" s="111"/>
      <c r="U410" s="112"/>
      <c r="V410" s="112"/>
      <c r="W410" s="111"/>
      <c r="X410" s="111"/>
      <c r="Y410" s="111"/>
      <c r="Z410" s="111"/>
      <c r="AA410" s="14"/>
      <c r="AB410" s="14"/>
      <c r="AC410" s="14"/>
      <c r="AD410" s="14"/>
      <c r="AE410" s="113" t="str">
        <f>IF(NOT(ISBLANK(Audit[[#This Row],[Audit Winning Candidate]])), Audit[[#This Row],[Audit Winning Candidate]]-Audit[[#This Row],[Winning Candidate]], "")</f>
        <v/>
      </c>
      <c r="AF410" s="17" t="str">
        <f>IF(NOT(ISBLANK(Audit[[#This Row],[Audit Losing Candidate]])), Audit[[#This Row],[Audit Losing Candidate]]-Audit[[#This Row],[Losing Candidate]], "")</f>
        <v/>
      </c>
      <c r="AG410" s="17" t="str">
        <f>IF(NOT(ISBLANK(Audit[[#This Row],[Audit Candidate 3]])), Audit[[#This Row],[Audit Candidate 3]]-Audit[[#This Row],[Candidate 3]], "")</f>
        <v/>
      </c>
      <c r="AH410" s="17" t="str">
        <f>IF(NOT(ISBLANK(Audit[[#This Row],[Audit Candidate 4]])),Audit[[#This Row],[Audit Candidate 4]]-Audit[[#This Row],[Candidate 4]], "")</f>
        <v/>
      </c>
      <c r="AI410" s="17" t="str">
        <f>IF(NOT(ISBLANK(Audit[[#This Row],[Audit Candidate 5]])), Audit[[#This Row],[Audit Candidate 5]]-Audit[[#This Row],[Candidate 5]], "")</f>
        <v/>
      </c>
      <c r="AJ410" s="17" t="str">
        <f>IF(NOT(ISBLANK(Audit[[#This Row],[Audit Candidate 6]])), Audit[[#This Row],[Audit Candidate 6]]-Audit[[#This Row],[Candidate 6]], "")</f>
        <v/>
      </c>
      <c r="AK410" s="17" t="str">
        <f>IF(NOT(ISBLANK(Audit[[#This Row],[Audit Candidate 7]])), Audit[[#This Row],[Audit Candidate 7]]-Audit[[#This Row],[Candidate 7]], "")</f>
        <v/>
      </c>
      <c r="AL410" s="17" t="str">
        <f>IF(NOT(ISBLANK(Audit[[#This Row],[Audit Candidate 8]])), Audit[[#This Row],[Audit Candidate 8]]-Audit[[#This Row],[Candidate 8]], "")</f>
        <v/>
      </c>
      <c r="AM410" s="17" t="str">
        <f>IF(NOT(ISBLANK(Audit[[#This Row],[Audit Candidate 9]])), Audit[[#This Row],[Audit Candidate 9]]-Audit[[#This Row],[Candidate 9]], "")</f>
        <v/>
      </c>
      <c r="AN410" s="17" t="str">
        <f>IF(NOT(ISBLANK(Audit[[#This Row],[Audit Candidate 10]])), Audit[[#This Row],[Audit Candidate 10]]-Audit[[#This Row],[Candidate 10]], "")</f>
        <v/>
      </c>
      <c r="AO410" s="17" t="str">
        <f>IF(NOT(ISBLANK(Audit[[#This Row],[Audit Candidate 11]])), Audit[[#This Row],[Audit Candidate 11]]-Audit[[#This Row],[Candidate 11]], "")</f>
        <v/>
      </c>
      <c r="AP410" s="17" t="str">
        <f>IF(NOT(ISBLANK(Audit[[#This Row],[Audit Candidate 12]])), Audit[[#This Row],[Audit Candidate 12]]-Audit[[#This Row],[Candidate 12]], "")</f>
        <v/>
      </c>
      <c r="AQ410" s="17">
        <f>SUMIF(Audit[[#This Row],[Difference Winner]:[Difference Candidate 12]], "&gt;0")</f>
        <v>0</v>
      </c>
      <c r="AR410" s="17">
        <f>SUM(Audit[[#This Row],[Difference Winner]:[Difference Candidate 12]])</f>
        <v>0</v>
      </c>
      <c r="AS410" s="17">
        <f>IF(Audit[[#This Row],[Times p Drawn - With Replacement]]&gt;0, IF(Audit[[#This Row],[Canceled Differences]]&lt;0, Audit[[#This Row],[Max Differences]]+ABS(Audit[[#This Row],[Canceled Differences]]), Audit[[#This Row],[Max Differences]]), 0)</f>
        <v>0</v>
      </c>
      <c r="AT410" s="17">
        <f>'Sampling Data'!AB410</f>
        <v>4.4135121371583772E-3</v>
      </c>
      <c r="AU410" s="17">
        <f>IF(
      SUM(Audit[[#This Row],[Audit Losing Candidate]:[Audit Candidate 12]])
      &lt;&gt;0,
      (Audit[[#This Row],[Winning Candidate]]-Audit[[#This Row],[Losing Candidate]]-(Audit[[#This Row],[Audit Winning Candidate]]-Audit[[#This Row],[Audit Losing Candidate]]))/(Audit[[#Totals],[Winning Candidate]]-Audit[[#Totals],[Losing Candidate]]),
      0
)</f>
        <v>0</v>
      </c>
      <c r="AV4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0" s="17">
        <f>IF(Audit[[#This Row],[Max Relative Error (ep)]] = 0, 0, Audit[[#This Row],[Max Relative Error (ep)]]/Audit[[#This Row],[Error Bound (up) - Max. possible relative overstatement]])</f>
        <v>0</v>
      </c>
      <c r="BH4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10" s="17">
        <f t="shared" si="7"/>
        <v>1</v>
      </c>
      <c r="BJ410" s="17">
        <f>PRODUCT($BI$5:BI410)</f>
        <v>0.46283459046185416</v>
      </c>
      <c r="BK410" s="19">
        <f>1 - Audit[[#This Row],[K-M P Value]]</f>
        <v>0.53716540953814584</v>
      </c>
      <c r="BL410" s="17" t="str">
        <f>IF(Audit[[#This Row],[K-M P Value]]&gt;1-'General Info'!$B$12,"Continue", "Stop")</f>
        <v>Continue</v>
      </c>
      <c r="BM410" s="22" t="b">
        <f>IF(Audit[[#This Row],[Status - Continue or stop audit]] = "Continue", TRUE, IF(BL409 = "Continue", TRUE, FALSE))</f>
        <v>1</v>
      </c>
      <c r="BN410" s="22"/>
    </row>
    <row r="411" spans="1:66" ht="15" hidden="1" customHeight="1" x14ac:dyDescent="0.35">
      <c r="A411" s="17" t="str">
        <f>'Sampling Data'!AI411</f>
        <v/>
      </c>
      <c r="B411" s="17" t="str">
        <f>'Sampling Data'!A411</f>
        <v>6510 DELHI J   (AV)</v>
      </c>
      <c r="C411" s="17">
        <f>'Sampling Data'!B411</f>
        <v>112</v>
      </c>
      <c r="D411" s="17">
        <f>'Sampling Data'!C411</f>
        <v>148</v>
      </c>
      <c r="E411" s="18">
        <f>'Sampling Data'!D411</f>
        <v>0</v>
      </c>
      <c r="F411" s="18">
        <f>'Sampling Data'!E411</f>
        <v>0</v>
      </c>
      <c r="G411" s="18">
        <f>'Sampling Data'!F411</f>
        <v>0</v>
      </c>
      <c r="H411" s="18">
        <f>'Sampling Data'!G411</f>
        <v>0</v>
      </c>
      <c r="I411" s="18">
        <f>'Sampling Data'!H411</f>
        <v>0</v>
      </c>
      <c r="J411" s="18">
        <f>'Sampling Data'!I411</f>
        <v>0</v>
      </c>
      <c r="K411" s="18">
        <f>'Sampling Data'!J411</f>
        <v>0</v>
      </c>
      <c r="L411" s="18">
        <f>'Sampling Data'!K411</f>
        <v>0</v>
      </c>
      <c r="M411" s="18">
        <f>'Sampling Data'!L411</f>
        <v>0</v>
      </c>
      <c r="N411" s="18">
        <f>'Sampling Data'!M411</f>
        <v>0</v>
      </c>
      <c r="O411" s="17">
        <f>'Sampling Data'!N411</f>
        <v>0</v>
      </c>
      <c r="P411" s="17">
        <f>'Sampling Data'!O411</f>
        <v>13</v>
      </c>
      <c r="Q411" s="17">
        <f>'Sampling Data'!P411</f>
        <v>273</v>
      </c>
      <c r="R411" s="17">
        <f>'Sampling Data'!AJ411</f>
        <v>0</v>
      </c>
      <c r="S411" s="111"/>
      <c r="T411" s="111"/>
      <c r="U411" s="112"/>
      <c r="V411" s="112"/>
      <c r="W411" s="111"/>
      <c r="X411" s="111"/>
      <c r="Y411" s="111"/>
      <c r="Z411" s="111"/>
      <c r="AA411" s="14"/>
      <c r="AB411" s="14"/>
      <c r="AC411" s="14"/>
      <c r="AD411" s="14"/>
      <c r="AE411" s="113" t="str">
        <f>IF(NOT(ISBLANK(Audit[[#This Row],[Audit Winning Candidate]])), Audit[[#This Row],[Audit Winning Candidate]]-Audit[[#This Row],[Winning Candidate]], "")</f>
        <v/>
      </c>
      <c r="AF411" s="17" t="str">
        <f>IF(NOT(ISBLANK(Audit[[#This Row],[Audit Losing Candidate]])), Audit[[#This Row],[Audit Losing Candidate]]-Audit[[#This Row],[Losing Candidate]], "")</f>
        <v/>
      </c>
      <c r="AG411" s="17" t="str">
        <f>IF(NOT(ISBLANK(Audit[[#This Row],[Audit Candidate 3]])), Audit[[#This Row],[Audit Candidate 3]]-Audit[[#This Row],[Candidate 3]], "")</f>
        <v/>
      </c>
      <c r="AH411" s="17" t="str">
        <f>IF(NOT(ISBLANK(Audit[[#This Row],[Audit Candidate 4]])),Audit[[#This Row],[Audit Candidate 4]]-Audit[[#This Row],[Candidate 4]], "")</f>
        <v/>
      </c>
      <c r="AI411" s="17" t="str">
        <f>IF(NOT(ISBLANK(Audit[[#This Row],[Audit Candidate 5]])), Audit[[#This Row],[Audit Candidate 5]]-Audit[[#This Row],[Candidate 5]], "")</f>
        <v/>
      </c>
      <c r="AJ411" s="17" t="str">
        <f>IF(NOT(ISBLANK(Audit[[#This Row],[Audit Candidate 6]])), Audit[[#This Row],[Audit Candidate 6]]-Audit[[#This Row],[Candidate 6]], "")</f>
        <v/>
      </c>
      <c r="AK411" s="17" t="str">
        <f>IF(NOT(ISBLANK(Audit[[#This Row],[Audit Candidate 7]])), Audit[[#This Row],[Audit Candidate 7]]-Audit[[#This Row],[Candidate 7]], "")</f>
        <v/>
      </c>
      <c r="AL411" s="17" t="str">
        <f>IF(NOT(ISBLANK(Audit[[#This Row],[Audit Candidate 8]])), Audit[[#This Row],[Audit Candidate 8]]-Audit[[#This Row],[Candidate 8]], "")</f>
        <v/>
      </c>
      <c r="AM411" s="17" t="str">
        <f>IF(NOT(ISBLANK(Audit[[#This Row],[Audit Candidate 9]])), Audit[[#This Row],[Audit Candidate 9]]-Audit[[#This Row],[Candidate 9]], "")</f>
        <v/>
      </c>
      <c r="AN411" s="17" t="str">
        <f>IF(NOT(ISBLANK(Audit[[#This Row],[Audit Candidate 10]])), Audit[[#This Row],[Audit Candidate 10]]-Audit[[#This Row],[Candidate 10]], "")</f>
        <v/>
      </c>
      <c r="AO411" s="17" t="str">
        <f>IF(NOT(ISBLANK(Audit[[#This Row],[Audit Candidate 11]])), Audit[[#This Row],[Audit Candidate 11]]-Audit[[#This Row],[Candidate 11]], "")</f>
        <v/>
      </c>
      <c r="AP411" s="17" t="str">
        <f>IF(NOT(ISBLANK(Audit[[#This Row],[Audit Candidate 12]])), Audit[[#This Row],[Audit Candidate 12]]-Audit[[#This Row],[Candidate 12]], "")</f>
        <v/>
      </c>
      <c r="AQ411" s="17">
        <f>SUMIF(Audit[[#This Row],[Difference Winner]:[Difference Candidate 12]], "&gt;0")</f>
        <v>0</v>
      </c>
      <c r="AR411" s="17">
        <f>SUM(Audit[[#This Row],[Difference Winner]:[Difference Candidate 12]])</f>
        <v>0</v>
      </c>
      <c r="AS411" s="17">
        <f>IF(Audit[[#This Row],[Times p Drawn - With Replacement]]&gt;0, IF(Audit[[#This Row],[Canceled Differences]]&lt;0, Audit[[#This Row],[Max Differences]]+ABS(Audit[[#This Row],[Canceled Differences]]), Audit[[#This Row],[Max Differences]]), 0)</f>
        <v>0</v>
      </c>
      <c r="AT411" s="17">
        <f>'Sampling Data'!AB411</f>
        <v>1.0057715158716686E-2</v>
      </c>
      <c r="AU411" s="17">
        <f>IF(
      SUM(Audit[[#This Row],[Audit Losing Candidate]:[Audit Candidate 12]])
      &lt;&gt;0,
      (Audit[[#This Row],[Winning Candidate]]-Audit[[#This Row],[Losing Candidate]]-(Audit[[#This Row],[Audit Winning Candidate]]-Audit[[#This Row],[Audit Losing Candidate]]))/(Audit[[#Totals],[Winning Candidate]]-Audit[[#Totals],[Losing Candidate]]),
      0
)</f>
        <v>0</v>
      </c>
      <c r="AV4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1" s="17">
        <f>IF(Audit[[#This Row],[Max Relative Error (ep)]] = 0, 0, Audit[[#This Row],[Max Relative Error (ep)]]/Audit[[#This Row],[Error Bound (up) - Max. possible relative overstatement]])</f>
        <v>0</v>
      </c>
      <c r="BH4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11" s="17">
        <f t="shared" si="7"/>
        <v>1</v>
      </c>
      <c r="BJ411" s="17">
        <f>PRODUCT($BI$5:BI411)</f>
        <v>0.46283459046185416</v>
      </c>
      <c r="BK411" s="19">
        <f>1 - Audit[[#This Row],[K-M P Value]]</f>
        <v>0.53716540953814584</v>
      </c>
      <c r="BL411" s="17" t="str">
        <f>IF(Audit[[#This Row],[K-M P Value]]&gt;1-'General Info'!$B$12,"Continue", "Stop")</f>
        <v>Continue</v>
      </c>
      <c r="BM411" s="22" t="b">
        <f>IF(Audit[[#This Row],[Status - Continue or stop audit]] = "Continue", TRUE, IF(BL410 = "Continue", TRUE, FALSE))</f>
        <v>1</v>
      </c>
      <c r="BN411" s="22"/>
    </row>
    <row r="412" spans="1:66" ht="15" hidden="1" customHeight="1" x14ac:dyDescent="0.35">
      <c r="A412" s="17" t="str">
        <f>'Sampling Data'!AI412</f>
        <v/>
      </c>
      <c r="B412" s="17" t="str">
        <f>'Sampling Data'!A412</f>
        <v>6511 DELHI K   (AV)</v>
      </c>
      <c r="C412" s="17">
        <f>'Sampling Data'!B412</f>
        <v>70</v>
      </c>
      <c r="D412" s="17">
        <f>'Sampling Data'!C412</f>
        <v>134</v>
      </c>
      <c r="E412" s="18">
        <f>'Sampling Data'!D412</f>
        <v>0</v>
      </c>
      <c r="F412" s="18">
        <f>'Sampling Data'!E412</f>
        <v>0</v>
      </c>
      <c r="G412" s="18">
        <f>'Sampling Data'!F412</f>
        <v>0</v>
      </c>
      <c r="H412" s="18">
        <f>'Sampling Data'!G412</f>
        <v>0</v>
      </c>
      <c r="I412" s="18">
        <f>'Sampling Data'!H412</f>
        <v>0</v>
      </c>
      <c r="J412" s="18">
        <f>'Sampling Data'!I412</f>
        <v>0</v>
      </c>
      <c r="K412" s="18">
        <f>'Sampling Data'!J412</f>
        <v>0</v>
      </c>
      <c r="L412" s="18">
        <f>'Sampling Data'!K412</f>
        <v>0</v>
      </c>
      <c r="M412" s="18">
        <f>'Sampling Data'!L412</f>
        <v>0</v>
      </c>
      <c r="N412" s="18">
        <f>'Sampling Data'!M412</f>
        <v>0</v>
      </c>
      <c r="O412" s="17">
        <f>'Sampling Data'!N412</f>
        <v>0</v>
      </c>
      <c r="P412" s="17">
        <f>'Sampling Data'!O412</f>
        <v>4</v>
      </c>
      <c r="Q412" s="17">
        <f>'Sampling Data'!P412</f>
        <v>208</v>
      </c>
      <c r="R412" s="17">
        <f>'Sampling Data'!AJ412</f>
        <v>0</v>
      </c>
      <c r="S412" s="111"/>
      <c r="T412" s="111"/>
      <c r="U412" s="112"/>
      <c r="V412" s="112"/>
      <c r="W412" s="111"/>
      <c r="X412" s="111"/>
      <c r="Y412" s="111"/>
      <c r="Z412" s="111"/>
      <c r="AA412" s="14"/>
      <c r="AB412" s="14"/>
      <c r="AC412" s="14"/>
      <c r="AD412" s="14"/>
      <c r="AE412" s="113" t="str">
        <f>IF(NOT(ISBLANK(Audit[[#This Row],[Audit Winning Candidate]])), Audit[[#This Row],[Audit Winning Candidate]]-Audit[[#This Row],[Winning Candidate]], "")</f>
        <v/>
      </c>
      <c r="AF412" s="17" t="str">
        <f>IF(NOT(ISBLANK(Audit[[#This Row],[Audit Losing Candidate]])), Audit[[#This Row],[Audit Losing Candidate]]-Audit[[#This Row],[Losing Candidate]], "")</f>
        <v/>
      </c>
      <c r="AG412" s="17" t="str">
        <f>IF(NOT(ISBLANK(Audit[[#This Row],[Audit Candidate 3]])), Audit[[#This Row],[Audit Candidate 3]]-Audit[[#This Row],[Candidate 3]], "")</f>
        <v/>
      </c>
      <c r="AH412" s="17" t="str">
        <f>IF(NOT(ISBLANK(Audit[[#This Row],[Audit Candidate 4]])),Audit[[#This Row],[Audit Candidate 4]]-Audit[[#This Row],[Candidate 4]], "")</f>
        <v/>
      </c>
      <c r="AI412" s="17" t="str">
        <f>IF(NOT(ISBLANK(Audit[[#This Row],[Audit Candidate 5]])), Audit[[#This Row],[Audit Candidate 5]]-Audit[[#This Row],[Candidate 5]], "")</f>
        <v/>
      </c>
      <c r="AJ412" s="17" t="str">
        <f>IF(NOT(ISBLANK(Audit[[#This Row],[Audit Candidate 6]])), Audit[[#This Row],[Audit Candidate 6]]-Audit[[#This Row],[Candidate 6]], "")</f>
        <v/>
      </c>
      <c r="AK412" s="17" t="str">
        <f>IF(NOT(ISBLANK(Audit[[#This Row],[Audit Candidate 7]])), Audit[[#This Row],[Audit Candidate 7]]-Audit[[#This Row],[Candidate 7]], "")</f>
        <v/>
      </c>
      <c r="AL412" s="17" t="str">
        <f>IF(NOT(ISBLANK(Audit[[#This Row],[Audit Candidate 8]])), Audit[[#This Row],[Audit Candidate 8]]-Audit[[#This Row],[Candidate 8]], "")</f>
        <v/>
      </c>
      <c r="AM412" s="17" t="str">
        <f>IF(NOT(ISBLANK(Audit[[#This Row],[Audit Candidate 9]])), Audit[[#This Row],[Audit Candidate 9]]-Audit[[#This Row],[Candidate 9]], "")</f>
        <v/>
      </c>
      <c r="AN412" s="17" t="str">
        <f>IF(NOT(ISBLANK(Audit[[#This Row],[Audit Candidate 10]])), Audit[[#This Row],[Audit Candidate 10]]-Audit[[#This Row],[Candidate 10]], "")</f>
        <v/>
      </c>
      <c r="AO412" s="17" t="str">
        <f>IF(NOT(ISBLANK(Audit[[#This Row],[Audit Candidate 11]])), Audit[[#This Row],[Audit Candidate 11]]-Audit[[#This Row],[Candidate 11]], "")</f>
        <v/>
      </c>
      <c r="AP412" s="17" t="str">
        <f>IF(NOT(ISBLANK(Audit[[#This Row],[Audit Candidate 12]])), Audit[[#This Row],[Audit Candidate 12]]-Audit[[#This Row],[Candidate 12]], "")</f>
        <v/>
      </c>
      <c r="AQ412" s="17">
        <f>SUMIF(Audit[[#This Row],[Difference Winner]:[Difference Candidate 12]], "&gt;0")</f>
        <v>0</v>
      </c>
      <c r="AR412" s="17">
        <f>SUM(Audit[[#This Row],[Difference Winner]:[Difference Candidate 12]])</f>
        <v>0</v>
      </c>
      <c r="AS412" s="17">
        <f>IF(Audit[[#This Row],[Times p Drawn - With Replacement]]&gt;0, IF(Audit[[#This Row],[Canceled Differences]]&lt;0, Audit[[#This Row],[Max Differences]]+ABS(Audit[[#This Row],[Canceled Differences]]), Audit[[#This Row],[Max Differences]]), 0)</f>
        <v>0</v>
      </c>
      <c r="AT412" s="17">
        <f>'Sampling Data'!AB412</f>
        <v>6.1110168052962146E-3</v>
      </c>
      <c r="AU412" s="17">
        <f>IF(
      SUM(Audit[[#This Row],[Audit Losing Candidate]:[Audit Candidate 12]])
      &lt;&gt;0,
      (Audit[[#This Row],[Winning Candidate]]-Audit[[#This Row],[Losing Candidate]]-(Audit[[#This Row],[Audit Winning Candidate]]-Audit[[#This Row],[Audit Losing Candidate]]))/(Audit[[#Totals],[Winning Candidate]]-Audit[[#Totals],[Losing Candidate]]),
      0
)</f>
        <v>0</v>
      </c>
      <c r="AV4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2" s="17">
        <f>IF(Audit[[#This Row],[Max Relative Error (ep)]] = 0, 0, Audit[[#This Row],[Max Relative Error (ep)]]/Audit[[#This Row],[Error Bound (up) - Max. possible relative overstatement]])</f>
        <v>0</v>
      </c>
      <c r="BH4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12" s="17">
        <f t="shared" si="7"/>
        <v>1</v>
      </c>
      <c r="BJ412" s="17">
        <f>PRODUCT($BI$5:BI412)</f>
        <v>0.46283459046185416</v>
      </c>
      <c r="BK412" s="19">
        <f>1 - Audit[[#This Row],[K-M P Value]]</f>
        <v>0.53716540953814584</v>
      </c>
      <c r="BL412" s="17" t="str">
        <f>IF(Audit[[#This Row],[K-M P Value]]&gt;1-'General Info'!$B$12,"Continue", "Stop")</f>
        <v>Continue</v>
      </c>
      <c r="BM412" s="22" t="b">
        <f>IF(Audit[[#This Row],[Status - Continue or stop audit]] = "Continue", TRUE, IF(BL411 = "Continue", TRUE, FALSE))</f>
        <v>1</v>
      </c>
      <c r="BN412" s="22"/>
    </row>
    <row r="413" spans="1:66" ht="15" hidden="1" customHeight="1" x14ac:dyDescent="0.35">
      <c r="A413" s="17" t="str">
        <f>'Sampling Data'!AI413</f>
        <v/>
      </c>
      <c r="B413" s="17" t="str">
        <f>'Sampling Data'!A413</f>
        <v>6512 DELHI L   (AV)</v>
      </c>
      <c r="C413" s="17">
        <f>'Sampling Data'!B413</f>
        <v>94</v>
      </c>
      <c r="D413" s="17">
        <f>'Sampling Data'!C413</f>
        <v>194</v>
      </c>
      <c r="E413" s="18">
        <f>'Sampling Data'!D413</f>
        <v>0</v>
      </c>
      <c r="F413" s="18">
        <f>'Sampling Data'!E413</f>
        <v>0</v>
      </c>
      <c r="G413" s="18">
        <f>'Sampling Data'!F413</f>
        <v>0</v>
      </c>
      <c r="H413" s="18">
        <f>'Sampling Data'!G413</f>
        <v>0</v>
      </c>
      <c r="I413" s="18">
        <f>'Sampling Data'!H413</f>
        <v>0</v>
      </c>
      <c r="J413" s="18">
        <f>'Sampling Data'!I413</f>
        <v>0</v>
      </c>
      <c r="K413" s="18">
        <f>'Sampling Data'!J413</f>
        <v>0</v>
      </c>
      <c r="L413" s="18">
        <f>'Sampling Data'!K413</f>
        <v>0</v>
      </c>
      <c r="M413" s="18">
        <f>'Sampling Data'!L413</f>
        <v>0</v>
      </c>
      <c r="N413" s="18">
        <f>'Sampling Data'!M413</f>
        <v>0</v>
      </c>
      <c r="O413" s="17">
        <f>'Sampling Data'!N413</f>
        <v>0</v>
      </c>
      <c r="P413" s="17">
        <f>'Sampling Data'!O413</f>
        <v>16</v>
      </c>
      <c r="Q413" s="17">
        <f>'Sampling Data'!P413</f>
        <v>304</v>
      </c>
      <c r="R413" s="17">
        <f>'Sampling Data'!AJ413</f>
        <v>0</v>
      </c>
      <c r="S413" s="111"/>
      <c r="T413" s="111"/>
      <c r="U413" s="112"/>
      <c r="V413" s="112"/>
      <c r="W413" s="111"/>
      <c r="X413" s="111"/>
      <c r="Y413" s="111"/>
      <c r="Z413" s="111"/>
      <c r="AA413" s="14"/>
      <c r="AB413" s="14"/>
      <c r="AC413" s="14"/>
      <c r="AD413" s="14"/>
      <c r="AE413" s="113" t="str">
        <f>IF(NOT(ISBLANK(Audit[[#This Row],[Audit Winning Candidate]])), Audit[[#This Row],[Audit Winning Candidate]]-Audit[[#This Row],[Winning Candidate]], "")</f>
        <v/>
      </c>
      <c r="AF413" s="17" t="str">
        <f>IF(NOT(ISBLANK(Audit[[#This Row],[Audit Losing Candidate]])), Audit[[#This Row],[Audit Losing Candidate]]-Audit[[#This Row],[Losing Candidate]], "")</f>
        <v/>
      </c>
      <c r="AG413" s="17" t="str">
        <f>IF(NOT(ISBLANK(Audit[[#This Row],[Audit Candidate 3]])), Audit[[#This Row],[Audit Candidate 3]]-Audit[[#This Row],[Candidate 3]], "")</f>
        <v/>
      </c>
      <c r="AH413" s="17" t="str">
        <f>IF(NOT(ISBLANK(Audit[[#This Row],[Audit Candidate 4]])),Audit[[#This Row],[Audit Candidate 4]]-Audit[[#This Row],[Candidate 4]], "")</f>
        <v/>
      </c>
      <c r="AI413" s="17" t="str">
        <f>IF(NOT(ISBLANK(Audit[[#This Row],[Audit Candidate 5]])), Audit[[#This Row],[Audit Candidate 5]]-Audit[[#This Row],[Candidate 5]], "")</f>
        <v/>
      </c>
      <c r="AJ413" s="17" t="str">
        <f>IF(NOT(ISBLANK(Audit[[#This Row],[Audit Candidate 6]])), Audit[[#This Row],[Audit Candidate 6]]-Audit[[#This Row],[Candidate 6]], "")</f>
        <v/>
      </c>
      <c r="AK413" s="17" t="str">
        <f>IF(NOT(ISBLANK(Audit[[#This Row],[Audit Candidate 7]])), Audit[[#This Row],[Audit Candidate 7]]-Audit[[#This Row],[Candidate 7]], "")</f>
        <v/>
      </c>
      <c r="AL413" s="17" t="str">
        <f>IF(NOT(ISBLANK(Audit[[#This Row],[Audit Candidate 8]])), Audit[[#This Row],[Audit Candidate 8]]-Audit[[#This Row],[Candidate 8]], "")</f>
        <v/>
      </c>
      <c r="AM413" s="17" t="str">
        <f>IF(NOT(ISBLANK(Audit[[#This Row],[Audit Candidate 9]])), Audit[[#This Row],[Audit Candidate 9]]-Audit[[#This Row],[Candidate 9]], "")</f>
        <v/>
      </c>
      <c r="AN413" s="17" t="str">
        <f>IF(NOT(ISBLANK(Audit[[#This Row],[Audit Candidate 10]])), Audit[[#This Row],[Audit Candidate 10]]-Audit[[#This Row],[Candidate 10]], "")</f>
        <v/>
      </c>
      <c r="AO413" s="17" t="str">
        <f>IF(NOT(ISBLANK(Audit[[#This Row],[Audit Candidate 11]])), Audit[[#This Row],[Audit Candidate 11]]-Audit[[#This Row],[Candidate 11]], "")</f>
        <v/>
      </c>
      <c r="AP413" s="17" t="str">
        <f>IF(NOT(ISBLANK(Audit[[#This Row],[Audit Candidate 12]])), Audit[[#This Row],[Audit Candidate 12]]-Audit[[#This Row],[Candidate 12]], "")</f>
        <v/>
      </c>
      <c r="AQ413" s="17">
        <f>SUMIF(Audit[[#This Row],[Difference Winner]:[Difference Candidate 12]], "&gt;0")</f>
        <v>0</v>
      </c>
      <c r="AR413" s="17">
        <f>SUM(Audit[[#This Row],[Difference Winner]:[Difference Candidate 12]])</f>
        <v>0</v>
      </c>
      <c r="AS413" s="17">
        <f>IF(Audit[[#This Row],[Times p Drawn - With Replacement]]&gt;0, IF(Audit[[#This Row],[Canceled Differences]]&lt;0, Audit[[#This Row],[Max Differences]]+ABS(Audit[[#This Row],[Canceled Differences]]), Audit[[#This Row],[Max Differences]]), 0)</f>
        <v>0</v>
      </c>
      <c r="AT413" s="17">
        <f>'Sampling Data'!AB413</f>
        <v>8.6572738075029708E-3</v>
      </c>
      <c r="AU413" s="17">
        <f>IF(
      SUM(Audit[[#This Row],[Audit Losing Candidate]:[Audit Candidate 12]])
      &lt;&gt;0,
      (Audit[[#This Row],[Winning Candidate]]-Audit[[#This Row],[Losing Candidate]]-(Audit[[#This Row],[Audit Winning Candidate]]-Audit[[#This Row],[Audit Losing Candidate]]))/(Audit[[#Totals],[Winning Candidate]]-Audit[[#Totals],[Losing Candidate]]),
      0
)</f>
        <v>0</v>
      </c>
      <c r="AV4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3" s="17">
        <f>IF(Audit[[#This Row],[Max Relative Error (ep)]] = 0, 0, Audit[[#This Row],[Max Relative Error (ep)]]/Audit[[#This Row],[Error Bound (up) - Max. possible relative overstatement]])</f>
        <v>0</v>
      </c>
      <c r="BH4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13" s="17">
        <f t="shared" si="7"/>
        <v>1</v>
      </c>
      <c r="BJ413" s="17">
        <f>PRODUCT($BI$5:BI413)</f>
        <v>0.46283459046185416</v>
      </c>
      <c r="BK413" s="19">
        <f>1 - Audit[[#This Row],[K-M P Value]]</f>
        <v>0.53716540953814584</v>
      </c>
      <c r="BL413" s="17" t="str">
        <f>IF(Audit[[#This Row],[K-M P Value]]&gt;1-'General Info'!$B$12,"Continue", "Stop")</f>
        <v>Continue</v>
      </c>
      <c r="BM413" s="22" t="b">
        <f>IF(Audit[[#This Row],[Status - Continue or stop audit]] = "Continue", TRUE, IF(BL412 = "Continue", TRUE, FALSE))</f>
        <v>1</v>
      </c>
      <c r="BN413" s="22"/>
    </row>
    <row r="414" spans="1:66" ht="15" hidden="1" customHeight="1" x14ac:dyDescent="0.35">
      <c r="A414" s="17" t="str">
        <f>'Sampling Data'!AI414</f>
        <v/>
      </c>
      <c r="B414" s="17" t="str">
        <f>'Sampling Data'!A414</f>
        <v>6513 DELHI M   (AV)</v>
      </c>
      <c r="C414" s="17">
        <f>'Sampling Data'!B414</f>
        <v>108</v>
      </c>
      <c r="D414" s="17">
        <f>'Sampling Data'!C414</f>
        <v>130</v>
      </c>
      <c r="E414" s="18">
        <f>'Sampling Data'!D414</f>
        <v>0</v>
      </c>
      <c r="F414" s="18">
        <f>'Sampling Data'!E414</f>
        <v>0</v>
      </c>
      <c r="G414" s="18">
        <f>'Sampling Data'!F414</f>
        <v>0</v>
      </c>
      <c r="H414" s="18">
        <f>'Sampling Data'!G414</f>
        <v>0</v>
      </c>
      <c r="I414" s="18">
        <f>'Sampling Data'!H414</f>
        <v>0</v>
      </c>
      <c r="J414" s="18">
        <f>'Sampling Data'!I414</f>
        <v>0</v>
      </c>
      <c r="K414" s="18">
        <f>'Sampling Data'!J414</f>
        <v>0</v>
      </c>
      <c r="L414" s="18">
        <f>'Sampling Data'!K414</f>
        <v>0</v>
      </c>
      <c r="M414" s="18">
        <f>'Sampling Data'!L414</f>
        <v>0</v>
      </c>
      <c r="N414" s="18">
        <f>'Sampling Data'!M414</f>
        <v>0</v>
      </c>
      <c r="O414" s="17">
        <f>'Sampling Data'!N414</f>
        <v>0</v>
      </c>
      <c r="P414" s="17">
        <f>'Sampling Data'!O414</f>
        <v>12</v>
      </c>
      <c r="Q414" s="17">
        <f>'Sampling Data'!P414</f>
        <v>250</v>
      </c>
      <c r="R414" s="17">
        <f>'Sampling Data'!AJ414</f>
        <v>0</v>
      </c>
      <c r="S414" s="111"/>
      <c r="T414" s="111"/>
      <c r="U414" s="112"/>
      <c r="V414" s="112"/>
      <c r="W414" s="111"/>
      <c r="X414" s="111"/>
      <c r="Y414" s="111"/>
      <c r="Z414" s="111"/>
      <c r="AA414" s="14"/>
      <c r="AB414" s="14"/>
      <c r="AC414" s="14"/>
      <c r="AD414" s="14"/>
      <c r="AE414" s="113" t="str">
        <f>IF(NOT(ISBLANK(Audit[[#This Row],[Audit Winning Candidate]])), Audit[[#This Row],[Audit Winning Candidate]]-Audit[[#This Row],[Winning Candidate]], "")</f>
        <v/>
      </c>
      <c r="AF414" s="17" t="str">
        <f>IF(NOT(ISBLANK(Audit[[#This Row],[Audit Losing Candidate]])), Audit[[#This Row],[Audit Losing Candidate]]-Audit[[#This Row],[Losing Candidate]], "")</f>
        <v/>
      </c>
      <c r="AG414" s="17" t="str">
        <f>IF(NOT(ISBLANK(Audit[[#This Row],[Audit Candidate 3]])), Audit[[#This Row],[Audit Candidate 3]]-Audit[[#This Row],[Candidate 3]], "")</f>
        <v/>
      </c>
      <c r="AH414" s="17" t="str">
        <f>IF(NOT(ISBLANK(Audit[[#This Row],[Audit Candidate 4]])),Audit[[#This Row],[Audit Candidate 4]]-Audit[[#This Row],[Candidate 4]], "")</f>
        <v/>
      </c>
      <c r="AI414" s="17" t="str">
        <f>IF(NOT(ISBLANK(Audit[[#This Row],[Audit Candidate 5]])), Audit[[#This Row],[Audit Candidate 5]]-Audit[[#This Row],[Candidate 5]], "")</f>
        <v/>
      </c>
      <c r="AJ414" s="17" t="str">
        <f>IF(NOT(ISBLANK(Audit[[#This Row],[Audit Candidate 6]])), Audit[[#This Row],[Audit Candidate 6]]-Audit[[#This Row],[Candidate 6]], "")</f>
        <v/>
      </c>
      <c r="AK414" s="17" t="str">
        <f>IF(NOT(ISBLANK(Audit[[#This Row],[Audit Candidate 7]])), Audit[[#This Row],[Audit Candidate 7]]-Audit[[#This Row],[Candidate 7]], "")</f>
        <v/>
      </c>
      <c r="AL414" s="17" t="str">
        <f>IF(NOT(ISBLANK(Audit[[#This Row],[Audit Candidate 8]])), Audit[[#This Row],[Audit Candidate 8]]-Audit[[#This Row],[Candidate 8]], "")</f>
        <v/>
      </c>
      <c r="AM414" s="17" t="str">
        <f>IF(NOT(ISBLANK(Audit[[#This Row],[Audit Candidate 9]])), Audit[[#This Row],[Audit Candidate 9]]-Audit[[#This Row],[Candidate 9]], "")</f>
        <v/>
      </c>
      <c r="AN414" s="17" t="str">
        <f>IF(NOT(ISBLANK(Audit[[#This Row],[Audit Candidate 10]])), Audit[[#This Row],[Audit Candidate 10]]-Audit[[#This Row],[Candidate 10]], "")</f>
        <v/>
      </c>
      <c r="AO414" s="17" t="str">
        <f>IF(NOT(ISBLANK(Audit[[#This Row],[Audit Candidate 11]])), Audit[[#This Row],[Audit Candidate 11]]-Audit[[#This Row],[Candidate 11]], "")</f>
        <v/>
      </c>
      <c r="AP414" s="17" t="str">
        <f>IF(NOT(ISBLANK(Audit[[#This Row],[Audit Candidate 12]])), Audit[[#This Row],[Audit Candidate 12]]-Audit[[#This Row],[Candidate 12]], "")</f>
        <v/>
      </c>
      <c r="AQ414" s="17">
        <f>SUMIF(Audit[[#This Row],[Difference Winner]:[Difference Candidate 12]], "&gt;0")</f>
        <v>0</v>
      </c>
      <c r="AR414" s="17">
        <f>SUM(Audit[[#This Row],[Difference Winner]:[Difference Candidate 12]])</f>
        <v>0</v>
      </c>
      <c r="AS414" s="17">
        <f>IF(Audit[[#This Row],[Times p Drawn - With Replacement]]&gt;0, IF(Audit[[#This Row],[Canceled Differences]]&lt;0, Audit[[#This Row],[Max Differences]]+ABS(Audit[[#This Row],[Canceled Differences]]), Audit[[#This Row],[Max Differences]]), 0)</f>
        <v>0</v>
      </c>
      <c r="AT414" s="17">
        <f>'Sampling Data'!AB414</f>
        <v>9.6757766083856722E-3</v>
      </c>
      <c r="AU414" s="17">
        <f>IF(
      SUM(Audit[[#This Row],[Audit Losing Candidate]:[Audit Candidate 12]])
      &lt;&gt;0,
      (Audit[[#This Row],[Winning Candidate]]-Audit[[#This Row],[Losing Candidate]]-(Audit[[#This Row],[Audit Winning Candidate]]-Audit[[#This Row],[Audit Losing Candidate]]))/(Audit[[#Totals],[Winning Candidate]]-Audit[[#Totals],[Losing Candidate]]),
      0
)</f>
        <v>0</v>
      </c>
      <c r="AV4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4" s="17">
        <f>IF(Audit[[#This Row],[Max Relative Error (ep)]] = 0, 0, Audit[[#This Row],[Max Relative Error (ep)]]/Audit[[#This Row],[Error Bound (up) - Max. possible relative overstatement]])</f>
        <v>0</v>
      </c>
      <c r="BH4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14" s="17">
        <f t="shared" si="7"/>
        <v>1</v>
      </c>
      <c r="BJ414" s="17">
        <f>PRODUCT($BI$5:BI414)</f>
        <v>0.46283459046185416</v>
      </c>
      <c r="BK414" s="19">
        <f>1 - Audit[[#This Row],[K-M P Value]]</f>
        <v>0.53716540953814584</v>
      </c>
      <c r="BL414" s="17" t="str">
        <f>IF(Audit[[#This Row],[K-M P Value]]&gt;1-'General Info'!$B$12,"Continue", "Stop")</f>
        <v>Continue</v>
      </c>
      <c r="BM414" s="22" t="b">
        <f>IF(Audit[[#This Row],[Status - Continue or stop audit]] = "Continue", TRUE, IF(BL413 = "Continue", TRUE, FALSE))</f>
        <v>1</v>
      </c>
      <c r="BN414" s="22"/>
    </row>
    <row r="415" spans="1:66" ht="15" hidden="1" customHeight="1" x14ac:dyDescent="0.35">
      <c r="A415" s="17" t="str">
        <f>'Sampling Data'!AI415</f>
        <v/>
      </c>
      <c r="B415" s="17" t="str">
        <f>'Sampling Data'!A415</f>
        <v>6514 DELHI N   (AV)</v>
      </c>
      <c r="C415" s="17">
        <f>'Sampling Data'!B415</f>
        <v>37</v>
      </c>
      <c r="D415" s="17">
        <f>'Sampling Data'!C415</f>
        <v>49</v>
      </c>
      <c r="E415" s="18">
        <f>'Sampling Data'!D415</f>
        <v>0</v>
      </c>
      <c r="F415" s="18">
        <f>'Sampling Data'!E415</f>
        <v>0</v>
      </c>
      <c r="G415" s="18">
        <f>'Sampling Data'!F415</f>
        <v>0</v>
      </c>
      <c r="H415" s="18">
        <f>'Sampling Data'!G415</f>
        <v>0</v>
      </c>
      <c r="I415" s="18">
        <f>'Sampling Data'!H415</f>
        <v>0</v>
      </c>
      <c r="J415" s="18">
        <f>'Sampling Data'!I415</f>
        <v>0</v>
      </c>
      <c r="K415" s="18">
        <f>'Sampling Data'!J415</f>
        <v>0</v>
      </c>
      <c r="L415" s="18">
        <f>'Sampling Data'!K415</f>
        <v>0</v>
      </c>
      <c r="M415" s="18">
        <f>'Sampling Data'!L415</f>
        <v>0</v>
      </c>
      <c r="N415" s="18">
        <f>'Sampling Data'!M415</f>
        <v>0</v>
      </c>
      <c r="O415" s="17">
        <f>'Sampling Data'!N415</f>
        <v>0</v>
      </c>
      <c r="P415" s="17">
        <f>'Sampling Data'!O415</f>
        <v>6</v>
      </c>
      <c r="Q415" s="17">
        <f>'Sampling Data'!P415</f>
        <v>92</v>
      </c>
      <c r="R415" s="17">
        <f>'Sampling Data'!AJ415</f>
        <v>0</v>
      </c>
      <c r="S415" s="111"/>
      <c r="T415" s="111"/>
      <c r="U415" s="112"/>
      <c r="V415" s="112"/>
      <c r="W415" s="111"/>
      <c r="X415" s="111"/>
      <c r="Y415" s="111"/>
      <c r="Z415" s="111"/>
      <c r="AA415" s="14"/>
      <c r="AB415" s="14"/>
      <c r="AC415" s="14"/>
      <c r="AD415" s="14"/>
      <c r="AE415" s="113" t="str">
        <f>IF(NOT(ISBLANK(Audit[[#This Row],[Audit Winning Candidate]])), Audit[[#This Row],[Audit Winning Candidate]]-Audit[[#This Row],[Winning Candidate]], "")</f>
        <v/>
      </c>
      <c r="AF415" s="17" t="str">
        <f>IF(NOT(ISBLANK(Audit[[#This Row],[Audit Losing Candidate]])), Audit[[#This Row],[Audit Losing Candidate]]-Audit[[#This Row],[Losing Candidate]], "")</f>
        <v/>
      </c>
      <c r="AG415" s="17" t="str">
        <f>IF(NOT(ISBLANK(Audit[[#This Row],[Audit Candidate 3]])), Audit[[#This Row],[Audit Candidate 3]]-Audit[[#This Row],[Candidate 3]], "")</f>
        <v/>
      </c>
      <c r="AH415" s="17" t="str">
        <f>IF(NOT(ISBLANK(Audit[[#This Row],[Audit Candidate 4]])),Audit[[#This Row],[Audit Candidate 4]]-Audit[[#This Row],[Candidate 4]], "")</f>
        <v/>
      </c>
      <c r="AI415" s="17" t="str">
        <f>IF(NOT(ISBLANK(Audit[[#This Row],[Audit Candidate 5]])), Audit[[#This Row],[Audit Candidate 5]]-Audit[[#This Row],[Candidate 5]], "")</f>
        <v/>
      </c>
      <c r="AJ415" s="17" t="str">
        <f>IF(NOT(ISBLANK(Audit[[#This Row],[Audit Candidate 6]])), Audit[[#This Row],[Audit Candidate 6]]-Audit[[#This Row],[Candidate 6]], "")</f>
        <v/>
      </c>
      <c r="AK415" s="17" t="str">
        <f>IF(NOT(ISBLANK(Audit[[#This Row],[Audit Candidate 7]])), Audit[[#This Row],[Audit Candidate 7]]-Audit[[#This Row],[Candidate 7]], "")</f>
        <v/>
      </c>
      <c r="AL415" s="17" t="str">
        <f>IF(NOT(ISBLANK(Audit[[#This Row],[Audit Candidate 8]])), Audit[[#This Row],[Audit Candidate 8]]-Audit[[#This Row],[Candidate 8]], "")</f>
        <v/>
      </c>
      <c r="AM415" s="17" t="str">
        <f>IF(NOT(ISBLANK(Audit[[#This Row],[Audit Candidate 9]])), Audit[[#This Row],[Audit Candidate 9]]-Audit[[#This Row],[Candidate 9]], "")</f>
        <v/>
      </c>
      <c r="AN415" s="17" t="str">
        <f>IF(NOT(ISBLANK(Audit[[#This Row],[Audit Candidate 10]])), Audit[[#This Row],[Audit Candidate 10]]-Audit[[#This Row],[Candidate 10]], "")</f>
        <v/>
      </c>
      <c r="AO415" s="17" t="str">
        <f>IF(NOT(ISBLANK(Audit[[#This Row],[Audit Candidate 11]])), Audit[[#This Row],[Audit Candidate 11]]-Audit[[#This Row],[Candidate 11]], "")</f>
        <v/>
      </c>
      <c r="AP415" s="17" t="str">
        <f>IF(NOT(ISBLANK(Audit[[#This Row],[Audit Candidate 12]])), Audit[[#This Row],[Audit Candidate 12]]-Audit[[#This Row],[Candidate 12]], "")</f>
        <v/>
      </c>
      <c r="AQ415" s="17">
        <f>SUMIF(Audit[[#This Row],[Difference Winner]:[Difference Candidate 12]], "&gt;0")</f>
        <v>0</v>
      </c>
      <c r="AR415" s="17">
        <f>SUM(Audit[[#This Row],[Difference Winner]:[Difference Candidate 12]])</f>
        <v>0</v>
      </c>
      <c r="AS415" s="17">
        <f>IF(Audit[[#This Row],[Times p Drawn - With Replacement]]&gt;0, IF(Audit[[#This Row],[Canceled Differences]]&lt;0, Audit[[#This Row],[Max Differences]]+ABS(Audit[[#This Row],[Canceled Differences]]), Audit[[#This Row],[Max Differences]]), 0)</f>
        <v>0</v>
      </c>
      <c r="AT415" s="17">
        <f>'Sampling Data'!AB415</f>
        <v>3.3950093362756749E-3</v>
      </c>
      <c r="AU415" s="17">
        <f>IF(
      SUM(Audit[[#This Row],[Audit Losing Candidate]:[Audit Candidate 12]])
      &lt;&gt;0,
      (Audit[[#This Row],[Winning Candidate]]-Audit[[#This Row],[Losing Candidate]]-(Audit[[#This Row],[Audit Winning Candidate]]-Audit[[#This Row],[Audit Losing Candidate]]))/(Audit[[#Totals],[Winning Candidate]]-Audit[[#Totals],[Losing Candidate]]),
      0
)</f>
        <v>0</v>
      </c>
      <c r="AV4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5" s="17">
        <f>IF(Audit[[#This Row],[Max Relative Error (ep)]] = 0, 0, Audit[[#This Row],[Max Relative Error (ep)]]/Audit[[#This Row],[Error Bound (up) - Max. possible relative overstatement]])</f>
        <v>0</v>
      </c>
      <c r="BH4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15" s="17">
        <f t="shared" si="7"/>
        <v>1</v>
      </c>
      <c r="BJ415" s="17">
        <f>PRODUCT($BI$5:BI415)</f>
        <v>0.46283459046185416</v>
      </c>
      <c r="BK415" s="19">
        <f>1 - Audit[[#This Row],[K-M P Value]]</f>
        <v>0.53716540953814584</v>
      </c>
      <c r="BL415" s="17" t="str">
        <f>IF(Audit[[#This Row],[K-M P Value]]&gt;1-'General Info'!$B$12,"Continue", "Stop")</f>
        <v>Continue</v>
      </c>
      <c r="BM415" s="22" t="b">
        <f>IF(Audit[[#This Row],[Status - Continue or stop audit]] = "Continue", TRUE, IF(BL414 = "Continue", TRUE, FALSE))</f>
        <v>1</v>
      </c>
      <c r="BN415" s="22"/>
    </row>
    <row r="416" spans="1:66" ht="15" hidden="1" customHeight="1" x14ac:dyDescent="0.35">
      <c r="A416" s="17" t="str">
        <f>'Sampling Data'!AI416</f>
        <v/>
      </c>
      <c r="B416" s="17" t="str">
        <f>'Sampling Data'!A416</f>
        <v>6515 DELHI O   (AV)</v>
      </c>
      <c r="C416" s="17">
        <f>'Sampling Data'!B416</f>
        <v>94</v>
      </c>
      <c r="D416" s="17">
        <f>'Sampling Data'!C416</f>
        <v>150</v>
      </c>
      <c r="E416" s="18">
        <f>'Sampling Data'!D416</f>
        <v>0</v>
      </c>
      <c r="F416" s="18">
        <f>'Sampling Data'!E416</f>
        <v>0</v>
      </c>
      <c r="G416" s="18">
        <f>'Sampling Data'!F416</f>
        <v>0</v>
      </c>
      <c r="H416" s="18">
        <f>'Sampling Data'!G416</f>
        <v>0</v>
      </c>
      <c r="I416" s="18">
        <f>'Sampling Data'!H416</f>
        <v>0</v>
      </c>
      <c r="J416" s="18">
        <f>'Sampling Data'!I416</f>
        <v>0</v>
      </c>
      <c r="K416" s="18">
        <f>'Sampling Data'!J416</f>
        <v>0</v>
      </c>
      <c r="L416" s="18">
        <f>'Sampling Data'!K416</f>
        <v>0</v>
      </c>
      <c r="M416" s="18">
        <f>'Sampling Data'!L416</f>
        <v>0</v>
      </c>
      <c r="N416" s="18">
        <f>'Sampling Data'!M416</f>
        <v>0</v>
      </c>
      <c r="O416" s="17">
        <f>'Sampling Data'!N416</f>
        <v>0</v>
      </c>
      <c r="P416" s="17">
        <f>'Sampling Data'!O416</f>
        <v>21</v>
      </c>
      <c r="Q416" s="17">
        <f>'Sampling Data'!P416</f>
        <v>265</v>
      </c>
      <c r="R416" s="17">
        <f>'Sampling Data'!AJ416</f>
        <v>0</v>
      </c>
      <c r="S416" s="111"/>
      <c r="T416" s="111"/>
      <c r="U416" s="112"/>
      <c r="V416" s="112"/>
      <c r="W416" s="111"/>
      <c r="X416" s="111"/>
      <c r="Y416" s="111"/>
      <c r="Z416" s="111"/>
      <c r="AA416" s="14"/>
      <c r="AB416" s="14"/>
      <c r="AC416" s="14"/>
      <c r="AD416" s="14"/>
      <c r="AE416" s="113" t="str">
        <f>IF(NOT(ISBLANK(Audit[[#This Row],[Audit Winning Candidate]])), Audit[[#This Row],[Audit Winning Candidate]]-Audit[[#This Row],[Winning Candidate]], "")</f>
        <v/>
      </c>
      <c r="AF416" s="17" t="str">
        <f>IF(NOT(ISBLANK(Audit[[#This Row],[Audit Losing Candidate]])), Audit[[#This Row],[Audit Losing Candidate]]-Audit[[#This Row],[Losing Candidate]], "")</f>
        <v/>
      </c>
      <c r="AG416" s="17" t="str">
        <f>IF(NOT(ISBLANK(Audit[[#This Row],[Audit Candidate 3]])), Audit[[#This Row],[Audit Candidate 3]]-Audit[[#This Row],[Candidate 3]], "")</f>
        <v/>
      </c>
      <c r="AH416" s="17" t="str">
        <f>IF(NOT(ISBLANK(Audit[[#This Row],[Audit Candidate 4]])),Audit[[#This Row],[Audit Candidate 4]]-Audit[[#This Row],[Candidate 4]], "")</f>
        <v/>
      </c>
      <c r="AI416" s="17" t="str">
        <f>IF(NOT(ISBLANK(Audit[[#This Row],[Audit Candidate 5]])), Audit[[#This Row],[Audit Candidate 5]]-Audit[[#This Row],[Candidate 5]], "")</f>
        <v/>
      </c>
      <c r="AJ416" s="17" t="str">
        <f>IF(NOT(ISBLANK(Audit[[#This Row],[Audit Candidate 6]])), Audit[[#This Row],[Audit Candidate 6]]-Audit[[#This Row],[Candidate 6]], "")</f>
        <v/>
      </c>
      <c r="AK416" s="17" t="str">
        <f>IF(NOT(ISBLANK(Audit[[#This Row],[Audit Candidate 7]])), Audit[[#This Row],[Audit Candidate 7]]-Audit[[#This Row],[Candidate 7]], "")</f>
        <v/>
      </c>
      <c r="AL416" s="17" t="str">
        <f>IF(NOT(ISBLANK(Audit[[#This Row],[Audit Candidate 8]])), Audit[[#This Row],[Audit Candidate 8]]-Audit[[#This Row],[Candidate 8]], "")</f>
        <v/>
      </c>
      <c r="AM416" s="17" t="str">
        <f>IF(NOT(ISBLANK(Audit[[#This Row],[Audit Candidate 9]])), Audit[[#This Row],[Audit Candidate 9]]-Audit[[#This Row],[Candidate 9]], "")</f>
        <v/>
      </c>
      <c r="AN416" s="17" t="str">
        <f>IF(NOT(ISBLANK(Audit[[#This Row],[Audit Candidate 10]])), Audit[[#This Row],[Audit Candidate 10]]-Audit[[#This Row],[Candidate 10]], "")</f>
        <v/>
      </c>
      <c r="AO416" s="17" t="str">
        <f>IF(NOT(ISBLANK(Audit[[#This Row],[Audit Candidate 11]])), Audit[[#This Row],[Audit Candidate 11]]-Audit[[#This Row],[Candidate 11]], "")</f>
        <v/>
      </c>
      <c r="AP416" s="17" t="str">
        <f>IF(NOT(ISBLANK(Audit[[#This Row],[Audit Candidate 12]])), Audit[[#This Row],[Audit Candidate 12]]-Audit[[#This Row],[Candidate 12]], "")</f>
        <v/>
      </c>
      <c r="AQ416" s="17">
        <f>SUMIF(Audit[[#This Row],[Difference Winner]:[Difference Candidate 12]], "&gt;0")</f>
        <v>0</v>
      </c>
      <c r="AR416" s="17">
        <f>SUM(Audit[[#This Row],[Difference Winner]:[Difference Candidate 12]])</f>
        <v>0</v>
      </c>
      <c r="AS416" s="17">
        <f>IF(Audit[[#This Row],[Times p Drawn - With Replacement]]&gt;0, IF(Audit[[#This Row],[Canceled Differences]]&lt;0, Audit[[#This Row],[Max Differences]]+ABS(Audit[[#This Row],[Canceled Differences]]), Audit[[#This Row],[Max Differences]]), 0)</f>
        <v>0</v>
      </c>
      <c r="AT416" s="17">
        <f>'Sampling Data'!AB416</f>
        <v>8.8694618910202007E-3</v>
      </c>
      <c r="AU416" s="17">
        <f>IF(
      SUM(Audit[[#This Row],[Audit Losing Candidate]:[Audit Candidate 12]])
      &lt;&gt;0,
      (Audit[[#This Row],[Winning Candidate]]-Audit[[#This Row],[Losing Candidate]]-(Audit[[#This Row],[Audit Winning Candidate]]-Audit[[#This Row],[Audit Losing Candidate]]))/(Audit[[#Totals],[Winning Candidate]]-Audit[[#Totals],[Losing Candidate]]),
      0
)</f>
        <v>0</v>
      </c>
      <c r="AV4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6" s="17">
        <f>IF(Audit[[#This Row],[Max Relative Error (ep)]] = 0, 0, Audit[[#This Row],[Max Relative Error (ep)]]/Audit[[#This Row],[Error Bound (up) - Max. possible relative overstatement]])</f>
        <v>0</v>
      </c>
      <c r="BH4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16" s="17">
        <f t="shared" si="7"/>
        <v>1</v>
      </c>
      <c r="BJ416" s="17">
        <f>PRODUCT($BI$5:BI416)</f>
        <v>0.46283459046185416</v>
      </c>
      <c r="BK416" s="19">
        <f>1 - Audit[[#This Row],[K-M P Value]]</f>
        <v>0.53716540953814584</v>
      </c>
      <c r="BL416" s="17" t="str">
        <f>IF(Audit[[#This Row],[K-M P Value]]&gt;1-'General Info'!$B$12,"Continue", "Stop")</f>
        <v>Continue</v>
      </c>
      <c r="BM416" s="22" t="b">
        <f>IF(Audit[[#This Row],[Status - Continue or stop audit]] = "Continue", TRUE, IF(BL415 = "Continue", TRUE, FALSE))</f>
        <v>1</v>
      </c>
      <c r="BN416" s="22"/>
    </row>
    <row r="417" spans="1:66" ht="15" hidden="1" customHeight="1" x14ac:dyDescent="0.35">
      <c r="A417" s="17" t="str">
        <f>'Sampling Data'!AI417</f>
        <v/>
      </c>
      <c r="B417" s="17" t="str">
        <f>'Sampling Data'!A417</f>
        <v>6516 DELHI P   (AV)</v>
      </c>
      <c r="C417" s="17">
        <f>'Sampling Data'!B417</f>
        <v>95</v>
      </c>
      <c r="D417" s="17">
        <f>'Sampling Data'!C417</f>
        <v>147</v>
      </c>
      <c r="E417" s="18">
        <f>'Sampling Data'!D417</f>
        <v>0</v>
      </c>
      <c r="F417" s="18">
        <f>'Sampling Data'!E417</f>
        <v>0</v>
      </c>
      <c r="G417" s="18">
        <f>'Sampling Data'!F417</f>
        <v>0</v>
      </c>
      <c r="H417" s="18">
        <f>'Sampling Data'!G417</f>
        <v>0</v>
      </c>
      <c r="I417" s="18">
        <f>'Sampling Data'!H417</f>
        <v>0</v>
      </c>
      <c r="J417" s="18">
        <f>'Sampling Data'!I417</f>
        <v>0</v>
      </c>
      <c r="K417" s="18">
        <f>'Sampling Data'!J417</f>
        <v>0</v>
      </c>
      <c r="L417" s="18">
        <f>'Sampling Data'!K417</f>
        <v>0</v>
      </c>
      <c r="M417" s="18">
        <f>'Sampling Data'!L417</f>
        <v>0</v>
      </c>
      <c r="N417" s="18">
        <f>'Sampling Data'!M417</f>
        <v>0</v>
      </c>
      <c r="O417" s="17">
        <f>'Sampling Data'!N417</f>
        <v>0</v>
      </c>
      <c r="P417" s="17">
        <f>'Sampling Data'!O417</f>
        <v>10</v>
      </c>
      <c r="Q417" s="17">
        <f>'Sampling Data'!P417</f>
        <v>252</v>
      </c>
      <c r="R417" s="17">
        <f>'Sampling Data'!AJ417</f>
        <v>0</v>
      </c>
      <c r="S417" s="111"/>
      <c r="T417" s="111"/>
      <c r="U417" s="112"/>
      <c r="V417" s="112"/>
      <c r="W417" s="111"/>
      <c r="X417" s="111"/>
      <c r="Y417" s="111"/>
      <c r="Z417" s="111"/>
      <c r="AA417" s="14"/>
      <c r="AB417" s="14"/>
      <c r="AC417" s="14"/>
      <c r="AD417" s="14"/>
      <c r="AE417" s="113" t="str">
        <f>IF(NOT(ISBLANK(Audit[[#This Row],[Audit Winning Candidate]])), Audit[[#This Row],[Audit Winning Candidate]]-Audit[[#This Row],[Winning Candidate]], "")</f>
        <v/>
      </c>
      <c r="AF417" s="17" t="str">
        <f>IF(NOT(ISBLANK(Audit[[#This Row],[Audit Losing Candidate]])), Audit[[#This Row],[Audit Losing Candidate]]-Audit[[#This Row],[Losing Candidate]], "")</f>
        <v/>
      </c>
      <c r="AG417" s="17" t="str">
        <f>IF(NOT(ISBLANK(Audit[[#This Row],[Audit Candidate 3]])), Audit[[#This Row],[Audit Candidate 3]]-Audit[[#This Row],[Candidate 3]], "")</f>
        <v/>
      </c>
      <c r="AH417" s="17" t="str">
        <f>IF(NOT(ISBLANK(Audit[[#This Row],[Audit Candidate 4]])),Audit[[#This Row],[Audit Candidate 4]]-Audit[[#This Row],[Candidate 4]], "")</f>
        <v/>
      </c>
      <c r="AI417" s="17" t="str">
        <f>IF(NOT(ISBLANK(Audit[[#This Row],[Audit Candidate 5]])), Audit[[#This Row],[Audit Candidate 5]]-Audit[[#This Row],[Candidate 5]], "")</f>
        <v/>
      </c>
      <c r="AJ417" s="17" t="str">
        <f>IF(NOT(ISBLANK(Audit[[#This Row],[Audit Candidate 6]])), Audit[[#This Row],[Audit Candidate 6]]-Audit[[#This Row],[Candidate 6]], "")</f>
        <v/>
      </c>
      <c r="AK417" s="17" t="str">
        <f>IF(NOT(ISBLANK(Audit[[#This Row],[Audit Candidate 7]])), Audit[[#This Row],[Audit Candidate 7]]-Audit[[#This Row],[Candidate 7]], "")</f>
        <v/>
      </c>
      <c r="AL417" s="17" t="str">
        <f>IF(NOT(ISBLANK(Audit[[#This Row],[Audit Candidate 8]])), Audit[[#This Row],[Audit Candidate 8]]-Audit[[#This Row],[Candidate 8]], "")</f>
        <v/>
      </c>
      <c r="AM417" s="17" t="str">
        <f>IF(NOT(ISBLANK(Audit[[#This Row],[Audit Candidate 9]])), Audit[[#This Row],[Audit Candidate 9]]-Audit[[#This Row],[Candidate 9]], "")</f>
        <v/>
      </c>
      <c r="AN417" s="17" t="str">
        <f>IF(NOT(ISBLANK(Audit[[#This Row],[Audit Candidate 10]])), Audit[[#This Row],[Audit Candidate 10]]-Audit[[#This Row],[Candidate 10]], "")</f>
        <v/>
      </c>
      <c r="AO417" s="17" t="str">
        <f>IF(NOT(ISBLANK(Audit[[#This Row],[Audit Candidate 11]])), Audit[[#This Row],[Audit Candidate 11]]-Audit[[#This Row],[Candidate 11]], "")</f>
        <v/>
      </c>
      <c r="AP417" s="17" t="str">
        <f>IF(NOT(ISBLANK(Audit[[#This Row],[Audit Candidate 12]])), Audit[[#This Row],[Audit Candidate 12]]-Audit[[#This Row],[Candidate 12]], "")</f>
        <v/>
      </c>
      <c r="AQ417" s="17">
        <f>SUMIF(Audit[[#This Row],[Difference Winner]:[Difference Candidate 12]], "&gt;0")</f>
        <v>0</v>
      </c>
      <c r="AR417" s="17">
        <f>SUM(Audit[[#This Row],[Difference Winner]:[Difference Candidate 12]])</f>
        <v>0</v>
      </c>
      <c r="AS417" s="17">
        <f>IF(Audit[[#This Row],[Times p Drawn - With Replacement]]&gt;0, IF(Audit[[#This Row],[Canceled Differences]]&lt;0, Audit[[#This Row],[Max Differences]]+ABS(Audit[[#This Row],[Canceled Differences]]), Audit[[#This Row],[Max Differences]]), 0)</f>
        <v>0</v>
      </c>
      <c r="AT417" s="17">
        <f>'Sampling Data'!AB417</f>
        <v>8.4875233406891872E-3</v>
      </c>
      <c r="AU417" s="17">
        <f>IF(
      SUM(Audit[[#This Row],[Audit Losing Candidate]:[Audit Candidate 12]])
      &lt;&gt;0,
      (Audit[[#This Row],[Winning Candidate]]-Audit[[#This Row],[Losing Candidate]]-(Audit[[#This Row],[Audit Winning Candidate]]-Audit[[#This Row],[Audit Losing Candidate]]))/(Audit[[#Totals],[Winning Candidate]]-Audit[[#Totals],[Losing Candidate]]),
      0
)</f>
        <v>0</v>
      </c>
      <c r="AV4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7" s="17">
        <f>IF(Audit[[#This Row],[Max Relative Error (ep)]] = 0, 0, Audit[[#This Row],[Max Relative Error (ep)]]/Audit[[#This Row],[Error Bound (up) - Max. possible relative overstatement]])</f>
        <v>0</v>
      </c>
      <c r="BH4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17" s="17">
        <f t="shared" si="7"/>
        <v>1</v>
      </c>
      <c r="BJ417" s="17">
        <f>PRODUCT($BI$5:BI417)</f>
        <v>0.46283459046185416</v>
      </c>
      <c r="BK417" s="19">
        <f>1 - Audit[[#This Row],[K-M P Value]]</f>
        <v>0.53716540953814584</v>
      </c>
      <c r="BL417" s="17" t="str">
        <f>IF(Audit[[#This Row],[K-M P Value]]&gt;1-'General Info'!$B$12,"Continue", "Stop")</f>
        <v>Continue</v>
      </c>
      <c r="BM417" s="22" t="b">
        <f>IF(Audit[[#This Row],[Status - Continue or stop audit]] = "Continue", TRUE, IF(BL416 = "Continue", TRUE, FALSE))</f>
        <v>1</v>
      </c>
      <c r="BN417" s="22"/>
    </row>
    <row r="418" spans="1:66" ht="15" hidden="1" customHeight="1" x14ac:dyDescent="0.35">
      <c r="A418" s="17" t="str">
        <f>'Sampling Data'!AI418</f>
        <v/>
      </c>
      <c r="B418" s="17" t="str">
        <f>'Sampling Data'!A418</f>
        <v>6517 DELHI Q   (AV)</v>
      </c>
      <c r="C418" s="17">
        <f>'Sampling Data'!B418</f>
        <v>73</v>
      </c>
      <c r="D418" s="17">
        <f>'Sampling Data'!C418</f>
        <v>230</v>
      </c>
      <c r="E418" s="18">
        <f>'Sampling Data'!D418</f>
        <v>0</v>
      </c>
      <c r="F418" s="18">
        <f>'Sampling Data'!E418</f>
        <v>0</v>
      </c>
      <c r="G418" s="18">
        <f>'Sampling Data'!F418</f>
        <v>0</v>
      </c>
      <c r="H418" s="18">
        <f>'Sampling Data'!G418</f>
        <v>0</v>
      </c>
      <c r="I418" s="18">
        <f>'Sampling Data'!H418</f>
        <v>0</v>
      </c>
      <c r="J418" s="18">
        <f>'Sampling Data'!I418</f>
        <v>0</v>
      </c>
      <c r="K418" s="18">
        <f>'Sampling Data'!J418</f>
        <v>0</v>
      </c>
      <c r="L418" s="18">
        <f>'Sampling Data'!K418</f>
        <v>0</v>
      </c>
      <c r="M418" s="18">
        <f>'Sampling Data'!L418</f>
        <v>0</v>
      </c>
      <c r="N418" s="18">
        <f>'Sampling Data'!M418</f>
        <v>0</v>
      </c>
      <c r="O418" s="17">
        <f>'Sampling Data'!N418</f>
        <v>1</v>
      </c>
      <c r="P418" s="17">
        <f>'Sampling Data'!O418</f>
        <v>19</v>
      </c>
      <c r="Q418" s="17">
        <f>'Sampling Data'!P418</f>
        <v>323</v>
      </c>
      <c r="R418" s="17">
        <f>'Sampling Data'!AJ418</f>
        <v>0</v>
      </c>
      <c r="S418" s="111"/>
      <c r="T418" s="111"/>
      <c r="U418" s="112"/>
      <c r="V418" s="112"/>
      <c r="W418" s="111"/>
      <c r="X418" s="111"/>
      <c r="Y418" s="111"/>
      <c r="Z418" s="111"/>
      <c r="AA418" s="14"/>
      <c r="AB418" s="14"/>
      <c r="AC418" s="14"/>
      <c r="AD418" s="14"/>
      <c r="AE418" s="113" t="str">
        <f>IF(NOT(ISBLANK(Audit[[#This Row],[Audit Winning Candidate]])), Audit[[#This Row],[Audit Winning Candidate]]-Audit[[#This Row],[Winning Candidate]], "")</f>
        <v/>
      </c>
      <c r="AF418" s="17" t="str">
        <f>IF(NOT(ISBLANK(Audit[[#This Row],[Audit Losing Candidate]])), Audit[[#This Row],[Audit Losing Candidate]]-Audit[[#This Row],[Losing Candidate]], "")</f>
        <v/>
      </c>
      <c r="AG418" s="17" t="str">
        <f>IF(NOT(ISBLANK(Audit[[#This Row],[Audit Candidate 3]])), Audit[[#This Row],[Audit Candidate 3]]-Audit[[#This Row],[Candidate 3]], "")</f>
        <v/>
      </c>
      <c r="AH418" s="17" t="str">
        <f>IF(NOT(ISBLANK(Audit[[#This Row],[Audit Candidate 4]])),Audit[[#This Row],[Audit Candidate 4]]-Audit[[#This Row],[Candidate 4]], "")</f>
        <v/>
      </c>
      <c r="AI418" s="17" t="str">
        <f>IF(NOT(ISBLANK(Audit[[#This Row],[Audit Candidate 5]])), Audit[[#This Row],[Audit Candidate 5]]-Audit[[#This Row],[Candidate 5]], "")</f>
        <v/>
      </c>
      <c r="AJ418" s="17" t="str">
        <f>IF(NOT(ISBLANK(Audit[[#This Row],[Audit Candidate 6]])), Audit[[#This Row],[Audit Candidate 6]]-Audit[[#This Row],[Candidate 6]], "")</f>
        <v/>
      </c>
      <c r="AK418" s="17" t="str">
        <f>IF(NOT(ISBLANK(Audit[[#This Row],[Audit Candidate 7]])), Audit[[#This Row],[Audit Candidate 7]]-Audit[[#This Row],[Candidate 7]], "")</f>
        <v/>
      </c>
      <c r="AL418" s="17" t="str">
        <f>IF(NOT(ISBLANK(Audit[[#This Row],[Audit Candidate 8]])), Audit[[#This Row],[Audit Candidate 8]]-Audit[[#This Row],[Candidate 8]], "")</f>
        <v/>
      </c>
      <c r="AM418" s="17" t="str">
        <f>IF(NOT(ISBLANK(Audit[[#This Row],[Audit Candidate 9]])), Audit[[#This Row],[Audit Candidate 9]]-Audit[[#This Row],[Candidate 9]], "")</f>
        <v/>
      </c>
      <c r="AN418" s="17" t="str">
        <f>IF(NOT(ISBLANK(Audit[[#This Row],[Audit Candidate 10]])), Audit[[#This Row],[Audit Candidate 10]]-Audit[[#This Row],[Candidate 10]], "")</f>
        <v/>
      </c>
      <c r="AO418" s="17" t="str">
        <f>IF(NOT(ISBLANK(Audit[[#This Row],[Audit Candidate 11]])), Audit[[#This Row],[Audit Candidate 11]]-Audit[[#This Row],[Candidate 11]], "")</f>
        <v/>
      </c>
      <c r="AP418" s="17" t="str">
        <f>IF(NOT(ISBLANK(Audit[[#This Row],[Audit Candidate 12]])), Audit[[#This Row],[Audit Candidate 12]]-Audit[[#This Row],[Candidate 12]], "")</f>
        <v/>
      </c>
      <c r="AQ418" s="17">
        <f>SUMIF(Audit[[#This Row],[Difference Winner]:[Difference Candidate 12]], "&gt;0")</f>
        <v>0</v>
      </c>
      <c r="AR418" s="17">
        <f>SUM(Audit[[#This Row],[Difference Winner]:[Difference Candidate 12]])</f>
        <v>0</v>
      </c>
      <c r="AS418" s="17">
        <f>IF(Audit[[#This Row],[Times p Drawn - With Replacement]]&gt;0, IF(Audit[[#This Row],[Canceled Differences]]&lt;0, Audit[[#This Row],[Max Differences]]+ABS(Audit[[#This Row],[Canceled Differences]]), Audit[[#This Row],[Max Differences]]), 0)</f>
        <v>0</v>
      </c>
      <c r="AT418" s="17">
        <f>'Sampling Data'!AB418</f>
        <v>7.0446443727720251E-3</v>
      </c>
      <c r="AU418" s="17">
        <f>IF(
      SUM(Audit[[#This Row],[Audit Losing Candidate]:[Audit Candidate 12]])
      &lt;&gt;0,
      (Audit[[#This Row],[Winning Candidate]]-Audit[[#This Row],[Losing Candidate]]-(Audit[[#This Row],[Audit Winning Candidate]]-Audit[[#This Row],[Audit Losing Candidate]]))/(Audit[[#Totals],[Winning Candidate]]-Audit[[#Totals],[Losing Candidate]]),
      0
)</f>
        <v>0</v>
      </c>
      <c r="AV4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8" s="17">
        <f>IF(Audit[[#This Row],[Max Relative Error (ep)]] = 0, 0, Audit[[#This Row],[Max Relative Error (ep)]]/Audit[[#This Row],[Error Bound (up) - Max. possible relative overstatement]])</f>
        <v>0</v>
      </c>
      <c r="BH4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18" s="17">
        <f t="shared" si="7"/>
        <v>1</v>
      </c>
      <c r="BJ418" s="17">
        <f>PRODUCT($BI$5:BI418)</f>
        <v>0.46283459046185416</v>
      </c>
      <c r="BK418" s="19">
        <f>1 - Audit[[#This Row],[K-M P Value]]</f>
        <v>0.53716540953814584</v>
      </c>
      <c r="BL418" s="17" t="str">
        <f>IF(Audit[[#This Row],[K-M P Value]]&gt;1-'General Info'!$B$12,"Continue", "Stop")</f>
        <v>Continue</v>
      </c>
      <c r="BM418" s="22" t="b">
        <f>IF(Audit[[#This Row],[Status - Continue or stop audit]] = "Continue", TRUE, IF(BL417 = "Continue", TRUE, FALSE))</f>
        <v>1</v>
      </c>
      <c r="BN418" s="22"/>
    </row>
    <row r="419" spans="1:66" ht="15" hidden="1" customHeight="1" x14ac:dyDescent="0.35">
      <c r="A419" s="17" t="str">
        <f>'Sampling Data'!AI419</f>
        <v/>
      </c>
      <c r="B419" s="17" t="str">
        <f>'Sampling Data'!A419</f>
        <v>6518 DELHI R   (AV)</v>
      </c>
      <c r="C419" s="17">
        <f>'Sampling Data'!B419</f>
        <v>131</v>
      </c>
      <c r="D419" s="17">
        <f>'Sampling Data'!C419</f>
        <v>172</v>
      </c>
      <c r="E419" s="18">
        <f>'Sampling Data'!D419</f>
        <v>0</v>
      </c>
      <c r="F419" s="18">
        <f>'Sampling Data'!E419</f>
        <v>0</v>
      </c>
      <c r="G419" s="18">
        <f>'Sampling Data'!F419</f>
        <v>0</v>
      </c>
      <c r="H419" s="18">
        <f>'Sampling Data'!G419</f>
        <v>0</v>
      </c>
      <c r="I419" s="18">
        <f>'Sampling Data'!H419</f>
        <v>0</v>
      </c>
      <c r="J419" s="18">
        <f>'Sampling Data'!I419</f>
        <v>0</v>
      </c>
      <c r="K419" s="18">
        <f>'Sampling Data'!J419</f>
        <v>0</v>
      </c>
      <c r="L419" s="18">
        <f>'Sampling Data'!K419</f>
        <v>0</v>
      </c>
      <c r="M419" s="18">
        <f>'Sampling Data'!L419</f>
        <v>0</v>
      </c>
      <c r="N419" s="18">
        <f>'Sampling Data'!M419</f>
        <v>0</v>
      </c>
      <c r="O419" s="17">
        <f>'Sampling Data'!N419</f>
        <v>0</v>
      </c>
      <c r="P419" s="17">
        <f>'Sampling Data'!O419</f>
        <v>22</v>
      </c>
      <c r="Q419" s="17">
        <f>'Sampling Data'!P419</f>
        <v>325</v>
      </c>
      <c r="R419" s="17">
        <f>'Sampling Data'!AJ419</f>
        <v>0</v>
      </c>
      <c r="S419" s="111"/>
      <c r="T419" s="111"/>
      <c r="U419" s="112"/>
      <c r="V419" s="112"/>
      <c r="W419" s="111"/>
      <c r="X419" s="111"/>
      <c r="Y419" s="111"/>
      <c r="Z419" s="111"/>
      <c r="AA419" s="14"/>
      <c r="AB419" s="14"/>
      <c r="AC419" s="14"/>
      <c r="AD419" s="14"/>
      <c r="AE419" s="113" t="str">
        <f>IF(NOT(ISBLANK(Audit[[#This Row],[Audit Winning Candidate]])), Audit[[#This Row],[Audit Winning Candidate]]-Audit[[#This Row],[Winning Candidate]], "")</f>
        <v/>
      </c>
      <c r="AF419" s="17" t="str">
        <f>IF(NOT(ISBLANK(Audit[[#This Row],[Audit Losing Candidate]])), Audit[[#This Row],[Audit Losing Candidate]]-Audit[[#This Row],[Losing Candidate]], "")</f>
        <v/>
      </c>
      <c r="AG419" s="17" t="str">
        <f>IF(NOT(ISBLANK(Audit[[#This Row],[Audit Candidate 3]])), Audit[[#This Row],[Audit Candidate 3]]-Audit[[#This Row],[Candidate 3]], "")</f>
        <v/>
      </c>
      <c r="AH419" s="17" t="str">
        <f>IF(NOT(ISBLANK(Audit[[#This Row],[Audit Candidate 4]])),Audit[[#This Row],[Audit Candidate 4]]-Audit[[#This Row],[Candidate 4]], "")</f>
        <v/>
      </c>
      <c r="AI419" s="17" t="str">
        <f>IF(NOT(ISBLANK(Audit[[#This Row],[Audit Candidate 5]])), Audit[[#This Row],[Audit Candidate 5]]-Audit[[#This Row],[Candidate 5]], "")</f>
        <v/>
      </c>
      <c r="AJ419" s="17" t="str">
        <f>IF(NOT(ISBLANK(Audit[[#This Row],[Audit Candidate 6]])), Audit[[#This Row],[Audit Candidate 6]]-Audit[[#This Row],[Candidate 6]], "")</f>
        <v/>
      </c>
      <c r="AK419" s="17" t="str">
        <f>IF(NOT(ISBLANK(Audit[[#This Row],[Audit Candidate 7]])), Audit[[#This Row],[Audit Candidate 7]]-Audit[[#This Row],[Candidate 7]], "")</f>
        <v/>
      </c>
      <c r="AL419" s="17" t="str">
        <f>IF(NOT(ISBLANK(Audit[[#This Row],[Audit Candidate 8]])), Audit[[#This Row],[Audit Candidate 8]]-Audit[[#This Row],[Candidate 8]], "")</f>
        <v/>
      </c>
      <c r="AM419" s="17" t="str">
        <f>IF(NOT(ISBLANK(Audit[[#This Row],[Audit Candidate 9]])), Audit[[#This Row],[Audit Candidate 9]]-Audit[[#This Row],[Candidate 9]], "")</f>
        <v/>
      </c>
      <c r="AN419" s="17" t="str">
        <f>IF(NOT(ISBLANK(Audit[[#This Row],[Audit Candidate 10]])), Audit[[#This Row],[Audit Candidate 10]]-Audit[[#This Row],[Candidate 10]], "")</f>
        <v/>
      </c>
      <c r="AO419" s="17" t="str">
        <f>IF(NOT(ISBLANK(Audit[[#This Row],[Audit Candidate 11]])), Audit[[#This Row],[Audit Candidate 11]]-Audit[[#This Row],[Candidate 11]], "")</f>
        <v/>
      </c>
      <c r="AP419" s="17" t="str">
        <f>IF(NOT(ISBLANK(Audit[[#This Row],[Audit Candidate 12]])), Audit[[#This Row],[Audit Candidate 12]]-Audit[[#This Row],[Candidate 12]], "")</f>
        <v/>
      </c>
      <c r="AQ419" s="17">
        <f>SUMIF(Audit[[#This Row],[Difference Winner]:[Difference Candidate 12]], "&gt;0")</f>
        <v>0</v>
      </c>
      <c r="AR419" s="17">
        <f>SUM(Audit[[#This Row],[Difference Winner]:[Difference Candidate 12]])</f>
        <v>0</v>
      </c>
      <c r="AS419" s="17">
        <f>IF(Audit[[#This Row],[Times p Drawn - With Replacement]]&gt;0, IF(Audit[[#This Row],[Canceled Differences]]&lt;0, Audit[[#This Row],[Max Differences]]+ABS(Audit[[#This Row],[Canceled Differences]]), Audit[[#This Row],[Max Differences]]), 0)</f>
        <v>0</v>
      </c>
      <c r="AT419" s="17">
        <f>'Sampling Data'!AB419</f>
        <v>1.2052283143778646E-2</v>
      </c>
      <c r="AU419" s="17">
        <f>IF(
      SUM(Audit[[#This Row],[Audit Losing Candidate]:[Audit Candidate 12]])
      &lt;&gt;0,
      (Audit[[#This Row],[Winning Candidate]]-Audit[[#This Row],[Losing Candidate]]-(Audit[[#This Row],[Audit Winning Candidate]]-Audit[[#This Row],[Audit Losing Candidate]]))/(Audit[[#Totals],[Winning Candidate]]-Audit[[#Totals],[Losing Candidate]]),
      0
)</f>
        <v>0</v>
      </c>
      <c r="AV4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9" s="17">
        <f>IF(Audit[[#This Row],[Max Relative Error (ep)]] = 0, 0, Audit[[#This Row],[Max Relative Error (ep)]]/Audit[[#This Row],[Error Bound (up) - Max. possible relative overstatement]])</f>
        <v>0</v>
      </c>
      <c r="BH4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19" s="17">
        <f t="shared" si="7"/>
        <v>1</v>
      </c>
      <c r="BJ419" s="17">
        <f>PRODUCT($BI$5:BI419)</f>
        <v>0.46283459046185416</v>
      </c>
      <c r="BK419" s="19">
        <f>1 - Audit[[#This Row],[K-M P Value]]</f>
        <v>0.53716540953814584</v>
      </c>
      <c r="BL419" s="17" t="str">
        <f>IF(Audit[[#This Row],[K-M P Value]]&gt;1-'General Info'!$B$12,"Continue", "Stop")</f>
        <v>Continue</v>
      </c>
      <c r="BM419" s="22" t="b">
        <f>IF(Audit[[#This Row],[Status - Continue or stop audit]] = "Continue", TRUE, IF(BL418 = "Continue", TRUE, FALSE))</f>
        <v>1</v>
      </c>
      <c r="BN419" s="22"/>
    </row>
    <row r="420" spans="1:66" ht="15" hidden="1" customHeight="1" x14ac:dyDescent="0.35">
      <c r="A420" s="17" t="str">
        <f>'Sampling Data'!AI420</f>
        <v/>
      </c>
      <c r="B420" s="17" t="str">
        <f>'Sampling Data'!A420</f>
        <v>6519 DELHI S   (AV)</v>
      </c>
      <c r="C420" s="17">
        <f>'Sampling Data'!B420</f>
        <v>89</v>
      </c>
      <c r="D420" s="17">
        <f>'Sampling Data'!C420</f>
        <v>173</v>
      </c>
      <c r="E420" s="18">
        <f>'Sampling Data'!D420</f>
        <v>0</v>
      </c>
      <c r="F420" s="18">
        <f>'Sampling Data'!E420</f>
        <v>0</v>
      </c>
      <c r="G420" s="18">
        <f>'Sampling Data'!F420</f>
        <v>0</v>
      </c>
      <c r="H420" s="18">
        <f>'Sampling Data'!G420</f>
        <v>0</v>
      </c>
      <c r="I420" s="18">
        <f>'Sampling Data'!H420</f>
        <v>0</v>
      </c>
      <c r="J420" s="18">
        <f>'Sampling Data'!I420</f>
        <v>0</v>
      </c>
      <c r="K420" s="18">
        <f>'Sampling Data'!J420</f>
        <v>0</v>
      </c>
      <c r="L420" s="18">
        <f>'Sampling Data'!K420</f>
        <v>0</v>
      </c>
      <c r="M420" s="18">
        <f>'Sampling Data'!L420</f>
        <v>0</v>
      </c>
      <c r="N420" s="18">
        <f>'Sampling Data'!M420</f>
        <v>0</v>
      </c>
      <c r="O420" s="17">
        <f>'Sampling Data'!N420</f>
        <v>0</v>
      </c>
      <c r="P420" s="17">
        <f>'Sampling Data'!O420</f>
        <v>11</v>
      </c>
      <c r="Q420" s="17">
        <f>'Sampling Data'!P420</f>
        <v>273</v>
      </c>
      <c r="R420" s="17">
        <f>'Sampling Data'!AJ420</f>
        <v>0</v>
      </c>
      <c r="S420" s="111"/>
      <c r="T420" s="111"/>
      <c r="U420" s="112"/>
      <c r="V420" s="112"/>
      <c r="W420" s="111"/>
      <c r="X420" s="111"/>
      <c r="Y420" s="111"/>
      <c r="Z420" s="111"/>
      <c r="AA420" s="14"/>
      <c r="AB420" s="14"/>
      <c r="AC420" s="14"/>
      <c r="AD420" s="14"/>
      <c r="AE420" s="113" t="str">
        <f>IF(NOT(ISBLANK(Audit[[#This Row],[Audit Winning Candidate]])), Audit[[#This Row],[Audit Winning Candidate]]-Audit[[#This Row],[Winning Candidate]], "")</f>
        <v/>
      </c>
      <c r="AF420" s="17" t="str">
        <f>IF(NOT(ISBLANK(Audit[[#This Row],[Audit Losing Candidate]])), Audit[[#This Row],[Audit Losing Candidate]]-Audit[[#This Row],[Losing Candidate]], "")</f>
        <v/>
      </c>
      <c r="AG420" s="17" t="str">
        <f>IF(NOT(ISBLANK(Audit[[#This Row],[Audit Candidate 3]])), Audit[[#This Row],[Audit Candidate 3]]-Audit[[#This Row],[Candidate 3]], "")</f>
        <v/>
      </c>
      <c r="AH420" s="17" t="str">
        <f>IF(NOT(ISBLANK(Audit[[#This Row],[Audit Candidate 4]])),Audit[[#This Row],[Audit Candidate 4]]-Audit[[#This Row],[Candidate 4]], "")</f>
        <v/>
      </c>
      <c r="AI420" s="17" t="str">
        <f>IF(NOT(ISBLANK(Audit[[#This Row],[Audit Candidate 5]])), Audit[[#This Row],[Audit Candidate 5]]-Audit[[#This Row],[Candidate 5]], "")</f>
        <v/>
      </c>
      <c r="AJ420" s="17" t="str">
        <f>IF(NOT(ISBLANK(Audit[[#This Row],[Audit Candidate 6]])), Audit[[#This Row],[Audit Candidate 6]]-Audit[[#This Row],[Candidate 6]], "")</f>
        <v/>
      </c>
      <c r="AK420" s="17" t="str">
        <f>IF(NOT(ISBLANK(Audit[[#This Row],[Audit Candidate 7]])), Audit[[#This Row],[Audit Candidate 7]]-Audit[[#This Row],[Candidate 7]], "")</f>
        <v/>
      </c>
      <c r="AL420" s="17" t="str">
        <f>IF(NOT(ISBLANK(Audit[[#This Row],[Audit Candidate 8]])), Audit[[#This Row],[Audit Candidate 8]]-Audit[[#This Row],[Candidate 8]], "")</f>
        <v/>
      </c>
      <c r="AM420" s="17" t="str">
        <f>IF(NOT(ISBLANK(Audit[[#This Row],[Audit Candidate 9]])), Audit[[#This Row],[Audit Candidate 9]]-Audit[[#This Row],[Candidate 9]], "")</f>
        <v/>
      </c>
      <c r="AN420" s="17" t="str">
        <f>IF(NOT(ISBLANK(Audit[[#This Row],[Audit Candidate 10]])), Audit[[#This Row],[Audit Candidate 10]]-Audit[[#This Row],[Candidate 10]], "")</f>
        <v/>
      </c>
      <c r="AO420" s="17" t="str">
        <f>IF(NOT(ISBLANK(Audit[[#This Row],[Audit Candidate 11]])), Audit[[#This Row],[Audit Candidate 11]]-Audit[[#This Row],[Candidate 11]], "")</f>
        <v/>
      </c>
      <c r="AP420" s="17" t="str">
        <f>IF(NOT(ISBLANK(Audit[[#This Row],[Audit Candidate 12]])), Audit[[#This Row],[Audit Candidate 12]]-Audit[[#This Row],[Candidate 12]], "")</f>
        <v/>
      </c>
      <c r="AQ420" s="17">
        <f>SUMIF(Audit[[#This Row],[Difference Winner]:[Difference Candidate 12]], "&gt;0")</f>
        <v>0</v>
      </c>
      <c r="AR420" s="17">
        <f>SUM(Audit[[#This Row],[Difference Winner]:[Difference Candidate 12]])</f>
        <v>0</v>
      </c>
      <c r="AS420" s="17">
        <f>IF(Audit[[#This Row],[Times p Drawn - With Replacement]]&gt;0, IF(Audit[[#This Row],[Canceled Differences]]&lt;0, Audit[[#This Row],[Max Differences]]+ABS(Audit[[#This Row],[Canceled Differences]]), Audit[[#This Row],[Max Differences]]), 0)</f>
        <v>0</v>
      </c>
      <c r="AT420" s="17">
        <f>'Sampling Data'!AB420</f>
        <v>8.0207095569512811E-3</v>
      </c>
      <c r="AU420" s="17">
        <f>IF(
      SUM(Audit[[#This Row],[Audit Losing Candidate]:[Audit Candidate 12]])
      &lt;&gt;0,
      (Audit[[#This Row],[Winning Candidate]]-Audit[[#This Row],[Losing Candidate]]-(Audit[[#This Row],[Audit Winning Candidate]]-Audit[[#This Row],[Audit Losing Candidate]]))/(Audit[[#Totals],[Winning Candidate]]-Audit[[#Totals],[Losing Candidate]]),
      0
)</f>
        <v>0</v>
      </c>
      <c r="AV4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0" s="17">
        <f>IF(Audit[[#This Row],[Max Relative Error (ep)]] = 0, 0, Audit[[#This Row],[Max Relative Error (ep)]]/Audit[[#This Row],[Error Bound (up) - Max. possible relative overstatement]])</f>
        <v>0</v>
      </c>
      <c r="BH4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20" s="17">
        <f t="shared" si="7"/>
        <v>1</v>
      </c>
      <c r="BJ420" s="17">
        <f>PRODUCT($BI$5:BI420)</f>
        <v>0.46283459046185416</v>
      </c>
      <c r="BK420" s="19">
        <f>1 - Audit[[#This Row],[K-M P Value]]</f>
        <v>0.53716540953814584</v>
      </c>
      <c r="BL420" s="17" t="str">
        <f>IF(Audit[[#This Row],[K-M P Value]]&gt;1-'General Info'!$B$12,"Continue", "Stop")</f>
        <v>Continue</v>
      </c>
      <c r="BM420" s="22" t="b">
        <f>IF(Audit[[#This Row],[Status - Continue or stop audit]] = "Continue", TRUE, IF(BL419 = "Continue", TRUE, FALSE))</f>
        <v>1</v>
      </c>
      <c r="BN420" s="22"/>
    </row>
    <row r="421" spans="1:66" ht="15" hidden="1" customHeight="1" x14ac:dyDescent="0.35">
      <c r="A421" s="17" t="str">
        <f>'Sampling Data'!AI421</f>
        <v/>
      </c>
      <c r="B421" s="17" t="str">
        <f>'Sampling Data'!A421</f>
        <v>6701 ELMW A   (AV)</v>
      </c>
      <c r="C421" s="17">
        <f>'Sampling Data'!B421</f>
        <v>82</v>
      </c>
      <c r="D421" s="17">
        <f>'Sampling Data'!C421</f>
        <v>63</v>
      </c>
      <c r="E421" s="18">
        <f>'Sampling Data'!D421</f>
        <v>0</v>
      </c>
      <c r="F421" s="18">
        <f>'Sampling Data'!E421</f>
        <v>0</v>
      </c>
      <c r="G421" s="18">
        <f>'Sampling Data'!F421</f>
        <v>0</v>
      </c>
      <c r="H421" s="18">
        <f>'Sampling Data'!G421</f>
        <v>0</v>
      </c>
      <c r="I421" s="18">
        <f>'Sampling Data'!H421</f>
        <v>0</v>
      </c>
      <c r="J421" s="18">
        <f>'Sampling Data'!I421</f>
        <v>0</v>
      </c>
      <c r="K421" s="18">
        <f>'Sampling Data'!J421</f>
        <v>0</v>
      </c>
      <c r="L421" s="18">
        <f>'Sampling Data'!K421</f>
        <v>0</v>
      </c>
      <c r="M421" s="18">
        <f>'Sampling Data'!L421</f>
        <v>0</v>
      </c>
      <c r="N421" s="18">
        <f>'Sampling Data'!M421</f>
        <v>0</v>
      </c>
      <c r="O421" s="17">
        <f>'Sampling Data'!N421</f>
        <v>0</v>
      </c>
      <c r="P421" s="17">
        <f>'Sampling Data'!O421</f>
        <v>5</v>
      </c>
      <c r="Q421" s="17">
        <f>'Sampling Data'!P421</f>
        <v>150</v>
      </c>
      <c r="R421" s="17">
        <f>'Sampling Data'!AJ421</f>
        <v>0</v>
      </c>
      <c r="S421" s="111"/>
      <c r="T421" s="111"/>
      <c r="U421" s="112"/>
      <c r="V421" s="112"/>
      <c r="W421" s="111"/>
      <c r="X421" s="111"/>
      <c r="Y421" s="111"/>
      <c r="Z421" s="111"/>
      <c r="AA421" s="14"/>
      <c r="AB421" s="14"/>
      <c r="AC421" s="14"/>
      <c r="AD421" s="14"/>
      <c r="AE421" s="113" t="str">
        <f>IF(NOT(ISBLANK(Audit[[#This Row],[Audit Winning Candidate]])), Audit[[#This Row],[Audit Winning Candidate]]-Audit[[#This Row],[Winning Candidate]], "")</f>
        <v/>
      </c>
      <c r="AF421" s="17" t="str">
        <f>IF(NOT(ISBLANK(Audit[[#This Row],[Audit Losing Candidate]])), Audit[[#This Row],[Audit Losing Candidate]]-Audit[[#This Row],[Losing Candidate]], "")</f>
        <v/>
      </c>
      <c r="AG421" s="17" t="str">
        <f>IF(NOT(ISBLANK(Audit[[#This Row],[Audit Candidate 3]])), Audit[[#This Row],[Audit Candidate 3]]-Audit[[#This Row],[Candidate 3]], "")</f>
        <v/>
      </c>
      <c r="AH421" s="17" t="str">
        <f>IF(NOT(ISBLANK(Audit[[#This Row],[Audit Candidate 4]])),Audit[[#This Row],[Audit Candidate 4]]-Audit[[#This Row],[Candidate 4]], "")</f>
        <v/>
      </c>
      <c r="AI421" s="17" t="str">
        <f>IF(NOT(ISBLANK(Audit[[#This Row],[Audit Candidate 5]])), Audit[[#This Row],[Audit Candidate 5]]-Audit[[#This Row],[Candidate 5]], "")</f>
        <v/>
      </c>
      <c r="AJ421" s="17" t="str">
        <f>IF(NOT(ISBLANK(Audit[[#This Row],[Audit Candidate 6]])), Audit[[#This Row],[Audit Candidate 6]]-Audit[[#This Row],[Candidate 6]], "")</f>
        <v/>
      </c>
      <c r="AK421" s="17" t="str">
        <f>IF(NOT(ISBLANK(Audit[[#This Row],[Audit Candidate 7]])), Audit[[#This Row],[Audit Candidate 7]]-Audit[[#This Row],[Candidate 7]], "")</f>
        <v/>
      </c>
      <c r="AL421" s="17" t="str">
        <f>IF(NOT(ISBLANK(Audit[[#This Row],[Audit Candidate 8]])), Audit[[#This Row],[Audit Candidate 8]]-Audit[[#This Row],[Candidate 8]], "")</f>
        <v/>
      </c>
      <c r="AM421" s="17" t="str">
        <f>IF(NOT(ISBLANK(Audit[[#This Row],[Audit Candidate 9]])), Audit[[#This Row],[Audit Candidate 9]]-Audit[[#This Row],[Candidate 9]], "")</f>
        <v/>
      </c>
      <c r="AN421" s="17" t="str">
        <f>IF(NOT(ISBLANK(Audit[[#This Row],[Audit Candidate 10]])), Audit[[#This Row],[Audit Candidate 10]]-Audit[[#This Row],[Candidate 10]], "")</f>
        <v/>
      </c>
      <c r="AO421" s="17" t="str">
        <f>IF(NOT(ISBLANK(Audit[[#This Row],[Audit Candidate 11]])), Audit[[#This Row],[Audit Candidate 11]]-Audit[[#This Row],[Candidate 11]], "")</f>
        <v/>
      </c>
      <c r="AP421" s="17" t="str">
        <f>IF(NOT(ISBLANK(Audit[[#This Row],[Audit Candidate 12]])), Audit[[#This Row],[Audit Candidate 12]]-Audit[[#This Row],[Candidate 12]], "")</f>
        <v/>
      </c>
      <c r="AQ421" s="17">
        <f>SUMIF(Audit[[#This Row],[Difference Winner]:[Difference Candidate 12]], "&gt;0")</f>
        <v>0</v>
      </c>
      <c r="AR421" s="17">
        <f>SUM(Audit[[#This Row],[Difference Winner]:[Difference Candidate 12]])</f>
        <v>0</v>
      </c>
      <c r="AS421" s="17">
        <f>IF(Audit[[#This Row],[Times p Drawn - With Replacement]]&gt;0, IF(Audit[[#This Row],[Canceled Differences]]&lt;0, Audit[[#This Row],[Max Differences]]+ABS(Audit[[#This Row],[Canceled Differences]]), Audit[[#This Row],[Max Differences]]), 0)</f>
        <v>0</v>
      </c>
      <c r="AT421" s="17">
        <f>'Sampling Data'!AB421</f>
        <v>7.1719572228823632E-3</v>
      </c>
      <c r="AU421" s="17">
        <f>IF(
      SUM(Audit[[#This Row],[Audit Losing Candidate]:[Audit Candidate 12]])
      &lt;&gt;0,
      (Audit[[#This Row],[Winning Candidate]]-Audit[[#This Row],[Losing Candidate]]-(Audit[[#This Row],[Audit Winning Candidate]]-Audit[[#This Row],[Audit Losing Candidate]]))/(Audit[[#Totals],[Winning Candidate]]-Audit[[#Totals],[Losing Candidate]]),
      0
)</f>
        <v>0</v>
      </c>
      <c r="AV4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1" s="17">
        <f>IF(Audit[[#This Row],[Max Relative Error (ep)]] = 0, 0, Audit[[#This Row],[Max Relative Error (ep)]]/Audit[[#This Row],[Error Bound (up) - Max. possible relative overstatement]])</f>
        <v>0</v>
      </c>
      <c r="BH4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21" s="17">
        <f t="shared" si="7"/>
        <v>1</v>
      </c>
      <c r="BJ421" s="17">
        <f>PRODUCT($BI$5:BI421)</f>
        <v>0.46283459046185416</v>
      </c>
      <c r="BK421" s="19">
        <f>1 - Audit[[#This Row],[K-M P Value]]</f>
        <v>0.53716540953814584</v>
      </c>
      <c r="BL421" s="17" t="str">
        <f>IF(Audit[[#This Row],[K-M P Value]]&gt;1-'General Info'!$B$12,"Continue", "Stop")</f>
        <v>Continue</v>
      </c>
      <c r="BM421" s="22" t="b">
        <f>IF(Audit[[#This Row],[Status - Continue or stop audit]] = "Continue", TRUE, IF(BL420 = "Continue", TRUE, FALSE))</f>
        <v>1</v>
      </c>
      <c r="BN421" s="22"/>
    </row>
    <row r="422" spans="1:66" ht="15" hidden="1" customHeight="1" x14ac:dyDescent="0.35">
      <c r="A422" s="17" t="str">
        <f>'Sampling Data'!AI422</f>
        <v/>
      </c>
      <c r="B422" s="17" t="str">
        <f>'Sampling Data'!A422</f>
        <v>6801 EVEN A   (AV)</v>
      </c>
      <c r="C422" s="17">
        <f>'Sampling Data'!B422</f>
        <v>215</v>
      </c>
      <c r="D422" s="17">
        <f>'Sampling Data'!C422</f>
        <v>191</v>
      </c>
      <c r="E422" s="18">
        <f>'Sampling Data'!D422</f>
        <v>0</v>
      </c>
      <c r="F422" s="18">
        <f>'Sampling Data'!E422</f>
        <v>0</v>
      </c>
      <c r="G422" s="18">
        <f>'Sampling Data'!F422</f>
        <v>0</v>
      </c>
      <c r="H422" s="18">
        <f>'Sampling Data'!G422</f>
        <v>0</v>
      </c>
      <c r="I422" s="18">
        <f>'Sampling Data'!H422</f>
        <v>0</v>
      </c>
      <c r="J422" s="18">
        <f>'Sampling Data'!I422</f>
        <v>0</v>
      </c>
      <c r="K422" s="18">
        <f>'Sampling Data'!J422</f>
        <v>0</v>
      </c>
      <c r="L422" s="18">
        <f>'Sampling Data'!K422</f>
        <v>0</v>
      </c>
      <c r="M422" s="18">
        <f>'Sampling Data'!L422</f>
        <v>0</v>
      </c>
      <c r="N422" s="18">
        <f>'Sampling Data'!M422</f>
        <v>0</v>
      </c>
      <c r="O422" s="17">
        <f>'Sampling Data'!N422</f>
        <v>0</v>
      </c>
      <c r="P422" s="17">
        <f>'Sampling Data'!O422</f>
        <v>18</v>
      </c>
      <c r="Q422" s="17">
        <f>'Sampling Data'!P422</f>
        <v>424</v>
      </c>
      <c r="R422" s="17">
        <f>'Sampling Data'!AJ422</f>
        <v>0</v>
      </c>
      <c r="S422" s="111"/>
      <c r="T422" s="111"/>
      <c r="U422" s="112"/>
      <c r="V422" s="112"/>
      <c r="W422" s="111"/>
      <c r="X422" s="111"/>
      <c r="Y422" s="111"/>
      <c r="Z422" s="111"/>
      <c r="AA422" s="14"/>
      <c r="AB422" s="14"/>
      <c r="AC422" s="14"/>
      <c r="AD422" s="14"/>
      <c r="AE422" s="113" t="str">
        <f>IF(NOT(ISBLANK(Audit[[#This Row],[Audit Winning Candidate]])), Audit[[#This Row],[Audit Winning Candidate]]-Audit[[#This Row],[Winning Candidate]], "")</f>
        <v/>
      </c>
      <c r="AF422" s="17" t="str">
        <f>IF(NOT(ISBLANK(Audit[[#This Row],[Audit Losing Candidate]])), Audit[[#This Row],[Audit Losing Candidate]]-Audit[[#This Row],[Losing Candidate]], "")</f>
        <v/>
      </c>
      <c r="AG422" s="17" t="str">
        <f>IF(NOT(ISBLANK(Audit[[#This Row],[Audit Candidate 3]])), Audit[[#This Row],[Audit Candidate 3]]-Audit[[#This Row],[Candidate 3]], "")</f>
        <v/>
      </c>
      <c r="AH422" s="17" t="str">
        <f>IF(NOT(ISBLANK(Audit[[#This Row],[Audit Candidate 4]])),Audit[[#This Row],[Audit Candidate 4]]-Audit[[#This Row],[Candidate 4]], "")</f>
        <v/>
      </c>
      <c r="AI422" s="17" t="str">
        <f>IF(NOT(ISBLANK(Audit[[#This Row],[Audit Candidate 5]])), Audit[[#This Row],[Audit Candidate 5]]-Audit[[#This Row],[Candidate 5]], "")</f>
        <v/>
      </c>
      <c r="AJ422" s="17" t="str">
        <f>IF(NOT(ISBLANK(Audit[[#This Row],[Audit Candidate 6]])), Audit[[#This Row],[Audit Candidate 6]]-Audit[[#This Row],[Candidate 6]], "")</f>
        <v/>
      </c>
      <c r="AK422" s="17" t="str">
        <f>IF(NOT(ISBLANK(Audit[[#This Row],[Audit Candidate 7]])), Audit[[#This Row],[Audit Candidate 7]]-Audit[[#This Row],[Candidate 7]], "")</f>
        <v/>
      </c>
      <c r="AL422" s="17" t="str">
        <f>IF(NOT(ISBLANK(Audit[[#This Row],[Audit Candidate 8]])), Audit[[#This Row],[Audit Candidate 8]]-Audit[[#This Row],[Candidate 8]], "")</f>
        <v/>
      </c>
      <c r="AM422" s="17" t="str">
        <f>IF(NOT(ISBLANK(Audit[[#This Row],[Audit Candidate 9]])), Audit[[#This Row],[Audit Candidate 9]]-Audit[[#This Row],[Candidate 9]], "")</f>
        <v/>
      </c>
      <c r="AN422" s="17" t="str">
        <f>IF(NOT(ISBLANK(Audit[[#This Row],[Audit Candidate 10]])), Audit[[#This Row],[Audit Candidate 10]]-Audit[[#This Row],[Candidate 10]], "")</f>
        <v/>
      </c>
      <c r="AO422" s="17" t="str">
        <f>IF(NOT(ISBLANK(Audit[[#This Row],[Audit Candidate 11]])), Audit[[#This Row],[Audit Candidate 11]]-Audit[[#This Row],[Candidate 11]], "")</f>
        <v/>
      </c>
      <c r="AP422" s="17" t="str">
        <f>IF(NOT(ISBLANK(Audit[[#This Row],[Audit Candidate 12]])), Audit[[#This Row],[Audit Candidate 12]]-Audit[[#This Row],[Candidate 12]], "")</f>
        <v/>
      </c>
      <c r="AQ422" s="17">
        <f>SUMIF(Audit[[#This Row],[Difference Winner]:[Difference Candidate 12]], "&gt;0")</f>
        <v>0</v>
      </c>
      <c r="AR422" s="17">
        <f>SUM(Audit[[#This Row],[Difference Winner]:[Difference Candidate 12]])</f>
        <v>0</v>
      </c>
      <c r="AS422" s="17">
        <f>IF(Audit[[#This Row],[Times p Drawn - With Replacement]]&gt;0, IF(Audit[[#This Row],[Canceled Differences]]&lt;0, Audit[[#This Row],[Max Differences]]+ABS(Audit[[#This Row],[Canceled Differences]]), Audit[[#This Row],[Max Differences]]), 0)</f>
        <v>0</v>
      </c>
      <c r="AT422" s="17">
        <f>'Sampling Data'!AB422</f>
        <v>1.9012052283143777E-2</v>
      </c>
      <c r="AU422" s="17">
        <f>IF(
      SUM(Audit[[#This Row],[Audit Losing Candidate]:[Audit Candidate 12]])
      &lt;&gt;0,
      (Audit[[#This Row],[Winning Candidate]]-Audit[[#This Row],[Losing Candidate]]-(Audit[[#This Row],[Audit Winning Candidate]]-Audit[[#This Row],[Audit Losing Candidate]]))/(Audit[[#Totals],[Winning Candidate]]-Audit[[#Totals],[Losing Candidate]]),
      0
)</f>
        <v>0</v>
      </c>
      <c r="AV4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2" s="17">
        <f>IF(Audit[[#This Row],[Max Relative Error (ep)]] = 0, 0, Audit[[#This Row],[Max Relative Error (ep)]]/Audit[[#This Row],[Error Bound (up) - Max. possible relative overstatement]])</f>
        <v>0</v>
      </c>
      <c r="BH4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22" s="17">
        <f t="shared" si="7"/>
        <v>1</v>
      </c>
      <c r="BJ422" s="17">
        <f>PRODUCT($BI$5:BI422)</f>
        <v>0.46283459046185416</v>
      </c>
      <c r="BK422" s="19">
        <f>1 - Audit[[#This Row],[K-M P Value]]</f>
        <v>0.53716540953814584</v>
      </c>
      <c r="BL422" s="17" t="str">
        <f>IF(Audit[[#This Row],[K-M P Value]]&gt;1-'General Info'!$B$12,"Continue", "Stop")</f>
        <v>Continue</v>
      </c>
      <c r="BM422" s="22" t="b">
        <f>IF(Audit[[#This Row],[Status - Continue or stop audit]] = "Continue", TRUE, IF(BL421 = "Continue", TRUE, FALSE))</f>
        <v>1</v>
      </c>
      <c r="BN422" s="22"/>
    </row>
    <row r="423" spans="1:66" ht="15" hidden="1" customHeight="1" x14ac:dyDescent="0.35">
      <c r="A423" s="17" t="str">
        <f>'Sampling Data'!AI423</f>
        <v/>
      </c>
      <c r="B423" s="17" t="str">
        <f>'Sampling Data'!A423</f>
        <v>6802 EVEN B   (AV)</v>
      </c>
      <c r="C423" s="17">
        <f>'Sampling Data'!B423</f>
        <v>108</v>
      </c>
      <c r="D423" s="17">
        <f>'Sampling Data'!C423</f>
        <v>162</v>
      </c>
      <c r="E423" s="18">
        <f>'Sampling Data'!D423</f>
        <v>0</v>
      </c>
      <c r="F423" s="18">
        <f>'Sampling Data'!E423</f>
        <v>0</v>
      </c>
      <c r="G423" s="18">
        <f>'Sampling Data'!F423</f>
        <v>0</v>
      </c>
      <c r="H423" s="18">
        <f>'Sampling Data'!G423</f>
        <v>0</v>
      </c>
      <c r="I423" s="18">
        <f>'Sampling Data'!H423</f>
        <v>0</v>
      </c>
      <c r="J423" s="18">
        <f>'Sampling Data'!I423</f>
        <v>0</v>
      </c>
      <c r="K423" s="18">
        <f>'Sampling Data'!J423</f>
        <v>0</v>
      </c>
      <c r="L423" s="18">
        <f>'Sampling Data'!K423</f>
        <v>0</v>
      </c>
      <c r="M423" s="18">
        <f>'Sampling Data'!L423</f>
        <v>0</v>
      </c>
      <c r="N423" s="18">
        <f>'Sampling Data'!M423</f>
        <v>0</v>
      </c>
      <c r="O423" s="17">
        <f>'Sampling Data'!N423</f>
        <v>0</v>
      </c>
      <c r="P423" s="17">
        <f>'Sampling Data'!O423</f>
        <v>24</v>
      </c>
      <c r="Q423" s="17">
        <f>'Sampling Data'!P423</f>
        <v>294</v>
      </c>
      <c r="R423" s="17">
        <f>'Sampling Data'!AJ423</f>
        <v>0</v>
      </c>
      <c r="S423" s="111"/>
      <c r="T423" s="111"/>
      <c r="U423" s="112"/>
      <c r="V423" s="112"/>
      <c r="W423" s="111"/>
      <c r="X423" s="111"/>
      <c r="Y423" s="111"/>
      <c r="Z423" s="111"/>
      <c r="AA423" s="14"/>
      <c r="AB423" s="14"/>
      <c r="AC423" s="14"/>
      <c r="AD423" s="14"/>
      <c r="AE423" s="113" t="str">
        <f>IF(NOT(ISBLANK(Audit[[#This Row],[Audit Winning Candidate]])), Audit[[#This Row],[Audit Winning Candidate]]-Audit[[#This Row],[Winning Candidate]], "")</f>
        <v/>
      </c>
      <c r="AF423" s="17" t="str">
        <f>IF(NOT(ISBLANK(Audit[[#This Row],[Audit Losing Candidate]])), Audit[[#This Row],[Audit Losing Candidate]]-Audit[[#This Row],[Losing Candidate]], "")</f>
        <v/>
      </c>
      <c r="AG423" s="17" t="str">
        <f>IF(NOT(ISBLANK(Audit[[#This Row],[Audit Candidate 3]])), Audit[[#This Row],[Audit Candidate 3]]-Audit[[#This Row],[Candidate 3]], "")</f>
        <v/>
      </c>
      <c r="AH423" s="17" t="str">
        <f>IF(NOT(ISBLANK(Audit[[#This Row],[Audit Candidate 4]])),Audit[[#This Row],[Audit Candidate 4]]-Audit[[#This Row],[Candidate 4]], "")</f>
        <v/>
      </c>
      <c r="AI423" s="17" t="str">
        <f>IF(NOT(ISBLANK(Audit[[#This Row],[Audit Candidate 5]])), Audit[[#This Row],[Audit Candidate 5]]-Audit[[#This Row],[Candidate 5]], "")</f>
        <v/>
      </c>
      <c r="AJ423" s="17" t="str">
        <f>IF(NOT(ISBLANK(Audit[[#This Row],[Audit Candidate 6]])), Audit[[#This Row],[Audit Candidate 6]]-Audit[[#This Row],[Candidate 6]], "")</f>
        <v/>
      </c>
      <c r="AK423" s="17" t="str">
        <f>IF(NOT(ISBLANK(Audit[[#This Row],[Audit Candidate 7]])), Audit[[#This Row],[Audit Candidate 7]]-Audit[[#This Row],[Candidate 7]], "")</f>
        <v/>
      </c>
      <c r="AL423" s="17" t="str">
        <f>IF(NOT(ISBLANK(Audit[[#This Row],[Audit Candidate 8]])), Audit[[#This Row],[Audit Candidate 8]]-Audit[[#This Row],[Candidate 8]], "")</f>
        <v/>
      </c>
      <c r="AM423" s="17" t="str">
        <f>IF(NOT(ISBLANK(Audit[[#This Row],[Audit Candidate 9]])), Audit[[#This Row],[Audit Candidate 9]]-Audit[[#This Row],[Candidate 9]], "")</f>
        <v/>
      </c>
      <c r="AN423" s="17" t="str">
        <f>IF(NOT(ISBLANK(Audit[[#This Row],[Audit Candidate 10]])), Audit[[#This Row],[Audit Candidate 10]]-Audit[[#This Row],[Candidate 10]], "")</f>
        <v/>
      </c>
      <c r="AO423" s="17" t="str">
        <f>IF(NOT(ISBLANK(Audit[[#This Row],[Audit Candidate 11]])), Audit[[#This Row],[Audit Candidate 11]]-Audit[[#This Row],[Candidate 11]], "")</f>
        <v/>
      </c>
      <c r="AP423" s="17" t="str">
        <f>IF(NOT(ISBLANK(Audit[[#This Row],[Audit Candidate 12]])), Audit[[#This Row],[Audit Candidate 12]]-Audit[[#This Row],[Candidate 12]], "")</f>
        <v/>
      </c>
      <c r="AQ423" s="17">
        <f>SUMIF(Audit[[#This Row],[Difference Winner]:[Difference Candidate 12]], "&gt;0")</f>
        <v>0</v>
      </c>
      <c r="AR423" s="17">
        <f>SUM(Audit[[#This Row],[Difference Winner]:[Difference Candidate 12]])</f>
        <v>0</v>
      </c>
      <c r="AS423" s="17">
        <f>IF(Audit[[#This Row],[Times p Drawn - With Replacement]]&gt;0, IF(Audit[[#This Row],[Canceled Differences]]&lt;0, Audit[[#This Row],[Max Differences]]+ABS(Audit[[#This Row],[Canceled Differences]]), Audit[[#This Row],[Max Differences]]), 0)</f>
        <v>0</v>
      </c>
      <c r="AT423" s="17">
        <f>'Sampling Data'!AB423</f>
        <v>1.0185028008827025E-2</v>
      </c>
      <c r="AU423" s="17">
        <f>IF(
      SUM(Audit[[#This Row],[Audit Losing Candidate]:[Audit Candidate 12]])
      &lt;&gt;0,
      (Audit[[#This Row],[Winning Candidate]]-Audit[[#This Row],[Losing Candidate]]-(Audit[[#This Row],[Audit Winning Candidate]]-Audit[[#This Row],[Audit Losing Candidate]]))/(Audit[[#Totals],[Winning Candidate]]-Audit[[#Totals],[Losing Candidate]]),
      0
)</f>
        <v>0</v>
      </c>
      <c r="AV4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3" s="17">
        <f>IF(Audit[[#This Row],[Max Relative Error (ep)]] = 0, 0, Audit[[#This Row],[Max Relative Error (ep)]]/Audit[[#This Row],[Error Bound (up) - Max. possible relative overstatement]])</f>
        <v>0</v>
      </c>
      <c r="BH4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23" s="17">
        <f t="shared" si="7"/>
        <v>1</v>
      </c>
      <c r="BJ423" s="17">
        <f>PRODUCT($BI$5:BI423)</f>
        <v>0.46283459046185416</v>
      </c>
      <c r="BK423" s="19">
        <f>1 - Audit[[#This Row],[K-M P Value]]</f>
        <v>0.53716540953814584</v>
      </c>
      <c r="BL423" s="17" t="str">
        <f>IF(Audit[[#This Row],[K-M P Value]]&gt;1-'General Info'!$B$12,"Continue", "Stop")</f>
        <v>Continue</v>
      </c>
      <c r="BM423" s="22" t="b">
        <f>IF(Audit[[#This Row],[Status - Continue or stop audit]] = "Continue", TRUE, IF(BL422 = "Continue", TRUE, FALSE))</f>
        <v>1</v>
      </c>
      <c r="BN423" s="22"/>
    </row>
    <row r="424" spans="1:66" ht="15" hidden="1" customHeight="1" x14ac:dyDescent="0.35">
      <c r="A424" s="17" t="str">
        <f>'Sampling Data'!AI424</f>
        <v/>
      </c>
      <c r="B424" s="17" t="str">
        <f>'Sampling Data'!A424</f>
        <v>6803 EVEN C   (AV)</v>
      </c>
      <c r="C424" s="17">
        <f>'Sampling Data'!B424</f>
        <v>49</v>
      </c>
      <c r="D424" s="17">
        <f>'Sampling Data'!C424</f>
        <v>31</v>
      </c>
      <c r="E424" s="18">
        <f>'Sampling Data'!D424</f>
        <v>0</v>
      </c>
      <c r="F424" s="18">
        <f>'Sampling Data'!E424</f>
        <v>0</v>
      </c>
      <c r="G424" s="18">
        <f>'Sampling Data'!F424</f>
        <v>0</v>
      </c>
      <c r="H424" s="18">
        <f>'Sampling Data'!G424</f>
        <v>0</v>
      </c>
      <c r="I424" s="18">
        <f>'Sampling Data'!H424</f>
        <v>0</v>
      </c>
      <c r="J424" s="18">
        <f>'Sampling Data'!I424</f>
        <v>0</v>
      </c>
      <c r="K424" s="18">
        <f>'Sampling Data'!J424</f>
        <v>0</v>
      </c>
      <c r="L424" s="18">
        <f>'Sampling Data'!K424</f>
        <v>0</v>
      </c>
      <c r="M424" s="18">
        <f>'Sampling Data'!L424</f>
        <v>0</v>
      </c>
      <c r="N424" s="18">
        <f>'Sampling Data'!M424</f>
        <v>0</v>
      </c>
      <c r="O424" s="17">
        <f>'Sampling Data'!N424</f>
        <v>0</v>
      </c>
      <c r="P424" s="17">
        <f>'Sampling Data'!O424</f>
        <v>10</v>
      </c>
      <c r="Q424" s="17">
        <f>'Sampling Data'!P424</f>
        <v>90</v>
      </c>
      <c r="R424" s="17">
        <f>'Sampling Data'!AJ424</f>
        <v>0</v>
      </c>
      <c r="S424" s="111"/>
      <c r="T424" s="111"/>
      <c r="U424" s="112"/>
      <c r="V424" s="112"/>
      <c r="W424" s="111"/>
      <c r="X424" s="111"/>
      <c r="Y424" s="111"/>
      <c r="Z424" s="111"/>
      <c r="AA424" s="14"/>
      <c r="AB424" s="14"/>
      <c r="AC424" s="14"/>
      <c r="AD424" s="14"/>
      <c r="AE424" s="113" t="str">
        <f>IF(NOT(ISBLANK(Audit[[#This Row],[Audit Winning Candidate]])), Audit[[#This Row],[Audit Winning Candidate]]-Audit[[#This Row],[Winning Candidate]], "")</f>
        <v/>
      </c>
      <c r="AF424" s="17" t="str">
        <f>IF(NOT(ISBLANK(Audit[[#This Row],[Audit Losing Candidate]])), Audit[[#This Row],[Audit Losing Candidate]]-Audit[[#This Row],[Losing Candidate]], "")</f>
        <v/>
      </c>
      <c r="AG424" s="17" t="str">
        <f>IF(NOT(ISBLANK(Audit[[#This Row],[Audit Candidate 3]])), Audit[[#This Row],[Audit Candidate 3]]-Audit[[#This Row],[Candidate 3]], "")</f>
        <v/>
      </c>
      <c r="AH424" s="17" t="str">
        <f>IF(NOT(ISBLANK(Audit[[#This Row],[Audit Candidate 4]])),Audit[[#This Row],[Audit Candidate 4]]-Audit[[#This Row],[Candidate 4]], "")</f>
        <v/>
      </c>
      <c r="AI424" s="17" t="str">
        <f>IF(NOT(ISBLANK(Audit[[#This Row],[Audit Candidate 5]])), Audit[[#This Row],[Audit Candidate 5]]-Audit[[#This Row],[Candidate 5]], "")</f>
        <v/>
      </c>
      <c r="AJ424" s="17" t="str">
        <f>IF(NOT(ISBLANK(Audit[[#This Row],[Audit Candidate 6]])), Audit[[#This Row],[Audit Candidate 6]]-Audit[[#This Row],[Candidate 6]], "")</f>
        <v/>
      </c>
      <c r="AK424" s="17" t="str">
        <f>IF(NOT(ISBLANK(Audit[[#This Row],[Audit Candidate 7]])), Audit[[#This Row],[Audit Candidate 7]]-Audit[[#This Row],[Candidate 7]], "")</f>
        <v/>
      </c>
      <c r="AL424" s="17" t="str">
        <f>IF(NOT(ISBLANK(Audit[[#This Row],[Audit Candidate 8]])), Audit[[#This Row],[Audit Candidate 8]]-Audit[[#This Row],[Candidate 8]], "")</f>
        <v/>
      </c>
      <c r="AM424" s="17" t="str">
        <f>IF(NOT(ISBLANK(Audit[[#This Row],[Audit Candidate 9]])), Audit[[#This Row],[Audit Candidate 9]]-Audit[[#This Row],[Candidate 9]], "")</f>
        <v/>
      </c>
      <c r="AN424" s="17" t="str">
        <f>IF(NOT(ISBLANK(Audit[[#This Row],[Audit Candidate 10]])), Audit[[#This Row],[Audit Candidate 10]]-Audit[[#This Row],[Candidate 10]], "")</f>
        <v/>
      </c>
      <c r="AO424" s="17" t="str">
        <f>IF(NOT(ISBLANK(Audit[[#This Row],[Audit Candidate 11]])), Audit[[#This Row],[Audit Candidate 11]]-Audit[[#This Row],[Candidate 11]], "")</f>
        <v/>
      </c>
      <c r="AP424" s="17" t="str">
        <f>IF(NOT(ISBLANK(Audit[[#This Row],[Audit Candidate 12]])), Audit[[#This Row],[Audit Candidate 12]]-Audit[[#This Row],[Candidate 12]], "")</f>
        <v/>
      </c>
      <c r="AQ424" s="17">
        <f>SUMIF(Audit[[#This Row],[Difference Winner]:[Difference Candidate 12]], "&gt;0")</f>
        <v>0</v>
      </c>
      <c r="AR424" s="17">
        <f>SUM(Audit[[#This Row],[Difference Winner]:[Difference Candidate 12]])</f>
        <v>0</v>
      </c>
      <c r="AS424" s="17">
        <f>IF(Audit[[#This Row],[Times p Drawn - With Replacement]]&gt;0, IF(Audit[[#This Row],[Canceled Differences]]&lt;0, Audit[[#This Row],[Max Differences]]+ABS(Audit[[#This Row],[Canceled Differences]]), Audit[[#This Row],[Max Differences]]), 0)</f>
        <v>0</v>
      </c>
      <c r="AT424" s="17">
        <f>'Sampling Data'!AB424</f>
        <v>4.5832626039721608E-3</v>
      </c>
      <c r="AU424" s="17">
        <f>IF(
      SUM(Audit[[#This Row],[Audit Losing Candidate]:[Audit Candidate 12]])
      &lt;&gt;0,
      (Audit[[#This Row],[Winning Candidate]]-Audit[[#This Row],[Losing Candidate]]-(Audit[[#This Row],[Audit Winning Candidate]]-Audit[[#This Row],[Audit Losing Candidate]]))/(Audit[[#Totals],[Winning Candidate]]-Audit[[#Totals],[Losing Candidate]]),
      0
)</f>
        <v>0</v>
      </c>
      <c r="AV4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4" s="17">
        <f>IF(Audit[[#This Row],[Max Relative Error (ep)]] = 0, 0, Audit[[#This Row],[Max Relative Error (ep)]]/Audit[[#This Row],[Error Bound (up) - Max. possible relative overstatement]])</f>
        <v>0</v>
      </c>
      <c r="BH4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24" s="17">
        <f t="shared" si="7"/>
        <v>1</v>
      </c>
      <c r="BJ424" s="17">
        <f>PRODUCT($BI$5:BI424)</f>
        <v>0.46283459046185416</v>
      </c>
      <c r="BK424" s="19">
        <f>1 - Audit[[#This Row],[K-M P Value]]</f>
        <v>0.53716540953814584</v>
      </c>
      <c r="BL424" s="17" t="str">
        <f>IF(Audit[[#This Row],[K-M P Value]]&gt;1-'General Info'!$B$12,"Continue", "Stop")</f>
        <v>Continue</v>
      </c>
      <c r="BM424" s="22" t="b">
        <f>IF(Audit[[#This Row],[Status - Continue or stop audit]] = "Continue", TRUE, IF(BL423 = "Continue", TRUE, FALSE))</f>
        <v>1</v>
      </c>
      <c r="BN424" s="22"/>
    </row>
    <row r="425" spans="1:66" ht="15" hidden="1" customHeight="1" x14ac:dyDescent="0.35">
      <c r="A425" s="17" t="str">
        <f>'Sampling Data'!AI425</f>
        <v/>
      </c>
      <c r="B425" s="17" t="str">
        <f>'Sampling Data'!A425</f>
        <v>6901 FAIRFX A   (AV)</v>
      </c>
      <c r="C425" s="17">
        <f>'Sampling Data'!B425</f>
        <v>148</v>
      </c>
      <c r="D425" s="17">
        <f>'Sampling Data'!C425</f>
        <v>98</v>
      </c>
      <c r="E425" s="18">
        <f>'Sampling Data'!D425</f>
        <v>0</v>
      </c>
      <c r="F425" s="18">
        <f>'Sampling Data'!E425</f>
        <v>0</v>
      </c>
      <c r="G425" s="18">
        <f>'Sampling Data'!F425</f>
        <v>0</v>
      </c>
      <c r="H425" s="18">
        <f>'Sampling Data'!G425</f>
        <v>0</v>
      </c>
      <c r="I425" s="18">
        <f>'Sampling Data'!H425</f>
        <v>0</v>
      </c>
      <c r="J425" s="18">
        <f>'Sampling Data'!I425</f>
        <v>0</v>
      </c>
      <c r="K425" s="18">
        <f>'Sampling Data'!J425</f>
        <v>0</v>
      </c>
      <c r="L425" s="18">
        <f>'Sampling Data'!K425</f>
        <v>0</v>
      </c>
      <c r="M425" s="18">
        <f>'Sampling Data'!L425</f>
        <v>0</v>
      </c>
      <c r="N425" s="18">
        <f>'Sampling Data'!M425</f>
        <v>0</v>
      </c>
      <c r="O425" s="17">
        <f>'Sampling Data'!N425</f>
        <v>0</v>
      </c>
      <c r="P425" s="17">
        <f>'Sampling Data'!O425</f>
        <v>10</v>
      </c>
      <c r="Q425" s="17">
        <f>'Sampling Data'!P425</f>
        <v>256</v>
      </c>
      <c r="R425" s="17">
        <f>'Sampling Data'!AJ425</f>
        <v>0</v>
      </c>
      <c r="S425" s="111"/>
      <c r="T425" s="111"/>
      <c r="U425" s="112"/>
      <c r="V425" s="112"/>
      <c r="W425" s="111"/>
      <c r="X425" s="111"/>
      <c r="Y425" s="111"/>
      <c r="Z425" s="111"/>
      <c r="AA425" s="14"/>
      <c r="AB425" s="14"/>
      <c r="AC425" s="14"/>
      <c r="AD425" s="14"/>
      <c r="AE425" s="113" t="str">
        <f>IF(NOT(ISBLANK(Audit[[#This Row],[Audit Winning Candidate]])), Audit[[#This Row],[Audit Winning Candidate]]-Audit[[#This Row],[Winning Candidate]], "")</f>
        <v/>
      </c>
      <c r="AF425" s="17" t="str">
        <f>IF(NOT(ISBLANK(Audit[[#This Row],[Audit Losing Candidate]])), Audit[[#This Row],[Audit Losing Candidate]]-Audit[[#This Row],[Losing Candidate]], "")</f>
        <v/>
      </c>
      <c r="AG425" s="17" t="str">
        <f>IF(NOT(ISBLANK(Audit[[#This Row],[Audit Candidate 3]])), Audit[[#This Row],[Audit Candidate 3]]-Audit[[#This Row],[Candidate 3]], "")</f>
        <v/>
      </c>
      <c r="AH425" s="17" t="str">
        <f>IF(NOT(ISBLANK(Audit[[#This Row],[Audit Candidate 4]])),Audit[[#This Row],[Audit Candidate 4]]-Audit[[#This Row],[Candidate 4]], "")</f>
        <v/>
      </c>
      <c r="AI425" s="17" t="str">
        <f>IF(NOT(ISBLANK(Audit[[#This Row],[Audit Candidate 5]])), Audit[[#This Row],[Audit Candidate 5]]-Audit[[#This Row],[Candidate 5]], "")</f>
        <v/>
      </c>
      <c r="AJ425" s="17" t="str">
        <f>IF(NOT(ISBLANK(Audit[[#This Row],[Audit Candidate 6]])), Audit[[#This Row],[Audit Candidate 6]]-Audit[[#This Row],[Candidate 6]], "")</f>
        <v/>
      </c>
      <c r="AK425" s="17" t="str">
        <f>IF(NOT(ISBLANK(Audit[[#This Row],[Audit Candidate 7]])), Audit[[#This Row],[Audit Candidate 7]]-Audit[[#This Row],[Candidate 7]], "")</f>
        <v/>
      </c>
      <c r="AL425" s="17" t="str">
        <f>IF(NOT(ISBLANK(Audit[[#This Row],[Audit Candidate 8]])), Audit[[#This Row],[Audit Candidate 8]]-Audit[[#This Row],[Candidate 8]], "")</f>
        <v/>
      </c>
      <c r="AM425" s="17" t="str">
        <f>IF(NOT(ISBLANK(Audit[[#This Row],[Audit Candidate 9]])), Audit[[#This Row],[Audit Candidate 9]]-Audit[[#This Row],[Candidate 9]], "")</f>
        <v/>
      </c>
      <c r="AN425" s="17" t="str">
        <f>IF(NOT(ISBLANK(Audit[[#This Row],[Audit Candidate 10]])), Audit[[#This Row],[Audit Candidate 10]]-Audit[[#This Row],[Candidate 10]], "")</f>
        <v/>
      </c>
      <c r="AO425" s="17" t="str">
        <f>IF(NOT(ISBLANK(Audit[[#This Row],[Audit Candidate 11]])), Audit[[#This Row],[Audit Candidate 11]]-Audit[[#This Row],[Candidate 11]], "")</f>
        <v/>
      </c>
      <c r="AP425" s="17" t="str">
        <f>IF(NOT(ISBLANK(Audit[[#This Row],[Audit Candidate 12]])), Audit[[#This Row],[Audit Candidate 12]]-Audit[[#This Row],[Candidate 12]], "")</f>
        <v/>
      </c>
      <c r="AQ425" s="17">
        <f>SUMIF(Audit[[#This Row],[Difference Winner]:[Difference Candidate 12]], "&gt;0")</f>
        <v>0</v>
      </c>
      <c r="AR425" s="17">
        <f>SUM(Audit[[#This Row],[Difference Winner]:[Difference Candidate 12]])</f>
        <v>0</v>
      </c>
      <c r="AS425" s="17">
        <f>IF(Audit[[#This Row],[Times p Drawn - With Replacement]]&gt;0, IF(Audit[[#This Row],[Canceled Differences]]&lt;0, Audit[[#This Row],[Max Differences]]+ABS(Audit[[#This Row],[Canceled Differences]]), Audit[[#This Row],[Max Differences]]), 0)</f>
        <v>0</v>
      </c>
      <c r="AT425" s="17">
        <f>'Sampling Data'!AB425</f>
        <v>1.2985910711254456E-2</v>
      </c>
      <c r="AU425" s="17">
        <f>IF(
      SUM(Audit[[#This Row],[Audit Losing Candidate]:[Audit Candidate 12]])
      &lt;&gt;0,
      (Audit[[#This Row],[Winning Candidate]]-Audit[[#This Row],[Losing Candidate]]-(Audit[[#This Row],[Audit Winning Candidate]]-Audit[[#This Row],[Audit Losing Candidate]]))/(Audit[[#Totals],[Winning Candidate]]-Audit[[#Totals],[Losing Candidate]]),
      0
)</f>
        <v>0</v>
      </c>
      <c r="AV4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5" s="17">
        <f>IF(Audit[[#This Row],[Max Relative Error (ep)]] = 0, 0, Audit[[#This Row],[Max Relative Error (ep)]]/Audit[[#This Row],[Error Bound (up) - Max. possible relative overstatement]])</f>
        <v>0</v>
      </c>
      <c r="BH4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25" s="17">
        <f t="shared" si="7"/>
        <v>1</v>
      </c>
      <c r="BJ425" s="17">
        <f>PRODUCT($BI$5:BI425)</f>
        <v>0.46283459046185416</v>
      </c>
      <c r="BK425" s="19">
        <f>1 - Audit[[#This Row],[K-M P Value]]</f>
        <v>0.53716540953814584</v>
      </c>
      <c r="BL425" s="17" t="str">
        <f>IF(Audit[[#This Row],[K-M P Value]]&gt;1-'General Info'!$B$12,"Continue", "Stop")</f>
        <v>Continue</v>
      </c>
      <c r="BM425" s="22" t="b">
        <f>IF(Audit[[#This Row],[Status - Continue or stop audit]] = "Continue", TRUE, IF(BL424 = "Continue", TRUE, FALSE))</f>
        <v>1</v>
      </c>
      <c r="BN425" s="22"/>
    </row>
    <row r="426" spans="1:66" ht="15" hidden="1" customHeight="1" x14ac:dyDescent="0.35">
      <c r="A426" s="17" t="str">
        <f>'Sampling Data'!AI426</f>
        <v/>
      </c>
      <c r="B426" s="17" t="str">
        <f>'Sampling Data'!A426</f>
        <v>7001 GLEN A   (AV)</v>
      </c>
      <c r="C426" s="17">
        <f>'Sampling Data'!B426</f>
        <v>154</v>
      </c>
      <c r="D426" s="17">
        <f>'Sampling Data'!C426</f>
        <v>128</v>
      </c>
      <c r="E426" s="18">
        <f>'Sampling Data'!D426</f>
        <v>0</v>
      </c>
      <c r="F426" s="18">
        <f>'Sampling Data'!E426</f>
        <v>0</v>
      </c>
      <c r="G426" s="18">
        <f>'Sampling Data'!F426</f>
        <v>0</v>
      </c>
      <c r="H426" s="18">
        <f>'Sampling Data'!G426</f>
        <v>0</v>
      </c>
      <c r="I426" s="18">
        <f>'Sampling Data'!H426</f>
        <v>0</v>
      </c>
      <c r="J426" s="18">
        <f>'Sampling Data'!I426</f>
        <v>0</v>
      </c>
      <c r="K426" s="18">
        <f>'Sampling Data'!J426</f>
        <v>0</v>
      </c>
      <c r="L426" s="18">
        <f>'Sampling Data'!K426</f>
        <v>0</v>
      </c>
      <c r="M426" s="18">
        <f>'Sampling Data'!L426</f>
        <v>0</v>
      </c>
      <c r="N426" s="18">
        <f>'Sampling Data'!M426</f>
        <v>0</v>
      </c>
      <c r="O426" s="17">
        <f>'Sampling Data'!N426</f>
        <v>1</v>
      </c>
      <c r="P426" s="17">
        <f>'Sampling Data'!O426</f>
        <v>10</v>
      </c>
      <c r="Q426" s="17">
        <f>'Sampling Data'!P426</f>
        <v>293</v>
      </c>
      <c r="R426" s="17">
        <f>'Sampling Data'!AJ426</f>
        <v>0</v>
      </c>
      <c r="S426" s="111"/>
      <c r="T426" s="111"/>
      <c r="U426" s="112"/>
      <c r="V426" s="112"/>
      <c r="W426" s="111"/>
      <c r="X426" s="111"/>
      <c r="Y426" s="111"/>
      <c r="Z426" s="111"/>
      <c r="AA426" s="14"/>
      <c r="AB426" s="14"/>
      <c r="AC426" s="14"/>
      <c r="AD426" s="14"/>
      <c r="AE426" s="113" t="str">
        <f>IF(NOT(ISBLANK(Audit[[#This Row],[Audit Winning Candidate]])), Audit[[#This Row],[Audit Winning Candidate]]-Audit[[#This Row],[Winning Candidate]], "")</f>
        <v/>
      </c>
      <c r="AF426" s="17" t="str">
        <f>IF(NOT(ISBLANK(Audit[[#This Row],[Audit Losing Candidate]])), Audit[[#This Row],[Audit Losing Candidate]]-Audit[[#This Row],[Losing Candidate]], "")</f>
        <v/>
      </c>
      <c r="AG426" s="17" t="str">
        <f>IF(NOT(ISBLANK(Audit[[#This Row],[Audit Candidate 3]])), Audit[[#This Row],[Audit Candidate 3]]-Audit[[#This Row],[Candidate 3]], "")</f>
        <v/>
      </c>
      <c r="AH426" s="17" t="str">
        <f>IF(NOT(ISBLANK(Audit[[#This Row],[Audit Candidate 4]])),Audit[[#This Row],[Audit Candidate 4]]-Audit[[#This Row],[Candidate 4]], "")</f>
        <v/>
      </c>
      <c r="AI426" s="17" t="str">
        <f>IF(NOT(ISBLANK(Audit[[#This Row],[Audit Candidate 5]])), Audit[[#This Row],[Audit Candidate 5]]-Audit[[#This Row],[Candidate 5]], "")</f>
        <v/>
      </c>
      <c r="AJ426" s="17" t="str">
        <f>IF(NOT(ISBLANK(Audit[[#This Row],[Audit Candidate 6]])), Audit[[#This Row],[Audit Candidate 6]]-Audit[[#This Row],[Candidate 6]], "")</f>
        <v/>
      </c>
      <c r="AK426" s="17" t="str">
        <f>IF(NOT(ISBLANK(Audit[[#This Row],[Audit Candidate 7]])), Audit[[#This Row],[Audit Candidate 7]]-Audit[[#This Row],[Candidate 7]], "")</f>
        <v/>
      </c>
      <c r="AL426" s="17" t="str">
        <f>IF(NOT(ISBLANK(Audit[[#This Row],[Audit Candidate 8]])), Audit[[#This Row],[Audit Candidate 8]]-Audit[[#This Row],[Candidate 8]], "")</f>
        <v/>
      </c>
      <c r="AM426" s="17" t="str">
        <f>IF(NOT(ISBLANK(Audit[[#This Row],[Audit Candidate 9]])), Audit[[#This Row],[Audit Candidate 9]]-Audit[[#This Row],[Candidate 9]], "")</f>
        <v/>
      </c>
      <c r="AN426" s="17" t="str">
        <f>IF(NOT(ISBLANK(Audit[[#This Row],[Audit Candidate 10]])), Audit[[#This Row],[Audit Candidate 10]]-Audit[[#This Row],[Candidate 10]], "")</f>
        <v/>
      </c>
      <c r="AO426" s="17" t="str">
        <f>IF(NOT(ISBLANK(Audit[[#This Row],[Audit Candidate 11]])), Audit[[#This Row],[Audit Candidate 11]]-Audit[[#This Row],[Candidate 11]], "")</f>
        <v/>
      </c>
      <c r="AP426" s="17" t="str">
        <f>IF(NOT(ISBLANK(Audit[[#This Row],[Audit Candidate 12]])), Audit[[#This Row],[Audit Candidate 12]]-Audit[[#This Row],[Candidate 12]], "")</f>
        <v/>
      </c>
      <c r="AQ426" s="17">
        <f>SUMIF(Audit[[#This Row],[Difference Winner]:[Difference Candidate 12]], "&gt;0")</f>
        <v>0</v>
      </c>
      <c r="AR426" s="17">
        <f>SUM(Audit[[#This Row],[Difference Winner]:[Difference Candidate 12]])</f>
        <v>0</v>
      </c>
      <c r="AS426" s="17">
        <f>IF(Audit[[#This Row],[Times p Drawn - With Replacement]]&gt;0, IF(Audit[[#This Row],[Canceled Differences]]&lt;0, Audit[[#This Row],[Max Differences]]+ABS(Audit[[#This Row],[Canceled Differences]]), Audit[[#This Row],[Max Differences]]), 0)</f>
        <v>0</v>
      </c>
      <c r="AT426" s="17">
        <f>'Sampling Data'!AB426</f>
        <v>1.3537599728399253E-2</v>
      </c>
      <c r="AU426" s="17">
        <f>IF(
      SUM(Audit[[#This Row],[Audit Losing Candidate]:[Audit Candidate 12]])
      &lt;&gt;0,
      (Audit[[#This Row],[Winning Candidate]]-Audit[[#This Row],[Losing Candidate]]-(Audit[[#This Row],[Audit Winning Candidate]]-Audit[[#This Row],[Audit Losing Candidate]]))/(Audit[[#Totals],[Winning Candidate]]-Audit[[#Totals],[Losing Candidate]]),
      0
)</f>
        <v>0</v>
      </c>
      <c r="AV4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6" s="17">
        <f>IF(Audit[[#This Row],[Max Relative Error (ep)]] = 0, 0, Audit[[#This Row],[Max Relative Error (ep)]]/Audit[[#This Row],[Error Bound (up) - Max. possible relative overstatement]])</f>
        <v>0</v>
      </c>
      <c r="BH4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26" s="17">
        <f t="shared" si="7"/>
        <v>1</v>
      </c>
      <c r="BJ426" s="17">
        <f>PRODUCT($BI$5:BI426)</f>
        <v>0.46283459046185416</v>
      </c>
      <c r="BK426" s="19">
        <f>1 - Audit[[#This Row],[K-M P Value]]</f>
        <v>0.53716540953814584</v>
      </c>
      <c r="BL426" s="17" t="str">
        <f>IF(Audit[[#This Row],[K-M P Value]]&gt;1-'General Info'!$B$12,"Continue", "Stop")</f>
        <v>Continue</v>
      </c>
      <c r="BM426" s="22" t="b">
        <f>IF(Audit[[#This Row],[Status - Continue or stop audit]] = "Continue", TRUE, IF(BL425 = "Continue", TRUE, FALSE))</f>
        <v>1</v>
      </c>
      <c r="BN426" s="22"/>
    </row>
    <row r="427" spans="1:66" ht="15" hidden="1" customHeight="1" x14ac:dyDescent="0.35">
      <c r="A427" s="17" t="str">
        <f>'Sampling Data'!AI427</f>
        <v/>
      </c>
      <c r="B427" s="17" t="str">
        <f>'Sampling Data'!A427</f>
        <v>7002 GLEN B   (AV)</v>
      </c>
      <c r="C427" s="17">
        <f>'Sampling Data'!B427</f>
        <v>168</v>
      </c>
      <c r="D427" s="17">
        <f>'Sampling Data'!C427</f>
        <v>134</v>
      </c>
      <c r="E427" s="18">
        <f>'Sampling Data'!D427</f>
        <v>0</v>
      </c>
      <c r="F427" s="18">
        <f>'Sampling Data'!E427</f>
        <v>0</v>
      </c>
      <c r="G427" s="18">
        <f>'Sampling Data'!F427</f>
        <v>0</v>
      </c>
      <c r="H427" s="18">
        <f>'Sampling Data'!G427</f>
        <v>0</v>
      </c>
      <c r="I427" s="18">
        <f>'Sampling Data'!H427</f>
        <v>0</v>
      </c>
      <c r="J427" s="18">
        <f>'Sampling Data'!I427</f>
        <v>0</v>
      </c>
      <c r="K427" s="18">
        <f>'Sampling Data'!J427</f>
        <v>0</v>
      </c>
      <c r="L427" s="18">
        <f>'Sampling Data'!K427</f>
        <v>0</v>
      </c>
      <c r="M427" s="18">
        <f>'Sampling Data'!L427</f>
        <v>0</v>
      </c>
      <c r="N427" s="18">
        <f>'Sampling Data'!M427</f>
        <v>0</v>
      </c>
      <c r="O427" s="17">
        <f>'Sampling Data'!N427</f>
        <v>0</v>
      </c>
      <c r="P427" s="17">
        <f>'Sampling Data'!O427</f>
        <v>15</v>
      </c>
      <c r="Q427" s="17">
        <f>'Sampling Data'!P427</f>
        <v>317</v>
      </c>
      <c r="R427" s="17">
        <f>'Sampling Data'!AJ427</f>
        <v>0</v>
      </c>
      <c r="S427" s="111"/>
      <c r="T427" s="111"/>
      <c r="U427" s="112"/>
      <c r="V427" s="112"/>
      <c r="W427" s="111"/>
      <c r="X427" s="111"/>
      <c r="Y427" s="111"/>
      <c r="Z427" s="111"/>
      <c r="AA427" s="14"/>
      <c r="AB427" s="14"/>
      <c r="AC427" s="14"/>
      <c r="AD427" s="14"/>
      <c r="AE427" s="113" t="str">
        <f>IF(NOT(ISBLANK(Audit[[#This Row],[Audit Winning Candidate]])), Audit[[#This Row],[Audit Winning Candidate]]-Audit[[#This Row],[Winning Candidate]], "")</f>
        <v/>
      </c>
      <c r="AF427" s="17" t="str">
        <f>IF(NOT(ISBLANK(Audit[[#This Row],[Audit Losing Candidate]])), Audit[[#This Row],[Audit Losing Candidate]]-Audit[[#This Row],[Losing Candidate]], "")</f>
        <v/>
      </c>
      <c r="AG427" s="17" t="str">
        <f>IF(NOT(ISBLANK(Audit[[#This Row],[Audit Candidate 3]])), Audit[[#This Row],[Audit Candidate 3]]-Audit[[#This Row],[Candidate 3]], "")</f>
        <v/>
      </c>
      <c r="AH427" s="17" t="str">
        <f>IF(NOT(ISBLANK(Audit[[#This Row],[Audit Candidate 4]])),Audit[[#This Row],[Audit Candidate 4]]-Audit[[#This Row],[Candidate 4]], "")</f>
        <v/>
      </c>
      <c r="AI427" s="17" t="str">
        <f>IF(NOT(ISBLANK(Audit[[#This Row],[Audit Candidate 5]])), Audit[[#This Row],[Audit Candidate 5]]-Audit[[#This Row],[Candidate 5]], "")</f>
        <v/>
      </c>
      <c r="AJ427" s="17" t="str">
        <f>IF(NOT(ISBLANK(Audit[[#This Row],[Audit Candidate 6]])), Audit[[#This Row],[Audit Candidate 6]]-Audit[[#This Row],[Candidate 6]], "")</f>
        <v/>
      </c>
      <c r="AK427" s="17" t="str">
        <f>IF(NOT(ISBLANK(Audit[[#This Row],[Audit Candidate 7]])), Audit[[#This Row],[Audit Candidate 7]]-Audit[[#This Row],[Candidate 7]], "")</f>
        <v/>
      </c>
      <c r="AL427" s="17" t="str">
        <f>IF(NOT(ISBLANK(Audit[[#This Row],[Audit Candidate 8]])), Audit[[#This Row],[Audit Candidate 8]]-Audit[[#This Row],[Candidate 8]], "")</f>
        <v/>
      </c>
      <c r="AM427" s="17" t="str">
        <f>IF(NOT(ISBLANK(Audit[[#This Row],[Audit Candidate 9]])), Audit[[#This Row],[Audit Candidate 9]]-Audit[[#This Row],[Candidate 9]], "")</f>
        <v/>
      </c>
      <c r="AN427" s="17" t="str">
        <f>IF(NOT(ISBLANK(Audit[[#This Row],[Audit Candidate 10]])), Audit[[#This Row],[Audit Candidate 10]]-Audit[[#This Row],[Candidate 10]], "")</f>
        <v/>
      </c>
      <c r="AO427" s="17" t="str">
        <f>IF(NOT(ISBLANK(Audit[[#This Row],[Audit Candidate 11]])), Audit[[#This Row],[Audit Candidate 11]]-Audit[[#This Row],[Candidate 11]], "")</f>
        <v/>
      </c>
      <c r="AP427" s="17" t="str">
        <f>IF(NOT(ISBLANK(Audit[[#This Row],[Audit Candidate 12]])), Audit[[#This Row],[Audit Candidate 12]]-Audit[[#This Row],[Candidate 12]], "")</f>
        <v/>
      </c>
      <c r="AQ427" s="17">
        <f>SUMIF(Audit[[#This Row],[Difference Winner]:[Difference Candidate 12]], "&gt;0")</f>
        <v>0</v>
      </c>
      <c r="AR427" s="17">
        <f>SUM(Audit[[#This Row],[Difference Winner]:[Difference Candidate 12]])</f>
        <v>0</v>
      </c>
      <c r="AS427" s="17">
        <f>IF(Audit[[#This Row],[Times p Drawn - With Replacement]]&gt;0, IF(Audit[[#This Row],[Canceled Differences]]&lt;0, Audit[[#This Row],[Max Differences]]+ABS(Audit[[#This Row],[Canceled Differences]]), Audit[[#This Row],[Max Differences]]), 0)</f>
        <v>0</v>
      </c>
      <c r="AT427" s="17">
        <f>'Sampling Data'!AB427</f>
        <v>1.4895603462909524E-2</v>
      </c>
      <c r="AU427" s="17">
        <f>IF(
      SUM(Audit[[#This Row],[Audit Losing Candidate]:[Audit Candidate 12]])
      &lt;&gt;0,
      (Audit[[#This Row],[Winning Candidate]]-Audit[[#This Row],[Losing Candidate]]-(Audit[[#This Row],[Audit Winning Candidate]]-Audit[[#This Row],[Audit Losing Candidate]]))/(Audit[[#Totals],[Winning Candidate]]-Audit[[#Totals],[Losing Candidate]]),
      0
)</f>
        <v>0</v>
      </c>
      <c r="AV4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7" s="17">
        <f>IF(Audit[[#This Row],[Max Relative Error (ep)]] = 0, 0, Audit[[#This Row],[Max Relative Error (ep)]]/Audit[[#This Row],[Error Bound (up) - Max. possible relative overstatement]])</f>
        <v>0</v>
      </c>
      <c r="BH4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27" s="17">
        <f t="shared" si="7"/>
        <v>1</v>
      </c>
      <c r="BJ427" s="17">
        <f>PRODUCT($BI$5:BI427)</f>
        <v>0.46283459046185416</v>
      </c>
      <c r="BK427" s="19">
        <f>1 - Audit[[#This Row],[K-M P Value]]</f>
        <v>0.53716540953814584</v>
      </c>
      <c r="BL427" s="17" t="str">
        <f>IF(Audit[[#This Row],[K-M P Value]]&gt;1-'General Info'!$B$12,"Continue", "Stop")</f>
        <v>Continue</v>
      </c>
      <c r="BM427" s="22" t="b">
        <f>IF(Audit[[#This Row],[Status - Continue or stop audit]] = "Continue", TRUE, IF(BL426 = "Continue", TRUE, FALSE))</f>
        <v>1</v>
      </c>
      <c r="BN427" s="22"/>
    </row>
    <row r="428" spans="1:66" ht="15" hidden="1" customHeight="1" x14ac:dyDescent="0.35">
      <c r="A428" s="17" t="str">
        <f>'Sampling Data'!AI428</f>
        <v/>
      </c>
      <c r="B428" s="17" t="str">
        <f>'Sampling Data'!A428</f>
        <v>7101 GOLF A   (AV)</v>
      </c>
      <c r="C428" s="17">
        <f>'Sampling Data'!B428</f>
        <v>324</v>
      </c>
      <c r="D428" s="17">
        <f>'Sampling Data'!C428</f>
        <v>99</v>
      </c>
      <c r="E428" s="18">
        <f>'Sampling Data'!D428</f>
        <v>0</v>
      </c>
      <c r="F428" s="18">
        <f>'Sampling Data'!E428</f>
        <v>0</v>
      </c>
      <c r="G428" s="18">
        <f>'Sampling Data'!F428</f>
        <v>0</v>
      </c>
      <c r="H428" s="18">
        <f>'Sampling Data'!G428</f>
        <v>0</v>
      </c>
      <c r="I428" s="18">
        <f>'Sampling Data'!H428</f>
        <v>0</v>
      </c>
      <c r="J428" s="18">
        <f>'Sampling Data'!I428</f>
        <v>0</v>
      </c>
      <c r="K428" s="18">
        <f>'Sampling Data'!J428</f>
        <v>0</v>
      </c>
      <c r="L428" s="18">
        <f>'Sampling Data'!K428</f>
        <v>0</v>
      </c>
      <c r="M428" s="18">
        <f>'Sampling Data'!L428</f>
        <v>0</v>
      </c>
      <c r="N428" s="18">
        <f>'Sampling Data'!M428</f>
        <v>0</v>
      </c>
      <c r="O428" s="17">
        <f>'Sampling Data'!N428</f>
        <v>1</v>
      </c>
      <c r="P428" s="17">
        <f>'Sampling Data'!O428</f>
        <v>27</v>
      </c>
      <c r="Q428" s="17">
        <f>'Sampling Data'!P428</f>
        <v>451</v>
      </c>
      <c r="R428" s="17">
        <f>'Sampling Data'!AJ428</f>
        <v>0</v>
      </c>
      <c r="S428" s="111"/>
      <c r="T428" s="111"/>
      <c r="U428" s="112"/>
      <c r="V428" s="112"/>
      <c r="W428" s="111"/>
      <c r="X428" s="111"/>
      <c r="Y428" s="111"/>
      <c r="Z428" s="111"/>
      <c r="AA428" s="14"/>
      <c r="AB428" s="14"/>
      <c r="AC428" s="14"/>
      <c r="AD428" s="14"/>
      <c r="AE428" s="113" t="str">
        <f>IF(NOT(ISBLANK(Audit[[#This Row],[Audit Winning Candidate]])), Audit[[#This Row],[Audit Winning Candidate]]-Audit[[#This Row],[Winning Candidate]], "")</f>
        <v/>
      </c>
      <c r="AF428" s="17" t="str">
        <f>IF(NOT(ISBLANK(Audit[[#This Row],[Audit Losing Candidate]])), Audit[[#This Row],[Audit Losing Candidate]]-Audit[[#This Row],[Losing Candidate]], "")</f>
        <v/>
      </c>
      <c r="AG428" s="17" t="str">
        <f>IF(NOT(ISBLANK(Audit[[#This Row],[Audit Candidate 3]])), Audit[[#This Row],[Audit Candidate 3]]-Audit[[#This Row],[Candidate 3]], "")</f>
        <v/>
      </c>
      <c r="AH428" s="17" t="str">
        <f>IF(NOT(ISBLANK(Audit[[#This Row],[Audit Candidate 4]])),Audit[[#This Row],[Audit Candidate 4]]-Audit[[#This Row],[Candidate 4]], "")</f>
        <v/>
      </c>
      <c r="AI428" s="17" t="str">
        <f>IF(NOT(ISBLANK(Audit[[#This Row],[Audit Candidate 5]])), Audit[[#This Row],[Audit Candidate 5]]-Audit[[#This Row],[Candidate 5]], "")</f>
        <v/>
      </c>
      <c r="AJ428" s="17" t="str">
        <f>IF(NOT(ISBLANK(Audit[[#This Row],[Audit Candidate 6]])), Audit[[#This Row],[Audit Candidate 6]]-Audit[[#This Row],[Candidate 6]], "")</f>
        <v/>
      </c>
      <c r="AK428" s="17" t="str">
        <f>IF(NOT(ISBLANK(Audit[[#This Row],[Audit Candidate 7]])), Audit[[#This Row],[Audit Candidate 7]]-Audit[[#This Row],[Candidate 7]], "")</f>
        <v/>
      </c>
      <c r="AL428" s="17" t="str">
        <f>IF(NOT(ISBLANK(Audit[[#This Row],[Audit Candidate 8]])), Audit[[#This Row],[Audit Candidate 8]]-Audit[[#This Row],[Candidate 8]], "")</f>
        <v/>
      </c>
      <c r="AM428" s="17" t="str">
        <f>IF(NOT(ISBLANK(Audit[[#This Row],[Audit Candidate 9]])), Audit[[#This Row],[Audit Candidate 9]]-Audit[[#This Row],[Candidate 9]], "")</f>
        <v/>
      </c>
      <c r="AN428" s="17" t="str">
        <f>IF(NOT(ISBLANK(Audit[[#This Row],[Audit Candidate 10]])), Audit[[#This Row],[Audit Candidate 10]]-Audit[[#This Row],[Candidate 10]], "")</f>
        <v/>
      </c>
      <c r="AO428" s="17" t="str">
        <f>IF(NOT(ISBLANK(Audit[[#This Row],[Audit Candidate 11]])), Audit[[#This Row],[Audit Candidate 11]]-Audit[[#This Row],[Candidate 11]], "")</f>
        <v/>
      </c>
      <c r="AP428" s="17" t="str">
        <f>IF(NOT(ISBLANK(Audit[[#This Row],[Audit Candidate 12]])), Audit[[#This Row],[Audit Candidate 12]]-Audit[[#This Row],[Candidate 12]], "")</f>
        <v/>
      </c>
      <c r="AQ428" s="17">
        <f>SUMIF(Audit[[#This Row],[Difference Winner]:[Difference Candidate 12]], "&gt;0")</f>
        <v>0</v>
      </c>
      <c r="AR428" s="17">
        <f>SUM(Audit[[#This Row],[Difference Winner]:[Difference Candidate 12]])</f>
        <v>0</v>
      </c>
      <c r="AS428" s="17">
        <f>IF(Audit[[#This Row],[Times p Drawn - With Replacement]]&gt;0, IF(Audit[[#This Row],[Canceled Differences]]&lt;0, Audit[[#This Row],[Max Differences]]+ABS(Audit[[#This Row],[Canceled Differences]]), Audit[[#This Row],[Max Differences]]), 0)</f>
        <v>0</v>
      </c>
      <c r="AT428" s="17">
        <f>'Sampling Data'!AB428</f>
        <v>2.8687828891529453E-2</v>
      </c>
      <c r="AU428" s="17">
        <f>IF(
      SUM(Audit[[#This Row],[Audit Losing Candidate]:[Audit Candidate 12]])
      &lt;&gt;0,
      (Audit[[#This Row],[Winning Candidate]]-Audit[[#This Row],[Losing Candidate]]-(Audit[[#This Row],[Audit Winning Candidate]]-Audit[[#This Row],[Audit Losing Candidate]]))/(Audit[[#Totals],[Winning Candidate]]-Audit[[#Totals],[Losing Candidate]]),
      0
)</f>
        <v>0</v>
      </c>
      <c r="AV4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8" s="17">
        <f>IF(Audit[[#This Row],[Max Relative Error (ep)]] = 0, 0, Audit[[#This Row],[Max Relative Error (ep)]]/Audit[[#This Row],[Error Bound (up) - Max. possible relative overstatement]])</f>
        <v>0</v>
      </c>
      <c r="BH4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28" s="17">
        <f t="shared" si="7"/>
        <v>1</v>
      </c>
      <c r="BJ428" s="17">
        <f>PRODUCT($BI$5:BI428)</f>
        <v>0.46283459046185416</v>
      </c>
      <c r="BK428" s="19">
        <f>1 - Audit[[#This Row],[K-M P Value]]</f>
        <v>0.53716540953814584</v>
      </c>
      <c r="BL428" s="17" t="str">
        <f>IF(Audit[[#This Row],[K-M P Value]]&gt;1-'General Info'!$B$12,"Continue", "Stop")</f>
        <v>Continue</v>
      </c>
      <c r="BM428" s="22" t="b">
        <f>IF(Audit[[#This Row],[Status - Continue or stop audit]] = "Continue", TRUE, IF(BL427 = "Continue", TRUE, FALSE))</f>
        <v>1</v>
      </c>
      <c r="BN428" s="22"/>
    </row>
    <row r="429" spans="1:66" ht="15" hidden="1" customHeight="1" x14ac:dyDescent="0.35">
      <c r="A429" s="17" t="str">
        <f>'Sampling Data'!AI429</f>
        <v/>
      </c>
      <c r="B429" s="17" t="str">
        <f>'Sampling Data'!A429</f>
        <v>7102 GOLF B   (AV)</v>
      </c>
      <c r="C429" s="17">
        <f>'Sampling Data'!B429</f>
        <v>329</v>
      </c>
      <c r="D429" s="17">
        <f>'Sampling Data'!C429</f>
        <v>58</v>
      </c>
      <c r="E429" s="18">
        <f>'Sampling Data'!D429</f>
        <v>0</v>
      </c>
      <c r="F429" s="18">
        <f>'Sampling Data'!E429</f>
        <v>0</v>
      </c>
      <c r="G429" s="18">
        <f>'Sampling Data'!F429</f>
        <v>0</v>
      </c>
      <c r="H429" s="18">
        <f>'Sampling Data'!G429</f>
        <v>0</v>
      </c>
      <c r="I429" s="18">
        <f>'Sampling Data'!H429</f>
        <v>0</v>
      </c>
      <c r="J429" s="18">
        <f>'Sampling Data'!I429</f>
        <v>0</v>
      </c>
      <c r="K429" s="18">
        <f>'Sampling Data'!J429</f>
        <v>0</v>
      </c>
      <c r="L429" s="18">
        <f>'Sampling Data'!K429</f>
        <v>0</v>
      </c>
      <c r="M429" s="18">
        <f>'Sampling Data'!L429</f>
        <v>0</v>
      </c>
      <c r="N429" s="18">
        <f>'Sampling Data'!M429</f>
        <v>0</v>
      </c>
      <c r="O429" s="17">
        <f>'Sampling Data'!N429</f>
        <v>0</v>
      </c>
      <c r="P429" s="17">
        <f>'Sampling Data'!O429</f>
        <v>21</v>
      </c>
      <c r="Q429" s="17">
        <f>'Sampling Data'!P429</f>
        <v>408</v>
      </c>
      <c r="R429" s="17">
        <f>'Sampling Data'!AJ429</f>
        <v>0</v>
      </c>
      <c r="S429" s="111"/>
      <c r="T429" s="111"/>
      <c r="U429" s="112"/>
      <c r="V429" s="112"/>
      <c r="W429" s="111"/>
      <c r="X429" s="111"/>
      <c r="Y429" s="111"/>
      <c r="Z429" s="111"/>
      <c r="AA429" s="14"/>
      <c r="AB429" s="14"/>
      <c r="AC429" s="14"/>
      <c r="AD429" s="14"/>
      <c r="AE429" s="113" t="str">
        <f>IF(NOT(ISBLANK(Audit[[#This Row],[Audit Winning Candidate]])), Audit[[#This Row],[Audit Winning Candidate]]-Audit[[#This Row],[Winning Candidate]], "")</f>
        <v/>
      </c>
      <c r="AF429" s="17" t="str">
        <f>IF(NOT(ISBLANK(Audit[[#This Row],[Audit Losing Candidate]])), Audit[[#This Row],[Audit Losing Candidate]]-Audit[[#This Row],[Losing Candidate]], "")</f>
        <v/>
      </c>
      <c r="AG429" s="17" t="str">
        <f>IF(NOT(ISBLANK(Audit[[#This Row],[Audit Candidate 3]])), Audit[[#This Row],[Audit Candidate 3]]-Audit[[#This Row],[Candidate 3]], "")</f>
        <v/>
      </c>
      <c r="AH429" s="17" t="str">
        <f>IF(NOT(ISBLANK(Audit[[#This Row],[Audit Candidate 4]])),Audit[[#This Row],[Audit Candidate 4]]-Audit[[#This Row],[Candidate 4]], "")</f>
        <v/>
      </c>
      <c r="AI429" s="17" t="str">
        <f>IF(NOT(ISBLANK(Audit[[#This Row],[Audit Candidate 5]])), Audit[[#This Row],[Audit Candidate 5]]-Audit[[#This Row],[Candidate 5]], "")</f>
        <v/>
      </c>
      <c r="AJ429" s="17" t="str">
        <f>IF(NOT(ISBLANK(Audit[[#This Row],[Audit Candidate 6]])), Audit[[#This Row],[Audit Candidate 6]]-Audit[[#This Row],[Candidate 6]], "")</f>
        <v/>
      </c>
      <c r="AK429" s="17" t="str">
        <f>IF(NOT(ISBLANK(Audit[[#This Row],[Audit Candidate 7]])), Audit[[#This Row],[Audit Candidate 7]]-Audit[[#This Row],[Candidate 7]], "")</f>
        <v/>
      </c>
      <c r="AL429" s="17" t="str">
        <f>IF(NOT(ISBLANK(Audit[[#This Row],[Audit Candidate 8]])), Audit[[#This Row],[Audit Candidate 8]]-Audit[[#This Row],[Candidate 8]], "")</f>
        <v/>
      </c>
      <c r="AM429" s="17" t="str">
        <f>IF(NOT(ISBLANK(Audit[[#This Row],[Audit Candidate 9]])), Audit[[#This Row],[Audit Candidate 9]]-Audit[[#This Row],[Candidate 9]], "")</f>
        <v/>
      </c>
      <c r="AN429" s="17" t="str">
        <f>IF(NOT(ISBLANK(Audit[[#This Row],[Audit Candidate 10]])), Audit[[#This Row],[Audit Candidate 10]]-Audit[[#This Row],[Candidate 10]], "")</f>
        <v/>
      </c>
      <c r="AO429" s="17" t="str">
        <f>IF(NOT(ISBLANK(Audit[[#This Row],[Audit Candidate 11]])), Audit[[#This Row],[Audit Candidate 11]]-Audit[[#This Row],[Candidate 11]], "")</f>
        <v/>
      </c>
      <c r="AP429" s="17" t="str">
        <f>IF(NOT(ISBLANK(Audit[[#This Row],[Audit Candidate 12]])), Audit[[#This Row],[Audit Candidate 12]]-Audit[[#This Row],[Candidate 12]], "")</f>
        <v/>
      </c>
      <c r="AQ429" s="17">
        <f>SUMIF(Audit[[#This Row],[Difference Winner]:[Difference Candidate 12]], "&gt;0")</f>
        <v>0</v>
      </c>
      <c r="AR429" s="17">
        <f>SUM(Audit[[#This Row],[Difference Winner]:[Difference Candidate 12]])</f>
        <v>0</v>
      </c>
      <c r="AS429" s="17">
        <f>IF(Audit[[#This Row],[Times p Drawn - With Replacement]]&gt;0, IF(Audit[[#This Row],[Canceled Differences]]&lt;0, Audit[[#This Row],[Max Differences]]+ABS(Audit[[#This Row],[Canceled Differences]]), Audit[[#This Row],[Max Differences]]), 0)</f>
        <v>0</v>
      </c>
      <c r="AT429" s="17">
        <f>'Sampling Data'!AB429</f>
        <v>2.881514174163979E-2</v>
      </c>
      <c r="AU429" s="17">
        <f>IF(
      SUM(Audit[[#This Row],[Audit Losing Candidate]:[Audit Candidate 12]])
      &lt;&gt;0,
      (Audit[[#This Row],[Winning Candidate]]-Audit[[#This Row],[Losing Candidate]]-(Audit[[#This Row],[Audit Winning Candidate]]-Audit[[#This Row],[Audit Losing Candidate]]))/(Audit[[#Totals],[Winning Candidate]]-Audit[[#Totals],[Losing Candidate]]),
      0
)</f>
        <v>0</v>
      </c>
      <c r="AV4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9" s="17">
        <f>IF(Audit[[#This Row],[Max Relative Error (ep)]] = 0, 0, Audit[[#This Row],[Max Relative Error (ep)]]/Audit[[#This Row],[Error Bound (up) - Max. possible relative overstatement]])</f>
        <v>0</v>
      </c>
      <c r="BH4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29" s="17">
        <f t="shared" si="7"/>
        <v>1</v>
      </c>
      <c r="BJ429" s="17">
        <f>PRODUCT($BI$5:BI429)</f>
        <v>0.46283459046185416</v>
      </c>
      <c r="BK429" s="19">
        <f>1 - Audit[[#This Row],[K-M P Value]]</f>
        <v>0.53716540953814584</v>
      </c>
      <c r="BL429" s="17" t="str">
        <f>IF(Audit[[#This Row],[K-M P Value]]&gt;1-'General Info'!$B$12,"Continue", "Stop")</f>
        <v>Continue</v>
      </c>
      <c r="BM429" s="22" t="b">
        <f>IF(Audit[[#This Row],[Status - Continue or stop audit]] = "Continue", TRUE, IF(BL428 = "Continue", TRUE, FALSE))</f>
        <v>1</v>
      </c>
      <c r="BN429" s="22"/>
    </row>
    <row r="430" spans="1:66" ht="15" hidden="1" customHeight="1" x14ac:dyDescent="0.35">
      <c r="A430" s="17" t="str">
        <f>'Sampling Data'!AI430</f>
        <v/>
      </c>
      <c r="B430" s="17" t="str">
        <f>'Sampling Data'!A430</f>
        <v>7301 GREEN A   (AV)</v>
      </c>
      <c r="C430" s="17">
        <f>'Sampling Data'!B430</f>
        <v>100</v>
      </c>
      <c r="D430" s="17">
        <f>'Sampling Data'!C430</f>
        <v>185</v>
      </c>
      <c r="E430" s="18">
        <f>'Sampling Data'!D430</f>
        <v>0</v>
      </c>
      <c r="F430" s="18">
        <f>'Sampling Data'!E430</f>
        <v>0</v>
      </c>
      <c r="G430" s="18">
        <f>'Sampling Data'!F430</f>
        <v>0</v>
      </c>
      <c r="H430" s="18">
        <f>'Sampling Data'!G430</f>
        <v>0</v>
      </c>
      <c r="I430" s="18">
        <f>'Sampling Data'!H430</f>
        <v>0</v>
      </c>
      <c r="J430" s="18">
        <f>'Sampling Data'!I430</f>
        <v>0</v>
      </c>
      <c r="K430" s="18">
        <f>'Sampling Data'!J430</f>
        <v>0</v>
      </c>
      <c r="L430" s="18">
        <f>'Sampling Data'!K430</f>
        <v>0</v>
      </c>
      <c r="M430" s="18">
        <f>'Sampling Data'!L430</f>
        <v>0</v>
      </c>
      <c r="N430" s="18">
        <f>'Sampling Data'!M430</f>
        <v>0</v>
      </c>
      <c r="O430" s="17">
        <f>'Sampling Data'!N430</f>
        <v>0</v>
      </c>
      <c r="P430" s="17">
        <f>'Sampling Data'!O430</f>
        <v>10</v>
      </c>
      <c r="Q430" s="17">
        <f>'Sampling Data'!P430</f>
        <v>295</v>
      </c>
      <c r="R430" s="17">
        <f>'Sampling Data'!AJ430</f>
        <v>0</v>
      </c>
      <c r="S430" s="111"/>
      <c r="T430" s="111"/>
      <c r="U430" s="112"/>
      <c r="V430" s="112"/>
      <c r="W430" s="111"/>
      <c r="X430" s="111"/>
      <c r="Y430" s="111"/>
      <c r="Z430" s="111"/>
      <c r="AA430" s="14"/>
      <c r="AB430" s="14"/>
      <c r="AC430" s="14"/>
      <c r="AD430" s="14"/>
      <c r="AE430" s="113" t="str">
        <f>IF(NOT(ISBLANK(Audit[[#This Row],[Audit Winning Candidate]])), Audit[[#This Row],[Audit Winning Candidate]]-Audit[[#This Row],[Winning Candidate]], "")</f>
        <v/>
      </c>
      <c r="AF430" s="17" t="str">
        <f>IF(NOT(ISBLANK(Audit[[#This Row],[Audit Losing Candidate]])), Audit[[#This Row],[Audit Losing Candidate]]-Audit[[#This Row],[Losing Candidate]], "")</f>
        <v/>
      </c>
      <c r="AG430" s="17" t="str">
        <f>IF(NOT(ISBLANK(Audit[[#This Row],[Audit Candidate 3]])), Audit[[#This Row],[Audit Candidate 3]]-Audit[[#This Row],[Candidate 3]], "")</f>
        <v/>
      </c>
      <c r="AH430" s="17" t="str">
        <f>IF(NOT(ISBLANK(Audit[[#This Row],[Audit Candidate 4]])),Audit[[#This Row],[Audit Candidate 4]]-Audit[[#This Row],[Candidate 4]], "")</f>
        <v/>
      </c>
      <c r="AI430" s="17" t="str">
        <f>IF(NOT(ISBLANK(Audit[[#This Row],[Audit Candidate 5]])), Audit[[#This Row],[Audit Candidate 5]]-Audit[[#This Row],[Candidate 5]], "")</f>
        <v/>
      </c>
      <c r="AJ430" s="17" t="str">
        <f>IF(NOT(ISBLANK(Audit[[#This Row],[Audit Candidate 6]])), Audit[[#This Row],[Audit Candidate 6]]-Audit[[#This Row],[Candidate 6]], "")</f>
        <v/>
      </c>
      <c r="AK430" s="17" t="str">
        <f>IF(NOT(ISBLANK(Audit[[#This Row],[Audit Candidate 7]])), Audit[[#This Row],[Audit Candidate 7]]-Audit[[#This Row],[Candidate 7]], "")</f>
        <v/>
      </c>
      <c r="AL430" s="17" t="str">
        <f>IF(NOT(ISBLANK(Audit[[#This Row],[Audit Candidate 8]])), Audit[[#This Row],[Audit Candidate 8]]-Audit[[#This Row],[Candidate 8]], "")</f>
        <v/>
      </c>
      <c r="AM430" s="17" t="str">
        <f>IF(NOT(ISBLANK(Audit[[#This Row],[Audit Candidate 9]])), Audit[[#This Row],[Audit Candidate 9]]-Audit[[#This Row],[Candidate 9]], "")</f>
        <v/>
      </c>
      <c r="AN430" s="17" t="str">
        <f>IF(NOT(ISBLANK(Audit[[#This Row],[Audit Candidate 10]])), Audit[[#This Row],[Audit Candidate 10]]-Audit[[#This Row],[Candidate 10]], "")</f>
        <v/>
      </c>
      <c r="AO430" s="17" t="str">
        <f>IF(NOT(ISBLANK(Audit[[#This Row],[Audit Candidate 11]])), Audit[[#This Row],[Audit Candidate 11]]-Audit[[#This Row],[Candidate 11]], "")</f>
        <v/>
      </c>
      <c r="AP430" s="17" t="str">
        <f>IF(NOT(ISBLANK(Audit[[#This Row],[Audit Candidate 12]])), Audit[[#This Row],[Audit Candidate 12]]-Audit[[#This Row],[Candidate 12]], "")</f>
        <v/>
      </c>
      <c r="AQ430" s="17">
        <f>SUMIF(Audit[[#This Row],[Difference Winner]:[Difference Candidate 12]], "&gt;0")</f>
        <v>0</v>
      </c>
      <c r="AR430" s="17">
        <f>SUM(Audit[[#This Row],[Difference Winner]:[Difference Candidate 12]])</f>
        <v>0</v>
      </c>
      <c r="AS430" s="17">
        <f>IF(Audit[[#This Row],[Times p Drawn - With Replacement]]&gt;0, IF(Audit[[#This Row],[Canceled Differences]]&lt;0, Audit[[#This Row],[Max Differences]]+ABS(Audit[[#This Row],[Canceled Differences]]), Audit[[#This Row],[Max Differences]]), 0)</f>
        <v>0</v>
      </c>
      <c r="AT430" s="17">
        <f>'Sampling Data'!AB430</f>
        <v>8.911899507723647E-3</v>
      </c>
      <c r="AU430" s="17">
        <f>IF(
      SUM(Audit[[#This Row],[Audit Losing Candidate]:[Audit Candidate 12]])
      &lt;&gt;0,
      (Audit[[#This Row],[Winning Candidate]]-Audit[[#This Row],[Losing Candidate]]-(Audit[[#This Row],[Audit Winning Candidate]]-Audit[[#This Row],[Audit Losing Candidate]]))/(Audit[[#Totals],[Winning Candidate]]-Audit[[#Totals],[Losing Candidate]]),
      0
)</f>
        <v>0</v>
      </c>
      <c r="AV4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0" s="17">
        <f>IF(Audit[[#This Row],[Max Relative Error (ep)]] = 0, 0, Audit[[#This Row],[Max Relative Error (ep)]]/Audit[[#This Row],[Error Bound (up) - Max. possible relative overstatement]])</f>
        <v>0</v>
      </c>
      <c r="BH4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30" s="17">
        <f t="shared" si="7"/>
        <v>1</v>
      </c>
      <c r="BJ430" s="17">
        <f>PRODUCT($BI$5:BI430)</f>
        <v>0.46283459046185416</v>
      </c>
      <c r="BK430" s="19">
        <f>1 - Audit[[#This Row],[K-M P Value]]</f>
        <v>0.53716540953814584</v>
      </c>
      <c r="BL430" s="17" t="str">
        <f>IF(Audit[[#This Row],[K-M P Value]]&gt;1-'General Info'!$B$12,"Continue", "Stop")</f>
        <v>Continue</v>
      </c>
      <c r="BM430" s="22" t="b">
        <f>IF(Audit[[#This Row],[Status - Continue or stop audit]] = "Continue", TRUE, IF(BL429 = "Continue", TRUE, FALSE))</f>
        <v>1</v>
      </c>
      <c r="BN430" s="22"/>
    </row>
    <row r="431" spans="1:66" ht="15" hidden="1" customHeight="1" x14ac:dyDescent="0.35">
      <c r="A431" s="17" t="str">
        <f>'Sampling Data'!AI431</f>
        <v/>
      </c>
      <c r="B431" s="17" t="str">
        <f>'Sampling Data'!A431</f>
        <v>7302 GREEN B   (AV)</v>
      </c>
      <c r="C431" s="17">
        <f>'Sampling Data'!B431</f>
        <v>158</v>
      </c>
      <c r="D431" s="17">
        <f>'Sampling Data'!C431</f>
        <v>169</v>
      </c>
      <c r="E431" s="18">
        <f>'Sampling Data'!D431</f>
        <v>0</v>
      </c>
      <c r="F431" s="18">
        <f>'Sampling Data'!E431</f>
        <v>0</v>
      </c>
      <c r="G431" s="18">
        <f>'Sampling Data'!F431</f>
        <v>0</v>
      </c>
      <c r="H431" s="18">
        <f>'Sampling Data'!G431</f>
        <v>0</v>
      </c>
      <c r="I431" s="18">
        <f>'Sampling Data'!H431</f>
        <v>0</v>
      </c>
      <c r="J431" s="18">
        <f>'Sampling Data'!I431</f>
        <v>0</v>
      </c>
      <c r="K431" s="18">
        <f>'Sampling Data'!J431</f>
        <v>0</v>
      </c>
      <c r="L431" s="18">
        <f>'Sampling Data'!K431</f>
        <v>0</v>
      </c>
      <c r="M431" s="18">
        <f>'Sampling Data'!L431</f>
        <v>0</v>
      </c>
      <c r="N431" s="18">
        <f>'Sampling Data'!M431</f>
        <v>0</v>
      </c>
      <c r="O431" s="17">
        <f>'Sampling Data'!N431</f>
        <v>1</v>
      </c>
      <c r="P431" s="17">
        <f>'Sampling Data'!O431</f>
        <v>20</v>
      </c>
      <c r="Q431" s="17">
        <f>'Sampling Data'!P431</f>
        <v>348</v>
      </c>
      <c r="R431" s="17">
        <f>'Sampling Data'!AJ431</f>
        <v>0</v>
      </c>
      <c r="S431" s="111"/>
      <c r="T431" s="111"/>
      <c r="U431" s="112"/>
      <c r="V431" s="112"/>
      <c r="W431" s="111"/>
      <c r="X431" s="111"/>
      <c r="Y431" s="111"/>
      <c r="Z431" s="111"/>
      <c r="AA431" s="14"/>
      <c r="AB431" s="14"/>
      <c r="AC431" s="14"/>
      <c r="AD431" s="14"/>
      <c r="AE431" s="113" t="str">
        <f>IF(NOT(ISBLANK(Audit[[#This Row],[Audit Winning Candidate]])), Audit[[#This Row],[Audit Winning Candidate]]-Audit[[#This Row],[Winning Candidate]], "")</f>
        <v/>
      </c>
      <c r="AF431" s="17" t="str">
        <f>IF(NOT(ISBLANK(Audit[[#This Row],[Audit Losing Candidate]])), Audit[[#This Row],[Audit Losing Candidate]]-Audit[[#This Row],[Losing Candidate]], "")</f>
        <v/>
      </c>
      <c r="AG431" s="17" t="str">
        <f>IF(NOT(ISBLANK(Audit[[#This Row],[Audit Candidate 3]])), Audit[[#This Row],[Audit Candidate 3]]-Audit[[#This Row],[Candidate 3]], "")</f>
        <v/>
      </c>
      <c r="AH431" s="17" t="str">
        <f>IF(NOT(ISBLANK(Audit[[#This Row],[Audit Candidate 4]])),Audit[[#This Row],[Audit Candidate 4]]-Audit[[#This Row],[Candidate 4]], "")</f>
        <v/>
      </c>
      <c r="AI431" s="17" t="str">
        <f>IF(NOT(ISBLANK(Audit[[#This Row],[Audit Candidate 5]])), Audit[[#This Row],[Audit Candidate 5]]-Audit[[#This Row],[Candidate 5]], "")</f>
        <v/>
      </c>
      <c r="AJ431" s="17" t="str">
        <f>IF(NOT(ISBLANK(Audit[[#This Row],[Audit Candidate 6]])), Audit[[#This Row],[Audit Candidate 6]]-Audit[[#This Row],[Candidate 6]], "")</f>
        <v/>
      </c>
      <c r="AK431" s="17" t="str">
        <f>IF(NOT(ISBLANK(Audit[[#This Row],[Audit Candidate 7]])), Audit[[#This Row],[Audit Candidate 7]]-Audit[[#This Row],[Candidate 7]], "")</f>
        <v/>
      </c>
      <c r="AL431" s="17" t="str">
        <f>IF(NOT(ISBLANK(Audit[[#This Row],[Audit Candidate 8]])), Audit[[#This Row],[Audit Candidate 8]]-Audit[[#This Row],[Candidate 8]], "")</f>
        <v/>
      </c>
      <c r="AM431" s="17" t="str">
        <f>IF(NOT(ISBLANK(Audit[[#This Row],[Audit Candidate 9]])), Audit[[#This Row],[Audit Candidate 9]]-Audit[[#This Row],[Candidate 9]], "")</f>
        <v/>
      </c>
      <c r="AN431" s="17" t="str">
        <f>IF(NOT(ISBLANK(Audit[[#This Row],[Audit Candidate 10]])), Audit[[#This Row],[Audit Candidate 10]]-Audit[[#This Row],[Candidate 10]], "")</f>
        <v/>
      </c>
      <c r="AO431" s="17" t="str">
        <f>IF(NOT(ISBLANK(Audit[[#This Row],[Audit Candidate 11]])), Audit[[#This Row],[Audit Candidate 11]]-Audit[[#This Row],[Candidate 11]], "")</f>
        <v/>
      </c>
      <c r="AP431" s="17" t="str">
        <f>IF(NOT(ISBLANK(Audit[[#This Row],[Audit Candidate 12]])), Audit[[#This Row],[Audit Candidate 12]]-Audit[[#This Row],[Candidate 12]], "")</f>
        <v/>
      </c>
      <c r="AQ431" s="17">
        <f>SUMIF(Audit[[#This Row],[Difference Winner]:[Difference Candidate 12]], "&gt;0")</f>
        <v>0</v>
      </c>
      <c r="AR431" s="17">
        <f>SUM(Audit[[#This Row],[Difference Winner]:[Difference Candidate 12]])</f>
        <v>0</v>
      </c>
      <c r="AS431" s="17">
        <f>IF(Audit[[#This Row],[Times p Drawn - With Replacement]]&gt;0, IF(Audit[[#This Row],[Canceled Differences]]&lt;0, Audit[[#This Row],[Max Differences]]+ABS(Audit[[#This Row],[Canceled Differences]]), Audit[[#This Row],[Max Differences]]), 0)</f>
        <v>0</v>
      </c>
      <c r="AT431" s="17">
        <f>'Sampling Data'!AB431</f>
        <v>1.430147682906128E-2</v>
      </c>
      <c r="AU431" s="17">
        <f>IF(
      SUM(Audit[[#This Row],[Audit Losing Candidate]:[Audit Candidate 12]])
      &lt;&gt;0,
      (Audit[[#This Row],[Winning Candidate]]-Audit[[#This Row],[Losing Candidate]]-(Audit[[#This Row],[Audit Winning Candidate]]-Audit[[#This Row],[Audit Losing Candidate]]))/(Audit[[#Totals],[Winning Candidate]]-Audit[[#Totals],[Losing Candidate]]),
      0
)</f>
        <v>0</v>
      </c>
      <c r="AV4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1" s="17">
        <f>IF(Audit[[#This Row],[Max Relative Error (ep)]] = 0, 0, Audit[[#This Row],[Max Relative Error (ep)]]/Audit[[#This Row],[Error Bound (up) - Max. possible relative overstatement]])</f>
        <v>0</v>
      </c>
      <c r="BH4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31" s="17">
        <f t="shared" si="7"/>
        <v>1</v>
      </c>
      <c r="BJ431" s="17">
        <f>PRODUCT($BI$5:BI431)</f>
        <v>0.46283459046185416</v>
      </c>
      <c r="BK431" s="19">
        <f>1 - Audit[[#This Row],[K-M P Value]]</f>
        <v>0.53716540953814584</v>
      </c>
      <c r="BL431" s="17" t="str">
        <f>IF(Audit[[#This Row],[K-M P Value]]&gt;1-'General Info'!$B$12,"Continue", "Stop")</f>
        <v>Continue</v>
      </c>
      <c r="BM431" s="22" t="b">
        <f>IF(Audit[[#This Row],[Status - Continue or stop audit]] = "Continue", TRUE, IF(BL430 = "Continue", TRUE, FALSE))</f>
        <v>1</v>
      </c>
      <c r="BN431" s="22"/>
    </row>
    <row r="432" spans="1:66" ht="15" hidden="1" customHeight="1" x14ac:dyDescent="0.35">
      <c r="A432" s="17" t="str">
        <f>'Sampling Data'!AI432</f>
        <v/>
      </c>
      <c r="B432" s="17" t="str">
        <f>'Sampling Data'!A432</f>
        <v>7303 GREEN C   (AV)</v>
      </c>
      <c r="C432" s="17">
        <f>'Sampling Data'!B432</f>
        <v>145</v>
      </c>
      <c r="D432" s="17">
        <f>'Sampling Data'!C432</f>
        <v>124</v>
      </c>
      <c r="E432" s="18">
        <f>'Sampling Data'!D432</f>
        <v>0</v>
      </c>
      <c r="F432" s="18">
        <f>'Sampling Data'!E432</f>
        <v>0</v>
      </c>
      <c r="G432" s="18">
        <f>'Sampling Data'!F432</f>
        <v>0</v>
      </c>
      <c r="H432" s="18">
        <f>'Sampling Data'!G432</f>
        <v>0</v>
      </c>
      <c r="I432" s="18">
        <f>'Sampling Data'!H432</f>
        <v>0</v>
      </c>
      <c r="J432" s="18">
        <f>'Sampling Data'!I432</f>
        <v>0</v>
      </c>
      <c r="K432" s="18">
        <f>'Sampling Data'!J432</f>
        <v>0</v>
      </c>
      <c r="L432" s="18">
        <f>'Sampling Data'!K432</f>
        <v>0</v>
      </c>
      <c r="M432" s="18">
        <f>'Sampling Data'!L432</f>
        <v>0</v>
      </c>
      <c r="N432" s="18">
        <f>'Sampling Data'!M432</f>
        <v>0</v>
      </c>
      <c r="O432" s="17">
        <f>'Sampling Data'!N432</f>
        <v>0</v>
      </c>
      <c r="P432" s="17">
        <f>'Sampling Data'!O432</f>
        <v>16</v>
      </c>
      <c r="Q432" s="17">
        <f>'Sampling Data'!P432</f>
        <v>285</v>
      </c>
      <c r="R432" s="17">
        <f>'Sampling Data'!AJ432</f>
        <v>0</v>
      </c>
      <c r="S432" s="111"/>
      <c r="T432" s="111"/>
      <c r="U432" s="112"/>
      <c r="V432" s="112"/>
      <c r="W432" s="111"/>
      <c r="X432" s="111"/>
      <c r="Y432" s="111"/>
      <c r="Z432" s="111"/>
      <c r="AA432" s="14"/>
      <c r="AB432" s="14"/>
      <c r="AC432" s="14"/>
      <c r="AD432" s="14"/>
      <c r="AE432" s="113" t="str">
        <f>IF(NOT(ISBLANK(Audit[[#This Row],[Audit Winning Candidate]])), Audit[[#This Row],[Audit Winning Candidate]]-Audit[[#This Row],[Winning Candidate]], "")</f>
        <v/>
      </c>
      <c r="AF432" s="17" t="str">
        <f>IF(NOT(ISBLANK(Audit[[#This Row],[Audit Losing Candidate]])), Audit[[#This Row],[Audit Losing Candidate]]-Audit[[#This Row],[Losing Candidate]], "")</f>
        <v/>
      </c>
      <c r="AG432" s="17" t="str">
        <f>IF(NOT(ISBLANK(Audit[[#This Row],[Audit Candidate 3]])), Audit[[#This Row],[Audit Candidate 3]]-Audit[[#This Row],[Candidate 3]], "")</f>
        <v/>
      </c>
      <c r="AH432" s="17" t="str">
        <f>IF(NOT(ISBLANK(Audit[[#This Row],[Audit Candidate 4]])),Audit[[#This Row],[Audit Candidate 4]]-Audit[[#This Row],[Candidate 4]], "")</f>
        <v/>
      </c>
      <c r="AI432" s="17" t="str">
        <f>IF(NOT(ISBLANK(Audit[[#This Row],[Audit Candidate 5]])), Audit[[#This Row],[Audit Candidate 5]]-Audit[[#This Row],[Candidate 5]], "")</f>
        <v/>
      </c>
      <c r="AJ432" s="17" t="str">
        <f>IF(NOT(ISBLANK(Audit[[#This Row],[Audit Candidate 6]])), Audit[[#This Row],[Audit Candidate 6]]-Audit[[#This Row],[Candidate 6]], "")</f>
        <v/>
      </c>
      <c r="AK432" s="17" t="str">
        <f>IF(NOT(ISBLANK(Audit[[#This Row],[Audit Candidate 7]])), Audit[[#This Row],[Audit Candidate 7]]-Audit[[#This Row],[Candidate 7]], "")</f>
        <v/>
      </c>
      <c r="AL432" s="17" t="str">
        <f>IF(NOT(ISBLANK(Audit[[#This Row],[Audit Candidate 8]])), Audit[[#This Row],[Audit Candidate 8]]-Audit[[#This Row],[Candidate 8]], "")</f>
        <v/>
      </c>
      <c r="AM432" s="17" t="str">
        <f>IF(NOT(ISBLANK(Audit[[#This Row],[Audit Candidate 9]])), Audit[[#This Row],[Audit Candidate 9]]-Audit[[#This Row],[Candidate 9]], "")</f>
        <v/>
      </c>
      <c r="AN432" s="17" t="str">
        <f>IF(NOT(ISBLANK(Audit[[#This Row],[Audit Candidate 10]])), Audit[[#This Row],[Audit Candidate 10]]-Audit[[#This Row],[Candidate 10]], "")</f>
        <v/>
      </c>
      <c r="AO432" s="17" t="str">
        <f>IF(NOT(ISBLANK(Audit[[#This Row],[Audit Candidate 11]])), Audit[[#This Row],[Audit Candidate 11]]-Audit[[#This Row],[Candidate 11]], "")</f>
        <v/>
      </c>
      <c r="AP432" s="17" t="str">
        <f>IF(NOT(ISBLANK(Audit[[#This Row],[Audit Candidate 12]])), Audit[[#This Row],[Audit Candidate 12]]-Audit[[#This Row],[Candidate 12]], "")</f>
        <v/>
      </c>
      <c r="AQ432" s="17">
        <f>SUMIF(Audit[[#This Row],[Difference Winner]:[Difference Candidate 12]], "&gt;0")</f>
        <v>0</v>
      </c>
      <c r="AR432" s="17">
        <f>SUM(Audit[[#This Row],[Difference Winner]:[Difference Candidate 12]])</f>
        <v>0</v>
      </c>
      <c r="AS432" s="17">
        <f>IF(Audit[[#This Row],[Times p Drawn - With Replacement]]&gt;0, IF(Audit[[#This Row],[Canceled Differences]]&lt;0, Audit[[#This Row],[Max Differences]]+ABS(Audit[[#This Row],[Canceled Differences]]), Audit[[#This Row],[Max Differences]]), 0)</f>
        <v>0</v>
      </c>
      <c r="AT432" s="17">
        <f>'Sampling Data'!AB432</f>
        <v>1.2985910711254456E-2</v>
      </c>
      <c r="AU432" s="17">
        <f>IF(
      SUM(Audit[[#This Row],[Audit Losing Candidate]:[Audit Candidate 12]])
      &lt;&gt;0,
      (Audit[[#This Row],[Winning Candidate]]-Audit[[#This Row],[Losing Candidate]]-(Audit[[#This Row],[Audit Winning Candidate]]-Audit[[#This Row],[Audit Losing Candidate]]))/(Audit[[#Totals],[Winning Candidate]]-Audit[[#Totals],[Losing Candidate]]),
      0
)</f>
        <v>0</v>
      </c>
      <c r="AV4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2" s="17">
        <f>IF(Audit[[#This Row],[Max Relative Error (ep)]] = 0, 0, Audit[[#This Row],[Max Relative Error (ep)]]/Audit[[#This Row],[Error Bound (up) - Max. possible relative overstatement]])</f>
        <v>0</v>
      </c>
      <c r="BH4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32" s="17">
        <f t="shared" si="7"/>
        <v>1</v>
      </c>
      <c r="BJ432" s="17">
        <f>PRODUCT($BI$5:BI432)</f>
        <v>0.46283459046185416</v>
      </c>
      <c r="BK432" s="19">
        <f>1 - Audit[[#This Row],[K-M P Value]]</f>
        <v>0.53716540953814584</v>
      </c>
      <c r="BL432" s="17" t="str">
        <f>IF(Audit[[#This Row],[K-M P Value]]&gt;1-'General Info'!$B$12,"Continue", "Stop")</f>
        <v>Continue</v>
      </c>
      <c r="BM432" s="22" t="b">
        <f>IF(Audit[[#This Row],[Status - Continue or stop audit]] = "Continue", TRUE, IF(BL431 = "Continue", TRUE, FALSE))</f>
        <v>1</v>
      </c>
      <c r="BN432" s="22"/>
    </row>
    <row r="433" spans="1:66" ht="15" hidden="1" customHeight="1" x14ac:dyDescent="0.35">
      <c r="A433" s="17" t="str">
        <f>'Sampling Data'!AI433</f>
        <v/>
      </c>
      <c r="B433" s="17" t="str">
        <f>'Sampling Data'!A433</f>
        <v>7304 GREEN D   (AV)</v>
      </c>
      <c r="C433" s="17">
        <f>'Sampling Data'!B433</f>
        <v>117</v>
      </c>
      <c r="D433" s="17">
        <f>'Sampling Data'!C433</f>
        <v>245</v>
      </c>
      <c r="E433" s="18">
        <f>'Sampling Data'!D433</f>
        <v>0</v>
      </c>
      <c r="F433" s="18">
        <f>'Sampling Data'!E433</f>
        <v>0</v>
      </c>
      <c r="G433" s="18">
        <f>'Sampling Data'!F433</f>
        <v>0</v>
      </c>
      <c r="H433" s="18">
        <f>'Sampling Data'!G433</f>
        <v>0</v>
      </c>
      <c r="I433" s="18">
        <f>'Sampling Data'!H433</f>
        <v>0</v>
      </c>
      <c r="J433" s="18">
        <f>'Sampling Data'!I433</f>
        <v>0</v>
      </c>
      <c r="K433" s="18">
        <f>'Sampling Data'!J433</f>
        <v>0</v>
      </c>
      <c r="L433" s="18">
        <f>'Sampling Data'!K433</f>
        <v>0</v>
      </c>
      <c r="M433" s="18">
        <f>'Sampling Data'!L433</f>
        <v>0</v>
      </c>
      <c r="N433" s="18">
        <f>'Sampling Data'!M433</f>
        <v>0</v>
      </c>
      <c r="O433" s="17">
        <f>'Sampling Data'!N433</f>
        <v>0</v>
      </c>
      <c r="P433" s="17">
        <f>'Sampling Data'!O433</f>
        <v>23</v>
      </c>
      <c r="Q433" s="17">
        <f>'Sampling Data'!P433</f>
        <v>385</v>
      </c>
      <c r="R433" s="17">
        <f>'Sampling Data'!AJ433</f>
        <v>0</v>
      </c>
      <c r="S433" s="111"/>
      <c r="T433" s="111"/>
      <c r="U433" s="112"/>
      <c r="V433" s="112"/>
      <c r="W433" s="111"/>
      <c r="X433" s="111"/>
      <c r="Y433" s="111"/>
      <c r="Z433" s="111"/>
      <c r="AA433" s="14"/>
      <c r="AB433" s="14"/>
      <c r="AC433" s="14"/>
      <c r="AD433" s="14"/>
      <c r="AE433" s="113" t="str">
        <f>IF(NOT(ISBLANK(Audit[[#This Row],[Audit Winning Candidate]])), Audit[[#This Row],[Audit Winning Candidate]]-Audit[[#This Row],[Winning Candidate]], "")</f>
        <v/>
      </c>
      <c r="AF433" s="17" t="str">
        <f>IF(NOT(ISBLANK(Audit[[#This Row],[Audit Losing Candidate]])), Audit[[#This Row],[Audit Losing Candidate]]-Audit[[#This Row],[Losing Candidate]], "")</f>
        <v/>
      </c>
      <c r="AG433" s="17" t="str">
        <f>IF(NOT(ISBLANK(Audit[[#This Row],[Audit Candidate 3]])), Audit[[#This Row],[Audit Candidate 3]]-Audit[[#This Row],[Candidate 3]], "")</f>
        <v/>
      </c>
      <c r="AH433" s="17" t="str">
        <f>IF(NOT(ISBLANK(Audit[[#This Row],[Audit Candidate 4]])),Audit[[#This Row],[Audit Candidate 4]]-Audit[[#This Row],[Candidate 4]], "")</f>
        <v/>
      </c>
      <c r="AI433" s="17" t="str">
        <f>IF(NOT(ISBLANK(Audit[[#This Row],[Audit Candidate 5]])), Audit[[#This Row],[Audit Candidate 5]]-Audit[[#This Row],[Candidate 5]], "")</f>
        <v/>
      </c>
      <c r="AJ433" s="17" t="str">
        <f>IF(NOT(ISBLANK(Audit[[#This Row],[Audit Candidate 6]])), Audit[[#This Row],[Audit Candidate 6]]-Audit[[#This Row],[Candidate 6]], "")</f>
        <v/>
      </c>
      <c r="AK433" s="17" t="str">
        <f>IF(NOT(ISBLANK(Audit[[#This Row],[Audit Candidate 7]])), Audit[[#This Row],[Audit Candidate 7]]-Audit[[#This Row],[Candidate 7]], "")</f>
        <v/>
      </c>
      <c r="AL433" s="17" t="str">
        <f>IF(NOT(ISBLANK(Audit[[#This Row],[Audit Candidate 8]])), Audit[[#This Row],[Audit Candidate 8]]-Audit[[#This Row],[Candidate 8]], "")</f>
        <v/>
      </c>
      <c r="AM433" s="17" t="str">
        <f>IF(NOT(ISBLANK(Audit[[#This Row],[Audit Candidate 9]])), Audit[[#This Row],[Audit Candidate 9]]-Audit[[#This Row],[Candidate 9]], "")</f>
        <v/>
      </c>
      <c r="AN433" s="17" t="str">
        <f>IF(NOT(ISBLANK(Audit[[#This Row],[Audit Candidate 10]])), Audit[[#This Row],[Audit Candidate 10]]-Audit[[#This Row],[Candidate 10]], "")</f>
        <v/>
      </c>
      <c r="AO433" s="17" t="str">
        <f>IF(NOT(ISBLANK(Audit[[#This Row],[Audit Candidate 11]])), Audit[[#This Row],[Audit Candidate 11]]-Audit[[#This Row],[Candidate 11]], "")</f>
        <v/>
      </c>
      <c r="AP433" s="17" t="str">
        <f>IF(NOT(ISBLANK(Audit[[#This Row],[Audit Candidate 12]])), Audit[[#This Row],[Audit Candidate 12]]-Audit[[#This Row],[Candidate 12]], "")</f>
        <v/>
      </c>
      <c r="AQ433" s="17">
        <f>SUMIF(Audit[[#This Row],[Difference Winner]:[Difference Candidate 12]], "&gt;0")</f>
        <v>0</v>
      </c>
      <c r="AR433" s="17">
        <f>SUM(Audit[[#This Row],[Difference Winner]:[Difference Candidate 12]])</f>
        <v>0</v>
      </c>
      <c r="AS433" s="17">
        <f>IF(Audit[[#This Row],[Times p Drawn - With Replacement]]&gt;0, IF(Audit[[#This Row],[Canceled Differences]]&lt;0, Audit[[#This Row],[Max Differences]]+ABS(Audit[[#This Row],[Canceled Differences]]), Audit[[#This Row],[Max Differences]]), 0)</f>
        <v>0</v>
      </c>
      <c r="AT433" s="17">
        <f>'Sampling Data'!AB433</f>
        <v>1.0906467492785605E-2</v>
      </c>
      <c r="AU433" s="17">
        <f>IF(
      SUM(Audit[[#This Row],[Audit Losing Candidate]:[Audit Candidate 12]])
      &lt;&gt;0,
      (Audit[[#This Row],[Winning Candidate]]-Audit[[#This Row],[Losing Candidate]]-(Audit[[#This Row],[Audit Winning Candidate]]-Audit[[#This Row],[Audit Losing Candidate]]))/(Audit[[#Totals],[Winning Candidate]]-Audit[[#Totals],[Losing Candidate]]),
      0
)</f>
        <v>0</v>
      </c>
      <c r="AV4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3" s="17">
        <f>IF(Audit[[#This Row],[Max Relative Error (ep)]] = 0, 0, Audit[[#This Row],[Max Relative Error (ep)]]/Audit[[#This Row],[Error Bound (up) - Max. possible relative overstatement]])</f>
        <v>0</v>
      </c>
      <c r="BH4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33" s="17">
        <f t="shared" si="7"/>
        <v>1</v>
      </c>
      <c r="BJ433" s="17">
        <f>PRODUCT($BI$5:BI433)</f>
        <v>0.46283459046185416</v>
      </c>
      <c r="BK433" s="19">
        <f>1 - Audit[[#This Row],[K-M P Value]]</f>
        <v>0.53716540953814584</v>
      </c>
      <c r="BL433" s="17" t="str">
        <f>IF(Audit[[#This Row],[K-M P Value]]&gt;1-'General Info'!$B$12,"Continue", "Stop")</f>
        <v>Continue</v>
      </c>
      <c r="BM433" s="22" t="b">
        <f>IF(Audit[[#This Row],[Status - Continue or stop audit]] = "Continue", TRUE, IF(BL432 = "Continue", TRUE, FALSE))</f>
        <v>1</v>
      </c>
      <c r="BN433" s="22"/>
    </row>
    <row r="434" spans="1:66" ht="15" hidden="1" customHeight="1" x14ac:dyDescent="0.35">
      <c r="A434" s="17" t="str">
        <f>'Sampling Data'!AI434</f>
        <v/>
      </c>
      <c r="B434" s="17" t="str">
        <f>'Sampling Data'!A434</f>
        <v>7305 GREEN E   (AV)</v>
      </c>
      <c r="C434" s="17">
        <f>'Sampling Data'!B434</f>
        <v>111</v>
      </c>
      <c r="D434" s="17">
        <f>'Sampling Data'!C434</f>
        <v>312</v>
      </c>
      <c r="E434" s="18">
        <f>'Sampling Data'!D434</f>
        <v>0</v>
      </c>
      <c r="F434" s="18">
        <f>'Sampling Data'!E434</f>
        <v>0</v>
      </c>
      <c r="G434" s="18">
        <f>'Sampling Data'!F434</f>
        <v>0</v>
      </c>
      <c r="H434" s="18">
        <f>'Sampling Data'!G434</f>
        <v>0</v>
      </c>
      <c r="I434" s="18">
        <f>'Sampling Data'!H434</f>
        <v>0</v>
      </c>
      <c r="J434" s="18">
        <f>'Sampling Data'!I434</f>
        <v>0</v>
      </c>
      <c r="K434" s="18">
        <f>'Sampling Data'!J434</f>
        <v>0</v>
      </c>
      <c r="L434" s="18">
        <f>'Sampling Data'!K434</f>
        <v>0</v>
      </c>
      <c r="M434" s="18">
        <f>'Sampling Data'!L434</f>
        <v>0</v>
      </c>
      <c r="N434" s="18">
        <f>'Sampling Data'!M434</f>
        <v>0</v>
      </c>
      <c r="O434" s="17">
        <f>'Sampling Data'!N434</f>
        <v>0</v>
      </c>
      <c r="P434" s="17">
        <f>'Sampling Data'!O434</f>
        <v>27</v>
      </c>
      <c r="Q434" s="17">
        <f>'Sampling Data'!P434</f>
        <v>450</v>
      </c>
      <c r="R434" s="17">
        <f>'Sampling Data'!AJ434</f>
        <v>0</v>
      </c>
      <c r="S434" s="111"/>
      <c r="T434" s="111"/>
      <c r="U434" s="112"/>
      <c r="V434" s="112"/>
      <c r="W434" s="111"/>
      <c r="X434" s="111"/>
      <c r="Y434" s="111"/>
      <c r="Z434" s="111"/>
      <c r="AA434" s="14"/>
      <c r="AB434" s="14"/>
      <c r="AC434" s="14"/>
      <c r="AD434" s="14"/>
      <c r="AE434" s="113" t="str">
        <f>IF(NOT(ISBLANK(Audit[[#This Row],[Audit Winning Candidate]])), Audit[[#This Row],[Audit Winning Candidate]]-Audit[[#This Row],[Winning Candidate]], "")</f>
        <v/>
      </c>
      <c r="AF434" s="17" t="str">
        <f>IF(NOT(ISBLANK(Audit[[#This Row],[Audit Losing Candidate]])), Audit[[#This Row],[Audit Losing Candidate]]-Audit[[#This Row],[Losing Candidate]], "")</f>
        <v/>
      </c>
      <c r="AG434" s="17" t="str">
        <f>IF(NOT(ISBLANK(Audit[[#This Row],[Audit Candidate 3]])), Audit[[#This Row],[Audit Candidate 3]]-Audit[[#This Row],[Candidate 3]], "")</f>
        <v/>
      </c>
      <c r="AH434" s="17" t="str">
        <f>IF(NOT(ISBLANK(Audit[[#This Row],[Audit Candidate 4]])),Audit[[#This Row],[Audit Candidate 4]]-Audit[[#This Row],[Candidate 4]], "")</f>
        <v/>
      </c>
      <c r="AI434" s="17" t="str">
        <f>IF(NOT(ISBLANK(Audit[[#This Row],[Audit Candidate 5]])), Audit[[#This Row],[Audit Candidate 5]]-Audit[[#This Row],[Candidate 5]], "")</f>
        <v/>
      </c>
      <c r="AJ434" s="17" t="str">
        <f>IF(NOT(ISBLANK(Audit[[#This Row],[Audit Candidate 6]])), Audit[[#This Row],[Audit Candidate 6]]-Audit[[#This Row],[Candidate 6]], "")</f>
        <v/>
      </c>
      <c r="AK434" s="17" t="str">
        <f>IF(NOT(ISBLANK(Audit[[#This Row],[Audit Candidate 7]])), Audit[[#This Row],[Audit Candidate 7]]-Audit[[#This Row],[Candidate 7]], "")</f>
        <v/>
      </c>
      <c r="AL434" s="17" t="str">
        <f>IF(NOT(ISBLANK(Audit[[#This Row],[Audit Candidate 8]])), Audit[[#This Row],[Audit Candidate 8]]-Audit[[#This Row],[Candidate 8]], "")</f>
        <v/>
      </c>
      <c r="AM434" s="17" t="str">
        <f>IF(NOT(ISBLANK(Audit[[#This Row],[Audit Candidate 9]])), Audit[[#This Row],[Audit Candidate 9]]-Audit[[#This Row],[Candidate 9]], "")</f>
        <v/>
      </c>
      <c r="AN434" s="17" t="str">
        <f>IF(NOT(ISBLANK(Audit[[#This Row],[Audit Candidate 10]])), Audit[[#This Row],[Audit Candidate 10]]-Audit[[#This Row],[Candidate 10]], "")</f>
        <v/>
      </c>
      <c r="AO434" s="17" t="str">
        <f>IF(NOT(ISBLANK(Audit[[#This Row],[Audit Candidate 11]])), Audit[[#This Row],[Audit Candidate 11]]-Audit[[#This Row],[Candidate 11]], "")</f>
        <v/>
      </c>
      <c r="AP434" s="17" t="str">
        <f>IF(NOT(ISBLANK(Audit[[#This Row],[Audit Candidate 12]])), Audit[[#This Row],[Audit Candidate 12]]-Audit[[#This Row],[Candidate 12]], "")</f>
        <v/>
      </c>
      <c r="AQ434" s="17">
        <f>SUMIF(Audit[[#This Row],[Difference Winner]:[Difference Candidate 12]], "&gt;0")</f>
        <v>0</v>
      </c>
      <c r="AR434" s="17">
        <f>SUM(Audit[[#This Row],[Difference Winner]:[Difference Candidate 12]])</f>
        <v>0</v>
      </c>
      <c r="AS434" s="17">
        <f>IF(Audit[[#This Row],[Times p Drawn - With Replacement]]&gt;0, IF(Audit[[#This Row],[Canceled Differences]]&lt;0, Audit[[#This Row],[Max Differences]]+ABS(Audit[[#This Row],[Canceled Differences]]), Audit[[#This Row],[Max Differences]]), 0)</f>
        <v>0</v>
      </c>
      <c r="AT434" s="17">
        <f>'Sampling Data'!AB434</f>
        <v>1.0566966559158038E-2</v>
      </c>
      <c r="AU434" s="17">
        <f>IF(
      SUM(Audit[[#This Row],[Audit Losing Candidate]:[Audit Candidate 12]])
      &lt;&gt;0,
      (Audit[[#This Row],[Winning Candidate]]-Audit[[#This Row],[Losing Candidate]]-(Audit[[#This Row],[Audit Winning Candidate]]-Audit[[#This Row],[Audit Losing Candidate]]))/(Audit[[#Totals],[Winning Candidate]]-Audit[[#Totals],[Losing Candidate]]),
      0
)</f>
        <v>0</v>
      </c>
      <c r="AV4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4" s="17">
        <f>IF(Audit[[#This Row],[Max Relative Error (ep)]] = 0, 0, Audit[[#This Row],[Max Relative Error (ep)]]/Audit[[#This Row],[Error Bound (up) - Max. possible relative overstatement]])</f>
        <v>0</v>
      </c>
      <c r="BH4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34" s="17">
        <f t="shared" si="7"/>
        <v>1</v>
      </c>
      <c r="BJ434" s="17">
        <f>PRODUCT($BI$5:BI434)</f>
        <v>0.46283459046185416</v>
      </c>
      <c r="BK434" s="19">
        <f>1 - Audit[[#This Row],[K-M P Value]]</f>
        <v>0.53716540953814584</v>
      </c>
      <c r="BL434" s="17" t="str">
        <f>IF(Audit[[#This Row],[K-M P Value]]&gt;1-'General Info'!$B$12,"Continue", "Stop")</f>
        <v>Continue</v>
      </c>
      <c r="BM434" s="22" t="b">
        <f>IF(Audit[[#This Row],[Status - Continue or stop audit]] = "Continue", TRUE, IF(BL433 = "Continue", TRUE, FALSE))</f>
        <v>1</v>
      </c>
      <c r="BN434" s="22"/>
    </row>
    <row r="435" spans="1:66" ht="15" hidden="1" customHeight="1" x14ac:dyDescent="0.35">
      <c r="A435" s="17" t="str">
        <f>'Sampling Data'!AI435</f>
        <v/>
      </c>
      <c r="B435" s="17" t="str">
        <f>'Sampling Data'!A435</f>
        <v>7306 GREEN F   (AV)</v>
      </c>
      <c r="C435" s="17">
        <f>'Sampling Data'!B435</f>
        <v>88</v>
      </c>
      <c r="D435" s="17">
        <f>'Sampling Data'!C435</f>
        <v>158</v>
      </c>
      <c r="E435" s="18">
        <f>'Sampling Data'!D435</f>
        <v>0</v>
      </c>
      <c r="F435" s="18">
        <f>'Sampling Data'!E435</f>
        <v>0</v>
      </c>
      <c r="G435" s="18">
        <f>'Sampling Data'!F435</f>
        <v>0</v>
      </c>
      <c r="H435" s="18">
        <f>'Sampling Data'!G435</f>
        <v>0</v>
      </c>
      <c r="I435" s="18">
        <f>'Sampling Data'!H435</f>
        <v>0</v>
      </c>
      <c r="J435" s="18">
        <f>'Sampling Data'!I435</f>
        <v>0</v>
      </c>
      <c r="K435" s="18">
        <f>'Sampling Data'!J435</f>
        <v>0</v>
      </c>
      <c r="L435" s="18">
        <f>'Sampling Data'!K435</f>
        <v>0</v>
      </c>
      <c r="M435" s="18">
        <f>'Sampling Data'!L435</f>
        <v>0</v>
      </c>
      <c r="N435" s="18">
        <f>'Sampling Data'!M435</f>
        <v>0</v>
      </c>
      <c r="O435" s="17">
        <f>'Sampling Data'!N435</f>
        <v>0</v>
      </c>
      <c r="P435" s="17">
        <f>'Sampling Data'!O435</f>
        <v>23</v>
      </c>
      <c r="Q435" s="17">
        <f>'Sampling Data'!P435</f>
        <v>269</v>
      </c>
      <c r="R435" s="17">
        <f>'Sampling Data'!AJ435</f>
        <v>0</v>
      </c>
      <c r="S435" s="111"/>
      <c r="T435" s="111"/>
      <c r="U435" s="112"/>
      <c r="V435" s="112"/>
      <c r="W435" s="111"/>
      <c r="X435" s="111"/>
      <c r="Y435" s="111"/>
      <c r="Z435" s="111"/>
      <c r="AA435" s="14"/>
      <c r="AB435" s="14"/>
      <c r="AC435" s="14"/>
      <c r="AD435" s="14"/>
      <c r="AE435" s="113" t="str">
        <f>IF(NOT(ISBLANK(Audit[[#This Row],[Audit Winning Candidate]])), Audit[[#This Row],[Audit Winning Candidate]]-Audit[[#This Row],[Winning Candidate]], "")</f>
        <v/>
      </c>
      <c r="AF435" s="17" t="str">
        <f>IF(NOT(ISBLANK(Audit[[#This Row],[Audit Losing Candidate]])), Audit[[#This Row],[Audit Losing Candidate]]-Audit[[#This Row],[Losing Candidate]], "")</f>
        <v/>
      </c>
      <c r="AG435" s="17" t="str">
        <f>IF(NOT(ISBLANK(Audit[[#This Row],[Audit Candidate 3]])), Audit[[#This Row],[Audit Candidate 3]]-Audit[[#This Row],[Candidate 3]], "")</f>
        <v/>
      </c>
      <c r="AH435" s="17" t="str">
        <f>IF(NOT(ISBLANK(Audit[[#This Row],[Audit Candidate 4]])),Audit[[#This Row],[Audit Candidate 4]]-Audit[[#This Row],[Candidate 4]], "")</f>
        <v/>
      </c>
      <c r="AI435" s="17" t="str">
        <f>IF(NOT(ISBLANK(Audit[[#This Row],[Audit Candidate 5]])), Audit[[#This Row],[Audit Candidate 5]]-Audit[[#This Row],[Candidate 5]], "")</f>
        <v/>
      </c>
      <c r="AJ435" s="17" t="str">
        <f>IF(NOT(ISBLANK(Audit[[#This Row],[Audit Candidate 6]])), Audit[[#This Row],[Audit Candidate 6]]-Audit[[#This Row],[Candidate 6]], "")</f>
        <v/>
      </c>
      <c r="AK435" s="17" t="str">
        <f>IF(NOT(ISBLANK(Audit[[#This Row],[Audit Candidate 7]])), Audit[[#This Row],[Audit Candidate 7]]-Audit[[#This Row],[Candidate 7]], "")</f>
        <v/>
      </c>
      <c r="AL435" s="17" t="str">
        <f>IF(NOT(ISBLANK(Audit[[#This Row],[Audit Candidate 8]])), Audit[[#This Row],[Audit Candidate 8]]-Audit[[#This Row],[Candidate 8]], "")</f>
        <v/>
      </c>
      <c r="AM435" s="17" t="str">
        <f>IF(NOT(ISBLANK(Audit[[#This Row],[Audit Candidate 9]])), Audit[[#This Row],[Audit Candidate 9]]-Audit[[#This Row],[Candidate 9]], "")</f>
        <v/>
      </c>
      <c r="AN435" s="17" t="str">
        <f>IF(NOT(ISBLANK(Audit[[#This Row],[Audit Candidate 10]])), Audit[[#This Row],[Audit Candidate 10]]-Audit[[#This Row],[Candidate 10]], "")</f>
        <v/>
      </c>
      <c r="AO435" s="17" t="str">
        <f>IF(NOT(ISBLANK(Audit[[#This Row],[Audit Candidate 11]])), Audit[[#This Row],[Audit Candidate 11]]-Audit[[#This Row],[Candidate 11]], "")</f>
        <v/>
      </c>
      <c r="AP435" s="17" t="str">
        <f>IF(NOT(ISBLANK(Audit[[#This Row],[Audit Candidate 12]])), Audit[[#This Row],[Audit Candidate 12]]-Audit[[#This Row],[Candidate 12]], "")</f>
        <v/>
      </c>
      <c r="AQ435" s="17">
        <f>SUMIF(Audit[[#This Row],[Difference Winner]:[Difference Candidate 12]], "&gt;0")</f>
        <v>0</v>
      </c>
      <c r="AR435" s="17">
        <f>SUM(Audit[[#This Row],[Difference Winner]:[Difference Candidate 12]])</f>
        <v>0</v>
      </c>
      <c r="AS435" s="17">
        <f>IF(Audit[[#This Row],[Times p Drawn - With Replacement]]&gt;0, IF(Audit[[#This Row],[Canceled Differences]]&lt;0, Audit[[#This Row],[Max Differences]]+ABS(Audit[[#This Row],[Canceled Differences]]), Audit[[#This Row],[Max Differences]]), 0)</f>
        <v>0</v>
      </c>
      <c r="AT435" s="17">
        <f>'Sampling Data'!AB435</f>
        <v>8.4450857239857409E-3</v>
      </c>
      <c r="AU435" s="17">
        <f>IF(
      SUM(Audit[[#This Row],[Audit Losing Candidate]:[Audit Candidate 12]])
      &lt;&gt;0,
      (Audit[[#This Row],[Winning Candidate]]-Audit[[#This Row],[Losing Candidate]]-(Audit[[#This Row],[Audit Winning Candidate]]-Audit[[#This Row],[Audit Losing Candidate]]))/(Audit[[#Totals],[Winning Candidate]]-Audit[[#Totals],[Losing Candidate]]),
      0
)</f>
        <v>0</v>
      </c>
      <c r="AV4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5" s="17">
        <f>IF(Audit[[#This Row],[Max Relative Error (ep)]] = 0, 0, Audit[[#This Row],[Max Relative Error (ep)]]/Audit[[#This Row],[Error Bound (up) - Max. possible relative overstatement]])</f>
        <v>0</v>
      </c>
      <c r="BH4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35" s="17">
        <f t="shared" si="7"/>
        <v>1</v>
      </c>
      <c r="BJ435" s="17">
        <f>PRODUCT($BI$5:BI435)</f>
        <v>0.46283459046185416</v>
      </c>
      <c r="BK435" s="19">
        <f>1 - Audit[[#This Row],[K-M P Value]]</f>
        <v>0.53716540953814584</v>
      </c>
      <c r="BL435" s="17" t="str">
        <f>IF(Audit[[#This Row],[K-M P Value]]&gt;1-'General Info'!$B$12,"Continue", "Stop")</f>
        <v>Continue</v>
      </c>
      <c r="BM435" s="22" t="b">
        <f>IF(Audit[[#This Row],[Status - Continue or stop audit]] = "Continue", TRUE, IF(BL434 = "Continue", TRUE, FALSE))</f>
        <v>1</v>
      </c>
      <c r="BN435" s="22"/>
    </row>
    <row r="436" spans="1:66" ht="15" hidden="1" customHeight="1" x14ac:dyDescent="0.35">
      <c r="A436" s="17" t="str">
        <f>'Sampling Data'!AI436</f>
        <v/>
      </c>
      <c r="B436" s="17" t="str">
        <f>'Sampling Data'!A436</f>
        <v>7307 GREEN G   (AV)</v>
      </c>
      <c r="C436" s="17">
        <f>'Sampling Data'!B436</f>
        <v>52</v>
      </c>
      <c r="D436" s="17">
        <f>'Sampling Data'!C436</f>
        <v>158</v>
      </c>
      <c r="E436" s="18">
        <f>'Sampling Data'!D436</f>
        <v>0</v>
      </c>
      <c r="F436" s="18">
        <f>'Sampling Data'!E436</f>
        <v>0</v>
      </c>
      <c r="G436" s="18">
        <f>'Sampling Data'!F436</f>
        <v>0</v>
      </c>
      <c r="H436" s="18">
        <f>'Sampling Data'!G436</f>
        <v>0</v>
      </c>
      <c r="I436" s="18">
        <f>'Sampling Data'!H436</f>
        <v>0</v>
      </c>
      <c r="J436" s="18">
        <f>'Sampling Data'!I436</f>
        <v>0</v>
      </c>
      <c r="K436" s="18">
        <f>'Sampling Data'!J436</f>
        <v>0</v>
      </c>
      <c r="L436" s="18">
        <f>'Sampling Data'!K436</f>
        <v>0</v>
      </c>
      <c r="M436" s="18">
        <f>'Sampling Data'!L436</f>
        <v>0</v>
      </c>
      <c r="N436" s="18">
        <f>'Sampling Data'!M436</f>
        <v>0</v>
      </c>
      <c r="O436" s="17">
        <f>'Sampling Data'!N436</f>
        <v>0</v>
      </c>
      <c r="P436" s="17">
        <f>'Sampling Data'!O436</f>
        <v>15</v>
      </c>
      <c r="Q436" s="17">
        <f>'Sampling Data'!P436</f>
        <v>225</v>
      </c>
      <c r="R436" s="17">
        <f>'Sampling Data'!AJ436</f>
        <v>0</v>
      </c>
      <c r="S436" s="111"/>
      <c r="T436" s="111"/>
      <c r="U436" s="112"/>
      <c r="V436" s="112"/>
      <c r="W436" s="111"/>
      <c r="X436" s="111"/>
      <c r="Y436" s="111"/>
      <c r="Z436" s="111"/>
      <c r="AA436" s="14"/>
      <c r="AB436" s="14"/>
      <c r="AC436" s="14"/>
      <c r="AD436" s="14"/>
      <c r="AE436" s="113" t="str">
        <f>IF(NOT(ISBLANK(Audit[[#This Row],[Audit Winning Candidate]])), Audit[[#This Row],[Audit Winning Candidate]]-Audit[[#This Row],[Winning Candidate]], "")</f>
        <v/>
      </c>
      <c r="AF436" s="17" t="str">
        <f>IF(NOT(ISBLANK(Audit[[#This Row],[Audit Losing Candidate]])), Audit[[#This Row],[Audit Losing Candidate]]-Audit[[#This Row],[Losing Candidate]], "")</f>
        <v/>
      </c>
      <c r="AG436" s="17" t="str">
        <f>IF(NOT(ISBLANK(Audit[[#This Row],[Audit Candidate 3]])), Audit[[#This Row],[Audit Candidate 3]]-Audit[[#This Row],[Candidate 3]], "")</f>
        <v/>
      </c>
      <c r="AH436" s="17" t="str">
        <f>IF(NOT(ISBLANK(Audit[[#This Row],[Audit Candidate 4]])),Audit[[#This Row],[Audit Candidate 4]]-Audit[[#This Row],[Candidate 4]], "")</f>
        <v/>
      </c>
      <c r="AI436" s="17" t="str">
        <f>IF(NOT(ISBLANK(Audit[[#This Row],[Audit Candidate 5]])), Audit[[#This Row],[Audit Candidate 5]]-Audit[[#This Row],[Candidate 5]], "")</f>
        <v/>
      </c>
      <c r="AJ436" s="17" t="str">
        <f>IF(NOT(ISBLANK(Audit[[#This Row],[Audit Candidate 6]])), Audit[[#This Row],[Audit Candidate 6]]-Audit[[#This Row],[Candidate 6]], "")</f>
        <v/>
      </c>
      <c r="AK436" s="17" t="str">
        <f>IF(NOT(ISBLANK(Audit[[#This Row],[Audit Candidate 7]])), Audit[[#This Row],[Audit Candidate 7]]-Audit[[#This Row],[Candidate 7]], "")</f>
        <v/>
      </c>
      <c r="AL436" s="17" t="str">
        <f>IF(NOT(ISBLANK(Audit[[#This Row],[Audit Candidate 8]])), Audit[[#This Row],[Audit Candidate 8]]-Audit[[#This Row],[Candidate 8]], "")</f>
        <v/>
      </c>
      <c r="AM436" s="17" t="str">
        <f>IF(NOT(ISBLANK(Audit[[#This Row],[Audit Candidate 9]])), Audit[[#This Row],[Audit Candidate 9]]-Audit[[#This Row],[Candidate 9]], "")</f>
        <v/>
      </c>
      <c r="AN436" s="17" t="str">
        <f>IF(NOT(ISBLANK(Audit[[#This Row],[Audit Candidate 10]])), Audit[[#This Row],[Audit Candidate 10]]-Audit[[#This Row],[Candidate 10]], "")</f>
        <v/>
      </c>
      <c r="AO436" s="17" t="str">
        <f>IF(NOT(ISBLANK(Audit[[#This Row],[Audit Candidate 11]])), Audit[[#This Row],[Audit Candidate 11]]-Audit[[#This Row],[Candidate 11]], "")</f>
        <v/>
      </c>
      <c r="AP436" s="17" t="str">
        <f>IF(NOT(ISBLANK(Audit[[#This Row],[Audit Candidate 12]])), Audit[[#This Row],[Audit Candidate 12]]-Audit[[#This Row],[Candidate 12]], "")</f>
        <v/>
      </c>
      <c r="AQ436" s="17">
        <f>SUMIF(Audit[[#This Row],[Difference Winner]:[Difference Candidate 12]], "&gt;0")</f>
        <v>0</v>
      </c>
      <c r="AR436" s="17">
        <f>SUM(Audit[[#This Row],[Difference Winner]:[Difference Candidate 12]])</f>
        <v>0</v>
      </c>
      <c r="AS436" s="17">
        <f>IF(Audit[[#This Row],[Times p Drawn - With Replacement]]&gt;0, IF(Audit[[#This Row],[Canceled Differences]]&lt;0, Audit[[#This Row],[Max Differences]]+ABS(Audit[[#This Row],[Canceled Differences]]), Audit[[#This Row],[Max Differences]]), 0)</f>
        <v>0</v>
      </c>
      <c r="AT436" s="17">
        <f>'Sampling Data'!AB436</f>
        <v>5.050076387710066E-3</v>
      </c>
      <c r="AU436" s="17">
        <f>IF(
      SUM(Audit[[#This Row],[Audit Losing Candidate]:[Audit Candidate 12]])
      &lt;&gt;0,
      (Audit[[#This Row],[Winning Candidate]]-Audit[[#This Row],[Losing Candidate]]-(Audit[[#This Row],[Audit Winning Candidate]]-Audit[[#This Row],[Audit Losing Candidate]]))/(Audit[[#Totals],[Winning Candidate]]-Audit[[#Totals],[Losing Candidate]]),
      0
)</f>
        <v>0</v>
      </c>
      <c r="AV4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6" s="17">
        <f>IF(Audit[[#This Row],[Max Relative Error (ep)]] = 0, 0, Audit[[#This Row],[Max Relative Error (ep)]]/Audit[[#This Row],[Error Bound (up) - Max. possible relative overstatement]])</f>
        <v>0</v>
      </c>
      <c r="BH4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36" s="17">
        <f t="shared" si="7"/>
        <v>1</v>
      </c>
      <c r="BJ436" s="17">
        <f>PRODUCT($BI$5:BI436)</f>
        <v>0.46283459046185416</v>
      </c>
      <c r="BK436" s="19">
        <f>1 - Audit[[#This Row],[K-M P Value]]</f>
        <v>0.53716540953814584</v>
      </c>
      <c r="BL436" s="17" t="str">
        <f>IF(Audit[[#This Row],[K-M P Value]]&gt;1-'General Info'!$B$12,"Continue", "Stop")</f>
        <v>Continue</v>
      </c>
      <c r="BM436" s="22" t="b">
        <f>IF(Audit[[#This Row],[Status - Continue or stop audit]] = "Continue", TRUE, IF(BL435 = "Continue", TRUE, FALSE))</f>
        <v>1</v>
      </c>
      <c r="BN436" s="22"/>
    </row>
    <row r="437" spans="1:66" ht="15" hidden="1" customHeight="1" x14ac:dyDescent="0.35">
      <c r="A437" s="17" t="str">
        <f>'Sampling Data'!AI437</f>
        <v/>
      </c>
      <c r="B437" s="17" t="str">
        <f>'Sampling Data'!A437</f>
        <v>7308 GREEN H   (AV)</v>
      </c>
      <c r="C437" s="17">
        <f>'Sampling Data'!B437</f>
        <v>121</v>
      </c>
      <c r="D437" s="17">
        <f>'Sampling Data'!C437</f>
        <v>93</v>
      </c>
      <c r="E437" s="18">
        <f>'Sampling Data'!D437</f>
        <v>0</v>
      </c>
      <c r="F437" s="18">
        <f>'Sampling Data'!E437</f>
        <v>0</v>
      </c>
      <c r="G437" s="18">
        <f>'Sampling Data'!F437</f>
        <v>0</v>
      </c>
      <c r="H437" s="18">
        <f>'Sampling Data'!G437</f>
        <v>0</v>
      </c>
      <c r="I437" s="18">
        <f>'Sampling Data'!H437</f>
        <v>0</v>
      </c>
      <c r="J437" s="18">
        <f>'Sampling Data'!I437</f>
        <v>0</v>
      </c>
      <c r="K437" s="18">
        <f>'Sampling Data'!J437</f>
        <v>0</v>
      </c>
      <c r="L437" s="18">
        <f>'Sampling Data'!K437</f>
        <v>0</v>
      </c>
      <c r="M437" s="18">
        <f>'Sampling Data'!L437</f>
        <v>0</v>
      </c>
      <c r="N437" s="18">
        <f>'Sampling Data'!M437</f>
        <v>0</v>
      </c>
      <c r="O437" s="17">
        <f>'Sampling Data'!N437</f>
        <v>0</v>
      </c>
      <c r="P437" s="17">
        <f>'Sampling Data'!O437</f>
        <v>8</v>
      </c>
      <c r="Q437" s="17">
        <f>'Sampling Data'!P437</f>
        <v>222</v>
      </c>
      <c r="R437" s="17">
        <f>'Sampling Data'!AJ437</f>
        <v>0</v>
      </c>
      <c r="S437" s="111"/>
      <c r="T437" s="111"/>
      <c r="U437" s="112"/>
      <c r="V437" s="112"/>
      <c r="W437" s="111"/>
      <c r="X437" s="111"/>
      <c r="Y437" s="111"/>
      <c r="Z437" s="111"/>
      <c r="AA437" s="14"/>
      <c r="AB437" s="14"/>
      <c r="AC437" s="14"/>
      <c r="AD437" s="14"/>
      <c r="AE437" s="113" t="str">
        <f>IF(NOT(ISBLANK(Audit[[#This Row],[Audit Winning Candidate]])), Audit[[#This Row],[Audit Winning Candidate]]-Audit[[#This Row],[Winning Candidate]], "")</f>
        <v/>
      </c>
      <c r="AF437" s="17" t="str">
        <f>IF(NOT(ISBLANK(Audit[[#This Row],[Audit Losing Candidate]])), Audit[[#This Row],[Audit Losing Candidate]]-Audit[[#This Row],[Losing Candidate]], "")</f>
        <v/>
      </c>
      <c r="AG437" s="17" t="str">
        <f>IF(NOT(ISBLANK(Audit[[#This Row],[Audit Candidate 3]])), Audit[[#This Row],[Audit Candidate 3]]-Audit[[#This Row],[Candidate 3]], "")</f>
        <v/>
      </c>
      <c r="AH437" s="17" t="str">
        <f>IF(NOT(ISBLANK(Audit[[#This Row],[Audit Candidate 4]])),Audit[[#This Row],[Audit Candidate 4]]-Audit[[#This Row],[Candidate 4]], "")</f>
        <v/>
      </c>
      <c r="AI437" s="17" t="str">
        <f>IF(NOT(ISBLANK(Audit[[#This Row],[Audit Candidate 5]])), Audit[[#This Row],[Audit Candidate 5]]-Audit[[#This Row],[Candidate 5]], "")</f>
        <v/>
      </c>
      <c r="AJ437" s="17" t="str">
        <f>IF(NOT(ISBLANK(Audit[[#This Row],[Audit Candidate 6]])), Audit[[#This Row],[Audit Candidate 6]]-Audit[[#This Row],[Candidate 6]], "")</f>
        <v/>
      </c>
      <c r="AK437" s="17" t="str">
        <f>IF(NOT(ISBLANK(Audit[[#This Row],[Audit Candidate 7]])), Audit[[#This Row],[Audit Candidate 7]]-Audit[[#This Row],[Candidate 7]], "")</f>
        <v/>
      </c>
      <c r="AL437" s="17" t="str">
        <f>IF(NOT(ISBLANK(Audit[[#This Row],[Audit Candidate 8]])), Audit[[#This Row],[Audit Candidate 8]]-Audit[[#This Row],[Candidate 8]], "")</f>
        <v/>
      </c>
      <c r="AM437" s="17" t="str">
        <f>IF(NOT(ISBLANK(Audit[[#This Row],[Audit Candidate 9]])), Audit[[#This Row],[Audit Candidate 9]]-Audit[[#This Row],[Candidate 9]], "")</f>
        <v/>
      </c>
      <c r="AN437" s="17" t="str">
        <f>IF(NOT(ISBLANK(Audit[[#This Row],[Audit Candidate 10]])), Audit[[#This Row],[Audit Candidate 10]]-Audit[[#This Row],[Candidate 10]], "")</f>
        <v/>
      </c>
      <c r="AO437" s="17" t="str">
        <f>IF(NOT(ISBLANK(Audit[[#This Row],[Audit Candidate 11]])), Audit[[#This Row],[Audit Candidate 11]]-Audit[[#This Row],[Candidate 11]], "")</f>
        <v/>
      </c>
      <c r="AP437" s="17" t="str">
        <f>IF(NOT(ISBLANK(Audit[[#This Row],[Audit Candidate 12]])), Audit[[#This Row],[Audit Candidate 12]]-Audit[[#This Row],[Candidate 12]], "")</f>
        <v/>
      </c>
      <c r="AQ437" s="17">
        <f>SUMIF(Audit[[#This Row],[Difference Winner]:[Difference Candidate 12]], "&gt;0")</f>
        <v>0</v>
      </c>
      <c r="AR437" s="17">
        <f>SUM(Audit[[#This Row],[Difference Winner]:[Difference Candidate 12]])</f>
        <v>0</v>
      </c>
      <c r="AS437" s="17">
        <f>IF(Audit[[#This Row],[Times p Drawn - With Replacement]]&gt;0, IF(Audit[[#This Row],[Canceled Differences]]&lt;0, Audit[[#This Row],[Max Differences]]+ABS(Audit[[#This Row],[Canceled Differences]]), Audit[[#This Row],[Max Differences]]), 0)</f>
        <v>0</v>
      </c>
      <c r="AT437" s="17">
        <f>'Sampling Data'!AB437</f>
        <v>1.0609404175861484E-2</v>
      </c>
      <c r="AU437" s="17">
        <f>IF(
      SUM(Audit[[#This Row],[Audit Losing Candidate]:[Audit Candidate 12]])
      &lt;&gt;0,
      (Audit[[#This Row],[Winning Candidate]]-Audit[[#This Row],[Losing Candidate]]-(Audit[[#This Row],[Audit Winning Candidate]]-Audit[[#This Row],[Audit Losing Candidate]]))/(Audit[[#Totals],[Winning Candidate]]-Audit[[#Totals],[Losing Candidate]]),
      0
)</f>
        <v>0</v>
      </c>
      <c r="AV4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7" s="17">
        <f>IF(Audit[[#This Row],[Max Relative Error (ep)]] = 0, 0, Audit[[#This Row],[Max Relative Error (ep)]]/Audit[[#This Row],[Error Bound (up) - Max. possible relative overstatement]])</f>
        <v>0</v>
      </c>
      <c r="BH4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37" s="17">
        <f t="shared" si="7"/>
        <v>1</v>
      </c>
      <c r="BJ437" s="17">
        <f>PRODUCT($BI$5:BI437)</f>
        <v>0.46283459046185416</v>
      </c>
      <c r="BK437" s="19">
        <f>1 - Audit[[#This Row],[K-M P Value]]</f>
        <v>0.53716540953814584</v>
      </c>
      <c r="BL437" s="17" t="str">
        <f>IF(Audit[[#This Row],[K-M P Value]]&gt;1-'General Info'!$B$12,"Continue", "Stop")</f>
        <v>Continue</v>
      </c>
      <c r="BM437" s="22" t="b">
        <f>IF(Audit[[#This Row],[Status - Continue or stop audit]] = "Continue", TRUE, IF(BL436 = "Continue", TRUE, FALSE))</f>
        <v>1</v>
      </c>
      <c r="BN437" s="22"/>
    </row>
    <row r="438" spans="1:66" ht="15" hidden="1" customHeight="1" x14ac:dyDescent="0.35">
      <c r="A438" s="17" t="str">
        <f>'Sampling Data'!AI438</f>
        <v/>
      </c>
      <c r="B438" s="17" t="str">
        <f>'Sampling Data'!A438</f>
        <v>7309 GREEN I   (AV)</v>
      </c>
      <c r="C438" s="17">
        <f>'Sampling Data'!B438</f>
        <v>102</v>
      </c>
      <c r="D438" s="17">
        <f>'Sampling Data'!C438</f>
        <v>168</v>
      </c>
      <c r="E438" s="18">
        <f>'Sampling Data'!D438</f>
        <v>0</v>
      </c>
      <c r="F438" s="18">
        <f>'Sampling Data'!E438</f>
        <v>0</v>
      </c>
      <c r="G438" s="18">
        <f>'Sampling Data'!F438</f>
        <v>0</v>
      </c>
      <c r="H438" s="18">
        <f>'Sampling Data'!G438</f>
        <v>0</v>
      </c>
      <c r="I438" s="18">
        <f>'Sampling Data'!H438</f>
        <v>0</v>
      </c>
      <c r="J438" s="18">
        <f>'Sampling Data'!I438</f>
        <v>0</v>
      </c>
      <c r="K438" s="18">
        <f>'Sampling Data'!J438</f>
        <v>0</v>
      </c>
      <c r="L438" s="18">
        <f>'Sampling Data'!K438</f>
        <v>0</v>
      </c>
      <c r="M438" s="18">
        <f>'Sampling Data'!L438</f>
        <v>0</v>
      </c>
      <c r="N438" s="18">
        <f>'Sampling Data'!M438</f>
        <v>0</v>
      </c>
      <c r="O438" s="17">
        <f>'Sampling Data'!N438</f>
        <v>0</v>
      </c>
      <c r="P438" s="17">
        <f>'Sampling Data'!O438</f>
        <v>12</v>
      </c>
      <c r="Q438" s="17">
        <f>'Sampling Data'!P438</f>
        <v>282</v>
      </c>
      <c r="R438" s="17">
        <f>'Sampling Data'!AJ438</f>
        <v>0</v>
      </c>
      <c r="S438" s="111"/>
      <c r="T438" s="111"/>
      <c r="U438" s="112"/>
      <c r="V438" s="112"/>
      <c r="W438" s="111"/>
      <c r="X438" s="111"/>
      <c r="Y438" s="111"/>
      <c r="Z438" s="111"/>
      <c r="AA438" s="14"/>
      <c r="AB438" s="14"/>
      <c r="AC438" s="14"/>
      <c r="AD438" s="14"/>
      <c r="AE438" s="113" t="str">
        <f>IF(NOT(ISBLANK(Audit[[#This Row],[Audit Winning Candidate]])), Audit[[#This Row],[Audit Winning Candidate]]-Audit[[#This Row],[Winning Candidate]], "")</f>
        <v/>
      </c>
      <c r="AF438" s="17" t="str">
        <f>IF(NOT(ISBLANK(Audit[[#This Row],[Audit Losing Candidate]])), Audit[[#This Row],[Audit Losing Candidate]]-Audit[[#This Row],[Losing Candidate]], "")</f>
        <v/>
      </c>
      <c r="AG438" s="17" t="str">
        <f>IF(NOT(ISBLANK(Audit[[#This Row],[Audit Candidate 3]])), Audit[[#This Row],[Audit Candidate 3]]-Audit[[#This Row],[Candidate 3]], "")</f>
        <v/>
      </c>
      <c r="AH438" s="17" t="str">
        <f>IF(NOT(ISBLANK(Audit[[#This Row],[Audit Candidate 4]])),Audit[[#This Row],[Audit Candidate 4]]-Audit[[#This Row],[Candidate 4]], "")</f>
        <v/>
      </c>
      <c r="AI438" s="17" t="str">
        <f>IF(NOT(ISBLANK(Audit[[#This Row],[Audit Candidate 5]])), Audit[[#This Row],[Audit Candidate 5]]-Audit[[#This Row],[Candidate 5]], "")</f>
        <v/>
      </c>
      <c r="AJ438" s="17" t="str">
        <f>IF(NOT(ISBLANK(Audit[[#This Row],[Audit Candidate 6]])), Audit[[#This Row],[Audit Candidate 6]]-Audit[[#This Row],[Candidate 6]], "")</f>
        <v/>
      </c>
      <c r="AK438" s="17" t="str">
        <f>IF(NOT(ISBLANK(Audit[[#This Row],[Audit Candidate 7]])), Audit[[#This Row],[Audit Candidate 7]]-Audit[[#This Row],[Candidate 7]], "")</f>
        <v/>
      </c>
      <c r="AL438" s="17" t="str">
        <f>IF(NOT(ISBLANK(Audit[[#This Row],[Audit Candidate 8]])), Audit[[#This Row],[Audit Candidate 8]]-Audit[[#This Row],[Candidate 8]], "")</f>
        <v/>
      </c>
      <c r="AM438" s="17" t="str">
        <f>IF(NOT(ISBLANK(Audit[[#This Row],[Audit Candidate 9]])), Audit[[#This Row],[Audit Candidate 9]]-Audit[[#This Row],[Candidate 9]], "")</f>
        <v/>
      </c>
      <c r="AN438" s="17" t="str">
        <f>IF(NOT(ISBLANK(Audit[[#This Row],[Audit Candidate 10]])), Audit[[#This Row],[Audit Candidate 10]]-Audit[[#This Row],[Candidate 10]], "")</f>
        <v/>
      </c>
      <c r="AO438" s="17" t="str">
        <f>IF(NOT(ISBLANK(Audit[[#This Row],[Audit Candidate 11]])), Audit[[#This Row],[Audit Candidate 11]]-Audit[[#This Row],[Candidate 11]], "")</f>
        <v/>
      </c>
      <c r="AP438" s="17" t="str">
        <f>IF(NOT(ISBLANK(Audit[[#This Row],[Audit Candidate 12]])), Audit[[#This Row],[Audit Candidate 12]]-Audit[[#This Row],[Candidate 12]], "")</f>
        <v/>
      </c>
      <c r="AQ438" s="17">
        <f>SUMIF(Audit[[#This Row],[Difference Winner]:[Difference Candidate 12]], "&gt;0")</f>
        <v>0</v>
      </c>
      <c r="AR438" s="17">
        <f>SUM(Audit[[#This Row],[Difference Winner]:[Difference Candidate 12]])</f>
        <v>0</v>
      </c>
      <c r="AS438" s="17">
        <f>IF(Audit[[#This Row],[Times p Drawn - With Replacement]]&gt;0, IF(Audit[[#This Row],[Canceled Differences]]&lt;0, Audit[[#This Row],[Max Differences]]+ABS(Audit[[#This Row],[Canceled Differences]]), Audit[[#This Row],[Max Differences]]), 0)</f>
        <v>0</v>
      </c>
      <c r="AT438" s="17">
        <f>'Sampling Data'!AB438</f>
        <v>9.1665252079443215E-3</v>
      </c>
      <c r="AU438" s="17">
        <f>IF(
      SUM(Audit[[#This Row],[Audit Losing Candidate]:[Audit Candidate 12]])
      &lt;&gt;0,
      (Audit[[#This Row],[Winning Candidate]]-Audit[[#This Row],[Losing Candidate]]-(Audit[[#This Row],[Audit Winning Candidate]]-Audit[[#This Row],[Audit Losing Candidate]]))/(Audit[[#Totals],[Winning Candidate]]-Audit[[#Totals],[Losing Candidate]]),
      0
)</f>
        <v>0</v>
      </c>
      <c r="AV4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8" s="17">
        <f>IF(Audit[[#This Row],[Max Relative Error (ep)]] = 0, 0, Audit[[#This Row],[Max Relative Error (ep)]]/Audit[[#This Row],[Error Bound (up) - Max. possible relative overstatement]])</f>
        <v>0</v>
      </c>
      <c r="BH4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38" s="17">
        <f t="shared" si="7"/>
        <v>1</v>
      </c>
      <c r="BJ438" s="17">
        <f>PRODUCT($BI$5:BI438)</f>
        <v>0.46283459046185416</v>
      </c>
      <c r="BK438" s="19">
        <f>1 - Audit[[#This Row],[K-M P Value]]</f>
        <v>0.53716540953814584</v>
      </c>
      <c r="BL438" s="17" t="str">
        <f>IF(Audit[[#This Row],[K-M P Value]]&gt;1-'General Info'!$B$12,"Continue", "Stop")</f>
        <v>Continue</v>
      </c>
      <c r="BM438" s="22" t="b">
        <f>IF(Audit[[#This Row],[Status - Continue or stop audit]] = "Continue", TRUE, IF(BL437 = "Continue", TRUE, FALSE))</f>
        <v>1</v>
      </c>
      <c r="BN438" s="22"/>
    </row>
    <row r="439" spans="1:66" ht="15" hidden="1" customHeight="1" x14ac:dyDescent="0.35">
      <c r="A439" s="17" t="str">
        <f>'Sampling Data'!AI439</f>
        <v/>
      </c>
      <c r="B439" s="17" t="str">
        <f>'Sampling Data'!A439</f>
        <v>7310 GREEN J   (AV)</v>
      </c>
      <c r="C439" s="17">
        <f>'Sampling Data'!B439</f>
        <v>93</v>
      </c>
      <c r="D439" s="17">
        <f>'Sampling Data'!C439</f>
        <v>213</v>
      </c>
      <c r="E439" s="18">
        <f>'Sampling Data'!D439</f>
        <v>0</v>
      </c>
      <c r="F439" s="18">
        <f>'Sampling Data'!E439</f>
        <v>0</v>
      </c>
      <c r="G439" s="18">
        <f>'Sampling Data'!F439</f>
        <v>0</v>
      </c>
      <c r="H439" s="18">
        <f>'Sampling Data'!G439</f>
        <v>0</v>
      </c>
      <c r="I439" s="18">
        <f>'Sampling Data'!H439</f>
        <v>0</v>
      </c>
      <c r="J439" s="18">
        <f>'Sampling Data'!I439</f>
        <v>0</v>
      </c>
      <c r="K439" s="18">
        <f>'Sampling Data'!J439</f>
        <v>0</v>
      </c>
      <c r="L439" s="18">
        <f>'Sampling Data'!K439</f>
        <v>0</v>
      </c>
      <c r="M439" s="18">
        <f>'Sampling Data'!L439</f>
        <v>0</v>
      </c>
      <c r="N439" s="18">
        <f>'Sampling Data'!M439</f>
        <v>0</v>
      </c>
      <c r="O439" s="17">
        <f>'Sampling Data'!N439</f>
        <v>1</v>
      </c>
      <c r="P439" s="17">
        <f>'Sampling Data'!O439</f>
        <v>10</v>
      </c>
      <c r="Q439" s="17">
        <f>'Sampling Data'!P439</f>
        <v>317</v>
      </c>
      <c r="R439" s="17">
        <f>'Sampling Data'!AJ439</f>
        <v>0</v>
      </c>
      <c r="S439" s="111"/>
      <c r="T439" s="111"/>
      <c r="U439" s="112"/>
      <c r="V439" s="112"/>
      <c r="W439" s="111"/>
      <c r="X439" s="111"/>
      <c r="Y439" s="111"/>
      <c r="Z439" s="111"/>
      <c r="AA439" s="14"/>
      <c r="AB439" s="14"/>
      <c r="AC439" s="14"/>
      <c r="AD439" s="14"/>
      <c r="AE439" s="113" t="str">
        <f>IF(NOT(ISBLANK(Audit[[#This Row],[Audit Winning Candidate]])), Audit[[#This Row],[Audit Winning Candidate]]-Audit[[#This Row],[Winning Candidate]], "")</f>
        <v/>
      </c>
      <c r="AF439" s="17" t="str">
        <f>IF(NOT(ISBLANK(Audit[[#This Row],[Audit Losing Candidate]])), Audit[[#This Row],[Audit Losing Candidate]]-Audit[[#This Row],[Losing Candidate]], "")</f>
        <v/>
      </c>
      <c r="AG439" s="17" t="str">
        <f>IF(NOT(ISBLANK(Audit[[#This Row],[Audit Candidate 3]])), Audit[[#This Row],[Audit Candidate 3]]-Audit[[#This Row],[Candidate 3]], "")</f>
        <v/>
      </c>
      <c r="AH439" s="17" t="str">
        <f>IF(NOT(ISBLANK(Audit[[#This Row],[Audit Candidate 4]])),Audit[[#This Row],[Audit Candidate 4]]-Audit[[#This Row],[Candidate 4]], "")</f>
        <v/>
      </c>
      <c r="AI439" s="17" t="str">
        <f>IF(NOT(ISBLANK(Audit[[#This Row],[Audit Candidate 5]])), Audit[[#This Row],[Audit Candidate 5]]-Audit[[#This Row],[Candidate 5]], "")</f>
        <v/>
      </c>
      <c r="AJ439" s="17" t="str">
        <f>IF(NOT(ISBLANK(Audit[[#This Row],[Audit Candidate 6]])), Audit[[#This Row],[Audit Candidate 6]]-Audit[[#This Row],[Candidate 6]], "")</f>
        <v/>
      </c>
      <c r="AK439" s="17" t="str">
        <f>IF(NOT(ISBLANK(Audit[[#This Row],[Audit Candidate 7]])), Audit[[#This Row],[Audit Candidate 7]]-Audit[[#This Row],[Candidate 7]], "")</f>
        <v/>
      </c>
      <c r="AL439" s="17" t="str">
        <f>IF(NOT(ISBLANK(Audit[[#This Row],[Audit Candidate 8]])), Audit[[#This Row],[Audit Candidate 8]]-Audit[[#This Row],[Candidate 8]], "")</f>
        <v/>
      </c>
      <c r="AM439" s="17" t="str">
        <f>IF(NOT(ISBLANK(Audit[[#This Row],[Audit Candidate 9]])), Audit[[#This Row],[Audit Candidate 9]]-Audit[[#This Row],[Candidate 9]], "")</f>
        <v/>
      </c>
      <c r="AN439" s="17" t="str">
        <f>IF(NOT(ISBLANK(Audit[[#This Row],[Audit Candidate 10]])), Audit[[#This Row],[Audit Candidate 10]]-Audit[[#This Row],[Candidate 10]], "")</f>
        <v/>
      </c>
      <c r="AO439" s="17" t="str">
        <f>IF(NOT(ISBLANK(Audit[[#This Row],[Audit Candidate 11]])), Audit[[#This Row],[Audit Candidate 11]]-Audit[[#This Row],[Candidate 11]], "")</f>
        <v/>
      </c>
      <c r="AP439" s="17" t="str">
        <f>IF(NOT(ISBLANK(Audit[[#This Row],[Audit Candidate 12]])), Audit[[#This Row],[Audit Candidate 12]]-Audit[[#This Row],[Candidate 12]], "")</f>
        <v/>
      </c>
      <c r="AQ439" s="17">
        <f>SUMIF(Audit[[#This Row],[Difference Winner]:[Difference Candidate 12]], "&gt;0")</f>
        <v>0</v>
      </c>
      <c r="AR439" s="17">
        <f>SUM(Audit[[#This Row],[Difference Winner]:[Difference Candidate 12]])</f>
        <v>0</v>
      </c>
      <c r="AS439" s="17">
        <f>IF(Audit[[#This Row],[Times p Drawn - With Replacement]]&gt;0, IF(Audit[[#This Row],[Canceled Differences]]&lt;0, Audit[[#This Row],[Max Differences]]+ABS(Audit[[#This Row],[Canceled Differences]]), Audit[[#This Row],[Max Differences]]), 0)</f>
        <v>0</v>
      </c>
      <c r="AT439" s="17">
        <f>'Sampling Data'!AB439</f>
        <v>8.3602104905788482E-3</v>
      </c>
      <c r="AU439" s="17">
        <f>IF(
      SUM(Audit[[#This Row],[Audit Losing Candidate]:[Audit Candidate 12]])
      &lt;&gt;0,
      (Audit[[#This Row],[Winning Candidate]]-Audit[[#This Row],[Losing Candidate]]-(Audit[[#This Row],[Audit Winning Candidate]]-Audit[[#This Row],[Audit Losing Candidate]]))/(Audit[[#Totals],[Winning Candidate]]-Audit[[#Totals],[Losing Candidate]]),
      0
)</f>
        <v>0</v>
      </c>
      <c r="AV4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9" s="17">
        <f>IF(Audit[[#This Row],[Max Relative Error (ep)]] = 0, 0, Audit[[#This Row],[Max Relative Error (ep)]]/Audit[[#This Row],[Error Bound (up) - Max. possible relative overstatement]])</f>
        <v>0</v>
      </c>
      <c r="BH4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39" s="17">
        <f t="shared" si="7"/>
        <v>1</v>
      </c>
      <c r="BJ439" s="17">
        <f>PRODUCT($BI$5:BI439)</f>
        <v>0.46283459046185416</v>
      </c>
      <c r="BK439" s="19">
        <f>1 - Audit[[#This Row],[K-M P Value]]</f>
        <v>0.53716540953814584</v>
      </c>
      <c r="BL439" s="17" t="str">
        <f>IF(Audit[[#This Row],[K-M P Value]]&gt;1-'General Info'!$B$12,"Continue", "Stop")</f>
        <v>Continue</v>
      </c>
      <c r="BM439" s="22" t="b">
        <f>IF(Audit[[#This Row],[Status - Continue or stop audit]] = "Continue", TRUE, IF(BL438 = "Continue", TRUE, FALSE))</f>
        <v>1</v>
      </c>
      <c r="BN439" s="22"/>
    </row>
    <row r="440" spans="1:66" ht="15" hidden="1" customHeight="1" x14ac:dyDescent="0.35">
      <c r="A440" s="17" t="str">
        <f>'Sampling Data'!AI440</f>
        <v/>
      </c>
      <c r="B440" s="17" t="str">
        <f>'Sampling Data'!A440</f>
        <v>7311 GREEN K   (AV)</v>
      </c>
      <c r="C440" s="17">
        <f>'Sampling Data'!B440</f>
        <v>130</v>
      </c>
      <c r="D440" s="17">
        <f>'Sampling Data'!C440</f>
        <v>295</v>
      </c>
      <c r="E440" s="18">
        <f>'Sampling Data'!D440</f>
        <v>0</v>
      </c>
      <c r="F440" s="18">
        <f>'Sampling Data'!E440</f>
        <v>0</v>
      </c>
      <c r="G440" s="18">
        <f>'Sampling Data'!F440</f>
        <v>0</v>
      </c>
      <c r="H440" s="18">
        <f>'Sampling Data'!G440</f>
        <v>0</v>
      </c>
      <c r="I440" s="18">
        <f>'Sampling Data'!H440</f>
        <v>0</v>
      </c>
      <c r="J440" s="18">
        <f>'Sampling Data'!I440</f>
        <v>0</v>
      </c>
      <c r="K440" s="18">
        <f>'Sampling Data'!J440</f>
        <v>0</v>
      </c>
      <c r="L440" s="18">
        <f>'Sampling Data'!K440</f>
        <v>0</v>
      </c>
      <c r="M440" s="18">
        <f>'Sampling Data'!L440</f>
        <v>0</v>
      </c>
      <c r="N440" s="18">
        <f>'Sampling Data'!M440</f>
        <v>0</v>
      </c>
      <c r="O440" s="17">
        <f>'Sampling Data'!N440</f>
        <v>1</v>
      </c>
      <c r="P440" s="17">
        <f>'Sampling Data'!O440</f>
        <v>18</v>
      </c>
      <c r="Q440" s="17">
        <f>'Sampling Data'!P440</f>
        <v>444</v>
      </c>
      <c r="R440" s="17">
        <f>'Sampling Data'!AJ440</f>
        <v>0</v>
      </c>
      <c r="S440" s="111"/>
      <c r="T440" s="111"/>
      <c r="U440" s="112"/>
      <c r="V440" s="112"/>
      <c r="W440" s="111"/>
      <c r="X440" s="111"/>
      <c r="Y440" s="111"/>
      <c r="Z440" s="111"/>
      <c r="AA440" s="14"/>
      <c r="AB440" s="14"/>
      <c r="AC440" s="14"/>
      <c r="AD440" s="14"/>
      <c r="AE440" s="113" t="str">
        <f>IF(NOT(ISBLANK(Audit[[#This Row],[Audit Winning Candidate]])), Audit[[#This Row],[Audit Winning Candidate]]-Audit[[#This Row],[Winning Candidate]], "")</f>
        <v/>
      </c>
      <c r="AF440" s="17" t="str">
        <f>IF(NOT(ISBLANK(Audit[[#This Row],[Audit Losing Candidate]])), Audit[[#This Row],[Audit Losing Candidate]]-Audit[[#This Row],[Losing Candidate]], "")</f>
        <v/>
      </c>
      <c r="AG440" s="17" t="str">
        <f>IF(NOT(ISBLANK(Audit[[#This Row],[Audit Candidate 3]])), Audit[[#This Row],[Audit Candidate 3]]-Audit[[#This Row],[Candidate 3]], "")</f>
        <v/>
      </c>
      <c r="AH440" s="17" t="str">
        <f>IF(NOT(ISBLANK(Audit[[#This Row],[Audit Candidate 4]])),Audit[[#This Row],[Audit Candidate 4]]-Audit[[#This Row],[Candidate 4]], "")</f>
        <v/>
      </c>
      <c r="AI440" s="17" t="str">
        <f>IF(NOT(ISBLANK(Audit[[#This Row],[Audit Candidate 5]])), Audit[[#This Row],[Audit Candidate 5]]-Audit[[#This Row],[Candidate 5]], "")</f>
        <v/>
      </c>
      <c r="AJ440" s="17" t="str">
        <f>IF(NOT(ISBLANK(Audit[[#This Row],[Audit Candidate 6]])), Audit[[#This Row],[Audit Candidate 6]]-Audit[[#This Row],[Candidate 6]], "")</f>
        <v/>
      </c>
      <c r="AK440" s="17" t="str">
        <f>IF(NOT(ISBLANK(Audit[[#This Row],[Audit Candidate 7]])), Audit[[#This Row],[Audit Candidate 7]]-Audit[[#This Row],[Candidate 7]], "")</f>
        <v/>
      </c>
      <c r="AL440" s="17" t="str">
        <f>IF(NOT(ISBLANK(Audit[[#This Row],[Audit Candidate 8]])), Audit[[#This Row],[Audit Candidate 8]]-Audit[[#This Row],[Candidate 8]], "")</f>
        <v/>
      </c>
      <c r="AM440" s="17" t="str">
        <f>IF(NOT(ISBLANK(Audit[[#This Row],[Audit Candidate 9]])), Audit[[#This Row],[Audit Candidate 9]]-Audit[[#This Row],[Candidate 9]], "")</f>
        <v/>
      </c>
      <c r="AN440" s="17" t="str">
        <f>IF(NOT(ISBLANK(Audit[[#This Row],[Audit Candidate 10]])), Audit[[#This Row],[Audit Candidate 10]]-Audit[[#This Row],[Candidate 10]], "")</f>
        <v/>
      </c>
      <c r="AO440" s="17" t="str">
        <f>IF(NOT(ISBLANK(Audit[[#This Row],[Audit Candidate 11]])), Audit[[#This Row],[Audit Candidate 11]]-Audit[[#This Row],[Candidate 11]], "")</f>
        <v/>
      </c>
      <c r="AP440" s="17" t="str">
        <f>IF(NOT(ISBLANK(Audit[[#This Row],[Audit Candidate 12]])), Audit[[#This Row],[Audit Candidate 12]]-Audit[[#This Row],[Candidate 12]], "")</f>
        <v/>
      </c>
      <c r="AQ440" s="17">
        <f>SUMIF(Audit[[#This Row],[Difference Winner]:[Difference Candidate 12]], "&gt;0")</f>
        <v>0</v>
      </c>
      <c r="AR440" s="17">
        <f>SUM(Audit[[#This Row],[Difference Winner]:[Difference Candidate 12]])</f>
        <v>0</v>
      </c>
      <c r="AS440" s="17">
        <f>IF(Audit[[#This Row],[Times p Drawn - With Replacement]]&gt;0, IF(Audit[[#This Row],[Canceled Differences]]&lt;0, Audit[[#This Row],[Max Differences]]+ABS(Audit[[#This Row],[Canceled Differences]]), Audit[[#This Row],[Max Differences]]), 0)</f>
        <v>0</v>
      </c>
      <c r="AT440" s="17">
        <f>'Sampling Data'!AB440</f>
        <v>1.1840095060261416E-2</v>
      </c>
      <c r="AU440" s="17">
        <f>IF(
      SUM(Audit[[#This Row],[Audit Losing Candidate]:[Audit Candidate 12]])
      &lt;&gt;0,
      (Audit[[#This Row],[Winning Candidate]]-Audit[[#This Row],[Losing Candidate]]-(Audit[[#This Row],[Audit Winning Candidate]]-Audit[[#This Row],[Audit Losing Candidate]]))/(Audit[[#Totals],[Winning Candidate]]-Audit[[#Totals],[Losing Candidate]]),
      0
)</f>
        <v>0</v>
      </c>
      <c r="AV4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0" s="17">
        <f>IF(Audit[[#This Row],[Max Relative Error (ep)]] = 0, 0, Audit[[#This Row],[Max Relative Error (ep)]]/Audit[[#This Row],[Error Bound (up) - Max. possible relative overstatement]])</f>
        <v>0</v>
      </c>
      <c r="BH4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40" s="17">
        <f t="shared" si="7"/>
        <v>1</v>
      </c>
      <c r="BJ440" s="17">
        <f>PRODUCT($BI$5:BI440)</f>
        <v>0.46283459046185416</v>
      </c>
      <c r="BK440" s="19">
        <f>1 - Audit[[#This Row],[K-M P Value]]</f>
        <v>0.53716540953814584</v>
      </c>
      <c r="BL440" s="17" t="str">
        <f>IF(Audit[[#This Row],[K-M P Value]]&gt;1-'General Info'!$B$12,"Continue", "Stop")</f>
        <v>Continue</v>
      </c>
      <c r="BM440" s="22" t="b">
        <f>IF(Audit[[#This Row],[Status - Continue or stop audit]] = "Continue", TRUE, IF(BL439 = "Continue", TRUE, FALSE))</f>
        <v>1</v>
      </c>
      <c r="BN440" s="22"/>
    </row>
    <row r="441" spans="1:66" ht="15" hidden="1" customHeight="1" x14ac:dyDescent="0.35">
      <c r="A441" s="17" t="str">
        <f>'Sampling Data'!AI441</f>
        <v/>
      </c>
      <c r="B441" s="17" t="str">
        <f>'Sampling Data'!A441</f>
        <v>7312 GREEN L   (AV)</v>
      </c>
      <c r="C441" s="17">
        <f>'Sampling Data'!B441</f>
        <v>114</v>
      </c>
      <c r="D441" s="17">
        <f>'Sampling Data'!C441</f>
        <v>273</v>
      </c>
      <c r="E441" s="18">
        <f>'Sampling Data'!D441</f>
        <v>0</v>
      </c>
      <c r="F441" s="18">
        <f>'Sampling Data'!E441</f>
        <v>0</v>
      </c>
      <c r="G441" s="18">
        <f>'Sampling Data'!F441</f>
        <v>0</v>
      </c>
      <c r="H441" s="18">
        <f>'Sampling Data'!G441</f>
        <v>0</v>
      </c>
      <c r="I441" s="18">
        <f>'Sampling Data'!H441</f>
        <v>0</v>
      </c>
      <c r="J441" s="18">
        <f>'Sampling Data'!I441</f>
        <v>0</v>
      </c>
      <c r="K441" s="18">
        <f>'Sampling Data'!J441</f>
        <v>0</v>
      </c>
      <c r="L441" s="18">
        <f>'Sampling Data'!K441</f>
        <v>0</v>
      </c>
      <c r="M441" s="18">
        <f>'Sampling Data'!L441</f>
        <v>0</v>
      </c>
      <c r="N441" s="18">
        <f>'Sampling Data'!M441</f>
        <v>0</v>
      </c>
      <c r="O441" s="17">
        <f>'Sampling Data'!N441</f>
        <v>0</v>
      </c>
      <c r="P441" s="17">
        <f>'Sampling Data'!O441</f>
        <v>19</v>
      </c>
      <c r="Q441" s="17">
        <f>'Sampling Data'!P441</f>
        <v>406</v>
      </c>
      <c r="R441" s="17">
        <f>'Sampling Data'!AJ441</f>
        <v>0</v>
      </c>
      <c r="S441" s="111"/>
      <c r="T441" s="111"/>
      <c r="U441" s="112"/>
      <c r="V441" s="112"/>
      <c r="W441" s="111"/>
      <c r="X441" s="111"/>
      <c r="Y441" s="111"/>
      <c r="Z441" s="111"/>
      <c r="AA441" s="14"/>
      <c r="AB441" s="14"/>
      <c r="AC441" s="14"/>
      <c r="AD441" s="14"/>
      <c r="AE441" s="113" t="str">
        <f>IF(NOT(ISBLANK(Audit[[#This Row],[Audit Winning Candidate]])), Audit[[#This Row],[Audit Winning Candidate]]-Audit[[#This Row],[Winning Candidate]], "")</f>
        <v/>
      </c>
      <c r="AF441" s="17" t="str">
        <f>IF(NOT(ISBLANK(Audit[[#This Row],[Audit Losing Candidate]])), Audit[[#This Row],[Audit Losing Candidate]]-Audit[[#This Row],[Losing Candidate]], "")</f>
        <v/>
      </c>
      <c r="AG441" s="17" t="str">
        <f>IF(NOT(ISBLANK(Audit[[#This Row],[Audit Candidate 3]])), Audit[[#This Row],[Audit Candidate 3]]-Audit[[#This Row],[Candidate 3]], "")</f>
        <v/>
      </c>
      <c r="AH441" s="17" t="str">
        <f>IF(NOT(ISBLANK(Audit[[#This Row],[Audit Candidate 4]])),Audit[[#This Row],[Audit Candidate 4]]-Audit[[#This Row],[Candidate 4]], "")</f>
        <v/>
      </c>
      <c r="AI441" s="17" t="str">
        <f>IF(NOT(ISBLANK(Audit[[#This Row],[Audit Candidate 5]])), Audit[[#This Row],[Audit Candidate 5]]-Audit[[#This Row],[Candidate 5]], "")</f>
        <v/>
      </c>
      <c r="AJ441" s="17" t="str">
        <f>IF(NOT(ISBLANK(Audit[[#This Row],[Audit Candidate 6]])), Audit[[#This Row],[Audit Candidate 6]]-Audit[[#This Row],[Candidate 6]], "")</f>
        <v/>
      </c>
      <c r="AK441" s="17" t="str">
        <f>IF(NOT(ISBLANK(Audit[[#This Row],[Audit Candidate 7]])), Audit[[#This Row],[Audit Candidate 7]]-Audit[[#This Row],[Candidate 7]], "")</f>
        <v/>
      </c>
      <c r="AL441" s="17" t="str">
        <f>IF(NOT(ISBLANK(Audit[[#This Row],[Audit Candidate 8]])), Audit[[#This Row],[Audit Candidate 8]]-Audit[[#This Row],[Candidate 8]], "")</f>
        <v/>
      </c>
      <c r="AM441" s="17" t="str">
        <f>IF(NOT(ISBLANK(Audit[[#This Row],[Audit Candidate 9]])), Audit[[#This Row],[Audit Candidate 9]]-Audit[[#This Row],[Candidate 9]], "")</f>
        <v/>
      </c>
      <c r="AN441" s="17" t="str">
        <f>IF(NOT(ISBLANK(Audit[[#This Row],[Audit Candidate 10]])), Audit[[#This Row],[Audit Candidate 10]]-Audit[[#This Row],[Candidate 10]], "")</f>
        <v/>
      </c>
      <c r="AO441" s="17" t="str">
        <f>IF(NOT(ISBLANK(Audit[[#This Row],[Audit Candidate 11]])), Audit[[#This Row],[Audit Candidate 11]]-Audit[[#This Row],[Candidate 11]], "")</f>
        <v/>
      </c>
      <c r="AP441" s="17" t="str">
        <f>IF(NOT(ISBLANK(Audit[[#This Row],[Audit Candidate 12]])), Audit[[#This Row],[Audit Candidate 12]]-Audit[[#This Row],[Candidate 12]], "")</f>
        <v/>
      </c>
      <c r="AQ441" s="17">
        <f>SUMIF(Audit[[#This Row],[Difference Winner]:[Difference Candidate 12]], "&gt;0")</f>
        <v>0</v>
      </c>
      <c r="AR441" s="17">
        <f>SUM(Audit[[#This Row],[Difference Winner]:[Difference Candidate 12]])</f>
        <v>0</v>
      </c>
      <c r="AS441" s="17">
        <f>IF(Audit[[#This Row],[Times p Drawn - With Replacement]]&gt;0, IF(Audit[[#This Row],[Canceled Differences]]&lt;0, Audit[[#This Row],[Max Differences]]+ABS(Audit[[#This Row],[Canceled Differences]]), Audit[[#This Row],[Max Differences]]), 0)</f>
        <v>0</v>
      </c>
      <c r="AT441" s="17">
        <f>'Sampling Data'!AB441</f>
        <v>1.0482091325751145E-2</v>
      </c>
      <c r="AU441" s="17">
        <f>IF(
      SUM(Audit[[#This Row],[Audit Losing Candidate]:[Audit Candidate 12]])
      &lt;&gt;0,
      (Audit[[#This Row],[Winning Candidate]]-Audit[[#This Row],[Losing Candidate]]-(Audit[[#This Row],[Audit Winning Candidate]]-Audit[[#This Row],[Audit Losing Candidate]]))/(Audit[[#Totals],[Winning Candidate]]-Audit[[#Totals],[Losing Candidate]]),
      0
)</f>
        <v>0</v>
      </c>
      <c r="AV4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1" s="17">
        <f>IF(Audit[[#This Row],[Max Relative Error (ep)]] = 0, 0, Audit[[#This Row],[Max Relative Error (ep)]]/Audit[[#This Row],[Error Bound (up) - Max. possible relative overstatement]])</f>
        <v>0</v>
      </c>
      <c r="BH4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41" s="17">
        <f t="shared" si="7"/>
        <v>1</v>
      </c>
      <c r="BJ441" s="17">
        <f>PRODUCT($BI$5:BI441)</f>
        <v>0.46283459046185416</v>
      </c>
      <c r="BK441" s="19">
        <f>1 - Audit[[#This Row],[K-M P Value]]</f>
        <v>0.53716540953814584</v>
      </c>
      <c r="BL441" s="17" t="str">
        <f>IF(Audit[[#This Row],[K-M P Value]]&gt;1-'General Info'!$B$12,"Continue", "Stop")</f>
        <v>Continue</v>
      </c>
      <c r="BM441" s="22" t="b">
        <f>IF(Audit[[#This Row],[Status - Continue or stop audit]] = "Continue", TRUE, IF(BL440 = "Continue", TRUE, FALSE))</f>
        <v>1</v>
      </c>
      <c r="BN441" s="22"/>
    </row>
    <row r="442" spans="1:66" ht="15" hidden="1" customHeight="1" x14ac:dyDescent="0.35">
      <c r="A442" s="17" t="str">
        <f>'Sampling Data'!AI442</f>
        <v/>
      </c>
      <c r="B442" s="17" t="str">
        <f>'Sampling Data'!A442</f>
        <v>7313 GREEN M   (AV)</v>
      </c>
      <c r="C442" s="17">
        <f>'Sampling Data'!B442</f>
        <v>46</v>
      </c>
      <c r="D442" s="17">
        <f>'Sampling Data'!C442</f>
        <v>160</v>
      </c>
      <c r="E442" s="18">
        <f>'Sampling Data'!D442</f>
        <v>0</v>
      </c>
      <c r="F442" s="18">
        <f>'Sampling Data'!E442</f>
        <v>0</v>
      </c>
      <c r="G442" s="18">
        <f>'Sampling Data'!F442</f>
        <v>0</v>
      </c>
      <c r="H442" s="18">
        <f>'Sampling Data'!G442</f>
        <v>0</v>
      </c>
      <c r="I442" s="18">
        <f>'Sampling Data'!H442</f>
        <v>0</v>
      </c>
      <c r="J442" s="18">
        <f>'Sampling Data'!I442</f>
        <v>0</v>
      </c>
      <c r="K442" s="18">
        <f>'Sampling Data'!J442</f>
        <v>0</v>
      </c>
      <c r="L442" s="18">
        <f>'Sampling Data'!K442</f>
        <v>0</v>
      </c>
      <c r="M442" s="18">
        <f>'Sampling Data'!L442</f>
        <v>0</v>
      </c>
      <c r="N442" s="18">
        <f>'Sampling Data'!M442</f>
        <v>0</v>
      </c>
      <c r="O442" s="17">
        <f>'Sampling Data'!N442</f>
        <v>0</v>
      </c>
      <c r="P442" s="17">
        <f>'Sampling Data'!O442</f>
        <v>8</v>
      </c>
      <c r="Q442" s="17">
        <f>'Sampling Data'!P442</f>
        <v>214</v>
      </c>
      <c r="R442" s="17">
        <f>'Sampling Data'!AJ442</f>
        <v>0</v>
      </c>
      <c r="S442" s="111"/>
      <c r="T442" s="111"/>
      <c r="U442" s="112"/>
      <c r="V442" s="112"/>
      <c r="W442" s="111"/>
      <c r="X442" s="111"/>
      <c r="Y442" s="111"/>
      <c r="Z442" s="111"/>
      <c r="AA442" s="14"/>
      <c r="AB442" s="14"/>
      <c r="AC442" s="14"/>
      <c r="AD442" s="14"/>
      <c r="AE442" s="113" t="str">
        <f>IF(NOT(ISBLANK(Audit[[#This Row],[Audit Winning Candidate]])), Audit[[#This Row],[Audit Winning Candidate]]-Audit[[#This Row],[Winning Candidate]], "")</f>
        <v/>
      </c>
      <c r="AF442" s="17" t="str">
        <f>IF(NOT(ISBLANK(Audit[[#This Row],[Audit Losing Candidate]])), Audit[[#This Row],[Audit Losing Candidate]]-Audit[[#This Row],[Losing Candidate]], "")</f>
        <v/>
      </c>
      <c r="AG442" s="17" t="str">
        <f>IF(NOT(ISBLANK(Audit[[#This Row],[Audit Candidate 3]])), Audit[[#This Row],[Audit Candidate 3]]-Audit[[#This Row],[Candidate 3]], "")</f>
        <v/>
      </c>
      <c r="AH442" s="17" t="str">
        <f>IF(NOT(ISBLANK(Audit[[#This Row],[Audit Candidate 4]])),Audit[[#This Row],[Audit Candidate 4]]-Audit[[#This Row],[Candidate 4]], "")</f>
        <v/>
      </c>
      <c r="AI442" s="17" t="str">
        <f>IF(NOT(ISBLANK(Audit[[#This Row],[Audit Candidate 5]])), Audit[[#This Row],[Audit Candidate 5]]-Audit[[#This Row],[Candidate 5]], "")</f>
        <v/>
      </c>
      <c r="AJ442" s="17" t="str">
        <f>IF(NOT(ISBLANK(Audit[[#This Row],[Audit Candidate 6]])), Audit[[#This Row],[Audit Candidate 6]]-Audit[[#This Row],[Candidate 6]], "")</f>
        <v/>
      </c>
      <c r="AK442" s="17" t="str">
        <f>IF(NOT(ISBLANK(Audit[[#This Row],[Audit Candidate 7]])), Audit[[#This Row],[Audit Candidate 7]]-Audit[[#This Row],[Candidate 7]], "")</f>
        <v/>
      </c>
      <c r="AL442" s="17" t="str">
        <f>IF(NOT(ISBLANK(Audit[[#This Row],[Audit Candidate 8]])), Audit[[#This Row],[Audit Candidate 8]]-Audit[[#This Row],[Candidate 8]], "")</f>
        <v/>
      </c>
      <c r="AM442" s="17" t="str">
        <f>IF(NOT(ISBLANK(Audit[[#This Row],[Audit Candidate 9]])), Audit[[#This Row],[Audit Candidate 9]]-Audit[[#This Row],[Candidate 9]], "")</f>
        <v/>
      </c>
      <c r="AN442" s="17" t="str">
        <f>IF(NOT(ISBLANK(Audit[[#This Row],[Audit Candidate 10]])), Audit[[#This Row],[Audit Candidate 10]]-Audit[[#This Row],[Candidate 10]], "")</f>
        <v/>
      </c>
      <c r="AO442" s="17" t="str">
        <f>IF(NOT(ISBLANK(Audit[[#This Row],[Audit Candidate 11]])), Audit[[#This Row],[Audit Candidate 11]]-Audit[[#This Row],[Candidate 11]], "")</f>
        <v/>
      </c>
      <c r="AP442" s="17" t="str">
        <f>IF(NOT(ISBLANK(Audit[[#This Row],[Audit Candidate 12]])), Audit[[#This Row],[Audit Candidate 12]]-Audit[[#This Row],[Candidate 12]], "")</f>
        <v/>
      </c>
      <c r="AQ442" s="17">
        <f>SUMIF(Audit[[#This Row],[Difference Winner]:[Difference Candidate 12]], "&gt;0")</f>
        <v>0</v>
      </c>
      <c r="AR442" s="17">
        <f>SUM(Audit[[#This Row],[Difference Winner]:[Difference Candidate 12]])</f>
        <v>0</v>
      </c>
      <c r="AS442" s="17">
        <f>IF(Audit[[#This Row],[Times p Drawn - With Replacement]]&gt;0, IF(Audit[[#This Row],[Canceled Differences]]&lt;0, Audit[[#This Row],[Max Differences]]+ABS(Audit[[#This Row],[Canceled Differences]]), Audit[[#This Row],[Max Differences]]), 0)</f>
        <v>0</v>
      </c>
      <c r="AT442" s="17">
        <f>'Sampling Data'!AB442</f>
        <v>4.2437616703445936E-3</v>
      </c>
      <c r="AU442" s="17">
        <f>IF(
      SUM(Audit[[#This Row],[Audit Losing Candidate]:[Audit Candidate 12]])
      &lt;&gt;0,
      (Audit[[#This Row],[Winning Candidate]]-Audit[[#This Row],[Losing Candidate]]-(Audit[[#This Row],[Audit Winning Candidate]]-Audit[[#This Row],[Audit Losing Candidate]]))/(Audit[[#Totals],[Winning Candidate]]-Audit[[#Totals],[Losing Candidate]]),
      0
)</f>
        <v>0</v>
      </c>
      <c r="AV4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2" s="17">
        <f>IF(Audit[[#This Row],[Max Relative Error (ep)]] = 0, 0, Audit[[#This Row],[Max Relative Error (ep)]]/Audit[[#This Row],[Error Bound (up) - Max. possible relative overstatement]])</f>
        <v>0</v>
      </c>
      <c r="BH4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42" s="17">
        <f t="shared" si="7"/>
        <v>1</v>
      </c>
      <c r="BJ442" s="17">
        <f>PRODUCT($BI$5:BI442)</f>
        <v>0.46283459046185416</v>
      </c>
      <c r="BK442" s="19">
        <f>1 - Audit[[#This Row],[K-M P Value]]</f>
        <v>0.53716540953814584</v>
      </c>
      <c r="BL442" s="17" t="str">
        <f>IF(Audit[[#This Row],[K-M P Value]]&gt;1-'General Info'!$B$12,"Continue", "Stop")</f>
        <v>Continue</v>
      </c>
      <c r="BM442" s="22" t="b">
        <f>IF(Audit[[#This Row],[Status - Continue or stop audit]] = "Continue", TRUE, IF(BL441 = "Continue", TRUE, FALSE))</f>
        <v>1</v>
      </c>
      <c r="BN442" s="22"/>
    </row>
    <row r="443" spans="1:66" ht="15" hidden="1" customHeight="1" x14ac:dyDescent="0.35">
      <c r="A443" s="17" t="str">
        <f>'Sampling Data'!AI443</f>
        <v/>
      </c>
      <c r="B443" s="17" t="str">
        <f>'Sampling Data'!A443</f>
        <v>7314 GREEN N   (AV)</v>
      </c>
      <c r="C443" s="17">
        <f>'Sampling Data'!B443</f>
        <v>76</v>
      </c>
      <c r="D443" s="17">
        <f>'Sampling Data'!C443</f>
        <v>166</v>
      </c>
      <c r="E443" s="18">
        <f>'Sampling Data'!D443</f>
        <v>0</v>
      </c>
      <c r="F443" s="18">
        <f>'Sampling Data'!E443</f>
        <v>0</v>
      </c>
      <c r="G443" s="18">
        <f>'Sampling Data'!F443</f>
        <v>0</v>
      </c>
      <c r="H443" s="18">
        <f>'Sampling Data'!G443</f>
        <v>0</v>
      </c>
      <c r="I443" s="18">
        <f>'Sampling Data'!H443</f>
        <v>0</v>
      </c>
      <c r="J443" s="18">
        <f>'Sampling Data'!I443</f>
        <v>0</v>
      </c>
      <c r="K443" s="18">
        <f>'Sampling Data'!J443</f>
        <v>0</v>
      </c>
      <c r="L443" s="18">
        <f>'Sampling Data'!K443</f>
        <v>0</v>
      </c>
      <c r="M443" s="18">
        <f>'Sampling Data'!L443</f>
        <v>0</v>
      </c>
      <c r="N443" s="18">
        <f>'Sampling Data'!M443</f>
        <v>0</v>
      </c>
      <c r="O443" s="17">
        <f>'Sampling Data'!N443</f>
        <v>1</v>
      </c>
      <c r="P443" s="17">
        <f>'Sampling Data'!O443</f>
        <v>12</v>
      </c>
      <c r="Q443" s="17">
        <f>'Sampling Data'!P443</f>
        <v>255</v>
      </c>
      <c r="R443" s="17">
        <f>'Sampling Data'!AJ443</f>
        <v>0</v>
      </c>
      <c r="S443" s="111"/>
      <c r="T443" s="111"/>
      <c r="U443" s="112"/>
      <c r="V443" s="112"/>
      <c r="W443" s="111"/>
      <c r="X443" s="111"/>
      <c r="Y443" s="111"/>
      <c r="Z443" s="111"/>
      <c r="AA443" s="14"/>
      <c r="AB443" s="14"/>
      <c r="AC443" s="14"/>
      <c r="AD443" s="14"/>
      <c r="AE443" s="113" t="str">
        <f>IF(NOT(ISBLANK(Audit[[#This Row],[Audit Winning Candidate]])), Audit[[#This Row],[Audit Winning Candidate]]-Audit[[#This Row],[Winning Candidate]], "")</f>
        <v/>
      </c>
      <c r="AF443" s="17" t="str">
        <f>IF(NOT(ISBLANK(Audit[[#This Row],[Audit Losing Candidate]])), Audit[[#This Row],[Audit Losing Candidate]]-Audit[[#This Row],[Losing Candidate]], "")</f>
        <v/>
      </c>
      <c r="AG443" s="17" t="str">
        <f>IF(NOT(ISBLANK(Audit[[#This Row],[Audit Candidate 3]])), Audit[[#This Row],[Audit Candidate 3]]-Audit[[#This Row],[Candidate 3]], "")</f>
        <v/>
      </c>
      <c r="AH443" s="17" t="str">
        <f>IF(NOT(ISBLANK(Audit[[#This Row],[Audit Candidate 4]])),Audit[[#This Row],[Audit Candidate 4]]-Audit[[#This Row],[Candidate 4]], "")</f>
        <v/>
      </c>
      <c r="AI443" s="17" t="str">
        <f>IF(NOT(ISBLANK(Audit[[#This Row],[Audit Candidate 5]])), Audit[[#This Row],[Audit Candidate 5]]-Audit[[#This Row],[Candidate 5]], "")</f>
        <v/>
      </c>
      <c r="AJ443" s="17" t="str">
        <f>IF(NOT(ISBLANK(Audit[[#This Row],[Audit Candidate 6]])), Audit[[#This Row],[Audit Candidate 6]]-Audit[[#This Row],[Candidate 6]], "")</f>
        <v/>
      </c>
      <c r="AK443" s="17" t="str">
        <f>IF(NOT(ISBLANK(Audit[[#This Row],[Audit Candidate 7]])), Audit[[#This Row],[Audit Candidate 7]]-Audit[[#This Row],[Candidate 7]], "")</f>
        <v/>
      </c>
      <c r="AL443" s="17" t="str">
        <f>IF(NOT(ISBLANK(Audit[[#This Row],[Audit Candidate 8]])), Audit[[#This Row],[Audit Candidate 8]]-Audit[[#This Row],[Candidate 8]], "")</f>
        <v/>
      </c>
      <c r="AM443" s="17" t="str">
        <f>IF(NOT(ISBLANK(Audit[[#This Row],[Audit Candidate 9]])), Audit[[#This Row],[Audit Candidate 9]]-Audit[[#This Row],[Candidate 9]], "")</f>
        <v/>
      </c>
      <c r="AN443" s="17" t="str">
        <f>IF(NOT(ISBLANK(Audit[[#This Row],[Audit Candidate 10]])), Audit[[#This Row],[Audit Candidate 10]]-Audit[[#This Row],[Candidate 10]], "")</f>
        <v/>
      </c>
      <c r="AO443" s="17" t="str">
        <f>IF(NOT(ISBLANK(Audit[[#This Row],[Audit Candidate 11]])), Audit[[#This Row],[Audit Candidate 11]]-Audit[[#This Row],[Candidate 11]], "")</f>
        <v/>
      </c>
      <c r="AP443" s="17" t="str">
        <f>IF(NOT(ISBLANK(Audit[[#This Row],[Audit Candidate 12]])), Audit[[#This Row],[Audit Candidate 12]]-Audit[[#This Row],[Candidate 12]], "")</f>
        <v/>
      </c>
      <c r="AQ443" s="17">
        <f>SUMIF(Audit[[#This Row],[Difference Winner]:[Difference Candidate 12]], "&gt;0")</f>
        <v>0</v>
      </c>
      <c r="AR443" s="17">
        <f>SUM(Audit[[#This Row],[Difference Winner]:[Difference Candidate 12]])</f>
        <v>0</v>
      </c>
      <c r="AS443" s="17">
        <f>IF(Audit[[#This Row],[Times p Drawn - With Replacement]]&gt;0, IF(Audit[[#This Row],[Canceled Differences]]&lt;0, Audit[[#This Row],[Max Differences]]+ABS(Audit[[#This Row],[Canceled Differences]]), Audit[[#This Row],[Max Differences]]), 0)</f>
        <v>0</v>
      </c>
      <c r="AT443" s="17">
        <f>'Sampling Data'!AB443</f>
        <v>7.0022067560685788E-3</v>
      </c>
      <c r="AU443" s="17">
        <f>IF(
      SUM(Audit[[#This Row],[Audit Losing Candidate]:[Audit Candidate 12]])
      &lt;&gt;0,
      (Audit[[#This Row],[Winning Candidate]]-Audit[[#This Row],[Losing Candidate]]-(Audit[[#This Row],[Audit Winning Candidate]]-Audit[[#This Row],[Audit Losing Candidate]]))/(Audit[[#Totals],[Winning Candidate]]-Audit[[#Totals],[Losing Candidate]]),
      0
)</f>
        <v>0</v>
      </c>
      <c r="AV4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3" s="17">
        <f>IF(Audit[[#This Row],[Max Relative Error (ep)]] = 0, 0, Audit[[#This Row],[Max Relative Error (ep)]]/Audit[[#This Row],[Error Bound (up) - Max. possible relative overstatement]])</f>
        <v>0</v>
      </c>
      <c r="BH4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43" s="17">
        <f t="shared" si="7"/>
        <v>1</v>
      </c>
      <c r="BJ443" s="17">
        <f>PRODUCT($BI$5:BI443)</f>
        <v>0.46283459046185416</v>
      </c>
      <c r="BK443" s="19">
        <f>1 - Audit[[#This Row],[K-M P Value]]</f>
        <v>0.53716540953814584</v>
      </c>
      <c r="BL443" s="17" t="str">
        <f>IF(Audit[[#This Row],[K-M P Value]]&gt;1-'General Info'!$B$12,"Continue", "Stop")</f>
        <v>Continue</v>
      </c>
      <c r="BM443" s="22" t="b">
        <f>IF(Audit[[#This Row],[Status - Continue or stop audit]] = "Continue", TRUE, IF(BL442 = "Continue", TRUE, FALSE))</f>
        <v>1</v>
      </c>
      <c r="BN443" s="22"/>
    </row>
    <row r="444" spans="1:66" ht="15" hidden="1" customHeight="1" x14ac:dyDescent="0.35">
      <c r="A444" s="17" t="str">
        <f>'Sampling Data'!AI444</f>
        <v/>
      </c>
      <c r="B444" s="17" t="str">
        <f>'Sampling Data'!A444</f>
        <v>7315 GREEN O   (AV)</v>
      </c>
      <c r="C444" s="17">
        <f>'Sampling Data'!B444</f>
        <v>175</v>
      </c>
      <c r="D444" s="17">
        <f>'Sampling Data'!C444</f>
        <v>145</v>
      </c>
      <c r="E444" s="18">
        <f>'Sampling Data'!D444</f>
        <v>0</v>
      </c>
      <c r="F444" s="18">
        <f>'Sampling Data'!E444</f>
        <v>0</v>
      </c>
      <c r="G444" s="18">
        <f>'Sampling Data'!F444</f>
        <v>0</v>
      </c>
      <c r="H444" s="18">
        <f>'Sampling Data'!G444</f>
        <v>0</v>
      </c>
      <c r="I444" s="18">
        <f>'Sampling Data'!H444</f>
        <v>0</v>
      </c>
      <c r="J444" s="18">
        <f>'Sampling Data'!I444</f>
        <v>0</v>
      </c>
      <c r="K444" s="18">
        <f>'Sampling Data'!J444</f>
        <v>0</v>
      </c>
      <c r="L444" s="18">
        <f>'Sampling Data'!K444</f>
        <v>0</v>
      </c>
      <c r="M444" s="18">
        <f>'Sampling Data'!L444</f>
        <v>0</v>
      </c>
      <c r="N444" s="18">
        <f>'Sampling Data'!M444</f>
        <v>0</v>
      </c>
      <c r="O444" s="17">
        <f>'Sampling Data'!N444</f>
        <v>1</v>
      </c>
      <c r="P444" s="17">
        <f>'Sampling Data'!O444</f>
        <v>13</v>
      </c>
      <c r="Q444" s="17">
        <f>'Sampling Data'!P444</f>
        <v>334</v>
      </c>
      <c r="R444" s="17">
        <f>'Sampling Data'!AJ444</f>
        <v>0</v>
      </c>
      <c r="S444" s="111"/>
      <c r="T444" s="111"/>
      <c r="U444" s="112"/>
      <c r="V444" s="112"/>
      <c r="W444" s="111"/>
      <c r="X444" s="111"/>
      <c r="Y444" s="111"/>
      <c r="Z444" s="111"/>
      <c r="AA444" s="14"/>
      <c r="AB444" s="14"/>
      <c r="AC444" s="14"/>
      <c r="AD444" s="14"/>
      <c r="AE444" s="113" t="str">
        <f>IF(NOT(ISBLANK(Audit[[#This Row],[Audit Winning Candidate]])), Audit[[#This Row],[Audit Winning Candidate]]-Audit[[#This Row],[Winning Candidate]], "")</f>
        <v/>
      </c>
      <c r="AF444" s="17" t="str">
        <f>IF(NOT(ISBLANK(Audit[[#This Row],[Audit Losing Candidate]])), Audit[[#This Row],[Audit Losing Candidate]]-Audit[[#This Row],[Losing Candidate]], "")</f>
        <v/>
      </c>
      <c r="AG444" s="17" t="str">
        <f>IF(NOT(ISBLANK(Audit[[#This Row],[Audit Candidate 3]])), Audit[[#This Row],[Audit Candidate 3]]-Audit[[#This Row],[Candidate 3]], "")</f>
        <v/>
      </c>
      <c r="AH444" s="17" t="str">
        <f>IF(NOT(ISBLANK(Audit[[#This Row],[Audit Candidate 4]])),Audit[[#This Row],[Audit Candidate 4]]-Audit[[#This Row],[Candidate 4]], "")</f>
        <v/>
      </c>
      <c r="AI444" s="17" t="str">
        <f>IF(NOT(ISBLANK(Audit[[#This Row],[Audit Candidate 5]])), Audit[[#This Row],[Audit Candidate 5]]-Audit[[#This Row],[Candidate 5]], "")</f>
        <v/>
      </c>
      <c r="AJ444" s="17" t="str">
        <f>IF(NOT(ISBLANK(Audit[[#This Row],[Audit Candidate 6]])), Audit[[#This Row],[Audit Candidate 6]]-Audit[[#This Row],[Candidate 6]], "")</f>
        <v/>
      </c>
      <c r="AK444" s="17" t="str">
        <f>IF(NOT(ISBLANK(Audit[[#This Row],[Audit Candidate 7]])), Audit[[#This Row],[Audit Candidate 7]]-Audit[[#This Row],[Candidate 7]], "")</f>
        <v/>
      </c>
      <c r="AL444" s="17" t="str">
        <f>IF(NOT(ISBLANK(Audit[[#This Row],[Audit Candidate 8]])), Audit[[#This Row],[Audit Candidate 8]]-Audit[[#This Row],[Candidate 8]], "")</f>
        <v/>
      </c>
      <c r="AM444" s="17" t="str">
        <f>IF(NOT(ISBLANK(Audit[[#This Row],[Audit Candidate 9]])), Audit[[#This Row],[Audit Candidate 9]]-Audit[[#This Row],[Candidate 9]], "")</f>
        <v/>
      </c>
      <c r="AN444" s="17" t="str">
        <f>IF(NOT(ISBLANK(Audit[[#This Row],[Audit Candidate 10]])), Audit[[#This Row],[Audit Candidate 10]]-Audit[[#This Row],[Candidate 10]], "")</f>
        <v/>
      </c>
      <c r="AO444" s="17" t="str">
        <f>IF(NOT(ISBLANK(Audit[[#This Row],[Audit Candidate 11]])), Audit[[#This Row],[Audit Candidate 11]]-Audit[[#This Row],[Candidate 11]], "")</f>
        <v/>
      </c>
      <c r="AP444" s="17" t="str">
        <f>IF(NOT(ISBLANK(Audit[[#This Row],[Audit Candidate 12]])), Audit[[#This Row],[Audit Candidate 12]]-Audit[[#This Row],[Candidate 12]], "")</f>
        <v/>
      </c>
      <c r="AQ444" s="17">
        <f>SUMIF(Audit[[#This Row],[Difference Winner]:[Difference Candidate 12]], "&gt;0")</f>
        <v>0</v>
      </c>
      <c r="AR444" s="17">
        <f>SUM(Audit[[#This Row],[Difference Winner]:[Difference Candidate 12]])</f>
        <v>0</v>
      </c>
      <c r="AS444" s="17">
        <f>IF(Audit[[#This Row],[Times p Drawn - With Replacement]]&gt;0, IF(Audit[[#This Row],[Canceled Differences]]&lt;0, Audit[[#This Row],[Max Differences]]+ABS(Audit[[#This Row],[Canceled Differences]]), Audit[[#This Row],[Max Differences]]), 0)</f>
        <v>0</v>
      </c>
      <c r="AT444" s="17">
        <f>'Sampling Data'!AB444</f>
        <v>1.5447292480054321E-2</v>
      </c>
      <c r="AU444" s="17">
        <f>IF(
      SUM(Audit[[#This Row],[Audit Losing Candidate]:[Audit Candidate 12]])
      &lt;&gt;0,
      (Audit[[#This Row],[Winning Candidate]]-Audit[[#This Row],[Losing Candidate]]-(Audit[[#This Row],[Audit Winning Candidate]]-Audit[[#This Row],[Audit Losing Candidate]]))/(Audit[[#Totals],[Winning Candidate]]-Audit[[#Totals],[Losing Candidate]]),
      0
)</f>
        <v>0</v>
      </c>
      <c r="AV4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4" s="17">
        <f>IF(Audit[[#This Row],[Max Relative Error (ep)]] = 0, 0, Audit[[#This Row],[Max Relative Error (ep)]]/Audit[[#This Row],[Error Bound (up) - Max. possible relative overstatement]])</f>
        <v>0</v>
      </c>
      <c r="BH4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44" s="17">
        <f t="shared" si="7"/>
        <v>1</v>
      </c>
      <c r="BJ444" s="17">
        <f>PRODUCT($BI$5:BI444)</f>
        <v>0.46283459046185416</v>
      </c>
      <c r="BK444" s="19">
        <f>1 - Audit[[#This Row],[K-M P Value]]</f>
        <v>0.53716540953814584</v>
      </c>
      <c r="BL444" s="17" t="str">
        <f>IF(Audit[[#This Row],[K-M P Value]]&gt;1-'General Info'!$B$12,"Continue", "Stop")</f>
        <v>Continue</v>
      </c>
      <c r="BM444" s="22" t="b">
        <f>IF(Audit[[#This Row],[Status - Continue or stop audit]] = "Continue", TRUE, IF(BL443 = "Continue", TRUE, FALSE))</f>
        <v>1</v>
      </c>
      <c r="BN444" s="22"/>
    </row>
    <row r="445" spans="1:66" ht="15" hidden="1" customHeight="1" x14ac:dyDescent="0.35">
      <c r="A445" s="17" t="str">
        <f>'Sampling Data'!AI445</f>
        <v/>
      </c>
      <c r="B445" s="17" t="str">
        <f>'Sampling Data'!A445</f>
        <v>7316 GREEN P   (AV)</v>
      </c>
      <c r="C445" s="17">
        <f>'Sampling Data'!B445</f>
        <v>78</v>
      </c>
      <c r="D445" s="17">
        <f>'Sampling Data'!C445</f>
        <v>236</v>
      </c>
      <c r="E445" s="18">
        <f>'Sampling Data'!D445</f>
        <v>0</v>
      </c>
      <c r="F445" s="18">
        <f>'Sampling Data'!E445</f>
        <v>0</v>
      </c>
      <c r="G445" s="18">
        <f>'Sampling Data'!F445</f>
        <v>0</v>
      </c>
      <c r="H445" s="18">
        <f>'Sampling Data'!G445</f>
        <v>0</v>
      </c>
      <c r="I445" s="18">
        <f>'Sampling Data'!H445</f>
        <v>0</v>
      </c>
      <c r="J445" s="18">
        <f>'Sampling Data'!I445</f>
        <v>0</v>
      </c>
      <c r="K445" s="18">
        <f>'Sampling Data'!J445</f>
        <v>0</v>
      </c>
      <c r="L445" s="18">
        <f>'Sampling Data'!K445</f>
        <v>0</v>
      </c>
      <c r="M445" s="18">
        <f>'Sampling Data'!L445</f>
        <v>0</v>
      </c>
      <c r="N445" s="18">
        <f>'Sampling Data'!M445</f>
        <v>0</v>
      </c>
      <c r="O445" s="17">
        <f>'Sampling Data'!N445</f>
        <v>0</v>
      </c>
      <c r="P445" s="17">
        <f>'Sampling Data'!O445</f>
        <v>20</v>
      </c>
      <c r="Q445" s="17">
        <f>'Sampling Data'!P445</f>
        <v>334</v>
      </c>
      <c r="R445" s="17">
        <f>'Sampling Data'!AJ445</f>
        <v>0</v>
      </c>
      <c r="S445" s="111"/>
      <c r="T445" s="111"/>
      <c r="U445" s="112"/>
      <c r="V445" s="112"/>
      <c r="W445" s="111"/>
      <c r="X445" s="111"/>
      <c r="Y445" s="111"/>
      <c r="Z445" s="111"/>
      <c r="AA445" s="14"/>
      <c r="AB445" s="14"/>
      <c r="AC445" s="14"/>
      <c r="AD445" s="14"/>
      <c r="AE445" s="113" t="str">
        <f>IF(NOT(ISBLANK(Audit[[#This Row],[Audit Winning Candidate]])), Audit[[#This Row],[Audit Winning Candidate]]-Audit[[#This Row],[Winning Candidate]], "")</f>
        <v/>
      </c>
      <c r="AF445" s="17" t="str">
        <f>IF(NOT(ISBLANK(Audit[[#This Row],[Audit Losing Candidate]])), Audit[[#This Row],[Audit Losing Candidate]]-Audit[[#This Row],[Losing Candidate]], "")</f>
        <v/>
      </c>
      <c r="AG445" s="17" t="str">
        <f>IF(NOT(ISBLANK(Audit[[#This Row],[Audit Candidate 3]])), Audit[[#This Row],[Audit Candidate 3]]-Audit[[#This Row],[Candidate 3]], "")</f>
        <v/>
      </c>
      <c r="AH445" s="17" t="str">
        <f>IF(NOT(ISBLANK(Audit[[#This Row],[Audit Candidate 4]])),Audit[[#This Row],[Audit Candidate 4]]-Audit[[#This Row],[Candidate 4]], "")</f>
        <v/>
      </c>
      <c r="AI445" s="17" t="str">
        <f>IF(NOT(ISBLANK(Audit[[#This Row],[Audit Candidate 5]])), Audit[[#This Row],[Audit Candidate 5]]-Audit[[#This Row],[Candidate 5]], "")</f>
        <v/>
      </c>
      <c r="AJ445" s="17" t="str">
        <f>IF(NOT(ISBLANK(Audit[[#This Row],[Audit Candidate 6]])), Audit[[#This Row],[Audit Candidate 6]]-Audit[[#This Row],[Candidate 6]], "")</f>
        <v/>
      </c>
      <c r="AK445" s="17" t="str">
        <f>IF(NOT(ISBLANK(Audit[[#This Row],[Audit Candidate 7]])), Audit[[#This Row],[Audit Candidate 7]]-Audit[[#This Row],[Candidate 7]], "")</f>
        <v/>
      </c>
      <c r="AL445" s="17" t="str">
        <f>IF(NOT(ISBLANK(Audit[[#This Row],[Audit Candidate 8]])), Audit[[#This Row],[Audit Candidate 8]]-Audit[[#This Row],[Candidate 8]], "")</f>
        <v/>
      </c>
      <c r="AM445" s="17" t="str">
        <f>IF(NOT(ISBLANK(Audit[[#This Row],[Audit Candidate 9]])), Audit[[#This Row],[Audit Candidate 9]]-Audit[[#This Row],[Candidate 9]], "")</f>
        <v/>
      </c>
      <c r="AN445" s="17" t="str">
        <f>IF(NOT(ISBLANK(Audit[[#This Row],[Audit Candidate 10]])), Audit[[#This Row],[Audit Candidate 10]]-Audit[[#This Row],[Candidate 10]], "")</f>
        <v/>
      </c>
      <c r="AO445" s="17" t="str">
        <f>IF(NOT(ISBLANK(Audit[[#This Row],[Audit Candidate 11]])), Audit[[#This Row],[Audit Candidate 11]]-Audit[[#This Row],[Candidate 11]], "")</f>
        <v/>
      </c>
      <c r="AP445" s="17" t="str">
        <f>IF(NOT(ISBLANK(Audit[[#This Row],[Audit Candidate 12]])), Audit[[#This Row],[Audit Candidate 12]]-Audit[[#This Row],[Candidate 12]], "")</f>
        <v/>
      </c>
      <c r="AQ445" s="17">
        <f>SUMIF(Audit[[#This Row],[Difference Winner]:[Difference Candidate 12]], "&gt;0")</f>
        <v>0</v>
      </c>
      <c r="AR445" s="17">
        <f>SUM(Audit[[#This Row],[Difference Winner]:[Difference Candidate 12]])</f>
        <v>0</v>
      </c>
      <c r="AS445" s="17">
        <f>IF(Audit[[#This Row],[Times p Drawn - With Replacement]]&gt;0, IF(Audit[[#This Row],[Canceled Differences]]&lt;0, Audit[[#This Row],[Max Differences]]+ABS(Audit[[#This Row],[Canceled Differences]]), Audit[[#This Row],[Max Differences]]), 0)</f>
        <v>0</v>
      </c>
      <c r="AT445" s="17">
        <f>'Sampling Data'!AB445</f>
        <v>7.4690205398064841E-3</v>
      </c>
      <c r="AU445" s="17">
        <f>IF(
      SUM(Audit[[#This Row],[Audit Losing Candidate]:[Audit Candidate 12]])
      &lt;&gt;0,
      (Audit[[#This Row],[Winning Candidate]]-Audit[[#This Row],[Losing Candidate]]-(Audit[[#This Row],[Audit Winning Candidate]]-Audit[[#This Row],[Audit Losing Candidate]]))/(Audit[[#Totals],[Winning Candidate]]-Audit[[#Totals],[Losing Candidate]]),
      0
)</f>
        <v>0</v>
      </c>
      <c r="AV4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5" s="17">
        <f>IF(Audit[[#This Row],[Max Relative Error (ep)]] = 0, 0, Audit[[#This Row],[Max Relative Error (ep)]]/Audit[[#This Row],[Error Bound (up) - Max. possible relative overstatement]])</f>
        <v>0</v>
      </c>
      <c r="BH4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45" s="17">
        <f t="shared" si="7"/>
        <v>1</v>
      </c>
      <c r="BJ445" s="17">
        <f>PRODUCT($BI$5:BI445)</f>
        <v>0.46283459046185416</v>
      </c>
      <c r="BK445" s="19">
        <f>1 - Audit[[#This Row],[K-M P Value]]</f>
        <v>0.53716540953814584</v>
      </c>
      <c r="BL445" s="17" t="str">
        <f>IF(Audit[[#This Row],[K-M P Value]]&gt;1-'General Info'!$B$12,"Continue", "Stop")</f>
        <v>Continue</v>
      </c>
      <c r="BM445" s="22" t="b">
        <f>IF(Audit[[#This Row],[Status - Continue or stop audit]] = "Continue", TRUE, IF(BL444 = "Continue", TRUE, FALSE))</f>
        <v>1</v>
      </c>
      <c r="BN445" s="22"/>
    </row>
    <row r="446" spans="1:66" ht="15" hidden="1" customHeight="1" x14ac:dyDescent="0.35">
      <c r="A446" s="17" t="str">
        <f>'Sampling Data'!AI446</f>
        <v/>
      </c>
      <c r="B446" s="17" t="str">
        <f>'Sampling Data'!A446</f>
        <v>7317 GREEN Q   (AV)</v>
      </c>
      <c r="C446" s="17">
        <f>'Sampling Data'!B446</f>
        <v>84</v>
      </c>
      <c r="D446" s="17">
        <f>'Sampling Data'!C446</f>
        <v>280</v>
      </c>
      <c r="E446" s="18">
        <f>'Sampling Data'!D446</f>
        <v>0</v>
      </c>
      <c r="F446" s="18">
        <f>'Sampling Data'!E446</f>
        <v>0</v>
      </c>
      <c r="G446" s="18">
        <f>'Sampling Data'!F446</f>
        <v>0</v>
      </c>
      <c r="H446" s="18">
        <f>'Sampling Data'!G446</f>
        <v>0</v>
      </c>
      <c r="I446" s="18">
        <f>'Sampling Data'!H446</f>
        <v>0</v>
      </c>
      <c r="J446" s="18">
        <f>'Sampling Data'!I446</f>
        <v>0</v>
      </c>
      <c r="K446" s="18">
        <f>'Sampling Data'!J446</f>
        <v>0</v>
      </c>
      <c r="L446" s="18">
        <f>'Sampling Data'!K446</f>
        <v>0</v>
      </c>
      <c r="M446" s="18">
        <f>'Sampling Data'!L446</f>
        <v>0</v>
      </c>
      <c r="N446" s="18">
        <f>'Sampling Data'!M446</f>
        <v>0</v>
      </c>
      <c r="O446" s="17">
        <f>'Sampling Data'!N446</f>
        <v>0</v>
      </c>
      <c r="P446" s="17">
        <f>'Sampling Data'!O446</f>
        <v>15</v>
      </c>
      <c r="Q446" s="17">
        <f>'Sampling Data'!P446</f>
        <v>379</v>
      </c>
      <c r="R446" s="17">
        <f>'Sampling Data'!AJ446</f>
        <v>0</v>
      </c>
      <c r="S446" s="111"/>
      <c r="T446" s="111"/>
      <c r="U446" s="112"/>
      <c r="V446" s="112"/>
      <c r="W446" s="111"/>
      <c r="X446" s="111"/>
      <c r="Y446" s="111"/>
      <c r="Z446" s="111"/>
      <c r="AA446" s="14"/>
      <c r="AB446" s="14"/>
      <c r="AC446" s="14"/>
      <c r="AD446" s="14"/>
      <c r="AE446" s="113" t="str">
        <f>IF(NOT(ISBLANK(Audit[[#This Row],[Audit Winning Candidate]])), Audit[[#This Row],[Audit Winning Candidate]]-Audit[[#This Row],[Winning Candidate]], "")</f>
        <v/>
      </c>
      <c r="AF446" s="17" t="str">
        <f>IF(NOT(ISBLANK(Audit[[#This Row],[Audit Losing Candidate]])), Audit[[#This Row],[Audit Losing Candidate]]-Audit[[#This Row],[Losing Candidate]], "")</f>
        <v/>
      </c>
      <c r="AG446" s="17" t="str">
        <f>IF(NOT(ISBLANK(Audit[[#This Row],[Audit Candidate 3]])), Audit[[#This Row],[Audit Candidate 3]]-Audit[[#This Row],[Candidate 3]], "")</f>
        <v/>
      </c>
      <c r="AH446" s="17" t="str">
        <f>IF(NOT(ISBLANK(Audit[[#This Row],[Audit Candidate 4]])),Audit[[#This Row],[Audit Candidate 4]]-Audit[[#This Row],[Candidate 4]], "")</f>
        <v/>
      </c>
      <c r="AI446" s="17" t="str">
        <f>IF(NOT(ISBLANK(Audit[[#This Row],[Audit Candidate 5]])), Audit[[#This Row],[Audit Candidate 5]]-Audit[[#This Row],[Candidate 5]], "")</f>
        <v/>
      </c>
      <c r="AJ446" s="17" t="str">
        <f>IF(NOT(ISBLANK(Audit[[#This Row],[Audit Candidate 6]])), Audit[[#This Row],[Audit Candidate 6]]-Audit[[#This Row],[Candidate 6]], "")</f>
        <v/>
      </c>
      <c r="AK446" s="17" t="str">
        <f>IF(NOT(ISBLANK(Audit[[#This Row],[Audit Candidate 7]])), Audit[[#This Row],[Audit Candidate 7]]-Audit[[#This Row],[Candidate 7]], "")</f>
        <v/>
      </c>
      <c r="AL446" s="17" t="str">
        <f>IF(NOT(ISBLANK(Audit[[#This Row],[Audit Candidate 8]])), Audit[[#This Row],[Audit Candidate 8]]-Audit[[#This Row],[Candidate 8]], "")</f>
        <v/>
      </c>
      <c r="AM446" s="17" t="str">
        <f>IF(NOT(ISBLANK(Audit[[#This Row],[Audit Candidate 9]])), Audit[[#This Row],[Audit Candidate 9]]-Audit[[#This Row],[Candidate 9]], "")</f>
        <v/>
      </c>
      <c r="AN446" s="17" t="str">
        <f>IF(NOT(ISBLANK(Audit[[#This Row],[Audit Candidate 10]])), Audit[[#This Row],[Audit Candidate 10]]-Audit[[#This Row],[Candidate 10]], "")</f>
        <v/>
      </c>
      <c r="AO446" s="17" t="str">
        <f>IF(NOT(ISBLANK(Audit[[#This Row],[Audit Candidate 11]])), Audit[[#This Row],[Audit Candidate 11]]-Audit[[#This Row],[Candidate 11]], "")</f>
        <v/>
      </c>
      <c r="AP446" s="17" t="str">
        <f>IF(NOT(ISBLANK(Audit[[#This Row],[Audit Candidate 12]])), Audit[[#This Row],[Audit Candidate 12]]-Audit[[#This Row],[Candidate 12]], "")</f>
        <v/>
      </c>
      <c r="AQ446" s="17">
        <f>SUMIF(Audit[[#This Row],[Difference Winner]:[Difference Candidate 12]], "&gt;0")</f>
        <v>0</v>
      </c>
      <c r="AR446" s="17">
        <f>SUM(Audit[[#This Row],[Difference Winner]:[Difference Candidate 12]])</f>
        <v>0</v>
      </c>
      <c r="AS446" s="17">
        <f>IF(Audit[[#This Row],[Times p Drawn - With Replacement]]&gt;0, IF(Audit[[#This Row],[Canceled Differences]]&lt;0, Audit[[#This Row],[Max Differences]]+ABS(Audit[[#This Row],[Canceled Differences]]), Audit[[#This Row],[Max Differences]]), 0)</f>
        <v>0</v>
      </c>
      <c r="AT446" s="17">
        <f>'Sampling Data'!AB446</f>
        <v>7.7660838567306057E-3</v>
      </c>
      <c r="AU446" s="17">
        <f>IF(
      SUM(Audit[[#This Row],[Audit Losing Candidate]:[Audit Candidate 12]])
      &lt;&gt;0,
      (Audit[[#This Row],[Winning Candidate]]-Audit[[#This Row],[Losing Candidate]]-(Audit[[#This Row],[Audit Winning Candidate]]-Audit[[#This Row],[Audit Losing Candidate]]))/(Audit[[#Totals],[Winning Candidate]]-Audit[[#Totals],[Losing Candidate]]),
      0
)</f>
        <v>0</v>
      </c>
      <c r="AV4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6" s="17">
        <f>IF(Audit[[#This Row],[Max Relative Error (ep)]] = 0, 0, Audit[[#This Row],[Max Relative Error (ep)]]/Audit[[#This Row],[Error Bound (up) - Max. possible relative overstatement]])</f>
        <v>0</v>
      </c>
      <c r="BH4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46" s="17">
        <f t="shared" si="7"/>
        <v>1</v>
      </c>
      <c r="BJ446" s="17">
        <f>PRODUCT($BI$5:BI446)</f>
        <v>0.46283459046185416</v>
      </c>
      <c r="BK446" s="19">
        <f>1 - Audit[[#This Row],[K-M P Value]]</f>
        <v>0.53716540953814584</v>
      </c>
      <c r="BL446" s="17" t="str">
        <f>IF(Audit[[#This Row],[K-M P Value]]&gt;1-'General Info'!$B$12,"Continue", "Stop")</f>
        <v>Continue</v>
      </c>
      <c r="BM446" s="22" t="b">
        <f>IF(Audit[[#This Row],[Status - Continue or stop audit]] = "Continue", TRUE, IF(BL445 = "Continue", TRUE, FALSE))</f>
        <v>1</v>
      </c>
      <c r="BN446" s="22"/>
    </row>
    <row r="447" spans="1:66" ht="15" hidden="1" customHeight="1" x14ac:dyDescent="0.35">
      <c r="A447" s="17" t="str">
        <f>'Sampling Data'!AI447</f>
        <v/>
      </c>
      <c r="B447" s="17" t="str">
        <f>'Sampling Data'!A447</f>
        <v>7318 GREEN R   (AV)</v>
      </c>
      <c r="C447" s="17">
        <f>'Sampling Data'!B447</f>
        <v>43</v>
      </c>
      <c r="D447" s="17">
        <f>'Sampling Data'!C447</f>
        <v>126</v>
      </c>
      <c r="E447" s="18">
        <f>'Sampling Data'!D447</f>
        <v>0</v>
      </c>
      <c r="F447" s="18">
        <f>'Sampling Data'!E447</f>
        <v>0</v>
      </c>
      <c r="G447" s="18">
        <f>'Sampling Data'!F447</f>
        <v>0</v>
      </c>
      <c r="H447" s="18">
        <f>'Sampling Data'!G447</f>
        <v>0</v>
      </c>
      <c r="I447" s="18">
        <f>'Sampling Data'!H447</f>
        <v>0</v>
      </c>
      <c r="J447" s="18">
        <f>'Sampling Data'!I447</f>
        <v>0</v>
      </c>
      <c r="K447" s="18">
        <f>'Sampling Data'!J447</f>
        <v>0</v>
      </c>
      <c r="L447" s="18">
        <f>'Sampling Data'!K447</f>
        <v>0</v>
      </c>
      <c r="M447" s="18">
        <f>'Sampling Data'!L447</f>
        <v>0</v>
      </c>
      <c r="N447" s="18">
        <f>'Sampling Data'!M447</f>
        <v>0</v>
      </c>
      <c r="O447" s="17">
        <f>'Sampling Data'!N447</f>
        <v>0</v>
      </c>
      <c r="P447" s="17">
        <f>'Sampling Data'!O447</f>
        <v>8</v>
      </c>
      <c r="Q447" s="17">
        <f>'Sampling Data'!P447</f>
        <v>177</v>
      </c>
      <c r="R447" s="17">
        <f>'Sampling Data'!AJ447</f>
        <v>0</v>
      </c>
      <c r="S447" s="111"/>
      <c r="T447" s="111"/>
      <c r="U447" s="112"/>
      <c r="V447" s="112"/>
      <c r="W447" s="111"/>
      <c r="X447" s="111"/>
      <c r="Y447" s="111"/>
      <c r="Z447" s="111"/>
      <c r="AA447" s="14"/>
      <c r="AB447" s="14"/>
      <c r="AC447" s="14"/>
      <c r="AD447" s="14"/>
      <c r="AE447" s="113" t="str">
        <f>IF(NOT(ISBLANK(Audit[[#This Row],[Audit Winning Candidate]])), Audit[[#This Row],[Audit Winning Candidate]]-Audit[[#This Row],[Winning Candidate]], "")</f>
        <v/>
      </c>
      <c r="AF447" s="17" t="str">
        <f>IF(NOT(ISBLANK(Audit[[#This Row],[Audit Losing Candidate]])), Audit[[#This Row],[Audit Losing Candidate]]-Audit[[#This Row],[Losing Candidate]], "")</f>
        <v/>
      </c>
      <c r="AG447" s="17" t="str">
        <f>IF(NOT(ISBLANK(Audit[[#This Row],[Audit Candidate 3]])), Audit[[#This Row],[Audit Candidate 3]]-Audit[[#This Row],[Candidate 3]], "")</f>
        <v/>
      </c>
      <c r="AH447" s="17" t="str">
        <f>IF(NOT(ISBLANK(Audit[[#This Row],[Audit Candidate 4]])),Audit[[#This Row],[Audit Candidate 4]]-Audit[[#This Row],[Candidate 4]], "")</f>
        <v/>
      </c>
      <c r="AI447" s="17" t="str">
        <f>IF(NOT(ISBLANK(Audit[[#This Row],[Audit Candidate 5]])), Audit[[#This Row],[Audit Candidate 5]]-Audit[[#This Row],[Candidate 5]], "")</f>
        <v/>
      </c>
      <c r="AJ447" s="17" t="str">
        <f>IF(NOT(ISBLANK(Audit[[#This Row],[Audit Candidate 6]])), Audit[[#This Row],[Audit Candidate 6]]-Audit[[#This Row],[Candidate 6]], "")</f>
        <v/>
      </c>
      <c r="AK447" s="17" t="str">
        <f>IF(NOT(ISBLANK(Audit[[#This Row],[Audit Candidate 7]])), Audit[[#This Row],[Audit Candidate 7]]-Audit[[#This Row],[Candidate 7]], "")</f>
        <v/>
      </c>
      <c r="AL447" s="17" t="str">
        <f>IF(NOT(ISBLANK(Audit[[#This Row],[Audit Candidate 8]])), Audit[[#This Row],[Audit Candidate 8]]-Audit[[#This Row],[Candidate 8]], "")</f>
        <v/>
      </c>
      <c r="AM447" s="17" t="str">
        <f>IF(NOT(ISBLANK(Audit[[#This Row],[Audit Candidate 9]])), Audit[[#This Row],[Audit Candidate 9]]-Audit[[#This Row],[Candidate 9]], "")</f>
        <v/>
      </c>
      <c r="AN447" s="17" t="str">
        <f>IF(NOT(ISBLANK(Audit[[#This Row],[Audit Candidate 10]])), Audit[[#This Row],[Audit Candidate 10]]-Audit[[#This Row],[Candidate 10]], "")</f>
        <v/>
      </c>
      <c r="AO447" s="17" t="str">
        <f>IF(NOT(ISBLANK(Audit[[#This Row],[Audit Candidate 11]])), Audit[[#This Row],[Audit Candidate 11]]-Audit[[#This Row],[Candidate 11]], "")</f>
        <v/>
      </c>
      <c r="AP447" s="17" t="str">
        <f>IF(NOT(ISBLANK(Audit[[#This Row],[Audit Candidate 12]])), Audit[[#This Row],[Audit Candidate 12]]-Audit[[#This Row],[Candidate 12]], "")</f>
        <v/>
      </c>
      <c r="AQ447" s="17">
        <f>SUMIF(Audit[[#This Row],[Difference Winner]:[Difference Candidate 12]], "&gt;0")</f>
        <v>0</v>
      </c>
      <c r="AR447" s="17">
        <f>SUM(Audit[[#This Row],[Difference Winner]:[Difference Candidate 12]])</f>
        <v>0</v>
      </c>
      <c r="AS447" s="17">
        <f>IF(Audit[[#This Row],[Times p Drawn - With Replacement]]&gt;0, IF(Audit[[#This Row],[Canceled Differences]]&lt;0, Audit[[#This Row],[Max Differences]]+ABS(Audit[[#This Row],[Canceled Differences]]), Audit[[#This Row],[Max Differences]]), 0)</f>
        <v>0</v>
      </c>
      <c r="AT447" s="17">
        <f>'Sampling Data'!AB447</f>
        <v>3.9891359701239183E-3</v>
      </c>
      <c r="AU447" s="17">
        <f>IF(
      SUM(Audit[[#This Row],[Audit Losing Candidate]:[Audit Candidate 12]])
      &lt;&gt;0,
      (Audit[[#This Row],[Winning Candidate]]-Audit[[#This Row],[Losing Candidate]]-(Audit[[#This Row],[Audit Winning Candidate]]-Audit[[#This Row],[Audit Losing Candidate]]))/(Audit[[#Totals],[Winning Candidate]]-Audit[[#Totals],[Losing Candidate]]),
      0
)</f>
        <v>0</v>
      </c>
      <c r="AV4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7" s="17">
        <f>IF(Audit[[#This Row],[Max Relative Error (ep)]] = 0, 0, Audit[[#This Row],[Max Relative Error (ep)]]/Audit[[#This Row],[Error Bound (up) - Max. possible relative overstatement]])</f>
        <v>0</v>
      </c>
      <c r="BH4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47" s="17">
        <f t="shared" si="7"/>
        <v>1</v>
      </c>
      <c r="BJ447" s="17">
        <f>PRODUCT($BI$5:BI447)</f>
        <v>0.46283459046185416</v>
      </c>
      <c r="BK447" s="19">
        <f>1 - Audit[[#This Row],[K-M P Value]]</f>
        <v>0.53716540953814584</v>
      </c>
      <c r="BL447" s="17" t="str">
        <f>IF(Audit[[#This Row],[K-M P Value]]&gt;1-'General Info'!$B$12,"Continue", "Stop")</f>
        <v>Continue</v>
      </c>
      <c r="BM447" s="22" t="b">
        <f>IF(Audit[[#This Row],[Status - Continue or stop audit]] = "Continue", TRUE, IF(BL446 = "Continue", TRUE, FALSE))</f>
        <v>1</v>
      </c>
      <c r="BN447" s="22"/>
    </row>
    <row r="448" spans="1:66" ht="15" hidden="1" customHeight="1" x14ac:dyDescent="0.35">
      <c r="A448" s="17" t="str">
        <f>'Sampling Data'!AI448</f>
        <v/>
      </c>
      <c r="B448" s="17" t="str">
        <f>'Sampling Data'!A448</f>
        <v>7319 GREEN S   (AV)</v>
      </c>
      <c r="C448" s="17">
        <f>'Sampling Data'!B448</f>
        <v>88</v>
      </c>
      <c r="D448" s="17">
        <f>'Sampling Data'!C448</f>
        <v>153</v>
      </c>
      <c r="E448" s="18">
        <f>'Sampling Data'!D448</f>
        <v>0</v>
      </c>
      <c r="F448" s="18">
        <f>'Sampling Data'!E448</f>
        <v>0</v>
      </c>
      <c r="G448" s="18">
        <f>'Sampling Data'!F448</f>
        <v>0</v>
      </c>
      <c r="H448" s="18">
        <f>'Sampling Data'!G448</f>
        <v>0</v>
      </c>
      <c r="I448" s="18">
        <f>'Sampling Data'!H448</f>
        <v>0</v>
      </c>
      <c r="J448" s="18">
        <f>'Sampling Data'!I448</f>
        <v>0</v>
      </c>
      <c r="K448" s="18">
        <f>'Sampling Data'!J448</f>
        <v>0</v>
      </c>
      <c r="L448" s="18">
        <f>'Sampling Data'!K448</f>
        <v>0</v>
      </c>
      <c r="M448" s="18">
        <f>'Sampling Data'!L448</f>
        <v>0</v>
      </c>
      <c r="N448" s="18">
        <f>'Sampling Data'!M448</f>
        <v>0</v>
      </c>
      <c r="O448" s="17">
        <f>'Sampling Data'!N448</f>
        <v>0</v>
      </c>
      <c r="P448" s="17">
        <f>'Sampling Data'!O448</f>
        <v>11</v>
      </c>
      <c r="Q448" s="17">
        <f>'Sampling Data'!P448</f>
        <v>252</v>
      </c>
      <c r="R448" s="17">
        <f>'Sampling Data'!AJ448</f>
        <v>0</v>
      </c>
      <c r="S448" s="111"/>
      <c r="T448" s="111"/>
      <c r="U448" s="112"/>
      <c r="V448" s="112"/>
      <c r="W448" s="111"/>
      <c r="X448" s="111"/>
      <c r="Y448" s="111"/>
      <c r="Z448" s="111"/>
      <c r="AA448" s="14"/>
      <c r="AB448" s="14"/>
      <c r="AC448" s="14"/>
      <c r="AD448" s="14"/>
      <c r="AE448" s="113" t="str">
        <f>IF(NOT(ISBLANK(Audit[[#This Row],[Audit Winning Candidate]])), Audit[[#This Row],[Audit Winning Candidate]]-Audit[[#This Row],[Winning Candidate]], "")</f>
        <v/>
      </c>
      <c r="AF448" s="17" t="str">
        <f>IF(NOT(ISBLANK(Audit[[#This Row],[Audit Losing Candidate]])), Audit[[#This Row],[Audit Losing Candidate]]-Audit[[#This Row],[Losing Candidate]], "")</f>
        <v/>
      </c>
      <c r="AG448" s="17" t="str">
        <f>IF(NOT(ISBLANK(Audit[[#This Row],[Audit Candidate 3]])), Audit[[#This Row],[Audit Candidate 3]]-Audit[[#This Row],[Candidate 3]], "")</f>
        <v/>
      </c>
      <c r="AH448" s="17" t="str">
        <f>IF(NOT(ISBLANK(Audit[[#This Row],[Audit Candidate 4]])),Audit[[#This Row],[Audit Candidate 4]]-Audit[[#This Row],[Candidate 4]], "")</f>
        <v/>
      </c>
      <c r="AI448" s="17" t="str">
        <f>IF(NOT(ISBLANK(Audit[[#This Row],[Audit Candidate 5]])), Audit[[#This Row],[Audit Candidate 5]]-Audit[[#This Row],[Candidate 5]], "")</f>
        <v/>
      </c>
      <c r="AJ448" s="17" t="str">
        <f>IF(NOT(ISBLANK(Audit[[#This Row],[Audit Candidate 6]])), Audit[[#This Row],[Audit Candidate 6]]-Audit[[#This Row],[Candidate 6]], "")</f>
        <v/>
      </c>
      <c r="AK448" s="17" t="str">
        <f>IF(NOT(ISBLANK(Audit[[#This Row],[Audit Candidate 7]])), Audit[[#This Row],[Audit Candidate 7]]-Audit[[#This Row],[Candidate 7]], "")</f>
        <v/>
      </c>
      <c r="AL448" s="17" t="str">
        <f>IF(NOT(ISBLANK(Audit[[#This Row],[Audit Candidate 8]])), Audit[[#This Row],[Audit Candidate 8]]-Audit[[#This Row],[Candidate 8]], "")</f>
        <v/>
      </c>
      <c r="AM448" s="17" t="str">
        <f>IF(NOT(ISBLANK(Audit[[#This Row],[Audit Candidate 9]])), Audit[[#This Row],[Audit Candidate 9]]-Audit[[#This Row],[Candidate 9]], "")</f>
        <v/>
      </c>
      <c r="AN448" s="17" t="str">
        <f>IF(NOT(ISBLANK(Audit[[#This Row],[Audit Candidate 10]])), Audit[[#This Row],[Audit Candidate 10]]-Audit[[#This Row],[Candidate 10]], "")</f>
        <v/>
      </c>
      <c r="AO448" s="17" t="str">
        <f>IF(NOT(ISBLANK(Audit[[#This Row],[Audit Candidate 11]])), Audit[[#This Row],[Audit Candidate 11]]-Audit[[#This Row],[Candidate 11]], "")</f>
        <v/>
      </c>
      <c r="AP448" s="17" t="str">
        <f>IF(NOT(ISBLANK(Audit[[#This Row],[Audit Candidate 12]])), Audit[[#This Row],[Audit Candidate 12]]-Audit[[#This Row],[Candidate 12]], "")</f>
        <v/>
      </c>
      <c r="AQ448" s="17">
        <f>SUMIF(Audit[[#This Row],[Difference Winner]:[Difference Candidate 12]], "&gt;0")</f>
        <v>0</v>
      </c>
      <c r="AR448" s="17">
        <f>SUM(Audit[[#This Row],[Difference Winner]:[Difference Candidate 12]])</f>
        <v>0</v>
      </c>
      <c r="AS448" s="17">
        <f>IF(Audit[[#This Row],[Times p Drawn - With Replacement]]&gt;0, IF(Audit[[#This Row],[Canceled Differences]]&lt;0, Audit[[#This Row],[Max Differences]]+ABS(Audit[[#This Row],[Canceled Differences]]), Audit[[#This Row],[Max Differences]]), 0)</f>
        <v>0</v>
      </c>
      <c r="AT448" s="17">
        <f>'Sampling Data'!AB448</f>
        <v>7.9358343235443902E-3</v>
      </c>
      <c r="AU448" s="17">
        <f>IF(
      SUM(Audit[[#This Row],[Audit Losing Candidate]:[Audit Candidate 12]])
      &lt;&gt;0,
      (Audit[[#This Row],[Winning Candidate]]-Audit[[#This Row],[Losing Candidate]]-(Audit[[#This Row],[Audit Winning Candidate]]-Audit[[#This Row],[Audit Losing Candidate]]))/(Audit[[#Totals],[Winning Candidate]]-Audit[[#Totals],[Losing Candidate]]),
      0
)</f>
        <v>0</v>
      </c>
      <c r="AV4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8" s="17">
        <f>IF(Audit[[#This Row],[Max Relative Error (ep)]] = 0, 0, Audit[[#This Row],[Max Relative Error (ep)]]/Audit[[#This Row],[Error Bound (up) - Max. possible relative overstatement]])</f>
        <v>0</v>
      </c>
      <c r="BH4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48" s="17">
        <f t="shared" si="7"/>
        <v>1</v>
      </c>
      <c r="BJ448" s="17">
        <f>PRODUCT($BI$5:BI448)</f>
        <v>0.46283459046185416</v>
      </c>
      <c r="BK448" s="19">
        <f>1 - Audit[[#This Row],[K-M P Value]]</f>
        <v>0.53716540953814584</v>
      </c>
      <c r="BL448" s="17" t="str">
        <f>IF(Audit[[#This Row],[K-M P Value]]&gt;1-'General Info'!$B$12,"Continue", "Stop")</f>
        <v>Continue</v>
      </c>
      <c r="BM448" s="22" t="b">
        <f>IF(Audit[[#This Row],[Status - Continue or stop audit]] = "Continue", TRUE, IF(BL447 = "Continue", TRUE, FALSE))</f>
        <v>1</v>
      </c>
      <c r="BN448" s="22"/>
    </row>
    <row r="449" spans="1:66" ht="15" hidden="1" customHeight="1" x14ac:dyDescent="0.35">
      <c r="A449" s="17" t="str">
        <f>'Sampling Data'!AI449</f>
        <v/>
      </c>
      <c r="B449" s="17" t="str">
        <f>'Sampling Data'!A449</f>
        <v>7320 GREEN T   (AV)</v>
      </c>
      <c r="C449" s="17">
        <f>'Sampling Data'!B449</f>
        <v>39</v>
      </c>
      <c r="D449" s="17">
        <f>'Sampling Data'!C449</f>
        <v>69</v>
      </c>
      <c r="E449" s="18">
        <f>'Sampling Data'!D449</f>
        <v>0</v>
      </c>
      <c r="F449" s="18">
        <f>'Sampling Data'!E449</f>
        <v>0</v>
      </c>
      <c r="G449" s="18">
        <f>'Sampling Data'!F449</f>
        <v>0</v>
      </c>
      <c r="H449" s="18">
        <f>'Sampling Data'!G449</f>
        <v>0</v>
      </c>
      <c r="I449" s="18">
        <f>'Sampling Data'!H449</f>
        <v>0</v>
      </c>
      <c r="J449" s="18">
        <f>'Sampling Data'!I449</f>
        <v>0</v>
      </c>
      <c r="K449" s="18">
        <f>'Sampling Data'!J449</f>
        <v>0</v>
      </c>
      <c r="L449" s="18">
        <f>'Sampling Data'!K449</f>
        <v>0</v>
      </c>
      <c r="M449" s="18">
        <f>'Sampling Data'!L449</f>
        <v>0</v>
      </c>
      <c r="N449" s="18">
        <f>'Sampling Data'!M449</f>
        <v>0</v>
      </c>
      <c r="O449" s="17">
        <f>'Sampling Data'!N449</f>
        <v>1</v>
      </c>
      <c r="P449" s="17">
        <f>'Sampling Data'!O449</f>
        <v>9</v>
      </c>
      <c r="Q449" s="17">
        <f>'Sampling Data'!P449</f>
        <v>118</v>
      </c>
      <c r="R449" s="17">
        <f>'Sampling Data'!AJ449</f>
        <v>0</v>
      </c>
      <c r="S449" s="111"/>
      <c r="T449" s="111"/>
      <c r="U449" s="112"/>
      <c r="V449" s="112"/>
      <c r="W449" s="111"/>
      <c r="X449" s="111"/>
      <c r="Y449" s="111"/>
      <c r="Z449" s="111"/>
      <c r="AA449" s="14"/>
      <c r="AB449" s="14"/>
      <c r="AC449" s="14"/>
      <c r="AD449" s="14"/>
      <c r="AE449" s="113" t="str">
        <f>IF(NOT(ISBLANK(Audit[[#This Row],[Audit Winning Candidate]])), Audit[[#This Row],[Audit Winning Candidate]]-Audit[[#This Row],[Winning Candidate]], "")</f>
        <v/>
      </c>
      <c r="AF449" s="17" t="str">
        <f>IF(NOT(ISBLANK(Audit[[#This Row],[Audit Losing Candidate]])), Audit[[#This Row],[Audit Losing Candidate]]-Audit[[#This Row],[Losing Candidate]], "")</f>
        <v/>
      </c>
      <c r="AG449" s="17" t="str">
        <f>IF(NOT(ISBLANK(Audit[[#This Row],[Audit Candidate 3]])), Audit[[#This Row],[Audit Candidate 3]]-Audit[[#This Row],[Candidate 3]], "")</f>
        <v/>
      </c>
      <c r="AH449" s="17" t="str">
        <f>IF(NOT(ISBLANK(Audit[[#This Row],[Audit Candidate 4]])),Audit[[#This Row],[Audit Candidate 4]]-Audit[[#This Row],[Candidate 4]], "")</f>
        <v/>
      </c>
      <c r="AI449" s="17" t="str">
        <f>IF(NOT(ISBLANK(Audit[[#This Row],[Audit Candidate 5]])), Audit[[#This Row],[Audit Candidate 5]]-Audit[[#This Row],[Candidate 5]], "")</f>
        <v/>
      </c>
      <c r="AJ449" s="17" t="str">
        <f>IF(NOT(ISBLANK(Audit[[#This Row],[Audit Candidate 6]])), Audit[[#This Row],[Audit Candidate 6]]-Audit[[#This Row],[Candidate 6]], "")</f>
        <v/>
      </c>
      <c r="AK449" s="17" t="str">
        <f>IF(NOT(ISBLANK(Audit[[#This Row],[Audit Candidate 7]])), Audit[[#This Row],[Audit Candidate 7]]-Audit[[#This Row],[Candidate 7]], "")</f>
        <v/>
      </c>
      <c r="AL449" s="17" t="str">
        <f>IF(NOT(ISBLANK(Audit[[#This Row],[Audit Candidate 8]])), Audit[[#This Row],[Audit Candidate 8]]-Audit[[#This Row],[Candidate 8]], "")</f>
        <v/>
      </c>
      <c r="AM449" s="17" t="str">
        <f>IF(NOT(ISBLANK(Audit[[#This Row],[Audit Candidate 9]])), Audit[[#This Row],[Audit Candidate 9]]-Audit[[#This Row],[Candidate 9]], "")</f>
        <v/>
      </c>
      <c r="AN449" s="17" t="str">
        <f>IF(NOT(ISBLANK(Audit[[#This Row],[Audit Candidate 10]])), Audit[[#This Row],[Audit Candidate 10]]-Audit[[#This Row],[Candidate 10]], "")</f>
        <v/>
      </c>
      <c r="AO449" s="17" t="str">
        <f>IF(NOT(ISBLANK(Audit[[#This Row],[Audit Candidate 11]])), Audit[[#This Row],[Audit Candidate 11]]-Audit[[#This Row],[Candidate 11]], "")</f>
        <v/>
      </c>
      <c r="AP449" s="17" t="str">
        <f>IF(NOT(ISBLANK(Audit[[#This Row],[Audit Candidate 12]])), Audit[[#This Row],[Audit Candidate 12]]-Audit[[#This Row],[Candidate 12]], "")</f>
        <v/>
      </c>
      <c r="AQ449" s="17">
        <f>SUMIF(Audit[[#This Row],[Difference Winner]:[Difference Candidate 12]], "&gt;0")</f>
        <v>0</v>
      </c>
      <c r="AR449" s="17">
        <f>SUM(Audit[[#This Row],[Difference Winner]:[Difference Candidate 12]])</f>
        <v>0</v>
      </c>
      <c r="AS449" s="17">
        <f>IF(Audit[[#This Row],[Times p Drawn - With Replacement]]&gt;0, IF(Audit[[#This Row],[Canceled Differences]]&lt;0, Audit[[#This Row],[Max Differences]]+ABS(Audit[[#This Row],[Canceled Differences]]), Audit[[#This Row],[Max Differences]]), 0)</f>
        <v>0</v>
      </c>
      <c r="AT449" s="17">
        <f>'Sampling Data'!AB449</f>
        <v>3.734510269903242E-3</v>
      </c>
      <c r="AU449" s="17">
        <f>IF(
      SUM(Audit[[#This Row],[Audit Losing Candidate]:[Audit Candidate 12]])
      &lt;&gt;0,
      (Audit[[#This Row],[Winning Candidate]]-Audit[[#This Row],[Losing Candidate]]-(Audit[[#This Row],[Audit Winning Candidate]]-Audit[[#This Row],[Audit Losing Candidate]]))/(Audit[[#Totals],[Winning Candidate]]-Audit[[#Totals],[Losing Candidate]]),
      0
)</f>
        <v>0</v>
      </c>
      <c r="AV4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9" s="17">
        <f>IF(Audit[[#This Row],[Max Relative Error (ep)]] = 0, 0, Audit[[#This Row],[Max Relative Error (ep)]]/Audit[[#This Row],[Error Bound (up) - Max. possible relative overstatement]])</f>
        <v>0</v>
      </c>
      <c r="BH4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49" s="17">
        <f t="shared" si="7"/>
        <v>1</v>
      </c>
      <c r="BJ449" s="17">
        <f>PRODUCT($BI$5:BI449)</f>
        <v>0.46283459046185416</v>
      </c>
      <c r="BK449" s="19">
        <f>1 - Audit[[#This Row],[K-M P Value]]</f>
        <v>0.53716540953814584</v>
      </c>
      <c r="BL449" s="17" t="str">
        <f>IF(Audit[[#This Row],[K-M P Value]]&gt;1-'General Info'!$B$12,"Continue", "Stop")</f>
        <v>Continue</v>
      </c>
      <c r="BM449" s="22" t="b">
        <f>IF(Audit[[#This Row],[Status - Continue or stop audit]] = "Continue", TRUE, IF(BL448 = "Continue", TRUE, FALSE))</f>
        <v>1</v>
      </c>
      <c r="BN449" s="22"/>
    </row>
    <row r="450" spans="1:66" ht="15" hidden="1" customHeight="1" x14ac:dyDescent="0.35">
      <c r="A450" s="17" t="str">
        <f>'Sampling Data'!AI450</f>
        <v/>
      </c>
      <c r="B450" s="17" t="str">
        <f>'Sampling Data'!A450</f>
        <v>7321 GREEN U   (AV)</v>
      </c>
      <c r="C450" s="17">
        <f>'Sampling Data'!B450</f>
        <v>50</v>
      </c>
      <c r="D450" s="17">
        <f>'Sampling Data'!C450</f>
        <v>131</v>
      </c>
      <c r="E450" s="18">
        <f>'Sampling Data'!D450</f>
        <v>0</v>
      </c>
      <c r="F450" s="18">
        <f>'Sampling Data'!E450</f>
        <v>0</v>
      </c>
      <c r="G450" s="18">
        <f>'Sampling Data'!F450</f>
        <v>0</v>
      </c>
      <c r="H450" s="18">
        <f>'Sampling Data'!G450</f>
        <v>0</v>
      </c>
      <c r="I450" s="18">
        <f>'Sampling Data'!H450</f>
        <v>0</v>
      </c>
      <c r="J450" s="18">
        <f>'Sampling Data'!I450</f>
        <v>0</v>
      </c>
      <c r="K450" s="18">
        <f>'Sampling Data'!J450</f>
        <v>0</v>
      </c>
      <c r="L450" s="18">
        <f>'Sampling Data'!K450</f>
        <v>0</v>
      </c>
      <c r="M450" s="18">
        <f>'Sampling Data'!L450</f>
        <v>0</v>
      </c>
      <c r="N450" s="18">
        <f>'Sampling Data'!M450</f>
        <v>0</v>
      </c>
      <c r="O450" s="17">
        <f>'Sampling Data'!N450</f>
        <v>0</v>
      </c>
      <c r="P450" s="17">
        <f>'Sampling Data'!O450</f>
        <v>12</v>
      </c>
      <c r="Q450" s="17">
        <f>'Sampling Data'!P450</f>
        <v>193</v>
      </c>
      <c r="R450" s="17">
        <f>'Sampling Data'!AJ450</f>
        <v>0</v>
      </c>
      <c r="S450" s="111"/>
      <c r="T450" s="111"/>
      <c r="U450" s="112"/>
      <c r="V450" s="112"/>
      <c r="W450" s="111"/>
      <c r="X450" s="111"/>
      <c r="Y450" s="111"/>
      <c r="Z450" s="111"/>
      <c r="AA450" s="14"/>
      <c r="AB450" s="14"/>
      <c r="AC450" s="14"/>
      <c r="AD450" s="14"/>
      <c r="AE450" s="113" t="str">
        <f>IF(NOT(ISBLANK(Audit[[#This Row],[Audit Winning Candidate]])), Audit[[#This Row],[Audit Winning Candidate]]-Audit[[#This Row],[Winning Candidate]], "")</f>
        <v/>
      </c>
      <c r="AF450" s="17" t="str">
        <f>IF(NOT(ISBLANK(Audit[[#This Row],[Audit Losing Candidate]])), Audit[[#This Row],[Audit Losing Candidate]]-Audit[[#This Row],[Losing Candidate]], "")</f>
        <v/>
      </c>
      <c r="AG450" s="17" t="str">
        <f>IF(NOT(ISBLANK(Audit[[#This Row],[Audit Candidate 3]])), Audit[[#This Row],[Audit Candidate 3]]-Audit[[#This Row],[Candidate 3]], "")</f>
        <v/>
      </c>
      <c r="AH450" s="17" t="str">
        <f>IF(NOT(ISBLANK(Audit[[#This Row],[Audit Candidate 4]])),Audit[[#This Row],[Audit Candidate 4]]-Audit[[#This Row],[Candidate 4]], "")</f>
        <v/>
      </c>
      <c r="AI450" s="17" t="str">
        <f>IF(NOT(ISBLANK(Audit[[#This Row],[Audit Candidate 5]])), Audit[[#This Row],[Audit Candidate 5]]-Audit[[#This Row],[Candidate 5]], "")</f>
        <v/>
      </c>
      <c r="AJ450" s="17" t="str">
        <f>IF(NOT(ISBLANK(Audit[[#This Row],[Audit Candidate 6]])), Audit[[#This Row],[Audit Candidate 6]]-Audit[[#This Row],[Candidate 6]], "")</f>
        <v/>
      </c>
      <c r="AK450" s="17" t="str">
        <f>IF(NOT(ISBLANK(Audit[[#This Row],[Audit Candidate 7]])), Audit[[#This Row],[Audit Candidate 7]]-Audit[[#This Row],[Candidate 7]], "")</f>
        <v/>
      </c>
      <c r="AL450" s="17" t="str">
        <f>IF(NOT(ISBLANK(Audit[[#This Row],[Audit Candidate 8]])), Audit[[#This Row],[Audit Candidate 8]]-Audit[[#This Row],[Candidate 8]], "")</f>
        <v/>
      </c>
      <c r="AM450" s="17" t="str">
        <f>IF(NOT(ISBLANK(Audit[[#This Row],[Audit Candidate 9]])), Audit[[#This Row],[Audit Candidate 9]]-Audit[[#This Row],[Candidate 9]], "")</f>
        <v/>
      </c>
      <c r="AN450" s="17" t="str">
        <f>IF(NOT(ISBLANK(Audit[[#This Row],[Audit Candidate 10]])), Audit[[#This Row],[Audit Candidate 10]]-Audit[[#This Row],[Candidate 10]], "")</f>
        <v/>
      </c>
      <c r="AO450" s="17" t="str">
        <f>IF(NOT(ISBLANK(Audit[[#This Row],[Audit Candidate 11]])), Audit[[#This Row],[Audit Candidate 11]]-Audit[[#This Row],[Candidate 11]], "")</f>
        <v/>
      </c>
      <c r="AP450" s="17" t="str">
        <f>IF(NOT(ISBLANK(Audit[[#This Row],[Audit Candidate 12]])), Audit[[#This Row],[Audit Candidate 12]]-Audit[[#This Row],[Candidate 12]], "")</f>
        <v/>
      </c>
      <c r="AQ450" s="17">
        <f>SUMIF(Audit[[#This Row],[Difference Winner]:[Difference Candidate 12]], "&gt;0")</f>
        <v>0</v>
      </c>
      <c r="AR450" s="17">
        <f>SUM(Audit[[#This Row],[Difference Winner]:[Difference Candidate 12]])</f>
        <v>0</v>
      </c>
      <c r="AS450" s="17">
        <f>IF(Audit[[#This Row],[Times p Drawn - With Replacement]]&gt;0, IF(Audit[[#This Row],[Canceled Differences]]&lt;0, Audit[[#This Row],[Max Differences]]+ABS(Audit[[#This Row],[Canceled Differences]]), Audit[[#This Row],[Max Differences]]), 0)</f>
        <v>0</v>
      </c>
      <c r="AT450" s="17">
        <f>'Sampling Data'!AB450</f>
        <v>4.7530130707859443E-3</v>
      </c>
      <c r="AU450" s="17">
        <f>IF(
      SUM(Audit[[#This Row],[Audit Losing Candidate]:[Audit Candidate 12]])
      &lt;&gt;0,
      (Audit[[#This Row],[Winning Candidate]]-Audit[[#This Row],[Losing Candidate]]-(Audit[[#This Row],[Audit Winning Candidate]]-Audit[[#This Row],[Audit Losing Candidate]]))/(Audit[[#Totals],[Winning Candidate]]-Audit[[#Totals],[Losing Candidate]]),
      0
)</f>
        <v>0</v>
      </c>
      <c r="AV4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0" s="17">
        <f>IF(Audit[[#This Row],[Max Relative Error (ep)]] = 0, 0, Audit[[#This Row],[Max Relative Error (ep)]]/Audit[[#This Row],[Error Bound (up) - Max. possible relative overstatement]])</f>
        <v>0</v>
      </c>
      <c r="BH4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50" s="17">
        <f t="shared" si="7"/>
        <v>1</v>
      </c>
      <c r="BJ450" s="17">
        <f>PRODUCT($BI$5:BI450)</f>
        <v>0.46283459046185416</v>
      </c>
      <c r="BK450" s="19">
        <f>1 - Audit[[#This Row],[K-M P Value]]</f>
        <v>0.53716540953814584</v>
      </c>
      <c r="BL450" s="17" t="str">
        <f>IF(Audit[[#This Row],[K-M P Value]]&gt;1-'General Info'!$B$12,"Continue", "Stop")</f>
        <v>Continue</v>
      </c>
      <c r="BM450" s="22" t="b">
        <f>IF(Audit[[#This Row],[Status - Continue or stop audit]] = "Continue", TRUE, IF(BL449 = "Continue", TRUE, FALSE))</f>
        <v>1</v>
      </c>
      <c r="BN450" s="22"/>
    </row>
    <row r="451" spans="1:66" ht="15" hidden="1" customHeight="1" x14ac:dyDescent="0.35">
      <c r="A451" s="17" t="str">
        <f>'Sampling Data'!AI451</f>
        <v/>
      </c>
      <c r="B451" s="17" t="str">
        <f>'Sampling Data'!A451</f>
        <v>7322 GREEN V   (AV)</v>
      </c>
      <c r="C451" s="17">
        <f>'Sampling Data'!B451</f>
        <v>100</v>
      </c>
      <c r="D451" s="17">
        <f>'Sampling Data'!C451</f>
        <v>141</v>
      </c>
      <c r="E451" s="18">
        <f>'Sampling Data'!D451</f>
        <v>0</v>
      </c>
      <c r="F451" s="18">
        <f>'Sampling Data'!E451</f>
        <v>0</v>
      </c>
      <c r="G451" s="18">
        <f>'Sampling Data'!F451</f>
        <v>0</v>
      </c>
      <c r="H451" s="18">
        <f>'Sampling Data'!G451</f>
        <v>0</v>
      </c>
      <c r="I451" s="18">
        <f>'Sampling Data'!H451</f>
        <v>0</v>
      </c>
      <c r="J451" s="18">
        <f>'Sampling Data'!I451</f>
        <v>0</v>
      </c>
      <c r="K451" s="18">
        <f>'Sampling Data'!J451</f>
        <v>0</v>
      </c>
      <c r="L451" s="18">
        <f>'Sampling Data'!K451</f>
        <v>0</v>
      </c>
      <c r="M451" s="18">
        <f>'Sampling Data'!L451</f>
        <v>0</v>
      </c>
      <c r="N451" s="18">
        <f>'Sampling Data'!M451</f>
        <v>0</v>
      </c>
      <c r="O451" s="17">
        <f>'Sampling Data'!N451</f>
        <v>1</v>
      </c>
      <c r="P451" s="17">
        <f>'Sampling Data'!O451</f>
        <v>8</v>
      </c>
      <c r="Q451" s="17">
        <f>'Sampling Data'!P451</f>
        <v>250</v>
      </c>
      <c r="R451" s="17">
        <f>'Sampling Data'!AJ451</f>
        <v>0</v>
      </c>
      <c r="S451" s="111"/>
      <c r="T451" s="111"/>
      <c r="U451" s="112"/>
      <c r="V451" s="112"/>
      <c r="W451" s="111"/>
      <c r="X451" s="111"/>
      <c r="Y451" s="111"/>
      <c r="Z451" s="111"/>
      <c r="AA451" s="14"/>
      <c r="AB451" s="14"/>
      <c r="AC451" s="14"/>
      <c r="AD451" s="14"/>
      <c r="AE451" s="113" t="str">
        <f>IF(NOT(ISBLANK(Audit[[#This Row],[Audit Winning Candidate]])), Audit[[#This Row],[Audit Winning Candidate]]-Audit[[#This Row],[Winning Candidate]], "")</f>
        <v/>
      </c>
      <c r="AF451" s="17" t="str">
        <f>IF(NOT(ISBLANK(Audit[[#This Row],[Audit Losing Candidate]])), Audit[[#This Row],[Audit Losing Candidate]]-Audit[[#This Row],[Losing Candidate]], "")</f>
        <v/>
      </c>
      <c r="AG451" s="17" t="str">
        <f>IF(NOT(ISBLANK(Audit[[#This Row],[Audit Candidate 3]])), Audit[[#This Row],[Audit Candidate 3]]-Audit[[#This Row],[Candidate 3]], "")</f>
        <v/>
      </c>
      <c r="AH451" s="17" t="str">
        <f>IF(NOT(ISBLANK(Audit[[#This Row],[Audit Candidate 4]])),Audit[[#This Row],[Audit Candidate 4]]-Audit[[#This Row],[Candidate 4]], "")</f>
        <v/>
      </c>
      <c r="AI451" s="17" t="str">
        <f>IF(NOT(ISBLANK(Audit[[#This Row],[Audit Candidate 5]])), Audit[[#This Row],[Audit Candidate 5]]-Audit[[#This Row],[Candidate 5]], "")</f>
        <v/>
      </c>
      <c r="AJ451" s="17" t="str">
        <f>IF(NOT(ISBLANK(Audit[[#This Row],[Audit Candidate 6]])), Audit[[#This Row],[Audit Candidate 6]]-Audit[[#This Row],[Candidate 6]], "")</f>
        <v/>
      </c>
      <c r="AK451" s="17" t="str">
        <f>IF(NOT(ISBLANK(Audit[[#This Row],[Audit Candidate 7]])), Audit[[#This Row],[Audit Candidate 7]]-Audit[[#This Row],[Candidate 7]], "")</f>
        <v/>
      </c>
      <c r="AL451" s="17" t="str">
        <f>IF(NOT(ISBLANK(Audit[[#This Row],[Audit Candidate 8]])), Audit[[#This Row],[Audit Candidate 8]]-Audit[[#This Row],[Candidate 8]], "")</f>
        <v/>
      </c>
      <c r="AM451" s="17" t="str">
        <f>IF(NOT(ISBLANK(Audit[[#This Row],[Audit Candidate 9]])), Audit[[#This Row],[Audit Candidate 9]]-Audit[[#This Row],[Candidate 9]], "")</f>
        <v/>
      </c>
      <c r="AN451" s="17" t="str">
        <f>IF(NOT(ISBLANK(Audit[[#This Row],[Audit Candidate 10]])), Audit[[#This Row],[Audit Candidate 10]]-Audit[[#This Row],[Candidate 10]], "")</f>
        <v/>
      </c>
      <c r="AO451" s="17" t="str">
        <f>IF(NOT(ISBLANK(Audit[[#This Row],[Audit Candidate 11]])), Audit[[#This Row],[Audit Candidate 11]]-Audit[[#This Row],[Candidate 11]], "")</f>
        <v/>
      </c>
      <c r="AP451" s="17" t="str">
        <f>IF(NOT(ISBLANK(Audit[[#This Row],[Audit Candidate 12]])), Audit[[#This Row],[Audit Candidate 12]]-Audit[[#This Row],[Candidate 12]], "")</f>
        <v/>
      </c>
      <c r="AQ451" s="17">
        <f>SUMIF(Audit[[#This Row],[Difference Winner]:[Difference Candidate 12]], "&gt;0")</f>
        <v>0</v>
      </c>
      <c r="AR451" s="17">
        <f>SUM(Audit[[#This Row],[Difference Winner]:[Difference Candidate 12]])</f>
        <v>0</v>
      </c>
      <c r="AS451" s="17">
        <f>IF(Audit[[#This Row],[Times p Drawn - With Replacement]]&gt;0, IF(Audit[[#This Row],[Canceled Differences]]&lt;0, Audit[[#This Row],[Max Differences]]+ABS(Audit[[#This Row],[Canceled Differences]]), Audit[[#This Row],[Max Differences]]), 0)</f>
        <v>0</v>
      </c>
      <c r="AT451" s="17">
        <f>'Sampling Data'!AB451</f>
        <v>8.8694618910202007E-3</v>
      </c>
      <c r="AU451" s="17">
        <f>IF(
      SUM(Audit[[#This Row],[Audit Losing Candidate]:[Audit Candidate 12]])
      &lt;&gt;0,
      (Audit[[#This Row],[Winning Candidate]]-Audit[[#This Row],[Losing Candidate]]-(Audit[[#This Row],[Audit Winning Candidate]]-Audit[[#This Row],[Audit Losing Candidate]]))/(Audit[[#Totals],[Winning Candidate]]-Audit[[#Totals],[Losing Candidate]]),
      0
)</f>
        <v>0</v>
      </c>
      <c r="AV4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1" s="17">
        <f>IF(Audit[[#This Row],[Max Relative Error (ep)]] = 0, 0, Audit[[#This Row],[Max Relative Error (ep)]]/Audit[[#This Row],[Error Bound (up) - Max. possible relative overstatement]])</f>
        <v>0</v>
      </c>
      <c r="BH4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51" s="17">
        <f t="shared" si="7"/>
        <v>1</v>
      </c>
      <c r="BJ451" s="17">
        <f>PRODUCT($BI$5:BI451)</f>
        <v>0.46283459046185416</v>
      </c>
      <c r="BK451" s="19">
        <f>1 - Audit[[#This Row],[K-M P Value]]</f>
        <v>0.53716540953814584</v>
      </c>
      <c r="BL451" s="17" t="str">
        <f>IF(Audit[[#This Row],[K-M P Value]]&gt;1-'General Info'!$B$12,"Continue", "Stop")</f>
        <v>Continue</v>
      </c>
      <c r="BM451" s="22" t="b">
        <f>IF(Audit[[#This Row],[Status - Continue or stop audit]] = "Continue", TRUE, IF(BL450 = "Continue", TRUE, FALSE))</f>
        <v>1</v>
      </c>
      <c r="BN451" s="22"/>
    </row>
    <row r="452" spans="1:66" ht="15" hidden="1" customHeight="1" x14ac:dyDescent="0.35">
      <c r="A452" s="17" t="str">
        <f>'Sampling Data'!AI452</f>
        <v/>
      </c>
      <c r="B452" s="17" t="str">
        <f>'Sampling Data'!A452</f>
        <v>7323 GREEN W   (AV)</v>
      </c>
      <c r="C452" s="17">
        <f>'Sampling Data'!B452</f>
        <v>85</v>
      </c>
      <c r="D452" s="17">
        <f>'Sampling Data'!C452</f>
        <v>332</v>
      </c>
      <c r="E452" s="18">
        <f>'Sampling Data'!D452</f>
        <v>0</v>
      </c>
      <c r="F452" s="18">
        <f>'Sampling Data'!E452</f>
        <v>0</v>
      </c>
      <c r="G452" s="18">
        <f>'Sampling Data'!F452</f>
        <v>0</v>
      </c>
      <c r="H452" s="18">
        <f>'Sampling Data'!G452</f>
        <v>0</v>
      </c>
      <c r="I452" s="18">
        <f>'Sampling Data'!H452</f>
        <v>0</v>
      </c>
      <c r="J452" s="18">
        <f>'Sampling Data'!I452</f>
        <v>0</v>
      </c>
      <c r="K452" s="18">
        <f>'Sampling Data'!J452</f>
        <v>0</v>
      </c>
      <c r="L452" s="18">
        <f>'Sampling Data'!K452</f>
        <v>0</v>
      </c>
      <c r="M452" s="18">
        <f>'Sampling Data'!L452</f>
        <v>0</v>
      </c>
      <c r="N452" s="18">
        <f>'Sampling Data'!M452</f>
        <v>0</v>
      </c>
      <c r="O452" s="17">
        <f>'Sampling Data'!N452</f>
        <v>0</v>
      </c>
      <c r="P452" s="17">
        <f>'Sampling Data'!O452</f>
        <v>15</v>
      </c>
      <c r="Q452" s="17">
        <f>'Sampling Data'!P452</f>
        <v>432</v>
      </c>
      <c r="R452" s="17">
        <f>'Sampling Data'!AJ452</f>
        <v>0</v>
      </c>
      <c r="S452" s="111"/>
      <c r="T452" s="111"/>
      <c r="U452" s="112"/>
      <c r="V452" s="112"/>
      <c r="W452" s="111"/>
      <c r="X452" s="111"/>
      <c r="Y452" s="111"/>
      <c r="Z452" s="111"/>
      <c r="AA452" s="14"/>
      <c r="AB452" s="14"/>
      <c r="AC452" s="14"/>
      <c r="AD452" s="14"/>
      <c r="AE452" s="113" t="str">
        <f>IF(NOT(ISBLANK(Audit[[#This Row],[Audit Winning Candidate]])), Audit[[#This Row],[Audit Winning Candidate]]-Audit[[#This Row],[Winning Candidate]], "")</f>
        <v/>
      </c>
      <c r="AF452" s="17" t="str">
        <f>IF(NOT(ISBLANK(Audit[[#This Row],[Audit Losing Candidate]])), Audit[[#This Row],[Audit Losing Candidate]]-Audit[[#This Row],[Losing Candidate]], "")</f>
        <v/>
      </c>
      <c r="AG452" s="17" t="str">
        <f>IF(NOT(ISBLANK(Audit[[#This Row],[Audit Candidate 3]])), Audit[[#This Row],[Audit Candidate 3]]-Audit[[#This Row],[Candidate 3]], "")</f>
        <v/>
      </c>
      <c r="AH452" s="17" t="str">
        <f>IF(NOT(ISBLANK(Audit[[#This Row],[Audit Candidate 4]])),Audit[[#This Row],[Audit Candidate 4]]-Audit[[#This Row],[Candidate 4]], "")</f>
        <v/>
      </c>
      <c r="AI452" s="17" t="str">
        <f>IF(NOT(ISBLANK(Audit[[#This Row],[Audit Candidate 5]])), Audit[[#This Row],[Audit Candidate 5]]-Audit[[#This Row],[Candidate 5]], "")</f>
        <v/>
      </c>
      <c r="AJ452" s="17" t="str">
        <f>IF(NOT(ISBLANK(Audit[[#This Row],[Audit Candidate 6]])), Audit[[#This Row],[Audit Candidate 6]]-Audit[[#This Row],[Candidate 6]], "")</f>
        <v/>
      </c>
      <c r="AK452" s="17" t="str">
        <f>IF(NOT(ISBLANK(Audit[[#This Row],[Audit Candidate 7]])), Audit[[#This Row],[Audit Candidate 7]]-Audit[[#This Row],[Candidate 7]], "")</f>
        <v/>
      </c>
      <c r="AL452" s="17" t="str">
        <f>IF(NOT(ISBLANK(Audit[[#This Row],[Audit Candidate 8]])), Audit[[#This Row],[Audit Candidate 8]]-Audit[[#This Row],[Candidate 8]], "")</f>
        <v/>
      </c>
      <c r="AM452" s="17" t="str">
        <f>IF(NOT(ISBLANK(Audit[[#This Row],[Audit Candidate 9]])), Audit[[#This Row],[Audit Candidate 9]]-Audit[[#This Row],[Candidate 9]], "")</f>
        <v/>
      </c>
      <c r="AN452" s="17" t="str">
        <f>IF(NOT(ISBLANK(Audit[[#This Row],[Audit Candidate 10]])), Audit[[#This Row],[Audit Candidate 10]]-Audit[[#This Row],[Candidate 10]], "")</f>
        <v/>
      </c>
      <c r="AO452" s="17" t="str">
        <f>IF(NOT(ISBLANK(Audit[[#This Row],[Audit Candidate 11]])), Audit[[#This Row],[Audit Candidate 11]]-Audit[[#This Row],[Candidate 11]], "")</f>
        <v/>
      </c>
      <c r="AP452" s="17" t="str">
        <f>IF(NOT(ISBLANK(Audit[[#This Row],[Audit Candidate 12]])), Audit[[#This Row],[Audit Candidate 12]]-Audit[[#This Row],[Candidate 12]], "")</f>
        <v/>
      </c>
      <c r="AQ452" s="17">
        <f>SUMIF(Audit[[#This Row],[Difference Winner]:[Difference Candidate 12]], "&gt;0")</f>
        <v>0</v>
      </c>
      <c r="AR452" s="17">
        <f>SUM(Audit[[#This Row],[Difference Winner]:[Difference Candidate 12]])</f>
        <v>0</v>
      </c>
      <c r="AS452" s="17">
        <f>IF(Audit[[#This Row],[Times p Drawn - With Replacement]]&gt;0, IF(Audit[[#This Row],[Canceled Differences]]&lt;0, Audit[[#This Row],[Max Differences]]+ABS(Audit[[#This Row],[Canceled Differences]]), Audit[[#This Row],[Max Differences]]), 0)</f>
        <v>0</v>
      </c>
      <c r="AT452" s="17">
        <f>'Sampling Data'!AB452</f>
        <v>7.8509590901374975E-3</v>
      </c>
      <c r="AU452" s="17">
        <f>IF(
      SUM(Audit[[#This Row],[Audit Losing Candidate]:[Audit Candidate 12]])
      &lt;&gt;0,
      (Audit[[#This Row],[Winning Candidate]]-Audit[[#This Row],[Losing Candidate]]-(Audit[[#This Row],[Audit Winning Candidate]]-Audit[[#This Row],[Audit Losing Candidate]]))/(Audit[[#Totals],[Winning Candidate]]-Audit[[#Totals],[Losing Candidate]]),
      0
)</f>
        <v>0</v>
      </c>
      <c r="AV4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2" s="17">
        <f>IF(Audit[[#This Row],[Max Relative Error (ep)]] = 0, 0, Audit[[#This Row],[Max Relative Error (ep)]]/Audit[[#This Row],[Error Bound (up) - Max. possible relative overstatement]])</f>
        <v>0</v>
      </c>
      <c r="BH4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52" s="17">
        <f t="shared" si="7"/>
        <v>1</v>
      </c>
      <c r="BJ452" s="17">
        <f>PRODUCT($BI$5:BI452)</f>
        <v>0.46283459046185416</v>
      </c>
      <c r="BK452" s="19">
        <f>1 - Audit[[#This Row],[K-M P Value]]</f>
        <v>0.53716540953814584</v>
      </c>
      <c r="BL452" s="17" t="str">
        <f>IF(Audit[[#This Row],[K-M P Value]]&gt;1-'General Info'!$B$12,"Continue", "Stop")</f>
        <v>Continue</v>
      </c>
      <c r="BM452" s="22" t="b">
        <f>IF(Audit[[#This Row],[Status - Continue or stop audit]] = "Continue", TRUE, IF(BL451 = "Continue", TRUE, FALSE))</f>
        <v>1</v>
      </c>
      <c r="BN452" s="22"/>
    </row>
    <row r="453" spans="1:66" ht="15" hidden="1" customHeight="1" x14ac:dyDescent="0.35">
      <c r="A453" s="17" t="str">
        <f>'Sampling Data'!AI453</f>
        <v/>
      </c>
      <c r="B453" s="17" t="str">
        <f>'Sampling Data'!A453</f>
        <v>7324 GREEN X   (AV)</v>
      </c>
      <c r="C453" s="17">
        <f>'Sampling Data'!B453</f>
        <v>128</v>
      </c>
      <c r="D453" s="17">
        <f>'Sampling Data'!C453</f>
        <v>290</v>
      </c>
      <c r="E453" s="18">
        <f>'Sampling Data'!D453</f>
        <v>0</v>
      </c>
      <c r="F453" s="18">
        <f>'Sampling Data'!E453</f>
        <v>0</v>
      </c>
      <c r="G453" s="18">
        <f>'Sampling Data'!F453</f>
        <v>0</v>
      </c>
      <c r="H453" s="18">
        <f>'Sampling Data'!G453</f>
        <v>0</v>
      </c>
      <c r="I453" s="18">
        <f>'Sampling Data'!H453</f>
        <v>0</v>
      </c>
      <c r="J453" s="18">
        <f>'Sampling Data'!I453</f>
        <v>0</v>
      </c>
      <c r="K453" s="18">
        <f>'Sampling Data'!J453</f>
        <v>0</v>
      </c>
      <c r="L453" s="18">
        <f>'Sampling Data'!K453</f>
        <v>0</v>
      </c>
      <c r="M453" s="18">
        <f>'Sampling Data'!L453</f>
        <v>0</v>
      </c>
      <c r="N453" s="18">
        <f>'Sampling Data'!M453</f>
        <v>0</v>
      </c>
      <c r="O453" s="17">
        <f>'Sampling Data'!N453</f>
        <v>1</v>
      </c>
      <c r="P453" s="17">
        <f>'Sampling Data'!O453</f>
        <v>21</v>
      </c>
      <c r="Q453" s="17">
        <f>'Sampling Data'!P453</f>
        <v>440</v>
      </c>
      <c r="R453" s="17">
        <f>'Sampling Data'!AJ453</f>
        <v>0</v>
      </c>
      <c r="S453" s="111"/>
      <c r="T453" s="111"/>
      <c r="U453" s="112"/>
      <c r="V453" s="112"/>
      <c r="W453" s="111"/>
      <c r="X453" s="111"/>
      <c r="Y453" s="111"/>
      <c r="Z453" s="111"/>
      <c r="AA453" s="14"/>
      <c r="AB453" s="14"/>
      <c r="AC453" s="14"/>
      <c r="AD453" s="14"/>
      <c r="AE453" s="113" t="str">
        <f>IF(NOT(ISBLANK(Audit[[#This Row],[Audit Winning Candidate]])), Audit[[#This Row],[Audit Winning Candidate]]-Audit[[#This Row],[Winning Candidate]], "")</f>
        <v/>
      </c>
      <c r="AF453" s="17" t="str">
        <f>IF(NOT(ISBLANK(Audit[[#This Row],[Audit Losing Candidate]])), Audit[[#This Row],[Audit Losing Candidate]]-Audit[[#This Row],[Losing Candidate]], "")</f>
        <v/>
      </c>
      <c r="AG453" s="17" t="str">
        <f>IF(NOT(ISBLANK(Audit[[#This Row],[Audit Candidate 3]])), Audit[[#This Row],[Audit Candidate 3]]-Audit[[#This Row],[Candidate 3]], "")</f>
        <v/>
      </c>
      <c r="AH453" s="17" t="str">
        <f>IF(NOT(ISBLANK(Audit[[#This Row],[Audit Candidate 4]])),Audit[[#This Row],[Audit Candidate 4]]-Audit[[#This Row],[Candidate 4]], "")</f>
        <v/>
      </c>
      <c r="AI453" s="17" t="str">
        <f>IF(NOT(ISBLANK(Audit[[#This Row],[Audit Candidate 5]])), Audit[[#This Row],[Audit Candidate 5]]-Audit[[#This Row],[Candidate 5]], "")</f>
        <v/>
      </c>
      <c r="AJ453" s="17" t="str">
        <f>IF(NOT(ISBLANK(Audit[[#This Row],[Audit Candidate 6]])), Audit[[#This Row],[Audit Candidate 6]]-Audit[[#This Row],[Candidate 6]], "")</f>
        <v/>
      </c>
      <c r="AK453" s="17" t="str">
        <f>IF(NOT(ISBLANK(Audit[[#This Row],[Audit Candidate 7]])), Audit[[#This Row],[Audit Candidate 7]]-Audit[[#This Row],[Candidate 7]], "")</f>
        <v/>
      </c>
      <c r="AL453" s="17" t="str">
        <f>IF(NOT(ISBLANK(Audit[[#This Row],[Audit Candidate 8]])), Audit[[#This Row],[Audit Candidate 8]]-Audit[[#This Row],[Candidate 8]], "")</f>
        <v/>
      </c>
      <c r="AM453" s="17" t="str">
        <f>IF(NOT(ISBLANK(Audit[[#This Row],[Audit Candidate 9]])), Audit[[#This Row],[Audit Candidate 9]]-Audit[[#This Row],[Candidate 9]], "")</f>
        <v/>
      </c>
      <c r="AN453" s="17" t="str">
        <f>IF(NOT(ISBLANK(Audit[[#This Row],[Audit Candidate 10]])), Audit[[#This Row],[Audit Candidate 10]]-Audit[[#This Row],[Candidate 10]], "")</f>
        <v/>
      </c>
      <c r="AO453" s="17" t="str">
        <f>IF(NOT(ISBLANK(Audit[[#This Row],[Audit Candidate 11]])), Audit[[#This Row],[Audit Candidate 11]]-Audit[[#This Row],[Candidate 11]], "")</f>
        <v/>
      </c>
      <c r="AP453" s="17" t="str">
        <f>IF(NOT(ISBLANK(Audit[[#This Row],[Audit Candidate 12]])), Audit[[#This Row],[Audit Candidate 12]]-Audit[[#This Row],[Candidate 12]], "")</f>
        <v/>
      </c>
      <c r="AQ453" s="17">
        <f>SUMIF(Audit[[#This Row],[Difference Winner]:[Difference Candidate 12]], "&gt;0")</f>
        <v>0</v>
      </c>
      <c r="AR453" s="17">
        <f>SUM(Audit[[#This Row],[Difference Winner]:[Difference Candidate 12]])</f>
        <v>0</v>
      </c>
      <c r="AS453" s="17">
        <f>IF(Audit[[#This Row],[Times p Drawn - With Replacement]]&gt;0, IF(Audit[[#This Row],[Canceled Differences]]&lt;0, Audit[[#This Row],[Max Differences]]+ABS(Audit[[#This Row],[Canceled Differences]]), Audit[[#This Row],[Max Differences]]), 0)</f>
        <v>0</v>
      </c>
      <c r="AT453" s="17">
        <f>'Sampling Data'!AB453</f>
        <v>1.1797657443557969E-2</v>
      </c>
      <c r="AU453" s="17">
        <f>IF(
      SUM(Audit[[#This Row],[Audit Losing Candidate]:[Audit Candidate 12]])
      &lt;&gt;0,
      (Audit[[#This Row],[Winning Candidate]]-Audit[[#This Row],[Losing Candidate]]-(Audit[[#This Row],[Audit Winning Candidate]]-Audit[[#This Row],[Audit Losing Candidate]]))/(Audit[[#Totals],[Winning Candidate]]-Audit[[#Totals],[Losing Candidate]]),
      0
)</f>
        <v>0</v>
      </c>
      <c r="AV4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3" s="17">
        <f>IF(Audit[[#This Row],[Max Relative Error (ep)]] = 0, 0, Audit[[#This Row],[Max Relative Error (ep)]]/Audit[[#This Row],[Error Bound (up) - Max. possible relative overstatement]])</f>
        <v>0</v>
      </c>
      <c r="BH4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53" s="17">
        <f t="shared" si="7"/>
        <v>1</v>
      </c>
      <c r="BJ453" s="17">
        <f>PRODUCT($BI$5:BI453)</f>
        <v>0.46283459046185416</v>
      </c>
      <c r="BK453" s="19">
        <f>1 - Audit[[#This Row],[K-M P Value]]</f>
        <v>0.53716540953814584</v>
      </c>
      <c r="BL453" s="17" t="str">
        <f>IF(Audit[[#This Row],[K-M P Value]]&gt;1-'General Info'!$B$12,"Continue", "Stop")</f>
        <v>Continue</v>
      </c>
      <c r="BM453" s="22" t="b">
        <f>IF(Audit[[#This Row],[Status - Continue or stop audit]] = "Continue", TRUE, IF(BL452 = "Continue", TRUE, FALSE))</f>
        <v>1</v>
      </c>
      <c r="BN453" s="22"/>
    </row>
    <row r="454" spans="1:66" ht="15" hidden="1" customHeight="1" x14ac:dyDescent="0.35">
      <c r="A454" s="17" t="str">
        <f>'Sampling Data'!AI454</f>
        <v/>
      </c>
      <c r="B454" s="17" t="str">
        <f>'Sampling Data'!A454</f>
        <v>7325 GREEN Y   (AV)</v>
      </c>
      <c r="C454" s="17">
        <f>'Sampling Data'!B454</f>
        <v>95</v>
      </c>
      <c r="D454" s="17">
        <f>'Sampling Data'!C454</f>
        <v>212</v>
      </c>
      <c r="E454" s="18">
        <f>'Sampling Data'!D454</f>
        <v>0</v>
      </c>
      <c r="F454" s="18">
        <f>'Sampling Data'!E454</f>
        <v>0</v>
      </c>
      <c r="G454" s="18">
        <f>'Sampling Data'!F454</f>
        <v>0</v>
      </c>
      <c r="H454" s="18">
        <f>'Sampling Data'!G454</f>
        <v>0</v>
      </c>
      <c r="I454" s="18">
        <f>'Sampling Data'!H454</f>
        <v>0</v>
      </c>
      <c r="J454" s="18">
        <f>'Sampling Data'!I454</f>
        <v>0</v>
      </c>
      <c r="K454" s="18">
        <f>'Sampling Data'!J454</f>
        <v>0</v>
      </c>
      <c r="L454" s="18">
        <f>'Sampling Data'!K454</f>
        <v>0</v>
      </c>
      <c r="M454" s="18">
        <f>'Sampling Data'!L454</f>
        <v>0</v>
      </c>
      <c r="N454" s="18">
        <f>'Sampling Data'!M454</f>
        <v>0</v>
      </c>
      <c r="O454" s="17">
        <f>'Sampling Data'!N454</f>
        <v>0</v>
      </c>
      <c r="P454" s="17">
        <f>'Sampling Data'!O454</f>
        <v>17</v>
      </c>
      <c r="Q454" s="17">
        <f>'Sampling Data'!P454</f>
        <v>324</v>
      </c>
      <c r="R454" s="17">
        <f>'Sampling Data'!AJ454</f>
        <v>0</v>
      </c>
      <c r="S454" s="111"/>
      <c r="T454" s="111"/>
      <c r="U454" s="112"/>
      <c r="V454" s="112"/>
      <c r="W454" s="111"/>
      <c r="X454" s="111"/>
      <c r="Y454" s="111"/>
      <c r="Z454" s="111"/>
      <c r="AA454" s="14"/>
      <c r="AB454" s="14"/>
      <c r="AC454" s="14"/>
      <c r="AD454" s="14"/>
      <c r="AE454" s="113" t="str">
        <f>IF(NOT(ISBLANK(Audit[[#This Row],[Audit Winning Candidate]])), Audit[[#This Row],[Audit Winning Candidate]]-Audit[[#This Row],[Winning Candidate]], "")</f>
        <v/>
      </c>
      <c r="AF454" s="17" t="str">
        <f>IF(NOT(ISBLANK(Audit[[#This Row],[Audit Losing Candidate]])), Audit[[#This Row],[Audit Losing Candidate]]-Audit[[#This Row],[Losing Candidate]], "")</f>
        <v/>
      </c>
      <c r="AG454" s="17" t="str">
        <f>IF(NOT(ISBLANK(Audit[[#This Row],[Audit Candidate 3]])), Audit[[#This Row],[Audit Candidate 3]]-Audit[[#This Row],[Candidate 3]], "")</f>
        <v/>
      </c>
      <c r="AH454" s="17" t="str">
        <f>IF(NOT(ISBLANK(Audit[[#This Row],[Audit Candidate 4]])),Audit[[#This Row],[Audit Candidate 4]]-Audit[[#This Row],[Candidate 4]], "")</f>
        <v/>
      </c>
      <c r="AI454" s="17" t="str">
        <f>IF(NOT(ISBLANK(Audit[[#This Row],[Audit Candidate 5]])), Audit[[#This Row],[Audit Candidate 5]]-Audit[[#This Row],[Candidate 5]], "")</f>
        <v/>
      </c>
      <c r="AJ454" s="17" t="str">
        <f>IF(NOT(ISBLANK(Audit[[#This Row],[Audit Candidate 6]])), Audit[[#This Row],[Audit Candidate 6]]-Audit[[#This Row],[Candidate 6]], "")</f>
        <v/>
      </c>
      <c r="AK454" s="17" t="str">
        <f>IF(NOT(ISBLANK(Audit[[#This Row],[Audit Candidate 7]])), Audit[[#This Row],[Audit Candidate 7]]-Audit[[#This Row],[Candidate 7]], "")</f>
        <v/>
      </c>
      <c r="AL454" s="17" t="str">
        <f>IF(NOT(ISBLANK(Audit[[#This Row],[Audit Candidate 8]])), Audit[[#This Row],[Audit Candidate 8]]-Audit[[#This Row],[Candidate 8]], "")</f>
        <v/>
      </c>
      <c r="AM454" s="17" t="str">
        <f>IF(NOT(ISBLANK(Audit[[#This Row],[Audit Candidate 9]])), Audit[[#This Row],[Audit Candidate 9]]-Audit[[#This Row],[Candidate 9]], "")</f>
        <v/>
      </c>
      <c r="AN454" s="17" t="str">
        <f>IF(NOT(ISBLANK(Audit[[#This Row],[Audit Candidate 10]])), Audit[[#This Row],[Audit Candidate 10]]-Audit[[#This Row],[Candidate 10]], "")</f>
        <v/>
      </c>
      <c r="AO454" s="17" t="str">
        <f>IF(NOT(ISBLANK(Audit[[#This Row],[Audit Candidate 11]])), Audit[[#This Row],[Audit Candidate 11]]-Audit[[#This Row],[Candidate 11]], "")</f>
        <v/>
      </c>
      <c r="AP454" s="17" t="str">
        <f>IF(NOT(ISBLANK(Audit[[#This Row],[Audit Candidate 12]])), Audit[[#This Row],[Audit Candidate 12]]-Audit[[#This Row],[Candidate 12]], "")</f>
        <v/>
      </c>
      <c r="AQ454" s="17">
        <f>SUMIF(Audit[[#This Row],[Difference Winner]:[Difference Candidate 12]], "&gt;0")</f>
        <v>0</v>
      </c>
      <c r="AR454" s="17">
        <f>SUM(Audit[[#This Row],[Difference Winner]:[Difference Candidate 12]])</f>
        <v>0</v>
      </c>
      <c r="AS454" s="17">
        <f>IF(Audit[[#This Row],[Times p Drawn - With Replacement]]&gt;0, IF(Audit[[#This Row],[Canceled Differences]]&lt;0, Audit[[#This Row],[Max Differences]]+ABS(Audit[[#This Row],[Canceled Differences]]), Audit[[#This Row],[Max Differences]]), 0)</f>
        <v>0</v>
      </c>
      <c r="AT454" s="17">
        <f>'Sampling Data'!AB454</f>
        <v>8.784586657613308E-3</v>
      </c>
      <c r="AU454" s="17">
        <f>IF(
      SUM(Audit[[#This Row],[Audit Losing Candidate]:[Audit Candidate 12]])
      &lt;&gt;0,
      (Audit[[#This Row],[Winning Candidate]]-Audit[[#This Row],[Losing Candidate]]-(Audit[[#This Row],[Audit Winning Candidate]]-Audit[[#This Row],[Audit Losing Candidate]]))/(Audit[[#Totals],[Winning Candidate]]-Audit[[#Totals],[Losing Candidate]]),
      0
)</f>
        <v>0</v>
      </c>
      <c r="AV4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4" s="17">
        <f>IF(Audit[[#This Row],[Max Relative Error (ep)]] = 0, 0, Audit[[#This Row],[Max Relative Error (ep)]]/Audit[[#This Row],[Error Bound (up) - Max. possible relative overstatement]])</f>
        <v>0</v>
      </c>
      <c r="BH4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54" s="17">
        <f t="shared" si="7"/>
        <v>1</v>
      </c>
      <c r="BJ454" s="17">
        <f>PRODUCT($BI$5:BI454)</f>
        <v>0.46283459046185416</v>
      </c>
      <c r="BK454" s="19">
        <f>1 - Audit[[#This Row],[K-M P Value]]</f>
        <v>0.53716540953814584</v>
      </c>
      <c r="BL454" s="17" t="str">
        <f>IF(Audit[[#This Row],[K-M P Value]]&gt;1-'General Info'!$B$12,"Continue", "Stop")</f>
        <v>Continue</v>
      </c>
      <c r="BM454" s="22" t="b">
        <f>IF(Audit[[#This Row],[Status - Continue or stop audit]] = "Continue", TRUE, IF(BL453 = "Continue", TRUE, FALSE))</f>
        <v>1</v>
      </c>
      <c r="BN454" s="22"/>
    </row>
    <row r="455" spans="1:66" ht="15" hidden="1" customHeight="1" x14ac:dyDescent="0.35">
      <c r="A455" s="17" t="str">
        <f>'Sampling Data'!AI455</f>
        <v/>
      </c>
      <c r="B455" s="17" t="str">
        <f>'Sampling Data'!A455</f>
        <v>7326 GREEN Z   (AV)</v>
      </c>
      <c r="C455" s="17">
        <f>'Sampling Data'!B455</f>
        <v>140</v>
      </c>
      <c r="D455" s="17">
        <f>'Sampling Data'!C455</f>
        <v>337</v>
      </c>
      <c r="E455" s="18">
        <f>'Sampling Data'!D455</f>
        <v>0</v>
      </c>
      <c r="F455" s="18">
        <f>'Sampling Data'!E455</f>
        <v>0</v>
      </c>
      <c r="G455" s="18">
        <f>'Sampling Data'!F455</f>
        <v>0</v>
      </c>
      <c r="H455" s="18">
        <f>'Sampling Data'!G455</f>
        <v>0</v>
      </c>
      <c r="I455" s="18">
        <f>'Sampling Data'!H455</f>
        <v>0</v>
      </c>
      <c r="J455" s="18">
        <f>'Sampling Data'!I455</f>
        <v>0</v>
      </c>
      <c r="K455" s="18">
        <f>'Sampling Data'!J455</f>
        <v>0</v>
      </c>
      <c r="L455" s="18">
        <f>'Sampling Data'!K455</f>
        <v>0</v>
      </c>
      <c r="M455" s="18">
        <f>'Sampling Data'!L455</f>
        <v>0</v>
      </c>
      <c r="N455" s="18">
        <f>'Sampling Data'!M455</f>
        <v>0</v>
      </c>
      <c r="O455" s="17">
        <f>'Sampling Data'!N455</f>
        <v>0</v>
      </c>
      <c r="P455" s="17">
        <f>'Sampling Data'!O455</f>
        <v>26</v>
      </c>
      <c r="Q455" s="17">
        <f>'Sampling Data'!P455</f>
        <v>503</v>
      </c>
      <c r="R455" s="17">
        <f>'Sampling Data'!AJ455</f>
        <v>0</v>
      </c>
      <c r="S455" s="111"/>
      <c r="T455" s="111"/>
      <c r="U455" s="112"/>
      <c r="V455" s="112"/>
      <c r="W455" s="111"/>
      <c r="X455" s="111"/>
      <c r="Y455" s="111"/>
      <c r="Z455" s="111"/>
      <c r="AA455" s="14"/>
      <c r="AB455" s="14"/>
      <c r="AC455" s="14"/>
      <c r="AD455" s="14"/>
      <c r="AE455" s="113" t="str">
        <f>IF(NOT(ISBLANK(Audit[[#This Row],[Audit Winning Candidate]])), Audit[[#This Row],[Audit Winning Candidate]]-Audit[[#This Row],[Winning Candidate]], "")</f>
        <v/>
      </c>
      <c r="AF455" s="17" t="str">
        <f>IF(NOT(ISBLANK(Audit[[#This Row],[Audit Losing Candidate]])), Audit[[#This Row],[Audit Losing Candidate]]-Audit[[#This Row],[Losing Candidate]], "")</f>
        <v/>
      </c>
      <c r="AG455" s="17" t="str">
        <f>IF(NOT(ISBLANK(Audit[[#This Row],[Audit Candidate 3]])), Audit[[#This Row],[Audit Candidate 3]]-Audit[[#This Row],[Candidate 3]], "")</f>
        <v/>
      </c>
      <c r="AH455" s="17" t="str">
        <f>IF(NOT(ISBLANK(Audit[[#This Row],[Audit Candidate 4]])),Audit[[#This Row],[Audit Candidate 4]]-Audit[[#This Row],[Candidate 4]], "")</f>
        <v/>
      </c>
      <c r="AI455" s="17" t="str">
        <f>IF(NOT(ISBLANK(Audit[[#This Row],[Audit Candidate 5]])), Audit[[#This Row],[Audit Candidate 5]]-Audit[[#This Row],[Candidate 5]], "")</f>
        <v/>
      </c>
      <c r="AJ455" s="17" t="str">
        <f>IF(NOT(ISBLANK(Audit[[#This Row],[Audit Candidate 6]])), Audit[[#This Row],[Audit Candidate 6]]-Audit[[#This Row],[Candidate 6]], "")</f>
        <v/>
      </c>
      <c r="AK455" s="17" t="str">
        <f>IF(NOT(ISBLANK(Audit[[#This Row],[Audit Candidate 7]])), Audit[[#This Row],[Audit Candidate 7]]-Audit[[#This Row],[Candidate 7]], "")</f>
        <v/>
      </c>
      <c r="AL455" s="17" t="str">
        <f>IF(NOT(ISBLANK(Audit[[#This Row],[Audit Candidate 8]])), Audit[[#This Row],[Audit Candidate 8]]-Audit[[#This Row],[Candidate 8]], "")</f>
        <v/>
      </c>
      <c r="AM455" s="17" t="str">
        <f>IF(NOT(ISBLANK(Audit[[#This Row],[Audit Candidate 9]])), Audit[[#This Row],[Audit Candidate 9]]-Audit[[#This Row],[Candidate 9]], "")</f>
        <v/>
      </c>
      <c r="AN455" s="17" t="str">
        <f>IF(NOT(ISBLANK(Audit[[#This Row],[Audit Candidate 10]])), Audit[[#This Row],[Audit Candidate 10]]-Audit[[#This Row],[Candidate 10]], "")</f>
        <v/>
      </c>
      <c r="AO455" s="17" t="str">
        <f>IF(NOT(ISBLANK(Audit[[#This Row],[Audit Candidate 11]])), Audit[[#This Row],[Audit Candidate 11]]-Audit[[#This Row],[Candidate 11]], "")</f>
        <v/>
      </c>
      <c r="AP455" s="17" t="str">
        <f>IF(NOT(ISBLANK(Audit[[#This Row],[Audit Candidate 12]])), Audit[[#This Row],[Audit Candidate 12]]-Audit[[#This Row],[Candidate 12]], "")</f>
        <v/>
      </c>
      <c r="AQ455" s="17">
        <f>SUMIF(Audit[[#This Row],[Difference Winner]:[Difference Candidate 12]], "&gt;0")</f>
        <v>0</v>
      </c>
      <c r="AR455" s="17">
        <f>SUM(Audit[[#This Row],[Difference Winner]:[Difference Candidate 12]])</f>
        <v>0</v>
      </c>
      <c r="AS455" s="17">
        <f>IF(Audit[[#This Row],[Times p Drawn - With Replacement]]&gt;0, IF(Audit[[#This Row],[Canceled Differences]]&lt;0, Audit[[#This Row],[Max Differences]]+ABS(Audit[[#This Row],[Canceled Differences]]), Audit[[#This Row],[Max Differences]]), 0)</f>
        <v>0</v>
      </c>
      <c r="AT455" s="17">
        <f>'Sampling Data'!AB455</f>
        <v>1.2985910711254456E-2</v>
      </c>
      <c r="AU455" s="17">
        <f>IF(
      SUM(Audit[[#This Row],[Audit Losing Candidate]:[Audit Candidate 12]])
      &lt;&gt;0,
      (Audit[[#This Row],[Winning Candidate]]-Audit[[#This Row],[Losing Candidate]]-(Audit[[#This Row],[Audit Winning Candidate]]-Audit[[#This Row],[Audit Losing Candidate]]))/(Audit[[#Totals],[Winning Candidate]]-Audit[[#Totals],[Losing Candidate]]),
      0
)</f>
        <v>0</v>
      </c>
      <c r="AV4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5" s="17">
        <f>IF(Audit[[#This Row],[Max Relative Error (ep)]] = 0, 0, Audit[[#This Row],[Max Relative Error (ep)]]/Audit[[#This Row],[Error Bound (up) - Max. possible relative overstatement]])</f>
        <v>0</v>
      </c>
      <c r="BH4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55" s="17">
        <f t="shared" si="7"/>
        <v>1</v>
      </c>
      <c r="BJ455" s="17">
        <f>PRODUCT($BI$5:BI455)</f>
        <v>0.46283459046185416</v>
      </c>
      <c r="BK455" s="19">
        <f>1 - Audit[[#This Row],[K-M P Value]]</f>
        <v>0.53716540953814584</v>
      </c>
      <c r="BL455" s="17" t="str">
        <f>IF(Audit[[#This Row],[K-M P Value]]&gt;1-'General Info'!$B$12,"Continue", "Stop")</f>
        <v>Continue</v>
      </c>
      <c r="BM455" s="22" t="b">
        <f>IF(Audit[[#This Row],[Status - Continue or stop audit]] = "Continue", TRUE, IF(BL454 = "Continue", TRUE, FALSE))</f>
        <v>1</v>
      </c>
      <c r="BN455" s="22"/>
    </row>
    <row r="456" spans="1:66" ht="15" hidden="1" customHeight="1" x14ac:dyDescent="0.35">
      <c r="A456" s="17" t="str">
        <f>'Sampling Data'!AI456</f>
        <v/>
      </c>
      <c r="B456" s="17" t="str">
        <f>'Sampling Data'!A456</f>
        <v>7327 GREEN AA   (AV)</v>
      </c>
      <c r="C456" s="17">
        <f>'Sampling Data'!B456</f>
        <v>101</v>
      </c>
      <c r="D456" s="17">
        <f>'Sampling Data'!C456</f>
        <v>184</v>
      </c>
      <c r="E456" s="18">
        <f>'Sampling Data'!D456</f>
        <v>0</v>
      </c>
      <c r="F456" s="18">
        <f>'Sampling Data'!E456</f>
        <v>0</v>
      </c>
      <c r="G456" s="18">
        <f>'Sampling Data'!F456</f>
        <v>0</v>
      </c>
      <c r="H456" s="18">
        <f>'Sampling Data'!G456</f>
        <v>0</v>
      </c>
      <c r="I456" s="18">
        <f>'Sampling Data'!H456</f>
        <v>0</v>
      </c>
      <c r="J456" s="18">
        <f>'Sampling Data'!I456</f>
        <v>0</v>
      </c>
      <c r="K456" s="18">
        <f>'Sampling Data'!J456</f>
        <v>0</v>
      </c>
      <c r="L456" s="18">
        <f>'Sampling Data'!K456</f>
        <v>0</v>
      </c>
      <c r="M456" s="18">
        <f>'Sampling Data'!L456</f>
        <v>0</v>
      </c>
      <c r="N456" s="18">
        <f>'Sampling Data'!M456</f>
        <v>0</v>
      </c>
      <c r="O456" s="17">
        <f>'Sampling Data'!N456</f>
        <v>0</v>
      </c>
      <c r="P456" s="17">
        <f>'Sampling Data'!O456</f>
        <v>11</v>
      </c>
      <c r="Q456" s="17">
        <f>'Sampling Data'!P456</f>
        <v>296</v>
      </c>
      <c r="R456" s="17">
        <f>'Sampling Data'!AJ456</f>
        <v>0</v>
      </c>
      <c r="S456" s="111"/>
      <c r="T456" s="111"/>
      <c r="U456" s="112"/>
      <c r="V456" s="112"/>
      <c r="W456" s="111"/>
      <c r="X456" s="111"/>
      <c r="Y456" s="111"/>
      <c r="Z456" s="111"/>
      <c r="AA456" s="14"/>
      <c r="AB456" s="14"/>
      <c r="AC456" s="14"/>
      <c r="AD456" s="14"/>
      <c r="AE456" s="113" t="str">
        <f>IF(NOT(ISBLANK(Audit[[#This Row],[Audit Winning Candidate]])), Audit[[#This Row],[Audit Winning Candidate]]-Audit[[#This Row],[Winning Candidate]], "")</f>
        <v/>
      </c>
      <c r="AF456" s="17" t="str">
        <f>IF(NOT(ISBLANK(Audit[[#This Row],[Audit Losing Candidate]])), Audit[[#This Row],[Audit Losing Candidate]]-Audit[[#This Row],[Losing Candidate]], "")</f>
        <v/>
      </c>
      <c r="AG456" s="17" t="str">
        <f>IF(NOT(ISBLANK(Audit[[#This Row],[Audit Candidate 3]])), Audit[[#This Row],[Audit Candidate 3]]-Audit[[#This Row],[Candidate 3]], "")</f>
        <v/>
      </c>
      <c r="AH456" s="17" t="str">
        <f>IF(NOT(ISBLANK(Audit[[#This Row],[Audit Candidate 4]])),Audit[[#This Row],[Audit Candidate 4]]-Audit[[#This Row],[Candidate 4]], "")</f>
        <v/>
      </c>
      <c r="AI456" s="17" t="str">
        <f>IF(NOT(ISBLANK(Audit[[#This Row],[Audit Candidate 5]])), Audit[[#This Row],[Audit Candidate 5]]-Audit[[#This Row],[Candidate 5]], "")</f>
        <v/>
      </c>
      <c r="AJ456" s="17" t="str">
        <f>IF(NOT(ISBLANK(Audit[[#This Row],[Audit Candidate 6]])), Audit[[#This Row],[Audit Candidate 6]]-Audit[[#This Row],[Candidate 6]], "")</f>
        <v/>
      </c>
      <c r="AK456" s="17" t="str">
        <f>IF(NOT(ISBLANK(Audit[[#This Row],[Audit Candidate 7]])), Audit[[#This Row],[Audit Candidate 7]]-Audit[[#This Row],[Candidate 7]], "")</f>
        <v/>
      </c>
      <c r="AL456" s="17" t="str">
        <f>IF(NOT(ISBLANK(Audit[[#This Row],[Audit Candidate 8]])), Audit[[#This Row],[Audit Candidate 8]]-Audit[[#This Row],[Candidate 8]], "")</f>
        <v/>
      </c>
      <c r="AM456" s="17" t="str">
        <f>IF(NOT(ISBLANK(Audit[[#This Row],[Audit Candidate 9]])), Audit[[#This Row],[Audit Candidate 9]]-Audit[[#This Row],[Candidate 9]], "")</f>
        <v/>
      </c>
      <c r="AN456" s="17" t="str">
        <f>IF(NOT(ISBLANK(Audit[[#This Row],[Audit Candidate 10]])), Audit[[#This Row],[Audit Candidate 10]]-Audit[[#This Row],[Candidate 10]], "")</f>
        <v/>
      </c>
      <c r="AO456" s="17" t="str">
        <f>IF(NOT(ISBLANK(Audit[[#This Row],[Audit Candidate 11]])), Audit[[#This Row],[Audit Candidate 11]]-Audit[[#This Row],[Candidate 11]], "")</f>
        <v/>
      </c>
      <c r="AP456" s="17" t="str">
        <f>IF(NOT(ISBLANK(Audit[[#This Row],[Audit Candidate 12]])), Audit[[#This Row],[Audit Candidate 12]]-Audit[[#This Row],[Candidate 12]], "")</f>
        <v/>
      </c>
      <c r="AQ456" s="17">
        <f>SUMIF(Audit[[#This Row],[Difference Winner]:[Difference Candidate 12]], "&gt;0")</f>
        <v>0</v>
      </c>
      <c r="AR456" s="17">
        <f>SUM(Audit[[#This Row],[Difference Winner]:[Difference Candidate 12]])</f>
        <v>0</v>
      </c>
      <c r="AS456" s="17">
        <f>IF(Audit[[#This Row],[Times p Drawn - With Replacement]]&gt;0, IF(Audit[[#This Row],[Canceled Differences]]&lt;0, Audit[[#This Row],[Max Differences]]+ABS(Audit[[#This Row],[Canceled Differences]]), Audit[[#This Row],[Max Differences]]), 0)</f>
        <v>0</v>
      </c>
      <c r="AT456" s="17">
        <f>'Sampling Data'!AB456</f>
        <v>9.0392123578339843E-3</v>
      </c>
      <c r="AU456" s="17">
        <f>IF(
      SUM(Audit[[#This Row],[Audit Losing Candidate]:[Audit Candidate 12]])
      &lt;&gt;0,
      (Audit[[#This Row],[Winning Candidate]]-Audit[[#This Row],[Losing Candidate]]-(Audit[[#This Row],[Audit Winning Candidate]]-Audit[[#This Row],[Audit Losing Candidate]]))/(Audit[[#Totals],[Winning Candidate]]-Audit[[#Totals],[Losing Candidate]]),
      0
)</f>
        <v>0</v>
      </c>
      <c r="AV4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6" s="17">
        <f>IF(Audit[[#This Row],[Max Relative Error (ep)]] = 0, 0, Audit[[#This Row],[Max Relative Error (ep)]]/Audit[[#This Row],[Error Bound (up) - Max. possible relative overstatement]])</f>
        <v>0</v>
      </c>
      <c r="BH4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56" s="17">
        <f t="shared" si="7"/>
        <v>1</v>
      </c>
      <c r="BJ456" s="17">
        <f>PRODUCT($BI$5:BI456)</f>
        <v>0.46283459046185416</v>
      </c>
      <c r="BK456" s="19">
        <f>1 - Audit[[#This Row],[K-M P Value]]</f>
        <v>0.53716540953814584</v>
      </c>
      <c r="BL456" s="17" t="str">
        <f>IF(Audit[[#This Row],[K-M P Value]]&gt;1-'General Info'!$B$12,"Continue", "Stop")</f>
        <v>Continue</v>
      </c>
      <c r="BM456" s="22" t="b">
        <f>IF(Audit[[#This Row],[Status - Continue or stop audit]] = "Continue", TRUE, IF(BL455 = "Continue", TRUE, FALSE))</f>
        <v>1</v>
      </c>
      <c r="BN456" s="22"/>
    </row>
    <row r="457" spans="1:66" ht="15" hidden="1" customHeight="1" x14ac:dyDescent="0.35">
      <c r="A457" s="17" t="str">
        <f>'Sampling Data'!AI457</f>
        <v/>
      </c>
      <c r="B457" s="17" t="str">
        <f>'Sampling Data'!A457</f>
        <v>7328 GREEN BB   (AV)</v>
      </c>
      <c r="C457" s="17">
        <f>'Sampling Data'!B457</f>
        <v>90</v>
      </c>
      <c r="D457" s="17">
        <f>'Sampling Data'!C457</f>
        <v>165</v>
      </c>
      <c r="E457" s="18">
        <f>'Sampling Data'!D457</f>
        <v>0</v>
      </c>
      <c r="F457" s="18">
        <f>'Sampling Data'!E457</f>
        <v>0</v>
      </c>
      <c r="G457" s="18">
        <f>'Sampling Data'!F457</f>
        <v>0</v>
      </c>
      <c r="H457" s="18">
        <f>'Sampling Data'!G457</f>
        <v>0</v>
      </c>
      <c r="I457" s="18">
        <f>'Sampling Data'!H457</f>
        <v>0</v>
      </c>
      <c r="J457" s="18">
        <f>'Sampling Data'!I457</f>
        <v>0</v>
      </c>
      <c r="K457" s="18">
        <f>'Sampling Data'!J457</f>
        <v>0</v>
      </c>
      <c r="L457" s="18">
        <f>'Sampling Data'!K457</f>
        <v>0</v>
      </c>
      <c r="M457" s="18">
        <f>'Sampling Data'!L457</f>
        <v>0</v>
      </c>
      <c r="N457" s="18">
        <f>'Sampling Data'!M457</f>
        <v>0</v>
      </c>
      <c r="O457" s="17">
        <f>'Sampling Data'!N457</f>
        <v>0</v>
      </c>
      <c r="P457" s="17">
        <f>'Sampling Data'!O457</f>
        <v>13</v>
      </c>
      <c r="Q457" s="17">
        <f>'Sampling Data'!P457</f>
        <v>268</v>
      </c>
      <c r="R457" s="17">
        <f>'Sampling Data'!AJ457</f>
        <v>0</v>
      </c>
      <c r="S457" s="111"/>
      <c r="T457" s="111"/>
      <c r="U457" s="112"/>
      <c r="V457" s="112"/>
      <c r="W457" s="111"/>
      <c r="X457" s="111"/>
      <c r="Y457" s="111"/>
      <c r="Z457" s="111"/>
      <c r="AA457" s="14"/>
      <c r="AB457" s="14"/>
      <c r="AC457" s="14"/>
      <c r="AD457" s="14"/>
      <c r="AE457" s="113" t="str">
        <f>IF(NOT(ISBLANK(Audit[[#This Row],[Audit Winning Candidate]])), Audit[[#This Row],[Audit Winning Candidate]]-Audit[[#This Row],[Winning Candidate]], "")</f>
        <v/>
      </c>
      <c r="AF457" s="17" t="str">
        <f>IF(NOT(ISBLANK(Audit[[#This Row],[Audit Losing Candidate]])), Audit[[#This Row],[Audit Losing Candidate]]-Audit[[#This Row],[Losing Candidate]], "")</f>
        <v/>
      </c>
      <c r="AG457" s="17" t="str">
        <f>IF(NOT(ISBLANK(Audit[[#This Row],[Audit Candidate 3]])), Audit[[#This Row],[Audit Candidate 3]]-Audit[[#This Row],[Candidate 3]], "")</f>
        <v/>
      </c>
      <c r="AH457" s="17" t="str">
        <f>IF(NOT(ISBLANK(Audit[[#This Row],[Audit Candidate 4]])),Audit[[#This Row],[Audit Candidate 4]]-Audit[[#This Row],[Candidate 4]], "")</f>
        <v/>
      </c>
      <c r="AI457" s="17" t="str">
        <f>IF(NOT(ISBLANK(Audit[[#This Row],[Audit Candidate 5]])), Audit[[#This Row],[Audit Candidate 5]]-Audit[[#This Row],[Candidate 5]], "")</f>
        <v/>
      </c>
      <c r="AJ457" s="17" t="str">
        <f>IF(NOT(ISBLANK(Audit[[#This Row],[Audit Candidate 6]])), Audit[[#This Row],[Audit Candidate 6]]-Audit[[#This Row],[Candidate 6]], "")</f>
        <v/>
      </c>
      <c r="AK457" s="17" t="str">
        <f>IF(NOT(ISBLANK(Audit[[#This Row],[Audit Candidate 7]])), Audit[[#This Row],[Audit Candidate 7]]-Audit[[#This Row],[Candidate 7]], "")</f>
        <v/>
      </c>
      <c r="AL457" s="17" t="str">
        <f>IF(NOT(ISBLANK(Audit[[#This Row],[Audit Candidate 8]])), Audit[[#This Row],[Audit Candidate 8]]-Audit[[#This Row],[Candidate 8]], "")</f>
        <v/>
      </c>
      <c r="AM457" s="17" t="str">
        <f>IF(NOT(ISBLANK(Audit[[#This Row],[Audit Candidate 9]])), Audit[[#This Row],[Audit Candidate 9]]-Audit[[#This Row],[Candidate 9]], "")</f>
        <v/>
      </c>
      <c r="AN457" s="17" t="str">
        <f>IF(NOT(ISBLANK(Audit[[#This Row],[Audit Candidate 10]])), Audit[[#This Row],[Audit Candidate 10]]-Audit[[#This Row],[Candidate 10]], "")</f>
        <v/>
      </c>
      <c r="AO457" s="17" t="str">
        <f>IF(NOT(ISBLANK(Audit[[#This Row],[Audit Candidate 11]])), Audit[[#This Row],[Audit Candidate 11]]-Audit[[#This Row],[Candidate 11]], "")</f>
        <v/>
      </c>
      <c r="AP457" s="17" t="str">
        <f>IF(NOT(ISBLANK(Audit[[#This Row],[Audit Candidate 12]])), Audit[[#This Row],[Audit Candidate 12]]-Audit[[#This Row],[Candidate 12]], "")</f>
        <v/>
      </c>
      <c r="AQ457" s="17">
        <f>SUMIF(Audit[[#This Row],[Difference Winner]:[Difference Candidate 12]], "&gt;0")</f>
        <v>0</v>
      </c>
      <c r="AR457" s="17">
        <f>SUM(Audit[[#This Row],[Difference Winner]:[Difference Candidate 12]])</f>
        <v>0</v>
      </c>
      <c r="AS457" s="17">
        <f>IF(Audit[[#This Row],[Times p Drawn - With Replacement]]&gt;0, IF(Audit[[#This Row],[Canceled Differences]]&lt;0, Audit[[#This Row],[Max Differences]]+ABS(Audit[[#This Row],[Canceled Differences]]), Audit[[#This Row],[Max Differences]]), 0)</f>
        <v>0</v>
      </c>
      <c r="AT457" s="17">
        <f>'Sampling Data'!AB457</f>
        <v>8.1904600237650647E-3</v>
      </c>
      <c r="AU457" s="17">
        <f>IF(
      SUM(Audit[[#This Row],[Audit Losing Candidate]:[Audit Candidate 12]])
      &lt;&gt;0,
      (Audit[[#This Row],[Winning Candidate]]-Audit[[#This Row],[Losing Candidate]]-(Audit[[#This Row],[Audit Winning Candidate]]-Audit[[#This Row],[Audit Losing Candidate]]))/(Audit[[#Totals],[Winning Candidate]]-Audit[[#Totals],[Losing Candidate]]),
      0
)</f>
        <v>0</v>
      </c>
      <c r="AV4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7" s="17">
        <f>IF(Audit[[#This Row],[Max Relative Error (ep)]] = 0, 0, Audit[[#This Row],[Max Relative Error (ep)]]/Audit[[#This Row],[Error Bound (up) - Max. possible relative overstatement]])</f>
        <v>0</v>
      </c>
      <c r="BH4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57" s="17">
        <f t="shared" si="7"/>
        <v>1</v>
      </c>
      <c r="BJ457" s="17">
        <f>PRODUCT($BI$5:BI457)</f>
        <v>0.46283459046185416</v>
      </c>
      <c r="BK457" s="19">
        <f>1 - Audit[[#This Row],[K-M P Value]]</f>
        <v>0.53716540953814584</v>
      </c>
      <c r="BL457" s="17" t="str">
        <f>IF(Audit[[#This Row],[K-M P Value]]&gt;1-'General Info'!$B$12,"Continue", "Stop")</f>
        <v>Continue</v>
      </c>
      <c r="BM457" s="22" t="b">
        <f>IF(Audit[[#This Row],[Status - Continue or stop audit]] = "Continue", TRUE, IF(BL456 = "Continue", TRUE, FALSE))</f>
        <v>1</v>
      </c>
      <c r="BN457" s="22"/>
    </row>
    <row r="458" spans="1:66" ht="15" hidden="1" customHeight="1" x14ac:dyDescent="0.35">
      <c r="A458" s="17" t="str">
        <f>'Sampling Data'!AI458</f>
        <v/>
      </c>
      <c r="B458" s="17" t="str">
        <f>'Sampling Data'!A458</f>
        <v>7329 GREEN CC   (AV)</v>
      </c>
      <c r="C458" s="17">
        <f>'Sampling Data'!B458</f>
        <v>102</v>
      </c>
      <c r="D458" s="17">
        <f>'Sampling Data'!C458</f>
        <v>207</v>
      </c>
      <c r="E458" s="18">
        <f>'Sampling Data'!D458</f>
        <v>0</v>
      </c>
      <c r="F458" s="18">
        <f>'Sampling Data'!E458</f>
        <v>0</v>
      </c>
      <c r="G458" s="18">
        <f>'Sampling Data'!F458</f>
        <v>0</v>
      </c>
      <c r="H458" s="18">
        <f>'Sampling Data'!G458</f>
        <v>0</v>
      </c>
      <c r="I458" s="18">
        <f>'Sampling Data'!H458</f>
        <v>0</v>
      </c>
      <c r="J458" s="18">
        <f>'Sampling Data'!I458</f>
        <v>0</v>
      </c>
      <c r="K458" s="18">
        <f>'Sampling Data'!J458</f>
        <v>0</v>
      </c>
      <c r="L458" s="18">
        <f>'Sampling Data'!K458</f>
        <v>0</v>
      </c>
      <c r="M458" s="18">
        <f>'Sampling Data'!L458</f>
        <v>0</v>
      </c>
      <c r="N458" s="18">
        <f>'Sampling Data'!M458</f>
        <v>0</v>
      </c>
      <c r="O458" s="17">
        <f>'Sampling Data'!N458</f>
        <v>0</v>
      </c>
      <c r="P458" s="17">
        <f>'Sampling Data'!O458</f>
        <v>14</v>
      </c>
      <c r="Q458" s="17">
        <f>'Sampling Data'!P458</f>
        <v>323</v>
      </c>
      <c r="R458" s="17">
        <f>'Sampling Data'!AJ458</f>
        <v>0</v>
      </c>
      <c r="S458" s="111"/>
      <c r="T458" s="111"/>
      <c r="U458" s="112"/>
      <c r="V458" s="112"/>
      <c r="W458" s="111"/>
      <c r="X458" s="111"/>
      <c r="Y458" s="111"/>
      <c r="Z458" s="111"/>
      <c r="AA458" s="14"/>
      <c r="AB458" s="14"/>
      <c r="AC458" s="14"/>
      <c r="AD458" s="14"/>
      <c r="AE458" s="113" t="str">
        <f>IF(NOT(ISBLANK(Audit[[#This Row],[Audit Winning Candidate]])), Audit[[#This Row],[Audit Winning Candidate]]-Audit[[#This Row],[Winning Candidate]], "")</f>
        <v/>
      </c>
      <c r="AF458" s="17" t="str">
        <f>IF(NOT(ISBLANK(Audit[[#This Row],[Audit Losing Candidate]])), Audit[[#This Row],[Audit Losing Candidate]]-Audit[[#This Row],[Losing Candidate]], "")</f>
        <v/>
      </c>
      <c r="AG458" s="17" t="str">
        <f>IF(NOT(ISBLANK(Audit[[#This Row],[Audit Candidate 3]])), Audit[[#This Row],[Audit Candidate 3]]-Audit[[#This Row],[Candidate 3]], "")</f>
        <v/>
      </c>
      <c r="AH458" s="17" t="str">
        <f>IF(NOT(ISBLANK(Audit[[#This Row],[Audit Candidate 4]])),Audit[[#This Row],[Audit Candidate 4]]-Audit[[#This Row],[Candidate 4]], "")</f>
        <v/>
      </c>
      <c r="AI458" s="17" t="str">
        <f>IF(NOT(ISBLANK(Audit[[#This Row],[Audit Candidate 5]])), Audit[[#This Row],[Audit Candidate 5]]-Audit[[#This Row],[Candidate 5]], "")</f>
        <v/>
      </c>
      <c r="AJ458" s="17" t="str">
        <f>IF(NOT(ISBLANK(Audit[[#This Row],[Audit Candidate 6]])), Audit[[#This Row],[Audit Candidate 6]]-Audit[[#This Row],[Candidate 6]], "")</f>
        <v/>
      </c>
      <c r="AK458" s="17" t="str">
        <f>IF(NOT(ISBLANK(Audit[[#This Row],[Audit Candidate 7]])), Audit[[#This Row],[Audit Candidate 7]]-Audit[[#This Row],[Candidate 7]], "")</f>
        <v/>
      </c>
      <c r="AL458" s="17" t="str">
        <f>IF(NOT(ISBLANK(Audit[[#This Row],[Audit Candidate 8]])), Audit[[#This Row],[Audit Candidate 8]]-Audit[[#This Row],[Candidate 8]], "")</f>
        <v/>
      </c>
      <c r="AM458" s="17" t="str">
        <f>IF(NOT(ISBLANK(Audit[[#This Row],[Audit Candidate 9]])), Audit[[#This Row],[Audit Candidate 9]]-Audit[[#This Row],[Candidate 9]], "")</f>
        <v/>
      </c>
      <c r="AN458" s="17" t="str">
        <f>IF(NOT(ISBLANK(Audit[[#This Row],[Audit Candidate 10]])), Audit[[#This Row],[Audit Candidate 10]]-Audit[[#This Row],[Candidate 10]], "")</f>
        <v/>
      </c>
      <c r="AO458" s="17" t="str">
        <f>IF(NOT(ISBLANK(Audit[[#This Row],[Audit Candidate 11]])), Audit[[#This Row],[Audit Candidate 11]]-Audit[[#This Row],[Candidate 11]], "")</f>
        <v/>
      </c>
      <c r="AP458" s="17" t="str">
        <f>IF(NOT(ISBLANK(Audit[[#This Row],[Audit Candidate 12]])), Audit[[#This Row],[Audit Candidate 12]]-Audit[[#This Row],[Candidate 12]], "")</f>
        <v/>
      </c>
      <c r="AQ458" s="17">
        <f>SUMIF(Audit[[#This Row],[Difference Winner]:[Difference Candidate 12]], "&gt;0")</f>
        <v>0</v>
      </c>
      <c r="AR458" s="17">
        <f>SUM(Audit[[#This Row],[Difference Winner]:[Difference Candidate 12]])</f>
        <v>0</v>
      </c>
      <c r="AS458" s="17">
        <f>IF(Audit[[#This Row],[Times p Drawn - With Replacement]]&gt;0, IF(Audit[[#This Row],[Canceled Differences]]&lt;0, Audit[[#This Row],[Max Differences]]+ABS(Audit[[#This Row],[Canceled Differences]]), Audit[[#This Row],[Max Differences]]), 0)</f>
        <v>0</v>
      </c>
      <c r="AT458" s="17">
        <f>'Sampling Data'!AB458</f>
        <v>9.2514004413512142E-3</v>
      </c>
      <c r="AU458" s="17">
        <f>IF(
      SUM(Audit[[#This Row],[Audit Losing Candidate]:[Audit Candidate 12]])
      &lt;&gt;0,
      (Audit[[#This Row],[Winning Candidate]]-Audit[[#This Row],[Losing Candidate]]-(Audit[[#This Row],[Audit Winning Candidate]]-Audit[[#This Row],[Audit Losing Candidate]]))/(Audit[[#Totals],[Winning Candidate]]-Audit[[#Totals],[Losing Candidate]]),
      0
)</f>
        <v>0</v>
      </c>
      <c r="AV4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8" s="17">
        <f>IF(Audit[[#This Row],[Max Relative Error (ep)]] = 0, 0, Audit[[#This Row],[Max Relative Error (ep)]]/Audit[[#This Row],[Error Bound (up) - Max. possible relative overstatement]])</f>
        <v>0</v>
      </c>
      <c r="BH4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58" s="17">
        <f t="shared" si="7"/>
        <v>1</v>
      </c>
      <c r="BJ458" s="17">
        <f>PRODUCT($BI$5:BI458)</f>
        <v>0.46283459046185416</v>
      </c>
      <c r="BK458" s="19">
        <f>1 - Audit[[#This Row],[K-M P Value]]</f>
        <v>0.53716540953814584</v>
      </c>
      <c r="BL458" s="17" t="str">
        <f>IF(Audit[[#This Row],[K-M P Value]]&gt;1-'General Info'!$B$12,"Continue", "Stop")</f>
        <v>Continue</v>
      </c>
      <c r="BM458" s="22" t="b">
        <f>IF(Audit[[#This Row],[Status - Continue or stop audit]] = "Continue", TRUE, IF(BL457 = "Continue", TRUE, FALSE))</f>
        <v>1</v>
      </c>
      <c r="BN458" s="22"/>
    </row>
    <row r="459" spans="1:66" ht="15" hidden="1" customHeight="1" x14ac:dyDescent="0.35">
      <c r="A459" s="17" t="str">
        <f>'Sampling Data'!AI459</f>
        <v/>
      </c>
      <c r="B459" s="17" t="str">
        <f>'Sampling Data'!A459</f>
        <v>7330 GREEN DD   (AV)</v>
      </c>
      <c r="C459" s="17">
        <f>'Sampling Data'!B459</f>
        <v>111</v>
      </c>
      <c r="D459" s="17">
        <f>'Sampling Data'!C459</f>
        <v>262</v>
      </c>
      <c r="E459" s="18">
        <f>'Sampling Data'!D459</f>
        <v>0</v>
      </c>
      <c r="F459" s="18">
        <f>'Sampling Data'!E459</f>
        <v>0</v>
      </c>
      <c r="G459" s="18">
        <f>'Sampling Data'!F459</f>
        <v>0</v>
      </c>
      <c r="H459" s="18">
        <f>'Sampling Data'!G459</f>
        <v>0</v>
      </c>
      <c r="I459" s="18">
        <f>'Sampling Data'!H459</f>
        <v>0</v>
      </c>
      <c r="J459" s="18">
        <f>'Sampling Data'!I459</f>
        <v>0</v>
      </c>
      <c r="K459" s="18">
        <f>'Sampling Data'!J459</f>
        <v>0</v>
      </c>
      <c r="L459" s="18">
        <f>'Sampling Data'!K459</f>
        <v>0</v>
      </c>
      <c r="M459" s="18">
        <f>'Sampling Data'!L459</f>
        <v>0</v>
      </c>
      <c r="N459" s="18">
        <f>'Sampling Data'!M459</f>
        <v>0</v>
      </c>
      <c r="O459" s="17">
        <f>'Sampling Data'!N459</f>
        <v>0</v>
      </c>
      <c r="P459" s="17">
        <f>'Sampling Data'!O459</f>
        <v>20</v>
      </c>
      <c r="Q459" s="17">
        <f>'Sampling Data'!P459</f>
        <v>393</v>
      </c>
      <c r="R459" s="17">
        <f>'Sampling Data'!AJ459</f>
        <v>0</v>
      </c>
      <c r="S459" s="111"/>
      <c r="T459" s="111"/>
      <c r="U459" s="112"/>
      <c r="V459" s="112"/>
      <c r="W459" s="111"/>
      <c r="X459" s="111"/>
      <c r="Y459" s="111"/>
      <c r="Z459" s="111"/>
      <c r="AA459" s="14"/>
      <c r="AB459" s="14"/>
      <c r="AC459" s="14"/>
      <c r="AD459" s="14"/>
      <c r="AE459" s="113" t="str">
        <f>IF(NOT(ISBLANK(Audit[[#This Row],[Audit Winning Candidate]])), Audit[[#This Row],[Audit Winning Candidate]]-Audit[[#This Row],[Winning Candidate]], "")</f>
        <v/>
      </c>
      <c r="AF459" s="17" t="str">
        <f>IF(NOT(ISBLANK(Audit[[#This Row],[Audit Losing Candidate]])), Audit[[#This Row],[Audit Losing Candidate]]-Audit[[#This Row],[Losing Candidate]], "")</f>
        <v/>
      </c>
      <c r="AG459" s="17" t="str">
        <f>IF(NOT(ISBLANK(Audit[[#This Row],[Audit Candidate 3]])), Audit[[#This Row],[Audit Candidate 3]]-Audit[[#This Row],[Candidate 3]], "")</f>
        <v/>
      </c>
      <c r="AH459" s="17" t="str">
        <f>IF(NOT(ISBLANK(Audit[[#This Row],[Audit Candidate 4]])),Audit[[#This Row],[Audit Candidate 4]]-Audit[[#This Row],[Candidate 4]], "")</f>
        <v/>
      </c>
      <c r="AI459" s="17" t="str">
        <f>IF(NOT(ISBLANK(Audit[[#This Row],[Audit Candidate 5]])), Audit[[#This Row],[Audit Candidate 5]]-Audit[[#This Row],[Candidate 5]], "")</f>
        <v/>
      </c>
      <c r="AJ459" s="17" t="str">
        <f>IF(NOT(ISBLANK(Audit[[#This Row],[Audit Candidate 6]])), Audit[[#This Row],[Audit Candidate 6]]-Audit[[#This Row],[Candidate 6]], "")</f>
        <v/>
      </c>
      <c r="AK459" s="17" t="str">
        <f>IF(NOT(ISBLANK(Audit[[#This Row],[Audit Candidate 7]])), Audit[[#This Row],[Audit Candidate 7]]-Audit[[#This Row],[Candidate 7]], "")</f>
        <v/>
      </c>
      <c r="AL459" s="17" t="str">
        <f>IF(NOT(ISBLANK(Audit[[#This Row],[Audit Candidate 8]])), Audit[[#This Row],[Audit Candidate 8]]-Audit[[#This Row],[Candidate 8]], "")</f>
        <v/>
      </c>
      <c r="AM459" s="17" t="str">
        <f>IF(NOT(ISBLANK(Audit[[#This Row],[Audit Candidate 9]])), Audit[[#This Row],[Audit Candidate 9]]-Audit[[#This Row],[Candidate 9]], "")</f>
        <v/>
      </c>
      <c r="AN459" s="17" t="str">
        <f>IF(NOT(ISBLANK(Audit[[#This Row],[Audit Candidate 10]])), Audit[[#This Row],[Audit Candidate 10]]-Audit[[#This Row],[Candidate 10]], "")</f>
        <v/>
      </c>
      <c r="AO459" s="17" t="str">
        <f>IF(NOT(ISBLANK(Audit[[#This Row],[Audit Candidate 11]])), Audit[[#This Row],[Audit Candidate 11]]-Audit[[#This Row],[Candidate 11]], "")</f>
        <v/>
      </c>
      <c r="AP459" s="17" t="str">
        <f>IF(NOT(ISBLANK(Audit[[#This Row],[Audit Candidate 12]])), Audit[[#This Row],[Audit Candidate 12]]-Audit[[#This Row],[Candidate 12]], "")</f>
        <v/>
      </c>
      <c r="AQ459" s="17">
        <f>SUMIF(Audit[[#This Row],[Difference Winner]:[Difference Candidate 12]], "&gt;0")</f>
        <v>0</v>
      </c>
      <c r="AR459" s="17">
        <f>SUM(Audit[[#This Row],[Difference Winner]:[Difference Candidate 12]])</f>
        <v>0</v>
      </c>
      <c r="AS459" s="17">
        <f>IF(Audit[[#This Row],[Times p Drawn - With Replacement]]&gt;0, IF(Audit[[#This Row],[Canceled Differences]]&lt;0, Audit[[#This Row],[Max Differences]]+ABS(Audit[[#This Row],[Canceled Differences]]), Audit[[#This Row],[Max Differences]]), 0)</f>
        <v>0</v>
      </c>
      <c r="AT459" s="17">
        <f>'Sampling Data'!AB459</f>
        <v>1.0269903242233916E-2</v>
      </c>
      <c r="AU459" s="17">
        <f>IF(
      SUM(Audit[[#This Row],[Audit Losing Candidate]:[Audit Candidate 12]])
      &lt;&gt;0,
      (Audit[[#This Row],[Winning Candidate]]-Audit[[#This Row],[Losing Candidate]]-(Audit[[#This Row],[Audit Winning Candidate]]-Audit[[#This Row],[Audit Losing Candidate]]))/(Audit[[#Totals],[Winning Candidate]]-Audit[[#Totals],[Losing Candidate]]),
      0
)</f>
        <v>0</v>
      </c>
      <c r="AV4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9" s="17">
        <f>IF(Audit[[#This Row],[Max Relative Error (ep)]] = 0, 0, Audit[[#This Row],[Max Relative Error (ep)]]/Audit[[#This Row],[Error Bound (up) - Max. possible relative overstatement]])</f>
        <v>0</v>
      </c>
      <c r="BH4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59" s="17">
        <f t="shared" si="7"/>
        <v>1</v>
      </c>
      <c r="BJ459" s="17">
        <f>PRODUCT($BI$5:BI459)</f>
        <v>0.46283459046185416</v>
      </c>
      <c r="BK459" s="19">
        <f>1 - Audit[[#This Row],[K-M P Value]]</f>
        <v>0.53716540953814584</v>
      </c>
      <c r="BL459" s="17" t="str">
        <f>IF(Audit[[#This Row],[K-M P Value]]&gt;1-'General Info'!$B$12,"Continue", "Stop")</f>
        <v>Continue</v>
      </c>
      <c r="BM459" s="22" t="b">
        <f>IF(Audit[[#This Row],[Status - Continue or stop audit]] = "Continue", TRUE, IF(BL458 = "Continue", TRUE, FALSE))</f>
        <v>1</v>
      </c>
      <c r="BN459" s="22"/>
    </row>
    <row r="460" spans="1:66" ht="15" hidden="1" customHeight="1" x14ac:dyDescent="0.35">
      <c r="A460" s="17" t="str">
        <f>'Sampling Data'!AI460</f>
        <v/>
      </c>
      <c r="B460" s="17" t="str">
        <f>'Sampling Data'!A460</f>
        <v>7331 GREEN EE   (AV)</v>
      </c>
      <c r="C460" s="17">
        <f>'Sampling Data'!B460</f>
        <v>116</v>
      </c>
      <c r="D460" s="17">
        <f>'Sampling Data'!C460</f>
        <v>166</v>
      </c>
      <c r="E460" s="18">
        <f>'Sampling Data'!D460</f>
        <v>0</v>
      </c>
      <c r="F460" s="18">
        <f>'Sampling Data'!E460</f>
        <v>0</v>
      </c>
      <c r="G460" s="18">
        <f>'Sampling Data'!F460</f>
        <v>0</v>
      </c>
      <c r="H460" s="18">
        <f>'Sampling Data'!G460</f>
        <v>0</v>
      </c>
      <c r="I460" s="18">
        <f>'Sampling Data'!H460</f>
        <v>0</v>
      </c>
      <c r="J460" s="18">
        <f>'Sampling Data'!I460</f>
        <v>0</v>
      </c>
      <c r="K460" s="18">
        <f>'Sampling Data'!J460</f>
        <v>0</v>
      </c>
      <c r="L460" s="18">
        <f>'Sampling Data'!K460</f>
        <v>0</v>
      </c>
      <c r="M460" s="18">
        <f>'Sampling Data'!L460</f>
        <v>0</v>
      </c>
      <c r="N460" s="18">
        <f>'Sampling Data'!M460</f>
        <v>0</v>
      </c>
      <c r="O460" s="17">
        <f>'Sampling Data'!N460</f>
        <v>1</v>
      </c>
      <c r="P460" s="17">
        <f>'Sampling Data'!O460</f>
        <v>19</v>
      </c>
      <c r="Q460" s="17">
        <f>'Sampling Data'!P460</f>
        <v>302</v>
      </c>
      <c r="R460" s="17">
        <f>'Sampling Data'!AJ460</f>
        <v>0</v>
      </c>
      <c r="S460" s="111"/>
      <c r="T460" s="111"/>
      <c r="U460" s="112"/>
      <c r="V460" s="112"/>
      <c r="W460" s="111"/>
      <c r="X460" s="111"/>
      <c r="Y460" s="111"/>
      <c r="Z460" s="111"/>
      <c r="AA460" s="14"/>
      <c r="AB460" s="14"/>
      <c r="AC460" s="14"/>
      <c r="AD460" s="14"/>
      <c r="AE460" s="113" t="str">
        <f>IF(NOT(ISBLANK(Audit[[#This Row],[Audit Winning Candidate]])), Audit[[#This Row],[Audit Winning Candidate]]-Audit[[#This Row],[Winning Candidate]], "")</f>
        <v/>
      </c>
      <c r="AF460" s="17" t="str">
        <f>IF(NOT(ISBLANK(Audit[[#This Row],[Audit Losing Candidate]])), Audit[[#This Row],[Audit Losing Candidate]]-Audit[[#This Row],[Losing Candidate]], "")</f>
        <v/>
      </c>
      <c r="AG460" s="17" t="str">
        <f>IF(NOT(ISBLANK(Audit[[#This Row],[Audit Candidate 3]])), Audit[[#This Row],[Audit Candidate 3]]-Audit[[#This Row],[Candidate 3]], "")</f>
        <v/>
      </c>
      <c r="AH460" s="17" t="str">
        <f>IF(NOT(ISBLANK(Audit[[#This Row],[Audit Candidate 4]])),Audit[[#This Row],[Audit Candidate 4]]-Audit[[#This Row],[Candidate 4]], "")</f>
        <v/>
      </c>
      <c r="AI460" s="17" t="str">
        <f>IF(NOT(ISBLANK(Audit[[#This Row],[Audit Candidate 5]])), Audit[[#This Row],[Audit Candidate 5]]-Audit[[#This Row],[Candidate 5]], "")</f>
        <v/>
      </c>
      <c r="AJ460" s="17" t="str">
        <f>IF(NOT(ISBLANK(Audit[[#This Row],[Audit Candidate 6]])), Audit[[#This Row],[Audit Candidate 6]]-Audit[[#This Row],[Candidate 6]], "")</f>
        <v/>
      </c>
      <c r="AK460" s="17" t="str">
        <f>IF(NOT(ISBLANK(Audit[[#This Row],[Audit Candidate 7]])), Audit[[#This Row],[Audit Candidate 7]]-Audit[[#This Row],[Candidate 7]], "")</f>
        <v/>
      </c>
      <c r="AL460" s="17" t="str">
        <f>IF(NOT(ISBLANK(Audit[[#This Row],[Audit Candidate 8]])), Audit[[#This Row],[Audit Candidate 8]]-Audit[[#This Row],[Candidate 8]], "")</f>
        <v/>
      </c>
      <c r="AM460" s="17" t="str">
        <f>IF(NOT(ISBLANK(Audit[[#This Row],[Audit Candidate 9]])), Audit[[#This Row],[Audit Candidate 9]]-Audit[[#This Row],[Candidate 9]], "")</f>
        <v/>
      </c>
      <c r="AN460" s="17" t="str">
        <f>IF(NOT(ISBLANK(Audit[[#This Row],[Audit Candidate 10]])), Audit[[#This Row],[Audit Candidate 10]]-Audit[[#This Row],[Candidate 10]], "")</f>
        <v/>
      </c>
      <c r="AO460" s="17" t="str">
        <f>IF(NOT(ISBLANK(Audit[[#This Row],[Audit Candidate 11]])), Audit[[#This Row],[Audit Candidate 11]]-Audit[[#This Row],[Candidate 11]], "")</f>
        <v/>
      </c>
      <c r="AP460" s="17" t="str">
        <f>IF(NOT(ISBLANK(Audit[[#This Row],[Audit Candidate 12]])), Audit[[#This Row],[Audit Candidate 12]]-Audit[[#This Row],[Candidate 12]], "")</f>
        <v/>
      </c>
      <c r="AQ460" s="17">
        <f>SUMIF(Audit[[#This Row],[Difference Winner]:[Difference Candidate 12]], "&gt;0")</f>
        <v>0</v>
      </c>
      <c r="AR460" s="17">
        <f>SUM(Audit[[#This Row],[Difference Winner]:[Difference Candidate 12]])</f>
        <v>0</v>
      </c>
      <c r="AS460" s="17">
        <f>IF(Audit[[#This Row],[Times p Drawn - With Replacement]]&gt;0, IF(Audit[[#This Row],[Canceled Differences]]&lt;0, Audit[[#This Row],[Max Differences]]+ABS(Audit[[#This Row],[Canceled Differences]]), Audit[[#This Row],[Max Differences]]), 0)</f>
        <v>0</v>
      </c>
      <c r="AT460" s="17">
        <f>'Sampling Data'!AB460</f>
        <v>1.0694279409268375E-2</v>
      </c>
      <c r="AU460" s="17">
        <f>IF(
      SUM(Audit[[#This Row],[Audit Losing Candidate]:[Audit Candidate 12]])
      &lt;&gt;0,
      (Audit[[#This Row],[Winning Candidate]]-Audit[[#This Row],[Losing Candidate]]-(Audit[[#This Row],[Audit Winning Candidate]]-Audit[[#This Row],[Audit Losing Candidate]]))/(Audit[[#Totals],[Winning Candidate]]-Audit[[#Totals],[Losing Candidate]]),
      0
)</f>
        <v>0</v>
      </c>
      <c r="AV4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0" s="17">
        <f>IF(Audit[[#This Row],[Max Relative Error (ep)]] = 0, 0, Audit[[#This Row],[Max Relative Error (ep)]]/Audit[[#This Row],[Error Bound (up) - Max. possible relative overstatement]])</f>
        <v>0</v>
      </c>
      <c r="BH4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60" s="17">
        <f t="shared" si="7"/>
        <v>1</v>
      </c>
      <c r="BJ460" s="17">
        <f>PRODUCT($BI$5:BI460)</f>
        <v>0.46283459046185416</v>
      </c>
      <c r="BK460" s="19">
        <f>1 - Audit[[#This Row],[K-M P Value]]</f>
        <v>0.53716540953814584</v>
      </c>
      <c r="BL460" s="17" t="str">
        <f>IF(Audit[[#This Row],[K-M P Value]]&gt;1-'General Info'!$B$12,"Continue", "Stop")</f>
        <v>Continue</v>
      </c>
      <c r="BM460" s="22" t="b">
        <f>IF(Audit[[#This Row],[Status - Continue or stop audit]] = "Continue", TRUE, IF(BL459 = "Continue", TRUE, FALSE))</f>
        <v>1</v>
      </c>
      <c r="BN460" s="22"/>
    </row>
    <row r="461" spans="1:66" ht="15" hidden="1" customHeight="1" x14ac:dyDescent="0.35">
      <c r="A461" s="17" t="str">
        <f>'Sampling Data'!AI461</f>
        <v/>
      </c>
      <c r="B461" s="17" t="str">
        <f>'Sampling Data'!A461</f>
        <v>7332 GREEN FF   (AV)</v>
      </c>
      <c r="C461" s="17">
        <f>'Sampling Data'!B461</f>
        <v>147</v>
      </c>
      <c r="D461" s="17">
        <f>'Sampling Data'!C461</f>
        <v>172</v>
      </c>
      <c r="E461" s="18">
        <f>'Sampling Data'!D461</f>
        <v>0</v>
      </c>
      <c r="F461" s="18">
        <f>'Sampling Data'!E461</f>
        <v>0</v>
      </c>
      <c r="G461" s="18">
        <f>'Sampling Data'!F461</f>
        <v>0</v>
      </c>
      <c r="H461" s="18">
        <f>'Sampling Data'!G461</f>
        <v>0</v>
      </c>
      <c r="I461" s="18">
        <f>'Sampling Data'!H461</f>
        <v>0</v>
      </c>
      <c r="J461" s="18">
        <f>'Sampling Data'!I461</f>
        <v>0</v>
      </c>
      <c r="K461" s="18">
        <f>'Sampling Data'!J461</f>
        <v>0</v>
      </c>
      <c r="L461" s="18">
        <f>'Sampling Data'!K461</f>
        <v>0</v>
      </c>
      <c r="M461" s="18">
        <f>'Sampling Data'!L461</f>
        <v>0</v>
      </c>
      <c r="N461" s="18">
        <f>'Sampling Data'!M461</f>
        <v>0</v>
      </c>
      <c r="O461" s="17">
        <f>'Sampling Data'!N461</f>
        <v>0</v>
      </c>
      <c r="P461" s="17">
        <f>'Sampling Data'!O461</f>
        <v>20</v>
      </c>
      <c r="Q461" s="17">
        <f>'Sampling Data'!P461</f>
        <v>339</v>
      </c>
      <c r="R461" s="17">
        <f>'Sampling Data'!AJ461</f>
        <v>0</v>
      </c>
      <c r="S461" s="111"/>
      <c r="T461" s="111"/>
      <c r="U461" s="112"/>
      <c r="V461" s="112"/>
      <c r="W461" s="111"/>
      <c r="X461" s="111"/>
      <c r="Y461" s="111"/>
      <c r="Z461" s="111"/>
      <c r="AA461" s="14"/>
      <c r="AB461" s="14"/>
      <c r="AC461" s="14"/>
      <c r="AD461" s="14"/>
      <c r="AE461" s="113" t="str">
        <f>IF(NOT(ISBLANK(Audit[[#This Row],[Audit Winning Candidate]])), Audit[[#This Row],[Audit Winning Candidate]]-Audit[[#This Row],[Winning Candidate]], "")</f>
        <v/>
      </c>
      <c r="AF461" s="17" t="str">
        <f>IF(NOT(ISBLANK(Audit[[#This Row],[Audit Losing Candidate]])), Audit[[#This Row],[Audit Losing Candidate]]-Audit[[#This Row],[Losing Candidate]], "")</f>
        <v/>
      </c>
      <c r="AG461" s="17" t="str">
        <f>IF(NOT(ISBLANK(Audit[[#This Row],[Audit Candidate 3]])), Audit[[#This Row],[Audit Candidate 3]]-Audit[[#This Row],[Candidate 3]], "")</f>
        <v/>
      </c>
      <c r="AH461" s="17" t="str">
        <f>IF(NOT(ISBLANK(Audit[[#This Row],[Audit Candidate 4]])),Audit[[#This Row],[Audit Candidate 4]]-Audit[[#This Row],[Candidate 4]], "")</f>
        <v/>
      </c>
      <c r="AI461" s="17" t="str">
        <f>IF(NOT(ISBLANK(Audit[[#This Row],[Audit Candidate 5]])), Audit[[#This Row],[Audit Candidate 5]]-Audit[[#This Row],[Candidate 5]], "")</f>
        <v/>
      </c>
      <c r="AJ461" s="17" t="str">
        <f>IF(NOT(ISBLANK(Audit[[#This Row],[Audit Candidate 6]])), Audit[[#This Row],[Audit Candidate 6]]-Audit[[#This Row],[Candidate 6]], "")</f>
        <v/>
      </c>
      <c r="AK461" s="17" t="str">
        <f>IF(NOT(ISBLANK(Audit[[#This Row],[Audit Candidate 7]])), Audit[[#This Row],[Audit Candidate 7]]-Audit[[#This Row],[Candidate 7]], "")</f>
        <v/>
      </c>
      <c r="AL461" s="17" t="str">
        <f>IF(NOT(ISBLANK(Audit[[#This Row],[Audit Candidate 8]])), Audit[[#This Row],[Audit Candidate 8]]-Audit[[#This Row],[Candidate 8]], "")</f>
        <v/>
      </c>
      <c r="AM461" s="17" t="str">
        <f>IF(NOT(ISBLANK(Audit[[#This Row],[Audit Candidate 9]])), Audit[[#This Row],[Audit Candidate 9]]-Audit[[#This Row],[Candidate 9]], "")</f>
        <v/>
      </c>
      <c r="AN461" s="17" t="str">
        <f>IF(NOT(ISBLANK(Audit[[#This Row],[Audit Candidate 10]])), Audit[[#This Row],[Audit Candidate 10]]-Audit[[#This Row],[Candidate 10]], "")</f>
        <v/>
      </c>
      <c r="AO461" s="17" t="str">
        <f>IF(NOT(ISBLANK(Audit[[#This Row],[Audit Candidate 11]])), Audit[[#This Row],[Audit Candidate 11]]-Audit[[#This Row],[Candidate 11]], "")</f>
        <v/>
      </c>
      <c r="AP461" s="17" t="str">
        <f>IF(NOT(ISBLANK(Audit[[#This Row],[Audit Candidate 12]])), Audit[[#This Row],[Audit Candidate 12]]-Audit[[#This Row],[Candidate 12]], "")</f>
        <v/>
      </c>
      <c r="AQ461" s="17">
        <f>SUMIF(Audit[[#This Row],[Difference Winner]:[Difference Candidate 12]], "&gt;0")</f>
        <v>0</v>
      </c>
      <c r="AR461" s="17">
        <f>SUM(Audit[[#This Row],[Difference Winner]:[Difference Candidate 12]])</f>
        <v>0</v>
      </c>
      <c r="AS461" s="17">
        <f>IF(Audit[[#This Row],[Times p Drawn - With Replacement]]&gt;0, IF(Audit[[#This Row],[Canceled Differences]]&lt;0, Audit[[#This Row],[Max Differences]]+ABS(Audit[[#This Row],[Canceled Differences]]), Audit[[#This Row],[Max Differences]]), 0)</f>
        <v>0</v>
      </c>
      <c r="AT461" s="17">
        <f>'Sampling Data'!AB461</f>
        <v>1.3325411644882023E-2</v>
      </c>
      <c r="AU461" s="17">
        <f>IF(
      SUM(Audit[[#This Row],[Audit Losing Candidate]:[Audit Candidate 12]])
      &lt;&gt;0,
      (Audit[[#This Row],[Winning Candidate]]-Audit[[#This Row],[Losing Candidate]]-(Audit[[#This Row],[Audit Winning Candidate]]-Audit[[#This Row],[Audit Losing Candidate]]))/(Audit[[#Totals],[Winning Candidate]]-Audit[[#Totals],[Losing Candidate]]),
      0
)</f>
        <v>0</v>
      </c>
      <c r="AV4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1" s="17">
        <f>IF(Audit[[#This Row],[Max Relative Error (ep)]] = 0, 0, Audit[[#This Row],[Max Relative Error (ep)]]/Audit[[#This Row],[Error Bound (up) - Max. possible relative overstatement]])</f>
        <v>0</v>
      </c>
      <c r="BH4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61" s="17">
        <f t="shared" si="7"/>
        <v>1</v>
      </c>
      <c r="BJ461" s="17">
        <f>PRODUCT($BI$5:BI461)</f>
        <v>0.46283459046185416</v>
      </c>
      <c r="BK461" s="19">
        <f>1 - Audit[[#This Row],[K-M P Value]]</f>
        <v>0.53716540953814584</v>
      </c>
      <c r="BL461" s="17" t="str">
        <f>IF(Audit[[#This Row],[K-M P Value]]&gt;1-'General Info'!$B$12,"Continue", "Stop")</f>
        <v>Continue</v>
      </c>
      <c r="BM461" s="22" t="b">
        <f>IF(Audit[[#This Row],[Status - Continue or stop audit]] = "Continue", TRUE, IF(BL460 = "Continue", TRUE, FALSE))</f>
        <v>1</v>
      </c>
      <c r="BN461" s="22"/>
    </row>
    <row r="462" spans="1:66" ht="15" hidden="1" customHeight="1" x14ac:dyDescent="0.35">
      <c r="A462" s="17" t="str">
        <f>'Sampling Data'!AI462</f>
        <v/>
      </c>
      <c r="B462" s="17" t="str">
        <f>'Sampling Data'!A462</f>
        <v>7333 GREEN GG   (AV)</v>
      </c>
      <c r="C462" s="17">
        <f>'Sampling Data'!B462</f>
        <v>93</v>
      </c>
      <c r="D462" s="17">
        <f>'Sampling Data'!C462</f>
        <v>256</v>
      </c>
      <c r="E462" s="18">
        <f>'Sampling Data'!D462</f>
        <v>0</v>
      </c>
      <c r="F462" s="18">
        <f>'Sampling Data'!E462</f>
        <v>0</v>
      </c>
      <c r="G462" s="18">
        <f>'Sampling Data'!F462</f>
        <v>0</v>
      </c>
      <c r="H462" s="18">
        <f>'Sampling Data'!G462</f>
        <v>0</v>
      </c>
      <c r="I462" s="18">
        <f>'Sampling Data'!H462</f>
        <v>0</v>
      </c>
      <c r="J462" s="18">
        <f>'Sampling Data'!I462</f>
        <v>0</v>
      </c>
      <c r="K462" s="18">
        <f>'Sampling Data'!J462</f>
        <v>0</v>
      </c>
      <c r="L462" s="18">
        <f>'Sampling Data'!K462</f>
        <v>0</v>
      </c>
      <c r="M462" s="18">
        <f>'Sampling Data'!L462</f>
        <v>0</v>
      </c>
      <c r="N462" s="18">
        <f>'Sampling Data'!M462</f>
        <v>0</v>
      </c>
      <c r="O462" s="17">
        <f>'Sampling Data'!N462</f>
        <v>0</v>
      </c>
      <c r="P462" s="17">
        <f>'Sampling Data'!O462</f>
        <v>12</v>
      </c>
      <c r="Q462" s="17">
        <f>'Sampling Data'!P462</f>
        <v>361</v>
      </c>
      <c r="R462" s="17">
        <f>'Sampling Data'!AJ462</f>
        <v>0</v>
      </c>
      <c r="S462" s="111"/>
      <c r="T462" s="111"/>
      <c r="U462" s="112"/>
      <c r="V462" s="112"/>
      <c r="W462" s="111"/>
      <c r="X462" s="111"/>
      <c r="Y462" s="111"/>
      <c r="Z462" s="111"/>
      <c r="AA462" s="14"/>
      <c r="AB462" s="14"/>
      <c r="AC462" s="14"/>
      <c r="AD462" s="14"/>
      <c r="AE462" s="113" t="str">
        <f>IF(NOT(ISBLANK(Audit[[#This Row],[Audit Winning Candidate]])), Audit[[#This Row],[Audit Winning Candidate]]-Audit[[#This Row],[Winning Candidate]], "")</f>
        <v/>
      </c>
      <c r="AF462" s="17" t="str">
        <f>IF(NOT(ISBLANK(Audit[[#This Row],[Audit Losing Candidate]])), Audit[[#This Row],[Audit Losing Candidate]]-Audit[[#This Row],[Losing Candidate]], "")</f>
        <v/>
      </c>
      <c r="AG462" s="17" t="str">
        <f>IF(NOT(ISBLANK(Audit[[#This Row],[Audit Candidate 3]])), Audit[[#This Row],[Audit Candidate 3]]-Audit[[#This Row],[Candidate 3]], "")</f>
        <v/>
      </c>
      <c r="AH462" s="17" t="str">
        <f>IF(NOT(ISBLANK(Audit[[#This Row],[Audit Candidate 4]])),Audit[[#This Row],[Audit Candidate 4]]-Audit[[#This Row],[Candidate 4]], "")</f>
        <v/>
      </c>
      <c r="AI462" s="17" t="str">
        <f>IF(NOT(ISBLANK(Audit[[#This Row],[Audit Candidate 5]])), Audit[[#This Row],[Audit Candidate 5]]-Audit[[#This Row],[Candidate 5]], "")</f>
        <v/>
      </c>
      <c r="AJ462" s="17" t="str">
        <f>IF(NOT(ISBLANK(Audit[[#This Row],[Audit Candidate 6]])), Audit[[#This Row],[Audit Candidate 6]]-Audit[[#This Row],[Candidate 6]], "")</f>
        <v/>
      </c>
      <c r="AK462" s="17" t="str">
        <f>IF(NOT(ISBLANK(Audit[[#This Row],[Audit Candidate 7]])), Audit[[#This Row],[Audit Candidate 7]]-Audit[[#This Row],[Candidate 7]], "")</f>
        <v/>
      </c>
      <c r="AL462" s="17" t="str">
        <f>IF(NOT(ISBLANK(Audit[[#This Row],[Audit Candidate 8]])), Audit[[#This Row],[Audit Candidate 8]]-Audit[[#This Row],[Candidate 8]], "")</f>
        <v/>
      </c>
      <c r="AM462" s="17" t="str">
        <f>IF(NOT(ISBLANK(Audit[[#This Row],[Audit Candidate 9]])), Audit[[#This Row],[Audit Candidate 9]]-Audit[[#This Row],[Candidate 9]], "")</f>
        <v/>
      </c>
      <c r="AN462" s="17" t="str">
        <f>IF(NOT(ISBLANK(Audit[[#This Row],[Audit Candidate 10]])), Audit[[#This Row],[Audit Candidate 10]]-Audit[[#This Row],[Candidate 10]], "")</f>
        <v/>
      </c>
      <c r="AO462" s="17" t="str">
        <f>IF(NOT(ISBLANK(Audit[[#This Row],[Audit Candidate 11]])), Audit[[#This Row],[Audit Candidate 11]]-Audit[[#This Row],[Candidate 11]], "")</f>
        <v/>
      </c>
      <c r="AP462" s="17" t="str">
        <f>IF(NOT(ISBLANK(Audit[[#This Row],[Audit Candidate 12]])), Audit[[#This Row],[Audit Candidate 12]]-Audit[[#This Row],[Candidate 12]], "")</f>
        <v/>
      </c>
      <c r="AQ462" s="17">
        <f>SUMIF(Audit[[#This Row],[Difference Winner]:[Difference Candidate 12]], "&gt;0")</f>
        <v>0</v>
      </c>
      <c r="AR462" s="17">
        <f>SUM(Audit[[#This Row],[Difference Winner]:[Difference Candidate 12]])</f>
        <v>0</v>
      </c>
      <c r="AS462" s="17">
        <f>IF(Audit[[#This Row],[Times p Drawn - With Replacement]]&gt;0, IF(Audit[[#This Row],[Canceled Differences]]&lt;0, Audit[[#This Row],[Max Differences]]+ABS(Audit[[#This Row],[Canceled Differences]]), Audit[[#This Row],[Max Differences]]), 0)</f>
        <v>0</v>
      </c>
      <c r="AT462" s="17">
        <f>'Sampling Data'!AB462</f>
        <v>8.4026481072822946E-3</v>
      </c>
      <c r="AU462" s="17">
        <f>IF(
      SUM(Audit[[#This Row],[Audit Losing Candidate]:[Audit Candidate 12]])
      &lt;&gt;0,
      (Audit[[#This Row],[Winning Candidate]]-Audit[[#This Row],[Losing Candidate]]-(Audit[[#This Row],[Audit Winning Candidate]]-Audit[[#This Row],[Audit Losing Candidate]]))/(Audit[[#Totals],[Winning Candidate]]-Audit[[#Totals],[Losing Candidate]]),
      0
)</f>
        <v>0</v>
      </c>
      <c r="AV4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2" s="17">
        <f>IF(Audit[[#This Row],[Max Relative Error (ep)]] = 0, 0, Audit[[#This Row],[Max Relative Error (ep)]]/Audit[[#This Row],[Error Bound (up) - Max. possible relative overstatement]])</f>
        <v>0</v>
      </c>
      <c r="BH4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62" s="17">
        <f t="shared" si="7"/>
        <v>1</v>
      </c>
      <c r="BJ462" s="17">
        <f>PRODUCT($BI$5:BI462)</f>
        <v>0.46283459046185416</v>
      </c>
      <c r="BK462" s="19">
        <f>1 - Audit[[#This Row],[K-M P Value]]</f>
        <v>0.53716540953814584</v>
      </c>
      <c r="BL462" s="17" t="str">
        <f>IF(Audit[[#This Row],[K-M P Value]]&gt;1-'General Info'!$B$12,"Continue", "Stop")</f>
        <v>Continue</v>
      </c>
      <c r="BM462" s="22" t="b">
        <f>IF(Audit[[#This Row],[Status - Continue or stop audit]] = "Continue", TRUE, IF(BL461 = "Continue", TRUE, FALSE))</f>
        <v>1</v>
      </c>
      <c r="BN462" s="22"/>
    </row>
    <row r="463" spans="1:66" ht="15" hidden="1" customHeight="1" x14ac:dyDescent="0.35">
      <c r="A463" s="17" t="str">
        <f>'Sampling Data'!AI463</f>
        <v/>
      </c>
      <c r="B463" s="17" t="str">
        <f>'Sampling Data'!A463</f>
        <v>7334 GREEN HH   (AV)</v>
      </c>
      <c r="C463" s="17">
        <f>'Sampling Data'!B463</f>
        <v>111</v>
      </c>
      <c r="D463" s="17">
        <f>'Sampling Data'!C463</f>
        <v>252</v>
      </c>
      <c r="E463" s="18">
        <f>'Sampling Data'!D463</f>
        <v>0</v>
      </c>
      <c r="F463" s="18">
        <f>'Sampling Data'!E463</f>
        <v>0</v>
      </c>
      <c r="G463" s="18">
        <f>'Sampling Data'!F463</f>
        <v>0</v>
      </c>
      <c r="H463" s="18">
        <f>'Sampling Data'!G463</f>
        <v>0</v>
      </c>
      <c r="I463" s="18">
        <f>'Sampling Data'!H463</f>
        <v>0</v>
      </c>
      <c r="J463" s="18">
        <f>'Sampling Data'!I463</f>
        <v>0</v>
      </c>
      <c r="K463" s="18">
        <f>'Sampling Data'!J463</f>
        <v>0</v>
      </c>
      <c r="L463" s="18">
        <f>'Sampling Data'!K463</f>
        <v>0</v>
      </c>
      <c r="M463" s="18">
        <f>'Sampling Data'!L463</f>
        <v>0</v>
      </c>
      <c r="N463" s="18">
        <f>'Sampling Data'!M463</f>
        <v>0</v>
      </c>
      <c r="O463" s="17">
        <f>'Sampling Data'!N463</f>
        <v>0</v>
      </c>
      <c r="P463" s="17">
        <f>'Sampling Data'!O463</f>
        <v>23</v>
      </c>
      <c r="Q463" s="17">
        <f>'Sampling Data'!P463</f>
        <v>386</v>
      </c>
      <c r="R463" s="17">
        <f>'Sampling Data'!AJ463</f>
        <v>0</v>
      </c>
      <c r="S463" s="111"/>
      <c r="T463" s="111"/>
      <c r="U463" s="112"/>
      <c r="V463" s="112"/>
      <c r="W463" s="111"/>
      <c r="X463" s="111"/>
      <c r="Y463" s="111"/>
      <c r="Z463" s="111"/>
      <c r="AA463" s="14"/>
      <c r="AB463" s="14"/>
      <c r="AC463" s="14"/>
      <c r="AD463" s="14"/>
      <c r="AE463" s="113" t="str">
        <f>IF(NOT(ISBLANK(Audit[[#This Row],[Audit Winning Candidate]])), Audit[[#This Row],[Audit Winning Candidate]]-Audit[[#This Row],[Winning Candidate]], "")</f>
        <v/>
      </c>
      <c r="AF463" s="17" t="str">
        <f>IF(NOT(ISBLANK(Audit[[#This Row],[Audit Losing Candidate]])), Audit[[#This Row],[Audit Losing Candidate]]-Audit[[#This Row],[Losing Candidate]], "")</f>
        <v/>
      </c>
      <c r="AG463" s="17" t="str">
        <f>IF(NOT(ISBLANK(Audit[[#This Row],[Audit Candidate 3]])), Audit[[#This Row],[Audit Candidate 3]]-Audit[[#This Row],[Candidate 3]], "")</f>
        <v/>
      </c>
      <c r="AH463" s="17" t="str">
        <f>IF(NOT(ISBLANK(Audit[[#This Row],[Audit Candidate 4]])),Audit[[#This Row],[Audit Candidate 4]]-Audit[[#This Row],[Candidate 4]], "")</f>
        <v/>
      </c>
      <c r="AI463" s="17" t="str">
        <f>IF(NOT(ISBLANK(Audit[[#This Row],[Audit Candidate 5]])), Audit[[#This Row],[Audit Candidate 5]]-Audit[[#This Row],[Candidate 5]], "")</f>
        <v/>
      </c>
      <c r="AJ463" s="17" t="str">
        <f>IF(NOT(ISBLANK(Audit[[#This Row],[Audit Candidate 6]])), Audit[[#This Row],[Audit Candidate 6]]-Audit[[#This Row],[Candidate 6]], "")</f>
        <v/>
      </c>
      <c r="AK463" s="17" t="str">
        <f>IF(NOT(ISBLANK(Audit[[#This Row],[Audit Candidate 7]])), Audit[[#This Row],[Audit Candidate 7]]-Audit[[#This Row],[Candidate 7]], "")</f>
        <v/>
      </c>
      <c r="AL463" s="17" t="str">
        <f>IF(NOT(ISBLANK(Audit[[#This Row],[Audit Candidate 8]])), Audit[[#This Row],[Audit Candidate 8]]-Audit[[#This Row],[Candidate 8]], "")</f>
        <v/>
      </c>
      <c r="AM463" s="17" t="str">
        <f>IF(NOT(ISBLANK(Audit[[#This Row],[Audit Candidate 9]])), Audit[[#This Row],[Audit Candidate 9]]-Audit[[#This Row],[Candidate 9]], "")</f>
        <v/>
      </c>
      <c r="AN463" s="17" t="str">
        <f>IF(NOT(ISBLANK(Audit[[#This Row],[Audit Candidate 10]])), Audit[[#This Row],[Audit Candidate 10]]-Audit[[#This Row],[Candidate 10]], "")</f>
        <v/>
      </c>
      <c r="AO463" s="17" t="str">
        <f>IF(NOT(ISBLANK(Audit[[#This Row],[Audit Candidate 11]])), Audit[[#This Row],[Audit Candidate 11]]-Audit[[#This Row],[Candidate 11]], "")</f>
        <v/>
      </c>
      <c r="AP463" s="17" t="str">
        <f>IF(NOT(ISBLANK(Audit[[#This Row],[Audit Candidate 12]])), Audit[[#This Row],[Audit Candidate 12]]-Audit[[#This Row],[Candidate 12]], "")</f>
        <v/>
      </c>
      <c r="AQ463" s="17">
        <f>SUMIF(Audit[[#This Row],[Difference Winner]:[Difference Candidate 12]], "&gt;0")</f>
        <v>0</v>
      </c>
      <c r="AR463" s="17">
        <f>SUM(Audit[[#This Row],[Difference Winner]:[Difference Candidate 12]])</f>
        <v>0</v>
      </c>
      <c r="AS463" s="17">
        <f>IF(Audit[[#This Row],[Times p Drawn - With Replacement]]&gt;0, IF(Audit[[#This Row],[Canceled Differences]]&lt;0, Audit[[#This Row],[Max Differences]]+ABS(Audit[[#This Row],[Canceled Differences]]), Audit[[#This Row],[Max Differences]]), 0)</f>
        <v>0</v>
      </c>
      <c r="AT463" s="17">
        <f>'Sampling Data'!AB463</f>
        <v>1.0397216092344255E-2</v>
      </c>
      <c r="AU463" s="17">
        <f>IF(
      SUM(Audit[[#This Row],[Audit Losing Candidate]:[Audit Candidate 12]])
      &lt;&gt;0,
      (Audit[[#This Row],[Winning Candidate]]-Audit[[#This Row],[Losing Candidate]]-(Audit[[#This Row],[Audit Winning Candidate]]-Audit[[#This Row],[Audit Losing Candidate]]))/(Audit[[#Totals],[Winning Candidate]]-Audit[[#Totals],[Losing Candidate]]),
      0
)</f>
        <v>0</v>
      </c>
      <c r="AV4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3" s="17">
        <f>IF(Audit[[#This Row],[Max Relative Error (ep)]] = 0, 0, Audit[[#This Row],[Max Relative Error (ep)]]/Audit[[#This Row],[Error Bound (up) - Max. possible relative overstatement]])</f>
        <v>0</v>
      </c>
      <c r="BH4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63" s="17">
        <f t="shared" ref="BI463:BI526" si="8">IF(ISERR(POWER(BH463,R463)), 0, POWER(BH463,R463))</f>
        <v>1</v>
      </c>
      <c r="BJ463" s="17">
        <f>PRODUCT($BI$5:BI463)</f>
        <v>0.46283459046185416</v>
      </c>
      <c r="BK463" s="19">
        <f>1 - Audit[[#This Row],[K-M P Value]]</f>
        <v>0.53716540953814584</v>
      </c>
      <c r="BL463" s="17" t="str">
        <f>IF(Audit[[#This Row],[K-M P Value]]&gt;1-'General Info'!$B$12,"Continue", "Stop")</f>
        <v>Continue</v>
      </c>
      <c r="BM463" s="22" t="b">
        <f>IF(Audit[[#This Row],[Status - Continue or stop audit]] = "Continue", TRUE, IF(BL462 = "Continue", TRUE, FALSE))</f>
        <v>1</v>
      </c>
      <c r="BN463" s="22"/>
    </row>
    <row r="464" spans="1:66" ht="15" hidden="1" customHeight="1" x14ac:dyDescent="0.35">
      <c r="A464" s="17" t="str">
        <f>'Sampling Data'!AI464</f>
        <v/>
      </c>
      <c r="B464" s="17" t="str">
        <f>'Sampling Data'!A464</f>
        <v>7335 GREEN II   (AV)</v>
      </c>
      <c r="C464" s="17">
        <f>'Sampling Data'!B464</f>
        <v>111</v>
      </c>
      <c r="D464" s="17">
        <f>'Sampling Data'!C464</f>
        <v>71</v>
      </c>
      <c r="E464" s="18">
        <f>'Sampling Data'!D464</f>
        <v>0</v>
      </c>
      <c r="F464" s="18">
        <f>'Sampling Data'!E464</f>
        <v>0</v>
      </c>
      <c r="G464" s="18">
        <f>'Sampling Data'!F464</f>
        <v>0</v>
      </c>
      <c r="H464" s="18">
        <f>'Sampling Data'!G464</f>
        <v>0</v>
      </c>
      <c r="I464" s="18">
        <f>'Sampling Data'!H464</f>
        <v>0</v>
      </c>
      <c r="J464" s="18">
        <f>'Sampling Data'!I464</f>
        <v>0</v>
      </c>
      <c r="K464" s="18">
        <f>'Sampling Data'!J464</f>
        <v>0</v>
      </c>
      <c r="L464" s="18">
        <f>'Sampling Data'!K464</f>
        <v>0</v>
      </c>
      <c r="M464" s="18">
        <f>'Sampling Data'!L464</f>
        <v>0</v>
      </c>
      <c r="N464" s="18">
        <f>'Sampling Data'!M464</f>
        <v>0</v>
      </c>
      <c r="O464" s="17">
        <f>'Sampling Data'!N464</f>
        <v>0</v>
      </c>
      <c r="P464" s="17">
        <f>'Sampling Data'!O464</f>
        <v>4</v>
      </c>
      <c r="Q464" s="17">
        <f>'Sampling Data'!P464</f>
        <v>186</v>
      </c>
      <c r="R464" s="17">
        <f>'Sampling Data'!AJ464</f>
        <v>0</v>
      </c>
      <c r="S464" s="111"/>
      <c r="T464" s="111"/>
      <c r="U464" s="112"/>
      <c r="V464" s="112"/>
      <c r="W464" s="111"/>
      <c r="X464" s="111"/>
      <c r="Y464" s="111"/>
      <c r="Z464" s="111"/>
      <c r="AA464" s="14"/>
      <c r="AB464" s="14"/>
      <c r="AC464" s="14"/>
      <c r="AD464" s="14"/>
      <c r="AE464" s="113" t="str">
        <f>IF(NOT(ISBLANK(Audit[[#This Row],[Audit Winning Candidate]])), Audit[[#This Row],[Audit Winning Candidate]]-Audit[[#This Row],[Winning Candidate]], "")</f>
        <v/>
      </c>
      <c r="AF464" s="17" t="str">
        <f>IF(NOT(ISBLANK(Audit[[#This Row],[Audit Losing Candidate]])), Audit[[#This Row],[Audit Losing Candidate]]-Audit[[#This Row],[Losing Candidate]], "")</f>
        <v/>
      </c>
      <c r="AG464" s="17" t="str">
        <f>IF(NOT(ISBLANK(Audit[[#This Row],[Audit Candidate 3]])), Audit[[#This Row],[Audit Candidate 3]]-Audit[[#This Row],[Candidate 3]], "")</f>
        <v/>
      </c>
      <c r="AH464" s="17" t="str">
        <f>IF(NOT(ISBLANK(Audit[[#This Row],[Audit Candidate 4]])),Audit[[#This Row],[Audit Candidate 4]]-Audit[[#This Row],[Candidate 4]], "")</f>
        <v/>
      </c>
      <c r="AI464" s="17" t="str">
        <f>IF(NOT(ISBLANK(Audit[[#This Row],[Audit Candidate 5]])), Audit[[#This Row],[Audit Candidate 5]]-Audit[[#This Row],[Candidate 5]], "")</f>
        <v/>
      </c>
      <c r="AJ464" s="17" t="str">
        <f>IF(NOT(ISBLANK(Audit[[#This Row],[Audit Candidate 6]])), Audit[[#This Row],[Audit Candidate 6]]-Audit[[#This Row],[Candidate 6]], "")</f>
        <v/>
      </c>
      <c r="AK464" s="17" t="str">
        <f>IF(NOT(ISBLANK(Audit[[#This Row],[Audit Candidate 7]])), Audit[[#This Row],[Audit Candidate 7]]-Audit[[#This Row],[Candidate 7]], "")</f>
        <v/>
      </c>
      <c r="AL464" s="17" t="str">
        <f>IF(NOT(ISBLANK(Audit[[#This Row],[Audit Candidate 8]])), Audit[[#This Row],[Audit Candidate 8]]-Audit[[#This Row],[Candidate 8]], "")</f>
        <v/>
      </c>
      <c r="AM464" s="17" t="str">
        <f>IF(NOT(ISBLANK(Audit[[#This Row],[Audit Candidate 9]])), Audit[[#This Row],[Audit Candidate 9]]-Audit[[#This Row],[Candidate 9]], "")</f>
        <v/>
      </c>
      <c r="AN464" s="17" t="str">
        <f>IF(NOT(ISBLANK(Audit[[#This Row],[Audit Candidate 10]])), Audit[[#This Row],[Audit Candidate 10]]-Audit[[#This Row],[Candidate 10]], "")</f>
        <v/>
      </c>
      <c r="AO464" s="17" t="str">
        <f>IF(NOT(ISBLANK(Audit[[#This Row],[Audit Candidate 11]])), Audit[[#This Row],[Audit Candidate 11]]-Audit[[#This Row],[Candidate 11]], "")</f>
        <v/>
      </c>
      <c r="AP464" s="17" t="str">
        <f>IF(NOT(ISBLANK(Audit[[#This Row],[Audit Candidate 12]])), Audit[[#This Row],[Audit Candidate 12]]-Audit[[#This Row],[Candidate 12]], "")</f>
        <v/>
      </c>
      <c r="AQ464" s="17">
        <f>SUMIF(Audit[[#This Row],[Difference Winner]:[Difference Candidate 12]], "&gt;0")</f>
        <v>0</v>
      </c>
      <c r="AR464" s="17">
        <f>SUM(Audit[[#This Row],[Difference Winner]:[Difference Candidate 12]])</f>
        <v>0</v>
      </c>
      <c r="AS464" s="17">
        <f>IF(Audit[[#This Row],[Times p Drawn - With Replacement]]&gt;0, IF(Audit[[#This Row],[Canceled Differences]]&lt;0, Audit[[#This Row],[Max Differences]]+ABS(Audit[[#This Row],[Canceled Differences]]), Audit[[#This Row],[Max Differences]]), 0)</f>
        <v>0</v>
      </c>
      <c r="AT464" s="17">
        <f>'Sampling Data'!AB464</f>
        <v>9.5909013749787813E-3</v>
      </c>
      <c r="AU464" s="17">
        <f>IF(
      SUM(Audit[[#This Row],[Audit Losing Candidate]:[Audit Candidate 12]])
      &lt;&gt;0,
      (Audit[[#This Row],[Winning Candidate]]-Audit[[#This Row],[Losing Candidate]]-(Audit[[#This Row],[Audit Winning Candidate]]-Audit[[#This Row],[Audit Losing Candidate]]))/(Audit[[#Totals],[Winning Candidate]]-Audit[[#Totals],[Losing Candidate]]),
      0
)</f>
        <v>0</v>
      </c>
      <c r="AV4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4" s="17">
        <f>IF(Audit[[#This Row],[Max Relative Error (ep)]] = 0, 0, Audit[[#This Row],[Max Relative Error (ep)]]/Audit[[#This Row],[Error Bound (up) - Max. possible relative overstatement]])</f>
        <v>0</v>
      </c>
      <c r="BH4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64" s="17">
        <f t="shared" si="8"/>
        <v>1</v>
      </c>
      <c r="BJ464" s="17">
        <f>PRODUCT($BI$5:BI464)</f>
        <v>0.46283459046185416</v>
      </c>
      <c r="BK464" s="19">
        <f>1 - Audit[[#This Row],[K-M P Value]]</f>
        <v>0.53716540953814584</v>
      </c>
      <c r="BL464" s="17" t="str">
        <f>IF(Audit[[#This Row],[K-M P Value]]&gt;1-'General Info'!$B$12,"Continue", "Stop")</f>
        <v>Continue</v>
      </c>
      <c r="BM464" s="22" t="b">
        <f>IF(Audit[[#This Row],[Status - Continue or stop audit]] = "Continue", TRUE, IF(BL463 = "Continue", TRUE, FALSE))</f>
        <v>1</v>
      </c>
      <c r="BN464" s="22"/>
    </row>
    <row r="465" spans="1:66" ht="15" hidden="1" customHeight="1" x14ac:dyDescent="0.35">
      <c r="A465" s="17" t="str">
        <f>'Sampling Data'!AI465</f>
        <v/>
      </c>
      <c r="B465" s="17" t="str">
        <f>'Sampling Data'!A465</f>
        <v>7336 GREEN JJ   (AV)</v>
      </c>
      <c r="C465" s="17">
        <f>'Sampling Data'!B465</f>
        <v>99</v>
      </c>
      <c r="D465" s="17">
        <f>'Sampling Data'!C465</f>
        <v>171</v>
      </c>
      <c r="E465" s="18">
        <f>'Sampling Data'!D465</f>
        <v>0</v>
      </c>
      <c r="F465" s="18">
        <f>'Sampling Data'!E465</f>
        <v>0</v>
      </c>
      <c r="G465" s="18">
        <f>'Sampling Data'!F465</f>
        <v>0</v>
      </c>
      <c r="H465" s="18">
        <f>'Sampling Data'!G465</f>
        <v>0</v>
      </c>
      <c r="I465" s="18">
        <f>'Sampling Data'!H465</f>
        <v>0</v>
      </c>
      <c r="J465" s="18">
        <f>'Sampling Data'!I465</f>
        <v>0</v>
      </c>
      <c r="K465" s="18">
        <f>'Sampling Data'!J465</f>
        <v>0</v>
      </c>
      <c r="L465" s="18">
        <f>'Sampling Data'!K465</f>
        <v>0</v>
      </c>
      <c r="M465" s="18">
        <f>'Sampling Data'!L465</f>
        <v>0</v>
      </c>
      <c r="N465" s="18">
        <f>'Sampling Data'!M465</f>
        <v>0</v>
      </c>
      <c r="O465" s="17">
        <f>'Sampling Data'!N465</f>
        <v>0</v>
      </c>
      <c r="P465" s="17">
        <f>'Sampling Data'!O465</f>
        <v>14</v>
      </c>
      <c r="Q465" s="17">
        <f>'Sampling Data'!P465</f>
        <v>284</v>
      </c>
      <c r="R465" s="17">
        <f>'Sampling Data'!AJ465</f>
        <v>0</v>
      </c>
      <c r="S465" s="111"/>
      <c r="T465" s="111"/>
      <c r="U465" s="112"/>
      <c r="V465" s="112"/>
      <c r="W465" s="111"/>
      <c r="X465" s="111"/>
      <c r="Y465" s="111"/>
      <c r="Z465" s="111"/>
      <c r="AA465" s="14"/>
      <c r="AB465" s="14"/>
      <c r="AC465" s="14"/>
      <c r="AD465" s="14"/>
      <c r="AE465" s="113" t="str">
        <f>IF(NOT(ISBLANK(Audit[[#This Row],[Audit Winning Candidate]])), Audit[[#This Row],[Audit Winning Candidate]]-Audit[[#This Row],[Winning Candidate]], "")</f>
        <v/>
      </c>
      <c r="AF465" s="17" t="str">
        <f>IF(NOT(ISBLANK(Audit[[#This Row],[Audit Losing Candidate]])), Audit[[#This Row],[Audit Losing Candidate]]-Audit[[#This Row],[Losing Candidate]], "")</f>
        <v/>
      </c>
      <c r="AG465" s="17" t="str">
        <f>IF(NOT(ISBLANK(Audit[[#This Row],[Audit Candidate 3]])), Audit[[#This Row],[Audit Candidate 3]]-Audit[[#This Row],[Candidate 3]], "")</f>
        <v/>
      </c>
      <c r="AH465" s="17" t="str">
        <f>IF(NOT(ISBLANK(Audit[[#This Row],[Audit Candidate 4]])),Audit[[#This Row],[Audit Candidate 4]]-Audit[[#This Row],[Candidate 4]], "")</f>
        <v/>
      </c>
      <c r="AI465" s="17" t="str">
        <f>IF(NOT(ISBLANK(Audit[[#This Row],[Audit Candidate 5]])), Audit[[#This Row],[Audit Candidate 5]]-Audit[[#This Row],[Candidate 5]], "")</f>
        <v/>
      </c>
      <c r="AJ465" s="17" t="str">
        <f>IF(NOT(ISBLANK(Audit[[#This Row],[Audit Candidate 6]])), Audit[[#This Row],[Audit Candidate 6]]-Audit[[#This Row],[Candidate 6]], "")</f>
        <v/>
      </c>
      <c r="AK465" s="17" t="str">
        <f>IF(NOT(ISBLANK(Audit[[#This Row],[Audit Candidate 7]])), Audit[[#This Row],[Audit Candidate 7]]-Audit[[#This Row],[Candidate 7]], "")</f>
        <v/>
      </c>
      <c r="AL465" s="17" t="str">
        <f>IF(NOT(ISBLANK(Audit[[#This Row],[Audit Candidate 8]])), Audit[[#This Row],[Audit Candidate 8]]-Audit[[#This Row],[Candidate 8]], "")</f>
        <v/>
      </c>
      <c r="AM465" s="17" t="str">
        <f>IF(NOT(ISBLANK(Audit[[#This Row],[Audit Candidate 9]])), Audit[[#This Row],[Audit Candidate 9]]-Audit[[#This Row],[Candidate 9]], "")</f>
        <v/>
      </c>
      <c r="AN465" s="17" t="str">
        <f>IF(NOT(ISBLANK(Audit[[#This Row],[Audit Candidate 10]])), Audit[[#This Row],[Audit Candidate 10]]-Audit[[#This Row],[Candidate 10]], "")</f>
        <v/>
      </c>
      <c r="AO465" s="17" t="str">
        <f>IF(NOT(ISBLANK(Audit[[#This Row],[Audit Candidate 11]])), Audit[[#This Row],[Audit Candidate 11]]-Audit[[#This Row],[Candidate 11]], "")</f>
        <v/>
      </c>
      <c r="AP465" s="17" t="str">
        <f>IF(NOT(ISBLANK(Audit[[#This Row],[Audit Candidate 12]])), Audit[[#This Row],[Audit Candidate 12]]-Audit[[#This Row],[Candidate 12]], "")</f>
        <v/>
      </c>
      <c r="AQ465" s="17">
        <f>SUMIF(Audit[[#This Row],[Difference Winner]:[Difference Candidate 12]], "&gt;0")</f>
        <v>0</v>
      </c>
      <c r="AR465" s="17">
        <f>SUM(Audit[[#This Row],[Difference Winner]:[Difference Candidate 12]])</f>
        <v>0</v>
      </c>
      <c r="AS465" s="17">
        <f>IF(Audit[[#This Row],[Times p Drawn - With Replacement]]&gt;0, IF(Audit[[#This Row],[Canceled Differences]]&lt;0, Audit[[#This Row],[Max Differences]]+ABS(Audit[[#This Row],[Canceled Differences]]), Audit[[#This Row],[Max Differences]]), 0)</f>
        <v>0</v>
      </c>
      <c r="AT465" s="17">
        <f>'Sampling Data'!AB465</f>
        <v>8.9967747411305379E-3</v>
      </c>
      <c r="AU465" s="17">
        <f>IF(
      SUM(Audit[[#This Row],[Audit Losing Candidate]:[Audit Candidate 12]])
      &lt;&gt;0,
      (Audit[[#This Row],[Winning Candidate]]-Audit[[#This Row],[Losing Candidate]]-(Audit[[#This Row],[Audit Winning Candidate]]-Audit[[#This Row],[Audit Losing Candidate]]))/(Audit[[#Totals],[Winning Candidate]]-Audit[[#Totals],[Losing Candidate]]),
      0
)</f>
        <v>0</v>
      </c>
      <c r="AV4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5" s="17">
        <f>IF(Audit[[#This Row],[Max Relative Error (ep)]] = 0, 0, Audit[[#This Row],[Max Relative Error (ep)]]/Audit[[#This Row],[Error Bound (up) - Max. possible relative overstatement]])</f>
        <v>0</v>
      </c>
      <c r="BH4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65" s="17">
        <f t="shared" si="8"/>
        <v>1</v>
      </c>
      <c r="BJ465" s="17">
        <f>PRODUCT($BI$5:BI465)</f>
        <v>0.46283459046185416</v>
      </c>
      <c r="BK465" s="19">
        <f>1 - Audit[[#This Row],[K-M P Value]]</f>
        <v>0.53716540953814584</v>
      </c>
      <c r="BL465" s="17" t="str">
        <f>IF(Audit[[#This Row],[K-M P Value]]&gt;1-'General Info'!$B$12,"Continue", "Stop")</f>
        <v>Continue</v>
      </c>
      <c r="BM465" s="22" t="b">
        <f>IF(Audit[[#This Row],[Status - Continue or stop audit]] = "Continue", TRUE, IF(BL464 = "Continue", TRUE, FALSE))</f>
        <v>1</v>
      </c>
      <c r="BN465" s="22"/>
    </row>
    <row r="466" spans="1:66" ht="15" hidden="1" customHeight="1" x14ac:dyDescent="0.35">
      <c r="A466" s="17" t="str">
        <f>'Sampling Data'!AI466</f>
        <v/>
      </c>
      <c r="B466" s="17" t="str">
        <f>'Sampling Data'!A466</f>
        <v>7337 GREEN KK   (AV)</v>
      </c>
      <c r="C466" s="17">
        <f>'Sampling Data'!B466</f>
        <v>80</v>
      </c>
      <c r="D466" s="17">
        <f>'Sampling Data'!C466</f>
        <v>208</v>
      </c>
      <c r="E466" s="18">
        <f>'Sampling Data'!D466</f>
        <v>0</v>
      </c>
      <c r="F466" s="18">
        <f>'Sampling Data'!E466</f>
        <v>0</v>
      </c>
      <c r="G466" s="18">
        <f>'Sampling Data'!F466</f>
        <v>0</v>
      </c>
      <c r="H466" s="18">
        <f>'Sampling Data'!G466</f>
        <v>0</v>
      </c>
      <c r="I466" s="18">
        <f>'Sampling Data'!H466</f>
        <v>0</v>
      </c>
      <c r="J466" s="18">
        <f>'Sampling Data'!I466</f>
        <v>0</v>
      </c>
      <c r="K466" s="18">
        <f>'Sampling Data'!J466</f>
        <v>0</v>
      </c>
      <c r="L466" s="18">
        <f>'Sampling Data'!K466</f>
        <v>0</v>
      </c>
      <c r="M466" s="18">
        <f>'Sampling Data'!L466</f>
        <v>0</v>
      </c>
      <c r="N466" s="18">
        <f>'Sampling Data'!M466</f>
        <v>0</v>
      </c>
      <c r="O466" s="17">
        <f>'Sampling Data'!N466</f>
        <v>0</v>
      </c>
      <c r="P466" s="17">
        <f>'Sampling Data'!O466</f>
        <v>19</v>
      </c>
      <c r="Q466" s="17">
        <f>'Sampling Data'!P466</f>
        <v>307</v>
      </c>
      <c r="R466" s="17">
        <f>'Sampling Data'!AJ466</f>
        <v>0</v>
      </c>
      <c r="S466" s="111"/>
      <c r="T466" s="111"/>
      <c r="U466" s="112"/>
      <c r="V466" s="112"/>
      <c r="W466" s="111"/>
      <c r="X466" s="111"/>
      <c r="Y466" s="111"/>
      <c r="Z466" s="111"/>
      <c r="AA466" s="14"/>
      <c r="AB466" s="14"/>
      <c r="AC466" s="14"/>
      <c r="AD466" s="14"/>
      <c r="AE466" s="113" t="str">
        <f>IF(NOT(ISBLANK(Audit[[#This Row],[Audit Winning Candidate]])), Audit[[#This Row],[Audit Winning Candidate]]-Audit[[#This Row],[Winning Candidate]], "")</f>
        <v/>
      </c>
      <c r="AF466" s="17" t="str">
        <f>IF(NOT(ISBLANK(Audit[[#This Row],[Audit Losing Candidate]])), Audit[[#This Row],[Audit Losing Candidate]]-Audit[[#This Row],[Losing Candidate]], "")</f>
        <v/>
      </c>
      <c r="AG466" s="17" t="str">
        <f>IF(NOT(ISBLANK(Audit[[#This Row],[Audit Candidate 3]])), Audit[[#This Row],[Audit Candidate 3]]-Audit[[#This Row],[Candidate 3]], "")</f>
        <v/>
      </c>
      <c r="AH466" s="17" t="str">
        <f>IF(NOT(ISBLANK(Audit[[#This Row],[Audit Candidate 4]])),Audit[[#This Row],[Audit Candidate 4]]-Audit[[#This Row],[Candidate 4]], "")</f>
        <v/>
      </c>
      <c r="AI466" s="17" t="str">
        <f>IF(NOT(ISBLANK(Audit[[#This Row],[Audit Candidate 5]])), Audit[[#This Row],[Audit Candidate 5]]-Audit[[#This Row],[Candidate 5]], "")</f>
        <v/>
      </c>
      <c r="AJ466" s="17" t="str">
        <f>IF(NOT(ISBLANK(Audit[[#This Row],[Audit Candidate 6]])), Audit[[#This Row],[Audit Candidate 6]]-Audit[[#This Row],[Candidate 6]], "")</f>
        <v/>
      </c>
      <c r="AK466" s="17" t="str">
        <f>IF(NOT(ISBLANK(Audit[[#This Row],[Audit Candidate 7]])), Audit[[#This Row],[Audit Candidate 7]]-Audit[[#This Row],[Candidate 7]], "")</f>
        <v/>
      </c>
      <c r="AL466" s="17" t="str">
        <f>IF(NOT(ISBLANK(Audit[[#This Row],[Audit Candidate 8]])), Audit[[#This Row],[Audit Candidate 8]]-Audit[[#This Row],[Candidate 8]], "")</f>
        <v/>
      </c>
      <c r="AM466" s="17" t="str">
        <f>IF(NOT(ISBLANK(Audit[[#This Row],[Audit Candidate 9]])), Audit[[#This Row],[Audit Candidate 9]]-Audit[[#This Row],[Candidate 9]], "")</f>
        <v/>
      </c>
      <c r="AN466" s="17" t="str">
        <f>IF(NOT(ISBLANK(Audit[[#This Row],[Audit Candidate 10]])), Audit[[#This Row],[Audit Candidate 10]]-Audit[[#This Row],[Candidate 10]], "")</f>
        <v/>
      </c>
      <c r="AO466" s="17" t="str">
        <f>IF(NOT(ISBLANK(Audit[[#This Row],[Audit Candidate 11]])), Audit[[#This Row],[Audit Candidate 11]]-Audit[[#This Row],[Candidate 11]], "")</f>
        <v/>
      </c>
      <c r="AP466" s="17" t="str">
        <f>IF(NOT(ISBLANK(Audit[[#This Row],[Audit Candidate 12]])), Audit[[#This Row],[Audit Candidate 12]]-Audit[[#This Row],[Candidate 12]], "")</f>
        <v/>
      </c>
      <c r="AQ466" s="17">
        <f>SUMIF(Audit[[#This Row],[Difference Winner]:[Difference Candidate 12]], "&gt;0")</f>
        <v>0</v>
      </c>
      <c r="AR466" s="17">
        <f>SUM(Audit[[#This Row],[Difference Winner]:[Difference Candidate 12]])</f>
        <v>0</v>
      </c>
      <c r="AS466" s="17">
        <f>IF(Audit[[#This Row],[Times p Drawn - With Replacement]]&gt;0, IF(Audit[[#This Row],[Canceled Differences]]&lt;0, Audit[[#This Row],[Max Differences]]+ABS(Audit[[#This Row],[Canceled Differences]]), Audit[[#This Row],[Max Differences]]), 0)</f>
        <v>0</v>
      </c>
      <c r="AT466" s="17">
        <f>'Sampling Data'!AB466</f>
        <v>7.5963333899168222E-3</v>
      </c>
      <c r="AU466" s="17">
        <f>IF(
      SUM(Audit[[#This Row],[Audit Losing Candidate]:[Audit Candidate 12]])
      &lt;&gt;0,
      (Audit[[#This Row],[Winning Candidate]]-Audit[[#This Row],[Losing Candidate]]-(Audit[[#This Row],[Audit Winning Candidate]]-Audit[[#This Row],[Audit Losing Candidate]]))/(Audit[[#Totals],[Winning Candidate]]-Audit[[#Totals],[Losing Candidate]]),
      0
)</f>
        <v>0</v>
      </c>
      <c r="AV4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6" s="17">
        <f>IF(Audit[[#This Row],[Max Relative Error (ep)]] = 0, 0, Audit[[#This Row],[Max Relative Error (ep)]]/Audit[[#This Row],[Error Bound (up) - Max. possible relative overstatement]])</f>
        <v>0</v>
      </c>
      <c r="BH4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66" s="17">
        <f t="shared" si="8"/>
        <v>1</v>
      </c>
      <c r="BJ466" s="17">
        <f>PRODUCT($BI$5:BI466)</f>
        <v>0.46283459046185416</v>
      </c>
      <c r="BK466" s="19">
        <f>1 - Audit[[#This Row],[K-M P Value]]</f>
        <v>0.53716540953814584</v>
      </c>
      <c r="BL466" s="17" t="str">
        <f>IF(Audit[[#This Row],[K-M P Value]]&gt;1-'General Info'!$B$12,"Continue", "Stop")</f>
        <v>Continue</v>
      </c>
      <c r="BM466" s="22" t="b">
        <f>IF(Audit[[#This Row],[Status - Continue or stop audit]] = "Continue", TRUE, IF(BL465 = "Continue", TRUE, FALSE))</f>
        <v>1</v>
      </c>
      <c r="BN466" s="22"/>
    </row>
    <row r="467" spans="1:66" ht="15" hidden="1" customHeight="1" x14ac:dyDescent="0.35">
      <c r="A467" s="17" t="str">
        <f>'Sampling Data'!AI467</f>
        <v/>
      </c>
      <c r="B467" s="17" t="str">
        <f>'Sampling Data'!A467</f>
        <v>7338 GREEN LL   (AV)</v>
      </c>
      <c r="C467" s="17">
        <f>'Sampling Data'!B467</f>
        <v>71</v>
      </c>
      <c r="D467" s="17">
        <f>'Sampling Data'!C467</f>
        <v>202</v>
      </c>
      <c r="E467" s="18">
        <f>'Sampling Data'!D467</f>
        <v>0</v>
      </c>
      <c r="F467" s="18">
        <f>'Sampling Data'!E467</f>
        <v>0</v>
      </c>
      <c r="G467" s="18">
        <f>'Sampling Data'!F467</f>
        <v>0</v>
      </c>
      <c r="H467" s="18">
        <f>'Sampling Data'!G467</f>
        <v>0</v>
      </c>
      <c r="I467" s="18">
        <f>'Sampling Data'!H467</f>
        <v>0</v>
      </c>
      <c r="J467" s="18">
        <f>'Sampling Data'!I467</f>
        <v>0</v>
      </c>
      <c r="K467" s="18">
        <f>'Sampling Data'!J467</f>
        <v>0</v>
      </c>
      <c r="L467" s="18">
        <f>'Sampling Data'!K467</f>
        <v>0</v>
      </c>
      <c r="M467" s="18">
        <f>'Sampling Data'!L467</f>
        <v>0</v>
      </c>
      <c r="N467" s="18">
        <f>'Sampling Data'!M467</f>
        <v>0</v>
      </c>
      <c r="O467" s="17">
        <f>'Sampling Data'!N467</f>
        <v>1</v>
      </c>
      <c r="P467" s="17">
        <f>'Sampling Data'!O467</f>
        <v>20</v>
      </c>
      <c r="Q467" s="17">
        <f>'Sampling Data'!P467</f>
        <v>294</v>
      </c>
      <c r="R467" s="17">
        <f>'Sampling Data'!AJ467</f>
        <v>0</v>
      </c>
      <c r="S467" s="111"/>
      <c r="T467" s="111"/>
      <c r="U467" s="112"/>
      <c r="V467" s="112"/>
      <c r="W467" s="111"/>
      <c r="X467" s="111"/>
      <c r="Y467" s="111"/>
      <c r="Z467" s="111"/>
      <c r="AA467" s="14"/>
      <c r="AB467" s="14"/>
      <c r="AC467" s="14"/>
      <c r="AD467" s="14"/>
      <c r="AE467" s="113" t="str">
        <f>IF(NOT(ISBLANK(Audit[[#This Row],[Audit Winning Candidate]])), Audit[[#This Row],[Audit Winning Candidate]]-Audit[[#This Row],[Winning Candidate]], "")</f>
        <v/>
      </c>
      <c r="AF467" s="17" t="str">
        <f>IF(NOT(ISBLANK(Audit[[#This Row],[Audit Losing Candidate]])), Audit[[#This Row],[Audit Losing Candidate]]-Audit[[#This Row],[Losing Candidate]], "")</f>
        <v/>
      </c>
      <c r="AG467" s="17" t="str">
        <f>IF(NOT(ISBLANK(Audit[[#This Row],[Audit Candidate 3]])), Audit[[#This Row],[Audit Candidate 3]]-Audit[[#This Row],[Candidate 3]], "")</f>
        <v/>
      </c>
      <c r="AH467" s="17" t="str">
        <f>IF(NOT(ISBLANK(Audit[[#This Row],[Audit Candidate 4]])),Audit[[#This Row],[Audit Candidate 4]]-Audit[[#This Row],[Candidate 4]], "")</f>
        <v/>
      </c>
      <c r="AI467" s="17" t="str">
        <f>IF(NOT(ISBLANK(Audit[[#This Row],[Audit Candidate 5]])), Audit[[#This Row],[Audit Candidate 5]]-Audit[[#This Row],[Candidate 5]], "")</f>
        <v/>
      </c>
      <c r="AJ467" s="17" t="str">
        <f>IF(NOT(ISBLANK(Audit[[#This Row],[Audit Candidate 6]])), Audit[[#This Row],[Audit Candidate 6]]-Audit[[#This Row],[Candidate 6]], "")</f>
        <v/>
      </c>
      <c r="AK467" s="17" t="str">
        <f>IF(NOT(ISBLANK(Audit[[#This Row],[Audit Candidate 7]])), Audit[[#This Row],[Audit Candidate 7]]-Audit[[#This Row],[Candidate 7]], "")</f>
        <v/>
      </c>
      <c r="AL467" s="17" t="str">
        <f>IF(NOT(ISBLANK(Audit[[#This Row],[Audit Candidate 8]])), Audit[[#This Row],[Audit Candidate 8]]-Audit[[#This Row],[Candidate 8]], "")</f>
        <v/>
      </c>
      <c r="AM467" s="17" t="str">
        <f>IF(NOT(ISBLANK(Audit[[#This Row],[Audit Candidate 9]])), Audit[[#This Row],[Audit Candidate 9]]-Audit[[#This Row],[Candidate 9]], "")</f>
        <v/>
      </c>
      <c r="AN467" s="17" t="str">
        <f>IF(NOT(ISBLANK(Audit[[#This Row],[Audit Candidate 10]])), Audit[[#This Row],[Audit Candidate 10]]-Audit[[#This Row],[Candidate 10]], "")</f>
        <v/>
      </c>
      <c r="AO467" s="17" t="str">
        <f>IF(NOT(ISBLANK(Audit[[#This Row],[Audit Candidate 11]])), Audit[[#This Row],[Audit Candidate 11]]-Audit[[#This Row],[Candidate 11]], "")</f>
        <v/>
      </c>
      <c r="AP467" s="17" t="str">
        <f>IF(NOT(ISBLANK(Audit[[#This Row],[Audit Candidate 12]])), Audit[[#This Row],[Audit Candidate 12]]-Audit[[#This Row],[Candidate 12]], "")</f>
        <v/>
      </c>
      <c r="AQ467" s="17">
        <f>SUMIF(Audit[[#This Row],[Difference Winner]:[Difference Candidate 12]], "&gt;0")</f>
        <v>0</v>
      </c>
      <c r="AR467" s="17">
        <f>SUM(Audit[[#This Row],[Difference Winner]:[Difference Candidate 12]])</f>
        <v>0</v>
      </c>
      <c r="AS467" s="17">
        <f>IF(Audit[[#This Row],[Times p Drawn - With Replacement]]&gt;0, IF(Audit[[#This Row],[Canceled Differences]]&lt;0, Audit[[#This Row],[Max Differences]]+ABS(Audit[[#This Row],[Canceled Differences]]), Audit[[#This Row],[Max Differences]]), 0)</f>
        <v>0</v>
      </c>
      <c r="AT467" s="17">
        <f>'Sampling Data'!AB467</f>
        <v>6.917331522661687E-3</v>
      </c>
      <c r="AU467" s="17">
        <f>IF(
      SUM(Audit[[#This Row],[Audit Losing Candidate]:[Audit Candidate 12]])
      &lt;&gt;0,
      (Audit[[#This Row],[Winning Candidate]]-Audit[[#This Row],[Losing Candidate]]-(Audit[[#This Row],[Audit Winning Candidate]]-Audit[[#This Row],[Audit Losing Candidate]]))/(Audit[[#Totals],[Winning Candidate]]-Audit[[#Totals],[Losing Candidate]]),
      0
)</f>
        <v>0</v>
      </c>
      <c r="AV4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7" s="17">
        <f>IF(Audit[[#This Row],[Max Relative Error (ep)]] = 0, 0, Audit[[#This Row],[Max Relative Error (ep)]]/Audit[[#This Row],[Error Bound (up) - Max. possible relative overstatement]])</f>
        <v>0</v>
      </c>
      <c r="BH4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67" s="17">
        <f t="shared" si="8"/>
        <v>1</v>
      </c>
      <c r="BJ467" s="17">
        <f>PRODUCT($BI$5:BI467)</f>
        <v>0.46283459046185416</v>
      </c>
      <c r="BK467" s="19">
        <f>1 - Audit[[#This Row],[K-M P Value]]</f>
        <v>0.53716540953814584</v>
      </c>
      <c r="BL467" s="17" t="str">
        <f>IF(Audit[[#This Row],[K-M P Value]]&gt;1-'General Info'!$B$12,"Continue", "Stop")</f>
        <v>Continue</v>
      </c>
      <c r="BM467" s="22" t="b">
        <f>IF(Audit[[#This Row],[Status - Continue or stop audit]] = "Continue", TRUE, IF(BL466 = "Continue", TRUE, FALSE))</f>
        <v>1</v>
      </c>
      <c r="BN467" s="22"/>
    </row>
    <row r="468" spans="1:66" ht="15" hidden="1" customHeight="1" x14ac:dyDescent="0.35">
      <c r="A468" s="17" t="str">
        <f>'Sampling Data'!AI468</f>
        <v/>
      </c>
      <c r="B468" s="17" t="str">
        <f>'Sampling Data'!A468</f>
        <v>7339 GREEN MM   (AV)</v>
      </c>
      <c r="C468" s="17">
        <f>'Sampling Data'!B468</f>
        <v>41</v>
      </c>
      <c r="D468" s="17">
        <f>'Sampling Data'!C468</f>
        <v>135</v>
      </c>
      <c r="E468" s="18">
        <f>'Sampling Data'!D468</f>
        <v>0</v>
      </c>
      <c r="F468" s="18">
        <f>'Sampling Data'!E468</f>
        <v>0</v>
      </c>
      <c r="G468" s="18">
        <f>'Sampling Data'!F468</f>
        <v>0</v>
      </c>
      <c r="H468" s="18">
        <f>'Sampling Data'!G468</f>
        <v>0</v>
      </c>
      <c r="I468" s="18">
        <f>'Sampling Data'!H468</f>
        <v>0</v>
      </c>
      <c r="J468" s="18">
        <f>'Sampling Data'!I468</f>
        <v>0</v>
      </c>
      <c r="K468" s="18">
        <f>'Sampling Data'!J468</f>
        <v>0</v>
      </c>
      <c r="L468" s="18">
        <f>'Sampling Data'!K468</f>
        <v>0</v>
      </c>
      <c r="M468" s="18">
        <f>'Sampling Data'!L468</f>
        <v>0</v>
      </c>
      <c r="N468" s="18">
        <f>'Sampling Data'!M468</f>
        <v>0</v>
      </c>
      <c r="O468" s="17">
        <f>'Sampling Data'!N468</f>
        <v>0</v>
      </c>
      <c r="P468" s="17">
        <f>'Sampling Data'!O468</f>
        <v>4</v>
      </c>
      <c r="Q468" s="17">
        <f>'Sampling Data'!P468</f>
        <v>180</v>
      </c>
      <c r="R468" s="17">
        <f>'Sampling Data'!AJ468</f>
        <v>0</v>
      </c>
      <c r="S468" s="111"/>
      <c r="T468" s="111"/>
      <c r="U468" s="112"/>
      <c r="V468" s="112"/>
      <c r="W468" s="111"/>
      <c r="X468" s="111"/>
      <c r="Y468" s="111"/>
      <c r="Z468" s="111"/>
      <c r="AA468" s="14"/>
      <c r="AB468" s="14"/>
      <c r="AC468" s="14"/>
      <c r="AD468" s="14"/>
      <c r="AE468" s="113" t="str">
        <f>IF(NOT(ISBLANK(Audit[[#This Row],[Audit Winning Candidate]])), Audit[[#This Row],[Audit Winning Candidate]]-Audit[[#This Row],[Winning Candidate]], "")</f>
        <v/>
      </c>
      <c r="AF468" s="17" t="str">
        <f>IF(NOT(ISBLANK(Audit[[#This Row],[Audit Losing Candidate]])), Audit[[#This Row],[Audit Losing Candidate]]-Audit[[#This Row],[Losing Candidate]], "")</f>
        <v/>
      </c>
      <c r="AG468" s="17" t="str">
        <f>IF(NOT(ISBLANK(Audit[[#This Row],[Audit Candidate 3]])), Audit[[#This Row],[Audit Candidate 3]]-Audit[[#This Row],[Candidate 3]], "")</f>
        <v/>
      </c>
      <c r="AH468" s="17" t="str">
        <f>IF(NOT(ISBLANK(Audit[[#This Row],[Audit Candidate 4]])),Audit[[#This Row],[Audit Candidate 4]]-Audit[[#This Row],[Candidate 4]], "")</f>
        <v/>
      </c>
      <c r="AI468" s="17" t="str">
        <f>IF(NOT(ISBLANK(Audit[[#This Row],[Audit Candidate 5]])), Audit[[#This Row],[Audit Candidate 5]]-Audit[[#This Row],[Candidate 5]], "")</f>
        <v/>
      </c>
      <c r="AJ468" s="17" t="str">
        <f>IF(NOT(ISBLANK(Audit[[#This Row],[Audit Candidate 6]])), Audit[[#This Row],[Audit Candidate 6]]-Audit[[#This Row],[Candidate 6]], "")</f>
        <v/>
      </c>
      <c r="AK468" s="17" t="str">
        <f>IF(NOT(ISBLANK(Audit[[#This Row],[Audit Candidate 7]])), Audit[[#This Row],[Audit Candidate 7]]-Audit[[#This Row],[Candidate 7]], "")</f>
        <v/>
      </c>
      <c r="AL468" s="17" t="str">
        <f>IF(NOT(ISBLANK(Audit[[#This Row],[Audit Candidate 8]])), Audit[[#This Row],[Audit Candidate 8]]-Audit[[#This Row],[Candidate 8]], "")</f>
        <v/>
      </c>
      <c r="AM468" s="17" t="str">
        <f>IF(NOT(ISBLANK(Audit[[#This Row],[Audit Candidate 9]])), Audit[[#This Row],[Audit Candidate 9]]-Audit[[#This Row],[Candidate 9]], "")</f>
        <v/>
      </c>
      <c r="AN468" s="17" t="str">
        <f>IF(NOT(ISBLANK(Audit[[#This Row],[Audit Candidate 10]])), Audit[[#This Row],[Audit Candidate 10]]-Audit[[#This Row],[Candidate 10]], "")</f>
        <v/>
      </c>
      <c r="AO468" s="17" t="str">
        <f>IF(NOT(ISBLANK(Audit[[#This Row],[Audit Candidate 11]])), Audit[[#This Row],[Audit Candidate 11]]-Audit[[#This Row],[Candidate 11]], "")</f>
        <v/>
      </c>
      <c r="AP468" s="17" t="str">
        <f>IF(NOT(ISBLANK(Audit[[#This Row],[Audit Candidate 12]])), Audit[[#This Row],[Audit Candidate 12]]-Audit[[#This Row],[Candidate 12]], "")</f>
        <v/>
      </c>
      <c r="AQ468" s="17">
        <f>SUMIF(Audit[[#This Row],[Difference Winner]:[Difference Candidate 12]], "&gt;0")</f>
        <v>0</v>
      </c>
      <c r="AR468" s="17">
        <f>SUM(Audit[[#This Row],[Difference Winner]:[Difference Candidate 12]])</f>
        <v>0</v>
      </c>
      <c r="AS468" s="17">
        <f>IF(Audit[[#This Row],[Times p Drawn - With Replacement]]&gt;0, IF(Audit[[#This Row],[Canceled Differences]]&lt;0, Audit[[#This Row],[Max Differences]]+ABS(Audit[[#This Row],[Canceled Differences]]), Audit[[#This Row],[Max Differences]]), 0)</f>
        <v>0</v>
      </c>
      <c r="AT468" s="17">
        <f>'Sampling Data'!AB468</f>
        <v>3.6496350364963502E-3</v>
      </c>
      <c r="AU468" s="17">
        <f>IF(
      SUM(Audit[[#This Row],[Audit Losing Candidate]:[Audit Candidate 12]])
      &lt;&gt;0,
      (Audit[[#This Row],[Winning Candidate]]-Audit[[#This Row],[Losing Candidate]]-(Audit[[#This Row],[Audit Winning Candidate]]-Audit[[#This Row],[Audit Losing Candidate]]))/(Audit[[#Totals],[Winning Candidate]]-Audit[[#Totals],[Losing Candidate]]),
      0
)</f>
        <v>0</v>
      </c>
      <c r="AV4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8" s="17">
        <f>IF(Audit[[#This Row],[Max Relative Error (ep)]] = 0, 0, Audit[[#This Row],[Max Relative Error (ep)]]/Audit[[#This Row],[Error Bound (up) - Max. possible relative overstatement]])</f>
        <v>0</v>
      </c>
      <c r="BH4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68" s="17">
        <f t="shared" si="8"/>
        <v>1</v>
      </c>
      <c r="BJ468" s="17">
        <f>PRODUCT($BI$5:BI468)</f>
        <v>0.46283459046185416</v>
      </c>
      <c r="BK468" s="19">
        <f>1 - Audit[[#This Row],[K-M P Value]]</f>
        <v>0.53716540953814584</v>
      </c>
      <c r="BL468" s="17" t="str">
        <f>IF(Audit[[#This Row],[K-M P Value]]&gt;1-'General Info'!$B$12,"Continue", "Stop")</f>
        <v>Continue</v>
      </c>
      <c r="BM468" s="22" t="b">
        <f>IF(Audit[[#This Row],[Status - Continue or stop audit]] = "Continue", TRUE, IF(BL467 = "Continue", TRUE, FALSE))</f>
        <v>1</v>
      </c>
      <c r="BN468" s="22"/>
    </row>
    <row r="469" spans="1:66" ht="15" hidden="1" customHeight="1" x14ac:dyDescent="0.35">
      <c r="A469" s="17" t="str">
        <f>'Sampling Data'!AI469</f>
        <v/>
      </c>
      <c r="B469" s="17" t="str">
        <f>'Sampling Data'!A469</f>
        <v>7340 GREEN NN   (AV)</v>
      </c>
      <c r="C469" s="17">
        <f>'Sampling Data'!B469</f>
        <v>37</v>
      </c>
      <c r="D469" s="17">
        <f>'Sampling Data'!C469</f>
        <v>137</v>
      </c>
      <c r="E469" s="18">
        <f>'Sampling Data'!D469</f>
        <v>0</v>
      </c>
      <c r="F469" s="18">
        <f>'Sampling Data'!E469</f>
        <v>0</v>
      </c>
      <c r="G469" s="18">
        <f>'Sampling Data'!F469</f>
        <v>0</v>
      </c>
      <c r="H469" s="18">
        <f>'Sampling Data'!G469</f>
        <v>0</v>
      </c>
      <c r="I469" s="18">
        <f>'Sampling Data'!H469</f>
        <v>0</v>
      </c>
      <c r="J469" s="18">
        <f>'Sampling Data'!I469</f>
        <v>0</v>
      </c>
      <c r="K469" s="18">
        <f>'Sampling Data'!J469</f>
        <v>0</v>
      </c>
      <c r="L469" s="18">
        <f>'Sampling Data'!K469</f>
        <v>0</v>
      </c>
      <c r="M469" s="18">
        <f>'Sampling Data'!L469</f>
        <v>0</v>
      </c>
      <c r="N469" s="18">
        <f>'Sampling Data'!M469</f>
        <v>0</v>
      </c>
      <c r="O469" s="17">
        <f>'Sampling Data'!N469</f>
        <v>0</v>
      </c>
      <c r="P469" s="17">
        <f>'Sampling Data'!O469</f>
        <v>5</v>
      </c>
      <c r="Q469" s="17">
        <f>'Sampling Data'!P469</f>
        <v>179</v>
      </c>
      <c r="R469" s="17">
        <f>'Sampling Data'!AJ469</f>
        <v>0</v>
      </c>
      <c r="S469" s="111"/>
      <c r="T469" s="111"/>
      <c r="U469" s="112"/>
      <c r="V469" s="112"/>
      <c r="W469" s="111"/>
      <c r="X469" s="111"/>
      <c r="Y469" s="111"/>
      <c r="Z469" s="111"/>
      <c r="AA469" s="14"/>
      <c r="AB469" s="14"/>
      <c r="AC469" s="14"/>
      <c r="AD469" s="14"/>
      <c r="AE469" s="113" t="str">
        <f>IF(NOT(ISBLANK(Audit[[#This Row],[Audit Winning Candidate]])), Audit[[#This Row],[Audit Winning Candidate]]-Audit[[#This Row],[Winning Candidate]], "")</f>
        <v/>
      </c>
      <c r="AF469" s="17" t="str">
        <f>IF(NOT(ISBLANK(Audit[[#This Row],[Audit Losing Candidate]])), Audit[[#This Row],[Audit Losing Candidate]]-Audit[[#This Row],[Losing Candidate]], "")</f>
        <v/>
      </c>
      <c r="AG469" s="17" t="str">
        <f>IF(NOT(ISBLANK(Audit[[#This Row],[Audit Candidate 3]])), Audit[[#This Row],[Audit Candidate 3]]-Audit[[#This Row],[Candidate 3]], "")</f>
        <v/>
      </c>
      <c r="AH469" s="17" t="str">
        <f>IF(NOT(ISBLANK(Audit[[#This Row],[Audit Candidate 4]])),Audit[[#This Row],[Audit Candidate 4]]-Audit[[#This Row],[Candidate 4]], "")</f>
        <v/>
      </c>
      <c r="AI469" s="17" t="str">
        <f>IF(NOT(ISBLANK(Audit[[#This Row],[Audit Candidate 5]])), Audit[[#This Row],[Audit Candidate 5]]-Audit[[#This Row],[Candidate 5]], "")</f>
        <v/>
      </c>
      <c r="AJ469" s="17" t="str">
        <f>IF(NOT(ISBLANK(Audit[[#This Row],[Audit Candidate 6]])), Audit[[#This Row],[Audit Candidate 6]]-Audit[[#This Row],[Candidate 6]], "")</f>
        <v/>
      </c>
      <c r="AK469" s="17" t="str">
        <f>IF(NOT(ISBLANK(Audit[[#This Row],[Audit Candidate 7]])), Audit[[#This Row],[Audit Candidate 7]]-Audit[[#This Row],[Candidate 7]], "")</f>
        <v/>
      </c>
      <c r="AL469" s="17" t="str">
        <f>IF(NOT(ISBLANK(Audit[[#This Row],[Audit Candidate 8]])), Audit[[#This Row],[Audit Candidate 8]]-Audit[[#This Row],[Candidate 8]], "")</f>
        <v/>
      </c>
      <c r="AM469" s="17" t="str">
        <f>IF(NOT(ISBLANK(Audit[[#This Row],[Audit Candidate 9]])), Audit[[#This Row],[Audit Candidate 9]]-Audit[[#This Row],[Candidate 9]], "")</f>
        <v/>
      </c>
      <c r="AN469" s="17" t="str">
        <f>IF(NOT(ISBLANK(Audit[[#This Row],[Audit Candidate 10]])), Audit[[#This Row],[Audit Candidate 10]]-Audit[[#This Row],[Candidate 10]], "")</f>
        <v/>
      </c>
      <c r="AO469" s="17" t="str">
        <f>IF(NOT(ISBLANK(Audit[[#This Row],[Audit Candidate 11]])), Audit[[#This Row],[Audit Candidate 11]]-Audit[[#This Row],[Candidate 11]], "")</f>
        <v/>
      </c>
      <c r="AP469" s="17" t="str">
        <f>IF(NOT(ISBLANK(Audit[[#This Row],[Audit Candidate 12]])), Audit[[#This Row],[Audit Candidate 12]]-Audit[[#This Row],[Candidate 12]], "")</f>
        <v/>
      </c>
      <c r="AQ469" s="17">
        <f>SUMIF(Audit[[#This Row],[Difference Winner]:[Difference Candidate 12]], "&gt;0")</f>
        <v>0</v>
      </c>
      <c r="AR469" s="17">
        <f>SUM(Audit[[#This Row],[Difference Winner]:[Difference Candidate 12]])</f>
        <v>0</v>
      </c>
      <c r="AS469" s="17">
        <f>IF(Audit[[#This Row],[Times p Drawn - With Replacement]]&gt;0, IF(Audit[[#This Row],[Canceled Differences]]&lt;0, Audit[[#This Row],[Max Differences]]+ABS(Audit[[#This Row],[Canceled Differences]]), Audit[[#This Row],[Max Differences]]), 0)</f>
        <v>0</v>
      </c>
      <c r="AT469" s="17">
        <f>'Sampling Data'!AB469</f>
        <v>3.352571719572229E-3</v>
      </c>
      <c r="AU469" s="17">
        <f>IF(
      SUM(Audit[[#This Row],[Audit Losing Candidate]:[Audit Candidate 12]])
      &lt;&gt;0,
      (Audit[[#This Row],[Winning Candidate]]-Audit[[#This Row],[Losing Candidate]]-(Audit[[#This Row],[Audit Winning Candidate]]-Audit[[#This Row],[Audit Losing Candidate]]))/(Audit[[#Totals],[Winning Candidate]]-Audit[[#Totals],[Losing Candidate]]),
      0
)</f>
        <v>0</v>
      </c>
      <c r="AV4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9" s="17">
        <f>IF(Audit[[#This Row],[Max Relative Error (ep)]] = 0, 0, Audit[[#This Row],[Max Relative Error (ep)]]/Audit[[#This Row],[Error Bound (up) - Max. possible relative overstatement]])</f>
        <v>0</v>
      </c>
      <c r="BH4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69" s="17">
        <f t="shared" si="8"/>
        <v>1</v>
      </c>
      <c r="BJ469" s="17">
        <f>PRODUCT($BI$5:BI469)</f>
        <v>0.46283459046185416</v>
      </c>
      <c r="BK469" s="19">
        <f>1 - Audit[[#This Row],[K-M P Value]]</f>
        <v>0.53716540953814584</v>
      </c>
      <c r="BL469" s="17" t="str">
        <f>IF(Audit[[#This Row],[K-M P Value]]&gt;1-'General Info'!$B$12,"Continue", "Stop")</f>
        <v>Continue</v>
      </c>
      <c r="BM469" s="22" t="b">
        <f>IF(Audit[[#This Row],[Status - Continue or stop audit]] = "Continue", TRUE, IF(BL468 = "Continue", TRUE, FALSE))</f>
        <v>1</v>
      </c>
      <c r="BN469" s="22"/>
    </row>
    <row r="470" spans="1:66" ht="15" hidden="1" customHeight="1" x14ac:dyDescent="0.35">
      <c r="A470" s="17" t="str">
        <f>'Sampling Data'!AI470</f>
        <v/>
      </c>
      <c r="B470" s="17" t="str">
        <f>'Sampling Data'!A470</f>
        <v>7341 GREEN OO   (AV)</v>
      </c>
      <c r="C470" s="17">
        <f>'Sampling Data'!B470</f>
        <v>32</v>
      </c>
      <c r="D470" s="17">
        <f>'Sampling Data'!C470</f>
        <v>93</v>
      </c>
      <c r="E470" s="18">
        <f>'Sampling Data'!D470</f>
        <v>0</v>
      </c>
      <c r="F470" s="18">
        <f>'Sampling Data'!E470</f>
        <v>0</v>
      </c>
      <c r="G470" s="18">
        <f>'Sampling Data'!F470</f>
        <v>0</v>
      </c>
      <c r="H470" s="18">
        <f>'Sampling Data'!G470</f>
        <v>0</v>
      </c>
      <c r="I470" s="18">
        <f>'Sampling Data'!H470</f>
        <v>0</v>
      </c>
      <c r="J470" s="18">
        <f>'Sampling Data'!I470</f>
        <v>0</v>
      </c>
      <c r="K470" s="18">
        <f>'Sampling Data'!J470</f>
        <v>0</v>
      </c>
      <c r="L470" s="18">
        <f>'Sampling Data'!K470</f>
        <v>0</v>
      </c>
      <c r="M470" s="18">
        <f>'Sampling Data'!L470</f>
        <v>0</v>
      </c>
      <c r="N470" s="18">
        <f>'Sampling Data'!M470</f>
        <v>0</v>
      </c>
      <c r="O470" s="17">
        <f>'Sampling Data'!N470</f>
        <v>0</v>
      </c>
      <c r="P470" s="17">
        <f>'Sampling Data'!O470</f>
        <v>8</v>
      </c>
      <c r="Q470" s="17">
        <f>'Sampling Data'!P470</f>
        <v>133</v>
      </c>
      <c r="R470" s="17">
        <f>'Sampling Data'!AJ470</f>
        <v>0</v>
      </c>
      <c r="S470" s="111"/>
      <c r="T470" s="111"/>
      <c r="U470" s="112"/>
      <c r="V470" s="112"/>
      <c r="W470" s="111"/>
      <c r="X470" s="111"/>
      <c r="Y470" s="111"/>
      <c r="Z470" s="111"/>
      <c r="AA470" s="14"/>
      <c r="AB470" s="14"/>
      <c r="AC470" s="14"/>
      <c r="AD470" s="14"/>
      <c r="AE470" s="113" t="str">
        <f>IF(NOT(ISBLANK(Audit[[#This Row],[Audit Winning Candidate]])), Audit[[#This Row],[Audit Winning Candidate]]-Audit[[#This Row],[Winning Candidate]], "")</f>
        <v/>
      </c>
      <c r="AF470" s="17" t="str">
        <f>IF(NOT(ISBLANK(Audit[[#This Row],[Audit Losing Candidate]])), Audit[[#This Row],[Audit Losing Candidate]]-Audit[[#This Row],[Losing Candidate]], "")</f>
        <v/>
      </c>
      <c r="AG470" s="17" t="str">
        <f>IF(NOT(ISBLANK(Audit[[#This Row],[Audit Candidate 3]])), Audit[[#This Row],[Audit Candidate 3]]-Audit[[#This Row],[Candidate 3]], "")</f>
        <v/>
      </c>
      <c r="AH470" s="17" t="str">
        <f>IF(NOT(ISBLANK(Audit[[#This Row],[Audit Candidate 4]])),Audit[[#This Row],[Audit Candidate 4]]-Audit[[#This Row],[Candidate 4]], "")</f>
        <v/>
      </c>
      <c r="AI470" s="17" t="str">
        <f>IF(NOT(ISBLANK(Audit[[#This Row],[Audit Candidate 5]])), Audit[[#This Row],[Audit Candidate 5]]-Audit[[#This Row],[Candidate 5]], "")</f>
        <v/>
      </c>
      <c r="AJ470" s="17" t="str">
        <f>IF(NOT(ISBLANK(Audit[[#This Row],[Audit Candidate 6]])), Audit[[#This Row],[Audit Candidate 6]]-Audit[[#This Row],[Candidate 6]], "")</f>
        <v/>
      </c>
      <c r="AK470" s="17" t="str">
        <f>IF(NOT(ISBLANK(Audit[[#This Row],[Audit Candidate 7]])), Audit[[#This Row],[Audit Candidate 7]]-Audit[[#This Row],[Candidate 7]], "")</f>
        <v/>
      </c>
      <c r="AL470" s="17" t="str">
        <f>IF(NOT(ISBLANK(Audit[[#This Row],[Audit Candidate 8]])), Audit[[#This Row],[Audit Candidate 8]]-Audit[[#This Row],[Candidate 8]], "")</f>
        <v/>
      </c>
      <c r="AM470" s="17" t="str">
        <f>IF(NOT(ISBLANK(Audit[[#This Row],[Audit Candidate 9]])), Audit[[#This Row],[Audit Candidate 9]]-Audit[[#This Row],[Candidate 9]], "")</f>
        <v/>
      </c>
      <c r="AN470" s="17" t="str">
        <f>IF(NOT(ISBLANK(Audit[[#This Row],[Audit Candidate 10]])), Audit[[#This Row],[Audit Candidate 10]]-Audit[[#This Row],[Candidate 10]], "")</f>
        <v/>
      </c>
      <c r="AO470" s="17" t="str">
        <f>IF(NOT(ISBLANK(Audit[[#This Row],[Audit Candidate 11]])), Audit[[#This Row],[Audit Candidate 11]]-Audit[[#This Row],[Candidate 11]], "")</f>
        <v/>
      </c>
      <c r="AP470" s="17" t="str">
        <f>IF(NOT(ISBLANK(Audit[[#This Row],[Audit Candidate 12]])), Audit[[#This Row],[Audit Candidate 12]]-Audit[[#This Row],[Candidate 12]], "")</f>
        <v/>
      </c>
      <c r="AQ470" s="17">
        <f>SUMIF(Audit[[#This Row],[Difference Winner]:[Difference Candidate 12]], "&gt;0")</f>
        <v>0</v>
      </c>
      <c r="AR470" s="17">
        <f>SUM(Audit[[#This Row],[Difference Winner]:[Difference Candidate 12]])</f>
        <v>0</v>
      </c>
      <c r="AS470" s="17">
        <f>IF(Audit[[#This Row],[Times p Drawn - With Replacement]]&gt;0, IF(Audit[[#This Row],[Canceled Differences]]&lt;0, Audit[[#This Row],[Max Differences]]+ABS(Audit[[#This Row],[Canceled Differences]]), Audit[[#This Row],[Max Differences]]), 0)</f>
        <v>0</v>
      </c>
      <c r="AT470" s="17">
        <f>'Sampling Data'!AB470</f>
        <v>3.0555084026481073E-3</v>
      </c>
      <c r="AU470" s="17">
        <f>IF(
      SUM(Audit[[#This Row],[Audit Losing Candidate]:[Audit Candidate 12]])
      &lt;&gt;0,
      (Audit[[#This Row],[Winning Candidate]]-Audit[[#This Row],[Losing Candidate]]-(Audit[[#This Row],[Audit Winning Candidate]]-Audit[[#This Row],[Audit Losing Candidate]]))/(Audit[[#Totals],[Winning Candidate]]-Audit[[#Totals],[Losing Candidate]]),
      0
)</f>
        <v>0</v>
      </c>
      <c r="AV4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0" s="17">
        <f>IF(Audit[[#This Row],[Max Relative Error (ep)]] = 0, 0, Audit[[#This Row],[Max Relative Error (ep)]]/Audit[[#This Row],[Error Bound (up) - Max. possible relative overstatement]])</f>
        <v>0</v>
      </c>
      <c r="BH4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70" s="17">
        <f t="shared" si="8"/>
        <v>1</v>
      </c>
      <c r="BJ470" s="17">
        <f>PRODUCT($BI$5:BI470)</f>
        <v>0.46283459046185416</v>
      </c>
      <c r="BK470" s="19">
        <f>1 - Audit[[#This Row],[K-M P Value]]</f>
        <v>0.53716540953814584</v>
      </c>
      <c r="BL470" s="17" t="str">
        <f>IF(Audit[[#This Row],[K-M P Value]]&gt;1-'General Info'!$B$12,"Continue", "Stop")</f>
        <v>Continue</v>
      </c>
      <c r="BM470" s="22" t="b">
        <f>IF(Audit[[#This Row],[Status - Continue or stop audit]] = "Continue", TRUE, IF(BL469 = "Continue", TRUE, FALSE))</f>
        <v>1</v>
      </c>
      <c r="BN470" s="22"/>
    </row>
    <row r="471" spans="1:66" ht="15" hidden="1" customHeight="1" x14ac:dyDescent="0.35">
      <c r="A471" s="17" t="str">
        <f>'Sampling Data'!AI471</f>
        <v/>
      </c>
      <c r="B471" s="17" t="str">
        <f>'Sampling Data'!A471</f>
        <v>7342 GREEN PP   (AV)</v>
      </c>
      <c r="C471" s="17">
        <f>'Sampling Data'!B471</f>
        <v>98</v>
      </c>
      <c r="D471" s="17">
        <f>'Sampling Data'!C471</f>
        <v>295</v>
      </c>
      <c r="E471" s="18">
        <f>'Sampling Data'!D471</f>
        <v>0</v>
      </c>
      <c r="F471" s="18">
        <f>'Sampling Data'!E471</f>
        <v>0</v>
      </c>
      <c r="G471" s="18">
        <f>'Sampling Data'!F471</f>
        <v>0</v>
      </c>
      <c r="H471" s="18">
        <f>'Sampling Data'!G471</f>
        <v>0</v>
      </c>
      <c r="I471" s="18">
        <f>'Sampling Data'!H471</f>
        <v>0</v>
      </c>
      <c r="J471" s="18">
        <f>'Sampling Data'!I471</f>
        <v>0</v>
      </c>
      <c r="K471" s="18">
        <f>'Sampling Data'!J471</f>
        <v>0</v>
      </c>
      <c r="L471" s="18">
        <f>'Sampling Data'!K471</f>
        <v>0</v>
      </c>
      <c r="M471" s="18">
        <f>'Sampling Data'!L471</f>
        <v>0</v>
      </c>
      <c r="N471" s="18">
        <f>'Sampling Data'!M471</f>
        <v>0</v>
      </c>
      <c r="O471" s="17">
        <f>'Sampling Data'!N471</f>
        <v>0</v>
      </c>
      <c r="P471" s="17">
        <f>'Sampling Data'!O471</f>
        <v>19</v>
      </c>
      <c r="Q471" s="17">
        <f>'Sampling Data'!P471</f>
        <v>412</v>
      </c>
      <c r="R471" s="17">
        <f>'Sampling Data'!AJ471</f>
        <v>0</v>
      </c>
      <c r="S471" s="111"/>
      <c r="T471" s="111"/>
      <c r="U471" s="112"/>
      <c r="V471" s="112"/>
      <c r="W471" s="111"/>
      <c r="X471" s="111"/>
      <c r="Y471" s="111"/>
      <c r="Z471" s="111"/>
      <c r="AA471" s="14"/>
      <c r="AB471" s="14"/>
      <c r="AC471" s="14"/>
      <c r="AD471" s="14"/>
      <c r="AE471" s="113" t="str">
        <f>IF(NOT(ISBLANK(Audit[[#This Row],[Audit Winning Candidate]])), Audit[[#This Row],[Audit Winning Candidate]]-Audit[[#This Row],[Winning Candidate]], "")</f>
        <v/>
      </c>
      <c r="AF471" s="17" t="str">
        <f>IF(NOT(ISBLANK(Audit[[#This Row],[Audit Losing Candidate]])), Audit[[#This Row],[Audit Losing Candidate]]-Audit[[#This Row],[Losing Candidate]], "")</f>
        <v/>
      </c>
      <c r="AG471" s="17" t="str">
        <f>IF(NOT(ISBLANK(Audit[[#This Row],[Audit Candidate 3]])), Audit[[#This Row],[Audit Candidate 3]]-Audit[[#This Row],[Candidate 3]], "")</f>
        <v/>
      </c>
      <c r="AH471" s="17" t="str">
        <f>IF(NOT(ISBLANK(Audit[[#This Row],[Audit Candidate 4]])),Audit[[#This Row],[Audit Candidate 4]]-Audit[[#This Row],[Candidate 4]], "")</f>
        <v/>
      </c>
      <c r="AI471" s="17" t="str">
        <f>IF(NOT(ISBLANK(Audit[[#This Row],[Audit Candidate 5]])), Audit[[#This Row],[Audit Candidate 5]]-Audit[[#This Row],[Candidate 5]], "")</f>
        <v/>
      </c>
      <c r="AJ471" s="17" t="str">
        <f>IF(NOT(ISBLANK(Audit[[#This Row],[Audit Candidate 6]])), Audit[[#This Row],[Audit Candidate 6]]-Audit[[#This Row],[Candidate 6]], "")</f>
        <v/>
      </c>
      <c r="AK471" s="17" t="str">
        <f>IF(NOT(ISBLANK(Audit[[#This Row],[Audit Candidate 7]])), Audit[[#This Row],[Audit Candidate 7]]-Audit[[#This Row],[Candidate 7]], "")</f>
        <v/>
      </c>
      <c r="AL471" s="17" t="str">
        <f>IF(NOT(ISBLANK(Audit[[#This Row],[Audit Candidate 8]])), Audit[[#This Row],[Audit Candidate 8]]-Audit[[#This Row],[Candidate 8]], "")</f>
        <v/>
      </c>
      <c r="AM471" s="17" t="str">
        <f>IF(NOT(ISBLANK(Audit[[#This Row],[Audit Candidate 9]])), Audit[[#This Row],[Audit Candidate 9]]-Audit[[#This Row],[Candidate 9]], "")</f>
        <v/>
      </c>
      <c r="AN471" s="17" t="str">
        <f>IF(NOT(ISBLANK(Audit[[#This Row],[Audit Candidate 10]])), Audit[[#This Row],[Audit Candidate 10]]-Audit[[#This Row],[Candidate 10]], "")</f>
        <v/>
      </c>
      <c r="AO471" s="17" t="str">
        <f>IF(NOT(ISBLANK(Audit[[#This Row],[Audit Candidate 11]])), Audit[[#This Row],[Audit Candidate 11]]-Audit[[#This Row],[Candidate 11]], "")</f>
        <v/>
      </c>
      <c r="AP471" s="17" t="str">
        <f>IF(NOT(ISBLANK(Audit[[#This Row],[Audit Candidate 12]])), Audit[[#This Row],[Audit Candidate 12]]-Audit[[#This Row],[Candidate 12]], "")</f>
        <v/>
      </c>
      <c r="AQ471" s="17">
        <f>SUMIF(Audit[[#This Row],[Difference Winner]:[Difference Candidate 12]], "&gt;0")</f>
        <v>0</v>
      </c>
      <c r="AR471" s="17">
        <f>SUM(Audit[[#This Row],[Difference Winner]:[Difference Candidate 12]])</f>
        <v>0</v>
      </c>
      <c r="AS471" s="17">
        <f>IF(Audit[[#This Row],[Times p Drawn - With Replacement]]&gt;0, IF(Audit[[#This Row],[Canceled Differences]]&lt;0, Audit[[#This Row],[Max Differences]]+ABS(Audit[[#This Row],[Canceled Differences]]), Audit[[#This Row],[Max Differences]]), 0)</f>
        <v>0</v>
      </c>
      <c r="AT471" s="17">
        <f>'Sampling Data'!AB471</f>
        <v>9.1240875912408752E-3</v>
      </c>
      <c r="AU471" s="17">
        <f>IF(
      SUM(Audit[[#This Row],[Audit Losing Candidate]:[Audit Candidate 12]])
      &lt;&gt;0,
      (Audit[[#This Row],[Winning Candidate]]-Audit[[#This Row],[Losing Candidate]]-(Audit[[#This Row],[Audit Winning Candidate]]-Audit[[#This Row],[Audit Losing Candidate]]))/(Audit[[#Totals],[Winning Candidate]]-Audit[[#Totals],[Losing Candidate]]),
      0
)</f>
        <v>0</v>
      </c>
      <c r="AV4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1" s="17">
        <f>IF(Audit[[#This Row],[Max Relative Error (ep)]] = 0, 0, Audit[[#This Row],[Max Relative Error (ep)]]/Audit[[#This Row],[Error Bound (up) - Max. possible relative overstatement]])</f>
        <v>0</v>
      </c>
      <c r="BH4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71" s="17">
        <f t="shared" si="8"/>
        <v>1</v>
      </c>
      <c r="BJ471" s="17">
        <f>PRODUCT($BI$5:BI471)</f>
        <v>0.46283459046185416</v>
      </c>
      <c r="BK471" s="19">
        <f>1 - Audit[[#This Row],[K-M P Value]]</f>
        <v>0.53716540953814584</v>
      </c>
      <c r="BL471" s="17" t="str">
        <f>IF(Audit[[#This Row],[K-M P Value]]&gt;1-'General Info'!$B$12,"Continue", "Stop")</f>
        <v>Continue</v>
      </c>
      <c r="BM471" s="22" t="b">
        <f>IF(Audit[[#This Row],[Status - Continue or stop audit]] = "Continue", TRUE, IF(BL470 = "Continue", TRUE, FALSE))</f>
        <v>1</v>
      </c>
      <c r="BN471" s="22"/>
    </row>
    <row r="472" spans="1:66" ht="15" hidden="1" customHeight="1" x14ac:dyDescent="0.35">
      <c r="A472" s="17" t="str">
        <f>'Sampling Data'!AI472</f>
        <v/>
      </c>
      <c r="B472" s="17" t="str">
        <f>'Sampling Data'!A472</f>
        <v>7343 GREEN QQ   (AV)</v>
      </c>
      <c r="C472" s="17">
        <f>'Sampling Data'!B472</f>
        <v>81</v>
      </c>
      <c r="D472" s="17">
        <f>'Sampling Data'!C472</f>
        <v>259</v>
      </c>
      <c r="E472" s="18">
        <f>'Sampling Data'!D472</f>
        <v>0</v>
      </c>
      <c r="F472" s="18">
        <f>'Sampling Data'!E472</f>
        <v>0</v>
      </c>
      <c r="G472" s="18">
        <f>'Sampling Data'!F472</f>
        <v>0</v>
      </c>
      <c r="H472" s="18">
        <f>'Sampling Data'!G472</f>
        <v>0</v>
      </c>
      <c r="I472" s="18">
        <f>'Sampling Data'!H472</f>
        <v>0</v>
      </c>
      <c r="J472" s="18">
        <f>'Sampling Data'!I472</f>
        <v>0</v>
      </c>
      <c r="K472" s="18">
        <f>'Sampling Data'!J472</f>
        <v>0</v>
      </c>
      <c r="L472" s="18">
        <f>'Sampling Data'!K472</f>
        <v>0</v>
      </c>
      <c r="M472" s="18">
        <f>'Sampling Data'!L472</f>
        <v>0</v>
      </c>
      <c r="N472" s="18">
        <f>'Sampling Data'!M472</f>
        <v>0</v>
      </c>
      <c r="O472" s="17">
        <f>'Sampling Data'!N472</f>
        <v>0</v>
      </c>
      <c r="P472" s="17">
        <f>'Sampling Data'!O472</f>
        <v>12</v>
      </c>
      <c r="Q472" s="17">
        <f>'Sampling Data'!P472</f>
        <v>352</v>
      </c>
      <c r="R472" s="17">
        <f>'Sampling Data'!AJ472</f>
        <v>0</v>
      </c>
      <c r="S472" s="111"/>
      <c r="T472" s="111"/>
      <c r="U472" s="112"/>
      <c r="V472" s="112"/>
      <c r="W472" s="111"/>
      <c r="X472" s="111"/>
      <c r="Y472" s="111"/>
      <c r="Z472" s="111"/>
      <c r="AA472" s="14"/>
      <c r="AB472" s="14"/>
      <c r="AC472" s="14"/>
      <c r="AD472" s="14"/>
      <c r="AE472" s="113" t="str">
        <f>IF(NOT(ISBLANK(Audit[[#This Row],[Audit Winning Candidate]])), Audit[[#This Row],[Audit Winning Candidate]]-Audit[[#This Row],[Winning Candidate]], "")</f>
        <v/>
      </c>
      <c r="AF472" s="17" t="str">
        <f>IF(NOT(ISBLANK(Audit[[#This Row],[Audit Losing Candidate]])), Audit[[#This Row],[Audit Losing Candidate]]-Audit[[#This Row],[Losing Candidate]], "")</f>
        <v/>
      </c>
      <c r="AG472" s="17" t="str">
        <f>IF(NOT(ISBLANK(Audit[[#This Row],[Audit Candidate 3]])), Audit[[#This Row],[Audit Candidate 3]]-Audit[[#This Row],[Candidate 3]], "")</f>
        <v/>
      </c>
      <c r="AH472" s="17" t="str">
        <f>IF(NOT(ISBLANK(Audit[[#This Row],[Audit Candidate 4]])),Audit[[#This Row],[Audit Candidate 4]]-Audit[[#This Row],[Candidate 4]], "")</f>
        <v/>
      </c>
      <c r="AI472" s="17" t="str">
        <f>IF(NOT(ISBLANK(Audit[[#This Row],[Audit Candidate 5]])), Audit[[#This Row],[Audit Candidate 5]]-Audit[[#This Row],[Candidate 5]], "")</f>
        <v/>
      </c>
      <c r="AJ472" s="17" t="str">
        <f>IF(NOT(ISBLANK(Audit[[#This Row],[Audit Candidate 6]])), Audit[[#This Row],[Audit Candidate 6]]-Audit[[#This Row],[Candidate 6]], "")</f>
        <v/>
      </c>
      <c r="AK472" s="17" t="str">
        <f>IF(NOT(ISBLANK(Audit[[#This Row],[Audit Candidate 7]])), Audit[[#This Row],[Audit Candidate 7]]-Audit[[#This Row],[Candidate 7]], "")</f>
        <v/>
      </c>
      <c r="AL472" s="17" t="str">
        <f>IF(NOT(ISBLANK(Audit[[#This Row],[Audit Candidate 8]])), Audit[[#This Row],[Audit Candidate 8]]-Audit[[#This Row],[Candidate 8]], "")</f>
        <v/>
      </c>
      <c r="AM472" s="17" t="str">
        <f>IF(NOT(ISBLANK(Audit[[#This Row],[Audit Candidate 9]])), Audit[[#This Row],[Audit Candidate 9]]-Audit[[#This Row],[Candidate 9]], "")</f>
        <v/>
      </c>
      <c r="AN472" s="17" t="str">
        <f>IF(NOT(ISBLANK(Audit[[#This Row],[Audit Candidate 10]])), Audit[[#This Row],[Audit Candidate 10]]-Audit[[#This Row],[Candidate 10]], "")</f>
        <v/>
      </c>
      <c r="AO472" s="17" t="str">
        <f>IF(NOT(ISBLANK(Audit[[#This Row],[Audit Candidate 11]])), Audit[[#This Row],[Audit Candidate 11]]-Audit[[#This Row],[Candidate 11]], "")</f>
        <v/>
      </c>
      <c r="AP472" s="17" t="str">
        <f>IF(NOT(ISBLANK(Audit[[#This Row],[Audit Candidate 12]])), Audit[[#This Row],[Audit Candidate 12]]-Audit[[#This Row],[Candidate 12]], "")</f>
        <v/>
      </c>
      <c r="AQ472" s="17">
        <f>SUMIF(Audit[[#This Row],[Difference Winner]:[Difference Candidate 12]], "&gt;0")</f>
        <v>0</v>
      </c>
      <c r="AR472" s="17">
        <f>SUM(Audit[[#This Row],[Difference Winner]:[Difference Candidate 12]])</f>
        <v>0</v>
      </c>
      <c r="AS472" s="17">
        <f>IF(Audit[[#This Row],[Times p Drawn - With Replacement]]&gt;0, IF(Audit[[#This Row],[Canceled Differences]]&lt;0, Audit[[#This Row],[Max Differences]]+ABS(Audit[[#This Row],[Canceled Differences]]), Audit[[#This Row],[Max Differences]]), 0)</f>
        <v>0</v>
      </c>
      <c r="AT472" s="17">
        <f>'Sampling Data'!AB472</f>
        <v>7.3841453063995923E-3</v>
      </c>
      <c r="AU472" s="17">
        <f>IF(
      SUM(Audit[[#This Row],[Audit Losing Candidate]:[Audit Candidate 12]])
      &lt;&gt;0,
      (Audit[[#This Row],[Winning Candidate]]-Audit[[#This Row],[Losing Candidate]]-(Audit[[#This Row],[Audit Winning Candidate]]-Audit[[#This Row],[Audit Losing Candidate]]))/(Audit[[#Totals],[Winning Candidate]]-Audit[[#Totals],[Losing Candidate]]),
      0
)</f>
        <v>0</v>
      </c>
      <c r="AV4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2" s="17">
        <f>IF(Audit[[#This Row],[Max Relative Error (ep)]] = 0, 0, Audit[[#This Row],[Max Relative Error (ep)]]/Audit[[#This Row],[Error Bound (up) - Max. possible relative overstatement]])</f>
        <v>0</v>
      </c>
      <c r="BH4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72" s="17">
        <f t="shared" si="8"/>
        <v>1</v>
      </c>
      <c r="BJ472" s="17">
        <f>PRODUCT($BI$5:BI472)</f>
        <v>0.46283459046185416</v>
      </c>
      <c r="BK472" s="19">
        <f>1 - Audit[[#This Row],[K-M P Value]]</f>
        <v>0.53716540953814584</v>
      </c>
      <c r="BL472" s="17" t="str">
        <f>IF(Audit[[#This Row],[K-M P Value]]&gt;1-'General Info'!$B$12,"Continue", "Stop")</f>
        <v>Continue</v>
      </c>
      <c r="BM472" s="22" t="b">
        <f>IF(Audit[[#This Row],[Status - Continue or stop audit]] = "Continue", TRUE, IF(BL471 = "Continue", TRUE, FALSE))</f>
        <v>1</v>
      </c>
      <c r="BN472" s="22"/>
    </row>
    <row r="473" spans="1:66" ht="15" hidden="1" customHeight="1" x14ac:dyDescent="0.35">
      <c r="A473" s="17" t="str">
        <f>'Sampling Data'!AI473</f>
        <v/>
      </c>
      <c r="B473" s="17" t="str">
        <f>'Sampling Data'!A473</f>
        <v>7401 GR HL A   (AV)</v>
      </c>
      <c r="C473" s="17">
        <f>'Sampling Data'!B473</f>
        <v>81</v>
      </c>
      <c r="D473" s="17">
        <f>'Sampling Data'!C473</f>
        <v>52</v>
      </c>
      <c r="E473" s="18">
        <f>'Sampling Data'!D473</f>
        <v>0</v>
      </c>
      <c r="F473" s="18">
        <f>'Sampling Data'!E473</f>
        <v>0</v>
      </c>
      <c r="G473" s="18">
        <f>'Sampling Data'!F473</f>
        <v>0</v>
      </c>
      <c r="H473" s="18">
        <f>'Sampling Data'!G473</f>
        <v>0</v>
      </c>
      <c r="I473" s="18">
        <f>'Sampling Data'!H473</f>
        <v>0</v>
      </c>
      <c r="J473" s="18">
        <f>'Sampling Data'!I473</f>
        <v>0</v>
      </c>
      <c r="K473" s="18">
        <f>'Sampling Data'!J473</f>
        <v>0</v>
      </c>
      <c r="L473" s="18">
        <f>'Sampling Data'!K473</f>
        <v>0</v>
      </c>
      <c r="M473" s="18">
        <f>'Sampling Data'!L473</f>
        <v>0</v>
      </c>
      <c r="N473" s="18">
        <f>'Sampling Data'!M473</f>
        <v>0</v>
      </c>
      <c r="O473" s="17">
        <f>'Sampling Data'!N473</f>
        <v>1</v>
      </c>
      <c r="P473" s="17">
        <f>'Sampling Data'!O473</f>
        <v>8</v>
      </c>
      <c r="Q473" s="17">
        <f>'Sampling Data'!P473</f>
        <v>142</v>
      </c>
      <c r="R473" s="17">
        <f>'Sampling Data'!AJ473</f>
        <v>0</v>
      </c>
      <c r="S473" s="111"/>
      <c r="T473" s="111"/>
      <c r="U473" s="112"/>
      <c r="V473" s="112"/>
      <c r="W473" s="111"/>
      <c r="X473" s="111"/>
      <c r="Y473" s="111"/>
      <c r="Z473" s="111"/>
      <c r="AA473" s="14"/>
      <c r="AB473" s="14"/>
      <c r="AC473" s="14"/>
      <c r="AD473" s="14"/>
      <c r="AE473" s="113" t="str">
        <f>IF(NOT(ISBLANK(Audit[[#This Row],[Audit Winning Candidate]])), Audit[[#This Row],[Audit Winning Candidate]]-Audit[[#This Row],[Winning Candidate]], "")</f>
        <v/>
      </c>
      <c r="AF473" s="17" t="str">
        <f>IF(NOT(ISBLANK(Audit[[#This Row],[Audit Losing Candidate]])), Audit[[#This Row],[Audit Losing Candidate]]-Audit[[#This Row],[Losing Candidate]], "")</f>
        <v/>
      </c>
      <c r="AG473" s="17" t="str">
        <f>IF(NOT(ISBLANK(Audit[[#This Row],[Audit Candidate 3]])), Audit[[#This Row],[Audit Candidate 3]]-Audit[[#This Row],[Candidate 3]], "")</f>
        <v/>
      </c>
      <c r="AH473" s="17" t="str">
        <f>IF(NOT(ISBLANK(Audit[[#This Row],[Audit Candidate 4]])),Audit[[#This Row],[Audit Candidate 4]]-Audit[[#This Row],[Candidate 4]], "")</f>
        <v/>
      </c>
      <c r="AI473" s="17" t="str">
        <f>IF(NOT(ISBLANK(Audit[[#This Row],[Audit Candidate 5]])), Audit[[#This Row],[Audit Candidate 5]]-Audit[[#This Row],[Candidate 5]], "")</f>
        <v/>
      </c>
      <c r="AJ473" s="17" t="str">
        <f>IF(NOT(ISBLANK(Audit[[#This Row],[Audit Candidate 6]])), Audit[[#This Row],[Audit Candidate 6]]-Audit[[#This Row],[Candidate 6]], "")</f>
        <v/>
      </c>
      <c r="AK473" s="17" t="str">
        <f>IF(NOT(ISBLANK(Audit[[#This Row],[Audit Candidate 7]])), Audit[[#This Row],[Audit Candidate 7]]-Audit[[#This Row],[Candidate 7]], "")</f>
        <v/>
      </c>
      <c r="AL473" s="17" t="str">
        <f>IF(NOT(ISBLANK(Audit[[#This Row],[Audit Candidate 8]])), Audit[[#This Row],[Audit Candidate 8]]-Audit[[#This Row],[Candidate 8]], "")</f>
        <v/>
      </c>
      <c r="AM473" s="17" t="str">
        <f>IF(NOT(ISBLANK(Audit[[#This Row],[Audit Candidate 9]])), Audit[[#This Row],[Audit Candidate 9]]-Audit[[#This Row],[Candidate 9]], "")</f>
        <v/>
      </c>
      <c r="AN473" s="17" t="str">
        <f>IF(NOT(ISBLANK(Audit[[#This Row],[Audit Candidate 10]])), Audit[[#This Row],[Audit Candidate 10]]-Audit[[#This Row],[Candidate 10]], "")</f>
        <v/>
      </c>
      <c r="AO473" s="17" t="str">
        <f>IF(NOT(ISBLANK(Audit[[#This Row],[Audit Candidate 11]])), Audit[[#This Row],[Audit Candidate 11]]-Audit[[#This Row],[Candidate 11]], "")</f>
        <v/>
      </c>
      <c r="AP473" s="17" t="str">
        <f>IF(NOT(ISBLANK(Audit[[#This Row],[Audit Candidate 12]])), Audit[[#This Row],[Audit Candidate 12]]-Audit[[#This Row],[Candidate 12]], "")</f>
        <v/>
      </c>
      <c r="AQ473" s="17">
        <f>SUMIF(Audit[[#This Row],[Difference Winner]:[Difference Candidate 12]], "&gt;0")</f>
        <v>0</v>
      </c>
      <c r="AR473" s="17">
        <f>SUM(Audit[[#This Row],[Difference Winner]:[Difference Candidate 12]])</f>
        <v>0</v>
      </c>
      <c r="AS473" s="17">
        <f>IF(Audit[[#This Row],[Times p Drawn - With Replacement]]&gt;0, IF(Audit[[#This Row],[Canceled Differences]]&lt;0, Audit[[#This Row],[Max Differences]]+ABS(Audit[[#This Row],[Canceled Differences]]), Audit[[#This Row],[Max Differences]]), 0)</f>
        <v>0</v>
      </c>
      <c r="AT473" s="17">
        <f>'Sampling Data'!AB473</f>
        <v>7.256832456289255E-3</v>
      </c>
      <c r="AU473" s="17">
        <f>IF(
      SUM(Audit[[#This Row],[Audit Losing Candidate]:[Audit Candidate 12]])
      &lt;&gt;0,
      (Audit[[#This Row],[Winning Candidate]]-Audit[[#This Row],[Losing Candidate]]-(Audit[[#This Row],[Audit Winning Candidate]]-Audit[[#This Row],[Audit Losing Candidate]]))/(Audit[[#Totals],[Winning Candidate]]-Audit[[#Totals],[Losing Candidate]]),
      0
)</f>
        <v>0</v>
      </c>
      <c r="AV4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3" s="17">
        <f>IF(Audit[[#This Row],[Max Relative Error (ep)]] = 0, 0, Audit[[#This Row],[Max Relative Error (ep)]]/Audit[[#This Row],[Error Bound (up) - Max. possible relative overstatement]])</f>
        <v>0</v>
      </c>
      <c r="BH4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73" s="17">
        <f t="shared" si="8"/>
        <v>1</v>
      </c>
      <c r="BJ473" s="17">
        <f>PRODUCT($BI$5:BI473)</f>
        <v>0.46283459046185416</v>
      </c>
      <c r="BK473" s="19">
        <f>1 - Audit[[#This Row],[K-M P Value]]</f>
        <v>0.53716540953814584</v>
      </c>
      <c r="BL473" s="17" t="str">
        <f>IF(Audit[[#This Row],[K-M P Value]]&gt;1-'General Info'!$B$12,"Continue", "Stop")</f>
        <v>Continue</v>
      </c>
      <c r="BM473" s="22" t="b">
        <f>IF(Audit[[#This Row],[Status - Continue or stop audit]] = "Continue", TRUE, IF(BL472 = "Continue", TRUE, FALSE))</f>
        <v>1</v>
      </c>
      <c r="BN473" s="22"/>
    </row>
    <row r="474" spans="1:66" ht="15" hidden="1" customHeight="1" x14ac:dyDescent="0.35">
      <c r="A474" s="17" t="str">
        <f>'Sampling Data'!AI474</f>
        <v/>
      </c>
      <c r="B474" s="17" t="str">
        <f>'Sampling Data'!A474</f>
        <v>7402 GR HL B   (AV)</v>
      </c>
      <c r="C474" s="17">
        <f>'Sampling Data'!B474</f>
        <v>125</v>
      </c>
      <c r="D474" s="17">
        <f>'Sampling Data'!C474</f>
        <v>109</v>
      </c>
      <c r="E474" s="18">
        <f>'Sampling Data'!D474</f>
        <v>0</v>
      </c>
      <c r="F474" s="18">
        <f>'Sampling Data'!E474</f>
        <v>0</v>
      </c>
      <c r="G474" s="18">
        <f>'Sampling Data'!F474</f>
        <v>0</v>
      </c>
      <c r="H474" s="18">
        <f>'Sampling Data'!G474</f>
        <v>0</v>
      </c>
      <c r="I474" s="18">
        <f>'Sampling Data'!H474</f>
        <v>0</v>
      </c>
      <c r="J474" s="18">
        <f>'Sampling Data'!I474</f>
        <v>0</v>
      </c>
      <c r="K474" s="18">
        <f>'Sampling Data'!J474</f>
        <v>0</v>
      </c>
      <c r="L474" s="18">
        <f>'Sampling Data'!K474</f>
        <v>0</v>
      </c>
      <c r="M474" s="18">
        <f>'Sampling Data'!L474</f>
        <v>0</v>
      </c>
      <c r="N474" s="18">
        <f>'Sampling Data'!M474</f>
        <v>0</v>
      </c>
      <c r="O474" s="17">
        <f>'Sampling Data'!N474</f>
        <v>1</v>
      </c>
      <c r="P474" s="17">
        <f>'Sampling Data'!O474</f>
        <v>9</v>
      </c>
      <c r="Q474" s="17">
        <f>'Sampling Data'!P474</f>
        <v>244</v>
      </c>
      <c r="R474" s="17">
        <f>'Sampling Data'!AJ474</f>
        <v>0</v>
      </c>
      <c r="S474" s="111"/>
      <c r="T474" s="111"/>
      <c r="U474" s="112"/>
      <c r="V474" s="112"/>
      <c r="W474" s="111"/>
      <c r="X474" s="111"/>
      <c r="Y474" s="111"/>
      <c r="Z474" s="111"/>
      <c r="AA474" s="14"/>
      <c r="AB474" s="14"/>
      <c r="AC474" s="14"/>
      <c r="AD474" s="14"/>
      <c r="AE474" s="113" t="str">
        <f>IF(NOT(ISBLANK(Audit[[#This Row],[Audit Winning Candidate]])), Audit[[#This Row],[Audit Winning Candidate]]-Audit[[#This Row],[Winning Candidate]], "")</f>
        <v/>
      </c>
      <c r="AF474" s="17" t="str">
        <f>IF(NOT(ISBLANK(Audit[[#This Row],[Audit Losing Candidate]])), Audit[[#This Row],[Audit Losing Candidate]]-Audit[[#This Row],[Losing Candidate]], "")</f>
        <v/>
      </c>
      <c r="AG474" s="17" t="str">
        <f>IF(NOT(ISBLANK(Audit[[#This Row],[Audit Candidate 3]])), Audit[[#This Row],[Audit Candidate 3]]-Audit[[#This Row],[Candidate 3]], "")</f>
        <v/>
      </c>
      <c r="AH474" s="17" t="str">
        <f>IF(NOT(ISBLANK(Audit[[#This Row],[Audit Candidate 4]])),Audit[[#This Row],[Audit Candidate 4]]-Audit[[#This Row],[Candidate 4]], "")</f>
        <v/>
      </c>
      <c r="AI474" s="17" t="str">
        <f>IF(NOT(ISBLANK(Audit[[#This Row],[Audit Candidate 5]])), Audit[[#This Row],[Audit Candidate 5]]-Audit[[#This Row],[Candidate 5]], "")</f>
        <v/>
      </c>
      <c r="AJ474" s="17" t="str">
        <f>IF(NOT(ISBLANK(Audit[[#This Row],[Audit Candidate 6]])), Audit[[#This Row],[Audit Candidate 6]]-Audit[[#This Row],[Candidate 6]], "")</f>
        <v/>
      </c>
      <c r="AK474" s="17" t="str">
        <f>IF(NOT(ISBLANK(Audit[[#This Row],[Audit Candidate 7]])), Audit[[#This Row],[Audit Candidate 7]]-Audit[[#This Row],[Candidate 7]], "")</f>
        <v/>
      </c>
      <c r="AL474" s="17" t="str">
        <f>IF(NOT(ISBLANK(Audit[[#This Row],[Audit Candidate 8]])), Audit[[#This Row],[Audit Candidate 8]]-Audit[[#This Row],[Candidate 8]], "")</f>
        <v/>
      </c>
      <c r="AM474" s="17" t="str">
        <f>IF(NOT(ISBLANK(Audit[[#This Row],[Audit Candidate 9]])), Audit[[#This Row],[Audit Candidate 9]]-Audit[[#This Row],[Candidate 9]], "")</f>
        <v/>
      </c>
      <c r="AN474" s="17" t="str">
        <f>IF(NOT(ISBLANK(Audit[[#This Row],[Audit Candidate 10]])), Audit[[#This Row],[Audit Candidate 10]]-Audit[[#This Row],[Candidate 10]], "")</f>
        <v/>
      </c>
      <c r="AO474" s="17" t="str">
        <f>IF(NOT(ISBLANK(Audit[[#This Row],[Audit Candidate 11]])), Audit[[#This Row],[Audit Candidate 11]]-Audit[[#This Row],[Candidate 11]], "")</f>
        <v/>
      </c>
      <c r="AP474" s="17" t="str">
        <f>IF(NOT(ISBLANK(Audit[[#This Row],[Audit Candidate 12]])), Audit[[#This Row],[Audit Candidate 12]]-Audit[[#This Row],[Candidate 12]], "")</f>
        <v/>
      </c>
      <c r="AQ474" s="17">
        <f>SUMIF(Audit[[#This Row],[Difference Winner]:[Difference Candidate 12]], "&gt;0")</f>
        <v>0</v>
      </c>
      <c r="AR474" s="17">
        <f>SUM(Audit[[#This Row],[Difference Winner]:[Difference Candidate 12]])</f>
        <v>0</v>
      </c>
      <c r="AS474" s="17">
        <f>IF(Audit[[#This Row],[Times p Drawn - With Replacement]]&gt;0, IF(Audit[[#This Row],[Canceled Differences]]&lt;0, Audit[[#This Row],[Max Differences]]+ABS(Audit[[#This Row],[Canceled Differences]]), Audit[[#This Row],[Max Differences]]), 0)</f>
        <v>0</v>
      </c>
      <c r="AT474" s="17">
        <f>'Sampling Data'!AB474</f>
        <v>1.1033780342895943E-2</v>
      </c>
      <c r="AU474" s="17">
        <f>IF(
      SUM(Audit[[#This Row],[Audit Losing Candidate]:[Audit Candidate 12]])
      &lt;&gt;0,
      (Audit[[#This Row],[Winning Candidate]]-Audit[[#This Row],[Losing Candidate]]-(Audit[[#This Row],[Audit Winning Candidate]]-Audit[[#This Row],[Audit Losing Candidate]]))/(Audit[[#Totals],[Winning Candidate]]-Audit[[#Totals],[Losing Candidate]]),
      0
)</f>
        <v>0</v>
      </c>
      <c r="AV4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4" s="17">
        <f>IF(Audit[[#This Row],[Max Relative Error (ep)]] = 0, 0, Audit[[#This Row],[Max Relative Error (ep)]]/Audit[[#This Row],[Error Bound (up) - Max. possible relative overstatement]])</f>
        <v>0</v>
      </c>
      <c r="BH4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74" s="17">
        <f t="shared" si="8"/>
        <v>1</v>
      </c>
      <c r="BJ474" s="17">
        <f>PRODUCT($BI$5:BI474)</f>
        <v>0.46283459046185416</v>
      </c>
      <c r="BK474" s="19">
        <f>1 - Audit[[#This Row],[K-M P Value]]</f>
        <v>0.53716540953814584</v>
      </c>
      <c r="BL474" s="17" t="str">
        <f>IF(Audit[[#This Row],[K-M P Value]]&gt;1-'General Info'!$B$12,"Continue", "Stop")</f>
        <v>Continue</v>
      </c>
      <c r="BM474" s="22" t="b">
        <f>IF(Audit[[#This Row],[Status - Continue or stop audit]] = "Continue", TRUE, IF(BL473 = "Continue", TRUE, FALSE))</f>
        <v>1</v>
      </c>
      <c r="BN474" s="22"/>
    </row>
    <row r="475" spans="1:66" ht="15" hidden="1" customHeight="1" x14ac:dyDescent="0.35">
      <c r="A475" s="17" t="str">
        <f>'Sampling Data'!AI475</f>
        <v/>
      </c>
      <c r="B475" s="17" t="str">
        <f>'Sampling Data'!A475</f>
        <v>7403 GR HL C   (AV)</v>
      </c>
      <c r="C475" s="17">
        <f>'Sampling Data'!B475</f>
        <v>86</v>
      </c>
      <c r="D475" s="17">
        <f>'Sampling Data'!C475</f>
        <v>85</v>
      </c>
      <c r="E475" s="18">
        <f>'Sampling Data'!D475</f>
        <v>0</v>
      </c>
      <c r="F475" s="18">
        <f>'Sampling Data'!E475</f>
        <v>0</v>
      </c>
      <c r="G475" s="18">
        <f>'Sampling Data'!F475</f>
        <v>0</v>
      </c>
      <c r="H475" s="18">
        <f>'Sampling Data'!G475</f>
        <v>0</v>
      </c>
      <c r="I475" s="18">
        <f>'Sampling Data'!H475</f>
        <v>0</v>
      </c>
      <c r="J475" s="18">
        <f>'Sampling Data'!I475</f>
        <v>0</v>
      </c>
      <c r="K475" s="18">
        <f>'Sampling Data'!J475</f>
        <v>0</v>
      </c>
      <c r="L475" s="18">
        <f>'Sampling Data'!K475</f>
        <v>0</v>
      </c>
      <c r="M475" s="18">
        <f>'Sampling Data'!L475</f>
        <v>0</v>
      </c>
      <c r="N475" s="18">
        <f>'Sampling Data'!M475</f>
        <v>0</v>
      </c>
      <c r="O475" s="17">
        <f>'Sampling Data'!N475</f>
        <v>0</v>
      </c>
      <c r="P475" s="17">
        <f>'Sampling Data'!O475</f>
        <v>5</v>
      </c>
      <c r="Q475" s="17">
        <f>'Sampling Data'!P475</f>
        <v>176</v>
      </c>
      <c r="R475" s="17">
        <f>'Sampling Data'!AJ475</f>
        <v>0</v>
      </c>
      <c r="S475" s="111"/>
      <c r="T475" s="111"/>
      <c r="U475" s="112"/>
      <c r="V475" s="112"/>
      <c r="W475" s="111"/>
      <c r="X475" s="111"/>
      <c r="Y475" s="111"/>
      <c r="Z475" s="111"/>
      <c r="AA475" s="14"/>
      <c r="AB475" s="14"/>
      <c r="AC475" s="14"/>
      <c r="AD475" s="14"/>
      <c r="AE475" s="113" t="str">
        <f>IF(NOT(ISBLANK(Audit[[#This Row],[Audit Winning Candidate]])), Audit[[#This Row],[Audit Winning Candidate]]-Audit[[#This Row],[Winning Candidate]], "")</f>
        <v/>
      </c>
      <c r="AF475" s="17" t="str">
        <f>IF(NOT(ISBLANK(Audit[[#This Row],[Audit Losing Candidate]])), Audit[[#This Row],[Audit Losing Candidate]]-Audit[[#This Row],[Losing Candidate]], "")</f>
        <v/>
      </c>
      <c r="AG475" s="17" t="str">
        <f>IF(NOT(ISBLANK(Audit[[#This Row],[Audit Candidate 3]])), Audit[[#This Row],[Audit Candidate 3]]-Audit[[#This Row],[Candidate 3]], "")</f>
        <v/>
      </c>
      <c r="AH475" s="17" t="str">
        <f>IF(NOT(ISBLANK(Audit[[#This Row],[Audit Candidate 4]])),Audit[[#This Row],[Audit Candidate 4]]-Audit[[#This Row],[Candidate 4]], "")</f>
        <v/>
      </c>
      <c r="AI475" s="17" t="str">
        <f>IF(NOT(ISBLANK(Audit[[#This Row],[Audit Candidate 5]])), Audit[[#This Row],[Audit Candidate 5]]-Audit[[#This Row],[Candidate 5]], "")</f>
        <v/>
      </c>
      <c r="AJ475" s="17" t="str">
        <f>IF(NOT(ISBLANK(Audit[[#This Row],[Audit Candidate 6]])), Audit[[#This Row],[Audit Candidate 6]]-Audit[[#This Row],[Candidate 6]], "")</f>
        <v/>
      </c>
      <c r="AK475" s="17" t="str">
        <f>IF(NOT(ISBLANK(Audit[[#This Row],[Audit Candidate 7]])), Audit[[#This Row],[Audit Candidate 7]]-Audit[[#This Row],[Candidate 7]], "")</f>
        <v/>
      </c>
      <c r="AL475" s="17" t="str">
        <f>IF(NOT(ISBLANK(Audit[[#This Row],[Audit Candidate 8]])), Audit[[#This Row],[Audit Candidate 8]]-Audit[[#This Row],[Candidate 8]], "")</f>
        <v/>
      </c>
      <c r="AM475" s="17" t="str">
        <f>IF(NOT(ISBLANK(Audit[[#This Row],[Audit Candidate 9]])), Audit[[#This Row],[Audit Candidate 9]]-Audit[[#This Row],[Candidate 9]], "")</f>
        <v/>
      </c>
      <c r="AN475" s="17" t="str">
        <f>IF(NOT(ISBLANK(Audit[[#This Row],[Audit Candidate 10]])), Audit[[#This Row],[Audit Candidate 10]]-Audit[[#This Row],[Candidate 10]], "")</f>
        <v/>
      </c>
      <c r="AO475" s="17" t="str">
        <f>IF(NOT(ISBLANK(Audit[[#This Row],[Audit Candidate 11]])), Audit[[#This Row],[Audit Candidate 11]]-Audit[[#This Row],[Candidate 11]], "")</f>
        <v/>
      </c>
      <c r="AP475" s="17" t="str">
        <f>IF(NOT(ISBLANK(Audit[[#This Row],[Audit Candidate 12]])), Audit[[#This Row],[Audit Candidate 12]]-Audit[[#This Row],[Candidate 12]], "")</f>
        <v/>
      </c>
      <c r="AQ475" s="17">
        <f>SUMIF(Audit[[#This Row],[Difference Winner]:[Difference Candidate 12]], "&gt;0")</f>
        <v>0</v>
      </c>
      <c r="AR475" s="17">
        <f>SUM(Audit[[#This Row],[Difference Winner]:[Difference Candidate 12]])</f>
        <v>0</v>
      </c>
      <c r="AS475" s="17">
        <f>IF(Audit[[#This Row],[Times p Drawn - With Replacement]]&gt;0, IF(Audit[[#This Row],[Canceled Differences]]&lt;0, Audit[[#This Row],[Max Differences]]+ABS(Audit[[#This Row],[Canceled Differences]]), Audit[[#This Row],[Max Differences]]), 0)</f>
        <v>0</v>
      </c>
      <c r="AT475" s="17">
        <f>'Sampling Data'!AB475</f>
        <v>7.5114581565099304E-3</v>
      </c>
      <c r="AU475" s="17">
        <f>IF(
      SUM(Audit[[#This Row],[Audit Losing Candidate]:[Audit Candidate 12]])
      &lt;&gt;0,
      (Audit[[#This Row],[Winning Candidate]]-Audit[[#This Row],[Losing Candidate]]-(Audit[[#This Row],[Audit Winning Candidate]]-Audit[[#This Row],[Audit Losing Candidate]]))/(Audit[[#Totals],[Winning Candidate]]-Audit[[#Totals],[Losing Candidate]]),
      0
)</f>
        <v>0</v>
      </c>
      <c r="AV4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5" s="17">
        <f>IF(Audit[[#This Row],[Max Relative Error (ep)]] = 0, 0, Audit[[#This Row],[Max Relative Error (ep)]]/Audit[[#This Row],[Error Bound (up) - Max. possible relative overstatement]])</f>
        <v>0</v>
      </c>
      <c r="BH4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75" s="17">
        <f t="shared" si="8"/>
        <v>1</v>
      </c>
      <c r="BJ475" s="17">
        <f>PRODUCT($BI$5:BI475)</f>
        <v>0.46283459046185416</v>
      </c>
      <c r="BK475" s="19">
        <f>1 - Audit[[#This Row],[K-M P Value]]</f>
        <v>0.53716540953814584</v>
      </c>
      <c r="BL475" s="17" t="str">
        <f>IF(Audit[[#This Row],[K-M P Value]]&gt;1-'General Info'!$B$12,"Continue", "Stop")</f>
        <v>Continue</v>
      </c>
      <c r="BM475" s="22" t="b">
        <f>IF(Audit[[#This Row],[Status - Continue or stop audit]] = "Continue", TRUE, IF(BL474 = "Continue", TRUE, FALSE))</f>
        <v>1</v>
      </c>
      <c r="BN475" s="22"/>
    </row>
    <row r="476" spans="1:66" ht="15" hidden="1" customHeight="1" x14ac:dyDescent="0.35">
      <c r="A476" s="17" t="str">
        <f>'Sampling Data'!AI476</f>
        <v/>
      </c>
      <c r="B476" s="17" t="str">
        <f>'Sampling Data'!A476</f>
        <v>7601 HARR AA   (AV)</v>
      </c>
      <c r="C476" s="17">
        <f>'Sampling Data'!B476</f>
        <v>32</v>
      </c>
      <c r="D476" s="17">
        <f>'Sampling Data'!C476</f>
        <v>128</v>
      </c>
      <c r="E476" s="18">
        <f>'Sampling Data'!D476</f>
        <v>0</v>
      </c>
      <c r="F476" s="18">
        <f>'Sampling Data'!E476</f>
        <v>0</v>
      </c>
      <c r="G476" s="18">
        <f>'Sampling Data'!F476</f>
        <v>0</v>
      </c>
      <c r="H476" s="18">
        <f>'Sampling Data'!G476</f>
        <v>0</v>
      </c>
      <c r="I476" s="18">
        <f>'Sampling Data'!H476</f>
        <v>0</v>
      </c>
      <c r="J476" s="18">
        <f>'Sampling Data'!I476</f>
        <v>0</v>
      </c>
      <c r="K476" s="18">
        <f>'Sampling Data'!J476</f>
        <v>0</v>
      </c>
      <c r="L476" s="18">
        <f>'Sampling Data'!K476</f>
        <v>0</v>
      </c>
      <c r="M476" s="18">
        <f>'Sampling Data'!L476</f>
        <v>0</v>
      </c>
      <c r="N476" s="18">
        <f>'Sampling Data'!M476</f>
        <v>0</v>
      </c>
      <c r="O476" s="17">
        <f>'Sampling Data'!N476</f>
        <v>0</v>
      </c>
      <c r="P476" s="17">
        <f>'Sampling Data'!O476</f>
        <v>4</v>
      </c>
      <c r="Q476" s="17">
        <f>'Sampling Data'!P476</f>
        <v>164</v>
      </c>
      <c r="R476" s="17">
        <f>'Sampling Data'!AJ476</f>
        <v>0</v>
      </c>
      <c r="S476" s="111"/>
      <c r="T476" s="111"/>
      <c r="U476" s="112"/>
      <c r="V476" s="112"/>
      <c r="W476" s="111"/>
      <c r="X476" s="111"/>
      <c r="Y476" s="111"/>
      <c r="Z476" s="111"/>
      <c r="AA476" s="14"/>
      <c r="AB476" s="14"/>
      <c r="AC476" s="14"/>
      <c r="AD476" s="14"/>
      <c r="AE476" s="113" t="str">
        <f>IF(NOT(ISBLANK(Audit[[#This Row],[Audit Winning Candidate]])), Audit[[#This Row],[Audit Winning Candidate]]-Audit[[#This Row],[Winning Candidate]], "")</f>
        <v/>
      </c>
      <c r="AF476" s="17" t="str">
        <f>IF(NOT(ISBLANK(Audit[[#This Row],[Audit Losing Candidate]])), Audit[[#This Row],[Audit Losing Candidate]]-Audit[[#This Row],[Losing Candidate]], "")</f>
        <v/>
      </c>
      <c r="AG476" s="17" t="str">
        <f>IF(NOT(ISBLANK(Audit[[#This Row],[Audit Candidate 3]])), Audit[[#This Row],[Audit Candidate 3]]-Audit[[#This Row],[Candidate 3]], "")</f>
        <v/>
      </c>
      <c r="AH476" s="17" t="str">
        <f>IF(NOT(ISBLANK(Audit[[#This Row],[Audit Candidate 4]])),Audit[[#This Row],[Audit Candidate 4]]-Audit[[#This Row],[Candidate 4]], "")</f>
        <v/>
      </c>
      <c r="AI476" s="17" t="str">
        <f>IF(NOT(ISBLANK(Audit[[#This Row],[Audit Candidate 5]])), Audit[[#This Row],[Audit Candidate 5]]-Audit[[#This Row],[Candidate 5]], "")</f>
        <v/>
      </c>
      <c r="AJ476" s="17" t="str">
        <f>IF(NOT(ISBLANK(Audit[[#This Row],[Audit Candidate 6]])), Audit[[#This Row],[Audit Candidate 6]]-Audit[[#This Row],[Candidate 6]], "")</f>
        <v/>
      </c>
      <c r="AK476" s="17" t="str">
        <f>IF(NOT(ISBLANK(Audit[[#This Row],[Audit Candidate 7]])), Audit[[#This Row],[Audit Candidate 7]]-Audit[[#This Row],[Candidate 7]], "")</f>
        <v/>
      </c>
      <c r="AL476" s="17" t="str">
        <f>IF(NOT(ISBLANK(Audit[[#This Row],[Audit Candidate 8]])), Audit[[#This Row],[Audit Candidate 8]]-Audit[[#This Row],[Candidate 8]], "")</f>
        <v/>
      </c>
      <c r="AM476" s="17" t="str">
        <f>IF(NOT(ISBLANK(Audit[[#This Row],[Audit Candidate 9]])), Audit[[#This Row],[Audit Candidate 9]]-Audit[[#This Row],[Candidate 9]], "")</f>
        <v/>
      </c>
      <c r="AN476" s="17" t="str">
        <f>IF(NOT(ISBLANK(Audit[[#This Row],[Audit Candidate 10]])), Audit[[#This Row],[Audit Candidate 10]]-Audit[[#This Row],[Candidate 10]], "")</f>
        <v/>
      </c>
      <c r="AO476" s="17" t="str">
        <f>IF(NOT(ISBLANK(Audit[[#This Row],[Audit Candidate 11]])), Audit[[#This Row],[Audit Candidate 11]]-Audit[[#This Row],[Candidate 11]], "")</f>
        <v/>
      </c>
      <c r="AP476" s="17" t="str">
        <f>IF(NOT(ISBLANK(Audit[[#This Row],[Audit Candidate 12]])), Audit[[#This Row],[Audit Candidate 12]]-Audit[[#This Row],[Candidate 12]], "")</f>
        <v/>
      </c>
      <c r="AQ476" s="17">
        <f>SUMIF(Audit[[#This Row],[Difference Winner]:[Difference Candidate 12]], "&gt;0")</f>
        <v>0</v>
      </c>
      <c r="AR476" s="17">
        <f>SUM(Audit[[#This Row],[Difference Winner]:[Difference Candidate 12]])</f>
        <v>0</v>
      </c>
      <c r="AS476" s="17">
        <f>IF(Audit[[#This Row],[Times p Drawn - With Replacement]]&gt;0, IF(Audit[[#This Row],[Canceled Differences]]&lt;0, Audit[[#This Row],[Max Differences]]+ABS(Audit[[#This Row],[Canceled Differences]]), Audit[[#This Row],[Max Differences]]), 0)</f>
        <v>0</v>
      </c>
      <c r="AT476" s="17">
        <f>'Sampling Data'!AB476</f>
        <v>2.8857579358343237E-3</v>
      </c>
      <c r="AU476" s="17">
        <f>IF(
      SUM(Audit[[#This Row],[Audit Losing Candidate]:[Audit Candidate 12]])
      &lt;&gt;0,
      (Audit[[#This Row],[Winning Candidate]]-Audit[[#This Row],[Losing Candidate]]-(Audit[[#This Row],[Audit Winning Candidate]]-Audit[[#This Row],[Audit Losing Candidate]]))/(Audit[[#Totals],[Winning Candidate]]-Audit[[#Totals],[Losing Candidate]]),
      0
)</f>
        <v>0</v>
      </c>
      <c r="AV4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6" s="17">
        <f>IF(Audit[[#This Row],[Max Relative Error (ep)]] = 0, 0, Audit[[#This Row],[Max Relative Error (ep)]]/Audit[[#This Row],[Error Bound (up) - Max. possible relative overstatement]])</f>
        <v>0</v>
      </c>
      <c r="BH4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76" s="17">
        <f t="shared" si="8"/>
        <v>1</v>
      </c>
      <c r="BJ476" s="17">
        <f>PRODUCT($BI$5:BI476)</f>
        <v>0.46283459046185416</v>
      </c>
      <c r="BK476" s="19">
        <f>1 - Audit[[#This Row],[K-M P Value]]</f>
        <v>0.53716540953814584</v>
      </c>
      <c r="BL476" s="17" t="str">
        <f>IF(Audit[[#This Row],[K-M P Value]]&gt;1-'General Info'!$B$12,"Continue", "Stop")</f>
        <v>Continue</v>
      </c>
      <c r="BM476" s="22" t="b">
        <f>IF(Audit[[#This Row],[Status - Continue or stop audit]] = "Continue", TRUE, IF(BL475 = "Continue", TRUE, FALSE))</f>
        <v>1</v>
      </c>
      <c r="BN476" s="22"/>
    </row>
    <row r="477" spans="1:66" ht="15" hidden="1" customHeight="1" x14ac:dyDescent="0.35">
      <c r="A477" s="17" t="str">
        <f>'Sampling Data'!AI477</f>
        <v/>
      </c>
      <c r="B477" s="17" t="str">
        <f>'Sampling Data'!A477</f>
        <v>7602 HARR BB   (AV)</v>
      </c>
      <c r="C477" s="17">
        <f>'Sampling Data'!B477</f>
        <v>67</v>
      </c>
      <c r="D477" s="17">
        <f>'Sampling Data'!C477</f>
        <v>220</v>
      </c>
      <c r="E477" s="18">
        <f>'Sampling Data'!D477</f>
        <v>0</v>
      </c>
      <c r="F477" s="18">
        <f>'Sampling Data'!E477</f>
        <v>0</v>
      </c>
      <c r="G477" s="18">
        <f>'Sampling Data'!F477</f>
        <v>0</v>
      </c>
      <c r="H477" s="18">
        <f>'Sampling Data'!G477</f>
        <v>0</v>
      </c>
      <c r="I477" s="18">
        <f>'Sampling Data'!H477</f>
        <v>0</v>
      </c>
      <c r="J477" s="18">
        <f>'Sampling Data'!I477</f>
        <v>0</v>
      </c>
      <c r="K477" s="18">
        <f>'Sampling Data'!J477</f>
        <v>0</v>
      </c>
      <c r="L477" s="18">
        <f>'Sampling Data'!K477</f>
        <v>0</v>
      </c>
      <c r="M477" s="18">
        <f>'Sampling Data'!L477</f>
        <v>0</v>
      </c>
      <c r="N477" s="18">
        <f>'Sampling Data'!M477</f>
        <v>0</v>
      </c>
      <c r="O477" s="17">
        <f>'Sampling Data'!N477</f>
        <v>0</v>
      </c>
      <c r="P477" s="17">
        <f>'Sampling Data'!O477</f>
        <v>13</v>
      </c>
      <c r="Q477" s="17">
        <f>'Sampling Data'!P477</f>
        <v>300</v>
      </c>
      <c r="R477" s="17">
        <f>'Sampling Data'!AJ477</f>
        <v>0</v>
      </c>
      <c r="S477" s="111"/>
      <c r="T477" s="111"/>
      <c r="U477" s="112"/>
      <c r="V477" s="112"/>
      <c r="W477" s="111"/>
      <c r="X477" s="111"/>
      <c r="Y477" s="111"/>
      <c r="Z477" s="111"/>
      <c r="AA477" s="14"/>
      <c r="AB477" s="14"/>
      <c r="AC477" s="14"/>
      <c r="AD477" s="14"/>
      <c r="AE477" s="113" t="str">
        <f>IF(NOT(ISBLANK(Audit[[#This Row],[Audit Winning Candidate]])), Audit[[#This Row],[Audit Winning Candidate]]-Audit[[#This Row],[Winning Candidate]], "")</f>
        <v/>
      </c>
      <c r="AF477" s="17" t="str">
        <f>IF(NOT(ISBLANK(Audit[[#This Row],[Audit Losing Candidate]])), Audit[[#This Row],[Audit Losing Candidate]]-Audit[[#This Row],[Losing Candidate]], "")</f>
        <v/>
      </c>
      <c r="AG477" s="17" t="str">
        <f>IF(NOT(ISBLANK(Audit[[#This Row],[Audit Candidate 3]])), Audit[[#This Row],[Audit Candidate 3]]-Audit[[#This Row],[Candidate 3]], "")</f>
        <v/>
      </c>
      <c r="AH477" s="17" t="str">
        <f>IF(NOT(ISBLANK(Audit[[#This Row],[Audit Candidate 4]])),Audit[[#This Row],[Audit Candidate 4]]-Audit[[#This Row],[Candidate 4]], "")</f>
        <v/>
      </c>
      <c r="AI477" s="17" t="str">
        <f>IF(NOT(ISBLANK(Audit[[#This Row],[Audit Candidate 5]])), Audit[[#This Row],[Audit Candidate 5]]-Audit[[#This Row],[Candidate 5]], "")</f>
        <v/>
      </c>
      <c r="AJ477" s="17" t="str">
        <f>IF(NOT(ISBLANK(Audit[[#This Row],[Audit Candidate 6]])), Audit[[#This Row],[Audit Candidate 6]]-Audit[[#This Row],[Candidate 6]], "")</f>
        <v/>
      </c>
      <c r="AK477" s="17" t="str">
        <f>IF(NOT(ISBLANK(Audit[[#This Row],[Audit Candidate 7]])), Audit[[#This Row],[Audit Candidate 7]]-Audit[[#This Row],[Candidate 7]], "")</f>
        <v/>
      </c>
      <c r="AL477" s="17" t="str">
        <f>IF(NOT(ISBLANK(Audit[[#This Row],[Audit Candidate 8]])), Audit[[#This Row],[Audit Candidate 8]]-Audit[[#This Row],[Candidate 8]], "")</f>
        <v/>
      </c>
      <c r="AM477" s="17" t="str">
        <f>IF(NOT(ISBLANK(Audit[[#This Row],[Audit Candidate 9]])), Audit[[#This Row],[Audit Candidate 9]]-Audit[[#This Row],[Candidate 9]], "")</f>
        <v/>
      </c>
      <c r="AN477" s="17" t="str">
        <f>IF(NOT(ISBLANK(Audit[[#This Row],[Audit Candidate 10]])), Audit[[#This Row],[Audit Candidate 10]]-Audit[[#This Row],[Candidate 10]], "")</f>
        <v/>
      </c>
      <c r="AO477" s="17" t="str">
        <f>IF(NOT(ISBLANK(Audit[[#This Row],[Audit Candidate 11]])), Audit[[#This Row],[Audit Candidate 11]]-Audit[[#This Row],[Candidate 11]], "")</f>
        <v/>
      </c>
      <c r="AP477" s="17" t="str">
        <f>IF(NOT(ISBLANK(Audit[[#This Row],[Audit Candidate 12]])), Audit[[#This Row],[Audit Candidate 12]]-Audit[[#This Row],[Candidate 12]], "")</f>
        <v/>
      </c>
      <c r="AQ477" s="17">
        <f>SUMIF(Audit[[#This Row],[Difference Winner]:[Difference Candidate 12]], "&gt;0")</f>
        <v>0</v>
      </c>
      <c r="AR477" s="17">
        <f>SUM(Audit[[#This Row],[Difference Winner]:[Difference Candidate 12]])</f>
        <v>0</v>
      </c>
      <c r="AS477" s="17">
        <f>IF(Audit[[#This Row],[Times p Drawn - With Replacement]]&gt;0, IF(Audit[[#This Row],[Canceled Differences]]&lt;0, Audit[[#This Row],[Max Differences]]+ABS(Audit[[#This Row],[Canceled Differences]]), Audit[[#This Row],[Max Differences]]), 0)</f>
        <v>0</v>
      </c>
      <c r="AT477" s="17">
        <f>'Sampling Data'!AB477</f>
        <v>6.2383296554065527E-3</v>
      </c>
      <c r="AU477" s="17">
        <f>IF(
      SUM(Audit[[#This Row],[Audit Losing Candidate]:[Audit Candidate 12]])
      &lt;&gt;0,
      (Audit[[#This Row],[Winning Candidate]]-Audit[[#This Row],[Losing Candidate]]-(Audit[[#This Row],[Audit Winning Candidate]]-Audit[[#This Row],[Audit Losing Candidate]]))/(Audit[[#Totals],[Winning Candidate]]-Audit[[#Totals],[Losing Candidate]]),
      0
)</f>
        <v>0</v>
      </c>
      <c r="AV4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7" s="17">
        <f>IF(Audit[[#This Row],[Max Relative Error (ep)]] = 0, 0, Audit[[#This Row],[Max Relative Error (ep)]]/Audit[[#This Row],[Error Bound (up) - Max. possible relative overstatement]])</f>
        <v>0</v>
      </c>
      <c r="BH4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77" s="17">
        <f t="shared" si="8"/>
        <v>1</v>
      </c>
      <c r="BJ477" s="17">
        <f>PRODUCT($BI$5:BI477)</f>
        <v>0.46283459046185416</v>
      </c>
      <c r="BK477" s="19">
        <f>1 - Audit[[#This Row],[K-M P Value]]</f>
        <v>0.53716540953814584</v>
      </c>
      <c r="BL477" s="17" t="str">
        <f>IF(Audit[[#This Row],[K-M P Value]]&gt;1-'General Info'!$B$12,"Continue", "Stop")</f>
        <v>Continue</v>
      </c>
      <c r="BM477" s="22" t="b">
        <f>IF(Audit[[#This Row],[Status - Continue or stop audit]] = "Continue", TRUE, IF(BL476 = "Continue", TRUE, FALSE))</f>
        <v>1</v>
      </c>
      <c r="BN477" s="22"/>
    </row>
    <row r="478" spans="1:66" ht="15" hidden="1" customHeight="1" x14ac:dyDescent="0.35">
      <c r="A478" s="17" t="str">
        <f>'Sampling Data'!AI478</f>
        <v/>
      </c>
      <c r="B478" s="17" t="str">
        <f>'Sampling Data'!A478</f>
        <v>7603 HARR CC   (AV)</v>
      </c>
      <c r="C478" s="17">
        <f>'Sampling Data'!B478</f>
        <v>44</v>
      </c>
      <c r="D478" s="17">
        <f>'Sampling Data'!C478</f>
        <v>112</v>
      </c>
      <c r="E478" s="18">
        <f>'Sampling Data'!D478</f>
        <v>0</v>
      </c>
      <c r="F478" s="18">
        <f>'Sampling Data'!E478</f>
        <v>0</v>
      </c>
      <c r="G478" s="18">
        <f>'Sampling Data'!F478</f>
        <v>0</v>
      </c>
      <c r="H478" s="18">
        <f>'Sampling Data'!G478</f>
        <v>0</v>
      </c>
      <c r="I478" s="18">
        <f>'Sampling Data'!H478</f>
        <v>0</v>
      </c>
      <c r="J478" s="18">
        <f>'Sampling Data'!I478</f>
        <v>0</v>
      </c>
      <c r="K478" s="18">
        <f>'Sampling Data'!J478</f>
        <v>0</v>
      </c>
      <c r="L478" s="18">
        <f>'Sampling Data'!K478</f>
        <v>0</v>
      </c>
      <c r="M478" s="18">
        <f>'Sampling Data'!L478</f>
        <v>0</v>
      </c>
      <c r="N478" s="18">
        <f>'Sampling Data'!M478</f>
        <v>0</v>
      </c>
      <c r="O478" s="17">
        <f>'Sampling Data'!N478</f>
        <v>0</v>
      </c>
      <c r="P478" s="17">
        <f>'Sampling Data'!O478</f>
        <v>9</v>
      </c>
      <c r="Q478" s="17">
        <f>'Sampling Data'!P478</f>
        <v>165</v>
      </c>
      <c r="R478" s="17">
        <f>'Sampling Data'!AJ478</f>
        <v>0</v>
      </c>
      <c r="S478" s="111"/>
      <c r="T478" s="111"/>
      <c r="U478" s="112"/>
      <c r="V478" s="112"/>
      <c r="W478" s="111"/>
      <c r="X478" s="111"/>
      <c r="Y478" s="111"/>
      <c r="Z478" s="111"/>
      <c r="AA478" s="14"/>
      <c r="AB478" s="14"/>
      <c r="AC478" s="14"/>
      <c r="AD478" s="14"/>
      <c r="AE478" s="113" t="str">
        <f>IF(NOT(ISBLANK(Audit[[#This Row],[Audit Winning Candidate]])), Audit[[#This Row],[Audit Winning Candidate]]-Audit[[#This Row],[Winning Candidate]], "")</f>
        <v/>
      </c>
      <c r="AF478" s="17" t="str">
        <f>IF(NOT(ISBLANK(Audit[[#This Row],[Audit Losing Candidate]])), Audit[[#This Row],[Audit Losing Candidate]]-Audit[[#This Row],[Losing Candidate]], "")</f>
        <v/>
      </c>
      <c r="AG478" s="17" t="str">
        <f>IF(NOT(ISBLANK(Audit[[#This Row],[Audit Candidate 3]])), Audit[[#This Row],[Audit Candidate 3]]-Audit[[#This Row],[Candidate 3]], "")</f>
        <v/>
      </c>
      <c r="AH478" s="17" t="str">
        <f>IF(NOT(ISBLANK(Audit[[#This Row],[Audit Candidate 4]])),Audit[[#This Row],[Audit Candidate 4]]-Audit[[#This Row],[Candidate 4]], "")</f>
        <v/>
      </c>
      <c r="AI478" s="17" t="str">
        <f>IF(NOT(ISBLANK(Audit[[#This Row],[Audit Candidate 5]])), Audit[[#This Row],[Audit Candidate 5]]-Audit[[#This Row],[Candidate 5]], "")</f>
        <v/>
      </c>
      <c r="AJ478" s="17" t="str">
        <f>IF(NOT(ISBLANK(Audit[[#This Row],[Audit Candidate 6]])), Audit[[#This Row],[Audit Candidate 6]]-Audit[[#This Row],[Candidate 6]], "")</f>
        <v/>
      </c>
      <c r="AK478" s="17" t="str">
        <f>IF(NOT(ISBLANK(Audit[[#This Row],[Audit Candidate 7]])), Audit[[#This Row],[Audit Candidate 7]]-Audit[[#This Row],[Candidate 7]], "")</f>
        <v/>
      </c>
      <c r="AL478" s="17" t="str">
        <f>IF(NOT(ISBLANK(Audit[[#This Row],[Audit Candidate 8]])), Audit[[#This Row],[Audit Candidate 8]]-Audit[[#This Row],[Candidate 8]], "")</f>
        <v/>
      </c>
      <c r="AM478" s="17" t="str">
        <f>IF(NOT(ISBLANK(Audit[[#This Row],[Audit Candidate 9]])), Audit[[#This Row],[Audit Candidate 9]]-Audit[[#This Row],[Candidate 9]], "")</f>
        <v/>
      </c>
      <c r="AN478" s="17" t="str">
        <f>IF(NOT(ISBLANK(Audit[[#This Row],[Audit Candidate 10]])), Audit[[#This Row],[Audit Candidate 10]]-Audit[[#This Row],[Candidate 10]], "")</f>
        <v/>
      </c>
      <c r="AO478" s="17" t="str">
        <f>IF(NOT(ISBLANK(Audit[[#This Row],[Audit Candidate 11]])), Audit[[#This Row],[Audit Candidate 11]]-Audit[[#This Row],[Candidate 11]], "")</f>
        <v/>
      </c>
      <c r="AP478" s="17" t="str">
        <f>IF(NOT(ISBLANK(Audit[[#This Row],[Audit Candidate 12]])), Audit[[#This Row],[Audit Candidate 12]]-Audit[[#This Row],[Candidate 12]], "")</f>
        <v/>
      </c>
      <c r="AQ478" s="17">
        <f>SUMIF(Audit[[#This Row],[Difference Winner]:[Difference Candidate 12]], "&gt;0")</f>
        <v>0</v>
      </c>
      <c r="AR478" s="17">
        <f>SUM(Audit[[#This Row],[Difference Winner]:[Difference Candidate 12]])</f>
        <v>0</v>
      </c>
      <c r="AS478" s="17">
        <f>IF(Audit[[#This Row],[Times p Drawn - With Replacement]]&gt;0, IF(Audit[[#This Row],[Canceled Differences]]&lt;0, Audit[[#This Row],[Max Differences]]+ABS(Audit[[#This Row],[Canceled Differences]]), Audit[[#This Row],[Max Differences]]), 0)</f>
        <v>0</v>
      </c>
      <c r="AT478" s="17">
        <f>'Sampling Data'!AB478</f>
        <v>4.1164488202342555E-3</v>
      </c>
      <c r="AU478" s="17">
        <f>IF(
      SUM(Audit[[#This Row],[Audit Losing Candidate]:[Audit Candidate 12]])
      &lt;&gt;0,
      (Audit[[#This Row],[Winning Candidate]]-Audit[[#This Row],[Losing Candidate]]-(Audit[[#This Row],[Audit Winning Candidate]]-Audit[[#This Row],[Audit Losing Candidate]]))/(Audit[[#Totals],[Winning Candidate]]-Audit[[#Totals],[Losing Candidate]]),
      0
)</f>
        <v>0</v>
      </c>
      <c r="AV4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8" s="17">
        <f>IF(Audit[[#This Row],[Max Relative Error (ep)]] = 0, 0, Audit[[#This Row],[Max Relative Error (ep)]]/Audit[[#This Row],[Error Bound (up) - Max. possible relative overstatement]])</f>
        <v>0</v>
      </c>
      <c r="BH4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78" s="17">
        <f t="shared" si="8"/>
        <v>1</v>
      </c>
      <c r="BJ478" s="17">
        <f>PRODUCT($BI$5:BI478)</f>
        <v>0.46283459046185416</v>
      </c>
      <c r="BK478" s="19">
        <f>1 - Audit[[#This Row],[K-M P Value]]</f>
        <v>0.53716540953814584</v>
      </c>
      <c r="BL478" s="17" t="str">
        <f>IF(Audit[[#This Row],[K-M P Value]]&gt;1-'General Info'!$B$12,"Continue", "Stop")</f>
        <v>Continue</v>
      </c>
      <c r="BM478" s="22" t="b">
        <f>IF(Audit[[#This Row],[Status - Continue or stop audit]] = "Continue", TRUE, IF(BL477 = "Continue", TRUE, FALSE))</f>
        <v>1</v>
      </c>
      <c r="BN478" s="22"/>
    </row>
    <row r="479" spans="1:66" ht="15" hidden="1" customHeight="1" x14ac:dyDescent="0.35">
      <c r="A479" s="17" t="str">
        <f>'Sampling Data'!AI479</f>
        <v/>
      </c>
      <c r="B479" s="17" t="str">
        <f>'Sampling Data'!A479</f>
        <v>7701 LIN HT A   (AV)</v>
      </c>
      <c r="C479" s="17">
        <f>'Sampling Data'!B479</f>
        <v>246</v>
      </c>
      <c r="D479" s="17">
        <f>'Sampling Data'!C479</f>
        <v>12</v>
      </c>
      <c r="E479" s="18">
        <f>'Sampling Data'!D479</f>
        <v>0</v>
      </c>
      <c r="F479" s="18">
        <f>'Sampling Data'!E479</f>
        <v>0</v>
      </c>
      <c r="G479" s="18">
        <f>'Sampling Data'!F479</f>
        <v>0</v>
      </c>
      <c r="H479" s="18">
        <f>'Sampling Data'!G479</f>
        <v>0</v>
      </c>
      <c r="I479" s="18">
        <f>'Sampling Data'!H479</f>
        <v>0</v>
      </c>
      <c r="J479" s="18">
        <f>'Sampling Data'!I479</f>
        <v>0</v>
      </c>
      <c r="K479" s="18">
        <f>'Sampling Data'!J479</f>
        <v>0</v>
      </c>
      <c r="L479" s="18">
        <f>'Sampling Data'!K479</f>
        <v>0</v>
      </c>
      <c r="M479" s="18">
        <f>'Sampling Data'!L479</f>
        <v>0</v>
      </c>
      <c r="N479" s="18">
        <f>'Sampling Data'!M479</f>
        <v>0</v>
      </c>
      <c r="O479" s="17">
        <f>'Sampling Data'!N479</f>
        <v>0</v>
      </c>
      <c r="P479" s="17">
        <f>'Sampling Data'!O479</f>
        <v>7</v>
      </c>
      <c r="Q479" s="17">
        <f>'Sampling Data'!P479</f>
        <v>265</v>
      </c>
      <c r="R479" s="17">
        <f>'Sampling Data'!AJ479</f>
        <v>0</v>
      </c>
      <c r="S479" s="111"/>
      <c r="T479" s="111"/>
      <c r="U479" s="112"/>
      <c r="V479" s="112"/>
      <c r="W479" s="111"/>
      <c r="X479" s="111"/>
      <c r="Y479" s="111"/>
      <c r="Z479" s="111"/>
      <c r="AA479" s="14"/>
      <c r="AB479" s="14"/>
      <c r="AC479" s="14"/>
      <c r="AD479" s="14"/>
      <c r="AE479" s="113" t="str">
        <f>IF(NOT(ISBLANK(Audit[[#This Row],[Audit Winning Candidate]])), Audit[[#This Row],[Audit Winning Candidate]]-Audit[[#This Row],[Winning Candidate]], "")</f>
        <v/>
      </c>
      <c r="AF479" s="17" t="str">
        <f>IF(NOT(ISBLANK(Audit[[#This Row],[Audit Losing Candidate]])), Audit[[#This Row],[Audit Losing Candidate]]-Audit[[#This Row],[Losing Candidate]], "")</f>
        <v/>
      </c>
      <c r="AG479" s="17" t="str">
        <f>IF(NOT(ISBLANK(Audit[[#This Row],[Audit Candidate 3]])), Audit[[#This Row],[Audit Candidate 3]]-Audit[[#This Row],[Candidate 3]], "")</f>
        <v/>
      </c>
      <c r="AH479" s="17" t="str">
        <f>IF(NOT(ISBLANK(Audit[[#This Row],[Audit Candidate 4]])),Audit[[#This Row],[Audit Candidate 4]]-Audit[[#This Row],[Candidate 4]], "")</f>
        <v/>
      </c>
      <c r="AI479" s="17" t="str">
        <f>IF(NOT(ISBLANK(Audit[[#This Row],[Audit Candidate 5]])), Audit[[#This Row],[Audit Candidate 5]]-Audit[[#This Row],[Candidate 5]], "")</f>
        <v/>
      </c>
      <c r="AJ479" s="17" t="str">
        <f>IF(NOT(ISBLANK(Audit[[#This Row],[Audit Candidate 6]])), Audit[[#This Row],[Audit Candidate 6]]-Audit[[#This Row],[Candidate 6]], "")</f>
        <v/>
      </c>
      <c r="AK479" s="17" t="str">
        <f>IF(NOT(ISBLANK(Audit[[#This Row],[Audit Candidate 7]])), Audit[[#This Row],[Audit Candidate 7]]-Audit[[#This Row],[Candidate 7]], "")</f>
        <v/>
      </c>
      <c r="AL479" s="17" t="str">
        <f>IF(NOT(ISBLANK(Audit[[#This Row],[Audit Candidate 8]])), Audit[[#This Row],[Audit Candidate 8]]-Audit[[#This Row],[Candidate 8]], "")</f>
        <v/>
      </c>
      <c r="AM479" s="17" t="str">
        <f>IF(NOT(ISBLANK(Audit[[#This Row],[Audit Candidate 9]])), Audit[[#This Row],[Audit Candidate 9]]-Audit[[#This Row],[Candidate 9]], "")</f>
        <v/>
      </c>
      <c r="AN479" s="17" t="str">
        <f>IF(NOT(ISBLANK(Audit[[#This Row],[Audit Candidate 10]])), Audit[[#This Row],[Audit Candidate 10]]-Audit[[#This Row],[Candidate 10]], "")</f>
        <v/>
      </c>
      <c r="AO479" s="17" t="str">
        <f>IF(NOT(ISBLANK(Audit[[#This Row],[Audit Candidate 11]])), Audit[[#This Row],[Audit Candidate 11]]-Audit[[#This Row],[Candidate 11]], "")</f>
        <v/>
      </c>
      <c r="AP479" s="17" t="str">
        <f>IF(NOT(ISBLANK(Audit[[#This Row],[Audit Candidate 12]])), Audit[[#This Row],[Audit Candidate 12]]-Audit[[#This Row],[Candidate 12]], "")</f>
        <v/>
      </c>
      <c r="AQ479" s="17">
        <f>SUMIF(Audit[[#This Row],[Difference Winner]:[Difference Candidate 12]], "&gt;0")</f>
        <v>0</v>
      </c>
      <c r="AR479" s="17">
        <f>SUM(Audit[[#This Row],[Difference Winner]:[Difference Candidate 12]])</f>
        <v>0</v>
      </c>
      <c r="AS479" s="17">
        <f>IF(Audit[[#This Row],[Times p Drawn - With Replacement]]&gt;0, IF(Audit[[#This Row],[Canceled Differences]]&lt;0, Audit[[#This Row],[Max Differences]]+ABS(Audit[[#This Row],[Canceled Differences]]), Audit[[#This Row],[Max Differences]]), 0)</f>
        <v>0</v>
      </c>
      <c r="AT479" s="17">
        <f>'Sampling Data'!AB479</f>
        <v>2.1176370735019521E-2</v>
      </c>
      <c r="AU479" s="17">
        <f>IF(
      SUM(Audit[[#This Row],[Audit Losing Candidate]:[Audit Candidate 12]])
      &lt;&gt;0,
      (Audit[[#This Row],[Winning Candidate]]-Audit[[#This Row],[Losing Candidate]]-(Audit[[#This Row],[Audit Winning Candidate]]-Audit[[#This Row],[Audit Losing Candidate]]))/(Audit[[#Totals],[Winning Candidate]]-Audit[[#Totals],[Losing Candidate]]),
      0
)</f>
        <v>0</v>
      </c>
      <c r="AV4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9" s="17">
        <f>IF(Audit[[#This Row],[Max Relative Error (ep)]] = 0, 0, Audit[[#This Row],[Max Relative Error (ep)]]/Audit[[#This Row],[Error Bound (up) - Max. possible relative overstatement]])</f>
        <v>0</v>
      </c>
      <c r="BH4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79" s="17">
        <f t="shared" si="8"/>
        <v>1</v>
      </c>
      <c r="BJ479" s="17">
        <f>PRODUCT($BI$5:BI479)</f>
        <v>0.46283459046185416</v>
      </c>
      <c r="BK479" s="19">
        <f>1 - Audit[[#This Row],[K-M P Value]]</f>
        <v>0.53716540953814584</v>
      </c>
      <c r="BL479" s="17" t="str">
        <f>IF(Audit[[#This Row],[K-M P Value]]&gt;1-'General Info'!$B$12,"Continue", "Stop")</f>
        <v>Continue</v>
      </c>
      <c r="BM479" s="22" t="b">
        <f>IF(Audit[[#This Row],[Status - Continue or stop audit]] = "Continue", TRUE, IF(BL478 = "Continue", TRUE, FALSE))</f>
        <v>1</v>
      </c>
      <c r="BN479" s="22"/>
    </row>
    <row r="480" spans="1:66" ht="15" hidden="1" customHeight="1" x14ac:dyDescent="0.35">
      <c r="A480" s="17" t="str">
        <f>'Sampling Data'!AI480</f>
        <v/>
      </c>
      <c r="B480" s="17" t="str">
        <f>'Sampling Data'!A480</f>
        <v>7702 LIN HT B   (AV)</v>
      </c>
      <c r="C480" s="17">
        <f>'Sampling Data'!B480</f>
        <v>99</v>
      </c>
      <c r="D480" s="17">
        <f>'Sampling Data'!C480</f>
        <v>3</v>
      </c>
      <c r="E480" s="18">
        <f>'Sampling Data'!D480</f>
        <v>0</v>
      </c>
      <c r="F480" s="18">
        <f>'Sampling Data'!E480</f>
        <v>0</v>
      </c>
      <c r="G480" s="18">
        <f>'Sampling Data'!F480</f>
        <v>0</v>
      </c>
      <c r="H480" s="18">
        <f>'Sampling Data'!G480</f>
        <v>0</v>
      </c>
      <c r="I480" s="18">
        <f>'Sampling Data'!H480</f>
        <v>0</v>
      </c>
      <c r="J480" s="18">
        <f>'Sampling Data'!I480</f>
        <v>0</v>
      </c>
      <c r="K480" s="18">
        <f>'Sampling Data'!J480</f>
        <v>0</v>
      </c>
      <c r="L480" s="18">
        <f>'Sampling Data'!K480</f>
        <v>0</v>
      </c>
      <c r="M480" s="18">
        <f>'Sampling Data'!L480</f>
        <v>0</v>
      </c>
      <c r="N480" s="18">
        <f>'Sampling Data'!M480</f>
        <v>0</v>
      </c>
      <c r="O480" s="17">
        <f>'Sampling Data'!N480</f>
        <v>0</v>
      </c>
      <c r="P480" s="17">
        <f>'Sampling Data'!O480</f>
        <v>3</v>
      </c>
      <c r="Q480" s="17">
        <f>'Sampling Data'!P480</f>
        <v>105</v>
      </c>
      <c r="R480" s="17">
        <f>'Sampling Data'!AJ480</f>
        <v>0</v>
      </c>
      <c r="S480" s="111"/>
      <c r="T480" s="111"/>
      <c r="U480" s="112"/>
      <c r="V480" s="112"/>
      <c r="W480" s="111"/>
      <c r="X480" s="111"/>
      <c r="Y480" s="111"/>
      <c r="Z480" s="111"/>
      <c r="AA480" s="14"/>
      <c r="AB480" s="14"/>
      <c r="AC480" s="14"/>
      <c r="AD480" s="14"/>
      <c r="AE480" s="113" t="str">
        <f>IF(NOT(ISBLANK(Audit[[#This Row],[Audit Winning Candidate]])), Audit[[#This Row],[Audit Winning Candidate]]-Audit[[#This Row],[Winning Candidate]], "")</f>
        <v/>
      </c>
      <c r="AF480" s="17" t="str">
        <f>IF(NOT(ISBLANK(Audit[[#This Row],[Audit Losing Candidate]])), Audit[[#This Row],[Audit Losing Candidate]]-Audit[[#This Row],[Losing Candidate]], "")</f>
        <v/>
      </c>
      <c r="AG480" s="17" t="str">
        <f>IF(NOT(ISBLANK(Audit[[#This Row],[Audit Candidate 3]])), Audit[[#This Row],[Audit Candidate 3]]-Audit[[#This Row],[Candidate 3]], "")</f>
        <v/>
      </c>
      <c r="AH480" s="17" t="str">
        <f>IF(NOT(ISBLANK(Audit[[#This Row],[Audit Candidate 4]])),Audit[[#This Row],[Audit Candidate 4]]-Audit[[#This Row],[Candidate 4]], "")</f>
        <v/>
      </c>
      <c r="AI480" s="17" t="str">
        <f>IF(NOT(ISBLANK(Audit[[#This Row],[Audit Candidate 5]])), Audit[[#This Row],[Audit Candidate 5]]-Audit[[#This Row],[Candidate 5]], "")</f>
        <v/>
      </c>
      <c r="AJ480" s="17" t="str">
        <f>IF(NOT(ISBLANK(Audit[[#This Row],[Audit Candidate 6]])), Audit[[#This Row],[Audit Candidate 6]]-Audit[[#This Row],[Candidate 6]], "")</f>
        <v/>
      </c>
      <c r="AK480" s="17" t="str">
        <f>IF(NOT(ISBLANK(Audit[[#This Row],[Audit Candidate 7]])), Audit[[#This Row],[Audit Candidate 7]]-Audit[[#This Row],[Candidate 7]], "")</f>
        <v/>
      </c>
      <c r="AL480" s="17" t="str">
        <f>IF(NOT(ISBLANK(Audit[[#This Row],[Audit Candidate 8]])), Audit[[#This Row],[Audit Candidate 8]]-Audit[[#This Row],[Candidate 8]], "")</f>
        <v/>
      </c>
      <c r="AM480" s="17" t="str">
        <f>IF(NOT(ISBLANK(Audit[[#This Row],[Audit Candidate 9]])), Audit[[#This Row],[Audit Candidate 9]]-Audit[[#This Row],[Candidate 9]], "")</f>
        <v/>
      </c>
      <c r="AN480" s="17" t="str">
        <f>IF(NOT(ISBLANK(Audit[[#This Row],[Audit Candidate 10]])), Audit[[#This Row],[Audit Candidate 10]]-Audit[[#This Row],[Candidate 10]], "")</f>
        <v/>
      </c>
      <c r="AO480" s="17" t="str">
        <f>IF(NOT(ISBLANK(Audit[[#This Row],[Audit Candidate 11]])), Audit[[#This Row],[Audit Candidate 11]]-Audit[[#This Row],[Candidate 11]], "")</f>
        <v/>
      </c>
      <c r="AP480" s="17" t="str">
        <f>IF(NOT(ISBLANK(Audit[[#This Row],[Audit Candidate 12]])), Audit[[#This Row],[Audit Candidate 12]]-Audit[[#This Row],[Candidate 12]], "")</f>
        <v/>
      </c>
      <c r="AQ480" s="17">
        <f>SUMIF(Audit[[#This Row],[Difference Winner]:[Difference Candidate 12]], "&gt;0")</f>
        <v>0</v>
      </c>
      <c r="AR480" s="17">
        <f>SUM(Audit[[#This Row],[Difference Winner]:[Difference Candidate 12]])</f>
        <v>0</v>
      </c>
      <c r="AS480" s="17">
        <f>IF(Audit[[#This Row],[Times p Drawn - With Replacement]]&gt;0, IF(Audit[[#This Row],[Canceled Differences]]&lt;0, Audit[[#This Row],[Max Differences]]+ABS(Audit[[#This Row],[Canceled Differences]]), Audit[[#This Row],[Max Differences]]), 0)</f>
        <v>0</v>
      </c>
      <c r="AT480" s="17">
        <f>'Sampling Data'!AB480</f>
        <v>8.5299609573926335E-3</v>
      </c>
      <c r="AU480" s="17">
        <f>IF(
      SUM(Audit[[#This Row],[Audit Losing Candidate]:[Audit Candidate 12]])
      &lt;&gt;0,
      (Audit[[#This Row],[Winning Candidate]]-Audit[[#This Row],[Losing Candidate]]-(Audit[[#This Row],[Audit Winning Candidate]]-Audit[[#This Row],[Audit Losing Candidate]]))/(Audit[[#Totals],[Winning Candidate]]-Audit[[#Totals],[Losing Candidate]]),
      0
)</f>
        <v>0</v>
      </c>
      <c r="AV4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0" s="17">
        <f>IF(Audit[[#This Row],[Max Relative Error (ep)]] = 0, 0, Audit[[#This Row],[Max Relative Error (ep)]]/Audit[[#This Row],[Error Bound (up) - Max. possible relative overstatement]])</f>
        <v>0</v>
      </c>
      <c r="BH4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80" s="17">
        <f t="shared" si="8"/>
        <v>1</v>
      </c>
      <c r="BJ480" s="17">
        <f>PRODUCT($BI$5:BI480)</f>
        <v>0.46283459046185416</v>
      </c>
      <c r="BK480" s="19">
        <f>1 - Audit[[#This Row],[K-M P Value]]</f>
        <v>0.53716540953814584</v>
      </c>
      <c r="BL480" s="17" t="str">
        <f>IF(Audit[[#This Row],[K-M P Value]]&gt;1-'General Info'!$B$12,"Continue", "Stop")</f>
        <v>Continue</v>
      </c>
      <c r="BM480" s="22" t="b">
        <f>IF(Audit[[#This Row],[Status - Continue or stop audit]] = "Continue", TRUE, IF(BL479 = "Continue", TRUE, FALSE))</f>
        <v>1</v>
      </c>
      <c r="BN480" s="22"/>
    </row>
    <row r="481" spans="1:66" ht="15" hidden="1" customHeight="1" x14ac:dyDescent="0.35">
      <c r="A481" s="17" t="str">
        <f>'Sampling Data'!AI481</f>
        <v/>
      </c>
      <c r="B481" s="17" t="str">
        <f>'Sampling Data'!A481</f>
        <v>7901 LOCK A   (AV)</v>
      </c>
      <c r="C481" s="17">
        <f>'Sampling Data'!B481</f>
        <v>70</v>
      </c>
      <c r="D481" s="17">
        <f>'Sampling Data'!C481</f>
        <v>46</v>
      </c>
      <c r="E481" s="18">
        <f>'Sampling Data'!D481</f>
        <v>0</v>
      </c>
      <c r="F481" s="18">
        <f>'Sampling Data'!E481</f>
        <v>0</v>
      </c>
      <c r="G481" s="18">
        <f>'Sampling Data'!F481</f>
        <v>0</v>
      </c>
      <c r="H481" s="18">
        <f>'Sampling Data'!G481</f>
        <v>0</v>
      </c>
      <c r="I481" s="18">
        <f>'Sampling Data'!H481</f>
        <v>0</v>
      </c>
      <c r="J481" s="18">
        <f>'Sampling Data'!I481</f>
        <v>0</v>
      </c>
      <c r="K481" s="18">
        <f>'Sampling Data'!J481</f>
        <v>0</v>
      </c>
      <c r="L481" s="18">
        <f>'Sampling Data'!K481</f>
        <v>0</v>
      </c>
      <c r="M481" s="18">
        <f>'Sampling Data'!L481</f>
        <v>0</v>
      </c>
      <c r="N481" s="18">
        <f>'Sampling Data'!M481</f>
        <v>0</v>
      </c>
      <c r="O481" s="17">
        <f>'Sampling Data'!N481</f>
        <v>0</v>
      </c>
      <c r="P481" s="17">
        <f>'Sampling Data'!O481</f>
        <v>8</v>
      </c>
      <c r="Q481" s="17">
        <f>'Sampling Data'!P481</f>
        <v>124</v>
      </c>
      <c r="R481" s="17">
        <f>'Sampling Data'!AJ481</f>
        <v>0</v>
      </c>
      <c r="S481" s="111"/>
      <c r="T481" s="111"/>
      <c r="U481" s="112"/>
      <c r="V481" s="112"/>
      <c r="W481" s="111"/>
      <c r="X481" s="111"/>
      <c r="Y481" s="111"/>
      <c r="Z481" s="111"/>
      <c r="AA481" s="14"/>
      <c r="AB481" s="14"/>
      <c r="AC481" s="14"/>
      <c r="AD481" s="14"/>
      <c r="AE481" s="113" t="str">
        <f>IF(NOT(ISBLANK(Audit[[#This Row],[Audit Winning Candidate]])), Audit[[#This Row],[Audit Winning Candidate]]-Audit[[#This Row],[Winning Candidate]], "")</f>
        <v/>
      </c>
      <c r="AF481" s="17" t="str">
        <f>IF(NOT(ISBLANK(Audit[[#This Row],[Audit Losing Candidate]])), Audit[[#This Row],[Audit Losing Candidate]]-Audit[[#This Row],[Losing Candidate]], "")</f>
        <v/>
      </c>
      <c r="AG481" s="17" t="str">
        <f>IF(NOT(ISBLANK(Audit[[#This Row],[Audit Candidate 3]])), Audit[[#This Row],[Audit Candidate 3]]-Audit[[#This Row],[Candidate 3]], "")</f>
        <v/>
      </c>
      <c r="AH481" s="17" t="str">
        <f>IF(NOT(ISBLANK(Audit[[#This Row],[Audit Candidate 4]])),Audit[[#This Row],[Audit Candidate 4]]-Audit[[#This Row],[Candidate 4]], "")</f>
        <v/>
      </c>
      <c r="AI481" s="17" t="str">
        <f>IF(NOT(ISBLANK(Audit[[#This Row],[Audit Candidate 5]])), Audit[[#This Row],[Audit Candidate 5]]-Audit[[#This Row],[Candidate 5]], "")</f>
        <v/>
      </c>
      <c r="AJ481" s="17" t="str">
        <f>IF(NOT(ISBLANK(Audit[[#This Row],[Audit Candidate 6]])), Audit[[#This Row],[Audit Candidate 6]]-Audit[[#This Row],[Candidate 6]], "")</f>
        <v/>
      </c>
      <c r="AK481" s="17" t="str">
        <f>IF(NOT(ISBLANK(Audit[[#This Row],[Audit Candidate 7]])), Audit[[#This Row],[Audit Candidate 7]]-Audit[[#This Row],[Candidate 7]], "")</f>
        <v/>
      </c>
      <c r="AL481" s="17" t="str">
        <f>IF(NOT(ISBLANK(Audit[[#This Row],[Audit Candidate 8]])), Audit[[#This Row],[Audit Candidate 8]]-Audit[[#This Row],[Candidate 8]], "")</f>
        <v/>
      </c>
      <c r="AM481" s="17" t="str">
        <f>IF(NOT(ISBLANK(Audit[[#This Row],[Audit Candidate 9]])), Audit[[#This Row],[Audit Candidate 9]]-Audit[[#This Row],[Candidate 9]], "")</f>
        <v/>
      </c>
      <c r="AN481" s="17" t="str">
        <f>IF(NOT(ISBLANK(Audit[[#This Row],[Audit Candidate 10]])), Audit[[#This Row],[Audit Candidate 10]]-Audit[[#This Row],[Candidate 10]], "")</f>
        <v/>
      </c>
      <c r="AO481" s="17" t="str">
        <f>IF(NOT(ISBLANK(Audit[[#This Row],[Audit Candidate 11]])), Audit[[#This Row],[Audit Candidate 11]]-Audit[[#This Row],[Candidate 11]], "")</f>
        <v/>
      </c>
      <c r="AP481" s="17" t="str">
        <f>IF(NOT(ISBLANK(Audit[[#This Row],[Audit Candidate 12]])), Audit[[#This Row],[Audit Candidate 12]]-Audit[[#This Row],[Candidate 12]], "")</f>
        <v/>
      </c>
      <c r="AQ481" s="17">
        <f>SUMIF(Audit[[#This Row],[Difference Winner]:[Difference Candidate 12]], "&gt;0")</f>
        <v>0</v>
      </c>
      <c r="AR481" s="17">
        <f>SUM(Audit[[#This Row],[Difference Winner]:[Difference Candidate 12]])</f>
        <v>0</v>
      </c>
      <c r="AS481" s="17">
        <f>IF(Audit[[#This Row],[Times p Drawn - With Replacement]]&gt;0, IF(Audit[[#This Row],[Canceled Differences]]&lt;0, Audit[[#This Row],[Max Differences]]+ABS(Audit[[#This Row],[Canceled Differences]]), Audit[[#This Row],[Max Differences]]), 0)</f>
        <v>0</v>
      </c>
      <c r="AT481" s="17">
        <f>'Sampling Data'!AB481</f>
        <v>6.2807672721099982E-3</v>
      </c>
      <c r="AU481" s="17">
        <f>IF(
      SUM(Audit[[#This Row],[Audit Losing Candidate]:[Audit Candidate 12]])
      &lt;&gt;0,
      (Audit[[#This Row],[Winning Candidate]]-Audit[[#This Row],[Losing Candidate]]-(Audit[[#This Row],[Audit Winning Candidate]]-Audit[[#This Row],[Audit Losing Candidate]]))/(Audit[[#Totals],[Winning Candidate]]-Audit[[#Totals],[Losing Candidate]]),
      0
)</f>
        <v>0</v>
      </c>
      <c r="AV4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1" s="17">
        <f>IF(Audit[[#This Row],[Max Relative Error (ep)]] = 0, 0, Audit[[#This Row],[Max Relative Error (ep)]]/Audit[[#This Row],[Error Bound (up) - Max. possible relative overstatement]])</f>
        <v>0</v>
      </c>
      <c r="BH4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81" s="17">
        <f t="shared" si="8"/>
        <v>1</v>
      </c>
      <c r="BJ481" s="17">
        <f>PRODUCT($BI$5:BI481)</f>
        <v>0.46283459046185416</v>
      </c>
      <c r="BK481" s="19">
        <f>1 - Audit[[#This Row],[K-M P Value]]</f>
        <v>0.53716540953814584</v>
      </c>
      <c r="BL481" s="17" t="str">
        <f>IF(Audit[[#This Row],[K-M P Value]]&gt;1-'General Info'!$B$12,"Continue", "Stop")</f>
        <v>Continue</v>
      </c>
      <c r="BM481" s="22" t="b">
        <f>IF(Audit[[#This Row],[Status - Continue or stop audit]] = "Continue", TRUE, IF(BL480 = "Continue", TRUE, FALSE))</f>
        <v>1</v>
      </c>
      <c r="BN481" s="22"/>
    </row>
    <row r="482" spans="1:66" ht="15" hidden="1" customHeight="1" x14ac:dyDescent="0.35">
      <c r="A482" s="17" t="str">
        <f>'Sampling Data'!AI482</f>
        <v/>
      </c>
      <c r="B482" s="17" t="str">
        <f>'Sampling Data'!A482</f>
        <v>7902 LOCK B   (AV)</v>
      </c>
      <c r="C482" s="17">
        <f>'Sampling Data'!B482</f>
        <v>137</v>
      </c>
      <c r="D482" s="17">
        <f>'Sampling Data'!C482</f>
        <v>72</v>
      </c>
      <c r="E482" s="18">
        <f>'Sampling Data'!D482</f>
        <v>0</v>
      </c>
      <c r="F482" s="18">
        <f>'Sampling Data'!E482</f>
        <v>0</v>
      </c>
      <c r="G482" s="18">
        <f>'Sampling Data'!F482</f>
        <v>0</v>
      </c>
      <c r="H482" s="18">
        <f>'Sampling Data'!G482</f>
        <v>0</v>
      </c>
      <c r="I482" s="18">
        <f>'Sampling Data'!H482</f>
        <v>0</v>
      </c>
      <c r="J482" s="18">
        <f>'Sampling Data'!I482</f>
        <v>0</v>
      </c>
      <c r="K482" s="18">
        <f>'Sampling Data'!J482</f>
        <v>0</v>
      </c>
      <c r="L482" s="18">
        <f>'Sampling Data'!K482</f>
        <v>0</v>
      </c>
      <c r="M482" s="18">
        <f>'Sampling Data'!L482</f>
        <v>0</v>
      </c>
      <c r="N482" s="18">
        <f>'Sampling Data'!M482</f>
        <v>0</v>
      </c>
      <c r="O482" s="17">
        <f>'Sampling Data'!N482</f>
        <v>0</v>
      </c>
      <c r="P482" s="17">
        <f>'Sampling Data'!O482</f>
        <v>5</v>
      </c>
      <c r="Q482" s="17">
        <f>'Sampling Data'!P482</f>
        <v>214</v>
      </c>
      <c r="R482" s="17">
        <f>'Sampling Data'!AJ482</f>
        <v>0</v>
      </c>
      <c r="S482" s="111"/>
      <c r="T482" s="111"/>
      <c r="U482" s="112"/>
      <c r="V482" s="112"/>
      <c r="W482" s="111"/>
      <c r="X482" s="111"/>
      <c r="Y482" s="111"/>
      <c r="Z482" s="111"/>
      <c r="AA482" s="14"/>
      <c r="AB482" s="14"/>
      <c r="AC482" s="14"/>
      <c r="AD482" s="14"/>
      <c r="AE482" s="113" t="str">
        <f>IF(NOT(ISBLANK(Audit[[#This Row],[Audit Winning Candidate]])), Audit[[#This Row],[Audit Winning Candidate]]-Audit[[#This Row],[Winning Candidate]], "")</f>
        <v/>
      </c>
      <c r="AF482" s="17" t="str">
        <f>IF(NOT(ISBLANK(Audit[[#This Row],[Audit Losing Candidate]])), Audit[[#This Row],[Audit Losing Candidate]]-Audit[[#This Row],[Losing Candidate]], "")</f>
        <v/>
      </c>
      <c r="AG482" s="17" t="str">
        <f>IF(NOT(ISBLANK(Audit[[#This Row],[Audit Candidate 3]])), Audit[[#This Row],[Audit Candidate 3]]-Audit[[#This Row],[Candidate 3]], "")</f>
        <v/>
      </c>
      <c r="AH482" s="17" t="str">
        <f>IF(NOT(ISBLANK(Audit[[#This Row],[Audit Candidate 4]])),Audit[[#This Row],[Audit Candidate 4]]-Audit[[#This Row],[Candidate 4]], "")</f>
        <v/>
      </c>
      <c r="AI482" s="17" t="str">
        <f>IF(NOT(ISBLANK(Audit[[#This Row],[Audit Candidate 5]])), Audit[[#This Row],[Audit Candidate 5]]-Audit[[#This Row],[Candidate 5]], "")</f>
        <v/>
      </c>
      <c r="AJ482" s="17" t="str">
        <f>IF(NOT(ISBLANK(Audit[[#This Row],[Audit Candidate 6]])), Audit[[#This Row],[Audit Candidate 6]]-Audit[[#This Row],[Candidate 6]], "")</f>
        <v/>
      </c>
      <c r="AK482" s="17" t="str">
        <f>IF(NOT(ISBLANK(Audit[[#This Row],[Audit Candidate 7]])), Audit[[#This Row],[Audit Candidate 7]]-Audit[[#This Row],[Candidate 7]], "")</f>
        <v/>
      </c>
      <c r="AL482" s="17" t="str">
        <f>IF(NOT(ISBLANK(Audit[[#This Row],[Audit Candidate 8]])), Audit[[#This Row],[Audit Candidate 8]]-Audit[[#This Row],[Candidate 8]], "")</f>
        <v/>
      </c>
      <c r="AM482" s="17" t="str">
        <f>IF(NOT(ISBLANK(Audit[[#This Row],[Audit Candidate 9]])), Audit[[#This Row],[Audit Candidate 9]]-Audit[[#This Row],[Candidate 9]], "")</f>
        <v/>
      </c>
      <c r="AN482" s="17" t="str">
        <f>IF(NOT(ISBLANK(Audit[[#This Row],[Audit Candidate 10]])), Audit[[#This Row],[Audit Candidate 10]]-Audit[[#This Row],[Candidate 10]], "")</f>
        <v/>
      </c>
      <c r="AO482" s="17" t="str">
        <f>IF(NOT(ISBLANK(Audit[[#This Row],[Audit Candidate 11]])), Audit[[#This Row],[Audit Candidate 11]]-Audit[[#This Row],[Candidate 11]], "")</f>
        <v/>
      </c>
      <c r="AP482" s="17" t="str">
        <f>IF(NOT(ISBLANK(Audit[[#This Row],[Audit Candidate 12]])), Audit[[#This Row],[Audit Candidate 12]]-Audit[[#This Row],[Candidate 12]], "")</f>
        <v/>
      </c>
      <c r="AQ482" s="17">
        <f>SUMIF(Audit[[#This Row],[Difference Winner]:[Difference Candidate 12]], "&gt;0")</f>
        <v>0</v>
      </c>
      <c r="AR482" s="17">
        <f>SUM(Audit[[#This Row],[Difference Winner]:[Difference Candidate 12]])</f>
        <v>0</v>
      </c>
      <c r="AS482" s="17">
        <f>IF(Audit[[#This Row],[Times p Drawn - With Replacement]]&gt;0, IF(Audit[[#This Row],[Canceled Differences]]&lt;0, Audit[[#This Row],[Max Differences]]+ABS(Audit[[#This Row],[Canceled Differences]]), Audit[[#This Row],[Max Differences]]), 0)</f>
        <v>0</v>
      </c>
      <c r="AT482" s="17">
        <f>'Sampling Data'!AB482</f>
        <v>1.1840095060261416E-2</v>
      </c>
      <c r="AU482" s="17">
        <f>IF(
      SUM(Audit[[#This Row],[Audit Losing Candidate]:[Audit Candidate 12]])
      &lt;&gt;0,
      (Audit[[#This Row],[Winning Candidate]]-Audit[[#This Row],[Losing Candidate]]-(Audit[[#This Row],[Audit Winning Candidate]]-Audit[[#This Row],[Audit Losing Candidate]]))/(Audit[[#Totals],[Winning Candidate]]-Audit[[#Totals],[Losing Candidate]]),
      0
)</f>
        <v>0</v>
      </c>
      <c r="AV4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2" s="17">
        <f>IF(Audit[[#This Row],[Max Relative Error (ep)]] = 0, 0, Audit[[#This Row],[Max Relative Error (ep)]]/Audit[[#This Row],[Error Bound (up) - Max. possible relative overstatement]])</f>
        <v>0</v>
      </c>
      <c r="BH4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82" s="17">
        <f t="shared" si="8"/>
        <v>1</v>
      </c>
      <c r="BJ482" s="17">
        <f>PRODUCT($BI$5:BI482)</f>
        <v>0.46283459046185416</v>
      </c>
      <c r="BK482" s="19">
        <f>1 - Audit[[#This Row],[K-M P Value]]</f>
        <v>0.53716540953814584</v>
      </c>
      <c r="BL482" s="17" t="str">
        <f>IF(Audit[[#This Row],[K-M P Value]]&gt;1-'General Info'!$B$12,"Continue", "Stop")</f>
        <v>Continue</v>
      </c>
      <c r="BM482" s="22" t="b">
        <f>IF(Audit[[#This Row],[Status - Continue or stop audit]] = "Continue", TRUE, IF(BL481 = "Continue", TRUE, FALSE))</f>
        <v>1</v>
      </c>
      <c r="BN482" s="22"/>
    </row>
    <row r="483" spans="1:66" ht="15" hidden="1" customHeight="1" x14ac:dyDescent="0.35">
      <c r="A483" s="17" t="str">
        <f>'Sampling Data'!AI483</f>
        <v/>
      </c>
      <c r="B483" s="17" t="str">
        <f>'Sampling Data'!A483</f>
        <v>8001 MARMT A   (AV)</v>
      </c>
      <c r="C483" s="17">
        <f>'Sampling Data'!B483</f>
        <v>294</v>
      </c>
      <c r="D483" s="17">
        <f>'Sampling Data'!C483</f>
        <v>180</v>
      </c>
      <c r="E483" s="18">
        <f>'Sampling Data'!D483</f>
        <v>0</v>
      </c>
      <c r="F483" s="18">
        <f>'Sampling Data'!E483</f>
        <v>0</v>
      </c>
      <c r="G483" s="18">
        <f>'Sampling Data'!F483</f>
        <v>0</v>
      </c>
      <c r="H483" s="18">
        <f>'Sampling Data'!G483</f>
        <v>0</v>
      </c>
      <c r="I483" s="18">
        <f>'Sampling Data'!H483</f>
        <v>0</v>
      </c>
      <c r="J483" s="18">
        <f>'Sampling Data'!I483</f>
        <v>0</v>
      </c>
      <c r="K483" s="18">
        <f>'Sampling Data'!J483</f>
        <v>0</v>
      </c>
      <c r="L483" s="18">
        <f>'Sampling Data'!K483</f>
        <v>0</v>
      </c>
      <c r="M483" s="18">
        <f>'Sampling Data'!L483</f>
        <v>0</v>
      </c>
      <c r="N483" s="18">
        <f>'Sampling Data'!M483</f>
        <v>0</v>
      </c>
      <c r="O483" s="17">
        <f>'Sampling Data'!N483</f>
        <v>0</v>
      </c>
      <c r="P483" s="17">
        <f>'Sampling Data'!O483</f>
        <v>22</v>
      </c>
      <c r="Q483" s="17">
        <f>'Sampling Data'!P483</f>
        <v>496</v>
      </c>
      <c r="R483" s="17">
        <f>'Sampling Data'!AJ483</f>
        <v>0</v>
      </c>
      <c r="S483" s="111"/>
      <c r="T483" s="111"/>
      <c r="U483" s="112"/>
      <c r="V483" s="112"/>
      <c r="W483" s="111"/>
      <c r="X483" s="111"/>
      <c r="Y483" s="111"/>
      <c r="Z483" s="111"/>
      <c r="AA483" s="14"/>
      <c r="AB483" s="14"/>
      <c r="AC483" s="14"/>
      <c r="AD483" s="14"/>
      <c r="AE483" s="113" t="str">
        <f>IF(NOT(ISBLANK(Audit[[#This Row],[Audit Winning Candidate]])), Audit[[#This Row],[Audit Winning Candidate]]-Audit[[#This Row],[Winning Candidate]], "")</f>
        <v/>
      </c>
      <c r="AF483" s="17" t="str">
        <f>IF(NOT(ISBLANK(Audit[[#This Row],[Audit Losing Candidate]])), Audit[[#This Row],[Audit Losing Candidate]]-Audit[[#This Row],[Losing Candidate]], "")</f>
        <v/>
      </c>
      <c r="AG483" s="17" t="str">
        <f>IF(NOT(ISBLANK(Audit[[#This Row],[Audit Candidate 3]])), Audit[[#This Row],[Audit Candidate 3]]-Audit[[#This Row],[Candidate 3]], "")</f>
        <v/>
      </c>
      <c r="AH483" s="17" t="str">
        <f>IF(NOT(ISBLANK(Audit[[#This Row],[Audit Candidate 4]])),Audit[[#This Row],[Audit Candidate 4]]-Audit[[#This Row],[Candidate 4]], "")</f>
        <v/>
      </c>
      <c r="AI483" s="17" t="str">
        <f>IF(NOT(ISBLANK(Audit[[#This Row],[Audit Candidate 5]])), Audit[[#This Row],[Audit Candidate 5]]-Audit[[#This Row],[Candidate 5]], "")</f>
        <v/>
      </c>
      <c r="AJ483" s="17" t="str">
        <f>IF(NOT(ISBLANK(Audit[[#This Row],[Audit Candidate 6]])), Audit[[#This Row],[Audit Candidate 6]]-Audit[[#This Row],[Candidate 6]], "")</f>
        <v/>
      </c>
      <c r="AK483" s="17" t="str">
        <f>IF(NOT(ISBLANK(Audit[[#This Row],[Audit Candidate 7]])), Audit[[#This Row],[Audit Candidate 7]]-Audit[[#This Row],[Candidate 7]], "")</f>
        <v/>
      </c>
      <c r="AL483" s="17" t="str">
        <f>IF(NOT(ISBLANK(Audit[[#This Row],[Audit Candidate 8]])), Audit[[#This Row],[Audit Candidate 8]]-Audit[[#This Row],[Candidate 8]], "")</f>
        <v/>
      </c>
      <c r="AM483" s="17" t="str">
        <f>IF(NOT(ISBLANK(Audit[[#This Row],[Audit Candidate 9]])), Audit[[#This Row],[Audit Candidate 9]]-Audit[[#This Row],[Candidate 9]], "")</f>
        <v/>
      </c>
      <c r="AN483" s="17" t="str">
        <f>IF(NOT(ISBLANK(Audit[[#This Row],[Audit Candidate 10]])), Audit[[#This Row],[Audit Candidate 10]]-Audit[[#This Row],[Candidate 10]], "")</f>
        <v/>
      </c>
      <c r="AO483" s="17" t="str">
        <f>IF(NOT(ISBLANK(Audit[[#This Row],[Audit Candidate 11]])), Audit[[#This Row],[Audit Candidate 11]]-Audit[[#This Row],[Candidate 11]], "")</f>
        <v/>
      </c>
      <c r="AP483" s="17" t="str">
        <f>IF(NOT(ISBLANK(Audit[[#This Row],[Audit Candidate 12]])), Audit[[#This Row],[Audit Candidate 12]]-Audit[[#This Row],[Candidate 12]], "")</f>
        <v/>
      </c>
      <c r="AQ483" s="17">
        <f>SUMIF(Audit[[#This Row],[Difference Winner]:[Difference Candidate 12]], "&gt;0")</f>
        <v>0</v>
      </c>
      <c r="AR483" s="17">
        <f>SUM(Audit[[#This Row],[Difference Winner]:[Difference Candidate 12]])</f>
        <v>0</v>
      </c>
      <c r="AS483" s="17">
        <f>IF(Audit[[#This Row],[Times p Drawn - With Replacement]]&gt;0, IF(Audit[[#This Row],[Canceled Differences]]&lt;0, Audit[[#This Row],[Max Differences]]+ABS(Audit[[#This Row],[Canceled Differences]]), Audit[[#This Row],[Max Differences]]), 0)</f>
        <v>0</v>
      </c>
      <c r="AT483" s="17">
        <f>'Sampling Data'!AB483</f>
        <v>2.588694618910202E-2</v>
      </c>
      <c r="AU483" s="17">
        <f>IF(
      SUM(Audit[[#This Row],[Audit Losing Candidate]:[Audit Candidate 12]])
      &lt;&gt;0,
      (Audit[[#This Row],[Winning Candidate]]-Audit[[#This Row],[Losing Candidate]]-(Audit[[#This Row],[Audit Winning Candidate]]-Audit[[#This Row],[Audit Losing Candidate]]))/(Audit[[#Totals],[Winning Candidate]]-Audit[[#Totals],[Losing Candidate]]),
      0
)</f>
        <v>0</v>
      </c>
      <c r="AV4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3" s="17">
        <f>IF(Audit[[#This Row],[Max Relative Error (ep)]] = 0, 0, Audit[[#This Row],[Max Relative Error (ep)]]/Audit[[#This Row],[Error Bound (up) - Max. possible relative overstatement]])</f>
        <v>0</v>
      </c>
      <c r="BH4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83" s="17">
        <f t="shared" si="8"/>
        <v>1</v>
      </c>
      <c r="BJ483" s="17">
        <f>PRODUCT($BI$5:BI483)</f>
        <v>0.46283459046185416</v>
      </c>
      <c r="BK483" s="19">
        <f>1 - Audit[[#This Row],[K-M P Value]]</f>
        <v>0.53716540953814584</v>
      </c>
      <c r="BL483" s="17" t="str">
        <f>IF(Audit[[#This Row],[K-M P Value]]&gt;1-'General Info'!$B$12,"Continue", "Stop")</f>
        <v>Continue</v>
      </c>
      <c r="BM483" s="22" t="b">
        <f>IF(Audit[[#This Row],[Status - Continue or stop audit]] = "Continue", TRUE, IF(BL482 = "Continue", TRUE, FALSE))</f>
        <v>1</v>
      </c>
      <c r="BN483" s="22"/>
    </row>
    <row r="484" spans="1:66" ht="15" hidden="1" customHeight="1" x14ac:dyDescent="0.35">
      <c r="A484" s="17" t="str">
        <f>'Sampling Data'!AI484</f>
        <v/>
      </c>
      <c r="B484" s="17" t="str">
        <f>'Sampling Data'!A484</f>
        <v>8002 MARMT B   (AV)</v>
      </c>
      <c r="C484" s="17">
        <f>'Sampling Data'!B484</f>
        <v>310</v>
      </c>
      <c r="D484" s="17">
        <f>'Sampling Data'!C484</f>
        <v>237</v>
      </c>
      <c r="E484" s="18">
        <f>'Sampling Data'!D484</f>
        <v>0</v>
      </c>
      <c r="F484" s="18">
        <f>'Sampling Data'!E484</f>
        <v>0</v>
      </c>
      <c r="G484" s="18">
        <f>'Sampling Data'!F484</f>
        <v>0</v>
      </c>
      <c r="H484" s="18">
        <f>'Sampling Data'!G484</f>
        <v>0</v>
      </c>
      <c r="I484" s="18">
        <f>'Sampling Data'!H484</f>
        <v>0</v>
      </c>
      <c r="J484" s="18">
        <f>'Sampling Data'!I484</f>
        <v>0</v>
      </c>
      <c r="K484" s="18">
        <f>'Sampling Data'!J484</f>
        <v>0</v>
      </c>
      <c r="L484" s="18">
        <f>'Sampling Data'!K484</f>
        <v>0</v>
      </c>
      <c r="M484" s="18">
        <f>'Sampling Data'!L484</f>
        <v>0</v>
      </c>
      <c r="N484" s="18">
        <f>'Sampling Data'!M484</f>
        <v>0</v>
      </c>
      <c r="O484" s="17">
        <f>'Sampling Data'!N484</f>
        <v>0</v>
      </c>
      <c r="P484" s="17">
        <f>'Sampling Data'!O484</f>
        <v>54</v>
      </c>
      <c r="Q484" s="17">
        <f>'Sampling Data'!P484</f>
        <v>601</v>
      </c>
      <c r="R484" s="17">
        <f>'Sampling Data'!AJ484</f>
        <v>0</v>
      </c>
      <c r="S484" s="111"/>
      <c r="T484" s="111"/>
      <c r="U484" s="112"/>
      <c r="V484" s="112"/>
      <c r="W484" s="111"/>
      <c r="X484" s="111"/>
      <c r="Y484" s="111"/>
      <c r="Z484" s="111"/>
      <c r="AA484" s="14"/>
      <c r="AB484" s="14"/>
      <c r="AC484" s="14"/>
      <c r="AD484" s="14"/>
      <c r="AE484" s="113" t="str">
        <f>IF(NOT(ISBLANK(Audit[[#This Row],[Audit Winning Candidate]])), Audit[[#This Row],[Audit Winning Candidate]]-Audit[[#This Row],[Winning Candidate]], "")</f>
        <v/>
      </c>
      <c r="AF484" s="17" t="str">
        <f>IF(NOT(ISBLANK(Audit[[#This Row],[Audit Losing Candidate]])), Audit[[#This Row],[Audit Losing Candidate]]-Audit[[#This Row],[Losing Candidate]], "")</f>
        <v/>
      </c>
      <c r="AG484" s="17" t="str">
        <f>IF(NOT(ISBLANK(Audit[[#This Row],[Audit Candidate 3]])), Audit[[#This Row],[Audit Candidate 3]]-Audit[[#This Row],[Candidate 3]], "")</f>
        <v/>
      </c>
      <c r="AH484" s="17" t="str">
        <f>IF(NOT(ISBLANK(Audit[[#This Row],[Audit Candidate 4]])),Audit[[#This Row],[Audit Candidate 4]]-Audit[[#This Row],[Candidate 4]], "")</f>
        <v/>
      </c>
      <c r="AI484" s="17" t="str">
        <f>IF(NOT(ISBLANK(Audit[[#This Row],[Audit Candidate 5]])), Audit[[#This Row],[Audit Candidate 5]]-Audit[[#This Row],[Candidate 5]], "")</f>
        <v/>
      </c>
      <c r="AJ484" s="17" t="str">
        <f>IF(NOT(ISBLANK(Audit[[#This Row],[Audit Candidate 6]])), Audit[[#This Row],[Audit Candidate 6]]-Audit[[#This Row],[Candidate 6]], "")</f>
        <v/>
      </c>
      <c r="AK484" s="17" t="str">
        <f>IF(NOT(ISBLANK(Audit[[#This Row],[Audit Candidate 7]])), Audit[[#This Row],[Audit Candidate 7]]-Audit[[#This Row],[Candidate 7]], "")</f>
        <v/>
      </c>
      <c r="AL484" s="17" t="str">
        <f>IF(NOT(ISBLANK(Audit[[#This Row],[Audit Candidate 8]])), Audit[[#This Row],[Audit Candidate 8]]-Audit[[#This Row],[Candidate 8]], "")</f>
        <v/>
      </c>
      <c r="AM484" s="17" t="str">
        <f>IF(NOT(ISBLANK(Audit[[#This Row],[Audit Candidate 9]])), Audit[[#This Row],[Audit Candidate 9]]-Audit[[#This Row],[Candidate 9]], "")</f>
        <v/>
      </c>
      <c r="AN484" s="17" t="str">
        <f>IF(NOT(ISBLANK(Audit[[#This Row],[Audit Candidate 10]])), Audit[[#This Row],[Audit Candidate 10]]-Audit[[#This Row],[Candidate 10]], "")</f>
        <v/>
      </c>
      <c r="AO484" s="17" t="str">
        <f>IF(NOT(ISBLANK(Audit[[#This Row],[Audit Candidate 11]])), Audit[[#This Row],[Audit Candidate 11]]-Audit[[#This Row],[Candidate 11]], "")</f>
        <v/>
      </c>
      <c r="AP484" s="17" t="str">
        <f>IF(NOT(ISBLANK(Audit[[#This Row],[Audit Candidate 12]])), Audit[[#This Row],[Audit Candidate 12]]-Audit[[#This Row],[Candidate 12]], "")</f>
        <v/>
      </c>
      <c r="AQ484" s="17">
        <f>SUMIF(Audit[[#This Row],[Difference Winner]:[Difference Candidate 12]], "&gt;0")</f>
        <v>0</v>
      </c>
      <c r="AR484" s="17">
        <f>SUM(Audit[[#This Row],[Difference Winner]:[Difference Candidate 12]])</f>
        <v>0</v>
      </c>
      <c r="AS484" s="17">
        <f>IF(Audit[[#This Row],[Times p Drawn - With Replacement]]&gt;0, IF(Audit[[#This Row],[Canceled Differences]]&lt;0, Audit[[#This Row],[Max Differences]]+ABS(Audit[[#This Row],[Canceled Differences]]), Audit[[#This Row],[Max Differences]]), 0)</f>
        <v>0</v>
      </c>
      <c r="AT484" s="17">
        <f>'Sampling Data'!AB484</f>
        <v>2.860295365812256E-2</v>
      </c>
      <c r="AU484" s="17">
        <f>IF(
      SUM(Audit[[#This Row],[Audit Losing Candidate]:[Audit Candidate 12]])
      &lt;&gt;0,
      (Audit[[#This Row],[Winning Candidate]]-Audit[[#This Row],[Losing Candidate]]-(Audit[[#This Row],[Audit Winning Candidate]]-Audit[[#This Row],[Audit Losing Candidate]]))/(Audit[[#Totals],[Winning Candidate]]-Audit[[#Totals],[Losing Candidate]]),
      0
)</f>
        <v>0</v>
      </c>
      <c r="AV4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4" s="17">
        <f>IF(Audit[[#This Row],[Max Relative Error (ep)]] = 0, 0, Audit[[#This Row],[Max Relative Error (ep)]]/Audit[[#This Row],[Error Bound (up) - Max. possible relative overstatement]])</f>
        <v>0</v>
      </c>
      <c r="BH4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84" s="17">
        <f t="shared" si="8"/>
        <v>1</v>
      </c>
      <c r="BJ484" s="17">
        <f>PRODUCT($BI$5:BI484)</f>
        <v>0.46283459046185416</v>
      </c>
      <c r="BK484" s="19">
        <f>1 - Audit[[#This Row],[K-M P Value]]</f>
        <v>0.53716540953814584</v>
      </c>
      <c r="BL484" s="17" t="str">
        <f>IF(Audit[[#This Row],[K-M P Value]]&gt;1-'General Info'!$B$12,"Continue", "Stop")</f>
        <v>Continue</v>
      </c>
      <c r="BM484" s="22" t="b">
        <f>IF(Audit[[#This Row],[Status - Continue or stop audit]] = "Continue", TRUE, IF(BL483 = "Continue", TRUE, FALSE))</f>
        <v>1</v>
      </c>
      <c r="BN484" s="22"/>
    </row>
    <row r="485" spans="1:66" ht="15" hidden="1" customHeight="1" x14ac:dyDescent="0.35">
      <c r="A485" s="17" t="str">
        <f>'Sampling Data'!AI485</f>
        <v/>
      </c>
      <c r="B485" s="17" t="str">
        <f>'Sampling Data'!A485</f>
        <v>8211 ADDY A   (AV)</v>
      </c>
      <c r="C485" s="17">
        <f>'Sampling Data'!B485</f>
        <v>12</v>
      </c>
      <c r="D485" s="17">
        <f>'Sampling Data'!C485</f>
        <v>31</v>
      </c>
      <c r="E485" s="18">
        <f>'Sampling Data'!D485</f>
        <v>0</v>
      </c>
      <c r="F485" s="18">
        <f>'Sampling Data'!E485</f>
        <v>0</v>
      </c>
      <c r="G485" s="18">
        <f>'Sampling Data'!F485</f>
        <v>0</v>
      </c>
      <c r="H485" s="18">
        <f>'Sampling Data'!G485</f>
        <v>0</v>
      </c>
      <c r="I485" s="18">
        <f>'Sampling Data'!H485</f>
        <v>0</v>
      </c>
      <c r="J485" s="18">
        <f>'Sampling Data'!I485</f>
        <v>0</v>
      </c>
      <c r="K485" s="18">
        <f>'Sampling Data'!J485</f>
        <v>0</v>
      </c>
      <c r="L485" s="18">
        <f>'Sampling Data'!K485</f>
        <v>0</v>
      </c>
      <c r="M485" s="18">
        <f>'Sampling Data'!L485</f>
        <v>0</v>
      </c>
      <c r="N485" s="18">
        <f>'Sampling Data'!M485</f>
        <v>0</v>
      </c>
      <c r="O485" s="17">
        <f>'Sampling Data'!N485</f>
        <v>0</v>
      </c>
      <c r="P485" s="17">
        <f>'Sampling Data'!O485</f>
        <v>3</v>
      </c>
      <c r="Q485" s="17">
        <f>'Sampling Data'!P485</f>
        <v>46</v>
      </c>
      <c r="R485" s="17">
        <f>'Sampling Data'!AJ485</f>
        <v>0</v>
      </c>
      <c r="S485" s="111"/>
      <c r="T485" s="111"/>
      <c r="U485" s="112"/>
      <c r="V485" s="112"/>
      <c r="W485" s="111"/>
      <c r="X485" s="111"/>
      <c r="Y485" s="111"/>
      <c r="Z485" s="111"/>
      <c r="AA485" s="14"/>
      <c r="AB485" s="14"/>
      <c r="AC485" s="14"/>
      <c r="AD485" s="14"/>
      <c r="AE485" s="113" t="str">
        <f>IF(NOT(ISBLANK(Audit[[#This Row],[Audit Winning Candidate]])), Audit[[#This Row],[Audit Winning Candidate]]-Audit[[#This Row],[Winning Candidate]], "")</f>
        <v/>
      </c>
      <c r="AF485" s="17" t="str">
        <f>IF(NOT(ISBLANK(Audit[[#This Row],[Audit Losing Candidate]])), Audit[[#This Row],[Audit Losing Candidate]]-Audit[[#This Row],[Losing Candidate]], "")</f>
        <v/>
      </c>
      <c r="AG485" s="17" t="str">
        <f>IF(NOT(ISBLANK(Audit[[#This Row],[Audit Candidate 3]])), Audit[[#This Row],[Audit Candidate 3]]-Audit[[#This Row],[Candidate 3]], "")</f>
        <v/>
      </c>
      <c r="AH485" s="17" t="str">
        <f>IF(NOT(ISBLANK(Audit[[#This Row],[Audit Candidate 4]])),Audit[[#This Row],[Audit Candidate 4]]-Audit[[#This Row],[Candidate 4]], "")</f>
        <v/>
      </c>
      <c r="AI485" s="17" t="str">
        <f>IF(NOT(ISBLANK(Audit[[#This Row],[Audit Candidate 5]])), Audit[[#This Row],[Audit Candidate 5]]-Audit[[#This Row],[Candidate 5]], "")</f>
        <v/>
      </c>
      <c r="AJ485" s="17" t="str">
        <f>IF(NOT(ISBLANK(Audit[[#This Row],[Audit Candidate 6]])), Audit[[#This Row],[Audit Candidate 6]]-Audit[[#This Row],[Candidate 6]], "")</f>
        <v/>
      </c>
      <c r="AK485" s="17" t="str">
        <f>IF(NOT(ISBLANK(Audit[[#This Row],[Audit Candidate 7]])), Audit[[#This Row],[Audit Candidate 7]]-Audit[[#This Row],[Candidate 7]], "")</f>
        <v/>
      </c>
      <c r="AL485" s="17" t="str">
        <f>IF(NOT(ISBLANK(Audit[[#This Row],[Audit Candidate 8]])), Audit[[#This Row],[Audit Candidate 8]]-Audit[[#This Row],[Candidate 8]], "")</f>
        <v/>
      </c>
      <c r="AM485" s="17" t="str">
        <f>IF(NOT(ISBLANK(Audit[[#This Row],[Audit Candidate 9]])), Audit[[#This Row],[Audit Candidate 9]]-Audit[[#This Row],[Candidate 9]], "")</f>
        <v/>
      </c>
      <c r="AN485" s="17" t="str">
        <f>IF(NOT(ISBLANK(Audit[[#This Row],[Audit Candidate 10]])), Audit[[#This Row],[Audit Candidate 10]]-Audit[[#This Row],[Candidate 10]], "")</f>
        <v/>
      </c>
      <c r="AO485" s="17" t="str">
        <f>IF(NOT(ISBLANK(Audit[[#This Row],[Audit Candidate 11]])), Audit[[#This Row],[Audit Candidate 11]]-Audit[[#This Row],[Candidate 11]], "")</f>
        <v/>
      </c>
      <c r="AP485" s="17" t="str">
        <f>IF(NOT(ISBLANK(Audit[[#This Row],[Audit Candidate 12]])), Audit[[#This Row],[Audit Candidate 12]]-Audit[[#This Row],[Candidate 12]], "")</f>
        <v/>
      </c>
      <c r="AQ485" s="17">
        <f>SUMIF(Audit[[#This Row],[Difference Winner]:[Difference Candidate 12]], "&gt;0")</f>
        <v>0</v>
      </c>
      <c r="AR485" s="17">
        <f>SUM(Audit[[#This Row],[Difference Winner]:[Difference Candidate 12]])</f>
        <v>0</v>
      </c>
      <c r="AS485" s="17">
        <f>IF(Audit[[#This Row],[Times p Drawn - With Replacement]]&gt;0, IF(Audit[[#This Row],[Canceled Differences]]&lt;0, Audit[[#This Row],[Max Differences]]+ABS(Audit[[#This Row],[Canceled Differences]]), Audit[[#This Row],[Max Differences]]), 0)</f>
        <v>0</v>
      </c>
      <c r="AT485" s="17">
        <f>'Sampling Data'!AB485</f>
        <v>1.1458156509930402E-3</v>
      </c>
      <c r="AU485" s="17">
        <f>IF(
      SUM(Audit[[#This Row],[Audit Losing Candidate]:[Audit Candidate 12]])
      &lt;&gt;0,
      (Audit[[#This Row],[Winning Candidate]]-Audit[[#This Row],[Losing Candidate]]-(Audit[[#This Row],[Audit Winning Candidate]]-Audit[[#This Row],[Audit Losing Candidate]]))/(Audit[[#Totals],[Winning Candidate]]-Audit[[#Totals],[Losing Candidate]]),
      0
)</f>
        <v>0</v>
      </c>
      <c r="AV4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5" s="17">
        <f>IF(Audit[[#This Row],[Max Relative Error (ep)]] = 0, 0, Audit[[#This Row],[Max Relative Error (ep)]]/Audit[[#This Row],[Error Bound (up) - Max. possible relative overstatement]])</f>
        <v>0</v>
      </c>
      <c r="BH4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85" s="17">
        <f t="shared" si="8"/>
        <v>1</v>
      </c>
      <c r="BJ485" s="17">
        <f>PRODUCT($BI$5:BI485)</f>
        <v>0.46283459046185416</v>
      </c>
      <c r="BK485" s="19">
        <f>1 - Audit[[#This Row],[K-M P Value]]</f>
        <v>0.53716540953814584</v>
      </c>
      <c r="BL485" s="17" t="str">
        <f>IF(Audit[[#This Row],[K-M P Value]]&gt;1-'General Info'!$B$12,"Continue", "Stop")</f>
        <v>Continue</v>
      </c>
      <c r="BM485" s="22" t="b">
        <f>IF(Audit[[#This Row],[Status - Continue or stop audit]] = "Continue", TRUE, IF(BL484 = "Continue", TRUE, FALSE))</f>
        <v>1</v>
      </c>
      <c r="BN485" s="22"/>
    </row>
    <row r="486" spans="1:66" ht="15" hidden="1" customHeight="1" x14ac:dyDescent="0.35">
      <c r="A486" s="17" t="str">
        <f>'Sampling Data'!AI486</f>
        <v/>
      </c>
      <c r="B486" s="17" t="str">
        <f>'Sampling Data'!A486</f>
        <v>8221 CLEVE A   (AV)</v>
      </c>
      <c r="C486" s="17">
        <f>'Sampling Data'!B486</f>
        <v>23</v>
      </c>
      <c r="D486" s="17">
        <f>'Sampling Data'!C486</f>
        <v>45</v>
      </c>
      <c r="E486" s="18">
        <f>'Sampling Data'!D486</f>
        <v>0</v>
      </c>
      <c r="F486" s="18">
        <f>'Sampling Data'!E486</f>
        <v>0</v>
      </c>
      <c r="G486" s="18">
        <f>'Sampling Data'!F486</f>
        <v>0</v>
      </c>
      <c r="H486" s="18">
        <f>'Sampling Data'!G486</f>
        <v>0</v>
      </c>
      <c r="I486" s="18">
        <f>'Sampling Data'!H486</f>
        <v>0</v>
      </c>
      <c r="J486" s="18">
        <f>'Sampling Data'!I486</f>
        <v>0</v>
      </c>
      <c r="K486" s="18">
        <f>'Sampling Data'!J486</f>
        <v>0</v>
      </c>
      <c r="L486" s="18">
        <f>'Sampling Data'!K486</f>
        <v>0</v>
      </c>
      <c r="M486" s="18">
        <f>'Sampling Data'!L486</f>
        <v>0</v>
      </c>
      <c r="N486" s="18">
        <f>'Sampling Data'!M486</f>
        <v>0</v>
      </c>
      <c r="O486" s="17">
        <f>'Sampling Data'!N486</f>
        <v>0</v>
      </c>
      <c r="P486" s="17">
        <f>'Sampling Data'!O486</f>
        <v>4</v>
      </c>
      <c r="Q486" s="17">
        <f>'Sampling Data'!P486</f>
        <v>72</v>
      </c>
      <c r="R486" s="17">
        <f>'Sampling Data'!AJ486</f>
        <v>0</v>
      </c>
      <c r="S486" s="111"/>
      <c r="T486" s="111"/>
      <c r="U486" s="112"/>
      <c r="V486" s="112"/>
      <c r="W486" s="111"/>
      <c r="X486" s="111"/>
      <c r="Y486" s="111"/>
      <c r="Z486" s="111"/>
      <c r="AA486" s="14"/>
      <c r="AB486" s="14"/>
      <c r="AC486" s="14"/>
      <c r="AD486" s="14"/>
      <c r="AE486" s="113" t="str">
        <f>IF(NOT(ISBLANK(Audit[[#This Row],[Audit Winning Candidate]])), Audit[[#This Row],[Audit Winning Candidate]]-Audit[[#This Row],[Winning Candidate]], "")</f>
        <v/>
      </c>
      <c r="AF486" s="17" t="str">
        <f>IF(NOT(ISBLANK(Audit[[#This Row],[Audit Losing Candidate]])), Audit[[#This Row],[Audit Losing Candidate]]-Audit[[#This Row],[Losing Candidate]], "")</f>
        <v/>
      </c>
      <c r="AG486" s="17" t="str">
        <f>IF(NOT(ISBLANK(Audit[[#This Row],[Audit Candidate 3]])), Audit[[#This Row],[Audit Candidate 3]]-Audit[[#This Row],[Candidate 3]], "")</f>
        <v/>
      </c>
      <c r="AH486" s="17" t="str">
        <f>IF(NOT(ISBLANK(Audit[[#This Row],[Audit Candidate 4]])),Audit[[#This Row],[Audit Candidate 4]]-Audit[[#This Row],[Candidate 4]], "")</f>
        <v/>
      </c>
      <c r="AI486" s="17" t="str">
        <f>IF(NOT(ISBLANK(Audit[[#This Row],[Audit Candidate 5]])), Audit[[#This Row],[Audit Candidate 5]]-Audit[[#This Row],[Candidate 5]], "")</f>
        <v/>
      </c>
      <c r="AJ486" s="17" t="str">
        <f>IF(NOT(ISBLANK(Audit[[#This Row],[Audit Candidate 6]])), Audit[[#This Row],[Audit Candidate 6]]-Audit[[#This Row],[Candidate 6]], "")</f>
        <v/>
      </c>
      <c r="AK486" s="17" t="str">
        <f>IF(NOT(ISBLANK(Audit[[#This Row],[Audit Candidate 7]])), Audit[[#This Row],[Audit Candidate 7]]-Audit[[#This Row],[Candidate 7]], "")</f>
        <v/>
      </c>
      <c r="AL486" s="17" t="str">
        <f>IF(NOT(ISBLANK(Audit[[#This Row],[Audit Candidate 8]])), Audit[[#This Row],[Audit Candidate 8]]-Audit[[#This Row],[Candidate 8]], "")</f>
        <v/>
      </c>
      <c r="AM486" s="17" t="str">
        <f>IF(NOT(ISBLANK(Audit[[#This Row],[Audit Candidate 9]])), Audit[[#This Row],[Audit Candidate 9]]-Audit[[#This Row],[Candidate 9]], "")</f>
        <v/>
      </c>
      <c r="AN486" s="17" t="str">
        <f>IF(NOT(ISBLANK(Audit[[#This Row],[Audit Candidate 10]])), Audit[[#This Row],[Audit Candidate 10]]-Audit[[#This Row],[Candidate 10]], "")</f>
        <v/>
      </c>
      <c r="AO486" s="17" t="str">
        <f>IF(NOT(ISBLANK(Audit[[#This Row],[Audit Candidate 11]])), Audit[[#This Row],[Audit Candidate 11]]-Audit[[#This Row],[Candidate 11]], "")</f>
        <v/>
      </c>
      <c r="AP486" s="17" t="str">
        <f>IF(NOT(ISBLANK(Audit[[#This Row],[Audit Candidate 12]])), Audit[[#This Row],[Audit Candidate 12]]-Audit[[#This Row],[Candidate 12]], "")</f>
        <v/>
      </c>
      <c r="AQ486" s="17">
        <f>SUMIF(Audit[[#This Row],[Difference Winner]:[Difference Candidate 12]], "&gt;0")</f>
        <v>0</v>
      </c>
      <c r="AR486" s="17">
        <f>SUM(Audit[[#This Row],[Difference Winner]:[Difference Candidate 12]])</f>
        <v>0</v>
      </c>
      <c r="AS486" s="17">
        <f>IF(Audit[[#This Row],[Times p Drawn - With Replacement]]&gt;0, IF(Audit[[#This Row],[Canceled Differences]]&lt;0, Audit[[#This Row],[Max Differences]]+ABS(Audit[[#This Row],[Canceled Differences]]), Audit[[#This Row],[Max Differences]]), 0)</f>
        <v>0</v>
      </c>
      <c r="AT486" s="17">
        <f>'Sampling Data'!AB486</f>
        <v>2.1218808351722968E-3</v>
      </c>
      <c r="AU486" s="17">
        <f>IF(
      SUM(Audit[[#This Row],[Audit Losing Candidate]:[Audit Candidate 12]])
      &lt;&gt;0,
      (Audit[[#This Row],[Winning Candidate]]-Audit[[#This Row],[Losing Candidate]]-(Audit[[#This Row],[Audit Winning Candidate]]-Audit[[#This Row],[Audit Losing Candidate]]))/(Audit[[#Totals],[Winning Candidate]]-Audit[[#Totals],[Losing Candidate]]),
      0
)</f>
        <v>0</v>
      </c>
      <c r="AV4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6" s="17">
        <f>IF(Audit[[#This Row],[Max Relative Error (ep)]] = 0, 0, Audit[[#This Row],[Max Relative Error (ep)]]/Audit[[#This Row],[Error Bound (up) - Max. possible relative overstatement]])</f>
        <v>0</v>
      </c>
      <c r="BH4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86" s="17">
        <f t="shared" si="8"/>
        <v>1</v>
      </c>
      <c r="BJ486" s="17">
        <f>PRODUCT($BI$5:BI486)</f>
        <v>0.46283459046185416</v>
      </c>
      <c r="BK486" s="19">
        <f>1 - Audit[[#This Row],[K-M P Value]]</f>
        <v>0.53716540953814584</v>
      </c>
      <c r="BL486" s="17" t="str">
        <f>IF(Audit[[#This Row],[K-M P Value]]&gt;1-'General Info'!$B$12,"Continue", "Stop")</f>
        <v>Continue</v>
      </c>
      <c r="BM486" s="22" t="b">
        <f>IF(Audit[[#This Row],[Status - Continue or stop audit]] = "Continue", TRUE, IF(BL485 = "Continue", TRUE, FALSE))</f>
        <v>1</v>
      </c>
      <c r="BN486" s="22"/>
    </row>
    <row r="487" spans="1:66" ht="15" hidden="1" customHeight="1" x14ac:dyDescent="0.35">
      <c r="A487" s="17" t="str">
        <f>'Sampling Data'!AI487</f>
        <v/>
      </c>
      <c r="B487" s="17" t="str">
        <f>'Sampling Data'!A487</f>
        <v>8222 CLEVE B   (AV)</v>
      </c>
      <c r="C487" s="17">
        <f>'Sampling Data'!B487</f>
        <v>84</v>
      </c>
      <c r="D487" s="17">
        <f>'Sampling Data'!C487</f>
        <v>266</v>
      </c>
      <c r="E487" s="18">
        <f>'Sampling Data'!D487</f>
        <v>0</v>
      </c>
      <c r="F487" s="18">
        <f>'Sampling Data'!E487</f>
        <v>0</v>
      </c>
      <c r="G487" s="18">
        <f>'Sampling Data'!F487</f>
        <v>0</v>
      </c>
      <c r="H487" s="18">
        <f>'Sampling Data'!G487</f>
        <v>0</v>
      </c>
      <c r="I487" s="18">
        <f>'Sampling Data'!H487</f>
        <v>0</v>
      </c>
      <c r="J487" s="18">
        <f>'Sampling Data'!I487</f>
        <v>0</v>
      </c>
      <c r="K487" s="18">
        <f>'Sampling Data'!J487</f>
        <v>0</v>
      </c>
      <c r="L487" s="18">
        <f>'Sampling Data'!K487</f>
        <v>0</v>
      </c>
      <c r="M487" s="18">
        <f>'Sampling Data'!L487</f>
        <v>0</v>
      </c>
      <c r="N487" s="18">
        <f>'Sampling Data'!M487</f>
        <v>0</v>
      </c>
      <c r="O487" s="17">
        <f>'Sampling Data'!N487</f>
        <v>0</v>
      </c>
      <c r="P487" s="17">
        <f>'Sampling Data'!O487</f>
        <v>21</v>
      </c>
      <c r="Q487" s="17">
        <f>'Sampling Data'!P487</f>
        <v>371</v>
      </c>
      <c r="R487" s="17">
        <f>'Sampling Data'!AJ487</f>
        <v>0</v>
      </c>
      <c r="S487" s="111"/>
      <c r="T487" s="111"/>
      <c r="U487" s="112"/>
      <c r="V487" s="112"/>
      <c r="W487" s="111"/>
      <c r="X487" s="111"/>
      <c r="Y487" s="111"/>
      <c r="Z487" s="111"/>
      <c r="AA487" s="14"/>
      <c r="AB487" s="14"/>
      <c r="AC487" s="14"/>
      <c r="AD487" s="14"/>
      <c r="AE487" s="113" t="str">
        <f>IF(NOT(ISBLANK(Audit[[#This Row],[Audit Winning Candidate]])), Audit[[#This Row],[Audit Winning Candidate]]-Audit[[#This Row],[Winning Candidate]], "")</f>
        <v/>
      </c>
      <c r="AF487" s="17" t="str">
        <f>IF(NOT(ISBLANK(Audit[[#This Row],[Audit Losing Candidate]])), Audit[[#This Row],[Audit Losing Candidate]]-Audit[[#This Row],[Losing Candidate]], "")</f>
        <v/>
      </c>
      <c r="AG487" s="17" t="str">
        <f>IF(NOT(ISBLANK(Audit[[#This Row],[Audit Candidate 3]])), Audit[[#This Row],[Audit Candidate 3]]-Audit[[#This Row],[Candidate 3]], "")</f>
        <v/>
      </c>
      <c r="AH487" s="17" t="str">
        <f>IF(NOT(ISBLANK(Audit[[#This Row],[Audit Candidate 4]])),Audit[[#This Row],[Audit Candidate 4]]-Audit[[#This Row],[Candidate 4]], "")</f>
        <v/>
      </c>
      <c r="AI487" s="17" t="str">
        <f>IF(NOT(ISBLANK(Audit[[#This Row],[Audit Candidate 5]])), Audit[[#This Row],[Audit Candidate 5]]-Audit[[#This Row],[Candidate 5]], "")</f>
        <v/>
      </c>
      <c r="AJ487" s="17" t="str">
        <f>IF(NOT(ISBLANK(Audit[[#This Row],[Audit Candidate 6]])), Audit[[#This Row],[Audit Candidate 6]]-Audit[[#This Row],[Candidate 6]], "")</f>
        <v/>
      </c>
      <c r="AK487" s="17" t="str">
        <f>IF(NOT(ISBLANK(Audit[[#This Row],[Audit Candidate 7]])), Audit[[#This Row],[Audit Candidate 7]]-Audit[[#This Row],[Candidate 7]], "")</f>
        <v/>
      </c>
      <c r="AL487" s="17" t="str">
        <f>IF(NOT(ISBLANK(Audit[[#This Row],[Audit Candidate 8]])), Audit[[#This Row],[Audit Candidate 8]]-Audit[[#This Row],[Candidate 8]], "")</f>
        <v/>
      </c>
      <c r="AM487" s="17" t="str">
        <f>IF(NOT(ISBLANK(Audit[[#This Row],[Audit Candidate 9]])), Audit[[#This Row],[Audit Candidate 9]]-Audit[[#This Row],[Candidate 9]], "")</f>
        <v/>
      </c>
      <c r="AN487" s="17" t="str">
        <f>IF(NOT(ISBLANK(Audit[[#This Row],[Audit Candidate 10]])), Audit[[#This Row],[Audit Candidate 10]]-Audit[[#This Row],[Candidate 10]], "")</f>
        <v/>
      </c>
      <c r="AO487" s="17" t="str">
        <f>IF(NOT(ISBLANK(Audit[[#This Row],[Audit Candidate 11]])), Audit[[#This Row],[Audit Candidate 11]]-Audit[[#This Row],[Candidate 11]], "")</f>
        <v/>
      </c>
      <c r="AP487" s="17" t="str">
        <f>IF(NOT(ISBLANK(Audit[[#This Row],[Audit Candidate 12]])), Audit[[#This Row],[Audit Candidate 12]]-Audit[[#This Row],[Candidate 12]], "")</f>
        <v/>
      </c>
      <c r="AQ487" s="17">
        <f>SUMIF(Audit[[#This Row],[Difference Winner]:[Difference Candidate 12]], "&gt;0")</f>
        <v>0</v>
      </c>
      <c r="AR487" s="17">
        <f>SUM(Audit[[#This Row],[Difference Winner]:[Difference Candidate 12]])</f>
        <v>0</v>
      </c>
      <c r="AS487" s="17">
        <f>IF(Audit[[#This Row],[Times p Drawn - With Replacement]]&gt;0, IF(Audit[[#This Row],[Canceled Differences]]&lt;0, Audit[[#This Row],[Max Differences]]+ABS(Audit[[#This Row],[Canceled Differences]]), Audit[[#This Row],[Max Differences]]), 0)</f>
        <v>0</v>
      </c>
      <c r="AT487" s="17">
        <f>'Sampling Data'!AB487</f>
        <v>8.0207095569512811E-3</v>
      </c>
      <c r="AU487" s="17">
        <f>IF(
      SUM(Audit[[#This Row],[Audit Losing Candidate]:[Audit Candidate 12]])
      &lt;&gt;0,
      (Audit[[#This Row],[Winning Candidate]]-Audit[[#This Row],[Losing Candidate]]-(Audit[[#This Row],[Audit Winning Candidate]]-Audit[[#This Row],[Audit Losing Candidate]]))/(Audit[[#Totals],[Winning Candidate]]-Audit[[#Totals],[Losing Candidate]]),
      0
)</f>
        <v>0</v>
      </c>
      <c r="AV4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7" s="17">
        <f>IF(Audit[[#This Row],[Max Relative Error (ep)]] = 0, 0, Audit[[#This Row],[Max Relative Error (ep)]]/Audit[[#This Row],[Error Bound (up) - Max. possible relative overstatement]])</f>
        <v>0</v>
      </c>
      <c r="BH4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87" s="17">
        <f t="shared" si="8"/>
        <v>1</v>
      </c>
      <c r="BJ487" s="17">
        <f>PRODUCT($BI$5:BI487)</f>
        <v>0.46283459046185416</v>
      </c>
      <c r="BK487" s="19">
        <f>1 - Audit[[#This Row],[K-M P Value]]</f>
        <v>0.53716540953814584</v>
      </c>
      <c r="BL487" s="17" t="str">
        <f>IF(Audit[[#This Row],[K-M P Value]]&gt;1-'General Info'!$B$12,"Continue", "Stop")</f>
        <v>Continue</v>
      </c>
      <c r="BM487" s="22" t="b">
        <f>IF(Audit[[#This Row],[Status - Continue or stop audit]] = "Continue", TRUE, IF(BL486 = "Continue", TRUE, FALSE))</f>
        <v>1</v>
      </c>
      <c r="BN487" s="22"/>
    </row>
    <row r="488" spans="1:66" ht="15" hidden="1" customHeight="1" x14ac:dyDescent="0.35">
      <c r="A488" s="17" t="str">
        <f>'Sampling Data'!AI488</f>
        <v/>
      </c>
      <c r="B488" s="17" t="str">
        <f>'Sampling Data'!A488</f>
        <v>8231 NO BEND A   (AV)</v>
      </c>
      <c r="C488" s="17">
        <f>'Sampling Data'!B488</f>
        <v>31</v>
      </c>
      <c r="D488" s="17">
        <f>'Sampling Data'!C488</f>
        <v>156</v>
      </c>
      <c r="E488" s="18">
        <f>'Sampling Data'!D488</f>
        <v>0</v>
      </c>
      <c r="F488" s="18">
        <f>'Sampling Data'!E488</f>
        <v>0</v>
      </c>
      <c r="G488" s="18">
        <f>'Sampling Data'!F488</f>
        <v>0</v>
      </c>
      <c r="H488" s="18">
        <f>'Sampling Data'!G488</f>
        <v>0</v>
      </c>
      <c r="I488" s="18">
        <f>'Sampling Data'!H488</f>
        <v>0</v>
      </c>
      <c r="J488" s="18">
        <f>'Sampling Data'!I488</f>
        <v>0</v>
      </c>
      <c r="K488" s="18">
        <f>'Sampling Data'!J488</f>
        <v>0</v>
      </c>
      <c r="L488" s="18">
        <f>'Sampling Data'!K488</f>
        <v>0</v>
      </c>
      <c r="M488" s="18">
        <f>'Sampling Data'!L488</f>
        <v>0</v>
      </c>
      <c r="N488" s="18">
        <f>'Sampling Data'!M488</f>
        <v>0</v>
      </c>
      <c r="O488" s="17">
        <f>'Sampling Data'!N488</f>
        <v>0</v>
      </c>
      <c r="P488" s="17">
        <f>'Sampling Data'!O488</f>
        <v>5</v>
      </c>
      <c r="Q488" s="17">
        <f>'Sampling Data'!P488</f>
        <v>192</v>
      </c>
      <c r="R488" s="17">
        <f>'Sampling Data'!AJ488</f>
        <v>0</v>
      </c>
      <c r="S488" s="111"/>
      <c r="T488" s="111"/>
      <c r="U488" s="112"/>
      <c r="V488" s="112"/>
      <c r="W488" s="111"/>
      <c r="X488" s="111"/>
      <c r="Y488" s="111"/>
      <c r="Z488" s="111"/>
      <c r="AA488" s="14"/>
      <c r="AB488" s="14"/>
      <c r="AC488" s="14"/>
      <c r="AD488" s="14"/>
      <c r="AE488" s="113" t="str">
        <f>IF(NOT(ISBLANK(Audit[[#This Row],[Audit Winning Candidate]])), Audit[[#This Row],[Audit Winning Candidate]]-Audit[[#This Row],[Winning Candidate]], "")</f>
        <v/>
      </c>
      <c r="AF488" s="17" t="str">
        <f>IF(NOT(ISBLANK(Audit[[#This Row],[Audit Losing Candidate]])), Audit[[#This Row],[Audit Losing Candidate]]-Audit[[#This Row],[Losing Candidate]], "")</f>
        <v/>
      </c>
      <c r="AG488" s="17" t="str">
        <f>IF(NOT(ISBLANK(Audit[[#This Row],[Audit Candidate 3]])), Audit[[#This Row],[Audit Candidate 3]]-Audit[[#This Row],[Candidate 3]], "")</f>
        <v/>
      </c>
      <c r="AH488" s="17" t="str">
        <f>IF(NOT(ISBLANK(Audit[[#This Row],[Audit Candidate 4]])),Audit[[#This Row],[Audit Candidate 4]]-Audit[[#This Row],[Candidate 4]], "")</f>
        <v/>
      </c>
      <c r="AI488" s="17" t="str">
        <f>IF(NOT(ISBLANK(Audit[[#This Row],[Audit Candidate 5]])), Audit[[#This Row],[Audit Candidate 5]]-Audit[[#This Row],[Candidate 5]], "")</f>
        <v/>
      </c>
      <c r="AJ488" s="17" t="str">
        <f>IF(NOT(ISBLANK(Audit[[#This Row],[Audit Candidate 6]])), Audit[[#This Row],[Audit Candidate 6]]-Audit[[#This Row],[Candidate 6]], "")</f>
        <v/>
      </c>
      <c r="AK488" s="17" t="str">
        <f>IF(NOT(ISBLANK(Audit[[#This Row],[Audit Candidate 7]])), Audit[[#This Row],[Audit Candidate 7]]-Audit[[#This Row],[Candidate 7]], "")</f>
        <v/>
      </c>
      <c r="AL488" s="17" t="str">
        <f>IF(NOT(ISBLANK(Audit[[#This Row],[Audit Candidate 8]])), Audit[[#This Row],[Audit Candidate 8]]-Audit[[#This Row],[Candidate 8]], "")</f>
        <v/>
      </c>
      <c r="AM488" s="17" t="str">
        <f>IF(NOT(ISBLANK(Audit[[#This Row],[Audit Candidate 9]])), Audit[[#This Row],[Audit Candidate 9]]-Audit[[#This Row],[Candidate 9]], "")</f>
        <v/>
      </c>
      <c r="AN488" s="17" t="str">
        <f>IF(NOT(ISBLANK(Audit[[#This Row],[Audit Candidate 10]])), Audit[[#This Row],[Audit Candidate 10]]-Audit[[#This Row],[Candidate 10]], "")</f>
        <v/>
      </c>
      <c r="AO488" s="17" t="str">
        <f>IF(NOT(ISBLANK(Audit[[#This Row],[Audit Candidate 11]])), Audit[[#This Row],[Audit Candidate 11]]-Audit[[#This Row],[Candidate 11]], "")</f>
        <v/>
      </c>
      <c r="AP488" s="17" t="str">
        <f>IF(NOT(ISBLANK(Audit[[#This Row],[Audit Candidate 12]])), Audit[[#This Row],[Audit Candidate 12]]-Audit[[#This Row],[Candidate 12]], "")</f>
        <v/>
      </c>
      <c r="AQ488" s="17">
        <f>SUMIF(Audit[[#This Row],[Difference Winner]:[Difference Candidate 12]], "&gt;0")</f>
        <v>0</v>
      </c>
      <c r="AR488" s="17">
        <f>SUM(Audit[[#This Row],[Difference Winner]:[Difference Candidate 12]])</f>
        <v>0</v>
      </c>
      <c r="AS488" s="17">
        <f>IF(Audit[[#This Row],[Times p Drawn - With Replacement]]&gt;0, IF(Audit[[#This Row],[Canceled Differences]]&lt;0, Audit[[#This Row],[Max Differences]]+ABS(Audit[[#This Row],[Canceled Differences]]), Audit[[#This Row],[Max Differences]]), 0)</f>
        <v>0</v>
      </c>
      <c r="AT488" s="17">
        <f>'Sampling Data'!AB488</f>
        <v>2.8433203191308774E-3</v>
      </c>
      <c r="AU488" s="17">
        <f>IF(
      SUM(Audit[[#This Row],[Audit Losing Candidate]:[Audit Candidate 12]])
      &lt;&gt;0,
      (Audit[[#This Row],[Winning Candidate]]-Audit[[#This Row],[Losing Candidate]]-(Audit[[#This Row],[Audit Winning Candidate]]-Audit[[#This Row],[Audit Losing Candidate]]))/(Audit[[#Totals],[Winning Candidate]]-Audit[[#Totals],[Losing Candidate]]),
      0
)</f>
        <v>0</v>
      </c>
      <c r="AV4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8" s="17">
        <f>IF(Audit[[#This Row],[Max Relative Error (ep)]] = 0, 0, Audit[[#This Row],[Max Relative Error (ep)]]/Audit[[#This Row],[Error Bound (up) - Max. possible relative overstatement]])</f>
        <v>0</v>
      </c>
      <c r="BH4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88" s="17">
        <f t="shared" si="8"/>
        <v>1</v>
      </c>
      <c r="BJ488" s="17">
        <f>PRODUCT($BI$5:BI488)</f>
        <v>0.46283459046185416</v>
      </c>
      <c r="BK488" s="19">
        <f>1 - Audit[[#This Row],[K-M P Value]]</f>
        <v>0.53716540953814584</v>
      </c>
      <c r="BL488" s="17" t="str">
        <f>IF(Audit[[#This Row],[K-M P Value]]&gt;1-'General Info'!$B$12,"Continue", "Stop")</f>
        <v>Continue</v>
      </c>
      <c r="BM488" s="22" t="b">
        <f>IF(Audit[[#This Row],[Status - Continue or stop audit]] = "Continue", TRUE, IF(BL487 = "Continue", TRUE, FALSE))</f>
        <v>1</v>
      </c>
      <c r="BN488" s="22"/>
    </row>
    <row r="489" spans="1:66" ht="15" hidden="1" customHeight="1" x14ac:dyDescent="0.35">
      <c r="A489" s="17" t="str">
        <f>'Sampling Data'!AI489</f>
        <v/>
      </c>
      <c r="B489" s="17" t="str">
        <f>'Sampling Data'!A489</f>
        <v>8301 MIAMI A   (AV)</v>
      </c>
      <c r="C489" s="17">
        <f>'Sampling Data'!B489</f>
        <v>74</v>
      </c>
      <c r="D489" s="17">
        <f>'Sampling Data'!C489</f>
        <v>237</v>
      </c>
      <c r="E489" s="18">
        <f>'Sampling Data'!D489</f>
        <v>0</v>
      </c>
      <c r="F489" s="18">
        <f>'Sampling Data'!E489</f>
        <v>0</v>
      </c>
      <c r="G489" s="18">
        <f>'Sampling Data'!F489</f>
        <v>0</v>
      </c>
      <c r="H489" s="18">
        <f>'Sampling Data'!G489</f>
        <v>0</v>
      </c>
      <c r="I489" s="18">
        <f>'Sampling Data'!H489</f>
        <v>0</v>
      </c>
      <c r="J489" s="18">
        <f>'Sampling Data'!I489</f>
        <v>0</v>
      </c>
      <c r="K489" s="18">
        <f>'Sampling Data'!J489</f>
        <v>0</v>
      </c>
      <c r="L489" s="18">
        <f>'Sampling Data'!K489</f>
        <v>0</v>
      </c>
      <c r="M489" s="18">
        <f>'Sampling Data'!L489</f>
        <v>0</v>
      </c>
      <c r="N489" s="18">
        <f>'Sampling Data'!M489</f>
        <v>0</v>
      </c>
      <c r="O489" s="17">
        <f>'Sampling Data'!N489</f>
        <v>0</v>
      </c>
      <c r="P489" s="17">
        <f>'Sampling Data'!O489</f>
        <v>20</v>
      </c>
      <c r="Q489" s="17">
        <f>'Sampling Data'!P489</f>
        <v>331</v>
      </c>
      <c r="R489" s="17">
        <f>'Sampling Data'!AJ489</f>
        <v>0</v>
      </c>
      <c r="S489" s="111"/>
      <c r="T489" s="111"/>
      <c r="U489" s="112"/>
      <c r="V489" s="112"/>
      <c r="W489" s="111"/>
      <c r="X489" s="111"/>
      <c r="Y489" s="111"/>
      <c r="Z489" s="111"/>
      <c r="AA489" s="14"/>
      <c r="AB489" s="14"/>
      <c r="AC489" s="14"/>
      <c r="AD489" s="14"/>
      <c r="AE489" s="113" t="str">
        <f>IF(NOT(ISBLANK(Audit[[#This Row],[Audit Winning Candidate]])), Audit[[#This Row],[Audit Winning Candidate]]-Audit[[#This Row],[Winning Candidate]], "")</f>
        <v/>
      </c>
      <c r="AF489" s="17" t="str">
        <f>IF(NOT(ISBLANK(Audit[[#This Row],[Audit Losing Candidate]])), Audit[[#This Row],[Audit Losing Candidate]]-Audit[[#This Row],[Losing Candidate]], "")</f>
        <v/>
      </c>
      <c r="AG489" s="17" t="str">
        <f>IF(NOT(ISBLANK(Audit[[#This Row],[Audit Candidate 3]])), Audit[[#This Row],[Audit Candidate 3]]-Audit[[#This Row],[Candidate 3]], "")</f>
        <v/>
      </c>
      <c r="AH489" s="17" t="str">
        <f>IF(NOT(ISBLANK(Audit[[#This Row],[Audit Candidate 4]])),Audit[[#This Row],[Audit Candidate 4]]-Audit[[#This Row],[Candidate 4]], "")</f>
        <v/>
      </c>
      <c r="AI489" s="17" t="str">
        <f>IF(NOT(ISBLANK(Audit[[#This Row],[Audit Candidate 5]])), Audit[[#This Row],[Audit Candidate 5]]-Audit[[#This Row],[Candidate 5]], "")</f>
        <v/>
      </c>
      <c r="AJ489" s="17" t="str">
        <f>IF(NOT(ISBLANK(Audit[[#This Row],[Audit Candidate 6]])), Audit[[#This Row],[Audit Candidate 6]]-Audit[[#This Row],[Candidate 6]], "")</f>
        <v/>
      </c>
      <c r="AK489" s="17" t="str">
        <f>IF(NOT(ISBLANK(Audit[[#This Row],[Audit Candidate 7]])), Audit[[#This Row],[Audit Candidate 7]]-Audit[[#This Row],[Candidate 7]], "")</f>
        <v/>
      </c>
      <c r="AL489" s="17" t="str">
        <f>IF(NOT(ISBLANK(Audit[[#This Row],[Audit Candidate 8]])), Audit[[#This Row],[Audit Candidate 8]]-Audit[[#This Row],[Candidate 8]], "")</f>
        <v/>
      </c>
      <c r="AM489" s="17" t="str">
        <f>IF(NOT(ISBLANK(Audit[[#This Row],[Audit Candidate 9]])), Audit[[#This Row],[Audit Candidate 9]]-Audit[[#This Row],[Candidate 9]], "")</f>
        <v/>
      </c>
      <c r="AN489" s="17" t="str">
        <f>IF(NOT(ISBLANK(Audit[[#This Row],[Audit Candidate 10]])), Audit[[#This Row],[Audit Candidate 10]]-Audit[[#This Row],[Candidate 10]], "")</f>
        <v/>
      </c>
      <c r="AO489" s="17" t="str">
        <f>IF(NOT(ISBLANK(Audit[[#This Row],[Audit Candidate 11]])), Audit[[#This Row],[Audit Candidate 11]]-Audit[[#This Row],[Candidate 11]], "")</f>
        <v/>
      </c>
      <c r="AP489" s="17" t="str">
        <f>IF(NOT(ISBLANK(Audit[[#This Row],[Audit Candidate 12]])), Audit[[#This Row],[Audit Candidate 12]]-Audit[[#This Row],[Candidate 12]], "")</f>
        <v/>
      </c>
      <c r="AQ489" s="17">
        <f>SUMIF(Audit[[#This Row],[Difference Winner]:[Difference Candidate 12]], "&gt;0")</f>
        <v>0</v>
      </c>
      <c r="AR489" s="17">
        <f>SUM(Audit[[#This Row],[Difference Winner]:[Difference Candidate 12]])</f>
        <v>0</v>
      </c>
      <c r="AS489" s="17">
        <f>IF(Audit[[#This Row],[Times p Drawn - With Replacement]]&gt;0, IF(Audit[[#This Row],[Canceled Differences]]&lt;0, Audit[[#This Row],[Max Differences]]+ABS(Audit[[#This Row],[Canceled Differences]]), Audit[[#This Row],[Max Differences]]), 0)</f>
        <v>0</v>
      </c>
      <c r="AT489" s="17">
        <f>'Sampling Data'!AB489</f>
        <v>7.1295196061789169E-3</v>
      </c>
      <c r="AU489" s="17">
        <f>IF(
      SUM(Audit[[#This Row],[Audit Losing Candidate]:[Audit Candidate 12]])
      &lt;&gt;0,
      (Audit[[#This Row],[Winning Candidate]]-Audit[[#This Row],[Losing Candidate]]-(Audit[[#This Row],[Audit Winning Candidate]]-Audit[[#This Row],[Audit Losing Candidate]]))/(Audit[[#Totals],[Winning Candidate]]-Audit[[#Totals],[Losing Candidate]]),
      0
)</f>
        <v>0</v>
      </c>
      <c r="AV4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9" s="17">
        <f>IF(Audit[[#This Row],[Max Relative Error (ep)]] = 0, 0, Audit[[#This Row],[Max Relative Error (ep)]]/Audit[[#This Row],[Error Bound (up) - Max. possible relative overstatement]])</f>
        <v>0</v>
      </c>
      <c r="BH4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89" s="17">
        <f t="shared" si="8"/>
        <v>1</v>
      </c>
      <c r="BJ489" s="17">
        <f>PRODUCT($BI$5:BI489)</f>
        <v>0.46283459046185416</v>
      </c>
      <c r="BK489" s="19">
        <f>1 - Audit[[#This Row],[K-M P Value]]</f>
        <v>0.53716540953814584</v>
      </c>
      <c r="BL489" s="17" t="str">
        <f>IF(Audit[[#This Row],[K-M P Value]]&gt;1-'General Info'!$B$12,"Continue", "Stop")</f>
        <v>Continue</v>
      </c>
      <c r="BM489" s="22" t="b">
        <f>IF(Audit[[#This Row],[Status - Continue or stop audit]] = "Continue", TRUE, IF(BL488 = "Continue", TRUE, FALSE))</f>
        <v>1</v>
      </c>
      <c r="BN489" s="22"/>
    </row>
    <row r="490" spans="1:66" ht="15" hidden="1" customHeight="1" x14ac:dyDescent="0.35">
      <c r="A490" s="17" t="str">
        <f>'Sampling Data'!AI490</f>
        <v/>
      </c>
      <c r="B490" s="17" t="str">
        <f>'Sampling Data'!A490</f>
        <v>8302 MIAMI B   (AV)</v>
      </c>
      <c r="C490" s="17">
        <f>'Sampling Data'!B490</f>
        <v>94</v>
      </c>
      <c r="D490" s="17">
        <f>'Sampling Data'!C490</f>
        <v>426</v>
      </c>
      <c r="E490" s="18">
        <f>'Sampling Data'!D490</f>
        <v>0</v>
      </c>
      <c r="F490" s="18">
        <f>'Sampling Data'!E490</f>
        <v>0</v>
      </c>
      <c r="G490" s="18">
        <f>'Sampling Data'!F490</f>
        <v>0</v>
      </c>
      <c r="H490" s="18">
        <f>'Sampling Data'!G490</f>
        <v>0</v>
      </c>
      <c r="I490" s="18">
        <f>'Sampling Data'!H490</f>
        <v>0</v>
      </c>
      <c r="J490" s="18">
        <f>'Sampling Data'!I490</f>
        <v>0</v>
      </c>
      <c r="K490" s="18">
        <f>'Sampling Data'!J490</f>
        <v>0</v>
      </c>
      <c r="L490" s="18">
        <f>'Sampling Data'!K490</f>
        <v>0</v>
      </c>
      <c r="M490" s="18">
        <f>'Sampling Data'!L490</f>
        <v>0</v>
      </c>
      <c r="N490" s="18">
        <f>'Sampling Data'!M490</f>
        <v>0</v>
      </c>
      <c r="O490" s="17">
        <f>'Sampling Data'!N490</f>
        <v>0</v>
      </c>
      <c r="P490" s="17">
        <f>'Sampling Data'!O490</f>
        <v>23</v>
      </c>
      <c r="Q490" s="17">
        <f>'Sampling Data'!P490</f>
        <v>543</v>
      </c>
      <c r="R490" s="17">
        <f>'Sampling Data'!AJ490</f>
        <v>0</v>
      </c>
      <c r="S490" s="111"/>
      <c r="T490" s="111"/>
      <c r="U490" s="112"/>
      <c r="V490" s="112"/>
      <c r="W490" s="111"/>
      <c r="X490" s="111"/>
      <c r="Y490" s="111"/>
      <c r="Z490" s="111"/>
      <c r="AA490" s="14"/>
      <c r="AB490" s="14"/>
      <c r="AC490" s="14"/>
      <c r="AD490" s="14"/>
      <c r="AE490" s="113" t="str">
        <f>IF(NOT(ISBLANK(Audit[[#This Row],[Audit Winning Candidate]])), Audit[[#This Row],[Audit Winning Candidate]]-Audit[[#This Row],[Winning Candidate]], "")</f>
        <v/>
      </c>
      <c r="AF490" s="17" t="str">
        <f>IF(NOT(ISBLANK(Audit[[#This Row],[Audit Losing Candidate]])), Audit[[#This Row],[Audit Losing Candidate]]-Audit[[#This Row],[Losing Candidate]], "")</f>
        <v/>
      </c>
      <c r="AG490" s="17" t="str">
        <f>IF(NOT(ISBLANK(Audit[[#This Row],[Audit Candidate 3]])), Audit[[#This Row],[Audit Candidate 3]]-Audit[[#This Row],[Candidate 3]], "")</f>
        <v/>
      </c>
      <c r="AH490" s="17" t="str">
        <f>IF(NOT(ISBLANK(Audit[[#This Row],[Audit Candidate 4]])),Audit[[#This Row],[Audit Candidate 4]]-Audit[[#This Row],[Candidate 4]], "")</f>
        <v/>
      </c>
      <c r="AI490" s="17" t="str">
        <f>IF(NOT(ISBLANK(Audit[[#This Row],[Audit Candidate 5]])), Audit[[#This Row],[Audit Candidate 5]]-Audit[[#This Row],[Candidate 5]], "")</f>
        <v/>
      </c>
      <c r="AJ490" s="17" t="str">
        <f>IF(NOT(ISBLANK(Audit[[#This Row],[Audit Candidate 6]])), Audit[[#This Row],[Audit Candidate 6]]-Audit[[#This Row],[Candidate 6]], "")</f>
        <v/>
      </c>
      <c r="AK490" s="17" t="str">
        <f>IF(NOT(ISBLANK(Audit[[#This Row],[Audit Candidate 7]])), Audit[[#This Row],[Audit Candidate 7]]-Audit[[#This Row],[Candidate 7]], "")</f>
        <v/>
      </c>
      <c r="AL490" s="17" t="str">
        <f>IF(NOT(ISBLANK(Audit[[#This Row],[Audit Candidate 8]])), Audit[[#This Row],[Audit Candidate 8]]-Audit[[#This Row],[Candidate 8]], "")</f>
        <v/>
      </c>
      <c r="AM490" s="17" t="str">
        <f>IF(NOT(ISBLANK(Audit[[#This Row],[Audit Candidate 9]])), Audit[[#This Row],[Audit Candidate 9]]-Audit[[#This Row],[Candidate 9]], "")</f>
        <v/>
      </c>
      <c r="AN490" s="17" t="str">
        <f>IF(NOT(ISBLANK(Audit[[#This Row],[Audit Candidate 10]])), Audit[[#This Row],[Audit Candidate 10]]-Audit[[#This Row],[Candidate 10]], "")</f>
        <v/>
      </c>
      <c r="AO490" s="17" t="str">
        <f>IF(NOT(ISBLANK(Audit[[#This Row],[Audit Candidate 11]])), Audit[[#This Row],[Audit Candidate 11]]-Audit[[#This Row],[Candidate 11]], "")</f>
        <v/>
      </c>
      <c r="AP490" s="17" t="str">
        <f>IF(NOT(ISBLANK(Audit[[#This Row],[Audit Candidate 12]])), Audit[[#This Row],[Audit Candidate 12]]-Audit[[#This Row],[Candidate 12]], "")</f>
        <v/>
      </c>
      <c r="AQ490" s="17">
        <f>SUMIF(Audit[[#This Row],[Difference Winner]:[Difference Candidate 12]], "&gt;0")</f>
        <v>0</v>
      </c>
      <c r="AR490" s="17">
        <f>SUM(Audit[[#This Row],[Difference Winner]:[Difference Candidate 12]])</f>
        <v>0</v>
      </c>
      <c r="AS490" s="17">
        <f>IF(Audit[[#This Row],[Times p Drawn - With Replacement]]&gt;0, IF(Audit[[#This Row],[Canceled Differences]]&lt;0, Audit[[#This Row],[Max Differences]]+ABS(Audit[[#This Row],[Canceled Differences]]), Audit[[#This Row],[Max Differences]]), 0)</f>
        <v>0</v>
      </c>
      <c r="AT490" s="17">
        <f>'Sampling Data'!AB490</f>
        <v>8.9543371244270916E-3</v>
      </c>
      <c r="AU490" s="17">
        <f>IF(
      SUM(Audit[[#This Row],[Audit Losing Candidate]:[Audit Candidate 12]])
      &lt;&gt;0,
      (Audit[[#This Row],[Winning Candidate]]-Audit[[#This Row],[Losing Candidate]]-(Audit[[#This Row],[Audit Winning Candidate]]-Audit[[#This Row],[Audit Losing Candidate]]))/(Audit[[#Totals],[Winning Candidate]]-Audit[[#Totals],[Losing Candidate]]),
      0
)</f>
        <v>0</v>
      </c>
      <c r="AV4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0" s="17">
        <f>IF(Audit[[#This Row],[Max Relative Error (ep)]] = 0, 0, Audit[[#This Row],[Max Relative Error (ep)]]/Audit[[#This Row],[Error Bound (up) - Max. possible relative overstatement]])</f>
        <v>0</v>
      </c>
      <c r="BH4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90" s="17">
        <f t="shared" si="8"/>
        <v>1</v>
      </c>
      <c r="BJ490" s="17">
        <f>PRODUCT($BI$5:BI490)</f>
        <v>0.46283459046185416</v>
      </c>
      <c r="BK490" s="19">
        <f>1 - Audit[[#This Row],[K-M P Value]]</f>
        <v>0.53716540953814584</v>
      </c>
      <c r="BL490" s="17" t="str">
        <f>IF(Audit[[#This Row],[K-M P Value]]&gt;1-'General Info'!$B$12,"Continue", "Stop")</f>
        <v>Continue</v>
      </c>
      <c r="BM490" s="22" t="b">
        <f>IF(Audit[[#This Row],[Status - Continue or stop audit]] = "Continue", TRUE, IF(BL489 = "Continue", TRUE, FALSE))</f>
        <v>1</v>
      </c>
      <c r="BN490" s="22"/>
    </row>
    <row r="491" spans="1:66" ht="15" hidden="1" customHeight="1" x14ac:dyDescent="0.35">
      <c r="A491" s="17" t="str">
        <f>'Sampling Data'!AI491</f>
        <v/>
      </c>
      <c r="B491" s="17" t="str">
        <f>'Sampling Data'!A491</f>
        <v>8303 MIAMI C   (AV)</v>
      </c>
      <c r="C491" s="17">
        <f>'Sampling Data'!B491</f>
        <v>83</v>
      </c>
      <c r="D491" s="17">
        <f>'Sampling Data'!C491</f>
        <v>255</v>
      </c>
      <c r="E491" s="18">
        <f>'Sampling Data'!D491</f>
        <v>0</v>
      </c>
      <c r="F491" s="18">
        <f>'Sampling Data'!E491</f>
        <v>0</v>
      </c>
      <c r="G491" s="18">
        <f>'Sampling Data'!F491</f>
        <v>0</v>
      </c>
      <c r="H491" s="18">
        <f>'Sampling Data'!G491</f>
        <v>0</v>
      </c>
      <c r="I491" s="18">
        <f>'Sampling Data'!H491</f>
        <v>0</v>
      </c>
      <c r="J491" s="18">
        <f>'Sampling Data'!I491</f>
        <v>0</v>
      </c>
      <c r="K491" s="18">
        <f>'Sampling Data'!J491</f>
        <v>0</v>
      </c>
      <c r="L491" s="18">
        <f>'Sampling Data'!K491</f>
        <v>0</v>
      </c>
      <c r="M491" s="18">
        <f>'Sampling Data'!L491</f>
        <v>0</v>
      </c>
      <c r="N491" s="18">
        <f>'Sampling Data'!M491</f>
        <v>0</v>
      </c>
      <c r="O491" s="17">
        <f>'Sampling Data'!N491</f>
        <v>0</v>
      </c>
      <c r="P491" s="17">
        <f>'Sampling Data'!O491</f>
        <v>18</v>
      </c>
      <c r="Q491" s="17">
        <f>'Sampling Data'!P491</f>
        <v>356</v>
      </c>
      <c r="R491" s="17">
        <f>'Sampling Data'!AJ491</f>
        <v>0</v>
      </c>
      <c r="S491" s="111"/>
      <c r="T491" s="111"/>
      <c r="U491" s="112"/>
      <c r="V491" s="112"/>
      <c r="W491" s="111"/>
      <c r="X491" s="111"/>
      <c r="Y491" s="111"/>
      <c r="Z491" s="111"/>
      <c r="AA491" s="14"/>
      <c r="AB491" s="14"/>
      <c r="AC491" s="14"/>
      <c r="AD491" s="14"/>
      <c r="AE491" s="113" t="str">
        <f>IF(NOT(ISBLANK(Audit[[#This Row],[Audit Winning Candidate]])), Audit[[#This Row],[Audit Winning Candidate]]-Audit[[#This Row],[Winning Candidate]], "")</f>
        <v/>
      </c>
      <c r="AF491" s="17" t="str">
        <f>IF(NOT(ISBLANK(Audit[[#This Row],[Audit Losing Candidate]])), Audit[[#This Row],[Audit Losing Candidate]]-Audit[[#This Row],[Losing Candidate]], "")</f>
        <v/>
      </c>
      <c r="AG491" s="17" t="str">
        <f>IF(NOT(ISBLANK(Audit[[#This Row],[Audit Candidate 3]])), Audit[[#This Row],[Audit Candidate 3]]-Audit[[#This Row],[Candidate 3]], "")</f>
        <v/>
      </c>
      <c r="AH491" s="17" t="str">
        <f>IF(NOT(ISBLANK(Audit[[#This Row],[Audit Candidate 4]])),Audit[[#This Row],[Audit Candidate 4]]-Audit[[#This Row],[Candidate 4]], "")</f>
        <v/>
      </c>
      <c r="AI491" s="17" t="str">
        <f>IF(NOT(ISBLANK(Audit[[#This Row],[Audit Candidate 5]])), Audit[[#This Row],[Audit Candidate 5]]-Audit[[#This Row],[Candidate 5]], "")</f>
        <v/>
      </c>
      <c r="AJ491" s="17" t="str">
        <f>IF(NOT(ISBLANK(Audit[[#This Row],[Audit Candidate 6]])), Audit[[#This Row],[Audit Candidate 6]]-Audit[[#This Row],[Candidate 6]], "")</f>
        <v/>
      </c>
      <c r="AK491" s="17" t="str">
        <f>IF(NOT(ISBLANK(Audit[[#This Row],[Audit Candidate 7]])), Audit[[#This Row],[Audit Candidate 7]]-Audit[[#This Row],[Candidate 7]], "")</f>
        <v/>
      </c>
      <c r="AL491" s="17" t="str">
        <f>IF(NOT(ISBLANK(Audit[[#This Row],[Audit Candidate 8]])), Audit[[#This Row],[Audit Candidate 8]]-Audit[[#This Row],[Candidate 8]], "")</f>
        <v/>
      </c>
      <c r="AM491" s="17" t="str">
        <f>IF(NOT(ISBLANK(Audit[[#This Row],[Audit Candidate 9]])), Audit[[#This Row],[Audit Candidate 9]]-Audit[[#This Row],[Candidate 9]], "")</f>
        <v/>
      </c>
      <c r="AN491" s="17" t="str">
        <f>IF(NOT(ISBLANK(Audit[[#This Row],[Audit Candidate 10]])), Audit[[#This Row],[Audit Candidate 10]]-Audit[[#This Row],[Candidate 10]], "")</f>
        <v/>
      </c>
      <c r="AO491" s="17" t="str">
        <f>IF(NOT(ISBLANK(Audit[[#This Row],[Audit Candidate 11]])), Audit[[#This Row],[Audit Candidate 11]]-Audit[[#This Row],[Candidate 11]], "")</f>
        <v/>
      </c>
      <c r="AP491" s="17" t="str">
        <f>IF(NOT(ISBLANK(Audit[[#This Row],[Audit Candidate 12]])), Audit[[#This Row],[Audit Candidate 12]]-Audit[[#This Row],[Candidate 12]], "")</f>
        <v/>
      </c>
      <c r="AQ491" s="17">
        <f>SUMIF(Audit[[#This Row],[Difference Winner]:[Difference Candidate 12]], "&gt;0")</f>
        <v>0</v>
      </c>
      <c r="AR491" s="17">
        <f>SUM(Audit[[#This Row],[Difference Winner]:[Difference Candidate 12]])</f>
        <v>0</v>
      </c>
      <c r="AS491" s="17">
        <f>IF(Audit[[#This Row],[Times p Drawn - With Replacement]]&gt;0, IF(Audit[[#This Row],[Canceled Differences]]&lt;0, Audit[[#This Row],[Max Differences]]+ABS(Audit[[#This Row],[Canceled Differences]]), Audit[[#This Row],[Max Differences]]), 0)</f>
        <v>0</v>
      </c>
      <c r="AT491" s="17">
        <f>'Sampling Data'!AB491</f>
        <v>7.8085214734340521E-3</v>
      </c>
      <c r="AU491" s="17">
        <f>IF(
      SUM(Audit[[#This Row],[Audit Losing Candidate]:[Audit Candidate 12]])
      &lt;&gt;0,
      (Audit[[#This Row],[Winning Candidate]]-Audit[[#This Row],[Losing Candidate]]-(Audit[[#This Row],[Audit Winning Candidate]]-Audit[[#This Row],[Audit Losing Candidate]]))/(Audit[[#Totals],[Winning Candidate]]-Audit[[#Totals],[Losing Candidate]]),
      0
)</f>
        <v>0</v>
      </c>
      <c r="AV4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1" s="17">
        <f>IF(Audit[[#This Row],[Max Relative Error (ep)]] = 0, 0, Audit[[#This Row],[Max Relative Error (ep)]]/Audit[[#This Row],[Error Bound (up) - Max. possible relative overstatement]])</f>
        <v>0</v>
      </c>
      <c r="BH4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91" s="17">
        <f t="shared" si="8"/>
        <v>1</v>
      </c>
      <c r="BJ491" s="17">
        <f>PRODUCT($BI$5:BI491)</f>
        <v>0.46283459046185416</v>
      </c>
      <c r="BK491" s="19">
        <f>1 - Audit[[#This Row],[K-M P Value]]</f>
        <v>0.53716540953814584</v>
      </c>
      <c r="BL491" s="17" t="str">
        <f>IF(Audit[[#This Row],[K-M P Value]]&gt;1-'General Info'!$B$12,"Continue", "Stop")</f>
        <v>Continue</v>
      </c>
      <c r="BM491" s="22" t="b">
        <f>IF(Audit[[#This Row],[Status - Continue or stop audit]] = "Continue", TRUE, IF(BL490 = "Continue", TRUE, FALSE))</f>
        <v>1</v>
      </c>
      <c r="BN491" s="22"/>
    </row>
    <row r="492" spans="1:66" ht="15" hidden="1" customHeight="1" x14ac:dyDescent="0.35">
      <c r="A492" s="17" t="str">
        <f>'Sampling Data'!AI492</f>
        <v/>
      </c>
      <c r="B492" s="17" t="str">
        <f>'Sampling Data'!A492</f>
        <v>8304 MIAMI D   (AV)</v>
      </c>
      <c r="C492" s="17">
        <f>'Sampling Data'!B492</f>
        <v>75</v>
      </c>
      <c r="D492" s="17">
        <f>'Sampling Data'!C492</f>
        <v>327</v>
      </c>
      <c r="E492" s="18">
        <f>'Sampling Data'!D492</f>
        <v>0</v>
      </c>
      <c r="F492" s="18">
        <f>'Sampling Data'!E492</f>
        <v>0</v>
      </c>
      <c r="G492" s="18">
        <f>'Sampling Data'!F492</f>
        <v>0</v>
      </c>
      <c r="H492" s="18">
        <f>'Sampling Data'!G492</f>
        <v>0</v>
      </c>
      <c r="I492" s="18">
        <f>'Sampling Data'!H492</f>
        <v>0</v>
      </c>
      <c r="J492" s="18">
        <f>'Sampling Data'!I492</f>
        <v>0</v>
      </c>
      <c r="K492" s="18">
        <f>'Sampling Data'!J492</f>
        <v>0</v>
      </c>
      <c r="L492" s="18">
        <f>'Sampling Data'!K492</f>
        <v>0</v>
      </c>
      <c r="M492" s="18">
        <f>'Sampling Data'!L492</f>
        <v>0</v>
      </c>
      <c r="N492" s="18">
        <f>'Sampling Data'!M492</f>
        <v>0</v>
      </c>
      <c r="O492" s="17">
        <f>'Sampling Data'!N492</f>
        <v>0</v>
      </c>
      <c r="P492" s="17">
        <f>'Sampling Data'!O492</f>
        <v>24</v>
      </c>
      <c r="Q492" s="17">
        <f>'Sampling Data'!P492</f>
        <v>426</v>
      </c>
      <c r="R492" s="17">
        <f>'Sampling Data'!AJ492</f>
        <v>0</v>
      </c>
      <c r="S492" s="111"/>
      <c r="T492" s="111"/>
      <c r="U492" s="112"/>
      <c r="V492" s="112"/>
      <c r="W492" s="111"/>
      <c r="X492" s="111"/>
      <c r="Y492" s="111"/>
      <c r="Z492" s="111"/>
      <c r="AA492" s="14"/>
      <c r="AB492" s="14"/>
      <c r="AC492" s="14"/>
      <c r="AD492" s="14"/>
      <c r="AE492" s="113" t="str">
        <f>IF(NOT(ISBLANK(Audit[[#This Row],[Audit Winning Candidate]])), Audit[[#This Row],[Audit Winning Candidate]]-Audit[[#This Row],[Winning Candidate]], "")</f>
        <v/>
      </c>
      <c r="AF492" s="17" t="str">
        <f>IF(NOT(ISBLANK(Audit[[#This Row],[Audit Losing Candidate]])), Audit[[#This Row],[Audit Losing Candidate]]-Audit[[#This Row],[Losing Candidate]], "")</f>
        <v/>
      </c>
      <c r="AG492" s="17" t="str">
        <f>IF(NOT(ISBLANK(Audit[[#This Row],[Audit Candidate 3]])), Audit[[#This Row],[Audit Candidate 3]]-Audit[[#This Row],[Candidate 3]], "")</f>
        <v/>
      </c>
      <c r="AH492" s="17" t="str">
        <f>IF(NOT(ISBLANK(Audit[[#This Row],[Audit Candidate 4]])),Audit[[#This Row],[Audit Candidate 4]]-Audit[[#This Row],[Candidate 4]], "")</f>
        <v/>
      </c>
      <c r="AI492" s="17" t="str">
        <f>IF(NOT(ISBLANK(Audit[[#This Row],[Audit Candidate 5]])), Audit[[#This Row],[Audit Candidate 5]]-Audit[[#This Row],[Candidate 5]], "")</f>
        <v/>
      </c>
      <c r="AJ492" s="17" t="str">
        <f>IF(NOT(ISBLANK(Audit[[#This Row],[Audit Candidate 6]])), Audit[[#This Row],[Audit Candidate 6]]-Audit[[#This Row],[Candidate 6]], "")</f>
        <v/>
      </c>
      <c r="AK492" s="17" t="str">
        <f>IF(NOT(ISBLANK(Audit[[#This Row],[Audit Candidate 7]])), Audit[[#This Row],[Audit Candidate 7]]-Audit[[#This Row],[Candidate 7]], "")</f>
        <v/>
      </c>
      <c r="AL492" s="17" t="str">
        <f>IF(NOT(ISBLANK(Audit[[#This Row],[Audit Candidate 8]])), Audit[[#This Row],[Audit Candidate 8]]-Audit[[#This Row],[Candidate 8]], "")</f>
        <v/>
      </c>
      <c r="AM492" s="17" t="str">
        <f>IF(NOT(ISBLANK(Audit[[#This Row],[Audit Candidate 9]])), Audit[[#This Row],[Audit Candidate 9]]-Audit[[#This Row],[Candidate 9]], "")</f>
        <v/>
      </c>
      <c r="AN492" s="17" t="str">
        <f>IF(NOT(ISBLANK(Audit[[#This Row],[Audit Candidate 10]])), Audit[[#This Row],[Audit Candidate 10]]-Audit[[#This Row],[Candidate 10]], "")</f>
        <v/>
      </c>
      <c r="AO492" s="17" t="str">
        <f>IF(NOT(ISBLANK(Audit[[#This Row],[Audit Candidate 11]])), Audit[[#This Row],[Audit Candidate 11]]-Audit[[#This Row],[Candidate 11]], "")</f>
        <v/>
      </c>
      <c r="AP492" s="17" t="str">
        <f>IF(NOT(ISBLANK(Audit[[#This Row],[Audit Candidate 12]])), Audit[[#This Row],[Audit Candidate 12]]-Audit[[#This Row],[Candidate 12]], "")</f>
        <v/>
      </c>
      <c r="AQ492" s="17">
        <f>SUMIF(Audit[[#This Row],[Difference Winner]:[Difference Candidate 12]], "&gt;0")</f>
        <v>0</v>
      </c>
      <c r="AR492" s="17">
        <f>SUM(Audit[[#This Row],[Difference Winner]:[Difference Candidate 12]])</f>
        <v>0</v>
      </c>
      <c r="AS492" s="17">
        <f>IF(Audit[[#This Row],[Times p Drawn - With Replacement]]&gt;0, IF(Audit[[#This Row],[Canceled Differences]]&lt;0, Audit[[#This Row],[Max Differences]]+ABS(Audit[[#This Row],[Canceled Differences]]), Audit[[#This Row],[Max Differences]]), 0)</f>
        <v>0</v>
      </c>
      <c r="AT492" s="17">
        <f>'Sampling Data'!AB492</f>
        <v>7.3841453063995923E-3</v>
      </c>
      <c r="AU492" s="17">
        <f>IF(
      SUM(Audit[[#This Row],[Audit Losing Candidate]:[Audit Candidate 12]])
      &lt;&gt;0,
      (Audit[[#This Row],[Winning Candidate]]-Audit[[#This Row],[Losing Candidate]]-(Audit[[#This Row],[Audit Winning Candidate]]-Audit[[#This Row],[Audit Losing Candidate]]))/(Audit[[#Totals],[Winning Candidate]]-Audit[[#Totals],[Losing Candidate]]),
      0
)</f>
        <v>0</v>
      </c>
      <c r="AV4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2" s="17">
        <f>IF(Audit[[#This Row],[Max Relative Error (ep)]] = 0, 0, Audit[[#This Row],[Max Relative Error (ep)]]/Audit[[#This Row],[Error Bound (up) - Max. possible relative overstatement]])</f>
        <v>0</v>
      </c>
      <c r="BH4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92" s="17">
        <f t="shared" si="8"/>
        <v>1</v>
      </c>
      <c r="BJ492" s="17">
        <f>PRODUCT($BI$5:BI492)</f>
        <v>0.46283459046185416</v>
      </c>
      <c r="BK492" s="19">
        <f>1 - Audit[[#This Row],[K-M P Value]]</f>
        <v>0.53716540953814584</v>
      </c>
      <c r="BL492" s="17" t="str">
        <f>IF(Audit[[#This Row],[K-M P Value]]&gt;1-'General Info'!$B$12,"Continue", "Stop")</f>
        <v>Continue</v>
      </c>
      <c r="BM492" s="22" t="b">
        <f>IF(Audit[[#This Row],[Status - Continue or stop audit]] = "Continue", TRUE, IF(BL491 = "Continue", TRUE, FALSE))</f>
        <v>1</v>
      </c>
      <c r="BN492" s="22"/>
    </row>
    <row r="493" spans="1:66" ht="15" hidden="1" customHeight="1" x14ac:dyDescent="0.35">
      <c r="A493" s="17" t="str">
        <f>'Sampling Data'!AI493</f>
        <v/>
      </c>
      <c r="B493" s="17" t="str">
        <f>'Sampling Data'!A493</f>
        <v>8305 MIAMI E   (AV)</v>
      </c>
      <c r="C493" s="17">
        <f>'Sampling Data'!B493</f>
        <v>56</v>
      </c>
      <c r="D493" s="17">
        <f>'Sampling Data'!C493</f>
        <v>222</v>
      </c>
      <c r="E493" s="18">
        <f>'Sampling Data'!D493</f>
        <v>0</v>
      </c>
      <c r="F493" s="18">
        <f>'Sampling Data'!E493</f>
        <v>0</v>
      </c>
      <c r="G493" s="18">
        <f>'Sampling Data'!F493</f>
        <v>0</v>
      </c>
      <c r="H493" s="18">
        <f>'Sampling Data'!G493</f>
        <v>0</v>
      </c>
      <c r="I493" s="18">
        <f>'Sampling Data'!H493</f>
        <v>0</v>
      </c>
      <c r="J493" s="18">
        <f>'Sampling Data'!I493</f>
        <v>0</v>
      </c>
      <c r="K493" s="18">
        <f>'Sampling Data'!J493</f>
        <v>0</v>
      </c>
      <c r="L493" s="18">
        <f>'Sampling Data'!K493</f>
        <v>0</v>
      </c>
      <c r="M493" s="18">
        <f>'Sampling Data'!L493</f>
        <v>0</v>
      </c>
      <c r="N493" s="18">
        <f>'Sampling Data'!M493</f>
        <v>0</v>
      </c>
      <c r="O493" s="17">
        <f>'Sampling Data'!N493</f>
        <v>0</v>
      </c>
      <c r="P493" s="17">
        <f>'Sampling Data'!O493</f>
        <v>20</v>
      </c>
      <c r="Q493" s="17">
        <f>'Sampling Data'!P493</f>
        <v>298</v>
      </c>
      <c r="R493" s="17">
        <f>'Sampling Data'!AJ493</f>
        <v>0</v>
      </c>
      <c r="S493" s="111"/>
      <c r="T493" s="111"/>
      <c r="U493" s="112"/>
      <c r="V493" s="112"/>
      <c r="W493" s="111"/>
      <c r="X493" s="111"/>
      <c r="Y493" s="111"/>
      <c r="Z493" s="111"/>
      <c r="AA493" s="14"/>
      <c r="AB493" s="14"/>
      <c r="AC493" s="14"/>
      <c r="AD493" s="14"/>
      <c r="AE493" s="113" t="str">
        <f>IF(NOT(ISBLANK(Audit[[#This Row],[Audit Winning Candidate]])), Audit[[#This Row],[Audit Winning Candidate]]-Audit[[#This Row],[Winning Candidate]], "")</f>
        <v/>
      </c>
      <c r="AF493" s="17" t="str">
        <f>IF(NOT(ISBLANK(Audit[[#This Row],[Audit Losing Candidate]])), Audit[[#This Row],[Audit Losing Candidate]]-Audit[[#This Row],[Losing Candidate]], "")</f>
        <v/>
      </c>
      <c r="AG493" s="17" t="str">
        <f>IF(NOT(ISBLANK(Audit[[#This Row],[Audit Candidate 3]])), Audit[[#This Row],[Audit Candidate 3]]-Audit[[#This Row],[Candidate 3]], "")</f>
        <v/>
      </c>
      <c r="AH493" s="17" t="str">
        <f>IF(NOT(ISBLANK(Audit[[#This Row],[Audit Candidate 4]])),Audit[[#This Row],[Audit Candidate 4]]-Audit[[#This Row],[Candidate 4]], "")</f>
        <v/>
      </c>
      <c r="AI493" s="17" t="str">
        <f>IF(NOT(ISBLANK(Audit[[#This Row],[Audit Candidate 5]])), Audit[[#This Row],[Audit Candidate 5]]-Audit[[#This Row],[Candidate 5]], "")</f>
        <v/>
      </c>
      <c r="AJ493" s="17" t="str">
        <f>IF(NOT(ISBLANK(Audit[[#This Row],[Audit Candidate 6]])), Audit[[#This Row],[Audit Candidate 6]]-Audit[[#This Row],[Candidate 6]], "")</f>
        <v/>
      </c>
      <c r="AK493" s="17" t="str">
        <f>IF(NOT(ISBLANK(Audit[[#This Row],[Audit Candidate 7]])), Audit[[#This Row],[Audit Candidate 7]]-Audit[[#This Row],[Candidate 7]], "")</f>
        <v/>
      </c>
      <c r="AL493" s="17" t="str">
        <f>IF(NOT(ISBLANK(Audit[[#This Row],[Audit Candidate 8]])), Audit[[#This Row],[Audit Candidate 8]]-Audit[[#This Row],[Candidate 8]], "")</f>
        <v/>
      </c>
      <c r="AM493" s="17" t="str">
        <f>IF(NOT(ISBLANK(Audit[[#This Row],[Audit Candidate 9]])), Audit[[#This Row],[Audit Candidate 9]]-Audit[[#This Row],[Candidate 9]], "")</f>
        <v/>
      </c>
      <c r="AN493" s="17" t="str">
        <f>IF(NOT(ISBLANK(Audit[[#This Row],[Audit Candidate 10]])), Audit[[#This Row],[Audit Candidate 10]]-Audit[[#This Row],[Candidate 10]], "")</f>
        <v/>
      </c>
      <c r="AO493" s="17" t="str">
        <f>IF(NOT(ISBLANK(Audit[[#This Row],[Audit Candidate 11]])), Audit[[#This Row],[Audit Candidate 11]]-Audit[[#This Row],[Candidate 11]], "")</f>
        <v/>
      </c>
      <c r="AP493" s="17" t="str">
        <f>IF(NOT(ISBLANK(Audit[[#This Row],[Audit Candidate 12]])), Audit[[#This Row],[Audit Candidate 12]]-Audit[[#This Row],[Candidate 12]], "")</f>
        <v/>
      </c>
      <c r="AQ493" s="17">
        <f>SUMIF(Audit[[#This Row],[Difference Winner]:[Difference Candidate 12]], "&gt;0")</f>
        <v>0</v>
      </c>
      <c r="AR493" s="17">
        <f>SUM(Audit[[#This Row],[Difference Winner]:[Difference Candidate 12]])</f>
        <v>0</v>
      </c>
      <c r="AS493" s="17">
        <f>IF(Audit[[#This Row],[Times p Drawn - With Replacement]]&gt;0, IF(Audit[[#This Row],[Canceled Differences]]&lt;0, Audit[[#This Row],[Max Differences]]+ABS(Audit[[#This Row],[Canceled Differences]]), Audit[[#This Row],[Max Differences]]), 0)</f>
        <v>0</v>
      </c>
      <c r="AT493" s="17">
        <f>'Sampling Data'!AB493</f>
        <v>5.601765404854863E-3</v>
      </c>
      <c r="AU493" s="17">
        <f>IF(
      SUM(Audit[[#This Row],[Audit Losing Candidate]:[Audit Candidate 12]])
      &lt;&gt;0,
      (Audit[[#This Row],[Winning Candidate]]-Audit[[#This Row],[Losing Candidate]]-(Audit[[#This Row],[Audit Winning Candidate]]-Audit[[#This Row],[Audit Losing Candidate]]))/(Audit[[#Totals],[Winning Candidate]]-Audit[[#Totals],[Losing Candidate]]),
      0
)</f>
        <v>0</v>
      </c>
      <c r="AV4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3" s="17">
        <f>IF(Audit[[#This Row],[Max Relative Error (ep)]] = 0, 0, Audit[[#This Row],[Max Relative Error (ep)]]/Audit[[#This Row],[Error Bound (up) - Max. possible relative overstatement]])</f>
        <v>0</v>
      </c>
      <c r="BH4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93" s="17">
        <f t="shared" si="8"/>
        <v>1</v>
      </c>
      <c r="BJ493" s="17">
        <f>PRODUCT($BI$5:BI493)</f>
        <v>0.46283459046185416</v>
      </c>
      <c r="BK493" s="19">
        <f>1 - Audit[[#This Row],[K-M P Value]]</f>
        <v>0.53716540953814584</v>
      </c>
      <c r="BL493" s="17" t="str">
        <f>IF(Audit[[#This Row],[K-M P Value]]&gt;1-'General Info'!$B$12,"Continue", "Stop")</f>
        <v>Continue</v>
      </c>
      <c r="BM493" s="22" t="b">
        <f>IF(Audit[[#This Row],[Status - Continue or stop audit]] = "Continue", TRUE, IF(BL492 = "Continue", TRUE, FALSE))</f>
        <v>1</v>
      </c>
      <c r="BN493" s="22"/>
    </row>
    <row r="494" spans="1:66" ht="15" hidden="1" customHeight="1" x14ac:dyDescent="0.35">
      <c r="A494" s="17" t="str">
        <f>'Sampling Data'!AI494</f>
        <v/>
      </c>
      <c r="B494" s="17" t="str">
        <f>'Sampling Data'!A494</f>
        <v>8306 MIAMI F   (AV)</v>
      </c>
      <c r="C494" s="17">
        <f>'Sampling Data'!B494</f>
        <v>35</v>
      </c>
      <c r="D494" s="17">
        <f>'Sampling Data'!C494</f>
        <v>88</v>
      </c>
      <c r="E494" s="18">
        <f>'Sampling Data'!D494</f>
        <v>0</v>
      </c>
      <c r="F494" s="18">
        <f>'Sampling Data'!E494</f>
        <v>0</v>
      </c>
      <c r="G494" s="18">
        <f>'Sampling Data'!F494</f>
        <v>0</v>
      </c>
      <c r="H494" s="18">
        <f>'Sampling Data'!G494</f>
        <v>0</v>
      </c>
      <c r="I494" s="18">
        <f>'Sampling Data'!H494</f>
        <v>0</v>
      </c>
      <c r="J494" s="18">
        <f>'Sampling Data'!I494</f>
        <v>0</v>
      </c>
      <c r="K494" s="18">
        <f>'Sampling Data'!J494</f>
        <v>0</v>
      </c>
      <c r="L494" s="18">
        <f>'Sampling Data'!K494</f>
        <v>0</v>
      </c>
      <c r="M494" s="18">
        <f>'Sampling Data'!L494</f>
        <v>0</v>
      </c>
      <c r="N494" s="18">
        <f>'Sampling Data'!M494</f>
        <v>0</v>
      </c>
      <c r="O494" s="17">
        <f>'Sampling Data'!N494</f>
        <v>0</v>
      </c>
      <c r="P494" s="17">
        <f>'Sampling Data'!O494</f>
        <v>1</v>
      </c>
      <c r="Q494" s="17">
        <f>'Sampling Data'!P494</f>
        <v>124</v>
      </c>
      <c r="R494" s="17">
        <f>'Sampling Data'!AJ494</f>
        <v>0</v>
      </c>
      <c r="S494" s="111"/>
      <c r="T494" s="111"/>
      <c r="U494" s="112"/>
      <c r="V494" s="112"/>
      <c r="W494" s="111"/>
      <c r="X494" s="111"/>
      <c r="Y494" s="111"/>
      <c r="Z494" s="111"/>
      <c r="AA494" s="14"/>
      <c r="AB494" s="14"/>
      <c r="AC494" s="14"/>
      <c r="AD494" s="14"/>
      <c r="AE494" s="113" t="str">
        <f>IF(NOT(ISBLANK(Audit[[#This Row],[Audit Winning Candidate]])), Audit[[#This Row],[Audit Winning Candidate]]-Audit[[#This Row],[Winning Candidate]], "")</f>
        <v/>
      </c>
      <c r="AF494" s="17" t="str">
        <f>IF(NOT(ISBLANK(Audit[[#This Row],[Audit Losing Candidate]])), Audit[[#This Row],[Audit Losing Candidate]]-Audit[[#This Row],[Losing Candidate]], "")</f>
        <v/>
      </c>
      <c r="AG494" s="17" t="str">
        <f>IF(NOT(ISBLANK(Audit[[#This Row],[Audit Candidate 3]])), Audit[[#This Row],[Audit Candidate 3]]-Audit[[#This Row],[Candidate 3]], "")</f>
        <v/>
      </c>
      <c r="AH494" s="17" t="str">
        <f>IF(NOT(ISBLANK(Audit[[#This Row],[Audit Candidate 4]])),Audit[[#This Row],[Audit Candidate 4]]-Audit[[#This Row],[Candidate 4]], "")</f>
        <v/>
      </c>
      <c r="AI494" s="17" t="str">
        <f>IF(NOT(ISBLANK(Audit[[#This Row],[Audit Candidate 5]])), Audit[[#This Row],[Audit Candidate 5]]-Audit[[#This Row],[Candidate 5]], "")</f>
        <v/>
      </c>
      <c r="AJ494" s="17" t="str">
        <f>IF(NOT(ISBLANK(Audit[[#This Row],[Audit Candidate 6]])), Audit[[#This Row],[Audit Candidate 6]]-Audit[[#This Row],[Candidate 6]], "")</f>
        <v/>
      </c>
      <c r="AK494" s="17" t="str">
        <f>IF(NOT(ISBLANK(Audit[[#This Row],[Audit Candidate 7]])), Audit[[#This Row],[Audit Candidate 7]]-Audit[[#This Row],[Candidate 7]], "")</f>
        <v/>
      </c>
      <c r="AL494" s="17" t="str">
        <f>IF(NOT(ISBLANK(Audit[[#This Row],[Audit Candidate 8]])), Audit[[#This Row],[Audit Candidate 8]]-Audit[[#This Row],[Candidate 8]], "")</f>
        <v/>
      </c>
      <c r="AM494" s="17" t="str">
        <f>IF(NOT(ISBLANK(Audit[[#This Row],[Audit Candidate 9]])), Audit[[#This Row],[Audit Candidate 9]]-Audit[[#This Row],[Candidate 9]], "")</f>
        <v/>
      </c>
      <c r="AN494" s="17" t="str">
        <f>IF(NOT(ISBLANK(Audit[[#This Row],[Audit Candidate 10]])), Audit[[#This Row],[Audit Candidate 10]]-Audit[[#This Row],[Candidate 10]], "")</f>
        <v/>
      </c>
      <c r="AO494" s="17" t="str">
        <f>IF(NOT(ISBLANK(Audit[[#This Row],[Audit Candidate 11]])), Audit[[#This Row],[Audit Candidate 11]]-Audit[[#This Row],[Candidate 11]], "")</f>
        <v/>
      </c>
      <c r="AP494" s="17" t="str">
        <f>IF(NOT(ISBLANK(Audit[[#This Row],[Audit Candidate 12]])), Audit[[#This Row],[Audit Candidate 12]]-Audit[[#This Row],[Candidate 12]], "")</f>
        <v/>
      </c>
      <c r="AQ494" s="17">
        <f>SUMIF(Audit[[#This Row],[Difference Winner]:[Difference Candidate 12]], "&gt;0")</f>
        <v>0</v>
      </c>
      <c r="AR494" s="17">
        <f>SUM(Audit[[#This Row],[Difference Winner]:[Difference Candidate 12]])</f>
        <v>0</v>
      </c>
      <c r="AS494" s="17">
        <f>IF(Audit[[#This Row],[Times p Drawn - With Replacement]]&gt;0, IF(Audit[[#This Row],[Canceled Differences]]&lt;0, Audit[[#This Row],[Max Differences]]+ABS(Audit[[#This Row],[Canceled Differences]]), Audit[[#This Row],[Max Differences]]), 0)</f>
        <v>0</v>
      </c>
      <c r="AT494" s="17">
        <f>'Sampling Data'!AB494</f>
        <v>3.0130707859446614E-3</v>
      </c>
      <c r="AU494" s="17">
        <f>IF(
      SUM(Audit[[#This Row],[Audit Losing Candidate]:[Audit Candidate 12]])
      &lt;&gt;0,
      (Audit[[#This Row],[Winning Candidate]]-Audit[[#This Row],[Losing Candidate]]-(Audit[[#This Row],[Audit Winning Candidate]]-Audit[[#This Row],[Audit Losing Candidate]]))/(Audit[[#Totals],[Winning Candidate]]-Audit[[#Totals],[Losing Candidate]]),
      0
)</f>
        <v>0</v>
      </c>
      <c r="AV4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4" s="17">
        <f>IF(Audit[[#This Row],[Max Relative Error (ep)]] = 0, 0, Audit[[#This Row],[Max Relative Error (ep)]]/Audit[[#This Row],[Error Bound (up) - Max. possible relative overstatement]])</f>
        <v>0</v>
      </c>
      <c r="BH4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94" s="17">
        <f t="shared" si="8"/>
        <v>1</v>
      </c>
      <c r="BJ494" s="17">
        <f>PRODUCT($BI$5:BI494)</f>
        <v>0.46283459046185416</v>
      </c>
      <c r="BK494" s="19">
        <f>1 - Audit[[#This Row],[K-M P Value]]</f>
        <v>0.53716540953814584</v>
      </c>
      <c r="BL494" s="17" t="str">
        <f>IF(Audit[[#This Row],[K-M P Value]]&gt;1-'General Info'!$B$12,"Continue", "Stop")</f>
        <v>Continue</v>
      </c>
      <c r="BM494" s="22" t="b">
        <f>IF(Audit[[#This Row],[Status - Continue or stop audit]] = "Continue", TRUE, IF(BL493 = "Continue", TRUE, FALSE))</f>
        <v>1</v>
      </c>
      <c r="BN494" s="22"/>
    </row>
    <row r="495" spans="1:66" ht="15" customHeight="1" x14ac:dyDescent="0.35">
      <c r="A495" s="17">
        <f>'Sampling Data'!AI495</f>
        <v>42</v>
      </c>
      <c r="B495" s="17" t="str">
        <f>'Sampling Data'!A495</f>
        <v>8307 MIAMI G   (AV)</v>
      </c>
      <c r="C495" s="17">
        <f>'Sampling Data'!B495</f>
        <v>87</v>
      </c>
      <c r="D495" s="17">
        <f>'Sampling Data'!C495</f>
        <v>281</v>
      </c>
      <c r="E495" s="18">
        <f>'Sampling Data'!D495</f>
        <v>0</v>
      </c>
      <c r="F495" s="18">
        <f>'Sampling Data'!E495</f>
        <v>0</v>
      </c>
      <c r="G495" s="18">
        <f>'Sampling Data'!F495</f>
        <v>0</v>
      </c>
      <c r="H495" s="18">
        <f>'Sampling Data'!G495</f>
        <v>0</v>
      </c>
      <c r="I495" s="18">
        <f>'Sampling Data'!H495</f>
        <v>0</v>
      </c>
      <c r="J495" s="18">
        <f>'Sampling Data'!I495</f>
        <v>0</v>
      </c>
      <c r="K495" s="18">
        <f>'Sampling Data'!J495</f>
        <v>0</v>
      </c>
      <c r="L495" s="18">
        <f>'Sampling Data'!K495</f>
        <v>0</v>
      </c>
      <c r="M495" s="18">
        <f>'Sampling Data'!L495</f>
        <v>0</v>
      </c>
      <c r="N495" s="18">
        <f>'Sampling Data'!M495</f>
        <v>0</v>
      </c>
      <c r="O495" s="17">
        <f>'Sampling Data'!N495</f>
        <v>0</v>
      </c>
      <c r="P495" s="17">
        <f>'Sampling Data'!O495</f>
        <v>24</v>
      </c>
      <c r="Q495" s="17">
        <f>'Sampling Data'!P495</f>
        <v>392</v>
      </c>
      <c r="R495" s="17">
        <f>'Sampling Data'!AJ495</f>
        <v>1</v>
      </c>
      <c r="S495" s="111">
        <v>87</v>
      </c>
      <c r="T495" s="111">
        <v>281</v>
      </c>
      <c r="U495" s="112"/>
      <c r="V495" s="112"/>
      <c r="W495" s="111"/>
      <c r="X495" s="111"/>
      <c r="Y495" s="111"/>
      <c r="Z495" s="111"/>
      <c r="AA495" s="14"/>
      <c r="AB495" s="14"/>
      <c r="AC495" s="14"/>
      <c r="AD495" s="14"/>
      <c r="AE495" s="113">
        <f>IF(NOT(ISBLANK(Audit[[#This Row],[Audit Winning Candidate]])), Audit[[#This Row],[Audit Winning Candidate]]-Audit[[#This Row],[Winning Candidate]], "")</f>
        <v>0</v>
      </c>
      <c r="AF495" s="17">
        <f>IF(NOT(ISBLANK(Audit[[#This Row],[Audit Losing Candidate]])), Audit[[#This Row],[Audit Losing Candidate]]-Audit[[#This Row],[Losing Candidate]], "")</f>
        <v>0</v>
      </c>
      <c r="AG495" s="17" t="str">
        <f>IF(NOT(ISBLANK(Audit[[#This Row],[Audit Candidate 3]])), Audit[[#This Row],[Audit Candidate 3]]-Audit[[#This Row],[Candidate 3]], "")</f>
        <v/>
      </c>
      <c r="AH495" s="17" t="str">
        <f>IF(NOT(ISBLANK(Audit[[#This Row],[Audit Candidate 4]])),Audit[[#This Row],[Audit Candidate 4]]-Audit[[#This Row],[Candidate 4]], "")</f>
        <v/>
      </c>
      <c r="AI495" s="17" t="str">
        <f>IF(NOT(ISBLANK(Audit[[#This Row],[Audit Candidate 5]])), Audit[[#This Row],[Audit Candidate 5]]-Audit[[#This Row],[Candidate 5]], "")</f>
        <v/>
      </c>
      <c r="AJ495" s="17" t="str">
        <f>IF(NOT(ISBLANK(Audit[[#This Row],[Audit Candidate 6]])), Audit[[#This Row],[Audit Candidate 6]]-Audit[[#This Row],[Candidate 6]], "")</f>
        <v/>
      </c>
      <c r="AK495" s="17" t="str">
        <f>IF(NOT(ISBLANK(Audit[[#This Row],[Audit Candidate 7]])), Audit[[#This Row],[Audit Candidate 7]]-Audit[[#This Row],[Candidate 7]], "")</f>
        <v/>
      </c>
      <c r="AL495" s="17" t="str">
        <f>IF(NOT(ISBLANK(Audit[[#This Row],[Audit Candidate 8]])), Audit[[#This Row],[Audit Candidate 8]]-Audit[[#This Row],[Candidate 8]], "")</f>
        <v/>
      </c>
      <c r="AM495" s="17" t="str">
        <f>IF(NOT(ISBLANK(Audit[[#This Row],[Audit Candidate 9]])), Audit[[#This Row],[Audit Candidate 9]]-Audit[[#This Row],[Candidate 9]], "")</f>
        <v/>
      </c>
      <c r="AN495" s="17" t="str">
        <f>IF(NOT(ISBLANK(Audit[[#This Row],[Audit Candidate 10]])), Audit[[#This Row],[Audit Candidate 10]]-Audit[[#This Row],[Candidate 10]], "")</f>
        <v/>
      </c>
      <c r="AO495" s="17" t="str">
        <f>IF(NOT(ISBLANK(Audit[[#This Row],[Audit Candidate 11]])), Audit[[#This Row],[Audit Candidate 11]]-Audit[[#This Row],[Candidate 11]], "")</f>
        <v/>
      </c>
      <c r="AP495" s="17" t="str">
        <f>IF(NOT(ISBLANK(Audit[[#This Row],[Audit Candidate 12]])), Audit[[#This Row],[Audit Candidate 12]]-Audit[[#This Row],[Candidate 12]], "")</f>
        <v/>
      </c>
      <c r="AQ495" s="17">
        <f>SUMIF(Audit[[#This Row],[Difference Winner]:[Difference Candidate 12]], "&gt;0")</f>
        <v>0</v>
      </c>
      <c r="AR495" s="17">
        <f>SUM(Audit[[#This Row],[Difference Winner]:[Difference Candidate 12]])</f>
        <v>0</v>
      </c>
      <c r="AS495" s="17">
        <f>IF(Audit[[#This Row],[Times p Drawn - With Replacement]]&gt;0, IF(Audit[[#This Row],[Canceled Differences]]&lt;0, Audit[[#This Row],[Max Differences]]+ABS(Audit[[#This Row],[Canceled Differences]]), Audit[[#This Row],[Max Differences]]), 0)</f>
        <v>0</v>
      </c>
      <c r="AT495" s="17">
        <f>'Sampling Data'!AB495</f>
        <v>8.4026481072822946E-3</v>
      </c>
      <c r="AU495" s="17">
        <f>IF(
      SUM(Audit[[#This Row],[Audit Losing Candidate]:[Audit Candidate 12]])
      &lt;&gt;0,
      (Audit[[#This Row],[Winning Candidate]]-Audit[[#This Row],[Losing Candidate]]-(Audit[[#This Row],[Audit Winning Candidate]]-Audit[[#This Row],[Audit Losing Candidate]]))/(Audit[[#Totals],[Winning Candidate]]-Audit[[#Totals],[Losing Candidate]]),
      0
)</f>
        <v>0</v>
      </c>
      <c r="AV4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5" s="17">
        <f>IF(Audit[[#This Row],[Max Relative Error (ep)]] = 0, 0, Audit[[#This Row],[Max Relative Error (ep)]]/Audit[[#This Row],[Error Bound (up) - Max. possible relative overstatement]])</f>
        <v>0</v>
      </c>
      <c r="BH4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95" s="17">
        <f t="shared" si="8"/>
        <v>0.94645908314247273</v>
      </c>
      <c r="BJ495" s="17">
        <f>PRODUCT($BI$5:BI495)</f>
        <v>0.43805400213514833</v>
      </c>
      <c r="BK495" s="19">
        <f>1 - Audit[[#This Row],[K-M P Value]]</f>
        <v>0.56194599786485167</v>
      </c>
      <c r="BL495" s="17" t="str">
        <f>IF(Audit[[#This Row],[K-M P Value]]&gt;1-'General Info'!$B$12,"Continue", "Stop")</f>
        <v>Continue</v>
      </c>
      <c r="BM495" s="22" t="b">
        <f>IF(Audit[[#This Row],[Status - Continue or stop audit]] = "Continue", TRUE, IF(BL494 = "Continue", TRUE, FALSE))</f>
        <v>1</v>
      </c>
      <c r="BN495" s="22"/>
    </row>
    <row r="496" spans="1:66" ht="15" hidden="1" customHeight="1" x14ac:dyDescent="0.35">
      <c r="A496" s="17" t="str">
        <f>'Sampling Data'!AI496</f>
        <v/>
      </c>
      <c r="B496" s="17" t="str">
        <f>'Sampling Data'!A496</f>
        <v>8308 MIAMI H   (AV)</v>
      </c>
      <c r="C496" s="17">
        <f>'Sampling Data'!B496</f>
        <v>28</v>
      </c>
      <c r="D496" s="17">
        <f>'Sampling Data'!C496</f>
        <v>87</v>
      </c>
      <c r="E496" s="18">
        <f>'Sampling Data'!D496</f>
        <v>0</v>
      </c>
      <c r="F496" s="18">
        <f>'Sampling Data'!E496</f>
        <v>0</v>
      </c>
      <c r="G496" s="18">
        <f>'Sampling Data'!F496</f>
        <v>0</v>
      </c>
      <c r="H496" s="18">
        <f>'Sampling Data'!G496</f>
        <v>0</v>
      </c>
      <c r="I496" s="18">
        <f>'Sampling Data'!H496</f>
        <v>0</v>
      </c>
      <c r="J496" s="18">
        <f>'Sampling Data'!I496</f>
        <v>0</v>
      </c>
      <c r="K496" s="18">
        <f>'Sampling Data'!J496</f>
        <v>0</v>
      </c>
      <c r="L496" s="18">
        <f>'Sampling Data'!K496</f>
        <v>0</v>
      </c>
      <c r="M496" s="18">
        <f>'Sampling Data'!L496</f>
        <v>0</v>
      </c>
      <c r="N496" s="18">
        <f>'Sampling Data'!M496</f>
        <v>0</v>
      </c>
      <c r="O496" s="17">
        <f>'Sampling Data'!N496</f>
        <v>0</v>
      </c>
      <c r="P496" s="17">
        <f>'Sampling Data'!O496</f>
        <v>3</v>
      </c>
      <c r="Q496" s="17">
        <f>'Sampling Data'!P496</f>
        <v>118</v>
      </c>
      <c r="R496" s="17">
        <f>'Sampling Data'!AJ496</f>
        <v>0</v>
      </c>
      <c r="S496" s="111"/>
      <c r="T496" s="111"/>
      <c r="U496" s="112"/>
      <c r="V496" s="112"/>
      <c r="W496" s="111"/>
      <c r="X496" s="111"/>
      <c r="Y496" s="111"/>
      <c r="Z496" s="111"/>
      <c r="AA496" s="14"/>
      <c r="AB496" s="14"/>
      <c r="AC496" s="14"/>
      <c r="AD496" s="14"/>
      <c r="AE496" s="113" t="str">
        <f>IF(NOT(ISBLANK(Audit[[#This Row],[Audit Winning Candidate]])), Audit[[#This Row],[Audit Winning Candidate]]-Audit[[#This Row],[Winning Candidate]], "")</f>
        <v/>
      </c>
      <c r="AF496" s="17" t="str">
        <f>IF(NOT(ISBLANK(Audit[[#This Row],[Audit Losing Candidate]])), Audit[[#This Row],[Audit Losing Candidate]]-Audit[[#This Row],[Losing Candidate]], "")</f>
        <v/>
      </c>
      <c r="AG496" s="17" t="str">
        <f>IF(NOT(ISBLANK(Audit[[#This Row],[Audit Candidate 3]])), Audit[[#This Row],[Audit Candidate 3]]-Audit[[#This Row],[Candidate 3]], "")</f>
        <v/>
      </c>
      <c r="AH496" s="17" t="str">
        <f>IF(NOT(ISBLANK(Audit[[#This Row],[Audit Candidate 4]])),Audit[[#This Row],[Audit Candidate 4]]-Audit[[#This Row],[Candidate 4]], "")</f>
        <v/>
      </c>
      <c r="AI496" s="17" t="str">
        <f>IF(NOT(ISBLANK(Audit[[#This Row],[Audit Candidate 5]])), Audit[[#This Row],[Audit Candidate 5]]-Audit[[#This Row],[Candidate 5]], "")</f>
        <v/>
      </c>
      <c r="AJ496" s="17" t="str">
        <f>IF(NOT(ISBLANK(Audit[[#This Row],[Audit Candidate 6]])), Audit[[#This Row],[Audit Candidate 6]]-Audit[[#This Row],[Candidate 6]], "")</f>
        <v/>
      </c>
      <c r="AK496" s="17" t="str">
        <f>IF(NOT(ISBLANK(Audit[[#This Row],[Audit Candidate 7]])), Audit[[#This Row],[Audit Candidate 7]]-Audit[[#This Row],[Candidate 7]], "")</f>
        <v/>
      </c>
      <c r="AL496" s="17" t="str">
        <f>IF(NOT(ISBLANK(Audit[[#This Row],[Audit Candidate 8]])), Audit[[#This Row],[Audit Candidate 8]]-Audit[[#This Row],[Candidate 8]], "")</f>
        <v/>
      </c>
      <c r="AM496" s="17" t="str">
        <f>IF(NOT(ISBLANK(Audit[[#This Row],[Audit Candidate 9]])), Audit[[#This Row],[Audit Candidate 9]]-Audit[[#This Row],[Candidate 9]], "")</f>
        <v/>
      </c>
      <c r="AN496" s="17" t="str">
        <f>IF(NOT(ISBLANK(Audit[[#This Row],[Audit Candidate 10]])), Audit[[#This Row],[Audit Candidate 10]]-Audit[[#This Row],[Candidate 10]], "")</f>
        <v/>
      </c>
      <c r="AO496" s="17" t="str">
        <f>IF(NOT(ISBLANK(Audit[[#This Row],[Audit Candidate 11]])), Audit[[#This Row],[Audit Candidate 11]]-Audit[[#This Row],[Candidate 11]], "")</f>
        <v/>
      </c>
      <c r="AP496" s="17" t="str">
        <f>IF(NOT(ISBLANK(Audit[[#This Row],[Audit Candidate 12]])), Audit[[#This Row],[Audit Candidate 12]]-Audit[[#This Row],[Candidate 12]], "")</f>
        <v/>
      </c>
      <c r="AQ496" s="17">
        <f>SUMIF(Audit[[#This Row],[Difference Winner]:[Difference Candidate 12]], "&gt;0")</f>
        <v>0</v>
      </c>
      <c r="AR496" s="17">
        <f>SUM(Audit[[#This Row],[Difference Winner]:[Difference Candidate 12]])</f>
        <v>0</v>
      </c>
      <c r="AS496" s="17">
        <f>IF(Audit[[#This Row],[Times p Drawn - With Replacement]]&gt;0, IF(Audit[[#This Row],[Canceled Differences]]&lt;0, Audit[[#This Row],[Max Differences]]+ABS(Audit[[#This Row],[Canceled Differences]]), Audit[[#This Row],[Max Differences]]), 0)</f>
        <v>0</v>
      </c>
      <c r="AT496" s="17">
        <f>'Sampling Data'!AB496</f>
        <v>2.5038193855033103E-3</v>
      </c>
      <c r="AU496" s="17">
        <f>IF(
      SUM(Audit[[#This Row],[Audit Losing Candidate]:[Audit Candidate 12]])
      &lt;&gt;0,
      (Audit[[#This Row],[Winning Candidate]]-Audit[[#This Row],[Losing Candidate]]-(Audit[[#This Row],[Audit Winning Candidate]]-Audit[[#This Row],[Audit Losing Candidate]]))/(Audit[[#Totals],[Winning Candidate]]-Audit[[#Totals],[Losing Candidate]]),
      0
)</f>
        <v>0</v>
      </c>
      <c r="AV4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6" s="17">
        <f>IF(Audit[[#This Row],[Max Relative Error (ep)]] = 0, 0, Audit[[#This Row],[Max Relative Error (ep)]]/Audit[[#This Row],[Error Bound (up) - Max. possible relative overstatement]])</f>
        <v>0</v>
      </c>
      <c r="BH4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96" s="17">
        <f t="shared" si="8"/>
        <v>1</v>
      </c>
      <c r="BJ496" s="17">
        <f>PRODUCT($BI$5:BI496)</f>
        <v>0.43805400213514833</v>
      </c>
      <c r="BK496" s="19">
        <f>1 - Audit[[#This Row],[K-M P Value]]</f>
        <v>0.56194599786485167</v>
      </c>
      <c r="BL496" s="17" t="str">
        <f>IF(Audit[[#This Row],[K-M P Value]]&gt;1-'General Info'!$B$12,"Continue", "Stop")</f>
        <v>Continue</v>
      </c>
      <c r="BM496" s="22" t="b">
        <f>IF(Audit[[#This Row],[Status - Continue or stop audit]] = "Continue", TRUE, IF(BL495 = "Continue", TRUE, FALSE))</f>
        <v>1</v>
      </c>
      <c r="BN496" s="22"/>
    </row>
    <row r="497" spans="1:66" ht="15" hidden="1" customHeight="1" x14ac:dyDescent="0.35">
      <c r="A497" s="17" t="str">
        <f>'Sampling Data'!AI497</f>
        <v/>
      </c>
      <c r="B497" s="17" t="str">
        <f>'Sampling Data'!A497</f>
        <v>8401 NEWT A   (AV)</v>
      </c>
      <c r="C497" s="17">
        <f>'Sampling Data'!B497</f>
        <v>79</v>
      </c>
      <c r="D497" s="17">
        <f>'Sampling Data'!C497</f>
        <v>128</v>
      </c>
      <c r="E497" s="18">
        <f>'Sampling Data'!D497</f>
        <v>0</v>
      </c>
      <c r="F497" s="18">
        <f>'Sampling Data'!E497</f>
        <v>0</v>
      </c>
      <c r="G497" s="18">
        <f>'Sampling Data'!F497</f>
        <v>0</v>
      </c>
      <c r="H497" s="18">
        <f>'Sampling Data'!G497</f>
        <v>0</v>
      </c>
      <c r="I497" s="18">
        <f>'Sampling Data'!H497</f>
        <v>0</v>
      </c>
      <c r="J497" s="18">
        <f>'Sampling Data'!I497</f>
        <v>0</v>
      </c>
      <c r="K497" s="18">
        <f>'Sampling Data'!J497</f>
        <v>0</v>
      </c>
      <c r="L497" s="18">
        <f>'Sampling Data'!K497</f>
        <v>0</v>
      </c>
      <c r="M497" s="18">
        <f>'Sampling Data'!L497</f>
        <v>0</v>
      </c>
      <c r="N497" s="18">
        <f>'Sampling Data'!M497</f>
        <v>0</v>
      </c>
      <c r="O497" s="17">
        <f>'Sampling Data'!N497</f>
        <v>0</v>
      </c>
      <c r="P497" s="17">
        <f>'Sampling Data'!O497</f>
        <v>9</v>
      </c>
      <c r="Q497" s="17">
        <f>'Sampling Data'!P497</f>
        <v>216</v>
      </c>
      <c r="R497" s="17">
        <f>'Sampling Data'!AJ497</f>
        <v>0</v>
      </c>
      <c r="S497" s="111"/>
      <c r="T497" s="111"/>
      <c r="U497" s="112"/>
      <c r="V497" s="112"/>
      <c r="W497" s="111"/>
      <c r="X497" s="111"/>
      <c r="Y497" s="111"/>
      <c r="Z497" s="111"/>
      <c r="AA497" s="14"/>
      <c r="AB497" s="14"/>
      <c r="AC497" s="14"/>
      <c r="AD497" s="14"/>
      <c r="AE497" s="113" t="str">
        <f>IF(NOT(ISBLANK(Audit[[#This Row],[Audit Winning Candidate]])), Audit[[#This Row],[Audit Winning Candidate]]-Audit[[#This Row],[Winning Candidate]], "")</f>
        <v/>
      </c>
      <c r="AF497" s="17" t="str">
        <f>IF(NOT(ISBLANK(Audit[[#This Row],[Audit Losing Candidate]])), Audit[[#This Row],[Audit Losing Candidate]]-Audit[[#This Row],[Losing Candidate]], "")</f>
        <v/>
      </c>
      <c r="AG497" s="17" t="str">
        <f>IF(NOT(ISBLANK(Audit[[#This Row],[Audit Candidate 3]])), Audit[[#This Row],[Audit Candidate 3]]-Audit[[#This Row],[Candidate 3]], "")</f>
        <v/>
      </c>
      <c r="AH497" s="17" t="str">
        <f>IF(NOT(ISBLANK(Audit[[#This Row],[Audit Candidate 4]])),Audit[[#This Row],[Audit Candidate 4]]-Audit[[#This Row],[Candidate 4]], "")</f>
        <v/>
      </c>
      <c r="AI497" s="17" t="str">
        <f>IF(NOT(ISBLANK(Audit[[#This Row],[Audit Candidate 5]])), Audit[[#This Row],[Audit Candidate 5]]-Audit[[#This Row],[Candidate 5]], "")</f>
        <v/>
      </c>
      <c r="AJ497" s="17" t="str">
        <f>IF(NOT(ISBLANK(Audit[[#This Row],[Audit Candidate 6]])), Audit[[#This Row],[Audit Candidate 6]]-Audit[[#This Row],[Candidate 6]], "")</f>
        <v/>
      </c>
      <c r="AK497" s="17" t="str">
        <f>IF(NOT(ISBLANK(Audit[[#This Row],[Audit Candidate 7]])), Audit[[#This Row],[Audit Candidate 7]]-Audit[[#This Row],[Candidate 7]], "")</f>
        <v/>
      </c>
      <c r="AL497" s="17" t="str">
        <f>IF(NOT(ISBLANK(Audit[[#This Row],[Audit Candidate 8]])), Audit[[#This Row],[Audit Candidate 8]]-Audit[[#This Row],[Candidate 8]], "")</f>
        <v/>
      </c>
      <c r="AM497" s="17" t="str">
        <f>IF(NOT(ISBLANK(Audit[[#This Row],[Audit Candidate 9]])), Audit[[#This Row],[Audit Candidate 9]]-Audit[[#This Row],[Candidate 9]], "")</f>
        <v/>
      </c>
      <c r="AN497" s="17" t="str">
        <f>IF(NOT(ISBLANK(Audit[[#This Row],[Audit Candidate 10]])), Audit[[#This Row],[Audit Candidate 10]]-Audit[[#This Row],[Candidate 10]], "")</f>
        <v/>
      </c>
      <c r="AO497" s="17" t="str">
        <f>IF(NOT(ISBLANK(Audit[[#This Row],[Audit Candidate 11]])), Audit[[#This Row],[Audit Candidate 11]]-Audit[[#This Row],[Candidate 11]], "")</f>
        <v/>
      </c>
      <c r="AP497" s="17" t="str">
        <f>IF(NOT(ISBLANK(Audit[[#This Row],[Audit Candidate 12]])), Audit[[#This Row],[Audit Candidate 12]]-Audit[[#This Row],[Candidate 12]], "")</f>
        <v/>
      </c>
      <c r="AQ497" s="17">
        <f>SUMIF(Audit[[#This Row],[Difference Winner]:[Difference Candidate 12]], "&gt;0")</f>
        <v>0</v>
      </c>
      <c r="AR497" s="17">
        <f>SUM(Audit[[#This Row],[Difference Winner]:[Difference Candidate 12]])</f>
        <v>0</v>
      </c>
      <c r="AS497" s="17">
        <f>IF(Audit[[#This Row],[Times p Drawn - With Replacement]]&gt;0, IF(Audit[[#This Row],[Canceled Differences]]&lt;0, Audit[[#This Row],[Max Differences]]+ABS(Audit[[#This Row],[Canceled Differences]]), Audit[[#This Row],[Max Differences]]), 0)</f>
        <v>0</v>
      </c>
      <c r="AT497" s="17">
        <f>'Sampling Data'!AB497</f>
        <v>7.0870819894754715E-3</v>
      </c>
      <c r="AU497" s="17">
        <f>IF(
      SUM(Audit[[#This Row],[Audit Losing Candidate]:[Audit Candidate 12]])
      &lt;&gt;0,
      (Audit[[#This Row],[Winning Candidate]]-Audit[[#This Row],[Losing Candidate]]-(Audit[[#This Row],[Audit Winning Candidate]]-Audit[[#This Row],[Audit Losing Candidate]]))/(Audit[[#Totals],[Winning Candidate]]-Audit[[#Totals],[Losing Candidate]]),
      0
)</f>
        <v>0</v>
      </c>
      <c r="AV4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7" s="17">
        <f>IF(Audit[[#This Row],[Max Relative Error (ep)]] = 0, 0, Audit[[#This Row],[Max Relative Error (ep)]]/Audit[[#This Row],[Error Bound (up) - Max. possible relative overstatement]])</f>
        <v>0</v>
      </c>
      <c r="BH4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97" s="17">
        <f t="shared" si="8"/>
        <v>1</v>
      </c>
      <c r="BJ497" s="17">
        <f>PRODUCT($BI$5:BI497)</f>
        <v>0.43805400213514833</v>
      </c>
      <c r="BK497" s="19">
        <f>1 - Audit[[#This Row],[K-M P Value]]</f>
        <v>0.56194599786485167</v>
      </c>
      <c r="BL497" s="17" t="str">
        <f>IF(Audit[[#This Row],[K-M P Value]]&gt;1-'General Info'!$B$12,"Continue", "Stop")</f>
        <v>Continue</v>
      </c>
      <c r="BM497" s="22" t="b">
        <f>IF(Audit[[#This Row],[Status - Continue or stop audit]] = "Continue", TRUE, IF(BL496 = "Continue", TRUE, FALSE))</f>
        <v>1</v>
      </c>
      <c r="BN497" s="22"/>
    </row>
    <row r="498" spans="1:66" ht="15" hidden="1" customHeight="1" x14ac:dyDescent="0.35">
      <c r="A498" s="17" t="str">
        <f>'Sampling Data'!AI498</f>
        <v/>
      </c>
      <c r="B498" s="17" t="str">
        <f>'Sampling Data'!A498</f>
        <v>8402 NEWT B   (AV)</v>
      </c>
      <c r="C498" s="17">
        <f>'Sampling Data'!B498</f>
        <v>134</v>
      </c>
      <c r="D498" s="17">
        <f>'Sampling Data'!C498</f>
        <v>196</v>
      </c>
      <c r="E498" s="18">
        <f>'Sampling Data'!D498</f>
        <v>0</v>
      </c>
      <c r="F498" s="18">
        <f>'Sampling Data'!E498</f>
        <v>0</v>
      </c>
      <c r="G498" s="18">
        <f>'Sampling Data'!F498</f>
        <v>0</v>
      </c>
      <c r="H498" s="18">
        <f>'Sampling Data'!G498</f>
        <v>0</v>
      </c>
      <c r="I498" s="18">
        <f>'Sampling Data'!H498</f>
        <v>0</v>
      </c>
      <c r="J498" s="18">
        <f>'Sampling Data'!I498</f>
        <v>0</v>
      </c>
      <c r="K498" s="18">
        <f>'Sampling Data'!J498</f>
        <v>0</v>
      </c>
      <c r="L498" s="18">
        <f>'Sampling Data'!K498</f>
        <v>0</v>
      </c>
      <c r="M498" s="18">
        <f>'Sampling Data'!L498</f>
        <v>0</v>
      </c>
      <c r="N498" s="18">
        <f>'Sampling Data'!M498</f>
        <v>0</v>
      </c>
      <c r="O498" s="17">
        <f>'Sampling Data'!N498</f>
        <v>0</v>
      </c>
      <c r="P498" s="17">
        <f>'Sampling Data'!O498</f>
        <v>12</v>
      </c>
      <c r="Q498" s="17">
        <f>'Sampling Data'!P498</f>
        <v>342</v>
      </c>
      <c r="R498" s="17">
        <f>'Sampling Data'!AJ498</f>
        <v>0</v>
      </c>
      <c r="S498" s="111"/>
      <c r="T498" s="111"/>
      <c r="U498" s="112"/>
      <c r="V498" s="112"/>
      <c r="W498" s="111"/>
      <c r="X498" s="111"/>
      <c r="Y498" s="111"/>
      <c r="Z498" s="111"/>
      <c r="AA498" s="14"/>
      <c r="AB498" s="14"/>
      <c r="AC498" s="14"/>
      <c r="AD498" s="14"/>
      <c r="AE498" s="113" t="str">
        <f>IF(NOT(ISBLANK(Audit[[#This Row],[Audit Winning Candidate]])), Audit[[#This Row],[Audit Winning Candidate]]-Audit[[#This Row],[Winning Candidate]], "")</f>
        <v/>
      </c>
      <c r="AF498" s="17" t="str">
        <f>IF(NOT(ISBLANK(Audit[[#This Row],[Audit Losing Candidate]])), Audit[[#This Row],[Audit Losing Candidate]]-Audit[[#This Row],[Losing Candidate]], "")</f>
        <v/>
      </c>
      <c r="AG498" s="17" t="str">
        <f>IF(NOT(ISBLANK(Audit[[#This Row],[Audit Candidate 3]])), Audit[[#This Row],[Audit Candidate 3]]-Audit[[#This Row],[Candidate 3]], "")</f>
        <v/>
      </c>
      <c r="AH498" s="17" t="str">
        <f>IF(NOT(ISBLANK(Audit[[#This Row],[Audit Candidate 4]])),Audit[[#This Row],[Audit Candidate 4]]-Audit[[#This Row],[Candidate 4]], "")</f>
        <v/>
      </c>
      <c r="AI498" s="17" t="str">
        <f>IF(NOT(ISBLANK(Audit[[#This Row],[Audit Candidate 5]])), Audit[[#This Row],[Audit Candidate 5]]-Audit[[#This Row],[Candidate 5]], "")</f>
        <v/>
      </c>
      <c r="AJ498" s="17" t="str">
        <f>IF(NOT(ISBLANK(Audit[[#This Row],[Audit Candidate 6]])), Audit[[#This Row],[Audit Candidate 6]]-Audit[[#This Row],[Candidate 6]], "")</f>
        <v/>
      </c>
      <c r="AK498" s="17" t="str">
        <f>IF(NOT(ISBLANK(Audit[[#This Row],[Audit Candidate 7]])), Audit[[#This Row],[Audit Candidate 7]]-Audit[[#This Row],[Candidate 7]], "")</f>
        <v/>
      </c>
      <c r="AL498" s="17" t="str">
        <f>IF(NOT(ISBLANK(Audit[[#This Row],[Audit Candidate 8]])), Audit[[#This Row],[Audit Candidate 8]]-Audit[[#This Row],[Candidate 8]], "")</f>
        <v/>
      </c>
      <c r="AM498" s="17" t="str">
        <f>IF(NOT(ISBLANK(Audit[[#This Row],[Audit Candidate 9]])), Audit[[#This Row],[Audit Candidate 9]]-Audit[[#This Row],[Candidate 9]], "")</f>
        <v/>
      </c>
      <c r="AN498" s="17" t="str">
        <f>IF(NOT(ISBLANK(Audit[[#This Row],[Audit Candidate 10]])), Audit[[#This Row],[Audit Candidate 10]]-Audit[[#This Row],[Candidate 10]], "")</f>
        <v/>
      </c>
      <c r="AO498" s="17" t="str">
        <f>IF(NOT(ISBLANK(Audit[[#This Row],[Audit Candidate 11]])), Audit[[#This Row],[Audit Candidate 11]]-Audit[[#This Row],[Candidate 11]], "")</f>
        <v/>
      </c>
      <c r="AP498" s="17" t="str">
        <f>IF(NOT(ISBLANK(Audit[[#This Row],[Audit Candidate 12]])), Audit[[#This Row],[Audit Candidate 12]]-Audit[[#This Row],[Candidate 12]], "")</f>
        <v/>
      </c>
      <c r="AQ498" s="17">
        <f>SUMIF(Audit[[#This Row],[Difference Winner]:[Difference Candidate 12]], "&gt;0")</f>
        <v>0</v>
      </c>
      <c r="AR498" s="17">
        <f>SUM(Audit[[#This Row],[Difference Winner]:[Difference Candidate 12]])</f>
        <v>0</v>
      </c>
      <c r="AS498" s="17">
        <f>IF(Audit[[#This Row],[Times p Drawn - With Replacement]]&gt;0, IF(Audit[[#This Row],[Canceled Differences]]&lt;0, Audit[[#This Row],[Max Differences]]+ABS(Audit[[#This Row],[Canceled Differences]]), Audit[[#This Row],[Max Differences]]), 0)</f>
        <v>0</v>
      </c>
      <c r="AT498" s="17">
        <f>'Sampling Data'!AB498</f>
        <v>1.1882532676964862E-2</v>
      </c>
      <c r="AU498" s="17">
        <f>IF(
      SUM(Audit[[#This Row],[Audit Losing Candidate]:[Audit Candidate 12]])
      &lt;&gt;0,
      (Audit[[#This Row],[Winning Candidate]]-Audit[[#This Row],[Losing Candidate]]-(Audit[[#This Row],[Audit Winning Candidate]]-Audit[[#This Row],[Audit Losing Candidate]]))/(Audit[[#Totals],[Winning Candidate]]-Audit[[#Totals],[Losing Candidate]]),
      0
)</f>
        <v>0</v>
      </c>
      <c r="AV4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8" s="17">
        <f>IF(Audit[[#This Row],[Max Relative Error (ep)]] = 0, 0, Audit[[#This Row],[Max Relative Error (ep)]]/Audit[[#This Row],[Error Bound (up) - Max. possible relative overstatement]])</f>
        <v>0</v>
      </c>
      <c r="BH4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98" s="17">
        <f t="shared" si="8"/>
        <v>1</v>
      </c>
      <c r="BJ498" s="17">
        <f>PRODUCT($BI$5:BI498)</f>
        <v>0.43805400213514833</v>
      </c>
      <c r="BK498" s="19">
        <f>1 - Audit[[#This Row],[K-M P Value]]</f>
        <v>0.56194599786485167</v>
      </c>
      <c r="BL498" s="17" t="str">
        <f>IF(Audit[[#This Row],[K-M P Value]]&gt;1-'General Info'!$B$12,"Continue", "Stop")</f>
        <v>Continue</v>
      </c>
      <c r="BM498" s="22" t="b">
        <f>IF(Audit[[#This Row],[Status - Continue or stop audit]] = "Continue", TRUE, IF(BL497 = "Continue", TRUE, FALSE))</f>
        <v>1</v>
      </c>
      <c r="BN498" s="22"/>
    </row>
    <row r="499" spans="1:66" ht="15" hidden="1" customHeight="1" x14ac:dyDescent="0.35">
      <c r="A499" s="17" t="str">
        <f>'Sampling Data'!AI499</f>
        <v/>
      </c>
      <c r="B499" s="17" t="str">
        <f>'Sampling Data'!A499</f>
        <v>8511 ST BN 1-A   (AV)</v>
      </c>
      <c r="C499" s="17">
        <f>'Sampling Data'!B499</f>
        <v>86</v>
      </c>
      <c r="D499" s="17">
        <f>'Sampling Data'!C499</f>
        <v>86</v>
      </c>
      <c r="E499" s="18">
        <f>'Sampling Data'!D499</f>
        <v>0</v>
      </c>
      <c r="F499" s="18">
        <f>'Sampling Data'!E499</f>
        <v>0</v>
      </c>
      <c r="G499" s="18">
        <f>'Sampling Data'!F499</f>
        <v>0</v>
      </c>
      <c r="H499" s="18">
        <f>'Sampling Data'!G499</f>
        <v>0</v>
      </c>
      <c r="I499" s="18">
        <f>'Sampling Data'!H499</f>
        <v>0</v>
      </c>
      <c r="J499" s="18">
        <f>'Sampling Data'!I499</f>
        <v>0</v>
      </c>
      <c r="K499" s="18">
        <f>'Sampling Data'!J499</f>
        <v>0</v>
      </c>
      <c r="L499" s="18">
        <f>'Sampling Data'!K499</f>
        <v>0</v>
      </c>
      <c r="M499" s="18">
        <f>'Sampling Data'!L499</f>
        <v>0</v>
      </c>
      <c r="N499" s="18">
        <f>'Sampling Data'!M499</f>
        <v>0</v>
      </c>
      <c r="O499" s="17">
        <f>'Sampling Data'!N499</f>
        <v>2</v>
      </c>
      <c r="P499" s="17">
        <f>'Sampling Data'!O499</f>
        <v>7</v>
      </c>
      <c r="Q499" s="17">
        <f>'Sampling Data'!P499</f>
        <v>181</v>
      </c>
      <c r="R499" s="17">
        <f>'Sampling Data'!AJ499</f>
        <v>0</v>
      </c>
      <c r="S499" s="111"/>
      <c r="T499" s="111"/>
      <c r="U499" s="112"/>
      <c r="V499" s="112"/>
      <c r="W499" s="111"/>
      <c r="X499" s="111"/>
      <c r="Y499" s="111"/>
      <c r="Z499" s="111"/>
      <c r="AA499" s="14"/>
      <c r="AB499" s="14"/>
      <c r="AC499" s="14"/>
      <c r="AD499" s="14"/>
      <c r="AE499" s="113" t="str">
        <f>IF(NOT(ISBLANK(Audit[[#This Row],[Audit Winning Candidate]])), Audit[[#This Row],[Audit Winning Candidate]]-Audit[[#This Row],[Winning Candidate]], "")</f>
        <v/>
      </c>
      <c r="AF499" s="17" t="str">
        <f>IF(NOT(ISBLANK(Audit[[#This Row],[Audit Losing Candidate]])), Audit[[#This Row],[Audit Losing Candidate]]-Audit[[#This Row],[Losing Candidate]], "")</f>
        <v/>
      </c>
      <c r="AG499" s="17" t="str">
        <f>IF(NOT(ISBLANK(Audit[[#This Row],[Audit Candidate 3]])), Audit[[#This Row],[Audit Candidate 3]]-Audit[[#This Row],[Candidate 3]], "")</f>
        <v/>
      </c>
      <c r="AH499" s="17" t="str">
        <f>IF(NOT(ISBLANK(Audit[[#This Row],[Audit Candidate 4]])),Audit[[#This Row],[Audit Candidate 4]]-Audit[[#This Row],[Candidate 4]], "")</f>
        <v/>
      </c>
      <c r="AI499" s="17" t="str">
        <f>IF(NOT(ISBLANK(Audit[[#This Row],[Audit Candidate 5]])), Audit[[#This Row],[Audit Candidate 5]]-Audit[[#This Row],[Candidate 5]], "")</f>
        <v/>
      </c>
      <c r="AJ499" s="17" t="str">
        <f>IF(NOT(ISBLANK(Audit[[#This Row],[Audit Candidate 6]])), Audit[[#This Row],[Audit Candidate 6]]-Audit[[#This Row],[Candidate 6]], "")</f>
        <v/>
      </c>
      <c r="AK499" s="17" t="str">
        <f>IF(NOT(ISBLANK(Audit[[#This Row],[Audit Candidate 7]])), Audit[[#This Row],[Audit Candidate 7]]-Audit[[#This Row],[Candidate 7]], "")</f>
        <v/>
      </c>
      <c r="AL499" s="17" t="str">
        <f>IF(NOT(ISBLANK(Audit[[#This Row],[Audit Candidate 8]])), Audit[[#This Row],[Audit Candidate 8]]-Audit[[#This Row],[Candidate 8]], "")</f>
        <v/>
      </c>
      <c r="AM499" s="17" t="str">
        <f>IF(NOT(ISBLANK(Audit[[#This Row],[Audit Candidate 9]])), Audit[[#This Row],[Audit Candidate 9]]-Audit[[#This Row],[Candidate 9]], "")</f>
        <v/>
      </c>
      <c r="AN499" s="17" t="str">
        <f>IF(NOT(ISBLANK(Audit[[#This Row],[Audit Candidate 10]])), Audit[[#This Row],[Audit Candidate 10]]-Audit[[#This Row],[Candidate 10]], "")</f>
        <v/>
      </c>
      <c r="AO499" s="17" t="str">
        <f>IF(NOT(ISBLANK(Audit[[#This Row],[Audit Candidate 11]])), Audit[[#This Row],[Audit Candidate 11]]-Audit[[#This Row],[Candidate 11]], "")</f>
        <v/>
      </c>
      <c r="AP499" s="17" t="str">
        <f>IF(NOT(ISBLANK(Audit[[#This Row],[Audit Candidate 12]])), Audit[[#This Row],[Audit Candidate 12]]-Audit[[#This Row],[Candidate 12]], "")</f>
        <v/>
      </c>
      <c r="AQ499" s="17">
        <f>SUMIF(Audit[[#This Row],[Difference Winner]:[Difference Candidate 12]], "&gt;0")</f>
        <v>0</v>
      </c>
      <c r="AR499" s="17">
        <f>SUM(Audit[[#This Row],[Difference Winner]:[Difference Candidate 12]])</f>
        <v>0</v>
      </c>
      <c r="AS499" s="17">
        <f>IF(Audit[[#This Row],[Times p Drawn - With Replacement]]&gt;0, IF(Audit[[#This Row],[Canceled Differences]]&lt;0, Audit[[#This Row],[Max Differences]]+ABS(Audit[[#This Row],[Canceled Differences]]), Audit[[#This Row],[Max Differences]]), 0)</f>
        <v>0</v>
      </c>
      <c r="AT499" s="17">
        <f>'Sampling Data'!AB499</f>
        <v>7.681208623323714E-3</v>
      </c>
      <c r="AU499" s="17">
        <f>IF(
      SUM(Audit[[#This Row],[Audit Losing Candidate]:[Audit Candidate 12]])
      &lt;&gt;0,
      (Audit[[#This Row],[Winning Candidate]]-Audit[[#This Row],[Losing Candidate]]-(Audit[[#This Row],[Audit Winning Candidate]]-Audit[[#This Row],[Audit Losing Candidate]]))/(Audit[[#Totals],[Winning Candidate]]-Audit[[#Totals],[Losing Candidate]]),
      0
)</f>
        <v>0</v>
      </c>
      <c r="AV4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9" s="17">
        <f>IF(Audit[[#This Row],[Max Relative Error (ep)]] = 0, 0, Audit[[#This Row],[Max Relative Error (ep)]]/Audit[[#This Row],[Error Bound (up) - Max. possible relative overstatement]])</f>
        <v>0</v>
      </c>
      <c r="BH4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499" s="17">
        <f t="shared" si="8"/>
        <v>1</v>
      </c>
      <c r="BJ499" s="17">
        <f>PRODUCT($BI$5:BI499)</f>
        <v>0.43805400213514833</v>
      </c>
      <c r="BK499" s="19">
        <f>1 - Audit[[#This Row],[K-M P Value]]</f>
        <v>0.56194599786485167</v>
      </c>
      <c r="BL499" s="17" t="str">
        <f>IF(Audit[[#This Row],[K-M P Value]]&gt;1-'General Info'!$B$12,"Continue", "Stop")</f>
        <v>Continue</v>
      </c>
      <c r="BM499" s="22" t="b">
        <f>IF(Audit[[#This Row],[Status - Continue or stop audit]] = "Continue", TRUE, IF(BL498 = "Continue", TRUE, FALSE))</f>
        <v>1</v>
      </c>
      <c r="BN499" s="22"/>
    </row>
    <row r="500" spans="1:66" ht="15" hidden="1" customHeight="1" x14ac:dyDescent="0.35">
      <c r="A500" s="17" t="str">
        <f>'Sampling Data'!AI500</f>
        <v/>
      </c>
      <c r="B500" s="17" t="str">
        <f>'Sampling Data'!A500</f>
        <v>8521 ST BN 2-A   (AV)</v>
      </c>
      <c r="C500" s="17">
        <f>'Sampling Data'!B500</f>
        <v>138</v>
      </c>
      <c r="D500" s="17">
        <f>'Sampling Data'!C500</f>
        <v>97</v>
      </c>
      <c r="E500" s="18">
        <f>'Sampling Data'!D500</f>
        <v>0</v>
      </c>
      <c r="F500" s="18">
        <f>'Sampling Data'!E500</f>
        <v>0</v>
      </c>
      <c r="G500" s="18">
        <f>'Sampling Data'!F500</f>
        <v>0</v>
      </c>
      <c r="H500" s="18">
        <f>'Sampling Data'!G500</f>
        <v>0</v>
      </c>
      <c r="I500" s="18">
        <f>'Sampling Data'!H500</f>
        <v>0</v>
      </c>
      <c r="J500" s="18">
        <f>'Sampling Data'!I500</f>
        <v>0</v>
      </c>
      <c r="K500" s="18">
        <f>'Sampling Data'!J500</f>
        <v>0</v>
      </c>
      <c r="L500" s="18">
        <f>'Sampling Data'!K500</f>
        <v>0</v>
      </c>
      <c r="M500" s="18">
        <f>'Sampling Data'!L500</f>
        <v>0</v>
      </c>
      <c r="N500" s="18">
        <f>'Sampling Data'!M500</f>
        <v>0</v>
      </c>
      <c r="O500" s="17">
        <f>'Sampling Data'!N500</f>
        <v>0</v>
      </c>
      <c r="P500" s="17">
        <f>'Sampling Data'!O500</f>
        <v>10</v>
      </c>
      <c r="Q500" s="17">
        <f>'Sampling Data'!P500</f>
        <v>245</v>
      </c>
      <c r="R500" s="17">
        <f>'Sampling Data'!AJ500</f>
        <v>0</v>
      </c>
      <c r="S500" s="111"/>
      <c r="T500" s="111"/>
      <c r="U500" s="112"/>
      <c r="V500" s="112"/>
      <c r="W500" s="111"/>
      <c r="X500" s="111"/>
      <c r="Y500" s="111"/>
      <c r="Z500" s="111"/>
      <c r="AA500" s="14"/>
      <c r="AB500" s="14"/>
      <c r="AC500" s="14"/>
      <c r="AD500" s="14"/>
      <c r="AE500" s="113" t="str">
        <f>IF(NOT(ISBLANK(Audit[[#This Row],[Audit Winning Candidate]])), Audit[[#This Row],[Audit Winning Candidate]]-Audit[[#This Row],[Winning Candidate]], "")</f>
        <v/>
      </c>
      <c r="AF500" s="17" t="str">
        <f>IF(NOT(ISBLANK(Audit[[#This Row],[Audit Losing Candidate]])), Audit[[#This Row],[Audit Losing Candidate]]-Audit[[#This Row],[Losing Candidate]], "")</f>
        <v/>
      </c>
      <c r="AG500" s="17" t="str">
        <f>IF(NOT(ISBLANK(Audit[[#This Row],[Audit Candidate 3]])), Audit[[#This Row],[Audit Candidate 3]]-Audit[[#This Row],[Candidate 3]], "")</f>
        <v/>
      </c>
      <c r="AH500" s="17" t="str">
        <f>IF(NOT(ISBLANK(Audit[[#This Row],[Audit Candidate 4]])),Audit[[#This Row],[Audit Candidate 4]]-Audit[[#This Row],[Candidate 4]], "")</f>
        <v/>
      </c>
      <c r="AI500" s="17" t="str">
        <f>IF(NOT(ISBLANK(Audit[[#This Row],[Audit Candidate 5]])), Audit[[#This Row],[Audit Candidate 5]]-Audit[[#This Row],[Candidate 5]], "")</f>
        <v/>
      </c>
      <c r="AJ500" s="17" t="str">
        <f>IF(NOT(ISBLANK(Audit[[#This Row],[Audit Candidate 6]])), Audit[[#This Row],[Audit Candidate 6]]-Audit[[#This Row],[Candidate 6]], "")</f>
        <v/>
      </c>
      <c r="AK500" s="17" t="str">
        <f>IF(NOT(ISBLANK(Audit[[#This Row],[Audit Candidate 7]])), Audit[[#This Row],[Audit Candidate 7]]-Audit[[#This Row],[Candidate 7]], "")</f>
        <v/>
      </c>
      <c r="AL500" s="17" t="str">
        <f>IF(NOT(ISBLANK(Audit[[#This Row],[Audit Candidate 8]])), Audit[[#This Row],[Audit Candidate 8]]-Audit[[#This Row],[Candidate 8]], "")</f>
        <v/>
      </c>
      <c r="AM500" s="17" t="str">
        <f>IF(NOT(ISBLANK(Audit[[#This Row],[Audit Candidate 9]])), Audit[[#This Row],[Audit Candidate 9]]-Audit[[#This Row],[Candidate 9]], "")</f>
        <v/>
      </c>
      <c r="AN500" s="17" t="str">
        <f>IF(NOT(ISBLANK(Audit[[#This Row],[Audit Candidate 10]])), Audit[[#This Row],[Audit Candidate 10]]-Audit[[#This Row],[Candidate 10]], "")</f>
        <v/>
      </c>
      <c r="AO500" s="17" t="str">
        <f>IF(NOT(ISBLANK(Audit[[#This Row],[Audit Candidate 11]])), Audit[[#This Row],[Audit Candidate 11]]-Audit[[#This Row],[Candidate 11]], "")</f>
        <v/>
      </c>
      <c r="AP500" s="17" t="str">
        <f>IF(NOT(ISBLANK(Audit[[#This Row],[Audit Candidate 12]])), Audit[[#This Row],[Audit Candidate 12]]-Audit[[#This Row],[Candidate 12]], "")</f>
        <v/>
      </c>
      <c r="AQ500" s="17">
        <f>SUMIF(Audit[[#This Row],[Difference Winner]:[Difference Candidate 12]], "&gt;0")</f>
        <v>0</v>
      </c>
      <c r="AR500" s="17">
        <f>SUM(Audit[[#This Row],[Difference Winner]:[Difference Candidate 12]])</f>
        <v>0</v>
      </c>
      <c r="AS500" s="17">
        <f>IF(Audit[[#This Row],[Times p Drawn - With Replacement]]&gt;0, IF(Audit[[#This Row],[Canceled Differences]]&lt;0, Audit[[#This Row],[Max Differences]]+ABS(Audit[[#This Row],[Canceled Differences]]), Audit[[#This Row],[Max Differences]]), 0)</f>
        <v>0</v>
      </c>
      <c r="AT500" s="17">
        <f>'Sampling Data'!AB500</f>
        <v>1.2137158377185537E-2</v>
      </c>
      <c r="AU500" s="17">
        <f>IF(
      SUM(Audit[[#This Row],[Audit Losing Candidate]:[Audit Candidate 12]])
      &lt;&gt;0,
      (Audit[[#This Row],[Winning Candidate]]-Audit[[#This Row],[Losing Candidate]]-(Audit[[#This Row],[Audit Winning Candidate]]-Audit[[#This Row],[Audit Losing Candidate]]))/(Audit[[#Totals],[Winning Candidate]]-Audit[[#Totals],[Losing Candidate]]),
      0
)</f>
        <v>0</v>
      </c>
      <c r="AV5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0" s="17">
        <f>IF(Audit[[#This Row],[Max Relative Error (ep)]] = 0, 0, Audit[[#This Row],[Max Relative Error (ep)]]/Audit[[#This Row],[Error Bound (up) - Max. possible relative overstatement]])</f>
        <v>0</v>
      </c>
      <c r="BH5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00" s="17">
        <f t="shared" si="8"/>
        <v>1</v>
      </c>
      <c r="BJ500" s="17">
        <f>PRODUCT($BI$5:BI500)</f>
        <v>0.43805400213514833</v>
      </c>
      <c r="BK500" s="19">
        <f>1 - Audit[[#This Row],[K-M P Value]]</f>
        <v>0.56194599786485167</v>
      </c>
      <c r="BL500" s="17" t="str">
        <f>IF(Audit[[#This Row],[K-M P Value]]&gt;1-'General Info'!$B$12,"Continue", "Stop")</f>
        <v>Continue</v>
      </c>
      <c r="BM500" s="22" t="b">
        <f>IF(Audit[[#This Row],[Status - Continue or stop audit]] = "Continue", TRUE, IF(BL499 = "Continue", TRUE, FALSE))</f>
        <v>1</v>
      </c>
      <c r="BN500" s="22"/>
    </row>
    <row r="501" spans="1:66" ht="15" hidden="1" customHeight="1" x14ac:dyDescent="0.35">
      <c r="A501" s="17" t="str">
        <f>'Sampling Data'!AI501</f>
        <v/>
      </c>
      <c r="B501" s="17" t="str">
        <f>'Sampling Data'!A501</f>
        <v>8531 ST BN 3-A   (AV)</v>
      </c>
      <c r="C501" s="17">
        <f>'Sampling Data'!B501</f>
        <v>123</v>
      </c>
      <c r="D501" s="17">
        <f>'Sampling Data'!C501</f>
        <v>83</v>
      </c>
      <c r="E501" s="18">
        <f>'Sampling Data'!D501</f>
        <v>0</v>
      </c>
      <c r="F501" s="18">
        <f>'Sampling Data'!E501</f>
        <v>0</v>
      </c>
      <c r="G501" s="18">
        <f>'Sampling Data'!F501</f>
        <v>0</v>
      </c>
      <c r="H501" s="18">
        <f>'Sampling Data'!G501</f>
        <v>0</v>
      </c>
      <c r="I501" s="18">
        <f>'Sampling Data'!H501</f>
        <v>0</v>
      </c>
      <c r="J501" s="18">
        <f>'Sampling Data'!I501</f>
        <v>0</v>
      </c>
      <c r="K501" s="18">
        <f>'Sampling Data'!J501</f>
        <v>0</v>
      </c>
      <c r="L501" s="18">
        <f>'Sampling Data'!K501</f>
        <v>0</v>
      </c>
      <c r="M501" s="18">
        <f>'Sampling Data'!L501</f>
        <v>0</v>
      </c>
      <c r="N501" s="18">
        <f>'Sampling Data'!M501</f>
        <v>0</v>
      </c>
      <c r="O501" s="17">
        <f>'Sampling Data'!N501</f>
        <v>0</v>
      </c>
      <c r="P501" s="17">
        <f>'Sampling Data'!O501</f>
        <v>5</v>
      </c>
      <c r="Q501" s="17">
        <f>'Sampling Data'!P501</f>
        <v>211</v>
      </c>
      <c r="R501" s="17">
        <f>'Sampling Data'!AJ501</f>
        <v>0</v>
      </c>
      <c r="S501" s="111"/>
      <c r="T501" s="111"/>
      <c r="U501" s="112"/>
      <c r="V501" s="112"/>
      <c r="W501" s="111"/>
      <c r="X501" s="111"/>
      <c r="Y501" s="111"/>
      <c r="Z501" s="111"/>
      <c r="AA501" s="14"/>
      <c r="AB501" s="14"/>
      <c r="AC501" s="14"/>
      <c r="AD501" s="14"/>
      <c r="AE501" s="113" t="str">
        <f>IF(NOT(ISBLANK(Audit[[#This Row],[Audit Winning Candidate]])), Audit[[#This Row],[Audit Winning Candidate]]-Audit[[#This Row],[Winning Candidate]], "")</f>
        <v/>
      </c>
      <c r="AF501" s="17" t="str">
        <f>IF(NOT(ISBLANK(Audit[[#This Row],[Audit Losing Candidate]])), Audit[[#This Row],[Audit Losing Candidate]]-Audit[[#This Row],[Losing Candidate]], "")</f>
        <v/>
      </c>
      <c r="AG501" s="17" t="str">
        <f>IF(NOT(ISBLANK(Audit[[#This Row],[Audit Candidate 3]])), Audit[[#This Row],[Audit Candidate 3]]-Audit[[#This Row],[Candidate 3]], "")</f>
        <v/>
      </c>
      <c r="AH501" s="17" t="str">
        <f>IF(NOT(ISBLANK(Audit[[#This Row],[Audit Candidate 4]])),Audit[[#This Row],[Audit Candidate 4]]-Audit[[#This Row],[Candidate 4]], "")</f>
        <v/>
      </c>
      <c r="AI501" s="17" t="str">
        <f>IF(NOT(ISBLANK(Audit[[#This Row],[Audit Candidate 5]])), Audit[[#This Row],[Audit Candidate 5]]-Audit[[#This Row],[Candidate 5]], "")</f>
        <v/>
      </c>
      <c r="AJ501" s="17" t="str">
        <f>IF(NOT(ISBLANK(Audit[[#This Row],[Audit Candidate 6]])), Audit[[#This Row],[Audit Candidate 6]]-Audit[[#This Row],[Candidate 6]], "")</f>
        <v/>
      </c>
      <c r="AK501" s="17" t="str">
        <f>IF(NOT(ISBLANK(Audit[[#This Row],[Audit Candidate 7]])), Audit[[#This Row],[Audit Candidate 7]]-Audit[[#This Row],[Candidate 7]], "")</f>
        <v/>
      </c>
      <c r="AL501" s="17" t="str">
        <f>IF(NOT(ISBLANK(Audit[[#This Row],[Audit Candidate 8]])), Audit[[#This Row],[Audit Candidate 8]]-Audit[[#This Row],[Candidate 8]], "")</f>
        <v/>
      </c>
      <c r="AM501" s="17" t="str">
        <f>IF(NOT(ISBLANK(Audit[[#This Row],[Audit Candidate 9]])), Audit[[#This Row],[Audit Candidate 9]]-Audit[[#This Row],[Candidate 9]], "")</f>
        <v/>
      </c>
      <c r="AN501" s="17" t="str">
        <f>IF(NOT(ISBLANK(Audit[[#This Row],[Audit Candidate 10]])), Audit[[#This Row],[Audit Candidate 10]]-Audit[[#This Row],[Candidate 10]], "")</f>
        <v/>
      </c>
      <c r="AO501" s="17" t="str">
        <f>IF(NOT(ISBLANK(Audit[[#This Row],[Audit Candidate 11]])), Audit[[#This Row],[Audit Candidate 11]]-Audit[[#This Row],[Candidate 11]], "")</f>
        <v/>
      </c>
      <c r="AP501" s="17" t="str">
        <f>IF(NOT(ISBLANK(Audit[[#This Row],[Audit Candidate 12]])), Audit[[#This Row],[Audit Candidate 12]]-Audit[[#This Row],[Candidate 12]], "")</f>
        <v/>
      </c>
      <c r="AQ501" s="17">
        <f>SUMIF(Audit[[#This Row],[Difference Winner]:[Difference Candidate 12]], "&gt;0")</f>
        <v>0</v>
      </c>
      <c r="AR501" s="17">
        <f>SUM(Audit[[#This Row],[Difference Winner]:[Difference Candidate 12]])</f>
        <v>0</v>
      </c>
      <c r="AS501" s="17">
        <f>IF(Audit[[#This Row],[Times p Drawn - With Replacement]]&gt;0, IF(Audit[[#This Row],[Canceled Differences]]&lt;0, Audit[[#This Row],[Max Differences]]+ABS(Audit[[#This Row],[Canceled Differences]]), Audit[[#This Row],[Max Differences]]), 0)</f>
        <v>0</v>
      </c>
      <c r="AT501" s="17">
        <f>'Sampling Data'!AB501</f>
        <v>1.0651841792564929E-2</v>
      </c>
      <c r="AU501" s="17">
        <f>IF(
      SUM(Audit[[#This Row],[Audit Losing Candidate]:[Audit Candidate 12]])
      &lt;&gt;0,
      (Audit[[#This Row],[Winning Candidate]]-Audit[[#This Row],[Losing Candidate]]-(Audit[[#This Row],[Audit Winning Candidate]]-Audit[[#This Row],[Audit Losing Candidate]]))/(Audit[[#Totals],[Winning Candidate]]-Audit[[#Totals],[Losing Candidate]]),
      0
)</f>
        <v>0</v>
      </c>
      <c r="AV5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1" s="17">
        <f>IF(Audit[[#This Row],[Max Relative Error (ep)]] = 0, 0, Audit[[#This Row],[Max Relative Error (ep)]]/Audit[[#This Row],[Error Bound (up) - Max. possible relative overstatement]])</f>
        <v>0</v>
      </c>
      <c r="BH5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01" s="17">
        <f t="shared" si="8"/>
        <v>1</v>
      </c>
      <c r="BJ501" s="17">
        <f>PRODUCT($BI$5:BI501)</f>
        <v>0.43805400213514833</v>
      </c>
      <c r="BK501" s="19">
        <f>1 - Audit[[#This Row],[K-M P Value]]</f>
        <v>0.56194599786485167</v>
      </c>
      <c r="BL501" s="17" t="str">
        <f>IF(Audit[[#This Row],[K-M P Value]]&gt;1-'General Info'!$B$12,"Continue", "Stop")</f>
        <v>Continue</v>
      </c>
      <c r="BM501" s="22" t="b">
        <f>IF(Audit[[#This Row],[Status - Continue or stop audit]] = "Continue", TRUE, IF(BL500 = "Continue", TRUE, FALSE))</f>
        <v>1</v>
      </c>
      <c r="BN501" s="22"/>
    </row>
    <row r="502" spans="1:66" ht="15" hidden="1" customHeight="1" x14ac:dyDescent="0.35">
      <c r="A502" s="17" t="str">
        <f>'Sampling Data'!AI502</f>
        <v/>
      </c>
      <c r="B502" s="17" t="str">
        <f>'Sampling Data'!A502</f>
        <v>8541 ST BN 4-A   (AV)</v>
      </c>
      <c r="C502" s="17">
        <f>'Sampling Data'!B502</f>
        <v>111</v>
      </c>
      <c r="D502" s="17">
        <f>'Sampling Data'!C502</f>
        <v>67</v>
      </c>
      <c r="E502" s="18">
        <f>'Sampling Data'!D502</f>
        <v>0</v>
      </c>
      <c r="F502" s="18">
        <f>'Sampling Data'!E502</f>
        <v>0</v>
      </c>
      <c r="G502" s="18">
        <f>'Sampling Data'!F502</f>
        <v>0</v>
      </c>
      <c r="H502" s="18">
        <f>'Sampling Data'!G502</f>
        <v>0</v>
      </c>
      <c r="I502" s="18">
        <f>'Sampling Data'!H502</f>
        <v>0</v>
      </c>
      <c r="J502" s="18">
        <f>'Sampling Data'!I502</f>
        <v>0</v>
      </c>
      <c r="K502" s="18">
        <f>'Sampling Data'!J502</f>
        <v>0</v>
      </c>
      <c r="L502" s="18">
        <f>'Sampling Data'!K502</f>
        <v>0</v>
      </c>
      <c r="M502" s="18">
        <f>'Sampling Data'!L502</f>
        <v>0</v>
      </c>
      <c r="N502" s="18">
        <f>'Sampling Data'!M502</f>
        <v>0</v>
      </c>
      <c r="O502" s="17">
        <f>'Sampling Data'!N502</f>
        <v>0</v>
      </c>
      <c r="P502" s="17">
        <f>'Sampling Data'!O502</f>
        <v>6</v>
      </c>
      <c r="Q502" s="17">
        <f>'Sampling Data'!P502</f>
        <v>184</v>
      </c>
      <c r="R502" s="17">
        <f>'Sampling Data'!AJ502</f>
        <v>0</v>
      </c>
      <c r="S502" s="111"/>
      <c r="T502" s="111"/>
      <c r="U502" s="112"/>
      <c r="V502" s="112"/>
      <c r="W502" s="111"/>
      <c r="X502" s="111"/>
      <c r="Y502" s="111"/>
      <c r="Z502" s="111"/>
      <c r="AA502" s="14"/>
      <c r="AB502" s="14"/>
      <c r="AC502" s="14"/>
      <c r="AD502" s="14"/>
      <c r="AE502" s="113" t="str">
        <f>IF(NOT(ISBLANK(Audit[[#This Row],[Audit Winning Candidate]])), Audit[[#This Row],[Audit Winning Candidate]]-Audit[[#This Row],[Winning Candidate]], "")</f>
        <v/>
      </c>
      <c r="AF502" s="17" t="str">
        <f>IF(NOT(ISBLANK(Audit[[#This Row],[Audit Losing Candidate]])), Audit[[#This Row],[Audit Losing Candidate]]-Audit[[#This Row],[Losing Candidate]], "")</f>
        <v/>
      </c>
      <c r="AG502" s="17" t="str">
        <f>IF(NOT(ISBLANK(Audit[[#This Row],[Audit Candidate 3]])), Audit[[#This Row],[Audit Candidate 3]]-Audit[[#This Row],[Candidate 3]], "")</f>
        <v/>
      </c>
      <c r="AH502" s="17" t="str">
        <f>IF(NOT(ISBLANK(Audit[[#This Row],[Audit Candidate 4]])),Audit[[#This Row],[Audit Candidate 4]]-Audit[[#This Row],[Candidate 4]], "")</f>
        <v/>
      </c>
      <c r="AI502" s="17" t="str">
        <f>IF(NOT(ISBLANK(Audit[[#This Row],[Audit Candidate 5]])), Audit[[#This Row],[Audit Candidate 5]]-Audit[[#This Row],[Candidate 5]], "")</f>
        <v/>
      </c>
      <c r="AJ502" s="17" t="str">
        <f>IF(NOT(ISBLANK(Audit[[#This Row],[Audit Candidate 6]])), Audit[[#This Row],[Audit Candidate 6]]-Audit[[#This Row],[Candidate 6]], "")</f>
        <v/>
      </c>
      <c r="AK502" s="17" t="str">
        <f>IF(NOT(ISBLANK(Audit[[#This Row],[Audit Candidate 7]])), Audit[[#This Row],[Audit Candidate 7]]-Audit[[#This Row],[Candidate 7]], "")</f>
        <v/>
      </c>
      <c r="AL502" s="17" t="str">
        <f>IF(NOT(ISBLANK(Audit[[#This Row],[Audit Candidate 8]])), Audit[[#This Row],[Audit Candidate 8]]-Audit[[#This Row],[Candidate 8]], "")</f>
        <v/>
      </c>
      <c r="AM502" s="17" t="str">
        <f>IF(NOT(ISBLANK(Audit[[#This Row],[Audit Candidate 9]])), Audit[[#This Row],[Audit Candidate 9]]-Audit[[#This Row],[Candidate 9]], "")</f>
        <v/>
      </c>
      <c r="AN502" s="17" t="str">
        <f>IF(NOT(ISBLANK(Audit[[#This Row],[Audit Candidate 10]])), Audit[[#This Row],[Audit Candidate 10]]-Audit[[#This Row],[Candidate 10]], "")</f>
        <v/>
      </c>
      <c r="AO502" s="17" t="str">
        <f>IF(NOT(ISBLANK(Audit[[#This Row],[Audit Candidate 11]])), Audit[[#This Row],[Audit Candidate 11]]-Audit[[#This Row],[Candidate 11]], "")</f>
        <v/>
      </c>
      <c r="AP502" s="17" t="str">
        <f>IF(NOT(ISBLANK(Audit[[#This Row],[Audit Candidate 12]])), Audit[[#This Row],[Audit Candidate 12]]-Audit[[#This Row],[Candidate 12]], "")</f>
        <v/>
      </c>
      <c r="AQ502" s="17">
        <f>SUMIF(Audit[[#This Row],[Difference Winner]:[Difference Candidate 12]], "&gt;0")</f>
        <v>0</v>
      </c>
      <c r="AR502" s="17">
        <f>SUM(Audit[[#This Row],[Difference Winner]:[Difference Candidate 12]])</f>
        <v>0</v>
      </c>
      <c r="AS502" s="17">
        <f>IF(Audit[[#This Row],[Times p Drawn - With Replacement]]&gt;0, IF(Audit[[#This Row],[Canceled Differences]]&lt;0, Audit[[#This Row],[Max Differences]]+ABS(Audit[[#This Row],[Canceled Differences]]), Audit[[#This Row],[Max Differences]]), 0)</f>
        <v>0</v>
      </c>
      <c r="AT502" s="17">
        <f>'Sampling Data'!AB502</f>
        <v>9.6757766083856722E-3</v>
      </c>
      <c r="AU502" s="17">
        <f>IF(
      SUM(Audit[[#This Row],[Audit Losing Candidate]:[Audit Candidate 12]])
      &lt;&gt;0,
      (Audit[[#This Row],[Winning Candidate]]-Audit[[#This Row],[Losing Candidate]]-(Audit[[#This Row],[Audit Winning Candidate]]-Audit[[#This Row],[Audit Losing Candidate]]))/(Audit[[#Totals],[Winning Candidate]]-Audit[[#Totals],[Losing Candidate]]),
      0
)</f>
        <v>0</v>
      </c>
      <c r="AV5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2" s="17">
        <f>IF(Audit[[#This Row],[Max Relative Error (ep)]] = 0, 0, Audit[[#This Row],[Max Relative Error (ep)]]/Audit[[#This Row],[Error Bound (up) - Max. possible relative overstatement]])</f>
        <v>0</v>
      </c>
      <c r="BH5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02" s="17">
        <f t="shared" si="8"/>
        <v>1</v>
      </c>
      <c r="BJ502" s="17">
        <f>PRODUCT($BI$5:BI502)</f>
        <v>0.43805400213514833</v>
      </c>
      <c r="BK502" s="19">
        <f>1 - Audit[[#This Row],[K-M P Value]]</f>
        <v>0.56194599786485167</v>
      </c>
      <c r="BL502" s="17" t="str">
        <f>IF(Audit[[#This Row],[K-M P Value]]&gt;1-'General Info'!$B$12,"Continue", "Stop")</f>
        <v>Continue</v>
      </c>
      <c r="BM502" s="22" t="b">
        <f>IF(Audit[[#This Row],[Status - Continue or stop audit]] = "Continue", TRUE, IF(BL501 = "Continue", TRUE, FALSE))</f>
        <v>1</v>
      </c>
      <c r="BN502" s="22"/>
    </row>
    <row r="503" spans="1:66" ht="15" hidden="1" customHeight="1" x14ac:dyDescent="0.35">
      <c r="A503" s="17" t="str">
        <f>'Sampling Data'!AI503</f>
        <v/>
      </c>
      <c r="B503" s="17" t="str">
        <f>'Sampling Data'!A503</f>
        <v>8601 SILVT A   (AV)</v>
      </c>
      <c r="C503" s="17">
        <f>'Sampling Data'!B503</f>
        <v>306</v>
      </c>
      <c r="D503" s="17">
        <f>'Sampling Data'!C503</f>
        <v>128</v>
      </c>
      <c r="E503" s="18">
        <f>'Sampling Data'!D503</f>
        <v>0</v>
      </c>
      <c r="F503" s="18">
        <f>'Sampling Data'!E503</f>
        <v>0</v>
      </c>
      <c r="G503" s="18">
        <f>'Sampling Data'!F503</f>
        <v>0</v>
      </c>
      <c r="H503" s="18">
        <f>'Sampling Data'!G503</f>
        <v>0</v>
      </c>
      <c r="I503" s="18">
        <f>'Sampling Data'!H503</f>
        <v>0</v>
      </c>
      <c r="J503" s="18">
        <f>'Sampling Data'!I503</f>
        <v>0</v>
      </c>
      <c r="K503" s="18">
        <f>'Sampling Data'!J503</f>
        <v>0</v>
      </c>
      <c r="L503" s="18">
        <f>'Sampling Data'!K503</f>
        <v>0</v>
      </c>
      <c r="M503" s="18">
        <f>'Sampling Data'!L503</f>
        <v>0</v>
      </c>
      <c r="N503" s="18">
        <f>'Sampling Data'!M503</f>
        <v>0</v>
      </c>
      <c r="O503" s="17">
        <f>'Sampling Data'!N503</f>
        <v>0</v>
      </c>
      <c r="P503" s="17">
        <f>'Sampling Data'!O503</f>
        <v>17</v>
      </c>
      <c r="Q503" s="17">
        <f>'Sampling Data'!P503</f>
        <v>451</v>
      </c>
      <c r="R503" s="17">
        <f>'Sampling Data'!AJ503</f>
        <v>0</v>
      </c>
      <c r="S503" s="111"/>
      <c r="T503" s="111"/>
      <c r="U503" s="112"/>
      <c r="V503" s="112"/>
      <c r="W503" s="111"/>
      <c r="X503" s="111"/>
      <c r="Y503" s="111"/>
      <c r="Z503" s="111"/>
      <c r="AA503" s="14"/>
      <c r="AB503" s="14"/>
      <c r="AC503" s="14"/>
      <c r="AD503" s="14"/>
      <c r="AE503" s="113" t="str">
        <f>IF(NOT(ISBLANK(Audit[[#This Row],[Audit Winning Candidate]])), Audit[[#This Row],[Audit Winning Candidate]]-Audit[[#This Row],[Winning Candidate]], "")</f>
        <v/>
      </c>
      <c r="AF503" s="17" t="str">
        <f>IF(NOT(ISBLANK(Audit[[#This Row],[Audit Losing Candidate]])), Audit[[#This Row],[Audit Losing Candidate]]-Audit[[#This Row],[Losing Candidate]], "")</f>
        <v/>
      </c>
      <c r="AG503" s="17" t="str">
        <f>IF(NOT(ISBLANK(Audit[[#This Row],[Audit Candidate 3]])), Audit[[#This Row],[Audit Candidate 3]]-Audit[[#This Row],[Candidate 3]], "")</f>
        <v/>
      </c>
      <c r="AH503" s="17" t="str">
        <f>IF(NOT(ISBLANK(Audit[[#This Row],[Audit Candidate 4]])),Audit[[#This Row],[Audit Candidate 4]]-Audit[[#This Row],[Candidate 4]], "")</f>
        <v/>
      </c>
      <c r="AI503" s="17" t="str">
        <f>IF(NOT(ISBLANK(Audit[[#This Row],[Audit Candidate 5]])), Audit[[#This Row],[Audit Candidate 5]]-Audit[[#This Row],[Candidate 5]], "")</f>
        <v/>
      </c>
      <c r="AJ503" s="17" t="str">
        <f>IF(NOT(ISBLANK(Audit[[#This Row],[Audit Candidate 6]])), Audit[[#This Row],[Audit Candidate 6]]-Audit[[#This Row],[Candidate 6]], "")</f>
        <v/>
      </c>
      <c r="AK503" s="17" t="str">
        <f>IF(NOT(ISBLANK(Audit[[#This Row],[Audit Candidate 7]])), Audit[[#This Row],[Audit Candidate 7]]-Audit[[#This Row],[Candidate 7]], "")</f>
        <v/>
      </c>
      <c r="AL503" s="17" t="str">
        <f>IF(NOT(ISBLANK(Audit[[#This Row],[Audit Candidate 8]])), Audit[[#This Row],[Audit Candidate 8]]-Audit[[#This Row],[Candidate 8]], "")</f>
        <v/>
      </c>
      <c r="AM503" s="17" t="str">
        <f>IF(NOT(ISBLANK(Audit[[#This Row],[Audit Candidate 9]])), Audit[[#This Row],[Audit Candidate 9]]-Audit[[#This Row],[Candidate 9]], "")</f>
        <v/>
      </c>
      <c r="AN503" s="17" t="str">
        <f>IF(NOT(ISBLANK(Audit[[#This Row],[Audit Candidate 10]])), Audit[[#This Row],[Audit Candidate 10]]-Audit[[#This Row],[Candidate 10]], "")</f>
        <v/>
      </c>
      <c r="AO503" s="17" t="str">
        <f>IF(NOT(ISBLANK(Audit[[#This Row],[Audit Candidate 11]])), Audit[[#This Row],[Audit Candidate 11]]-Audit[[#This Row],[Candidate 11]], "")</f>
        <v/>
      </c>
      <c r="AP503" s="17" t="str">
        <f>IF(NOT(ISBLANK(Audit[[#This Row],[Audit Candidate 12]])), Audit[[#This Row],[Audit Candidate 12]]-Audit[[#This Row],[Candidate 12]], "")</f>
        <v/>
      </c>
      <c r="AQ503" s="17">
        <f>SUMIF(Audit[[#This Row],[Difference Winner]:[Difference Candidate 12]], "&gt;0")</f>
        <v>0</v>
      </c>
      <c r="AR503" s="17">
        <f>SUM(Audit[[#This Row],[Difference Winner]:[Difference Candidate 12]])</f>
        <v>0</v>
      </c>
      <c r="AS503" s="17">
        <f>IF(Audit[[#This Row],[Times p Drawn - With Replacement]]&gt;0, IF(Audit[[#This Row],[Canceled Differences]]&lt;0, Audit[[#This Row],[Max Differences]]+ABS(Audit[[#This Row],[Canceled Differences]]), Audit[[#This Row],[Max Differences]]), 0)</f>
        <v>0</v>
      </c>
      <c r="AT503" s="17">
        <f>'Sampling Data'!AB503</f>
        <v>2.6693260906467491E-2</v>
      </c>
      <c r="AU503" s="17">
        <f>IF(
      SUM(Audit[[#This Row],[Audit Losing Candidate]:[Audit Candidate 12]])
      &lt;&gt;0,
      (Audit[[#This Row],[Winning Candidate]]-Audit[[#This Row],[Losing Candidate]]-(Audit[[#This Row],[Audit Winning Candidate]]-Audit[[#This Row],[Audit Losing Candidate]]))/(Audit[[#Totals],[Winning Candidate]]-Audit[[#Totals],[Losing Candidate]]),
      0
)</f>
        <v>0</v>
      </c>
      <c r="AV5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3" s="17">
        <f>IF(Audit[[#This Row],[Max Relative Error (ep)]] = 0, 0, Audit[[#This Row],[Max Relative Error (ep)]]/Audit[[#This Row],[Error Bound (up) - Max. possible relative overstatement]])</f>
        <v>0</v>
      </c>
      <c r="BH5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03" s="17">
        <f t="shared" si="8"/>
        <v>1</v>
      </c>
      <c r="BJ503" s="17">
        <f>PRODUCT($BI$5:BI503)</f>
        <v>0.43805400213514833</v>
      </c>
      <c r="BK503" s="19">
        <f>1 - Audit[[#This Row],[K-M P Value]]</f>
        <v>0.56194599786485167</v>
      </c>
      <c r="BL503" s="17" t="str">
        <f>IF(Audit[[#This Row],[K-M P Value]]&gt;1-'General Info'!$B$12,"Continue", "Stop")</f>
        <v>Continue</v>
      </c>
      <c r="BM503" s="22" t="b">
        <f>IF(Audit[[#This Row],[Status - Continue or stop audit]] = "Continue", TRUE, IF(BL502 = "Continue", TRUE, FALSE))</f>
        <v>1</v>
      </c>
      <c r="BN503" s="22"/>
    </row>
    <row r="504" spans="1:66" ht="15" hidden="1" customHeight="1" x14ac:dyDescent="0.35">
      <c r="A504" s="17" t="str">
        <f>'Sampling Data'!AI504</f>
        <v/>
      </c>
      <c r="B504" s="17" t="str">
        <f>'Sampling Data'!A504</f>
        <v>8602 SILVT B   (AV)</v>
      </c>
      <c r="C504" s="17">
        <f>'Sampling Data'!B504</f>
        <v>397</v>
      </c>
      <c r="D504" s="17">
        <f>'Sampling Data'!C504</f>
        <v>83</v>
      </c>
      <c r="E504" s="18">
        <f>'Sampling Data'!D504</f>
        <v>0</v>
      </c>
      <c r="F504" s="18">
        <f>'Sampling Data'!E504</f>
        <v>0</v>
      </c>
      <c r="G504" s="18">
        <f>'Sampling Data'!F504</f>
        <v>0</v>
      </c>
      <c r="H504" s="18">
        <f>'Sampling Data'!G504</f>
        <v>0</v>
      </c>
      <c r="I504" s="18">
        <f>'Sampling Data'!H504</f>
        <v>0</v>
      </c>
      <c r="J504" s="18">
        <f>'Sampling Data'!I504</f>
        <v>0</v>
      </c>
      <c r="K504" s="18">
        <f>'Sampling Data'!J504</f>
        <v>0</v>
      </c>
      <c r="L504" s="18">
        <f>'Sampling Data'!K504</f>
        <v>0</v>
      </c>
      <c r="M504" s="18">
        <f>'Sampling Data'!L504</f>
        <v>0</v>
      </c>
      <c r="N504" s="18">
        <f>'Sampling Data'!M504</f>
        <v>0</v>
      </c>
      <c r="O504" s="17">
        <f>'Sampling Data'!N504</f>
        <v>1</v>
      </c>
      <c r="P504" s="17">
        <f>'Sampling Data'!O504</f>
        <v>18</v>
      </c>
      <c r="Q504" s="17">
        <f>'Sampling Data'!P504</f>
        <v>499</v>
      </c>
      <c r="R504" s="17">
        <f>'Sampling Data'!AJ504</f>
        <v>0</v>
      </c>
      <c r="S504" s="111"/>
      <c r="T504" s="111"/>
      <c r="U504" s="112"/>
      <c r="V504" s="112"/>
      <c r="W504" s="111"/>
      <c r="X504" s="111"/>
      <c r="Y504" s="111"/>
      <c r="Z504" s="111"/>
      <c r="AA504" s="14"/>
      <c r="AB504" s="14"/>
      <c r="AC504" s="14"/>
      <c r="AD504" s="14"/>
      <c r="AE504" s="113" t="str">
        <f>IF(NOT(ISBLANK(Audit[[#This Row],[Audit Winning Candidate]])), Audit[[#This Row],[Audit Winning Candidate]]-Audit[[#This Row],[Winning Candidate]], "")</f>
        <v/>
      </c>
      <c r="AF504" s="17" t="str">
        <f>IF(NOT(ISBLANK(Audit[[#This Row],[Audit Losing Candidate]])), Audit[[#This Row],[Audit Losing Candidate]]-Audit[[#This Row],[Losing Candidate]], "")</f>
        <v/>
      </c>
      <c r="AG504" s="17" t="str">
        <f>IF(NOT(ISBLANK(Audit[[#This Row],[Audit Candidate 3]])), Audit[[#This Row],[Audit Candidate 3]]-Audit[[#This Row],[Candidate 3]], "")</f>
        <v/>
      </c>
      <c r="AH504" s="17" t="str">
        <f>IF(NOT(ISBLANK(Audit[[#This Row],[Audit Candidate 4]])),Audit[[#This Row],[Audit Candidate 4]]-Audit[[#This Row],[Candidate 4]], "")</f>
        <v/>
      </c>
      <c r="AI504" s="17" t="str">
        <f>IF(NOT(ISBLANK(Audit[[#This Row],[Audit Candidate 5]])), Audit[[#This Row],[Audit Candidate 5]]-Audit[[#This Row],[Candidate 5]], "")</f>
        <v/>
      </c>
      <c r="AJ504" s="17" t="str">
        <f>IF(NOT(ISBLANK(Audit[[#This Row],[Audit Candidate 6]])), Audit[[#This Row],[Audit Candidate 6]]-Audit[[#This Row],[Candidate 6]], "")</f>
        <v/>
      </c>
      <c r="AK504" s="17" t="str">
        <f>IF(NOT(ISBLANK(Audit[[#This Row],[Audit Candidate 7]])), Audit[[#This Row],[Audit Candidate 7]]-Audit[[#This Row],[Candidate 7]], "")</f>
        <v/>
      </c>
      <c r="AL504" s="17" t="str">
        <f>IF(NOT(ISBLANK(Audit[[#This Row],[Audit Candidate 8]])), Audit[[#This Row],[Audit Candidate 8]]-Audit[[#This Row],[Candidate 8]], "")</f>
        <v/>
      </c>
      <c r="AM504" s="17" t="str">
        <f>IF(NOT(ISBLANK(Audit[[#This Row],[Audit Candidate 9]])), Audit[[#This Row],[Audit Candidate 9]]-Audit[[#This Row],[Candidate 9]], "")</f>
        <v/>
      </c>
      <c r="AN504" s="17" t="str">
        <f>IF(NOT(ISBLANK(Audit[[#This Row],[Audit Candidate 10]])), Audit[[#This Row],[Audit Candidate 10]]-Audit[[#This Row],[Candidate 10]], "")</f>
        <v/>
      </c>
      <c r="AO504" s="17" t="str">
        <f>IF(NOT(ISBLANK(Audit[[#This Row],[Audit Candidate 11]])), Audit[[#This Row],[Audit Candidate 11]]-Audit[[#This Row],[Candidate 11]], "")</f>
        <v/>
      </c>
      <c r="AP504" s="17" t="str">
        <f>IF(NOT(ISBLANK(Audit[[#This Row],[Audit Candidate 12]])), Audit[[#This Row],[Audit Candidate 12]]-Audit[[#This Row],[Candidate 12]], "")</f>
        <v/>
      </c>
      <c r="AQ504" s="17">
        <f>SUMIF(Audit[[#This Row],[Difference Winner]:[Difference Candidate 12]], "&gt;0")</f>
        <v>0</v>
      </c>
      <c r="AR504" s="17">
        <f>SUM(Audit[[#This Row],[Difference Winner]:[Difference Candidate 12]])</f>
        <v>0</v>
      </c>
      <c r="AS504" s="17">
        <f>IF(Audit[[#This Row],[Times p Drawn - With Replacement]]&gt;0, IF(Audit[[#This Row],[Canceled Differences]]&lt;0, Audit[[#This Row],[Max Differences]]+ABS(Audit[[#This Row],[Canceled Differences]]), Audit[[#This Row],[Max Differences]]), 0)</f>
        <v>0</v>
      </c>
      <c r="AT504" s="17">
        <f>'Sampling Data'!AB504</f>
        <v>3.4501782379901542E-2</v>
      </c>
      <c r="AU504" s="17">
        <f>IF(
      SUM(Audit[[#This Row],[Audit Losing Candidate]:[Audit Candidate 12]])
      &lt;&gt;0,
      (Audit[[#This Row],[Winning Candidate]]-Audit[[#This Row],[Losing Candidate]]-(Audit[[#This Row],[Audit Winning Candidate]]-Audit[[#This Row],[Audit Losing Candidate]]))/(Audit[[#Totals],[Winning Candidate]]-Audit[[#Totals],[Losing Candidate]]),
      0
)</f>
        <v>0</v>
      </c>
      <c r="AV5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4" s="17">
        <f>IF(Audit[[#This Row],[Max Relative Error (ep)]] = 0, 0, Audit[[#This Row],[Max Relative Error (ep)]]/Audit[[#This Row],[Error Bound (up) - Max. possible relative overstatement]])</f>
        <v>0</v>
      </c>
      <c r="BH5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04" s="17">
        <f t="shared" si="8"/>
        <v>1</v>
      </c>
      <c r="BJ504" s="17">
        <f>PRODUCT($BI$5:BI504)</f>
        <v>0.43805400213514833</v>
      </c>
      <c r="BK504" s="19">
        <f>1 - Audit[[#This Row],[K-M P Value]]</f>
        <v>0.56194599786485167</v>
      </c>
      <c r="BL504" s="17" t="str">
        <f>IF(Audit[[#This Row],[K-M P Value]]&gt;1-'General Info'!$B$12,"Continue", "Stop")</f>
        <v>Continue</v>
      </c>
      <c r="BM504" s="22" t="b">
        <f>IF(Audit[[#This Row],[Status - Continue or stop audit]] = "Continue", TRUE, IF(BL503 = "Continue", TRUE, FALSE))</f>
        <v>1</v>
      </c>
      <c r="BN504" s="22"/>
    </row>
    <row r="505" spans="1:66" ht="15" hidden="1" customHeight="1" x14ac:dyDescent="0.35">
      <c r="A505" s="17" t="str">
        <f>'Sampling Data'!AI505</f>
        <v/>
      </c>
      <c r="B505" s="17" t="str">
        <f>'Sampling Data'!A505</f>
        <v>8603 SILVT C   (AV)</v>
      </c>
      <c r="C505" s="17">
        <f>'Sampling Data'!B505</f>
        <v>313</v>
      </c>
      <c r="D505" s="17">
        <f>'Sampling Data'!C505</f>
        <v>92</v>
      </c>
      <c r="E505" s="18">
        <f>'Sampling Data'!D505</f>
        <v>0</v>
      </c>
      <c r="F505" s="18">
        <f>'Sampling Data'!E505</f>
        <v>0</v>
      </c>
      <c r="G505" s="18">
        <f>'Sampling Data'!F505</f>
        <v>0</v>
      </c>
      <c r="H505" s="18">
        <f>'Sampling Data'!G505</f>
        <v>0</v>
      </c>
      <c r="I505" s="18">
        <f>'Sampling Data'!H505</f>
        <v>0</v>
      </c>
      <c r="J505" s="18">
        <f>'Sampling Data'!I505</f>
        <v>0</v>
      </c>
      <c r="K505" s="18">
        <f>'Sampling Data'!J505</f>
        <v>0</v>
      </c>
      <c r="L505" s="18">
        <f>'Sampling Data'!K505</f>
        <v>0</v>
      </c>
      <c r="M505" s="18">
        <f>'Sampling Data'!L505</f>
        <v>0</v>
      </c>
      <c r="N505" s="18">
        <f>'Sampling Data'!M505</f>
        <v>0</v>
      </c>
      <c r="O505" s="17">
        <f>'Sampling Data'!N505</f>
        <v>1</v>
      </c>
      <c r="P505" s="17">
        <f>'Sampling Data'!O505</f>
        <v>17</v>
      </c>
      <c r="Q505" s="17">
        <f>'Sampling Data'!P505</f>
        <v>423</v>
      </c>
      <c r="R505" s="17">
        <f>'Sampling Data'!AJ505</f>
        <v>0</v>
      </c>
      <c r="S505" s="111"/>
      <c r="T505" s="111"/>
      <c r="U505" s="112"/>
      <c r="V505" s="112"/>
      <c r="W505" s="111"/>
      <c r="X505" s="111"/>
      <c r="Y505" s="111"/>
      <c r="Z505" s="111"/>
      <c r="AA505" s="14"/>
      <c r="AB505" s="14"/>
      <c r="AC505" s="14"/>
      <c r="AD505" s="14"/>
      <c r="AE505" s="113" t="str">
        <f>IF(NOT(ISBLANK(Audit[[#This Row],[Audit Winning Candidate]])), Audit[[#This Row],[Audit Winning Candidate]]-Audit[[#This Row],[Winning Candidate]], "")</f>
        <v/>
      </c>
      <c r="AF505" s="17" t="str">
        <f>IF(NOT(ISBLANK(Audit[[#This Row],[Audit Losing Candidate]])), Audit[[#This Row],[Audit Losing Candidate]]-Audit[[#This Row],[Losing Candidate]], "")</f>
        <v/>
      </c>
      <c r="AG505" s="17" t="str">
        <f>IF(NOT(ISBLANK(Audit[[#This Row],[Audit Candidate 3]])), Audit[[#This Row],[Audit Candidate 3]]-Audit[[#This Row],[Candidate 3]], "")</f>
        <v/>
      </c>
      <c r="AH505" s="17" t="str">
        <f>IF(NOT(ISBLANK(Audit[[#This Row],[Audit Candidate 4]])),Audit[[#This Row],[Audit Candidate 4]]-Audit[[#This Row],[Candidate 4]], "")</f>
        <v/>
      </c>
      <c r="AI505" s="17" t="str">
        <f>IF(NOT(ISBLANK(Audit[[#This Row],[Audit Candidate 5]])), Audit[[#This Row],[Audit Candidate 5]]-Audit[[#This Row],[Candidate 5]], "")</f>
        <v/>
      </c>
      <c r="AJ505" s="17" t="str">
        <f>IF(NOT(ISBLANK(Audit[[#This Row],[Audit Candidate 6]])), Audit[[#This Row],[Audit Candidate 6]]-Audit[[#This Row],[Candidate 6]], "")</f>
        <v/>
      </c>
      <c r="AK505" s="17" t="str">
        <f>IF(NOT(ISBLANK(Audit[[#This Row],[Audit Candidate 7]])), Audit[[#This Row],[Audit Candidate 7]]-Audit[[#This Row],[Candidate 7]], "")</f>
        <v/>
      </c>
      <c r="AL505" s="17" t="str">
        <f>IF(NOT(ISBLANK(Audit[[#This Row],[Audit Candidate 8]])), Audit[[#This Row],[Audit Candidate 8]]-Audit[[#This Row],[Candidate 8]], "")</f>
        <v/>
      </c>
      <c r="AM505" s="17" t="str">
        <f>IF(NOT(ISBLANK(Audit[[#This Row],[Audit Candidate 9]])), Audit[[#This Row],[Audit Candidate 9]]-Audit[[#This Row],[Candidate 9]], "")</f>
        <v/>
      </c>
      <c r="AN505" s="17" t="str">
        <f>IF(NOT(ISBLANK(Audit[[#This Row],[Audit Candidate 10]])), Audit[[#This Row],[Audit Candidate 10]]-Audit[[#This Row],[Candidate 10]], "")</f>
        <v/>
      </c>
      <c r="AO505" s="17" t="str">
        <f>IF(NOT(ISBLANK(Audit[[#This Row],[Audit Candidate 11]])), Audit[[#This Row],[Audit Candidate 11]]-Audit[[#This Row],[Candidate 11]], "")</f>
        <v/>
      </c>
      <c r="AP505" s="17" t="str">
        <f>IF(NOT(ISBLANK(Audit[[#This Row],[Audit Candidate 12]])), Audit[[#This Row],[Audit Candidate 12]]-Audit[[#This Row],[Candidate 12]], "")</f>
        <v/>
      </c>
      <c r="AQ505" s="17">
        <f>SUMIF(Audit[[#This Row],[Difference Winner]:[Difference Candidate 12]], "&gt;0")</f>
        <v>0</v>
      </c>
      <c r="AR505" s="17">
        <f>SUM(Audit[[#This Row],[Difference Winner]:[Difference Candidate 12]])</f>
        <v>0</v>
      </c>
      <c r="AS505" s="17">
        <f>IF(Audit[[#This Row],[Times p Drawn - With Replacement]]&gt;0, IF(Audit[[#This Row],[Canceled Differences]]&lt;0, Audit[[#This Row],[Max Differences]]+ABS(Audit[[#This Row],[Canceled Differences]]), Audit[[#This Row],[Max Differences]]), 0)</f>
        <v>0</v>
      </c>
      <c r="AT505" s="17">
        <f>'Sampling Data'!AB505</f>
        <v>2.7329825157019181E-2</v>
      </c>
      <c r="AU505" s="17">
        <f>IF(
      SUM(Audit[[#This Row],[Audit Losing Candidate]:[Audit Candidate 12]])
      &lt;&gt;0,
      (Audit[[#This Row],[Winning Candidate]]-Audit[[#This Row],[Losing Candidate]]-(Audit[[#This Row],[Audit Winning Candidate]]-Audit[[#This Row],[Audit Losing Candidate]]))/(Audit[[#Totals],[Winning Candidate]]-Audit[[#Totals],[Losing Candidate]]),
      0
)</f>
        <v>0</v>
      </c>
      <c r="AV5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5" s="17">
        <f>IF(Audit[[#This Row],[Max Relative Error (ep)]] = 0, 0, Audit[[#This Row],[Max Relative Error (ep)]]/Audit[[#This Row],[Error Bound (up) - Max. possible relative overstatement]])</f>
        <v>0</v>
      </c>
      <c r="BH5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05" s="17">
        <f t="shared" si="8"/>
        <v>1</v>
      </c>
      <c r="BJ505" s="17">
        <f>PRODUCT($BI$5:BI505)</f>
        <v>0.43805400213514833</v>
      </c>
      <c r="BK505" s="19">
        <f>1 - Audit[[#This Row],[K-M P Value]]</f>
        <v>0.56194599786485167</v>
      </c>
      <c r="BL505" s="17" t="str">
        <f>IF(Audit[[#This Row],[K-M P Value]]&gt;1-'General Info'!$B$12,"Continue", "Stop")</f>
        <v>Continue</v>
      </c>
      <c r="BM505" s="22" t="b">
        <f>IF(Audit[[#This Row],[Status - Continue or stop audit]] = "Continue", TRUE, IF(BL504 = "Continue", TRUE, FALSE))</f>
        <v>1</v>
      </c>
      <c r="BN505" s="22"/>
    </row>
    <row r="506" spans="1:66" ht="15" hidden="1" customHeight="1" x14ac:dyDescent="0.35">
      <c r="A506" s="17" t="str">
        <f>'Sampling Data'!AI506</f>
        <v/>
      </c>
      <c r="B506" s="17" t="str">
        <f>'Sampling Data'!A506</f>
        <v>8701 SPFLD A   (AV)</v>
      </c>
      <c r="C506" s="17">
        <f>'Sampling Data'!B506</f>
        <v>105</v>
      </c>
      <c r="D506" s="17">
        <f>'Sampling Data'!C506</f>
        <v>19</v>
      </c>
      <c r="E506" s="18">
        <f>'Sampling Data'!D506</f>
        <v>0</v>
      </c>
      <c r="F506" s="18">
        <f>'Sampling Data'!E506</f>
        <v>0</v>
      </c>
      <c r="G506" s="18">
        <f>'Sampling Data'!F506</f>
        <v>0</v>
      </c>
      <c r="H506" s="18">
        <f>'Sampling Data'!G506</f>
        <v>0</v>
      </c>
      <c r="I506" s="18">
        <f>'Sampling Data'!H506</f>
        <v>0</v>
      </c>
      <c r="J506" s="18">
        <f>'Sampling Data'!I506</f>
        <v>0</v>
      </c>
      <c r="K506" s="18">
        <f>'Sampling Data'!J506</f>
        <v>0</v>
      </c>
      <c r="L506" s="18">
        <f>'Sampling Data'!K506</f>
        <v>0</v>
      </c>
      <c r="M506" s="18">
        <f>'Sampling Data'!L506</f>
        <v>0</v>
      </c>
      <c r="N506" s="18">
        <f>'Sampling Data'!M506</f>
        <v>0</v>
      </c>
      <c r="O506" s="17">
        <f>'Sampling Data'!N506</f>
        <v>0</v>
      </c>
      <c r="P506" s="17">
        <f>'Sampling Data'!O506</f>
        <v>7</v>
      </c>
      <c r="Q506" s="17">
        <f>'Sampling Data'!P506</f>
        <v>131</v>
      </c>
      <c r="R506" s="17">
        <f>'Sampling Data'!AJ506</f>
        <v>0</v>
      </c>
      <c r="S506" s="111"/>
      <c r="T506" s="111"/>
      <c r="U506" s="112"/>
      <c r="V506" s="112"/>
      <c r="W506" s="111"/>
      <c r="X506" s="111"/>
      <c r="Y506" s="111"/>
      <c r="Z506" s="111"/>
      <c r="AA506" s="14"/>
      <c r="AB506" s="14"/>
      <c r="AC506" s="14"/>
      <c r="AD506" s="14"/>
      <c r="AE506" s="113" t="str">
        <f>IF(NOT(ISBLANK(Audit[[#This Row],[Audit Winning Candidate]])), Audit[[#This Row],[Audit Winning Candidate]]-Audit[[#This Row],[Winning Candidate]], "")</f>
        <v/>
      </c>
      <c r="AF506" s="17" t="str">
        <f>IF(NOT(ISBLANK(Audit[[#This Row],[Audit Losing Candidate]])), Audit[[#This Row],[Audit Losing Candidate]]-Audit[[#This Row],[Losing Candidate]], "")</f>
        <v/>
      </c>
      <c r="AG506" s="17" t="str">
        <f>IF(NOT(ISBLANK(Audit[[#This Row],[Audit Candidate 3]])), Audit[[#This Row],[Audit Candidate 3]]-Audit[[#This Row],[Candidate 3]], "")</f>
        <v/>
      </c>
      <c r="AH506" s="17" t="str">
        <f>IF(NOT(ISBLANK(Audit[[#This Row],[Audit Candidate 4]])),Audit[[#This Row],[Audit Candidate 4]]-Audit[[#This Row],[Candidate 4]], "")</f>
        <v/>
      </c>
      <c r="AI506" s="17" t="str">
        <f>IF(NOT(ISBLANK(Audit[[#This Row],[Audit Candidate 5]])), Audit[[#This Row],[Audit Candidate 5]]-Audit[[#This Row],[Candidate 5]], "")</f>
        <v/>
      </c>
      <c r="AJ506" s="17" t="str">
        <f>IF(NOT(ISBLANK(Audit[[#This Row],[Audit Candidate 6]])), Audit[[#This Row],[Audit Candidate 6]]-Audit[[#This Row],[Candidate 6]], "")</f>
        <v/>
      </c>
      <c r="AK506" s="17" t="str">
        <f>IF(NOT(ISBLANK(Audit[[#This Row],[Audit Candidate 7]])), Audit[[#This Row],[Audit Candidate 7]]-Audit[[#This Row],[Candidate 7]], "")</f>
        <v/>
      </c>
      <c r="AL506" s="17" t="str">
        <f>IF(NOT(ISBLANK(Audit[[#This Row],[Audit Candidate 8]])), Audit[[#This Row],[Audit Candidate 8]]-Audit[[#This Row],[Candidate 8]], "")</f>
        <v/>
      </c>
      <c r="AM506" s="17" t="str">
        <f>IF(NOT(ISBLANK(Audit[[#This Row],[Audit Candidate 9]])), Audit[[#This Row],[Audit Candidate 9]]-Audit[[#This Row],[Candidate 9]], "")</f>
        <v/>
      </c>
      <c r="AN506" s="17" t="str">
        <f>IF(NOT(ISBLANK(Audit[[#This Row],[Audit Candidate 10]])), Audit[[#This Row],[Audit Candidate 10]]-Audit[[#This Row],[Candidate 10]], "")</f>
        <v/>
      </c>
      <c r="AO506" s="17" t="str">
        <f>IF(NOT(ISBLANK(Audit[[#This Row],[Audit Candidate 11]])), Audit[[#This Row],[Audit Candidate 11]]-Audit[[#This Row],[Candidate 11]], "")</f>
        <v/>
      </c>
      <c r="AP506" s="17" t="str">
        <f>IF(NOT(ISBLANK(Audit[[#This Row],[Audit Candidate 12]])), Audit[[#This Row],[Audit Candidate 12]]-Audit[[#This Row],[Candidate 12]], "")</f>
        <v/>
      </c>
      <c r="AQ506" s="17">
        <f>SUMIF(Audit[[#This Row],[Difference Winner]:[Difference Candidate 12]], "&gt;0")</f>
        <v>0</v>
      </c>
      <c r="AR506" s="17">
        <f>SUM(Audit[[#This Row],[Difference Winner]:[Difference Candidate 12]])</f>
        <v>0</v>
      </c>
      <c r="AS506" s="17">
        <f>IF(Audit[[#This Row],[Times p Drawn - With Replacement]]&gt;0, IF(Audit[[#This Row],[Canceled Differences]]&lt;0, Audit[[#This Row],[Max Differences]]+ABS(Audit[[#This Row],[Canceled Differences]]), Audit[[#This Row],[Max Differences]]), 0)</f>
        <v>0</v>
      </c>
      <c r="AT506" s="17">
        <f>'Sampling Data'!AB506</f>
        <v>9.2089628246477678E-3</v>
      </c>
      <c r="AU506" s="17">
        <f>IF(
      SUM(Audit[[#This Row],[Audit Losing Candidate]:[Audit Candidate 12]])
      &lt;&gt;0,
      (Audit[[#This Row],[Winning Candidate]]-Audit[[#This Row],[Losing Candidate]]-(Audit[[#This Row],[Audit Winning Candidate]]-Audit[[#This Row],[Audit Losing Candidate]]))/(Audit[[#Totals],[Winning Candidate]]-Audit[[#Totals],[Losing Candidate]]),
      0
)</f>
        <v>0</v>
      </c>
      <c r="AV5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6" s="17">
        <f>IF(Audit[[#This Row],[Max Relative Error (ep)]] = 0, 0, Audit[[#This Row],[Max Relative Error (ep)]]/Audit[[#This Row],[Error Bound (up) - Max. possible relative overstatement]])</f>
        <v>0</v>
      </c>
      <c r="BH5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06" s="17">
        <f t="shared" si="8"/>
        <v>1</v>
      </c>
      <c r="BJ506" s="17">
        <f>PRODUCT($BI$5:BI506)</f>
        <v>0.43805400213514833</v>
      </c>
      <c r="BK506" s="19">
        <f>1 - Audit[[#This Row],[K-M P Value]]</f>
        <v>0.56194599786485167</v>
      </c>
      <c r="BL506" s="17" t="str">
        <f>IF(Audit[[#This Row],[K-M P Value]]&gt;1-'General Info'!$B$12,"Continue", "Stop")</f>
        <v>Continue</v>
      </c>
      <c r="BM506" s="22" t="b">
        <f>IF(Audit[[#This Row],[Status - Continue or stop audit]] = "Continue", TRUE, IF(BL505 = "Continue", TRUE, FALSE))</f>
        <v>1</v>
      </c>
      <c r="BN506" s="22"/>
    </row>
    <row r="507" spans="1:66" ht="15" hidden="1" customHeight="1" x14ac:dyDescent="0.35">
      <c r="A507" s="17" t="str">
        <f>'Sampling Data'!AI507</f>
        <v/>
      </c>
      <c r="B507" s="17" t="str">
        <f>'Sampling Data'!A507</f>
        <v>8702 SPFLD B   (AV)</v>
      </c>
      <c r="C507" s="17">
        <f>'Sampling Data'!B507</f>
        <v>112</v>
      </c>
      <c r="D507" s="17">
        <f>'Sampling Data'!C507</f>
        <v>66</v>
      </c>
      <c r="E507" s="18">
        <f>'Sampling Data'!D507</f>
        <v>0</v>
      </c>
      <c r="F507" s="18">
        <f>'Sampling Data'!E507</f>
        <v>0</v>
      </c>
      <c r="G507" s="18">
        <f>'Sampling Data'!F507</f>
        <v>0</v>
      </c>
      <c r="H507" s="18">
        <f>'Sampling Data'!G507</f>
        <v>0</v>
      </c>
      <c r="I507" s="18">
        <f>'Sampling Data'!H507</f>
        <v>0</v>
      </c>
      <c r="J507" s="18">
        <f>'Sampling Data'!I507</f>
        <v>0</v>
      </c>
      <c r="K507" s="18">
        <f>'Sampling Data'!J507</f>
        <v>0</v>
      </c>
      <c r="L507" s="18">
        <f>'Sampling Data'!K507</f>
        <v>0</v>
      </c>
      <c r="M507" s="18">
        <f>'Sampling Data'!L507</f>
        <v>0</v>
      </c>
      <c r="N507" s="18">
        <f>'Sampling Data'!M507</f>
        <v>0</v>
      </c>
      <c r="O507" s="17">
        <f>'Sampling Data'!N507</f>
        <v>0</v>
      </c>
      <c r="P507" s="17">
        <f>'Sampling Data'!O507</f>
        <v>10</v>
      </c>
      <c r="Q507" s="17">
        <f>'Sampling Data'!P507</f>
        <v>188</v>
      </c>
      <c r="R507" s="17">
        <f>'Sampling Data'!AJ507</f>
        <v>0</v>
      </c>
      <c r="S507" s="111"/>
      <c r="T507" s="111"/>
      <c r="U507" s="112"/>
      <c r="V507" s="112"/>
      <c r="W507" s="111"/>
      <c r="X507" s="111"/>
      <c r="Y507" s="111"/>
      <c r="Z507" s="111"/>
      <c r="AA507" s="14"/>
      <c r="AB507" s="14"/>
      <c r="AC507" s="14"/>
      <c r="AD507" s="14"/>
      <c r="AE507" s="113" t="str">
        <f>IF(NOT(ISBLANK(Audit[[#This Row],[Audit Winning Candidate]])), Audit[[#This Row],[Audit Winning Candidate]]-Audit[[#This Row],[Winning Candidate]], "")</f>
        <v/>
      </c>
      <c r="AF507" s="17" t="str">
        <f>IF(NOT(ISBLANK(Audit[[#This Row],[Audit Losing Candidate]])), Audit[[#This Row],[Audit Losing Candidate]]-Audit[[#This Row],[Losing Candidate]], "")</f>
        <v/>
      </c>
      <c r="AG507" s="17" t="str">
        <f>IF(NOT(ISBLANK(Audit[[#This Row],[Audit Candidate 3]])), Audit[[#This Row],[Audit Candidate 3]]-Audit[[#This Row],[Candidate 3]], "")</f>
        <v/>
      </c>
      <c r="AH507" s="17" t="str">
        <f>IF(NOT(ISBLANK(Audit[[#This Row],[Audit Candidate 4]])),Audit[[#This Row],[Audit Candidate 4]]-Audit[[#This Row],[Candidate 4]], "")</f>
        <v/>
      </c>
      <c r="AI507" s="17" t="str">
        <f>IF(NOT(ISBLANK(Audit[[#This Row],[Audit Candidate 5]])), Audit[[#This Row],[Audit Candidate 5]]-Audit[[#This Row],[Candidate 5]], "")</f>
        <v/>
      </c>
      <c r="AJ507" s="17" t="str">
        <f>IF(NOT(ISBLANK(Audit[[#This Row],[Audit Candidate 6]])), Audit[[#This Row],[Audit Candidate 6]]-Audit[[#This Row],[Candidate 6]], "")</f>
        <v/>
      </c>
      <c r="AK507" s="17" t="str">
        <f>IF(NOT(ISBLANK(Audit[[#This Row],[Audit Candidate 7]])), Audit[[#This Row],[Audit Candidate 7]]-Audit[[#This Row],[Candidate 7]], "")</f>
        <v/>
      </c>
      <c r="AL507" s="17" t="str">
        <f>IF(NOT(ISBLANK(Audit[[#This Row],[Audit Candidate 8]])), Audit[[#This Row],[Audit Candidate 8]]-Audit[[#This Row],[Candidate 8]], "")</f>
        <v/>
      </c>
      <c r="AM507" s="17" t="str">
        <f>IF(NOT(ISBLANK(Audit[[#This Row],[Audit Candidate 9]])), Audit[[#This Row],[Audit Candidate 9]]-Audit[[#This Row],[Candidate 9]], "")</f>
        <v/>
      </c>
      <c r="AN507" s="17" t="str">
        <f>IF(NOT(ISBLANK(Audit[[#This Row],[Audit Candidate 10]])), Audit[[#This Row],[Audit Candidate 10]]-Audit[[#This Row],[Candidate 10]], "")</f>
        <v/>
      </c>
      <c r="AO507" s="17" t="str">
        <f>IF(NOT(ISBLANK(Audit[[#This Row],[Audit Candidate 11]])), Audit[[#This Row],[Audit Candidate 11]]-Audit[[#This Row],[Candidate 11]], "")</f>
        <v/>
      </c>
      <c r="AP507" s="17" t="str">
        <f>IF(NOT(ISBLANK(Audit[[#This Row],[Audit Candidate 12]])), Audit[[#This Row],[Audit Candidate 12]]-Audit[[#This Row],[Candidate 12]], "")</f>
        <v/>
      </c>
      <c r="AQ507" s="17">
        <f>SUMIF(Audit[[#This Row],[Difference Winner]:[Difference Candidate 12]], "&gt;0")</f>
        <v>0</v>
      </c>
      <c r="AR507" s="17">
        <f>SUM(Audit[[#This Row],[Difference Winner]:[Difference Candidate 12]])</f>
        <v>0</v>
      </c>
      <c r="AS507" s="17">
        <f>IF(Audit[[#This Row],[Times p Drawn - With Replacement]]&gt;0, IF(Audit[[#This Row],[Canceled Differences]]&lt;0, Audit[[#This Row],[Max Differences]]+ABS(Audit[[#This Row],[Canceled Differences]]), Audit[[#This Row],[Max Differences]]), 0)</f>
        <v>0</v>
      </c>
      <c r="AT507" s="17">
        <f>'Sampling Data'!AB507</f>
        <v>9.9304023086063484E-3</v>
      </c>
      <c r="AU507" s="17">
        <f>IF(
      SUM(Audit[[#This Row],[Audit Losing Candidate]:[Audit Candidate 12]])
      &lt;&gt;0,
      (Audit[[#This Row],[Winning Candidate]]-Audit[[#This Row],[Losing Candidate]]-(Audit[[#This Row],[Audit Winning Candidate]]-Audit[[#This Row],[Audit Losing Candidate]]))/(Audit[[#Totals],[Winning Candidate]]-Audit[[#Totals],[Losing Candidate]]),
      0
)</f>
        <v>0</v>
      </c>
      <c r="AV5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7" s="17">
        <f>IF(Audit[[#This Row],[Max Relative Error (ep)]] = 0, 0, Audit[[#This Row],[Max Relative Error (ep)]]/Audit[[#This Row],[Error Bound (up) - Max. possible relative overstatement]])</f>
        <v>0</v>
      </c>
      <c r="BH5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07" s="17">
        <f t="shared" si="8"/>
        <v>1</v>
      </c>
      <c r="BJ507" s="17">
        <f>PRODUCT($BI$5:BI507)</f>
        <v>0.43805400213514833</v>
      </c>
      <c r="BK507" s="19">
        <f>1 - Audit[[#This Row],[K-M P Value]]</f>
        <v>0.56194599786485167</v>
      </c>
      <c r="BL507" s="17" t="str">
        <f>IF(Audit[[#This Row],[K-M P Value]]&gt;1-'General Info'!$B$12,"Continue", "Stop")</f>
        <v>Continue</v>
      </c>
      <c r="BM507" s="22" t="b">
        <f>IF(Audit[[#This Row],[Status - Continue or stop audit]] = "Continue", TRUE, IF(BL506 = "Continue", TRUE, FALSE))</f>
        <v>1</v>
      </c>
      <c r="BN507" s="22"/>
    </row>
    <row r="508" spans="1:66" ht="15" hidden="1" customHeight="1" x14ac:dyDescent="0.35">
      <c r="A508" s="17" t="str">
        <f>'Sampling Data'!AI508</f>
        <v/>
      </c>
      <c r="B508" s="17" t="str">
        <f>'Sampling Data'!A508</f>
        <v>8703 SPFLD C   (AV)</v>
      </c>
      <c r="C508" s="17">
        <f>'Sampling Data'!B508</f>
        <v>310</v>
      </c>
      <c r="D508" s="17">
        <f>'Sampling Data'!C508</f>
        <v>112</v>
      </c>
      <c r="E508" s="18">
        <f>'Sampling Data'!D508</f>
        <v>0</v>
      </c>
      <c r="F508" s="18">
        <f>'Sampling Data'!E508</f>
        <v>0</v>
      </c>
      <c r="G508" s="18">
        <f>'Sampling Data'!F508</f>
        <v>0</v>
      </c>
      <c r="H508" s="18">
        <f>'Sampling Data'!G508</f>
        <v>0</v>
      </c>
      <c r="I508" s="18">
        <f>'Sampling Data'!H508</f>
        <v>0</v>
      </c>
      <c r="J508" s="18">
        <f>'Sampling Data'!I508</f>
        <v>0</v>
      </c>
      <c r="K508" s="18">
        <f>'Sampling Data'!J508</f>
        <v>0</v>
      </c>
      <c r="L508" s="18">
        <f>'Sampling Data'!K508</f>
        <v>0</v>
      </c>
      <c r="M508" s="18">
        <f>'Sampling Data'!L508</f>
        <v>0</v>
      </c>
      <c r="N508" s="18">
        <f>'Sampling Data'!M508</f>
        <v>0</v>
      </c>
      <c r="O508" s="17">
        <f>'Sampling Data'!N508</f>
        <v>0</v>
      </c>
      <c r="P508" s="17">
        <f>'Sampling Data'!O508</f>
        <v>18</v>
      </c>
      <c r="Q508" s="17">
        <f>'Sampling Data'!P508</f>
        <v>440</v>
      </c>
      <c r="R508" s="17">
        <f>'Sampling Data'!AJ508</f>
        <v>0</v>
      </c>
      <c r="S508" s="111"/>
      <c r="T508" s="111"/>
      <c r="U508" s="112"/>
      <c r="V508" s="112"/>
      <c r="W508" s="111"/>
      <c r="X508" s="111"/>
      <c r="Y508" s="111"/>
      <c r="Z508" s="111"/>
      <c r="AA508" s="14"/>
      <c r="AB508" s="14"/>
      <c r="AC508" s="14"/>
      <c r="AD508" s="14"/>
      <c r="AE508" s="113" t="str">
        <f>IF(NOT(ISBLANK(Audit[[#This Row],[Audit Winning Candidate]])), Audit[[#This Row],[Audit Winning Candidate]]-Audit[[#This Row],[Winning Candidate]], "")</f>
        <v/>
      </c>
      <c r="AF508" s="17" t="str">
        <f>IF(NOT(ISBLANK(Audit[[#This Row],[Audit Losing Candidate]])), Audit[[#This Row],[Audit Losing Candidate]]-Audit[[#This Row],[Losing Candidate]], "")</f>
        <v/>
      </c>
      <c r="AG508" s="17" t="str">
        <f>IF(NOT(ISBLANK(Audit[[#This Row],[Audit Candidate 3]])), Audit[[#This Row],[Audit Candidate 3]]-Audit[[#This Row],[Candidate 3]], "")</f>
        <v/>
      </c>
      <c r="AH508" s="17" t="str">
        <f>IF(NOT(ISBLANK(Audit[[#This Row],[Audit Candidate 4]])),Audit[[#This Row],[Audit Candidate 4]]-Audit[[#This Row],[Candidate 4]], "")</f>
        <v/>
      </c>
      <c r="AI508" s="17" t="str">
        <f>IF(NOT(ISBLANK(Audit[[#This Row],[Audit Candidate 5]])), Audit[[#This Row],[Audit Candidate 5]]-Audit[[#This Row],[Candidate 5]], "")</f>
        <v/>
      </c>
      <c r="AJ508" s="17" t="str">
        <f>IF(NOT(ISBLANK(Audit[[#This Row],[Audit Candidate 6]])), Audit[[#This Row],[Audit Candidate 6]]-Audit[[#This Row],[Candidate 6]], "")</f>
        <v/>
      </c>
      <c r="AK508" s="17" t="str">
        <f>IF(NOT(ISBLANK(Audit[[#This Row],[Audit Candidate 7]])), Audit[[#This Row],[Audit Candidate 7]]-Audit[[#This Row],[Candidate 7]], "")</f>
        <v/>
      </c>
      <c r="AL508" s="17" t="str">
        <f>IF(NOT(ISBLANK(Audit[[#This Row],[Audit Candidate 8]])), Audit[[#This Row],[Audit Candidate 8]]-Audit[[#This Row],[Candidate 8]], "")</f>
        <v/>
      </c>
      <c r="AM508" s="17" t="str">
        <f>IF(NOT(ISBLANK(Audit[[#This Row],[Audit Candidate 9]])), Audit[[#This Row],[Audit Candidate 9]]-Audit[[#This Row],[Candidate 9]], "")</f>
        <v/>
      </c>
      <c r="AN508" s="17" t="str">
        <f>IF(NOT(ISBLANK(Audit[[#This Row],[Audit Candidate 10]])), Audit[[#This Row],[Audit Candidate 10]]-Audit[[#This Row],[Candidate 10]], "")</f>
        <v/>
      </c>
      <c r="AO508" s="17" t="str">
        <f>IF(NOT(ISBLANK(Audit[[#This Row],[Audit Candidate 11]])), Audit[[#This Row],[Audit Candidate 11]]-Audit[[#This Row],[Candidate 11]], "")</f>
        <v/>
      </c>
      <c r="AP508" s="17" t="str">
        <f>IF(NOT(ISBLANK(Audit[[#This Row],[Audit Candidate 12]])), Audit[[#This Row],[Audit Candidate 12]]-Audit[[#This Row],[Candidate 12]], "")</f>
        <v/>
      </c>
      <c r="AQ508" s="17">
        <f>SUMIF(Audit[[#This Row],[Difference Winner]:[Difference Candidate 12]], "&gt;0")</f>
        <v>0</v>
      </c>
      <c r="AR508" s="17">
        <f>SUM(Audit[[#This Row],[Difference Winner]:[Difference Candidate 12]])</f>
        <v>0</v>
      </c>
      <c r="AS508" s="17">
        <f>IF(Audit[[#This Row],[Times p Drawn - With Replacement]]&gt;0, IF(Audit[[#This Row],[Canceled Differences]]&lt;0, Audit[[#This Row],[Max Differences]]+ABS(Audit[[#This Row],[Canceled Differences]]), Audit[[#This Row],[Max Differences]]), 0)</f>
        <v>0</v>
      </c>
      <c r="AT508" s="17">
        <f>'Sampling Data'!AB508</f>
        <v>2.7075199456798506E-2</v>
      </c>
      <c r="AU508" s="17">
        <f>IF(
      SUM(Audit[[#This Row],[Audit Losing Candidate]:[Audit Candidate 12]])
      &lt;&gt;0,
      (Audit[[#This Row],[Winning Candidate]]-Audit[[#This Row],[Losing Candidate]]-(Audit[[#This Row],[Audit Winning Candidate]]-Audit[[#This Row],[Audit Losing Candidate]]))/(Audit[[#Totals],[Winning Candidate]]-Audit[[#Totals],[Losing Candidate]]),
      0
)</f>
        <v>0</v>
      </c>
      <c r="AV5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8" s="17">
        <f>IF(Audit[[#This Row],[Max Relative Error (ep)]] = 0, 0, Audit[[#This Row],[Max Relative Error (ep)]]/Audit[[#This Row],[Error Bound (up) - Max. possible relative overstatement]])</f>
        <v>0</v>
      </c>
      <c r="BH5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08" s="17">
        <f t="shared" si="8"/>
        <v>1</v>
      </c>
      <c r="BJ508" s="17">
        <f>PRODUCT($BI$5:BI508)</f>
        <v>0.43805400213514833</v>
      </c>
      <c r="BK508" s="19">
        <f>1 - Audit[[#This Row],[K-M P Value]]</f>
        <v>0.56194599786485167</v>
      </c>
      <c r="BL508" s="17" t="str">
        <f>IF(Audit[[#This Row],[K-M P Value]]&gt;1-'General Info'!$B$12,"Continue", "Stop")</f>
        <v>Continue</v>
      </c>
      <c r="BM508" s="22" t="b">
        <f>IF(Audit[[#This Row],[Status - Continue or stop audit]] = "Continue", TRUE, IF(BL507 = "Continue", TRUE, FALSE))</f>
        <v>1</v>
      </c>
      <c r="BN508" s="22"/>
    </row>
    <row r="509" spans="1:66" ht="15" hidden="1" customHeight="1" x14ac:dyDescent="0.35">
      <c r="A509" s="17" t="str">
        <f>'Sampling Data'!AI509</f>
        <v/>
      </c>
      <c r="B509" s="17" t="str">
        <f>'Sampling Data'!A509</f>
        <v>8704 SPFLD D   (AV)</v>
      </c>
      <c r="C509" s="17">
        <f>'Sampling Data'!B509</f>
        <v>151</v>
      </c>
      <c r="D509" s="17">
        <f>'Sampling Data'!C509</f>
        <v>79</v>
      </c>
      <c r="E509" s="18">
        <f>'Sampling Data'!D509</f>
        <v>0</v>
      </c>
      <c r="F509" s="18">
        <f>'Sampling Data'!E509</f>
        <v>0</v>
      </c>
      <c r="G509" s="18">
        <f>'Sampling Data'!F509</f>
        <v>0</v>
      </c>
      <c r="H509" s="18">
        <f>'Sampling Data'!G509</f>
        <v>0</v>
      </c>
      <c r="I509" s="18">
        <f>'Sampling Data'!H509</f>
        <v>0</v>
      </c>
      <c r="J509" s="18">
        <f>'Sampling Data'!I509</f>
        <v>0</v>
      </c>
      <c r="K509" s="18">
        <f>'Sampling Data'!J509</f>
        <v>0</v>
      </c>
      <c r="L509" s="18">
        <f>'Sampling Data'!K509</f>
        <v>0</v>
      </c>
      <c r="M509" s="18">
        <f>'Sampling Data'!L509</f>
        <v>0</v>
      </c>
      <c r="N509" s="18">
        <f>'Sampling Data'!M509</f>
        <v>0</v>
      </c>
      <c r="O509" s="17">
        <f>'Sampling Data'!N509</f>
        <v>0</v>
      </c>
      <c r="P509" s="17">
        <f>'Sampling Data'!O509</f>
        <v>9</v>
      </c>
      <c r="Q509" s="17">
        <f>'Sampling Data'!P509</f>
        <v>239</v>
      </c>
      <c r="R509" s="17">
        <f>'Sampling Data'!AJ509</f>
        <v>0</v>
      </c>
      <c r="S509" s="111"/>
      <c r="T509" s="111"/>
      <c r="U509" s="112"/>
      <c r="V509" s="112"/>
      <c r="W509" s="111"/>
      <c r="X509" s="111"/>
      <c r="Y509" s="111"/>
      <c r="Z509" s="111"/>
      <c r="AA509" s="14"/>
      <c r="AB509" s="14"/>
      <c r="AC509" s="14"/>
      <c r="AD509" s="14"/>
      <c r="AE509" s="113" t="str">
        <f>IF(NOT(ISBLANK(Audit[[#This Row],[Audit Winning Candidate]])), Audit[[#This Row],[Audit Winning Candidate]]-Audit[[#This Row],[Winning Candidate]], "")</f>
        <v/>
      </c>
      <c r="AF509" s="17" t="str">
        <f>IF(NOT(ISBLANK(Audit[[#This Row],[Audit Losing Candidate]])), Audit[[#This Row],[Audit Losing Candidate]]-Audit[[#This Row],[Losing Candidate]], "")</f>
        <v/>
      </c>
      <c r="AG509" s="17" t="str">
        <f>IF(NOT(ISBLANK(Audit[[#This Row],[Audit Candidate 3]])), Audit[[#This Row],[Audit Candidate 3]]-Audit[[#This Row],[Candidate 3]], "")</f>
        <v/>
      </c>
      <c r="AH509" s="17" t="str">
        <f>IF(NOT(ISBLANK(Audit[[#This Row],[Audit Candidate 4]])),Audit[[#This Row],[Audit Candidate 4]]-Audit[[#This Row],[Candidate 4]], "")</f>
        <v/>
      </c>
      <c r="AI509" s="17" t="str">
        <f>IF(NOT(ISBLANK(Audit[[#This Row],[Audit Candidate 5]])), Audit[[#This Row],[Audit Candidate 5]]-Audit[[#This Row],[Candidate 5]], "")</f>
        <v/>
      </c>
      <c r="AJ509" s="17" t="str">
        <f>IF(NOT(ISBLANK(Audit[[#This Row],[Audit Candidate 6]])), Audit[[#This Row],[Audit Candidate 6]]-Audit[[#This Row],[Candidate 6]], "")</f>
        <v/>
      </c>
      <c r="AK509" s="17" t="str">
        <f>IF(NOT(ISBLANK(Audit[[#This Row],[Audit Candidate 7]])), Audit[[#This Row],[Audit Candidate 7]]-Audit[[#This Row],[Candidate 7]], "")</f>
        <v/>
      </c>
      <c r="AL509" s="17" t="str">
        <f>IF(NOT(ISBLANK(Audit[[#This Row],[Audit Candidate 8]])), Audit[[#This Row],[Audit Candidate 8]]-Audit[[#This Row],[Candidate 8]], "")</f>
        <v/>
      </c>
      <c r="AM509" s="17" t="str">
        <f>IF(NOT(ISBLANK(Audit[[#This Row],[Audit Candidate 9]])), Audit[[#This Row],[Audit Candidate 9]]-Audit[[#This Row],[Candidate 9]], "")</f>
        <v/>
      </c>
      <c r="AN509" s="17" t="str">
        <f>IF(NOT(ISBLANK(Audit[[#This Row],[Audit Candidate 10]])), Audit[[#This Row],[Audit Candidate 10]]-Audit[[#This Row],[Candidate 10]], "")</f>
        <v/>
      </c>
      <c r="AO509" s="17" t="str">
        <f>IF(NOT(ISBLANK(Audit[[#This Row],[Audit Candidate 11]])), Audit[[#This Row],[Audit Candidate 11]]-Audit[[#This Row],[Candidate 11]], "")</f>
        <v/>
      </c>
      <c r="AP509" s="17" t="str">
        <f>IF(NOT(ISBLANK(Audit[[#This Row],[Audit Candidate 12]])), Audit[[#This Row],[Audit Candidate 12]]-Audit[[#This Row],[Candidate 12]], "")</f>
        <v/>
      </c>
      <c r="AQ509" s="17">
        <f>SUMIF(Audit[[#This Row],[Difference Winner]:[Difference Candidate 12]], "&gt;0")</f>
        <v>0</v>
      </c>
      <c r="AR509" s="17">
        <f>SUM(Audit[[#This Row],[Difference Winner]:[Difference Candidate 12]])</f>
        <v>0</v>
      </c>
      <c r="AS509" s="17">
        <f>IF(Audit[[#This Row],[Times p Drawn - With Replacement]]&gt;0, IF(Audit[[#This Row],[Canceled Differences]]&lt;0, Audit[[#This Row],[Max Differences]]+ABS(Audit[[#This Row],[Canceled Differences]]), Audit[[#This Row],[Max Differences]]), 0)</f>
        <v>0</v>
      </c>
      <c r="AT509" s="17">
        <f>'Sampling Data'!AB509</f>
        <v>1.3198098794771686E-2</v>
      </c>
      <c r="AU509" s="17">
        <f>IF(
      SUM(Audit[[#This Row],[Audit Losing Candidate]:[Audit Candidate 12]])
      &lt;&gt;0,
      (Audit[[#This Row],[Winning Candidate]]-Audit[[#This Row],[Losing Candidate]]-(Audit[[#This Row],[Audit Winning Candidate]]-Audit[[#This Row],[Audit Losing Candidate]]))/(Audit[[#Totals],[Winning Candidate]]-Audit[[#Totals],[Losing Candidate]]),
      0
)</f>
        <v>0</v>
      </c>
      <c r="AV5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9" s="17">
        <f>IF(Audit[[#This Row],[Max Relative Error (ep)]] = 0, 0, Audit[[#This Row],[Max Relative Error (ep)]]/Audit[[#This Row],[Error Bound (up) - Max. possible relative overstatement]])</f>
        <v>0</v>
      </c>
      <c r="BH5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09" s="17">
        <f t="shared" si="8"/>
        <v>1</v>
      </c>
      <c r="BJ509" s="17">
        <f>PRODUCT($BI$5:BI509)</f>
        <v>0.43805400213514833</v>
      </c>
      <c r="BK509" s="19">
        <f>1 - Audit[[#This Row],[K-M P Value]]</f>
        <v>0.56194599786485167</v>
      </c>
      <c r="BL509" s="17" t="str">
        <f>IF(Audit[[#This Row],[K-M P Value]]&gt;1-'General Info'!$B$12,"Continue", "Stop")</f>
        <v>Continue</v>
      </c>
      <c r="BM509" s="22" t="b">
        <f>IF(Audit[[#This Row],[Status - Continue or stop audit]] = "Continue", TRUE, IF(BL508 = "Continue", TRUE, FALSE))</f>
        <v>1</v>
      </c>
      <c r="BN509" s="22"/>
    </row>
    <row r="510" spans="1:66" ht="15" hidden="1" customHeight="1" x14ac:dyDescent="0.35">
      <c r="A510" s="17" t="str">
        <f>'Sampling Data'!AI510</f>
        <v/>
      </c>
      <c r="B510" s="17" t="str">
        <f>'Sampling Data'!A510</f>
        <v>8705 SPFLD E   (AV)</v>
      </c>
      <c r="C510" s="17">
        <f>'Sampling Data'!B510</f>
        <v>107</v>
      </c>
      <c r="D510" s="17">
        <f>'Sampling Data'!C510</f>
        <v>46</v>
      </c>
      <c r="E510" s="18">
        <f>'Sampling Data'!D510</f>
        <v>0</v>
      </c>
      <c r="F510" s="18">
        <f>'Sampling Data'!E510</f>
        <v>0</v>
      </c>
      <c r="G510" s="18">
        <f>'Sampling Data'!F510</f>
        <v>0</v>
      </c>
      <c r="H510" s="18">
        <f>'Sampling Data'!G510</f>
        <v>0</v>
      </c>
      <c r="I510" s="18">
        <f>'Sampling Data'!H510</f>
        <v>0</v>
      </c>
      <c r="J510" s="18">
        <f>'Sampling Data'!I510</f>
        <v>0</v>
      </c>
      <c r="K510" s="18">
        <f>'Sampling Data'!J510</f>
        <v>0</v>
      </c>
      <c r="L510" s="18">
        <f>'Sampling Data'!K510</f>
        <v>0</v>
      </c>
      <c r="M510" s="18">
        <f>'Sampling Data'!L510</f>
        <v>0</v>
      </c>
      <c r="N510" s="18">
        <f>'Sampling Data'!M510</f>
        <v>0</v>
      </c>
      <c r="O510" s="17">
        <f>'Sampling Data'!N510</f>
        <v>0</v>
      </c>
      <c r="P510" s="17">
        <f>'Sampling Data'!O510</f>
        <v>7</v>
      </c>
      <c r="Q510" s="17">
        <f>'Sampling Data'!P510</f>
        <v>160</v>
      </c>
      <c r="R510" s="17">
        <f>'Sampling Data'!AJ510</f>
        <v>0</v>
      </c>
      <c r="S510" s="111"/>
      <c r="T510" s="111"/>
      <c r="U510" s="112"/>
      <c r="V510" s="112"/>
      <c r="W510" s="111"/>
      <c r="X510" s="111"/>
      <c r="Y510" s="111"/>
      <c r="Z510" s="111"/>
      <c r="AA510" s="14"/>
      <c r="AB510" s="14"/>
      <c r="AC510" s="14"/>
      <c r="AD510" s="14"/>
      <c r="AE510" s="113" t="str">
        <f>IF(NOT(ISBLANK(Audit[[#This Row],[Audit Winning Candidate]])), Audit[[#This Row],[Audit Winning Candidate]]-Audit[[#This Row],[Winning Candidate]], "")</f>
        <v/>
      </c>
      <c r="AF510" s="17" t="str">
        <f>IF(NOT(ISBLANK(Audit[[#This Row],[Audit Losing Candidate]])), Audit[[#This Row],[Audit Losing Candidate]]-Audit[[#This Row],[Losing Candidate]], "")</f>
        <v/>
      </c>
      <c r="AG510" s="17" t="str">
        <f>IF(NOT(ISBLANK(Audit[[#This Row],[Audit Candidate 3]])), Audit[[#This Row],[Audit Candidate 3]]-Audit[[#This Row],[Candidate 3]], "")</f>
        <v/>
      </c>
      <c r="AH510" s="17" t="str">
        <f>IF(NOT(ISBLANK(Audit[[#This Row],[Audit Candidate 4]])),Audit[[#This Row],[Audit Candidate 4]]-Audit[[#This Row],[Candidate 4]], "")</f>
        <v/>
      </c>
      <c r="AI510" s="17" t="str">
        <f>IF(NOT(ISBLANK(Audit[[#This Row],[Audit Candidate 5]])), Audit[[#This Row],[Audit Candidate 5]]-Audit[[#This Row],[Candidate 5]], "")</f>
        <v/>
      </c>
      <c r="AJ510" s="17" t="str">
        <f>IF(NOT(ISBLANK(Audit[[#This Row],[Audit Candidate 6]])), Audit[[#This Row],[Audit Candidate 6]]-Audit[[#This Row],[Candidate 6]], "")</f>
        <v/>
      </c>
      <c r="AK510" s="17" t="str">
        <f>IF(NOT(ISBLANK(Audit[[#This Row],[Audit Candidate 7]])), Audit[[#This Row],[Audit Candidate 7]]-Audit[[#This Row],[Candidate 7]], "")</f>
        <v/>
      </c>
      <c r="AL510" s="17" t="str">
        <f>IF(NOT(ISBLANK(Audit[[#This Row],[Audit Candidate 8]])), Audit[[#This Row],[Audit Candidate 8]]-Audit[[#This Row],[Candidate 8]], "")</f>
        <v/>
      </c>
      <c r="AM510" s="17" t="str">
        <f>IF(NOT(ISBLANK(Audit[[#This Row],[Audit Candidate 9]])), Audit[[#This Row],[Audit Candidate 9]]-Audit[[#This Row],[Candidate 9]], "")</f>
        <v/>
      </c>
      <c r="AN510" s="17" t="str">
        <f>IF(NOT(ISBLANK(Audit[[#This Row],[Audit Candidate 10]])), Audit[[#This Row],[Audit Candidate 10]]-Audit[[#This Row],[Candidate 10]], "")</f>
        <v/>
      </c>
      <c r="AO510" s="17" t="str">
        <f>IF(NOT(ISBLANK(Audit[[#This Row],[Audit Candidate 11]])), Audit[[#This Row],[Audit Candidate 11]]-Audit[[#This Row],[Candidate 11]], "")</f>
        <v/>
      </c>
      <c r="AP510" s="17" t="str">
        <f>IF(NOT(ISBLANK(Audit[[#This Row],[Audit Candidate 12]])), Audit[[#This Row],[Audit Candidate 12]]-Audit[[#This Row],[Candidate 12]], "")</f>
        <v/>
      </c>
      <c r="AQ510" s="17">
        <f>SUMIF(Audit[[#This Row],[Difference Winner]:[Difference Candidate 12]], "&gt;0")</f>
        <v>0</v>
      </c>
      <c r="AR510" s="17">
        <f>SUM(Audit[[#This Row],[Difference Winner]:[Difference Candidate 12]])</f>
        <v>0</v>
      </c>
      <c r="AS510" s="17">
        <f>IF(Audit[[#This Row],[Times p Drawn - With Replacement]]&gt;0, IF(Audit[[#This Row],[Canceled Differences]]&lt;0, Audit[[#This Row],[Max Differences]]+ABS(Audit[[#This Row],[Canceled Differences]]), Audit[[#This Row],[Max Differences]]), 0)</f>
        <v>0</v>
      </c>
      <c r="AT510" s="17">
        <f>'Sampling Data'!AB510</f>
        <v>9.3787132914615514E-3</v>
      </c>
      <c r="AU510" s="17">
        <f>IF(
      SUM(Audit[[#This Row],[Audit Losing Candidate]:[Audit Candidate 12]])
      &lt;&gt;0,
      (Audit[[#This Row],[Winning Candidate]]-Audit[[#This Row],[Losing Candidate]]-(Audit[[#This Row],[Audit Winning Candidate]]-Audit[[#This Row],[Audit Losing Candidate]]))/(Audit[[#Totals],[Winning Candidate]]-Audit[[#Totals],[Losing Candidate]]),
      0
)</f>
        <v>0</v>
      </c>
      <c r="AV5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0" s="17">
        <f>IF(Audit[[#This Row],[Max Relative Error (ep)]] = 0, 0, Audit[[#This Row],[Max Relative Error (ep)]]/Audit[[#This Row],[Error Bound (up) - Max. possible relative overstatement]])</f>
        <v>0</v>
      </c>
      <c r="BH5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10" s="17">
        <f t="shared" si="8"/>
        <v>1</v>
      </c>
      <c r="BJ510" s="17">
        <f>PRODUCT($BI$5:BI510)</f>
        <v>0.43805400213514833</v>
      </c>
      <c r="BK510" s="19">
        <f>1 - Audit[[#This Row],[K-M P Value]]</f>
        <v>0.56194599786485167</v>
      </c>
      <c r="BL510" s="17" t="str">
        <f>IF(Audit[[#This Row],[K-M P Value]]&gt;1-'General Info'!$B$12,"Continue", "Stop")</f>
        <v>Continue</v>
      </c>
      <c r="BM510" s="22" t="b">
        <f>IF(Audit[[#This Row],[Status - Continue or stop audit]] = "Continue", TRUE, IF(BL509 = "Continue", TRUE, FALSE))</f>
        <v>1</v>
      </c>
      <c r="BN510" s="22"/>
    </row>
    <row r="511" spans="1:66" ht="15" hidden="1" customHeight="1" x14ac:dyDescent="0.35">
      <c r="A511" s="17" t="str">
        <f>'Sampling Data'!AI511</f>
        <v/>
      </c>
      <c r="B511" s="17" t="str">
        <f>'Sampling Data'!A511</f>
        <v>8706 SPFLD F   (AV)</v>
      </c>
      <c r="C511" s="17">
        <f>'Sampling Data'!B511</f>
        <v>137</v>
      </c>
      <c r="D511" s="17">
        <f>'Sampling Data'!C511</f>
        <v>71</v>
      </c>
      <c r="E511" s="18">
        <f>'Sampling Data'!D511</f>
        <v>0</v>
      </c>
      <c r="F511" s="18">
        <f>'Sampling Data'!E511</f>
        <v>0</v>
      </c>
      <c r="G511" s="18">
        <f>'Sampling Data'!F511</f>
        <v>0</v>
      </c>
      <c r="H511" s="18">
        <f>'Sampling Data'!G511</f>
        <v>0</v>
      </c>
      <c r="I511" s="18">
        <f>'Sampling Data'!H511</f>
        <v>0</v>
      </c>
      <c r="J511" s="18">
        <f>'Sampling Data'!I511</f>
        <v>0</v>
      </c>
      <c r="K511" s="18">
        <f>'Sampling Data'!J511</f>
        <v>0</v>
      </c>
      <c r="L511" s="18">
        <f>'Sampling Data'!K511</f>
        <v>0</v>
      </c>
      <c r="M511" s="18">
        <f>'Sampling Data'!L511</f>
        <v>0</v>
      </c>
      <c r="N511" s="18">
        <f>'Sampling Data'!M511</f>
        <v>0</v>
      </c>
      <c r="O511" s="17">
        <f>'Sampling Data'!N511</f>
        <v>0</v>
      </c>
      <c r="P511" s="17">
        <f>'Sampling Data'!O511</f>
        <v>14</v>
      </c>
      <c r="Q511" s="17">
        <f>'Sampling Data'!P511</f>
        <v>222</v>
      </c>
      <c r="R511" s="17">
        <f>'Sampling Data'!AJ511</f>
        <v>0</v>
      </c>
      <c r="S511" s="111"/>
      <c r="T511" s="111"/>
      <c r="U511" s="112"/>
      <c r="V511" s="112"/>
      <c r="W511" s="111"/>
      <c r="X511" s="111"/>
      <c r="Y511" s="111"/>
      <c r="Z511" s="111"/>
      <c r="AA511" s="14"/>
      <c r="AB511" s="14"/>
      <c r="AC511" s="14"/>
      <c r="AD511" s="14"/>
      <c r="AE511" s="113" t="str">
        <f>IF(NOT(ISBLANK(Audit[[#This Row],[Audit Winning Candidate]])), Audit[[#This Row],[Audit Winning Candidate]]-Audit[[#This Row],[Winning Candidate]], "")</f>
        <v/>
      </c>
      <c r="AF511" s="17" t="str">
        <f>IF(NOT(ISBLANK(Audit[[#This Row],[Audit Losing Candidate]])), Audit[[#This Row],[Audit Losing Candidate]]-Audit[[#This Row],[Losing Candidate]], "")</f>
        <v/>
      </c>
      <c r="AG511" s="17" t="str">
        <f>IF(NOT(ISBLANK(Audit[[#This Row],[Audit Candidate 3]])), Audit[[#This Row],[Audit Candidate 3]]-Audit[[#This Row],[Candidate 3]], "")</f>
        <v/>
      </c>
      <c r="AH511" s="17" t="str">
        <f>IF(NOT(ISBLANK(Audit[[#This Row],[Audit Candidate 4]])),Audit[[#This Row],[Audit Candidate 4]]-Audit[[#This Row],[Candidate 4]], "")</f>
        <v/>
      </c>
      <c r="AI511" s="17" t="str">
        <f>IF(NOT(ISBLANK(Audit[[#This Row],[Audit Candidate 5]])), Audit[[#This Row],[Audit Candidate 5]]-Audit[[#This Row],[Candidate 5]], "")</f>
        <v/>
      </c>
      <c r="AJ511" s="17" t="str">
        <f>IF(NOT(ISBLANK(Audit[[#This Row],[Audit Candidate 6]])), Audit[[#This Row],[Audit Candidate 6]]-Audit[[#This Row],[Candidate 6]], "")</f>
        <v/>
      </c>
      <c r="AK511" s="17" t="str">
        <f>IF(NOT(ISBLANK(Audit[[#This Row],[Audit Candidate 7]])), Audit[[#This Row],[Audit Candidate 7]]-Audit[[#This Row],[Candidate 7]], "")</f>
        <v/>
      </c>
      <c r="AL511" s="17" t="str">
        <f>IF(NOT(ISBLANK(Audit[[#This Row],[Audit Candidate 8]])), Audit[[#This Row],[Audit Candidate 8]]-Audit[[#This Row],[Candidate 8]], "")</f>
        <v/>
      </c>
      <c r="AM511" s="17" t="str">
        <f>IF(NOT(ISBLANK(Audit[[#This Row],[Audit Candidate 9]])), Audit[[#This Row],[Audit Candidate 9]]-Audit[[#This Row],[Candidate 9]], "")</f>
        <v/>
      </c>
      <c r="AN511" s="17" t="str">
        <f>IF(NOT(ISBLANK(Audit[[#This Row],[Audit Candidate 10]])), Audit[[#This Row],[Audit Candidate 10]]-Audit[[#This Row],[Candidate 10]], "")</f>
        <v/>
      </c>
      <c r="AO511" s="17" t="str">
        <f>IF(NOT(ISBLANK(Audit[[#This Row],[Audit Candidate 11]])), Audit[[#This Row],[Audit Candidate 11]]-Audit[[#This Row],[Candidate 11]], "")</f>
        <v/>
      </c>
      <c r="AP511" s="17" t="str">
        <f>IF(NOT(ISBLANK(Audit[[#This Row],[Audit Candidate 12]])), Audit[[#This Row],[Audit Candidate 12]]-Audit[[#This Row],[Candidate 12]], "")</f>
        <v/>
      </c>
      <c r="AQ511" s="17">
        <f>SUMIF(Audit[[#This Row],[Difference Winner]:[Difference Candidate 12]], "&gt;0")</f>
        <v>0</v>
      </c>
      <c r="AR511" s="17">
        <f>SUM(Audit[[#This Row],[Difference Winner]:[Difference Candidate 12]])</f>
        <v>0</v>
      </c>
      <c r="AS511" s="17">
        <f>IF(Audit[[#This Row],[Times p Drawn - With Replacement]]&gt;0, IF(Audit[[#This Row],[Canceled Differences]]&lt;0, Audit[[#This Row],[Max Differences]]+ABS(Audit[[#This Row],[Canceled Differences]]), Audit[[#This Row],[Max Differences]]), 0)</f>
        <v>0</v>
      </c>
      <c r="AT511" s="17">
        <f>'Sampling Data'!AB511</f>
        <v>1.2222033610592429E-2</v>
      </c>
      <c r="AU511" s="17">
        <f>IF(
      SUM(Audit[[#This Row],[Audit Losing Candidate]:[Audit Candidate 12]])
      &lt;&gt;0,
      (Audit[[#This Row],[Winning Candidate]]-Audit[[#This Row],[Losing Candidate]]-(Audit[[#This Row],[Audit Winning Candidate]]-Audit[[#This Row],[Audit Losing Candidate]]))/(Audit[[#Totals],[Winning Candidate]]-Audit[[#Totals],[Losing Candidate]]),
      0
)</f>
        <v>0</v>
      </c>
      <c r="AV5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1" s="17">
        <f>IF(Audit[[#This Row],[Max Relative Error (ep)]] = 0, 0, Audit[[#This Row],[Max Relative Error (ep)]]/Audit[[#This Row],[Error Bound (up) - Max. possible relative overstatement]])</f>
        <v>0</v>
      </c>
      <c r="BH5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11" s="17">
        <f t="shared" si="8"/>
        <v>1</v>
      </c>
      <c r="BJ511" s="17">
        <f>PRODUCT($BI$5:BI511)</f>
        <v>0.43805400213514833</v>
      </c>
      <c r="BK511" s="19">
        <f>1 - Audit[[#This Row],[K-M P Value]]</f>
        <v>0.56194599786485167</v>
      </c>
      <c r="BL511" s="17" t="str">
        <f>IF(Audit[[#This Row],[K-M P Value]]&gt;1-'General Info'!$B$12,"Continue", "Stop")</f>
        <v>Continue</v>
      </c>
      <c r="BM511" s="22" t="b">
        <f>IF(Audit[[#This Row],[Status - Continue or stop audit]] = "Continue", TRUE, IF(BL510 = "Continue", TRUE, FALSE))</f>
        <v>1</v>
      </c>
      <c r="BN511" s="22"/>
    </row>
    <row r="512" spans="1:66" ht="15" hidden="1" customHeight="1" x14ac:dyDescent="0.35">
      <c r="A512" s="17" t="str">
        <f>'Sampling Data'!AI512</f>
        <v/>
      </c>
      <c r="B512" s="17" t="str">
        <f>'Sampling Data'!A512</f>
        <v>8707 SPFLD G   (AV)</v>
      </c>
      <c r="C512" s="17">
        <f>'Sampling Data'!B512</f>
        <v>249</v>
      </c>
      <c r="D512" s="17">
        <f>'Sampling Data'!C512</f>
        <v>131</v>
      </c>
      <c r="E512" s="18">
        <f>'Sampling Data'!D512</f>
        <v>0</v>
      </c>
      <c r="F512" s="18">
        <f>'Sampling Data'!E512</f>
        <v>0</v>
      </c>
      <c r="G512" s="18">
        <f>'Sampling Data'!F512</f>
        <v>0</v>
      </c>
      <c r="H512" s="18">
        <f>'Sampling Data'!G512</f>
        <v>0</v>
      </c>
      <c r="I512" s="18">
        <f>'Sampling Data'!H512</f>
        <v>0</v>
      </c>
      <c r="J512" s="18">
        <f>'Sampling Data'!I512</f>
        <v>0</v>
      </c>
      <c r="K512" s="18">
        <f>'Sampling Data'!J512</f>
        <v>0</v>
      </c>
      <c r="L512" s="18">
        <f>'Sampling Data'!K512</f>
        <v>0</v>
      </c>
      <c r="M512" s="18">
        <f>'Sampling Data'!L512</f>
        <v>0</v>
      </c>
      <c r="N512" s="18">
        <f>'Sampling Data'!M512</f>
        <v>0</v>
      </c>
      <c r="O512" s="17">
        <f>'Sampling Data'!N512</f>
        <v>0</v>
      </c>
      <c r="P512" s="17">
        <f>'Sampling Data'!O512</f>
        <v>25</v>
      </c>
      <c r="Q512" s="17">
        <f>'Sampling Data'!P512</f>
        <v>405</v>
      </c>
      <c r="R512" s="17">
        <f>'Sampling Data'!AJ512</f>
        <v>0</v>
      </c>
      <c r="S512" s="111"/>
      <c r="T512" s="111"/>
      <c r="U512" s="112"/>
      <c r="V512" s="112"/>
      <c r="W512" s="111"/>
      <c r="X512" s="111"/>
      <c r="Y512" s="111"/>
      <c r="Z512" s="111"/>
      <c r="AA512" s="14"/>
      <c r="AB512" s="14"/>
      <c r="AC512" s="14"/>
      <c r="AD512" s="14"/>
      <c r="AE512" s="113" t="str">
        <f>IF(NOT(ISBLANK(Audit[[#This Row],[Audit Winning Candidate]])), Audit[[#This Row],[Audit Winning Candidate]]-Audit[[#This Row],[Winning Candidate]], "")</f>
        <v/>
      </c>
      <c r="AF512" s="17" t="str">
        <f>IF(NOT(ISBLANK(Audit[[#This Row],[Audit Losing Candidate]])), Audit[[#This Row],[Audit Losing Candidate]]-Audit[[#This Row],[Losing Candidate]], "")</f>
        <v/>
      </c>
      <c r="AG512" s="17" t="str">
        <f>IF(NOT(ISBLANK(Audit[[#This Row],[Audit Candidate 3]])), Audit[[#This Row],[Audit Candidate 3]]-Audit[[#This Row],[Candidate 3]], "")</f>
        <v/>
      </c>
      <c r="AH512" s="17" t="str">
        <f>IF(NOT(ISBLANK(Audit[[#This Row],[Audit Candidate 4]])),Audit[[#This Row],[Audit Candidate 4]]-Audit[[#This Row],[Candidate 4]], "")</f>
        <v/>
      </c>
      <c r="AI512" s="17" t="str">
        <f>IF(NOT(ISBLANK(Audit[[#This Row],[Audit Candidate 5]])), Audit[[#This Row],[Audit Candidate 5]]-Audit[[#This Row],[Candidate 5]], "")</f>
        <v/>
      </c>
      <c r="AJ512" s="17" t="str">
        <f>IF(NOT(ISBLANK(Audit[[#This Row],[Audit Candidate 6]])), Audit[[#This Row],[Audit Candidate 6]]-Audit[[#This Row],[Candidate 6]], "")</f>
        <v/>
      </c>
      <c r="AK512" s="17" t="str">
        <f>IF(NOT(ISBLANK(Audit[[#This Row],[Audit Candidate 7]])), Audit[[#This Row],[Audit Candidate 7]]-Audit[[#This Row],[Candidate 7]], "")</f>
        <v/>
      </c>
      <c r="AL512" s="17" t="str">
        <f>IF(NOT(ISBLANK(Audit[[#This Row],[Audit Candidate 8]])), Audit[[#This Row],[Audit Candidate 8]]-Audit[[#This Row],[Candidate 8]], "")</f>
        <v/>
      </c>
      <c r="AM512" s="17" t="str">
        <f>IF(NOT(ISBLANK(Audit[[#This Row],[Audit Candidate 9]])), Audit[[#This Row],[Audit Candidate 9]]-Audit[[#This Row],[Candidate 9]], "")</f>
        <v/>
      </c>
      <c r="AN512" s="17" t="str">
        <f>IF(NOT(ISBLANK(Audit[[#This Row],[Audit Candidate 10]])), Audit[[#This Row],[Audit Candidate 10]]-Audit[[#This Row],[Candidate 10]], "")</f>
        <v/>
      </c>
      <c r="AO512" s="17" t="str">
        <f>IF(NOT(ISBLANK(Audit[[#This Row],[Audit Candidate 11]])), Audit[[#This Row],[Audit Candidate 11]]-Audit[[#This Row],[Candidate 11]], "")</f>
        <v/>
      </c>
      <c r="AP512" s="17" t="str">
        <f>IF(NOT(ISBLANK(Audit[[#This Row],[Audit Candidate 12]])), Audit[[#This Row],[Audit Candidate 12]]-Audit[[#This Row],[Candidate 12]], "")</f>
        <v/>
      </c>
      <c r="AQ512" s="17">
        <f>SUMIF(Audit[[#This Row],[Difference Winner]:[Difference Candidate 12]], "&gt;0")</f>
        <v>0</v>
      </c>
      <c r="AR512" s="17">
        <f>SUM(Audit[[#This Row],[Difference Winner]:[Difference Candidate 12]])</f>
        <v>0</v>
      </c>
      <c r="AS512" s="17">
        <f>IF(Audit[[#This Row],[Times p Drawn - With Replacement]]&gt;0, IF(Audit[[#This Row],[Canceled Differences]]&lt;0, Audit[[#This Row],[Max Differences]]+ABS(Audit[[#This Row],[Canceled Differences]]), Audit[[#This Row],[Max Differences]]), 0)</f>
        <v>0</v>
      </c>
      <c r="AT512" s="17">
        <f>'Sampling Data'!AB512</f>
        <v>2.2194873535902222E-2</v>
      </c>
      <c r="AU512" s="17">
        <f>IF(
      SUM(Audit[[#This Row],[Audit Losing Candidate]:[Audit Candidate 12]])
      &lt;&gt;0,
      (Audit[[#This Row],[Winning Candidate]]-Audit[[#This Row],[Losing Candidate]]-(Audit[[#This Row],[Audit Winning Candidate]]-Audit[[#This Row],[Audit Losing Candidate]]))/(Audit[[#Totals],[Winning Candidate]]-Audit[[#Totals],[Losing Candidate]]),
      0
)</f>
        <v>0</v>
      </c>
      <c r="AV5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2" s="17">
        <f>IF(Audit[[#This Row],[Max Relative Error (ep)]] = 0, 0, Audit[[#This Row],[Max Relative Error (ep)]]/Audit[[#This Row],[Error Bound (up) - Max. possible relative overstatement]])</f>
        <v>0</v>
      </c>
      <c r="BH5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12" s="17">
        <f t="shared" si="8"/>
        <v>1</v>
      </c>
      <c r="BJ512" s="17">
        <f>PRODUCT($BI$5:BI512)</f>
        <v>0.43805400213514833</v>
      </c>
      <c r="BK512" s="19">
        <f>1 - Audit[[#This Row],[K-M P Value]]</f>
        <v>0.56194599786485167</v>
      </c>
      <c r="BL512" s="17" t="str">
        <f>IF(Audit[[#This Row],[K-M P Value]]&gt;1-'General Info'!$B$12,"Continue", "Stop")</f>
        <v>Continue</v>
      </c>
      <c r="BM512" s="22" t="b">
        <f>IF(Audit[[#This Row],[Status - Continue or stop audit]] = "Continue", TRUE, IF(BL511 = "Continue", TRUE, FALSE))</f>
        <v>1</v>
      </c>
      <c r="BN512" s="22"/>
    </row>
    <row r="513" spans="1:66" ht="15" hidden="1" customHeight="1" x14ac:dyDescent="0.35">
      <c r="A513" s="17" t="str">
        <f>'Sampling Data'!AI513</f>
        <v/>
      </c>
      <c r="B513" s="17" t="str">
        <f>'Sampling Data'!A513</f>
        <v>8708 SPFLD H   (AV)</v>
      </c>
      <c r="C513" s="17">
        <f>'Sampling Data'!B513</f>
        <v>229</v>
      </c>
      <c r="D513" s="17">
        <f>'Sampling Data'!C513</f>
        <v>197</v>
      </c>
      <c r="E513" s="18">
        <f>'Sampling Data'!D513</f>
        <v>0</v>
      </c>
      <c r="F513" s="18">
        <f>'Sampling Data'!E513</f>
        <v>0</v>
      </c>
      <c r="G513" s="18">
        <f>'Sampling Data'!F513</f>
        <v>0</v>
      </c>
      <c r="H513" s="18">
        <f>'Sampling Data'!G513</f>
        <v>0</v>
      </c>
      <c r="I513" s="18">
        <f>'Sampling Data'!H513</f>
        <v>0</v>
      </c>
      <c r="J513" s="18">
        <f>'Sampling Data'!I513</f>
        <v>0</v>
      </c>
      <c r="K513" s="18">
        <f>'Sampling Data'!J513</f>
        <v>0</v>
      </c>
      <c r="L513" s="18">
        <f>'Sampling Data'!K513</f>
        <v>0</v>
      </c>
      <c r="M513" s="18">
        <f>'Sampling Data'!L513</f>
        <v>0</v>
      </c>
      <c r="N513" s="18">
        <f>'Sampling Data'!M513</f>
        <v>0</v>
      </c>
      <c r="O513" s="17">
        <f>'Sampling Data'!N513</f>
        <v>0</v>
      </c>
      <c r="P513" s="17">
        <f>'Sampling Data'!O513</f>
        <v>25</v>
      </c>
      <c r="Q513" s="17">
        <f>'Sampling Data'!P513</f>
        <v>451</v>
      </c>
      <c r="R513" s="17">
        <f>'Sampling Data'!AJ513</f>
        <v>0</v>
      </c>
      <c r="S513" s="111"/>
      <c r="T513" s="111"/>
      <c r="U513" s="112"/>
      <c r="V513" s="112"/>
      <c r="W513" s="111"/>
      <c r="X513" s="111"/>
      <c r="Y513" s="111"/>
      <c r="Z513" s="111"/>
      <c r="AA513" s="14"/>
      <c r="AB513" s="14"/>
      <c r="AC513" s="14"/>
      <c r="AD513" s="14"/>
      <c r="AE513" s="113" t="str">
        <f>IF(NOT(ISBLANK(Audit[[#This Row],[Audit Winning Candidate]])), Audit[[#This Row],[Audit Winning Candidate]]-Audit[[#This Row],[Winning Candidate]], "")</f>
        <v/>
      </c>
      <c r="AF513" s="17" t="str">
        <f>IF(NOT(ISBLANK(Audit[[#This Row],[Audit Losing Candidate]])), Audit[[#This Row],[Audit Losing Candidate]]-Audit[[#This Row],[Losing Candidate]], "")</f>
        <v/>
      </c>
      <c r="AG513" s="17" t="str">
        <f>IF(NOT(ISBLANK(Audit[[#This Row],[Audit Candidate 3]])), Audit[[#This Row],[Audit Candidate 3]]-Audit[[#This Row],[Candidate 3]], "")</f>
        <v/>
      </c>
      <c r="AH513" s="17" t="str">
        <f>IF(NOT(ISBLANK(Audit[[#This Row],[Audit Candidate 4]])),Audit[[#This Row],[Audit Candidate 4]]-Audit[[#This Row],[Candidate 4]], "")</f>
        <v/>
      </c>
      <c r="AI513" s="17" t="str">
        <f>IF(NOT(ISBLANK(Audit[[#This Row],[Audit Candidate 5]])), Audit[[#This Row],[Audit Candidate 5]]-Audit[[#This Row],[Candidate 5]], "")</f>
        <v/>
      </c>
      <c r="AJ513" s="17" t="str">
        <f>IF(NOT(ISBLANK(Audit[[#This Row],[Audit Candidate 6]])), Audit[[#This Row],[Audit Candidate 6]]-Audit[[#This Row],[Candidate 6]], "")</f>
        <v/>
      </c>
      <c r="AK513" s="17" t="str">
        <f>IF(NOT(ISBLANK(Audit[[#This Row],[Audit Candidate 7]])), Audit[[#This Row],[Audit Candidate 7]]-Audit[[#This Row],[Candidate 7]], "")</f>
        <v/>
      </c>
      <c r="AL513" s="17" t="str">
        <f>IF(NOT(ISBLANK(Audit[[#This Row],[Audit Candidate 8]])), Audit[[#This Row],[Audit Candidate 8]]-Audit[[#This Row],[Candidate 8]], "")</f>
        <v/>
      </c>
      <c r="AM513" s="17" t="str">
        <f>IF(NOT(ISBLANK(Audit[[#This Row],[Audit Candidate 9]])), Audit[[#This Row],[Audit Candidate 9]]-Audit[[#This Row],[Candidate 9]], "")</f>
        <v/>
      </c>
      <c r="AN513" s="17" t="str">
        <f>IF(NOT(ISBLANK(Audit[[#This Row],[Audit Candidate 10]])), Audit[[#This Row],[Audit Candidate 10]]-Audit[[#This Row],[Candidate 10]], "")</f>
        <v/>
      </c>
      <c r="AO513" s="17" t="str">
        <f>IF(NOT(ISBLANK(Audit[[#This Row],[Audit Candidate 11]])), Audit[[#This Row],[Audit Candidate 11]]-Audit[[#This Row],[Candidate 11]], "")</f>
        <v/>
      </c>
      <c r="AP513" s="17" t="str">
        <f>IF(NOT(ISBLANK(Audit[[#This Row],[Audit Candidate 12]])), Audit[[#This Row],[Audit Candidate 12]]-Audit[[#This Row],[Candidate 12]], "")</f>
        <v/>
      </c>
      <c r="AQ513" s="17">
        <f>SUMIF(Audit[[#This Row],[Difference Winner]:[Difference Candidate 12]], "&gt;0")</f>
        <v>0</v>
      </c>
      <c r="AR513" s="17">
        <f>SUM(Audit[[#This Row],[Difference Winner]:[Difference Candidate 12]])</f>
        <v>0</v>
      </c>
      <c r="AS513" s="17">
        <f>IF(Audit[[#This Row],[Times p Drawn - With Replacement]]&gt;0, IF(Audit[[#This Row],[Canceled Differences]]&lt;0, Audit[[#This Row],[Max Differences]]+ABS(Audit[[#This Row],[Canceled Differences]]), Audit[[#This Row],[Max Differences]]), 0)</f>
        <v>0</v>
      </c>
      <c r="AT513" s="17">
        <f>'Sampling Data'!AB513</f>
        <v>2.0497368867764387E-2</v>
      </c>
      <c r="AU513" s="17">
        <f>IF(
      SUM(Audit[[#This Row],[Audit Losing Candidate]:[Audit Candidate 12]])
      &lt;&gt;0,
      (Audit[[#This Row],[Winning Candidate]]-Audit[[#This Row],[Losing Candidate]]-(Audit[[#This Row],[Audit Winning Candidate]]-Audit[[#This Row],[Audit Losing Candidate]]))/(Audit[[#Totals],[Winning Candidate]]-Audit[[#Totals],[Losing Candidate]]),
      0
)</f>
        <v>0</v>
      </c>
      <c r="AV5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3" s="17">
        <f>IF(Audit[[#This Row],[Max Relative Error (ep)]] = 0, 0, Audit[[#This Row],[Max Relative Error (ep)]]/Audit[[#This Row],[Error Bound (up) - Max. possible relative overstatement]])</f>
        <v>0</v>
      </c>
      <c r="BH5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13" s="17">
        <f t="shared" si="8"/>
        <v>1</v>
      </c>
      <c r="BJ513" s="17">
        <f>PRODUCT($BI$5:BI513)</f>
        <v>0.43805400213514833</v>
      </c>
      <c r="BK513" s="19">
        <f>1 - Audit[[#This Row],[K-M P Value]]</f>
        <v>0.56194599786485167</v>
      </c>
      <c r="BL513" s="17" t="str">
        <f>IF(Audit[[#This Row],[K-M P Value]]&gt;1-'General Info'!$B$12,"Continue", "Stop")</f>
        <v>Continue</v>
      </c>
      <c r="BM513" s="22" t="b">
        <f>IF(Audit[[#This Row],[Status - Continue or stop audit]] = "Continue", TRUE, IF(BL512 = "Continue", TRUE, FALSE))</f>
        <v>1</v>
      </c>
      <c r="BN513" s="22"/>
    </row>
    <row r="514" spans="1:66" ht="15" hidden="1" customHeight="1" x14ac:dyDescent="0.35">
      <c r="A514" s="17" t="str">
        <f>'Sampling Data'!AI514</f>
        <v/>
      </c>
      <c r="B514" s="17" t="str">
        <f>'Sampling Data'!A514</f>
        <v>8709 SPFLD I   (AV)</v>
      </c>
      <c r="C514" s="17">
        <f>'Sampling Data'!B514</f>
        <v>70</v>
      </c>
      <c r="D514" s="17">
        <f>'Sampling Data'!C514</f>
        <v>47</v>
      </c>
      <c r="E514" s="18">
        <f>'Sampling Data'!D514</f>
        <v>0</v>
      </c>
      <c r="F514" s="18">
        <f>'Sampling Data'!E514</f>
        <v>0</v>
      </c>
      <c r="G514" s="18">
        <f>'Sampling Data'!F514</f>
        <v>0</v>
      </c>
      <c r="H514" s="18">
        <f>'Sampling Data'!G514</f>
        <v>0</v>
      </c>
      <c r="I514" s="18">
        <f>'Sampling Data'!H514</f>
        <v>0</v>
      </c>
      <c r="J514" s="18">
        <f>'Sampling Data'!I514</f>
        <v>0</v>
      </c>
      <c r="K514" s="18">
        <f>'Sampling Data'!J514</f>
        <v>0</v>
      </c>
      <c r="L514" s="18">
        <f>'Sampling Data'!K514</f>
        <v>0</v>
      </c>
      <c r="M514" s="18">
        <f>'Sampling Data'!L514</f>
        <v>0</v>
      </c>
      <c r="N514" s="18">
        <f>'Sampling Data'!M514</f>
        <v>0</v>
      </c>
      <c r="O514" s="17">
        <f>'Sampling Data'!N514</f>
        <v>0</v>
      </c>
      <c r="P514" s="17">
        <f>'Sampling Data'!O514</f>
        <v>3</v>
      </c>
      <c r="Q514" s="17">
        <f>'Sampling Data'!P514</f>
        <v>120</v>
      </c>
      <c r="R514" s="17">
        <f>'Sampling Data'!AJ514</f>
        <v>0</v>
      </c>
      <c r="S514" s="111"/>
      <c r="T514" s="111"/>
      <c r="U514" s="112"/>
      <c r="V514" s="112"/>
      <c r="W514" s="111"/>
      <c r="X514" s="111"/>
      <c r="Y514" s="111"/>
      <c r="Z514" s="111"/>
      <c r="AA514" s="14"/>
      <c r="AB514" s="14"/>
      <c r="AC514" s="14"/>
      <c r="AD514" s="14"/>
      <c r="AE514" s="113" t="str">
        <f>IF(NOT(ISBLANK(Audit[[#This Row],[Audit Winning Candidate]])), Audit[[#This Row],[Audit Winning Candidate]]-Audit[[#This Row],[Winning Candidate]], "")</f>
        <v/>
      </c>
      <c r="AF514" s="17" t="str">
        <f>IF(NOT(ISBLANK(Audit[[#This Row],[Audit Losing Candidate]])), Audit[[#This Row],[Audit Losing Candidate]]-Audit[[#This Row],[Losing Candidate]], "")</f>
        <v/>
      </c>
      <c r="AG514" s="17" t="str">
        <f>IF(NOT(ISBLANK(Audit[[#This Row],[Audit Candidate 3]])), Audit[[#This Row],[Audit Candidate 3]]-Audit[[#This Row],[Candidate 3]], "")</f>
        <v/>
      </c>
      <c r="AH514" s="17" t="str">
        <f>IF(NOT(ISBLANK(Audit[[#This Row],[Audit Candidate 4]])),Audit[[#This Row],[Audit Candidate 4]]-Audit[[#This Row],[Candidate 4]], "")</f>
        <v/>
      </c>
      <c r="AI514" s="17" t="str">
        <f>IF(NOT(ISBLANK(Audit[[#This Row],[Audit Candidate 5]])), Audit[[#This Row],[Audit Candidate 5]]-Audit[[#This Row],[Candidate 5]], "")</f>
        <v/>
      </c>
      <c r="AJ514" s="17" t="str">
        <f>IF(NOT(ISBLANK(Audit[[#This Row],[Audit Candidate 6]])), Audit[[#This Row],[Audit Candidate 6]]-Audit[[#This Row],[Candidate 6]], "")</f>
        <v/>
      </c>
      <c r="AK514" s="17" t="str">
        <f>IF(NOT(ISBLANK(Audit[[#This Row],[Audit Candidate 7]])), Audit[[#This Row],[Audit Candidate 7]]-Audit[[#This Row],[Candidate 7]], "")</f>
        <v/>
      </c>
      <c r="AL514" s="17" t="str">
        <f>IF(NOT(ISBLANK(Audit[[#This Row],[Audit Candidate 8]])), Audit[[#This Row],[Audit Candidate 8]]-Audit[[#This Row],[Candidate 8]], "")</f>
        <v/>
      </c>
      <c r="AM514" s="17" t="str">
        <f>IF(NOT(ISBLANK(Audit[[#This Row],[Audit Candidate 9]])), Audit[[#This Row],[Audit Candidate 9]]-Audit[[#This Row],[Candidate 9]], "")</f>
        <v/>
      </c>
      <c r="AN514" s="17" t="str">
        <f>IF(NOT(ISBLANK(Audit[[#This Row],[Audit Candidate 10]])), Audit[[#This Row],[Audit Candidate 10]]-Audit[[#This Row],[Candidate 10]], "")</f>
        <v/>
      </c>
      <c r="AO514" s="17" t="str">
        <f>IF(NOT(ISBLANK(Audit[[#This Row],[Audit Candidate 11]])), Audit[[#This Row],[Audit Candidate 11]]-Audit[[#This Row],[Candidate 11]], "")</f>
        <v/>
      </c>
      <c r="AP514" s="17" t="str">
        <f>IF(NOT(ISBLANK(Audit[[#This Row],[Audit Candidate 12]])), Audit[[#This Row],[Audit Candidate 12]]-Audit[[#This Row],[Candidate 12]], "")</f>
        <v/>
      </c>
      <c r="AQ514" s="17">
        <f>SUMIF(Audit[[#This Row],[Difference Winner]:[Difference Candidate 12]], "&gt;0")</f>
        <v>0</v>
      </c>
      <c r="AR514" s="17">
        <f>SUM(Audit[[#This Row],[Difference Winner]:[Difference Candidate 12]])</f>
        <v>0</v>
      </c>
      <c r="AS514" s="17">
        <f>IF(Audit[[#This Row],[Times p Drawn - With Replacement]]&gt;0, IF(Audit[[#This Row],[Canceled Differences]]&lt;0, Audit[[#This Row],[Max Differences]]+ABS(Audit[[#This Row],[Canceled Differences]]), Audit[[#This Row],[Max Differences]]), 0)</f>
        <v>0</v>
      </c>
      <c r="AT514" s="17">
        <f>'Sampling Data'!AB514</f>
        <v>6.0685791885927683E-3</v>
      </c>
      <c r="AU514" s="17">
        <f>IF(
      SUM(Audit[[#This Row],[Audit Losing Candidate]:[Audit Candidate 12]])
      &lt;&gt;0,
      (Audit[[#This Row],[Winning Candidate]]-Audit[[#This Row],[Losing Candidate]]-(Audit[[#This Row],[Audit Winning Candidate]]-Audit[[#This Row],[Audit Losing Candidate]]))/(Audit[[#Totals],[Winning Candidate]]-Audit[[#Totals],[Losing Candidate]]),
      0
)</f>
        <v>0</v>
      </c>
      <c r="AV5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4" s="17">
        <f>IF(Audit[[#This Row],[Max Relative Error (ep)]] = 0, 0, Audit[[#This Row],[Max Relative Error (ep)]]/Audit[[#This Row],[Error Bound (up) - Max. possible relative overstatement]])</f>
        <v>0</v>
      </c>
      <c r="BH5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14" s="17">
        <f t="shared" si="8"/>
        <v>1</v>
      </c>
      <c r="BJ514" s="17">
        <f>PRODUCT($BI$5:BI514)</f>
        <v>0.43805400213514833</v>
      </c>
      <c r="BK514" s="19">
        <f>1 - Audit[[#This Row],[K-M P Value]]</f>
        <v>0.56194599786485167</v>
      </c>
      <c r="BL514" s="17" t="str">
        <f>IF(Audit[[#This Row],[K-M P Value]]&gt;1-'General Info'!$B$12,"Continue", "Stop")</f>
        <v>Continue</v>
      </c>
      <c r="BM514" s="22" t="b">
        <f>IF(Audit[[#This Row],[Status - Continue or stop audit]] = "Continue", TRUE, IF(BL513 = "Continue", TRUE, FALSE))</f>
        <v>1</v>
      </c>
      <c r="BN514" s="22"/>
    </row>
    <row r="515" spans="1:66" ht="15" hidden="1" customHeight="1" x14ac:dyDescent="0.35">
      <c r="A515" s="17" t="str">
        <f>'Sampling Data'!AI515</f>
        <v/>
      </c>
      <c r="B515" s="17" t="str">
        <f>'Sampling Data'!A515</f>
        <v>8710 SPFLD J   (AV)</v>
      </c>
      <c r="C515" s="17">
        <f>'Sampling Data'!B515</f>
        <v>175</v>
      </c>
      <c r="D515" s="17">
        <f>'Sampling Data'!C515</f>
        <v>61</v>
      </c>
      <c r="E515" s="18">
        <f>'Sampling Data'!D515</f>
        <v>0</v>
      </c>
      <c r="F515" s="18">
        <f>'Sampling Data'!E515</f>
        <v>0</v>
      </c>
      <c r="G515" s="18">
        <f>'Sampling Data'!F515</f>
        <v>0</v>
      </c>
      <c r="H515" s="18">
        <f>'Sampling Data'!G515</f>
        <v>0</v>
      </c>
      <c r="I515" s="18">
        <f>'Sampling Data'!H515</f>
        <v>0</v>
      </c>
      <c r="J515" s="18">
        <f>'Sampling Data'!I515</f>
        <v>0</v>
      </c>
      <c r="K515" s="18">
        <f>'Sampling Data'!J515</f>
        <v>0</v>
      </c>
      <c r="L515" s="18">
        <f>'Sampling Data'!K515</f>
        <v>0</v>
      </c>
      <c r="M515" s="18">
        <f>'Sampling Data'!L515</f>
        <v>0</v>
      </c>
      <c r="N515" s="18">
        <f>'Sampling Data'!M515</f>
        <v>0</v>
      </c>
      <c r="O515" s="17">
        <f>'Sampling Data'!N515</f>
        <v>0</v>
      </c>
      <c r="P515" s="17">
        <f>'Sampling Data'!O515</f>
        <v>6</v>
      </c>
      <c r="Q515" s="17">
        <f>'Sampling Data'!P515</f>
        <v>242</v>
      </c>
      <c r="R515" s="17">
        <f>'Sampling Data'!AJ515</f>
        <v>0</v>
      </c>
      <c r="S515" s="111"/>
      <c r="T515" s="111"/>
      <c r="U515" s="112"/>
      <c r="V515" s="112"/>
      <c r="W515" s="111"/>
      <c r="X515" s="111"/>
      <c r="Y515" s="111"/>
      <c r="Z515" s="111"/>
      <c r="AA515" s="14"/>
      <c r="AB515" s="14"/>
      <c r="AC515" s="14"/>
      <c r="AD515" s="14"/>
      <c r="AE515" s="113" t="str">
        <f>IF(NOT(ISBLANK(Audit[[#This Row],[Audit Winning Candidate]])), Audit[[#This Row],[Audit Winning Candidate]]-Audit[[#This Row],[Winning Candidate]], "")</f>
        <v/>
      </c>
      <c r="AF515" s="17" t="str">
        <f>IF(NOT(ISBLANK(Audit[[#This Row],[Audit Losing Candidate]])), Audit[[#This Row],[Audit Losing Candidate]]-Audit[[#This Row],[Losing Candidate]], "")</f>
        <v/>
      </c>
      <c r="AG515" s="17" t="str">
        <f>IF(NOT(ISBLANK(Audit[[#This Row],[Audit Candidate 3]])), Audit[[#This Row],[Audit Candidate 3]]-Audit[[#This Row],[Candidate 3]], "")</f>
        <v/>
      </c>
      <c r="AH515" s="17" t="str">
        <f>IF(NOT(ISBLANK(Audit[[#This Row],[Audit Candidate 4]])),Audit[[#This Row],[Audit Candidate 4]]-Audit[[#This Row],[Candidate 4]], "")</f>
        <v/>
      </c>
      <c r="AI515" s="17" t="str">
        <f>IF(NOT(ISBLANK(Audit[[#This Row],[Audit Candidate 5]])), Audit[[#This Row],[Audit Candidate 5]]-Audit[[#This Row],[Candidate 5]], "")</f>
        <v/>
      </c>
      <c r="AJ515" s="17" t="str">
        <f>IF(NOT(ISBLANK(Audit[[#This Row],[Audit Candidate 6]])), Audit[[#This Row],[Audit Candidate 6]]-Audit[[#This Row],[Candidate 6]], "")</f>
        <v/>
      </c>
      <c r="AK515" s="17" t="str">
        <f>IF(NOT(ISBLANK(Audit[[#This Row],[Audit Candidate 7]])), Audit[[#This Row],[Audit Candidate 7]]-Audit[[#This Row],[Candidate 7]], "")</f>
        <v/>
      </c>
      <c r="AL515" s="17" t="str">
        <f>IF(NOT(ISBLANK(Audit[[#This Row],[Audit Candidate 8]])), Audit[[#This Row],[Audit Candidate 8]]-Audit[[#This Row],[Candidate 8]], "")</f>
        <v/>
      </c>
      <c r="AM515" s="17" t="str">
        <f>IF(NOT(ISBLANK(Audit[[#This Row],[Audit Candidate 9]])), Audit[[#This Row],[Audit Candidate 9]]-Audit[[#This Row],[Candidate 9]], "")</f>
        <v/>
      </c>
      <c r="AN515" s="17" t="str">
        <f>IF(NOT(ISBLANK(Audit[[#This Row],[Audit Candidate 10]])), Audit[[#This Row],[Audit Candidate 10]]-Audit[[#This Row],[Candidate 10]], "")</f>
        <v/>
      </c>
      <c r="AO515" s="17" t="str">
        <f>IF(NOT(ISBLANK(Audit[[#This Row],[Audit Candidate 11]])), Audit[[#This Row],[Audit Candidate 11]]-Audit[[#This Row],[Candidate 11]], "")</f>
        <v/>
      </c>
      <c r="AP515" s="17" t="str">
        <f>IF(NOT(ISBLANK(Audit[[#This Row],[Audit Candidate 12]])), Audit[[#This Row],[Audit Candidate 12]]-Audit[[#This Row],[Candidate 12]], "")</f>
        <v/>
      </c>
      <c r="AQ515" s="17">
        <f>SUMIF(Audit[[#This Row],[Difference Winner]:[Difference Candidate 12]], "&gt;0")</f>
        <v>0</v>
      </c>
      <c r="AR515" s="17">
        <f>SUM(Audit[[#This Row],[Difference Winner]:[Difference Candidate 12]])</f>
        <v>0</v>
      </c>
      <c r="AS515" s="17">
        <f>IF(Audit[[#This Row],[Times p Drawn - With Replacement]]&gt;0, IF(Audit[[#This Row],[Canceled Differences]]&lt;0, Audit[[#This Row],[Max Differences]]+ABS(Audit[[#This Row],[Canceled Differences]]), Audit[[#This Row],[Max Differences]]), 0)</f>
        <v>0</v>
      </c>
      <c r="AT515" s="17">
        <f>'Sampling Data'!AB515</f>
        <v>1.5107791546426753E-2</v>
      </c>
      <c r="AU515" s="17">
        <f>IF(
      SUM(Audit[[#This Row],[Audit Losing Candidate]:[Audit Candidate 12]])
      &lt;&gt;0,
      (Audit[[#This Row],[Winning Candidate]]-Audit[[#This Row],[Losing Candidate]]-(Audit[[#This Row],[Audit Winning Candidate]]-Audit[[#This Row],[Audit Losing Candidate]]))/(Audit[[#Totals],[Winning Candidate]]-Audit[[#Totals],[Losing Candidate]]),
      0
)</f>
        <v>0</v>
      </c>
      <c r="AV5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5" s="17">
        <f>IF(Audit[[#This Row],[Max Relative Error (ep)]] = 0, 0, Audit[[#This Row],[Max Relative Error (ep)]]/Audit[[#This Row],[Error Bound (up) - Max. possible relative overstatement]])</f>
        <v>0</v>
      </c>
      <c r="BH5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15" s="17">
        <f t="shared" si="8"/>
        <v>1</v>
      </c>
      <c r="BJ515" s="17">
        <f>PRODUCT($BI$5:BI515)</f>
        <v>0.43805400213514833</v>
      </c>
      <c r="BK515" s="19">
        <f>1 - Audit[[#This Row],[K-M P Value]]</f>
        <v>0.56194599786485167</v>
      </c>
      <c r="BL515" s="17" t="str">
        <f>IF(Audit[[#This Row],[K-M P Value]]&gt;1-'General Info'!$B$12,"Continue", "Stop")</f>
        <v>Continue</v>
      </c>
      <c r="BM515" s="22" t="b">
        <f>IF(Audit[[#This Row],[Status - Continue or stop audit]] = "Continue", TRUE, IF(BL514 = "Continue", TRUE, FALSE))</f>
        <v>1</v>
      </c>
      <c r="BN515" s="22"/>
    </row>
    <row r="516" spans="1:66" ht="15" hidden="1" customHeight="1" x14ac:dyDescent="0.35">
      <c r="A516" s="17" t="str">
        <f>'Sampling Data'!AI516</f>
        <v/>
      </c>
      <c r="B516" s="17" t="str">
        <f>'Sampling Data'!A516</f>
        <v>8711 SPFLD K   (AV)</v>
      </c>
      <c r="C516" s="17">
        <f>'Sampling Data'!B516</f>
        <v>145</v>
      </c>
      <c r="D516" s="17">
        <f>'Sampling Data'!C516</f>
        <v>39</v>
      </c>
      <c r="E516" s="18">
        <f>'Sampling Data'!D516</f>
        <v>0</v>
      </c>
      <c r="F516" s="18">
        <f>'Sampling Data'!E516</f>
        <v>0</v>
      </c>
      <c r="G516" s="18">
        <f>'Sampling Data'!F516</f>
        <v>0</v>
      </c>
      <c r="H516" s="18">
        <f>'Sampling Data'!G516</f>
        <v>0</v>
      </c>
      <c r="I516" s="18">
        <f>'Sampling Data'!H516</f>
        <v>0</v>
      </c>
      <c r="J516" s="18">
        <f>'Sampling Data'!I516</f>
        <v>0</v>
      </c>
      <c r="K516" s="18">
        <f>'Sampling Data'!J516</f>
        <v>0</v>
      </c>
      <c r="L516" s="18">
        <f>'Sampling Data'!K516</f>
        <v>0</v>
      </c>
      <c r="M516" s="18">
        <f>'Sampling Data'!L516</f>
        <v>0</v>
      </c>
      <c r="N516" s="18">
        <f>'Sampling Data'!M516</f>
        <v>0</v>
      </c>
      <c r="O516" s="17">
        <f>'Sampling Data'!N516</f>
        <v>0</v>
      </c>
      <c r="P516" s="17">
        <f>'Sampling Data'!O516</f>
        <v>11</v>
      </c>
      <c r="Q516" s="17">
        <f>'Sampling Data'!P516</f>
        <v>195</v>
      </c>
      <c r="R516" s="17">
        <f>'Sampling Data'!AJ516</f>
        <v>0</v>
      </c>
      <c r="S516" s="111"/>
      <c r="T516" s="111"/>
      <c r="U516" s="112"/>
      <c r="V516" s="112"/>
      <c r="W516" s="111"/>
      <c r="X516" s="111"/>
      <c r="Y516" s="111"/>
      <c r="Z516" s="111"/>
      <c r="AA516" s="14"/>
      <c r="AB516" s="14"/>
      <c r="AC516" s="14"/>
      <c r="AD516" s="14"/>
      <c r="AE516" s="113" t="str">
        <f>IF(NOT(ISBLANK(Audit[[#This Row],[Audit Winning Candidate]])), Audit[[#This Row],[Audit Winning Candidate]]-Audit[[#This Row],[Winning Candidate]], "")</f>
        <v/>
      </c>
      <c r="AF516" s="17" t="str">
        <f>IF(NOT(ISBLANK(Audit[[#This Row],[Audit Losing Candidate]])), Audit[[#This Row],[Audit Losing Candidate]]-Audit[[#This Row],[Losing Candidate]], "")</f>
        <v/>
      </c>
      <c r="AG516" s="17" t="str">
        <f>IF(NOT(ISBLANK(Audit[[#This Row],[Audit Candidate 3]])), Audit[[#This Row],[Audit Candidate 3]]-Audit[[#This Row],[Candidate 3]], "")</f>
        <v/>
      </c>
      <c r="AH516" s="17" t="str">
        <f>IF(NOT(ISBLANK(Audit[[#This Row],[Audit Candidate 4]])),Audit[[#This Row],[Audit Candidate 4]]-Audit[[#This Row],[Candidate 4]], "")</f>
        <v/>
      </c>
      <c r="AI516" s="17" t="str">
        <f>IF(NOT(ISBLANK(Audit[[#This Row],[Audit Candidate 5]])), Audit[[#This Row],[Audit Candidate 5]]-Audit[[#This Row],[Candidate 5]], "")</f>
        <v/>
      </c>
      <c r="AJ516" s="17" t="str">
        <f>IF(NOT(ISBLANK(Audit[[#This Row],[Audit Candidate 6]])), Audit[[#This Row],[Audit Candidate 6]]-Audit[[#This Row],[Candidate 6]], "")</f>
        <v/>
      </c>
      <c r="AK516" s="17" t="str">
        <f>IF(NOT(ISBLANK(Audit[[#This Row],[Audit Candidate 7]])), Audit[[#This Row],[Audit Candidate 7]]-Audit[[#This Row],[Candidate 7]], "")</f>
        <v/>
      </c>
      <c r="AL516" s="17" t="str">
        <f>IF(NOT(ISBLANK(Audit[[#This Row],[Audit Candidate 8]])), Audit[[#This Row],[Audit Candidate 8]]-Audit[[#This Row],[Candidate 8]], "")</f>
        <v/>
      </c>
      <c r="AM516" s="17" t="str">
        <f>IF(NOT(ISBLANK(Audit[[#This Row],[Audit Candidate 9]])), Audit[[#This Row],[Audit Candidate 9]]-Audit[[#This Row],[Candidate 9]], "")</f>
        <v/>
      </c>
      <c r="AN516" s="17" t="str">
        <f>IF(NOT(ISBLANK(Audit[[#This Row],[Audit Candidate 10]])), Audit[[#This Row],[Audit Candidate 10]]-Audit[[#This Row],[Candidate 10]], "")</f>
        <v/>
      </c>
      <c r="AO516" s="17" t="str">
        <f>IF(NOT(ISBLANK(Audit[[#This Row],[Audit Candidate 11]])), Audit[[#This Row],[Audit Candidate 11]]-Audit[[#This Row],[Candidate 11]], "")</f>
        <v/>
      </c>
      <c r="AP516" s="17" t="str">
        <f>IF(NOT(ISBLANK(Audit[[#This Row],[Audit Candidate 12]])), Audit[[#This Row],[Audit Candidate 12]]-Audit[[#This Row],[Candidate 12]], "")</f>
        <v/>
      </c>
      <c r="AQ516" s="17">
        <f>SUMIF(Audit[[#This Row],[Difference Winner]:[Difference Candidate 12]], "&gt;0")</f>
        <v>0</v>
      </c>
      <c r="AR516" s="17">
        <f>SUM(Audit[[#This Row],[Difference Winner]:[Difference Candidate 12]])</f>
        <v>0</v>
      </c>
      <c r="AS516" s="17">
        <f>IF(Audit[[#This Row],[Times p Drawn - With Replacement]]&gt;0, IF(Audit[[#This Row],[Canceled Differences]]&lt;0, Audit[[#This Row],[Max Differences]]+ABS(Audit[[#This Row],[Canceled Differences]]), Audit[[#This Row],[Max Differences]]), 0)</f>
        <v>0</v>
      </c>
      <c r="AT516" s="17">
        <f>'Sampling Data'!AB516</f>
        <v>1.2773722627737226E-2</v>
      </c>
      <c r="AU516" s="17">
        <f>IF(
      SUM(Audit[[#This Row],[Audit Losing Candidate]:[Audit Candidate 12]])
      &lt;&gt;0,
      (Audit[[#This Row],[Winning Candidate]]-Audit[[#This Row],[Losing Candidate]]-(Audit[[#This Row],[Audit Winning Candidate]]-Audit[[#This Row],[Audit Losing Candidate]]))/(Audit[[#Totals],[Winning Candidate]]-Audit[[#Totals],[Losing Candidate]]),
      0
)</f>
        <v>0</v>
      </c>
      <c r="AV5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6" s="17">
        <f>IF(Audit[[#This Row],[Max Relative Error (ep)]] = 0, 0, Audit[[#This Row],[Max Relative Error (ep)]]/Audit[[#This Row],[Error Bound (up) - Max. possible relative overstatement]])</f>
        <v>0</v>
      </c>
      <c r="BH5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16" s="17">
        <f t="shared" si="8"/>
        <v>1</v>
      </c>
      <c r="BJ516" s="17">
        <f>PRODUCT($BI$5:BI516)</f>
        <v>0.43805400213514833</v>
      </c>
      <c r="BK516" s="19">
        <f>1 - Audit[[#This Row],[K-M P Value]]</f>
        <v>0.56194599786485167</v>
      </c>
      <c r="BL516" s="17" t="str">
        <f>IF(Audit[[#This Row],[K-M P Value]]&gt;1-'General Info'!$B$12,"Continue", "Stop")</f>
        <v>Continue</v>
      </c>
      <c r="BM516" s="22" t="b">
        <f>IF(Audit[[#This Row],[Status - Continue or stop audit]] = "Continue", TRUE, IF(BL515 = "Continue", TRUE, FALSE))</f>
        <v>1</v>
      </c>
      <c r="BN516" s="22"/>
    </row>
    <row r="517" spans="1:66" ht="15" hidden="1" customHeight="1" x14ac:dyDescent="0.35">
      <c r="A517" s="17" t="str">
        <f>'Sampling Data'!AI517</f>
        <v/>
      </c>
      <c r="B517" s="17" t="str">
        <f>'Sampling Data'!A517</f>
        <v>8712 SPFLD L   (AV)</v>
      </c>
      <c r="C517" s="17">
        <f>'Sampling Data'!B517</f>
        <v>63</v>
      </c>
      <c r="D517" s="17">
        <f>'Sampling Data'!C517</f>
        <v>16</v>
      </c>
      <c r="E517" s="18">
        <f>'Sampling Data'!D517</f>
        <v>0</v>
      </c>
      <c r="F517" s="18">
        <f>'Sampling Data'!E517</f>
        <v>0</v>
      </c>
      <c r="G517" s="18">
        <f>'Sampling Data'!F517</f>
        <v>0</v>
      </c>
      <c r="H517" s="18">
        <f>'Sampling Data'!G517</f>
        <v>0</v>
      </c>
      <c r="I517" s="18">
        <f>'Sampling Data'!H517</f>
        <v>0</v>
      </c>
      <c r="J517" s="18">
        <f>'Sampling Data'!I517</f>
        <v>0</v>
      </c>
      <c r="K517" s="18">
        <f>'Sampling Data'!J517</f>
        <v>0</v>
      </c>
      <c r="L517" s="18">
        <f>'Sampling Data'!K517</f>
        <v>0</v>
      </c>
      <c r="M517" s="18">
        <f>'Sampling Data'!L517</f>
        <v>0</v>
      </c>
      <c r="N517" s="18">
        <f>'Sampling Data'!M517</f>
        <v>0</v>
      </c>
      <c r="O517" s="17">
        <f>'Sampling Data'!N517</f>
        <v>0</v>
      </c>
      <c r="P517" s="17">
        <f>'Sampling Data'!O517</f>
        <v>3</v>
      </c>
      <c r="Q517" s="17">
        <f>'Sampling Data'!P517</f>
        <v>82</v>
      </c>
      <c r="R517" s="17">
        <f>'Sampling Data'!AJ517</f>
        <v>0</v>
      </c>
      <c r="S517" s="111"/>
      <c r="T517" s="111"/>
      <c r="U517" s="112"/>
      <c r="V517" s="112"/>
      <c r="W517" s="111"/>
      <c r="X517" s="111"/>
      <c r="Y517" s="111"/>
      <c r="Z517" s="111"/>
      <c r="AA517" s="14"/>
      <c r="AB517" s="14"/>
      <c r="AC517" s="14"/>
      <c r="AD517" s="14"/>
      <c r="AE517" s="113" t="str">
        <f>IF(NOT(ISBLANK(Audit[[#This Row],[Audit Winning Candidate]])), Audit[[#This Row],[Audit Winning Candidate]]-Audit[[#This Row],[Winning Candidate]], "")</f>
        <v/>
      </c>
      <c r="AF517" s="17" t="str">
        <f>IF(NOT(ISBLANK(Audit[[#This Row],[Audit Losing Candidate]])), Audit[[#This Row],[Audit Losing Candidate]]-Audit[[#This Row],[Losing Candidate]], "")</f>
        <v/>
      </c>
      <c r="AG517" s="17" t="str">
        <f>IF(NOT(ISBLANK(Audit[[#This Row],[Audit Candidate 3]])), Audit[[#This Row],[Audit Candidate 3]]-Audit[[#This Row],[Candidate 3]], "")</f>
        <v/>
      </c>
      <c r="AH517" s="17" t="str">
        <f>IF(NOT(ISBLANK(Audit[[#This Row],[Audit Candidate 4]])),Audit[[#This Row],[Audit Candidate 4]]-Audit[[#This Row],[Candidate 4]], "")</f>
        <v/>
      </c>
      <c r="AI517" s="17" t="str">
        <f>IF(NOT(ISBLANK(Audit[[#This Row],[Audit Candidate 5]])), Audit[[#This Row],[Audit Candidate 5]]-Audit[[#This Row],[Candidate 5]], "")</f>
        <v/>
      </c>
      <c r="AJ517" s="17" t="str">
        <f>IF(NOT(ISBLANK(Audit[[#This Row],[Audit Candidate 6]])), Audit[[#This Row],[Audit Candidate 6]]-Audit[[#This Row],[Candidate 6]], "")</f>
        <v/>
      </c>
      <c r="AK517" s="17" t="str">
        <f>IF(NOT(ISBLANK(Audit[[#This Row],[Audit Candidate 7]])), Audit[[#This Row],[Audit Candidate 7]]-Audit[[#This Row],[Candidate 7]], "")</f>
        <v/>
      </c>
      <c r="AL517" s="17" t="str">
        <f>IF(NOT(ISBLANK(Audit[[#This Row],[Audit Candidate 8]])), Audit[[#This Row],[Audit Candidate 8]]-Audit[[#This Row],[Candidate 8]], "")</f>
        <v/>
      </c>
      <c r="AM517" s="17" t="str">
        <f>IF(NOT(ISBLANK(Audit[[#This Row],[Audit Candidate 9]])), Audit[[#This Row],[Audit Candidate 9]]-Audit[[#This Row],[Candidate 9]], "")</f>
        <v/>
      </c>
      <c r="AN517" s="17" t="str">
        <f>IF(NOT(ISBLANK(Audit[[#This Row],[Audit Candidate 10]])), Audit[[#This Row],[Audit Candidate 10]]-Audit[[#This Row],[Candidate 10]], "")</f>
        <v/>
      </c>
      <c r="AO517" s="17" t="str">
        <f>IF(NOT(ISBLANK(Audit[[#This Row],[Audit Candidate 11]])), Audit[[#This Row],[Audit Candidate 11]]-Audit[[#This Row],[Candidate 11]], "")</f>
        <v/>
      </c>
      <c r="AP517" s="17" t="str">
        <f>IF(NOT(ISBLANK(Audit[[#This Row],[Audit Candidate 12]])), Audit[[#This Row],[Audit Candidate 12]]-Audit[[#This Row],[Candidate 12]], "")</f>
        <v/>
      </c>
      <c r="AQ517" s="17">
        <f>SUMIF(Audit[[#This Row],[Difference Winner]:[Difference Candidate 12]], "&gt;0")</f>
        <v>0</v>
      </c>
      <c r="AR517" s="17">
        <f>SUM(Audit[[#This Row],[Difference Winner]:[Difference Candidate 12]])</f>
        <v>0</v>
      </c>
      <c r="AS517" s="17">
        <f>IF(Audit[[#This Row],[Times p Drawn - With Replacement]]&gt;0, IF(Audit[[#This Row],[Canceled Differences]]&lt;0, Audit[[#This Row],[Max Differences]]+ABS(Audit[[#This Row],[Canceled Differences]]), Audit[[#This Row],[Max Differences]]), 0)</f>
        <v>0</v>
      </c>
      <c r="AT517" s="17">
        <f>'Sampling Data'!AB517</f>
        <v>5.4744525547445258E-3</v>
      </c>
      <c r="AU517" s="17">
        <f>IF(
      SUM(Audit[[#This Row],[Audit Losing Candidate]:[Audit Candidate 12]])
      &lt;&gt;0,
      (Audit[[#This Row],[Winning Candidate]]-Audit[[#This Row],[Losing Candidate]]-(Audit[[#This Row],[Audit Winning Candidate]]-Audit[[#This Row],[Audit Losing Candidate]]))/(Audit[[#Totals],[Winning Candidate]]-Audit[[#Totals],[Losing Candidate]]),
      0
)</f>
        <v>0</v>
      </c>
      <c r="AV5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7" s="17">
        <f>IF(Audit[[#This Row],[Max Relative Error (ep)]] = 0, 0, Audit[[#This Row],[Max Relative Error (ep)]]/Audit[[#This Row],[Error Bound (up) - Max. possible relative overstatement]])</f>
        <v>0</v>
      </c>
      <c r="BH5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17" s="17">
        <f t="shared" si="8"/>
        <v>1</v>
      </c>
      <c r="BJ517" s="17">
        <f>PRODUCT($BI$5:BI517)</f>
        <v>0.43805400213514833</v>
      </c>
      <c r="BK517" s="19">
        <f>1 - Audit[[#This Row],[K-M P Value]]</f>
        <v>0.56194599786485167</v>
      </c>
      <c r="BL517" s="17" t="str">
        <f>IF(Audit[[#This Row],[K-M P Value]]&gt;1-'General Info'!$B$12,"Continue", "Stop")</f>
        <v>Continue</v>
      </c>
      <c r="BM517" s="22" t="b">
        <f>IF(Audit[[#This Row],[Status - Continue or stop audit]] = "Continue", TRUE, IF(BL516 = "Continue", TRUE, FALSE))</f>
        <v>1</v>
      </c>
      <c r="BN517" s="22"/>
    </row>
    <row r="518" spans="1:66" ht="15" hidden="1" customHeight="1" x14ac:dyDescent="0.35">
      <c r="A518" s="17" t="str">
        <f>'Sampling Data'!AI518</f>
        <v/>
      </c>
      <c r="B518" s="17" t="str">
        <f>'Sampling Data'!A518</f>
        <v>8713 SPFLD M   (AV)</v>
      </c>
      <c r="C518" s="17">
        <f>'Sampling Data'!B518</f>
        <v>213</v>
      </c>
      <c r="D518" s="17">
        <f>'Sampling Data'!C518</f>
        <v>117</v>
      </c>
      <c r="E518" s="18">
        <f>'Sampling Data'!D518</f>
        <v>0</v>
      </c>
      <c r="F518" s="18">
        <f>'Sampling Data'!E518</f>
        <v>0</v>
      </c>
      <c r="G518" s="18">
        <f>'Sampling Data'!F518</f>
        <v>0</v>
      </c>
      <c r="H518" s="18">
        <f>'Sampling Data'!G518</f>
        <v>0</v>
      </c>
      <c r="I518" s="18">
        <f>'Sampling Data'!H518</f>
        <v>0</v>
      </c>
      <c r="J518" s="18">
        <f>'Sampling Data'!I518</f>
        <v>0</v>
      </c>
      <c r="K518" s="18">
        <f>'Sampling Data'!J518</f>
        <v>0</v>
      </c>
      <c r="L518" s="18">
        <f>'Sampling Data'!K518</f>
        <v>0</v>
      </c>
      <c r="M518" s="18">
        <f>'Sampling Data'!L518</f>
        <v>0</v>
      </c>
      <c r="N518" s="18">
        <f>'Sampling Data'!M518</f>
        <v>0</v>
      </c>
      <c r="O518" s="17">
        <f>'Sampling Data'!N518</f>
        <v>0</v>
      </c>
      <c r="P518" s="17">
        <f>'Sampling Data'!O518</f>
        <v>20</v>
      </c>
      <c r="Q518" s="17">
        <f>'Sampling Data'!P518</f>
        <v>350</v>
      </c>
      <c r="R518" s="17">
        <f>'Sampling Data'!AJ518</f>
        <v>0</v>
      </c>
      <c r="S518" s="111"/>
      <c r="T518" s="111"/>
      <c r="U518" s="112"/>
      <c r="V518" s="112"/>
      <c r="W518" s="111"/>
      <c r="X518" s="111"/>
      <c r="Y518" s="111"/>
      <c r="Z518" s="111"/>
      <c r="AA518" s="14"/>
      <c r="AB518" s="14"/>
      <c r="AC518" s="14"/>
      <c r="AD518" s="14"/>
      <c r="AE518" s="113" t="str">
        <f>IF(NOT(ISBLANK(Audit[[#This Row],[Audit Winning Candidate]])), Audit[[#This Row],[Audit Winning Candidate]]-Audit[[#This Row],[Winning Candidate]], "")</f>
        <v/>
      </c>
      <c r="AF518" s="17" t="str">
        <f>IF(NOT(ISBLANK(Audit[[#This Row],[Audit Losing Candidate]])), Audit[[#This Row],[Audit Losing Candidate]]-Audit[[#This Row],[Losing Candidate]], "")</f>
        <v/>
      </c>
      <c r="AG518" s="17" t="str">
        <f>IF(NOT(ISBLANK(Audit[[#This Row],[Audit Candidate 3]])), Audit[[#This Row],[Audit Candidate 3]]-Audit[[#This Row],[Candidate 3]], "")</f>
        <v/>
      </c>
      <c r="AH518" s="17" t="str">
        <f>IF(NOT(ISBLANK(Audit[[#This Row],[Audit Candidate 4]])),Audit[[#This Row],[Audit Candidate 4]]-Audit[[#This Row],[Candidate 4]], "")</f>
        <v/>
      </c>
      <c r="AI518" s="17" t="str">
        <f>IF(NOT(ISBLANK(Audit[[#This Row],[Audit Candidate 5]])), Audit[[#This Row],[Audit Candidate 5]]-Audit[[#This Row],[Candidate 5]], "")</f>
        <v/>
      </c>
      <c r="AJ518" s="17" t="str">
        <f>IF(NOT(ISBLANK(Audit[[#This Row],[Audit Candidate 6]])), Audit[[#This Row],[Audit Candidate 6]]-Audit[[#This Row],[Candidate 6]], "")</f>
        <v/>
      </c>
      <c r="AK518" s="17" t="str">
        <f>IF(NOT(ISBLANK(Audit[[#This Row],[Audit Candidate 7]])), Audit[[#This Row],[Audit Candidate 7]]-Audit[[#This Row],[Candidate 7]], "")</f>
        <v/>
      </c>
      <c r="AL518" s="17" t="str">
        <f>IF(NOT(ISBLANK(Audit[[#This Row],[Audit Candidate 8]])), Audit[[#This Row],[Audit Candidate 8]]-Audit[[#This Row],[Candidate 8]], "")</f>
        <v/>
      </c>
      <c r="AM518" s="17" t="str">
        <f>IF(NOT(ISBLANK(Audit[[#This Row],[Audit Candidate 9]])), Audit[[#This Row],[Audit Candidate 9]]-Audit[[#This Row],[Candidate 9]], "")</f>
        <v/>
      </c>
      <c r="AN518" s="17" t="str">
        <f>IF(NOT(ISBLANK(Audit[[#This Row],[Audit Candidate 10]])), Audit[[#This Row],[Audit Candidate 10]]-Audit[[#This Row],[Candidate 10]], "")</f>
        <v/>
      </c>
      <c r="AO518" s="17" t="str">
        <f>IF(NOT(ISBLANK(Audit[[#This Row],[Audit Candidate 11]])), Audit[[#This Row],[Audit Candidate 11]]-Audit[[#This Row],[Candidate 11]], "")</f>
        <v/>
      </c>
      <c r="AP518" s="17" t="str">
        <f>IF(NOT(ISBLANK(Audit[[#This Row],[Audit Candidate 12]])), Audit[[#This Row],[Audit Candidate 12]]-Audit[[#This Row],[Candidate 12]], "")</f>
        <v/>
      </c>
      <c r="AQ518" s="17">
        <f>SUMIF(Audit[[#This Row],[Difference Winner]:[Difference Candidate 12]], "&gt;0")</f>
        <v>0</v>
      </c>
      <c r="AR518" s="17">
        <f>SUM(Audit[[#This Row],[Difference Winner]:[Difference Candidate 12]])</f>
        <v>0</v>
      </c>
      <c r="AS518" s="17">
        <f>IF(Audit[[#This Row],[Times p Drawn - With Replacement]]&gt;0, IF(Audit[[#This Row],[Canceled Differences]]&lt;0, Audit[[#This Row],[Max Differences]]+ABS(Audit[[#This Row],[Canceled Differences]]), Audit[[#This Row],[Max Differences]]), 0)</f>
        <v>0</v>
      </c>
      <c r="AT518" s="17">
        <f>'Sampling Data'!AB518</f>
        <v>1.8927177049736888E-2</v>
      </c>
      <c r="AU518" s="17">
        <f>IF(
      SUM(Audit[[#This Row],[Audit Losing Candidate]:[Audit Candidate 12]])
      &lt;&gt;0,
      (Audit[[#This Row],[Winning Candidate]]-Audit[[#This Row],[Losing Candidate]]-(Audit[[#This Row],[Audit Winning Candidate]]-Audit[[#This Row],[Audit Losing Candidate]]))/(Audit[[#Totals],[Winning Candidate]]-Audit[[#Totals],[Losing Candidate]]),
      0
)</f>
        <v>0</v>
      </c>
      <c r="AV5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8" s="17">
        <f>IF(Audit[[#This Row],[Max Relative Error (ep)]] = 0, 0, Audit[[#This Row],[Max Relative Error (ep)]]/Audit[[#This Row],[Error Bound (up) - Max. possible relative overstatement]])</f>
        <v>0</v>
      </c>
      <c r="BH5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18" s="17">
        <f t="shared" si="8"/>
        <v>1</v>
      </c>
      <c r="BJ518" s="17">
        <f>PRODUCT($BI$5:BI518)</f>
        <v>0.43805400213514833</v>
      </c>
      <c r="BK518" s="19">
        <f>1 - Audit[[#This Row],[K-M P Value]]</f>
        <v>0.56194599786485167</v>
      </c>
      <c r="BL518" s="17" t="str">
        <f>IF(Audit[[#This Row],[K-M P Value]]&gt;1-'General Info'!$B$12,"Continue", "Stop")</f>
        <v>Continue</v>
      </c>
      <c r="BM518" s="22" t="b">
        <f>IF(Audit[[#This Row],[Status - Continue or stop audit]] = "Continue", TRUE, IF(BL517 = "Continue", TRUE, FALSE))</f>
        <v>1</v>
      </c>
      <c r="BN518" s="22"/>
    </row>
    <row r="519" spans="1:66" ht="15" hidden="1" customHeight="1" x14ac:dyDescent="0.35">
      <c r="A519" s="17" t="str">
        <f>'Sampling Data'!AI519</f>
        <v/>
      </c>
      <c r="B519" s="17" t="str">
        <f>'Sampling Data'!A519</f>
        <v>8714 SPFLD N   (AV)</v>
      </c>
      <c r="C519" s="17">
        <f>'Sampling Data'!B519</f>
        <v>235</v>
      </c>
      <c r="D519" s="17">
        <f>'Sampling Data'!C519</f>
        <v>116</v>
      </c>
      <c r="E519" s="18">
        <f>'Sampling Data'!D519</f>
        <v>0</v>
      </c>
      <c r="F519" s="18">
        <f>'Sampling Data'!E519</f>
        <v>0</v>
      </c>
      <c r="G519" s="18">
        <f>'Sampling Data'!F519</f>
        <v>0</v>
      </c>
      <c r="H519" s="18">
        <f>'Sampling Data'!G519</f>
        <v>0</v>
      </c>
      <c r="I519" s="18">
        <f>'Sampling Data'!H519</f>
        <v>0</v>
      </c>
      <c r="J519" s="18">
        <f>'Sampling Data'!I519</f>
        <v>0</v>
      </c>
      <c r="K519" s="18">
        <f>'Sampling Data'!J519</f>
        <v>0</v>
      </c>
      <c r="L519" s="18">
        <f>'Sampling Data'!K519</f>
        <v>0</v>
      </c>
      <c r="M519" s="18">
        <f>'Sampling Data'!L519</f>
        <v>0</v>
      </c>
      <c r="N519" s="18">
        <f>'Sampling Data'!M519</f>
        <v>0</v>
      </c>
      <c r="O519" s="17">
        <f>'Sampling Data'!N519</f>
        <v>0</v>
      </c>
      <c r="P519" s="17">
        <f>'Sampling Data'!O519</f>
        <v>15</v>
      </c>
      <c r="Q519" s="17">
        <f>'Sampling Data'!P519</f>
        <v>366</v>
      </c>
      <c r="R519" s="17">
        <f>'Sampling Data'!AJ519</f>
        <v>0</v>
      </c>
      <c r="S519" s="111"/>
      <c r="T519" s="111"/>
      <c r="U519" s="112"/>
      <c r="V519" s="112"/>
      <c r="W519" s="111"/>
      <c r="X519" s="111"/>
      <c r="Y519" s="111"/>
      <c r="Z519" s="111"/>
      <c r="AA519" s="14"/>
      <c r="AB519" s="14"/>
      <c r="AC519" s="14"/>
      <c r="AD519" s="14"/>
      <c r="AE519" s="113" t="str">
        <f>IF(NOT(ISBLANK(Audit[[#This Row],[Audit Winning Candidate]])), Audit[[#This Row],[Audit Winning Candidate]]-Audit[[#This Row],[Winning Candidate]], "")</f>
        <v/>
      </c>
      <c r="AF519" s="17" t="str">
        <f>IF(NOT(ISBLANK(Audit[[#This Row],[Audit Losing Candidate]])), Audit[[#This Row],[Audit Losing Candidate]]-Audit[[#This Row],[Losing Candidate]], "")</f>
        <v/>
      </c>
      <c r="AG519" s="17" t="str">
        <f>IF(NOT(ISBLANK(Audit[[#This Row],[Audit Candidate 3]])), Audit[[#This Row],[Audit Candidate 3]]-Audit[[#This Row],[Candidate 3]], "")</f>
        <v/>
      </c>
      <c r="AH519" s="17" t="str">
        <f>IF(NOT(ISBLANK(Audit[[#This Row],[Audit Candidate 4]])),Audit[[#This Row],[Audit Candidate 4]]-Audit[[#This Row],[Candidate 4]], "")</f>
        <v/>
      </c>
      <c r="AI519" s="17" t="str">
        <f>IF(NOT(ISBLANK(Audit[[#This Row],[Audit Candidate 5]])), Audit[[#This Row],[Audit Candidate 5]]-Audit[[#This Row],[Candidate 5]], "")</f>
        <v/>
      </c>
      <c r="AJ519" s="17" t="str">
        <f>IF(NOT(ISBLANK(Audit[[#This Row],[Audit Candidate 6]])), Audit[[#This Row],[Audit Candidate 6]]-Audit[[#This Row],[Candidate 6]], "")</f>
        <v/>
      </c>
      <c r="AK519" s="17" t="str">
        <f>IF(NOT(ISBLANK(Audit[[#This Row],[Audit Candidate 7]])), Audit[[#This Row],[Audit Candidate 7]]-Audit[[#This Row],[Candidate 7]], "")</f>
        <v/>
      </c>
      <c r="AL519" s="17" t="str">
        <f>IF(NOT(ISBLANK(Audit[[#This Row],[Audit Candidate 8]])), Audit[[#This Row],[Audit Candidate 8]]-Audit[[#This Row],[Candidate 8]], "")</f>
        <v/>
      </c>
      <c r="AM519" s="17" t="str">
        <f>IF(NOT(ISBLANK(Audit[[#This Row],[Audit Candidate 9]])), Audit[[#This Row],[Audit Candidate 9]]-Audit[[#This Row],[Candidate 9]], "")</f>
        <v/>
      </c>
      <c r="AN519" s="17" t="str">
        <f>IF(NOT(ISBLANK(Audit[[#This Row],[Audit Candidate 10]])), Audit[[#This Row],[Audit Candidate 10]]-Audit[[#This Row],[Candidate 10]], "")</f>
        <v/>
      </c>
      <c r="AO519" s="17" t="str">
        <f>IF(NOT(ISBLANK(Audit[[#This Row],[Audit Candidate 11]])), Audit[[#This Row],[Audit Candidate 11]]-Audit[[#This Row],[Candidate 11]], "")</f>
        <v/>
      </c>
      <c r="AP519" s="17" t="str">
        <f>IF(NOT(ISBLANK(Audit[[#This Row],[Audit Candidate 12]])), Audit[[#This Row],[Audit Candidate 12]]-Audit[[#This Row],[Candidate 12]], "")</f>
        <v/>
      </c>
      <c r="AQ519" s="17">
        <f>SUMIF(Audit[[#This Row],[Difference Winner]:[Difference Candidate 12]], "&gt;0")</f>
        <v>0</v>
      </c>
      <c r="AR519" s="17">
        <f>SUM(Audit[[#This Row],[Difference Winner]:[Difference Candidate 12]])</f>
        <v>0</v>
      </c>
      <c r="AS519" s="17">
        <f>IF(Audit[[#This Row],[Times p Drawn - With Replacement]]&gt;0, IF(Audit[[#This Row],[Canceled Differences]]&lt;0, Audit[[#This Row],[Max Differences]]+ABS(Audit[[#This Row],[Canceled Differences]]), Audit[[#This Row],[Max Differences]]), 0)</f>
        <v>0</v>
      </c>
      <c r="AT519" s="17">
        <f>'Sampling Data'!AB519</f>
        <v>2.0582244101171279E-2</v>
      </c>
      <c r="AU519" s="17">
        <f>IF(
      SUM(Audit[[#This Row],[Audit Losing Candidate]:[Audit Candidate 12]])
      &lt;&gt;0,
      (Audit[[#This Row],[Winning Candidate]]-Audit[[#This Row],[Losing Candidate]]-(Audit[[#This Row],[Audit Winning Candidate]]-Audit[[#This Row],[Audit Losing Candidate]]))/(Audit[[#Totals],[Winning Candidate]]-Audit[[#Totals],[Losing Candidate]]),
      0
)</f>
        <v>0</v>
      </c>
      <c r="AV5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9" s="17">
        <f>IF(Audit[[#This Row],[Max Relative Error (ep)]] = 0, 0, Audit[[#This Row],[Max Relative Error (ep)]]/Audit[[#This Row],[Error Bound (up) - Max. possible relative overstatement]])</f>
        <v>0</v>
      </c>
      <c r="BH5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19" s="17">
        <f t="shared" si="8"/>
        <v>1</v>
      </c>
      <c r="BJ519" s="17">
        <f>PRODUCT($BI$5:BI519)</f>
        <v>0.43805400213514833</v>
      </c>
      <c r="BK519" s="19">
        <f>1 - Audit[[#This Row],[K-M P Value]]</f>
        <v>0.56194599786485167</v>
      </c>
      <c r="BL519" s="17" t="str">
        <f>IF(Audit[[#This Row],[K-M P Value]]&gt;1-'General Info'!$B$12,"Continue", "Stop")</f>
        <v>Continue</v>
      </c>
      <c r="BM519" s="22" t="b">
        <f>IF(Audit[[#This Row],[Status - Continue or stop audit]] = "Continue", TRUE, IF(BL518 = "Continue", TRUE, FALSE))</f>
        <v>1</v>
      </c>
      <c r="BN519" s="22"/>
    </row>
    <row r="520" spans="1:66" ht="15" hidden="1" customHeight="1" x14ac:dyDescent="0.35">
      <c r="A520" s="17" t="str">
        <f>'Sampling Data'!AI520</f>
        <v/>
      </c>
      <c r="B520" s="17" t="str">
        <f>'Sampling Data'!A520</f>
        <v>8715 SPFLD O   (AV)</v>
      </c>
      <c r="C520" s="17">
        <f>'Sampling Data'!B520</f>
        <v>165</v>
      </c>
      <c r="D520" s="17">
        <f>'Sampling Data'!C520</f>
        <v>58</v>
      </c>
      <c r="E520" s="18">
        <f>'Sampling Data'!D520</f>
        <v>0</v>
      </c>
      <c r="F520" s="18">
        <f>'Sampling Data'!E520</f>
        <v>0</v>
      </c>
      <c r="G520" s="18">
        <f>'Sampling Data'!F520</f>
        <v>0</v>
      </c>
      <c r="H520" s="18">
        <f>'Sampling Data'!G520</f>
        <v>0</v>
      </c>
      <c r="I520" s="18">
        <f>'Sampling Data'!H520</f>
        <v>0</v>
      </c>
      <c r="J520" s="18">
        <f>'Sampling Data'!I520</f>
        <v>0</v>
      </c>
      <c r="K520" s="18">
        <f>'Sampling Data'!J520</f>
        <v>0</v>
      </c>
      <c r="L520" s="18">
        <f>'Sampling Data'!K520</f>
        <v>0</v>
      </c>
      <c r="M520" s="18">
        <f>'Sampling Data'!L520</f>
        <v>0</v>
      </c>
      <c r="N520" s="18">
        <f>'Sampling Data'!M520</f>
        <v>0</v>
      </c>
      <c r="O520" s="17">
        <f>'Sampling Data'!N520</f>
        <v>0</v>
      </c>
      <c r="P520" s="17">
        <f>'Sampling Data'!O520</f>
        <v>18</v>
      </c>
      <c r="Q520" s="17">
        <f>'Sampling Data'!P520</f>
        <v>241</v>
      </c>
      <c r="R520" s="17">
        <f>'Sampling Data'!AJ520</f>
        <v>0</v>
      </c>
      <c r="S520" s="111"/>
      <c r="T520" s="111"/>
      <c r="U520" s="112"/>
      <c r="V520" s="112"/>
      <c r="W520" s="111"/>
      <c r="X520" s="111"/>
      <c r="Y520" s="111"/>
      <c r="Z520" s="111"/>
      <c r="AA520" s="14"/>
      <c r="AB520" s="14"/>
      <c r="AC520" s="14"/>
      <c r="AD520" s="14"/>
      <c r="AE520" s="113" t="str">
        <f>IF(NOT(ISBLANK(Audit[[#This Row],[Audit Winning Candidate]])), Audit[[#This Row],[Audit Winning Candidate]]-Audit[[#This Row],[Winning Candidate]], "")</f>
        <v/>
      </c>
      <c r="AF520" s="17" t="str">
        <f>IF(NOT(ISBLANK(Audit[[#This Row],[Audit Losing Candidate]])), Audit[[#This Row],[Audit Losing Candidate]]-Audit[[#This Row],[Losing Candidate]], "")</f>
        <v/>
      </c>
      <c r="AG520" s="17" t="str">
        <f>IF(NOT(ISBLANK(Audit[[#This Row],[Audit Candidate 3]])), Audit[[#This Row],[Audit Candidate 3]]-Audit[[#This Row],[Candidate 3]], "")</f>
        <v/>
      </c>
      <c r="AH520" s="17" t="str">
        <f>IF(NOT(ISBLANK(Audit[[#This Row],[Audit Candidate 4]])),Audit[[#This Row],[Audit Candidate 4]]-Audit[[#This Row],[Candidate 4]], "")</f>
        <v/>
      </c>
      <c r="AI520" s="17" t="str">
        <f>IF(NOT(ISBLANK(Audit[[#This Row],[Audit Candidate 5]])), Audit[[#This Row],[Audit Candidate 5]]-Audit[[#This Row],[Candidate 5]], "")</f>
        <v/>
      </c>
      <c r="AJ520" s="17" t="str">
        <f>IF(NOT(ISBLANK(Audit[[#This Row],[Audit Candidate 6]])), Audit[[#This Row],[Audit Candidate 6]]-Audit[[#This Row],[Candidate 6]], "")</f>
        <v/>
      </c>
      <c r="AK520" s="17" t="str">
        <f>IF(NOT(ISBLANK(Audit[[#This Row],[Audit Candidate 7]])), Audit[[#This Row],[Audit Candidate 7]]-Audit[[#This Row],[Candidate 7]], "")</f>
        <v/>
      </c>
      <c r="AL520" s="17" t="str">
        <f>IF(NOT(ISBLANK(Audit[[#This Row],[Audit Candidate 8]])), Audit[[#This Row],[Audit Candidate 8]]-Audit[[#This Row],[Candidate 8]], "")</f>
        <v/>
      </c>
      <c r="AM520" s="17" t="str">
        <f>IF(NOT(ISBLANK(Audit[[#This Row],[Audit Candidate 9]])), Audit[[#This Row],[Audit Candidate 9]]-Audit[[#This Row],[Candidate 9]], "")</f>
        <v/>
      </c>
      <c r="AN520" s="17" t="str">
        <f>IF(NOT(ISBLANK(Audit[[#This Row],[Audit Candidate 10]])), Audit[[#This Row],[Audit Candidate 10]]-Audit[[#This Row],[Candidate 10]], "")</f>
        <v/>
      </c>
      <c r="AO520" s="17" t="str">
        <f>IF(NOT(ISBLANK(Audit[[#This Row],[Audit Candidate 11]])), Audit[[#This Row],[Audit Candidate 11]]-Audit[[#This Row],[Candidate 11]], "")</f>
        <v/>
      </c>
      <c r="AP520" s="17" t="str">
        <f>IF(NOT(ISBLANK(Audit[[#This Row],[Audit Candidate 12]])), Audit[[#This Row],[Audit Candidate 12]]-Audit[[#This Row],[Candidate 12]], "")</f>
        <v/>
      </c>
      <c r="AQ520" s="17">
        <f>SUMIF(Audit[[#This Row],[Difference Winner]:[Difference Candidate 12]], "&gt;0")</f>
        <v>0</v>
      </c>
      <c r="AR520" s="17">
        <f>SUM(Audit[[#This Row],[Difference Winner]:[Difference Candidate 12]])</f>
        <v>0</v>
      </c>
      <c r="AS520" s="17">
        <f>IF(Audit[[#This Row],[Times p Drawn - With Replacement]]&gt;0, IF(Audit[[#This Row],[Canceled Differences]]&lt;0, Audit[[#This Row],[Max Differences]]+ABS(Audit[[#This Row],[Canceled Differences]]), Audit[[#This Row],[Max Differences]]), 0)</f>
        <v>0</v>
      </c>
      <c r="AT520" s="17">
        <f>'Sampling Data'!AB520</f>
        <v>1.4768290612799185E-2</v>
      </c>
      <c r="AU520" s="17">
        <f>IF(
      SUM(Audit[[#This Row],[Audit Losing Candidate]:[Audit Candidate 12]])
      &lt;&gt;0,
      (Audit[[#This Row],[Winning Candidate]]-Audit[[#This Row],[Losing Candidate]]-(Audit[[#This Row],[Audit Winning Candidate]]-Audit[[#This Row],[Audit Losing Candidate]]))/(Audit[[#Totals],[Winning Candidate]]-Audit[[#Totals],[Losing Candidate]]),
      0
)</f>
        <v>0</v>
      </c>
      <c r="AV5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0" s="17">
        <f>IF(Audit[[#This Row],[Max Relative Error (ep)]] = 0, 0, Audit[[#This Row],[Max Relative Error (ep)]]/Audit[[#This Row],[Error Bound (up) - Max. possible relative overstatement]])</f>
        <v>0</v>
      </c>
      <c r="BH5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20" s="17">
        <f t="shared" si="8"/>
        <v>1</v>
      </c>
      <c r="BJ520" s="17">
        <f>PRODUCT($BI$5:BI520)</f>
        <v>0.43805400213514833</v>
      </c>
      <c r="BK520" s="19">
        <f>1 - Audit[[#This Row],[K-M P Value]]</f>
        <v>0.56194599786485167</v>
      </c>
      <c r="BL520" s="17" t="str">
        <f>IF(Audit[[#This Row],[K-M P Value]]&gt;1-'General Info'!$B$12,"Continue", "Stop")</f>
        <v>Continue</v>
      </c>
      <c r="BM520" s="22" t="b">
        <f>IF(Audit[[#This Row],[Status - Continue or stop audit]] = "Continue", TRUE, IF(BL519 = "Continue", TRUE, FALSE))</f>
        <v>1</v>
      </c>
      <c r="BN520" s="22"/>
    </row>
    <row r="521" spans="1:66" ht="15" customHeight="1" x14ac:dyDescent="0.35">
      <c r="A521" s="17">
        <f>'Sampling Data'!AI521</f>
        <v>16</v>
      </c>
      <c r="B521" s="17" t="str">
        <f>'Sampling Data'!A521</f>
        <v>8716 SPFLD P   (AV)</v>
      </c>
      <c r="C521" s="17">
        <f>'Sampling Data'!B521</f>
        <v>173</v>
      </c>
      <c r="D521" s="17">
        <f>'Sampling Data'!C521</f>
        <v>62</v>
      </c>
      <c r="E521" s="18">
        <f>'Sampling Data'!D521</f>
        <v>0</v>
      </c>
      <c r="F521" s="18">
        <f>'Sampling Data'!E521</f>
        <v>0</v>
      </c>
      <c r="G521" s="18">
        <f>'Sampling Data'!F521</f>
        <v>0</v>
      </c>
      <c r="H521" s="18">
        <f>'Sampling Data'!G521</f>
        <v>0</v>
      </c>
      <c r="I521" s="18">
        <f>'Sampling Data'!H521</f>
        <v>0</v>
      </c>
      <c r="J521" s="18">
        <f>'Sampling Data'!I521</f>
        <v>0</v>
      </c>
      <c r="K521" s="18">
        <f>'Sampling Data'!J521</f>
        <v>0</v>
      </c>
      <c r="L521" s="18">
        <f>'Sampling Data'!K521</f>
        <v>0</v>
      </c>
      <c r="M521" s="18">
        <f>'Sampling Data'!L521</f>
        <v>0</v>
      </c>
      <c r="N521" s="18">
        <f>'Sampling Data'!M521</f>
        <v>0</v>
      </c>
      <c r="O521" s="17">
        <f>'Sampling Data'!N521</f>
        <v>0</v>
      </c>
      <c r="P521" s="17">
        <f>'Sampling Data'!O521</f>
        <v>12</v>
      </c>
      <c r="Q521" s="17">
        <f>'Sampling Data'!P521</f>
        <v>247</v>
      </c>
      <c r="R521" s="17">
        <f>'Sampling Data'!AJ521</f>
        <v>1</v>
      </c>
      <c r="S521" s="111">
        <v>173</v>
      </c>
      <c r="T521" s="111">
        <v>62</v>
      </c>
      <c r="U521" s="112"/>
      <c r="V521" s="112"/>
      <c r="W521" s="111"/>
      <c r="X521" s="111"/>
      <c r="Y521" s="111"/>
      <c r="Z521" s="111"/>
      <c r="AA521" s="14"/>
      <c r="AB521" s="14"/>
      <c r="AC521" s="14"/>
      <c r="AD521" s="14"/>
      <c r="AE521" s="113">
        <f>IF(NOT(ISBLANK(Audit[[#This Row],[Audit Winning Candidate]])), Audit[[#This Row],[Audit Winning Candidate]]-Audit[[#This Row],[Winning Candidate]], "")</f>
        <v>0</v>
      </c>
      <c r="AF521" s="17">
        <f>IF(NOT(ISBLANK(Audit[[#This Row],[Audit Losing Candidate]])), Audit[[#This Row],[Audit Losing Candidate]]-Audit[[#This Row],[Losing Candidate]], "")</f>
        <v>0</v>
      </c>
      <c r="AG521" s="17" t="str">
        <f>IF(NOT(ISBLANK(Audit[[#This Row],[Audit Candidate 3]])), Audit[[#This Row],[Audit Candidate 3]]-Audit[[#This Row],[Candidate 3]], "")</f>
        <v/>
      </c>
      <c r="AH521" s="17" t="str">
        <f>IF(NOT(ISBLANK(Audit[[#This Row],[Audit Candidate 4]])),Audit[[#This Row],[Audit Candidate 4]]-Audit[[#This Row],[Candidate 4]], "")</f>
        <v/>
      </c>
      <c r="AI521" s="17" t="str">
        <f>IF(NOT(ISBLANK(Audit[[#This Row],[Audit Candidate 5]])), Audit[[#This Row],[Audit Candidate 5]]-Audit[[#This Row],[Candidate 5]], "")</f>
        <v/>
      </c>
      <c r="AJ521" s="17" t="str">
        <f>IF(NOT(ISBLANK(Audit[[#This Row],[Audit Candidate 6]])), Audit[[#This Row],[Audit Candidate 6]]-Audit[[#This Row],[Candidate 6]], "")</f>
        <v/>
      </c>
      <c r="AK521" s="17" t="str">
        <f>IF(NOT(ISBLANK(Audit[[#This Row],[Audit Candidate 7]])), Audit[[#This Row],[Audit Candidate 7]]-Audit[[#This Row],[Candidate 7]], "")</f>
        <v/>
      </c>
      <c r="AL521" s="17" t="str">
        <f>IF(NOT(ISBLANK(Audit[[#This Row],[Audit Candidate 8]])), Audit[[#This Row],[Audit Candidate 8]]-Audit[[#This Row],[Candidate 8]], "")</f>
        <v/>
      </c>
      <c r="AM521" s="17" t="str">
        <f>IF(NOT(ISBLANK(Audit[[#This Row],[Audit Candidate 9]])), Audit[[#This Row],[Audit Candidate 9]]-Audit[[#This Row],[Candidate 9]], "")</f>
        <v/>
      </c>
      <c r="AN521" s="17" t="str">
        <f>IF(NOT(ISBLANK(Audit[[#This Row],[Audit Candidate 10]])), Audit[[#This Row],[Audit Candidate 10]]-Audit[[#This Row],[Candidate 10]], "")</f>
        <v/>
      </c>
      <c r="AO521" s="17" t="str">
        <f>IF(NOT(ISBLANK(Audit[[#This Row],[Audit Candidate 11]])), Audit[[#This Row],[Audit Candidate 11]]-Audit[[#This Row],[Candidate 11]], "")</f>
        <v/>
      </c>
      <c r="AP521" s="17" t="str">
        <f>IF(NOT(ISBLANK(Audit[[#This Row],[Audit Candidate 12]])), Audit[[#This Row],[Audit Candidate 12]]-Audit[[#This Row],[Candidate 12]], "")</f>
        <v/>
      </c>
      <c r="AQ521" s="17">
        <f>SUMIF(Audit[[#This Row],[Difference Winner]:[Difference Candidate 12]], "&gt;0")</f>
        <v>0</v>
      </c>
      <c r="AR521" s="17">
        <f>SUM(Audit[[#This Row],[Difference Winner]:[Difference Candidate 12]])</f>
        <v>0</v>
      </c>
      <c r="AS521" s="17">
        <f>IF(Audit[[#This Row],[Times p Drawn - With Replacement]]&gt;0, IF(Audit[[#This Row],[Canceled Differences]]&lt;0, Audit[[#This Row],[Max Differences]]+ABS(Audit[[#This Row],[Canceled Differences]]), Audit[[#This Row],[Max Differences]]), 0)</f>
        <v>0</v>
      </c>
      <c r="AT521" s="17">
        <f>'Sampling Data'!AB521</f>
        <v>1.5192666779833644E-2</v>
      </c>
      <c r="AU521" s="17">
        <f>IF(
      SUM(Audit[[#This Row],[Audit Losing Candidate]:[Audit Candidate 12]])
      &lt;&gt;0,
      (Audit[[#This Row],[Winning Candidate]]-Audit[[#This Row],[Losing Candidate]]-(Audit[[#This Row],[Audit Winning Candidate]]-Audit[[#This Row],[Audit Losing Candidate]]))/(Audit[[#Totals],[Winning Candidate]]-Audit[[#Totals],[Losing Candidate]]),
      0
)</f>
        <v>0</v>
      </c>
      <c r="AV5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1" s="17">
        <f>IF(Audit[[#This Row],[Max Relative Error (ep)]] = 0, 0, Audit[[#This Row],[Max Relative Error (ep)]]/Audit[[#This Row],[Error Bound (up) - Max. possible relative overstatement]])</f>
        <v>0</v>
      </c>
      <c r="BH5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21" s="17">
        <f t="shared" si="8"/>
        <v>0.94645908314247273</v>
      </c>
      <c r="BJ521" s="17">
        <f>PRODUCT($BI$5:BI521)</f>
        <v>0.41460018922772329</v>
      </c>
      <c r="BK521" s="19">
        <f>1 - Audit[[#This Row],[K-M P Value]]</f>
        <v>0.58539981077227665</v>
      </c>
      <c r="BL521" s="17" t="str">
        <f>IF(Audit[[#This Row],[K-M P Value]]&gt;1-'General Info'!$B$12,"Continue", "Stop")</f>
        <v>Continue</v>
      </c>
      <c r="BM521" s="22" t="b">
        <f>IF(Audit[[#This Row],[Status - Continue or stop audit]] = "Continue", TRUE, IF(BL520 = "Continue", TRUE, FALSE))</f>
        <v>1</v>
      </c>
      <c r="BN521" s="22"/>
    </row>
    <row r="522" spans="1:66" ht="15" hidden="1" customHeight="1" x14ac:dyDescent="0.35">
      <c r="A522" s="17" t="str">
        <f>'Sampling Data'!AI522</f>
        <v/>
      </c>
      <c r="B522" s="17" t="str">
        <f>'Sampling Data'!A522</f>
        <v>8717 SPFLD Q   (AV)</v>
      </c>
      <c r="C522" s="17">
        <f>'Sampling Data'!B522</f>
        <v>181</v>
      </c>
      <c r="D522" s="17">
        <f>'Sampling Data'!C522</f>
        <v>96</v>
      </c>
      <c r="E522" s="18">
        <f>'Sampling Data'!D522</f>
        <v>0</v>
      </c>
      <c r="F522" s="18">
        <f>'Sampling Data'!E522</f>
        <v>0</v>
      </c>
      <c r="G522" s="18">
        <f>'Sampling Data'!F522</f>
        <v>0</v>
      </c>
      <c r="H522" s="18">
        <f>'Sampling Data'!G522</f>
        <v>0</v>
      </c>
      <c r="I522" s="18">
        <f>'Sampling Data'!H522</f>
        <v>0</v>
      </c>
      <c r="J522" s="18">
        <f>'Sampling Data'!I522</f>
        <v>0</v>
      </c>
      <c r="K522" s="18">
        <f>'Sampling Data'!J522</f>
        <v>0</v>
      </c>
      <c r="L522" s="18">
        <f>'Sampling Data'!K522</f>
        <v>0</v>
      </c>
      <c r="M522" s="18">
        <f>'Sampling Data'!L522</f>
        <v>0</v>
      </c>
      <c r="N522" s="18">
        <f>'Sampling Data'!M522</f>
        <v>0</v>
      </c>
      <c r="O522" s="17">
        <f>'Sampling Data'!N522</f>
        <v>0</v>
      </c>
      <c r="P522" s="17">
        <f>'Sampling Data'!O522</f>
        <v>13</v>
      </c>
      <c r="Q522" s="17">
        <f>'Sampling Data'!P522</f>
        <v>290</v>
      </c>
      <c r="R522" s="17">
        <f>'Sampling Data'!AJ522</f>
        <v>0</v>
      </c>
      <c r="S522" s="111"/>
      <c r="T522" s="111"/>
      <c r="U522" s="112"/>
      <c r="V522" s="112"/>
      <c r="W522" s="111"/>
      <c r="X522" s="111"/>
      <c r="Y522" s="111"/>
      <c r="Z522" s="111"/>
      <c r="AA522" s="14"/>
      <c r="AB522" s="14"/>
      <c r="AC522" s="14"/>
      <c r="AD522" s="14"/>
      <c r="AE522" s="113" t="str">
        <f>IF(NOT(ISBLANK(Audit[[#This Row],[Audit Winning Candidate]])), Audit[[#This Row],[Audit Winning Candidate]]-Audit[[#This Row],[Winning Candidate]], "")</f>
        <v/>
      </c>
      <c r="AF522" s="17" t="str">
        <f>IF(NOT(ISBLANK(Audit[[#This Row],[Audit Losing Candidate]])), Audit[[#This Row],[Audit Losing Candidate]]-Audit[[#This Row],[Losing Candidate]], "")</f>
        <v/>
      </c>
      <c r="AG522" s="17" t="str">
        <f>IF(NOT(ISBLANK(Audit[[#This Row],[Audit Candidate 3]])), Audit[[#This Row],[Audit Candidate 3]]-Audit[[#This Row],[Candidate 3]], "")</f>
        <v/>
      </c>
      <c r="AH522" s="17" t="str">
        <f>IF(NOT(ISBLANK(Audit[[#This Row],[Audit Candidate 4]])),Audit[[#This Row],[Audit Candidate 4]]-Audit[[#This Row],[Candidate 4]], "")</f>
        <v/>
      </c>
      <c r="AI522" s="17" t="str">
        <f>IF(NOT(ISBLANK(Audit[[#This Row],[Audit Candidate 5]])), Audit[[#This Row],[Audit Candidate 5]]-Audit[[#This Row],[Candidate 5]], "")</f>
        <v/>
      </c>
      <c r="AJ522" s="17" t="str">
        <f>IF(NOT(ISBLANK(Audit[[#This Row],[Audit Candidate 6]])), Audit[[#This Row],[Audit Candidate 6]]-Audit[[#This Row],[Candidate 6]], "")</f>
        <v/>
      </c>
      <c r="AK522" s="17" t="str">
        <f>IF(NOT(ISBLANK(Audit[[#This Row],[Audit Candidate 7]])), Audit[[#This Row],[Audit Candidate 7]]-Audit[[#This Row],[Candidate 7]], "")</f>
        <v/>
      </c>
      <c r="AL522" s="17" t="str">
        <f>IF(NOT(ISBLANK(Audit[[#This Row],[Audit Candidate 8]])), Audit[[#This Row],[Audit Candidate 8]]-Audit[[#This Row],[Candidate 8]], "")</f>
        <v/>
      </c>
      <c r="AM522" s="17" t="str">
        <f>IF(NOT(ISBLANK(Audit[[#This Row],[Audit Candidate 9]])), Audit[[#This Row],[Audit Candidate 9]]-Audit[[#This Row],[Candidate 9]], "")</f>
        <v/>
      </c>
      <c r="AN522" s="17" t="str">
        <f>IF(NOT(ISBLANK(Audit[[#This Row],[Audit Candidate 10]])), Audit[[#This Row],[Audit Candidate 10]]-Audit[[#This Row],[Candidate 10]], "")</f>
        <v/>
      </c>
      <c r="AO522" s="17" t="str">
        <f>IF(NOT(ISBLANK(Audit[[#This Row],[Audit Candidate 11]])), Audit[[#This Row],[Audit Candidate 11]]-Audit[[#This Row],[Candidate 11]], "")</f>
        <v/>
      </c>
      <c r="AP522" s="17" t="str">
        <f>IF(NOT(ISBLANK(Audit[[#This Row],[Audit Candidate 12]])), Audit[[#This Row],[Audit Candidate 12]]-Audit[[#This Row],[Candidate 12]], "")</f>
        <v/>
      </c>
      <c r="AQ522" s="17">
        <f>SUMIF(Audit[[#This Row],[Difference Winner]:[Difference Candidate 12]], "&gt;0")</f>
        <v>0</v>
      </c>
      <c r="AR522" s="17">
        <f>SUM(Audit[[#This Row],[Difference Winner]:[Difference Candidate 12]])</f>
        <v>0</v>
      </c>
      <c r="AS522" s="17">
        <f>IF(Audit[[#This Row],[Times p Drawn - With Replacement]]&gt;0, IF(Audit[[#This Row],[Canceled Differences]]&lt;0, Audit[[#This Row],[Max Differences]]+ABS(Audit[[#This Row],[Canceled Differences]]), Audit[[#This Row],[Max Differences]]), 0)</f>
        <v>0</v>
      </c>
      <c r="AT522" s="17">
        <f>'Sampling Data'!AB522</f>
        <v>1.5914106263792225E-2</v>
      </c>
      <c r="AU522" s="17">
        <f>IF(
      SUM(Audit[[#This Row],[Audit Losing Candidate]:[Audit Candidate 12]])
      &lt;&gt;0,
      (Audit[[#This Row],[Winning Candidate]]-Audit[[#This Row],[Losing Candidate]]-(Audit[[#This Row],[Audit Winning Candidate]]-Audit[[#This Row],[Audit Losing Candidate]]))/(Audit[[#Totals],[Winning Candidate]]-Audit[[#Totals],[Losing Candidate]]),
      0
)</f>
        <v>0</v>
      </c>
      <c r="AV5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2" s="17">
        <f>IF(Audit[[#This Row],[Max Relative Error (ep)]] = 0, 0, Audit[[#This Row],[Max Relative Error (ep)]]/Audit[[#This Row],[Error Bound (up) - Max. possible relative overstatement]])</f>
        <v>0</v>
      </c>
      <c r="BH5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22" s="17">
        <f t="shared" si="8"/>
        <v>1</v>
      </c>
      <c r="BJ522" s="17">
        <f>PRODUCT($BI$5:BI522)</f>
        <v>0.41460018922772329</v>
      </c>
      <c r="BK522" s="19">
        <f>1 - Audit[[#This Row],[K-M P Value]]</f>
        <v>0.58539981077227665</v>
      </c>
      <c r="BL522" s="17" t="str">
        <f>IF(Audit[[#This Row],[K-M P Value]]&gt;1-'General Info'!$B$12,"Continue", "Stop")</f>
        <v>Continue</v>
      </c>
      <c r="BM522" s="22" t="b">
        <f>IF(Audit[[#This Row],[Status - Continue or stop audit]] = "Continue", TRUE, IF(BL521 = "Continue", TRUE, FALSE))</f>
        <v>1</v>
      </c>
      <c r="BN522" s="22"/>
    </row>
    <row r="523" spans="1:66" ht="15" hidden="1" customHeight="1" x14ac:dyDescent="0.35">
      <c r="A523" s="17" t="str">
        <f>'Sampling Data'!AI523</f>
        <v/>
      </c>
      <c r="B523" s="17" t="str">
        <f>'Sampling Data'!A523</f>
        <v>8718 SPFLD R   (AV)</v>
      </c>
      <c r="C523" s="17">
        <f>'Sampling Data'!B523</f>
        <v>222</v>
      </c>
      <c r="D523" s="17">
        <f>'Sampling Data'!C523</f>
        <v>79</v>
      </c>
      <c r="E523" s="18">
        <f>'Sampling Data'!D523</f>
        <v>0</v>
      </c>
      <c r="F523" s="18">
        <f>'Sampling Data'!E523</f>
        <v>0</v>
      </c>
      <c r="G523" s="18">
        <f>'Sampling Data'!F523</f>
        <v>0</v>
      </c>
      <c r="H523" s="18">
        <f>'Sampling Data'!G523</f>
        <v>0</v>
      </c>
      <c r="I523" s="18">
        <f>'Sampling Data'!H523</f>
        <v>0</v>
      </c>
      <c r="J523" s="18">
        <f>'Sampling Data'!I523</f>
        <v>0</v>
      </c>
      <c r="K523" s="18">
        <f>'Sampling Data'!J523</f>
        <v>0</v>
      </c>
      <c r="L523" s="18">
        <f>'Sampling Data'!K523</f>
        <v>0</v>
      </c>
      <c r="M523" s="18">
        <f>'Sampling Data'!L523</f>
        <v>0</v>
      </c>
      <c r="N523" s="18">
        <f>'Sampling Data'!M523</f>
        <v>0</v>
      </c>
      <c r="O523" s="17">
        <f>'Sampling Data'!N523</f>
        <v>0</v>
      </c>
      <c r="P523" s="17">
        <f>'Sampling Data'!O523</f>
        <v>17</v>
      </c>
      <c r="Q523" s="17">
        <f>'Sampling Data'!P523</f>
        <v>318</v>
      </c>
      <c r="R523" s="17">
        <f>'Sampling Data'!AJ523</f>
        <v>0</v>
      </c>
      <c r="S523" s="111"/>
      <c r="T523" s="111"/>
      <c r="U523" s="112"/>
      <c r="V523" s="112"/>
      <c r="W523" s="111"/>
      <c r="X523" s="111"/>
      <c r="Y523" s="111"/>
      <c r="Z523" s="111"/>
      <c r="AA523" s="14"/>
      <c r="AB523" s="14"/>
      <c r="AC523" s="14"/>
      <c r="AD523" s="14"/>
      <c r="AE523" s="113" t="str">
        <f>IF(NOT(ISBLANK(Audit[[#This Row],[Audit Winning Candidate]])), Audit[[#This Row],[Audit Winning Candidate]]-Audit[[#This Row],[Winning Candidate]], "")</f>
        <v/>
      </c>
      <c r="AF523" s="17" t="str">
        <f>IF(NOT(ISBLANK(Audit[[#This Row],[Audit Losing Candidate]])), Audit[[#This Row],[Audit Losing Candidate]]-Audit[[#This Row],[Losing Candidate]], "")</f>
        <v/>
      </c>
      <c r="AG523" s="17" t="str">
        <f>IF(NOT(ISBLANK(Audit[[#This Row],[Audit Candidate 3]])), Audit[[#This Row],[Audit Candidate 3]]-Audit[[#This Row],[Candidate 3]], "")</f>
        <v/>
      </c>
      <c r="AH523" s="17" t="str">
        <f>IF(NOT(ISBLANK(Audit[[#This Row],[Audit Candidate 4]])),Audit[[#This Row],[Audit Candidate 4]]-Audit[[#This Row],[Candidate 4]], "")</f>
        <v/>
      </c>
      <c r="AI523" s="17" t="str">
        <f>IF(NOT(ISBLANK(Audit[[#This Row],[Audit Candidate 5]])), Audit[[#This Row],[Audit Candidate 5]]-Audit[[#This Row],[Candidate 5]], "")</f>
        <v/>
      </c>
      <c r="AJ523" s="17" t="str">
        <f>IF(NOT(ISBLANK(Audit[[#This Row],[Audit Candidate 6]])), Audit[[#This Row],[Audit Candidate 6]]-Audit[[#This Row],[Candidate 6]], "")</f>
        <v/>
      </c>
      <c r="AK523" s="17" t="str">
        <f>IF(NOT(ISBLANK(Audit[[#This Row],[Audit Candidate 7]])), Audit[[#This Row],[Audit Candidate 7]]-Audit[[#This Row],[Candidate 7]], "")</f>
        <v/>
      </c>
      <c r="AL523" s="17" t="str">
        <f>IF(NOT(ISBLANK(Audit[[#This Row],[Audit Candidate 8]])), Audit[[#This Row],[Audit Candidate 8]]-Audit[[#This Row],[Candidate 8]], "")</f>
        <v/>
      </c>
      <c r="AM523" s="17" t="str">
        <f>IF(NOT(ISBLANK(Audit[[#This Row],[Audit Candidate 9]])), Audit[[#This Row],[Audit Candidate 9]]-Audit[[#This Row],[Candidate 9]], "")</f>
        <v/>
      </c>
      <c r="AN523" s="17" t="str">
        <f>IF(NOT(ISBLANK(Audit[[#This Row],[Audit Candidate 10]])), Audit[[#This Row],[Audit Candidate 10]]-Audit[[#This Row],[Candidate 10]], "")</f>
        <v/>
      </c>
      <c r="AO523" s="17" t="str">
        <f>IF(NOT(ISBLANK(Audit[[#This Row],[Audit Candidate 11]])), Audit[[#This Row],[Audit Candidate 11]]-Audit[[#This Row],[Candidate 11]], "")</f>
        <v/>
      </c>
      <c r="AP523" s="17" t="str">
        <f>IF(NOT(ISBLANK(Audit[[#This Row],[Audit Candidate 12]])), Audit[[#This Row],[Audit Candidate 12]]-Audit[[#This Row],[Candidate 12]], "")</f>
        <v/>
      </c>
      <c r="AQ523" s="17">
        <f>SUMIF(Audit[[#This Row],[Difference Winner]:[Difference Candidate 12]], "&gt;0")</f>
        <v>0</v>
      </c>
      <c r="AR523" s="17">
        <f>SUM(Audit[[#This Row],[Difference Winner]:[Difference Candidate 12]])</f>
        <v>0</v>
      </c>
      <c r="AS523" s="17">
        <f>IF(Audit[[#This Row],[Times p Drawn - With Replacement]]&gt;0, IF(Audit[[#This Row],[Canceled Differences]]&lt;0, Audit[[#This Row],[Max Differences]]+ABS(Audit[[#This Row],[Canceled Differences]]), Audit[[#This Row],[Max Differences]]), 0)</f>
        <v>0</v>
      </c>
      <c r="AT523" s="17">
        <f>'Sampling Data'!AB523</f>
        <v>1.9563741300288574E-2</v>
      </c>
      <c r="AU523" s="17">
        <f>IF(
      SUM(Audit[[#This Row],[Audit Losing Candidate]:[Audit Candidate 12]])
      &lt;&gt;0,
      (Audit[[#This Row],[Winning Candidate]]-Audit[[#This Row],[Losing Candidate]]-(Audit[[#This Row],[Audit Winning Candidate]]-Audit[[#This Row],[Audit Losing Candidate]]))/(Audit[[#Totals],[Winning Candidate]]-Audit[[#Totals],[Losing Candidate]]),
      0
)</f>
        <v>0</v>
      </c>
      <c r="AV5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3" s="17">
        <f>IF(Audit[[#This Row],[Max Relative Error (ep)]] = 0, 0, Audit[[#This Row],[Max Relative Error (ep)]]/Audit[[#This Row],[Error Bound (up) - Max. possible relative overstatement]])</f>
        <v>0</v>
      </c>
      <c r="BH5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23" s="17">
        <f t="shared" si="8"/>
        <v>1</v>
      </c>
      <c r="BJ523" s="17">
        <f>PRODUCT($BI$5:BI523)</f>
        <v>0.41460018922772329</v>
      </c>
      <c r="BK523" s="19">
        <f>1 - Audit[[#This Row],[K-M P Value]]</f>
        <v>0.58539981077227665</v>
      </c>
      <c r="BL523" s="17" t="str">
        <f>IF(Audit[[#This Row],[K-M P Value]]&gt;1-'General Info'!$B$12,"Continue", "Stop")</f>
        <v>Continue</v>
      </c>
      <c r="BM523" s="22" t="b">
        <f>IF(Audit[[#This Row],[Status - Continue or stop audit]] = "Continue", TRUE, IF(BL522 = "Continue", TRUE, FALSE))</f>
        <v>1</v>
      </c>
      <c r="BN523" s="22"/>
    </row>
    <row r="524" spans="1:66" ht="15" hidden="1" customHeight="1" x14ac:dyDescent="0.35">
      <c r="A524" s="17" t="str">
        <f>'Sampling Data'!AI524</f>
        <v/>
      </c>
      <c r="B524" s="17" t="str">
        <f>'Sampling Data'!A524</f>
        <v>8719 SPFLD S   (AV)</v>
      </c>
      <c r="C524" s="17">
        <f>'Sampling Data'!B524</f>
        <v>306</v>
      </c>
      <c r="D524" s="17">
        <f>'Sampling Data'!C524</f>
        <v>158</v>
      </c>
      <c r="E524" s="18">
        <f>'Sampling Data'!D524</f>
        <v>0</v>
      </c>
      <c r="F524" s="18">
        <f>'Sampling Data'!E524</f>
        <v>0</v>
      </c>
      <c r="G524" s="18">
        <f>'Sampling Data'!F524</f>
        <v>0</v>
      </c>
      <c r="H524" s="18">
        <f>'Sampling Data'!G524</f>
        <v>0</v>
      </c>
      <c r="I524" s="18">
        <f>'Sampling Data'!H524</f>
        <v>0</v>
      </c>
      <c r="J524" s="18">
        <f>'Sampling Data'!I524</f>
        <v>0</v>
      </c>
      <c r="K524" s="18">
        <f>'Sampling Data'!J524</f>
        <v>0</v>
      </c>
      <c r="L524" s="18">
        <f>'Sampling Data'!K524</f>
        <v>0</v>
      </c>
      <c r="M524" s="18">
        <f>'Sampling Data'!L524</f>
        <v>0</v>
      </c>
      <c r="N524" s="18">
        <f>'Sampling Data'!M524</f>
        <v>0</v>
      </c>
      <c r="O524" s="17">
        <f>'Sampling Data'!N524</f>
        <v>1</v>
      </c>
      <c r="P524" s="17">
        <f>'Sampling Data'!O524</f>
        <v>14</v>
      </c>
      <c r="Q524" s="17">
        <f>'Sampling Data'!P524</f>
        <v>479</v>
      </c>
      <c r="R524" s="17">
        <f>'Sampling Data'!AJ524</f>
        <v>0</v>
      </c>
      <c r="S524" s="111"/>
      <c r="T524" s="111"/>
      <c r="U524" s="112"/>
      <c r="V524" s="112"/>
      <c r="W524" s="111"/>
      <c r="X524" s="111"/>
      <c r="Y524" s="111"/>
      <c r="Z524" s="111"/>
      <c r="AA524" s="14"/>
      <c r="AB524" s="14"/>
      <c r="AC524" s="14"/>
      <c r="AD524" s="14"/>
      <c r="AE524" s="113" t="str">
        <f>IF(NOT(ISBLANK(Audit[[#This Row],[Audit Winning Candidate]])), Audit[[#This Row],[Audit Winning Candidate]]-Audit[[#This Row],[Winning Candidate]], "")</f>
        <v/>
      </c>
      <c r="AF524" s="17" t="str">
        <f>IF(NOT(ISBLANK(Audit[[#This Row],[Audit Losing Candidate]])), Audit[[#This Row],[Audit Losing Candidate]]-Audit[[#This Row],[Losing Candidate]], "")</f>
        <v/>
      </c>
      <c r="AG524" s="17" t="str">
        <f>IF(NOT(ISBLANK(Audit[[#This Row],[Audit Candidate 3]])), Audit[[#This Row],[Audit Candidate 3]]-Audit[[#This Row],[Candidate 3]], "")</f>
        <v/>
      </c>
      <c r="AH524" s="17" t="str">
        <f>IF(NOT(ISBLANK(Audit[[#This Row],[Audit Candidate 4]])),Audit[[#This Row],[Audit Candidate 4]]-Audit[[#This Row],[Candidate 4]], "")</f>
        <v/>
      </c>
      <c r="AI524" s="17" t="str">
        <f>IF(NOT(ISBLANK(Audit[[#This Row],[Audit Candidate 5]])), Audit[[#This Row],[Audit Candidate 5]]-Audit[[#This Row],[Candidate 5]], "")</f>
        <v/>
      </c>
      <c r="AJ524" s="17" t="str">
        <f>IF(NOT(ISBLANK(Audit[[#This Row],[Audit Candidate 6]])), Audit[[#This Row],[Audit Candidate 6]]-Audit[[#This Row],[Candidate 6]], "")</f>
        <v/>
      </c>
      <c r="AK524" s="17" t="str">
        <f>IF(NOT(ISBLANK(Audit[[#This Row],[Audit Candidate 7]])), Audit[[#This Row],[Audit Candidate 7]]-Audit[[#This Row],[Candidate 7]], "")</f>
        <v/>
      </c>
      <c r="AL524" s="17" t="str">
        <f>IF(NOT(ISBLANK(Audit[[#This Row],[Audit Candidate 8]])), Audit[[#This Row],[Audit Candidate 8]]-Audit[[#This Row],[Candidate 8]], "")</f>
        <v/>
      </c>
      <c r="AM524" s="17" t="str">
        <f>IF(NOT(ISBLANK(Audit[[#This Row],[Audit Candidate 9]])), Audit[[#This Row],[Audit Candidate 9]]-Audit[[#This Row],[Candidate 9]], "")</f>
        <v/>
      </c>
      <c r="AN524" s="17" t="str">
        <f>IF(NOT(ISBLANK(Audit[[#This Row],[Audit Candidate 10]])), Audit[[#This Row],[Audit Candidate 10]]-Audit[[#This Row],[Candidate 10]], "")</f>
        <v/>
      </c>
      <c r="AO524" s="17" t="str">
        <f>IF(NOT(ISBLANK(Audit[[#This Row],[Audit Candidate 11]])), Audit[[#This Row],[Audit Candidate 11]]-Audit[[#This Row],[Candidate 11]], "")</f>
        <v/>
      </c>
      <c r="AP524" s="17" t="str">
        <f>IF(NOT(ISBLANK(Audit[[#This Row],[Audit Candidate 12]])), Audit[[#This Row],[Audit Candidate 12]]-Audit[[#This Row],[Candidate 12]], "")</f>
        <v/>
      </c>
      <c r="AQ524" s="17">
        <f>SUMIF(Audit[[#This Row],[Difference Winner]:[Difference Candidate 12]], "&gt;0")</f>
        <v>0</v>
      </c>
      <c r="AR524" s="17">
        <f>SUM(Audit[[#This Row],[Difference Winner]:[Difference Candidate 12]])</f>
        <v>0</v>
      </c>
      <c r="AS524" s="17">
        <f>IF(Audit[[#This Row],[Times p Drawn - With Replacement]]&gt;0, IF(Audit[[#This Row],[Canceled Differences]]&lt;0, Audit[[#This Row],[Max Differences]]+ABS(Audit[[#This Row],[Canceled Differences]]), Audit[[#This Row],[Max Differences]]), 0)</f>
        <v>0</v>
      </c>
      <c r="AT524" s="17">
        <f>'Sampling Data'!AB524</f>
        <v>2.6608385673060602E-2</v>
      </c>
      <c r="AU524" s="17">
        <f>IF(
      SUM(Audit[[#This Row],[Audit Losing Candidate]:[Audit Candidate 12]])
      &lt;&gt;0,
      (Audit[[#This Row],[Winning Candidate]]-Audit[[#This Row],[Losing Candidate]]-(Audit[[#This Row],[Audit Winning Candidate]]-Audit[[#This Row],[Audit Losing Candidate]]))/(Audit[[#Totals],[Winning Candidate]]-Audit[[#Totals],[Losing Candidate]]),
      0
)</f>
        <v>0</v>
      </c>
      <c r="AV5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4" s="17">
        <f>IF(Audit[[#This Row],[Max Relative Error (ep)]] = 0, 0, Audit[[#This Row],[Max Relative Error (ep)]]/Audit[[#This Row],[Error Bound (up) - Max. possible relative overstatement]])</f>
        <v>0</v>
      </c>
      <c r="BH5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24" s="17">
        <f t="shared" si="8"/>
        <v>1</v>
      </c>
      <c r="BJ524" s="17">
        <f>PRODUCT($BI$5:BI524)</f>
        <v>0.41460018922772329</v>
      </c>
      <c r="BK524" s="19">
        <f>1 - Audit[[#This Row],[K-M P Value]]</f>
        <v>0.58539981077227665</v>
      </c>
      <c r="BL524" s="17" t="str">
        <f>IF(Audit[[#This Row],[K-M P Value]]&gt;1-'General Info'!$B$12,"Continue", "Stop")</f>
        <v>Continue</v>
      </c>
      <c r="BM524" s="22" t="b">
        <f>IF(Audit[[#This Row],[Status - Continue or stop audit]] = "Continue", TRUE, IF(BL523 = "Continue", TRUE, FALSE))</f>
        <v>1</v>
      </c>
      <c r="BN524" s="22"/>
    </row>
    <row r="525" spans="1:66" ht="15" hidden="1" customHeight="1" x14ac:dyDescent="0.35">
      <c r="A525" s="17" t="str">
        <f>'Sampling Data'!AI525</f>
        <v/>
      </c>
      <c r="B525" s="17" t="str">
        <f>'Sampling Data'!A525</f>
        <v>8720 SPFLD T   (AV)</v>
      </c>
      <c r="C525" s="17">
        <f>'Sampling Data'!B525</f>
        <v>223</v>
      </c>
      <c r="D525" s="17">
        <f>'Sampling Data'!C525</f>
        <v>98</v>
      </c>
      <c r="E525" s="18">
        <f>'Sampling Data'!D525</f>
        <v>0</v>
      </c>
      <c r="F525" s="18">
        <f>'Sampling Data'!E525</f>
        <v>0</v>
      </c>
      <c r="G525" s="18">
        <f>'Sampling Data'!F525</f>
        <v>0</v>
      </c>
      <c r="H525" s="18">
        <f>'Sampling Data'!G525</f>
        <v>0</v>
      </c>
      <c r="I525" s="18">
        <f>'Sampling Data'!H525</f>
        <v>0</v>
      </c>
      <c r="J525" s="18">
        <f>'Sampling Data'!I525</f>
        <v>0</v>
      </c>
      <c r="K525" s="18">
        <f>'Sampling Data'!J525</f>
        <v>0</v>
      </c>
      <c r="L525" s="18">
        <f>'Sampling Data'!K525</f>
        <v>0</v>
      </c>
      <c r="M525" s="18">
        <f>'Sampling Data'!L525</f>
        <v>0</v>
      </c>
      <c r="N525" s="18">
        <f>'Sampling Data'!M525</f>
        <v>0</v>
      </c>
      <c r="O525" s="17">
        <f>'Sampling Data'!N525</f>
        <v>0</v>
      </c>
      <c r="P525" s="17">
        <f>'Sampling Data'!O525</f>
        <v>17</v>
      </c>
      <c r="Q525" s="17">
        <f>'Sampling Data'!P525</f>
        <v>338</v>
      </c>
      <c r="R525" s="17">
        <f>'Sampling Data'!AJ525</f>
        <v>0</v>
      </c>
      <c r="S525" s="111"/>
      <c r="T525" s="111"/>
      <c r="U525" s="112"/>
      <c r="V525" s="112"/>
      <c r="W525" s="111"/>
      <c r="X525" s="111"/>
      <c r="Y525" s="111"/>
      <c r="Z525" s="111"/>
      <c r="AA525" s="14"/>
      <c r="AB525" s="14"/>
      <c r="AC525" s="14"/>
      <c r="AD525" s="14"/>
      <c r="AE525" s="113" t="str">
        <f>IF(NOT(ISBLANK(Audit[[#This Row],[Audit Winning Candidate]])), Audit[[#This Row],[Audit Winning Candidate]]-Audit[[#This Row],[Winning Candidate]], "")</f>
        <v/>
      </c>
      <c r="AF525" s="17" t="str">
        <f>IF(NOT(ISBLANK(Audit[[#This Row],[Audit Losing Candidate]])), Audit[[#This Row],[Audit Losing Candidate]]-Audit[[#This Row],[Losing Candidate]], "")</f>
        <v/>
      </c>
      <c r="AG525" s="17" t="str">
        <f>IF(NOT(ISBLANK(Audit[[#This Row],[Audit Candidate 3]])), Audit[[#This Row],[Audit Candidate 3]]-Audit[[#This Row],[Candidate 3]], "")</f>
        <v/>
      </c>
      <c r="AH525" s="17" t="str">
        <f>IF(NOT(ISBLANK(Audit[[#This Row],[Audit Candidate 4]])),Audit[[#This Row],[Audit Candidate 4]]-Audit[[#This Row],[Candidate 4]], "")</f>
        <v/>
      </c>
      <c r="AI525" s="17" t="str">
        <f>IF(NOT(ISBLANK(Audit[[#This Row],[Audit Candidate 5]])), Audit[[#This Row],[Audit Candidate 5]]-Audit[[#This Row],[Candidate 5]], "")</f>
        <v/>
      </c>
      <c r="AJ525" s="17" t="str">
        <f>IF(NOT(ISBLANK(Audit[[#This Row],[Audit Candidate 6]])), Audit[[#This Row],[Audit Candidate 6]]-Audit[[#This Row],[Candidate 6]], "")</f>
        <v/>
      </c>
      <c r="AK525" s="17" t="str">
        <f>IF(NOT(ISBLANK(Audit[[#This Row],[Audit Candidate 7]])), Audit[[#This Row],[Audit Candidate 7]]-Audit[[#This Row],[Candidate 7]], "")</f>
        <v/>
      </c>
      <c r="AL525" s="17" t="str">
        <f>IF(NOT(ISBLANK(Audit[[#This Row],[Audit Candidate 8]])), Audit[[#This Row],[Audit Candidate 8]]-Audit[[#This Row],[Candidate 8]], "")</f>
        <v/>
      </c>
      <c r="AM525" s="17" t="str">
        <f>IF(NOT(ISBLANK(Audit[[#This Row],[Audit Candidate 9]])), Audit[[#This Row],[Audit Candidate 9]]-Audit[[#This Row],[Candidate 9]], "")</f>
        <v/>
      </c>
      <c r="AN525" s="17" t="str">
        <f>IF(NOT(ISBLANK(Audit[[#This Row],[Audit Candidate 10]])), Audit[[#This Row],[Audit Candidate 10]]-Audit[[#This Row],[Candidate 10]], "")</f>
        <v/>
      </c>
      <c r="AO525" s="17" t="str">
        <f>IF(NOT(ISBLANK(Audit[[#This Row],[Audit Candidate 11]])), Audit[[#This Row],[Audit Candidate 11]]-Audit[[#This Row],[Candidate 11]], "")</f>
        <v/>
      </c>
      <c r="AP525" s="17" t="str">
        <f>IF(NOT(ISBLANK(Audit[[#This Row],[Audit Candidate 12]])), Audit[[#This Row],[Audit Candidate 12]]-Audit[[#This Row],[Candidate 12]], "")</f>
        <v/>
      </c>
      <c r="AQ525" s="17">
        <f>SUMIF(Audit[[#This Row],[Difference Winner]:[Difference Candidate 12]], "&gt;0")</f>
        <v>0</v>
      </c>
      <c r="AR525" s="17">
        <f>SUM(Audit[[#This Row],[Difference Winner]:[Difference Candidate 12]])</f>
        <v>0</v>
      </c>
      <c r="AS525" s="17">
        <f>IF(Audit[[#This Row],[Times p Drawn - With Replacement]]&gt;0, IF(Audit[[#This Row],[Canceled Differences]]&lt;0, Audit[[#This Row],[Max Differences]]+ABS(Audit[[#This Row],[Canceled Differences]]), Audit[[#This Row],[Max Differences]]), 0)</f>
        <v>0</v>
      </c>
      <c r="AT525" s="17">
        <f>'Sampling Data'!AB525</f>
        <v>1.9648616533695467E-2</v>
      </c>
      <c r="AU525" s="17">
        <f>IF(
      SUM(Audit[[#This Row],[Audit Losing Candidate]:[Audit Candidate 12]])
      &lt;&gt;0,
      (Audit[[#This Row],[Winning Candidate]]-Audit[[#This Row],[Losing Candidate]]-(Audit[[#This Row],[Audit Winning Candidate]]-Audit[[#This Row],[Audit Losing Candidate]]))/(Audit[[#Totals],[Winning Candidate]]-Audit[[#Totals],[Losing Candidate]]),
      0
)</f>
        <v>0</v>
      </c>
      <c r="AV5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5" s="17">
        <f>IF(Audit[[#This Row],[Max Relative Error (ep)]] = 0, 0, Audit[[#This Row],[Max Relative Error (ep)]]/Audit[[#This Row],[Error Bound (up) - Max. possible relative overstatement]])</f>
        <v>0</v>
      </c>
      <c r="BH5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25" s="17">
        <f t="shared" si="8"/>
        <v>1</v>
      </c>
      <c r="BJ525" s="17">
        <f>PRODUCT($BI$5:BI525)</f>
        <v>0.41460018922772329</v>
      </c>
      <c r="BK525" s="19">
        <f>1 - Audit[[#This Row],[K-M P Value]]</f>
        <v>0.58539981077227665</v>
      </c>
      <c r="BL525" s="17" t="str">
        <f>IF(Audit[[#This Row],[K-M P Value]]&gt;1-'General Info'!$B$12,"Continue", "Stop")</f>
        <v>Continue</v>
      </c>
      <c r="BM525" s="22" t="b">
        <f>IF(Audit[[#This Row],[Status - Continue or stop audit]] = "Continue", TRUE, IF(BL524 = "Continue", TRUE, FALSE))</f>
        <v>1</v>
      </c>
      <c r="BN525" s="22"/>
    </row>
    <row r="526" spans="1:66" ht="15" hidden="1" customHeight="1" x14ac:dyDescent="0.35">
      <c r="A526" s="17" t="str">
        <f>'Sampling Data'!AI526</f>
        <v/>
      </c>
      <c r="B526" s="17" t="str">
        <f>'Sampling Data'!A526</f>
        <v>8721 SPFLD U   (AV)</v>
      </c>
      <c r="C526" s="17">
        <f>'Sampling Data'!B526</f>
        <v>262</v>
      </c>
      <c r="D526" s="17">
        <f>'Sampling Data'!C526</f>
        <v>129</v>
      </c>
      <c r="E526" s="18">
        <f>'Sampling Data'!D526</f>
        <v>0</v>
      </c>
      <c r="F526" s="18">
        <f>'Sampling Data'!E526</f>
        <v>0</v>
      </c>
      <c r="G526" s="18">
        <f>'Sampling Data'!F526</f>
        <v>0</v>
      </c>
      <c r="H526" s="18">
        <f>'Sampling Data'!G526</f>
        <v>0</v>
      </c>
      <c r="I526" s="18">
        <f>'Sampling Data'!H526</f>
        <v>0</v>
      </c>
      <c r="J526" s="18">
        <f>'Sampling Data'!I526</f>
        <v>0</v>
      </c>
      <c r="K526" s="18">
        <f>'Sampling Data'!J526</f>
        <v>0</v>
      </c>
      <c r="L526" s="18">
        <f>'Sampling Data'!K526</f>
        <v>0</v>
      </c>
      <c r="M526" s="18">
        <f>'Sampling Data'!L526</f>
        <v>0</v>
      </c>
      <c r="N526" s="18">
        <f>'Sampling Data'!M526</f>
        <v>0</v>
      </c>
      <c r="O526" s="17">
        <f>'Sampling Data'!N526</f>
        <v>0</v>
      </c>
      <c r="P526" s="17">
        <f>'Sampling Data'!O526</f>
        <v>25</v>
      </c>
      <c r="Q526" s="17">
        <f>'Sampling Data'!P526</f>
        <v>416</v>
      </c>
      <c r="R526" s="17">
        <f>'Sampling Data'!AJ526</f>
        <v>0</v>
      </c>
      <c r="S526" s="111"/>
      <c r="T526" s="111"/>
      <c r="U526" s="112"/>
      <c r="V526" s="112"/>
      <c r="W526" s="111"/>
      <c r="X526" s="111"/>
      <c r="Y526" s="111"/>
      <c r="Z526" s="111"/>
      <c r="AA526" s="14"/>
      <c r="AB526" s="14"/>
      <c r="AC526" s="14"/>
      <c r="AD526" s="14"/>
      <c r="AE526" s="113" t="str">
        <f>IF(NOT(ISBLANK(Audit[[#This Row],[Audit Winning Candidate]])), Audit[[#This Row],[Audit Winning Candidate]]-Audit[[#This Row],[Winning Candidate]], "")</f>
        <v/>
      </c>
      <c r="AF526" s="17" t="str">
        <f>IF(NOT(ISBLANK(Audit[[#This Row],[Audit Losing Candidate]])), Audit[[#This Row],[Audit Losing Candidate]]-Audit[[#This Row],[Losing Candidate]], "")</f>
        <v/>
      </c>
      <c r="AG526" s="17" t="str">
        <f>IF(NOT(ISBLANK(Audit[[#This Row],[Audit Candidate 3]])), Audit[[#This Row],[Audit Candidate 3]]-Audit[[#This Row],[Candidate 3]], "")</f>
        <v/>
      </c>
      <c r="AH526" s="17" t="str">
        <f>IF(NOT(ISBLANK(Audit[[#This Row],[Audit Candidate 4]])),Audit[[#This Row],[Audit Candidate 4]]-Audit[[#This Row],[Candidate 4]], "")</f>
        <v/>
      </c>
      <c r="AI526" s="17" t="str">
        <f>IF(NOT(ISBLANK(Audit[[#This Row],[Audit Candidate 5]])), Audit[[#This Row],[Audit Candidate 5]]-Audit[[#This Row],[Candidate 5]], "")</f>
        <v/>
      </c>
      <c r="AJ526" s="17" t="str">
        <f>IF(NOT(ISBLANK(Audit[[#This Row],[Audit Candidate 6]])), Audit[[#This Row],[Audit Candidate 6]]-Audit[[#This Row],[Candidate 6]], "")</f>
        <v/>
      </c>
      <c r="AK526" s="17" t="str">
        <f>IF(NOT(ISBLANK(Audit[[#This Row],[Audit Candidate 7]])), Audit[[#This Row],[Audit Candidate 7]]-Audit[[#This Row],[Candidate 7]], "")</f>
        <v/>
      </c>
      <c r="AL526" s="17" t="str">
        <f>IF(NOT(ISBLANK(Audit[[#This Row],[Audit Candidate 8]])), Audit[[#This Row],[Audit Candidate 8]]-Audit[[#This Row],[Candidate 8]], "")</f>
        <v/>
      </c>
      <c r="AM526" s="17" t="str">
        <f>IF(NOT(ISBLANK(Audit[[#This Row],[Audit Candidate 9]])), Audit[[#This Row],[Audit Candidate 9]]-Audit[[#This Row],[Candidate 9]], "")</f>
        <v/>
      </c>
      <c r="AN526" s="17" t="str">
        <f>IF(NOT(ISBLANK(Audit[[#This Row],[Audit Candidate 10]])), Audit[[#This Row],[Audit Candidate 10]]-Audit[[#This Row],[Candidate 10]], "")</f>
        <v/>
      </c>
      <c r="AO526" s="17" t="str">
        <f>IF(NOT(ISBLANK(Audit[[#This Row],[Audit Candidate 11]])), Audit[[#This Row],[Audit Candidate 11]]-Audit[[#This Row],[Candidate 11]], "")</f>
        <v/>
      </c>
      <c r="AP526" s="17" t="str">
        <f>IF(NOT(ISBLANK(Audit[[#This Row],[Audit Candidate 12]])), Audit[[#This Row],[Audit Candidate 12]]-Audit[[#This Row],[Candidate 12]], "")</f>
        <v/>
      </c>
      <c r="AQ526" s="17">
        <f>SUMIF(Audit[[#This Row],[Difference Winner]:[Difference Candidate 12]], "&gt;0")</f>
        <v>0</v>
      </c>
      <c r="AR526" s="17">
        <f>SUM(Audit[[#This Row],[Difference Winner]:[Difference Candidate 12]])</f>
        <v>0</v>
      </c>
      <c r="AS526" s="17">
        <f>IF(Audit[[#This Row],[Times p Drawn - With Replacement]]&gt;0, IF(Audit[[#This Row],[Canceled Differences]]&lt;0, Audit[[#This Row],[Max Differences]]+ABS(Audit[[#This Row],[Canceled Differences]]), Audit[[#This Row],[Max Differences]]), 0)</f>
        <v>0</v>
      </c>
      <c r="AT526" s="17">
        <f>'Sampling Data'!AB526</f>
        <v>2.3298251570191816E-2</v>
      </c>
      <c r="AU526" s="17">
        <f>IF(
      SUM(Audit[[#This Row],[Audit Losing Candidate]:[Audit Candidate 12]])
      &lt;&gt;0,
      (Audit[[#This Row],[Winning Candidate]]-Audit[[#This Row],[Losing Candidate]]-(Audit[[#This Row],[Audit Winning Candidate]]-Audit[[#This Row],[Audit Losing Candidate]]))/(Audit[[#Totals],[Winning Candidate]]-Audit[[#Totals],[Losing Candidate]]),
      0
)</f>
        <v>0</v>
      </c>
      <c r="AV5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6" s="17">
        <f>IF(Audit[[#This Row],[Max Relative Error (ep)]] = 0, 0, Audit[[#This Row],[Max Relative Error (ep)]]/Audit[[#This Row],[Error Bound (up) - Max. possible relative overstatement]])</f>
        <v>0</v>
      </c>
      <c r="BH5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26" s="17">
        <f t="shared" si="8"/>
        <v>1</v>
      </c>
      <c r="BJ526" s="17">
        <f>PRODUCT($BI$5:BI526)</f>
        <v>0.41460018922772329</v>
      </c>
      <c r="BK526" s="19">
        <f>1 - Audit[[#This Row],[K-M P Value]]</f>
        <v>0.58539981077227665</v>
      </c>
      <c r="BL526" s="17" t="str">
        <f>IF(Audit[[#This Row],[K-M P Value]]&gt;1-'General Info'!$B$12,"Continue", "Stop")</f>
        <v>Continue</v>
      </c>
      <c r="BM526" s="22" t="b">
        <f>IF(Audit[[#This Row],[Status - Continue or stop audit]] = "Continue", TRUE, IF(BL525 = "Continue", TRUE, FALSE))</f>
        <v>1</v>
      </c>
      <c r="BN526" s="22"/>
    </row>
    <row r="527" spans="1:66" ht="15" hidden="1" customHeight="1" x14ac:dyDescent="0.35">
      <c r="A527" s="17" t="str">
        <f>'Sampling Data'!AI527</f>
        <v/>
      </c>
      <c r="B527" s="17" t="str">
        <f>'Sampling Data'!A527</f>
        <v>8722 SPFLD V   (AV)</v>
      </c>
      <c r="C527" s="17">
        <f>'Sampling Data'!B527</f>
        <v>146</v>
      </c>
      <c r="D527" s="17">
        <f>'Sampling Data'!C527</f>
        <v>141</v>
      </c>
      <c r="E527" s="18">
        <f>'Sampling Data'!D527</f>
        <v>0</v>
      </c>
      <c r="F527" s="18">
        <f>'Sampling Data'!E527</f>
        <v>0</v>
      </c>
      <c r="G527" s="18">
        <f>'Sampling Data'!F527</f>
        <v>0</v>
      </c>
      <c r="H527" s="18">
        <f>'Sampling Data'!G527</f>
        <v>0</v>
      </c>
      <c r="I527" s="18">
        <f>'Sampling Data'!H527</f>
        <v>0</v>
      </c>
      <c r="J527" s="18">
        <f>'Sampling Data'!I527</f>
        <v>0</v>
      </c>
      <c r="K527" s="18">
        <f>'Sampling Data'!J527</f>
        <v>0</v>
      </c>
      <c r="L527" s="18">
        <f>'Sampling Data'!K527</f>
        <v>0</v>
      </c>
      <c r="M527" s="18">
        <f>'Sampling Data'!L527</f>
        <v>0</v>
      </c>
      <c r="N527" s="18">
        <f>'Sampling Data'!M527</f>
        <v>0</v>
      </c>
      <c r="O527" s="17">
        <f>'Sampling Data'!N527</f>
        <v>0</v>
      </c>
      <c r="P527" s="17">
        <f>'Sampling Data'!O527</f>
        <v>14</v>
      </c>
      <c r="Q527" s="17">
        <f>'Sampling Data'!P527</f>
        <v>301</v>
      </c>
      <c r="R527" s="17">
        <f>'Sampling Data'!AJ527</f>
        <v>0</v>
      </c>
      <c r="S527" s="111"/>
      <c r="T527" s="111"/>
      <c r="U527" s="112"/>
      <c r="V527" s="112"/>
      <c r="W527" s="111"/>
      <c r="X527" s="111"/>
      <c r="Y527" s="111"/>
      <c r="Z527" s="111"/>
      <c r="AA527" s="14"/>
      <c r="AB527" s="14"/>
      <c r="AC527" s="14"/>
      <c r="AD527" s="14"/>
      <c r="AE527" s="113" t="str">
        <f>IF(NOT(ISBLANK(Audit[[#This Row],[Audit Winning Candidate]])), Audit[[#This Row],[Audit Winning Candidate]]-Audit[[#This Row],[Winning Candidate]], "")</f>
        <v/>
      </c>
      <c r="AF527" s="17" t="str">
        <f>IF(NOT(ISBLANK(Audit[[#This Row],[Audit Losing Candidate]])), Audit[[#This Row],[Audit Losing Candidate]]-Audit[[#This Row],[Losing Candidate]], "")</f>
        <v/>
      </c>
      <c r="AG527" s="17" t="str">
        <f>IF(NOT(ISBLANK(Audit[[#This Row],[Audit Candidate 3]])), Audit[[#This Row],[Audit Candidate 3]]-Audit[[#This Row],[Candidate 3]], "")</f>
        <v/>
      </c>
      <c r="AH527" s="17" t="str">
        <f>IF(NOT(ISBLANK(Audit[[#This Row],[Audit Candidate 4]])),Audit[[#This Row],[Audit Candidate 4]]-Audit[[#This Row],[Candidate 4]], "")</f>
        <v/>
      </c>
      <c r="AI527" s="17" t="str">
        <f>IF(NOT(ISBLANK(Audit[[#This Row],[Audit Candidate 5]])), Audit[[#This Row],[Audit Candidate 5]]-Audit[[#This Row],[Candidate 5]], "")</f>
        <v/>
      </c>
      <c r="AJ527" s="17" t="str">
        <f>IF(NOT(ISBLANK(Audit[[#This Row],[Audit Candidate 6]])), Audit[[#This Row],[Audit Candidate 6]]-Audit[[#This Row],[Candidate 6]], "")</f>
        <v/>
      </c>
      <c r="AK527" s="17" t="str">
        <f>IF(NOT(ISBLANK(Audit[[#This Row],[Audit Candidate 7]])), Audit[[#This Row],[Audit Candidate 7]]-Audit[[#This Row],[Candidate 7]], "")</f>
        <v/>
      </c>
      <c r="AL527" s="17" t="str">
        <f>IF(NOT(ISBLANK(Audit[[#This Row],[Audit Candidate 8]])), Audit[[#This Row],[Audit Candidate 8]]-Audit[[#This Row],[Candidate 8]], "")</f>
        <v/>
      </c>
      <c r="AM527" s="17" t="str">
        <f>IF(NOT(ISBLANK(Audit[[#This Row],[Audit Candidate 9]])), Audit[[#This Row],[Audit Candidate 9]]-Audit[[#This Row],[Candidate 9]], "")</f>
        <v/>
      </c>
      <c r="AN527" s="17" t="str">
        <f>IF(NOT(ISBLANK(Audit[[#This Row],[Audit Candidate 10]])), Audit[[#This Row],[Audit Candidate 10]]-Audit[[#This Row],[Candidate 10]], "")</f>
        <v/>
      </c>
      <c r="AO527" s="17" t="str">
        <f>IF(NOT(ISBLANK(Audit[[#This Row],[Audit Candidate 11]])), Audit[[#This Row],[Audit Candidate 11]]-Audit[[#This Row],[Candidate 11]], "")</f>
        <v/>
      </c>
      <c r="AP527" s="17" t="str">
        <f>IF(NOT(ISBLANK(Audit[[#This Row],[Audit Candidate 12]])), Audit[[#This Row],[Audit Candidate 12]]-Audit[[#This Row],[Candidate 12]], "")</f>
        <v/>
      </c>
      <c r="AQ527" s="17">
        <f>SUMIF(Audit[[#This Row],[Difference Winner]:[Difference Candidate 12]], "&gt;0")</f>
        <v>0</v>
      </c>
      <c r="AR527" s="17">
        <f>SUM(Audit[[#This Row],[Difference Winner]:[Difference Candidate 12]])</f>
        <v>0</v>
      </c>
      <c r="AS527" s="17">
        <f>IF(Audit[[#This Row],[Times p Drawn - With Replacement]]&gt;0, IF(Audit[[#This Row],[Canceled Differences]]&lt;0, Audit[[#This Row],[Max Differences]]+ABS(Audit[[#This Row],[Canceled Differences]]), Audit[[#This Row],[Max Differences]]), 0)</f>
        <v>0</v>
      </c>
      <c r="AT527" s="17">
        <f>'Sampling Data'!AB527</f>
        <v>1.2985910711254456E-2</v>
      </c>
      <c r="AU527" s="17">
        <f>IF(
      SUM(Audit[[#This Row],[Audit Losing Candidate]:[Audit Candidate 12]])
      &lt;&gt;0,
      (Audit[[#This Row],[Winning Candidate]]-Audit[[#This Row],[Losing Candidate]]-(Audit[[#This Row],[Audit Winning Candidate]]-Audit[[#This Row],[Audit Losing Candidate]]))/(Audit[[#Totals],[Winning Candidate]]-Audit[[#Totals],[Losing Candidate]]),
      0
)</f>
        <v>0</v>
      </c>
      <c r="AV5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7" s="17">
        <f>IF(Audit[[#This Row],[Max Relative Error (ep)]] = 0, 0, Audit[[#This Row],[Max Relative Error (ep)]]/Audit[[#This Row],[Error Bound (up) - Max. possible relative overstatement]])</f>
        <v>0</v>
      </c>
      <c r="BH5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27" s="17">
        <f t="shared" ref="BI527:BI590" si="9">IF(ISERR(POWER(BH527,R527)), 0, POWER(BH527,R527))</f>
        <v>1</v>
      </c>
      <c r="BJ527" s="17">
        <f>PRODUCT($BI$5:BI527)</f>
        <v>0.41460018922772329</v>
      </c>
      <c r="BK527" s="19">
        <f>1 - Audit[[#This Row],[K-M P Value]]</f>
        <v>0.58539981077227665</v>
      </c>
      <c r="BL527" s="17" t="str">
        <f>IF(Audit[[#This Row],[K-M P Value]]&gt;1-'General Info'!$B$12,"Continue", "Stop")</f>
        <v>Continue</v>
      </c>
      <c r="BM527" s="22" t="b">
        <f>IF(Audit[[#This Row],[Status - Continue or stop audit]] = "Continue", TRUE, IF(BL526 = "Continue", TRUE, FALSE))</f>
        <v>1</v>
      </c>
      <c r="BN527" s="22"/>
    </row>
    <row r="528" spans="1:66" ht="15" hidden="1" customHeight="1" x14ac:dyDescent="0.35">
      <c r="A528" s="17" t="str">
        <f>'Sampling Data'!AI528</f>
        <v/>
      </c>
      <c r="B528" s="17" t="str">
        <f>'Sampling Data'!A528</f>
        <v>8723 SPFLD W   (AV)</v>
      </c>
      <c r="C528" s="17">
        <f>'Sampling Data'!B528</f>
        <v>256</v>
      </c>
      <c r="D528" s="17">
        <f>'Sampling Data'!C528</f>
        <v>147</v>
      </c>
      <c r="E528" s="18">
        <f>'Sampling Data'!D528</f>
        <v>0</v>
      </c>
      <c r="F528" s="18">
        <f>'Sampling Data'!E528</f>
        <v>0</v>
      </c>
      <c r="G528" s="18">
        <f>'Sampling Data'!F528</f>
        <v>0</v>
      </c>
      <c r="H528" s="18">
        <f>'Sampling Data'!G528</f>
        <v>0</v>
      </c>
      <c r="I528" s="18">
        <f>'Sampling Data'!H528</f>
        <v>0</v>
      </c>
      <c r="J528" s="18">
        <f>'Sampling Data'!I528</f>
        <v>0</v>
      </c>
      <c r="K528" s="18">
        <f>'Sampling Data'!J528</f>
        <v>0</v>
      </c>
      <c r="L528" s="18">
        <f>'Sampling Data'!K528</f>
        <v>0</v>
      </c>
      <c r="M528" s="18">
        <f>'Sampling Data'!L528</f>
        <v>0</v>
      </c>
      <c r="N528" s="18">
        <f>'Sampling Data'!M528</f>
        <v>0</v>
      </c>
      <c r="O528" s="17">
        <f>'Sampling Data'!N528</f>
        <v>0</v>
      </c>
      <c r="P528" s="17">
        <f>'Sampling Data'!O528</f>
        <v>15</v>
      </c>
      <c r="Q528" s="17">
        <f>'Sampling Data'!P528</f>
        <v>418</v>
      </c>
      <c r="R528" s="17">
        <f>'Sampling Data'!AJ528</f>
        <v>0</v>
      </c>
      <c r="S528" s="111"/>
      <c r="T528" s="111"/>
      <c r="U528" s="112"/>
      <c r="V528" s="112"/>
      <c r="W528" s="111"/>
      <c r="X528" s="111"/>
      <c r="Y528" s="111"/>
      <c r="Z528" s="111"/>
      <c r="AA528" s="14"/>
      <c r="AB528" s="14"/>
      <c r="AC528" s="14"/>
      <c r="AD528" s="14"/>
      <c r="AE528" s="113" t="str">
        <f>IF(NOT(ISBLANK(Audit[[#This Row],[Audit Winning Candidate]])), Audit[[#This Row],[Audit Winning Candidate]]-Audit[[#This Row],[Winning Candidate]], "")</f>
        <v/>
      </c>
      <c r="AF528" s="17" t="str">
        <f>IF(NOT(ISBLANK(Audit[[#This Row],[Audit Losing Candidate]])), Audit[[#This Row],[Audit Losing Candidate]]-Audit[[#This Row],[Losing Candidate]], "")</f>
        <v/>
      </c>
      <c r="AG528" s="17" t="str">
        <f>IF(NOT(ISBLANK(Audit[[#This Row],[Audit Candidate 3]])), Audit[[#This Row],[Audit Candidate 3]]-Audit[[#This Row],[Candidate 3]], "")</f>
        <v/>
      </c>
      <c r="AH528" s="17" t="str">
        <f>IF(NOT(ISBLANK(Audit[[#This Row],[Audit Candidate 4]])),Audit[[#This Row],[Audit Candidate 4]]-Audit[[#This Row],[Candidate 4]], "")</f>
        <v/>
      </c>
      <c r="AI528" s="17" t="str">
        <f>IF(NOT(ISBLANK(Audit[[#This Row],[Audit Candidate 5]])), Audit[[#This Row],[Audit Candidate 5]]-Audit[[#This Row],[Candidate 5]], "")</f>
        <v/>
      </c>
      <c r="AJ528" s="17" t="str">
        <f>IF(NOT(ISBLANK(Audit[[#This Row],[Audit Candidate 6]])), Audit[[#This Row],[Audit Candidate 6]]-Audit[[#This Row],[Candidate 6]], "")</f>
        <v/>
      </c>
      <c r="AK528" s="17" t="str">
        <f>IF(NOT(ISBLANK(Audit[[#This Row],[Audit Candidate 7]])), Audit[[#This Row],[Audit Candidate 7]]-Audit[[#This Row],[Candidate 7]], "")</f>
        <v/>
      </c>
      <c r="AL528" s="17" t="str">
        <f>IF(NOT(ISBLANK(Audit[[#This Row],[Audit Candidate 8]])), Audit[[#This Row],[Audit Candidate 8]]-Audit[[#This Row],[Candidate 8]], "")</f>
        <v/>
      </c>
      <c r="AM528" s="17" t="str">
        <f>IF(NOT(ISBLANK(Audit[[#This Row],[Audit Candidate 9]])), Audit[[#This Row],[Audit Candidate 9]]-Audit[[#This Row],[Candidate 9]], "")</f>
        <v/>
      </c>
      <c r="AN528" s="17" t="str">
        <f>IF(NOT(ISBLANK(Audit[[#This Row],[Audit Candidate 10]])), Audit[[#This Row],[Audit Candidate 10]]-Audit[[#This Row],[Candidate 10]], "")</f>
        <v/>
      </c>
      <c r="AO528" s="17" t="str">
        <f>IF(NOT(ISBLANK(Audit[[#This Row],[Audit Candidate 11]])), Audit[[#This Row],[Audit Candidate 11]]-Audit[[#This Row],[Candidate 11]], "")</f>
        <v/>
      </c>
      <c r="AP528" s="17" t="str">
        <f>IF(NOT(ISBLANK(Audit[[#This Row],[Audit Candidate 12]])), Audit[[#This Row],[Audit Candidate 12]]-Audit[[#This Row],[Candidate 12]], "")</f>
        <v/>
      </c>
      <c r="AQ528" s="17">
        <f>SUMIF(Audit[[#This Row],[Difference Winner]:[Difference Candidate 12]], "&gt;0")</f>
        <v>0</v>
      </c>
      <c r="AR528" s="17">
        <f>SUM(Audit[[#This Row],[Difference Winner]:[Difference Candidate 12]])</f>
        <v>0</v>
      </c>
      <c r="AS528" s="17">
        <f>IF(Audit[[#This Row],[Times p Drawn - With Replacement]]&gt;0, IF(Audit[[#This Row],[Canceled Differences]]&lt;0, Audit[[#This Row],[Max Differences]]+ABS(Audit[[#This Row],[Canceled Differences]]), Audit[[#This Row],[Max Differences]]), 0)</f>
        <v>0</v>
      </c>
      <c r="AT528" s="17">
        <f>'Sampling Data'!AB528</f>
        <v>2.2364624002716008E-2</v>
      </c>
      <c r="AU528" s="17">
        <f>IF(
      SUM(Audit[[#This Row],[Audit Losing Candidate]:[Audit Candidate 12]])
      &lt;&gt;0,
      (Audit[[#This Row],[Winning Candidate]]-Audit[[#This Row],[Losing Candidate]]-(Audit[[#This Row],[Audit Winning Candidate]]-Audit[[#This Row],[Audit Losing Candidate]]))/(Audit[[#Totals],[Winning Candidate]]-Audit[[#Totals],[Losing Candidate]]),
      0
)</f>
        <v>0</v>
      </c>
      <c r="AV5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8" s="17">
        <f>IF(Audit[[#This Row],[Max Relative Error (ep)]] = 0, 0, Audit[[#This Row],[Max Relative Error (ep)]]/Audit[[#This Row],[Error Bound (up) - Max. possible relative overstatement]])</f>
        <v>0</v>
      </c>
      <c r="BH5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28" s="17">
        <f t="shared" si="9"/>
        <v>1</v>
      </c>
      <c r="BJ528" s="17">
        <f>PRODUCT($BI$5:BI528)</f>
        <v>0.41460018922772329</v>
      </c>
      <c r="BK528" s="19">
        <f>1 - Audit[[#This Row],[K-M P Value]]</f>
        <v>0.58539981077227665</v>
      </c>
      <c r="BL528" s="17" t="str">
        <f>IF(Audit[[#This Row],[K-M P Value]]&gt;1-'General Info'!$B$12,"Continue", "Stop")</f>
        <v>Continue</v>
      </c>
      <c r="BM528" s="22" t="b">
        <f>IF(Audit[[#This Row],[Status - Continue or stop audit]] = "Continue", TRUE, IF(BL527 = "Continue", TRUE, FALSE))</f>
        <v>1</v>
      </c>
      <c r="BN528" s="22"/>
    </row>
    <row r="529" spans="1:66" ht="15" hidden="1" customHeight="1" x14ac:dyDescent="0.35">
      <c r="A529" s="17" t="str">
        <f>'Sampling Data'!AI529</f>
        <v/>
      </c>
      <c r="B529" s="17" t="str">
        <f>'Sampling Data'!A529</f>
        <v>8724 SPFLD X   (AV)</v>
      </c>
      <c r="C529" s="17">
        <f>'Sampling Data'!B529</f>
        <v>175</v>
      </c>
      <c r="D529" s="17">
        <f>'Sampling Data'!C529</f>
        <v>64</v>
      </c>
      <c r="E529" s="18">
        <f>'Sampling Data'!D529</f>
        <v>0</v>
      </c>
      <c r="F529" s="18">
        <f>'Sampling Data'!E529</f>
        <v>0</v>
      </c>
      <c r="G529" s="18">
        <f>'Sampling Data'!F529</f>
        <v>0</v>
      </c>
      <c r="H529" s="18">
        <f>'Sampling Data'!G529</f>
        <v>0</v>
      </c>
      <c r="I529" s="18">
        <f>'Sampling Data'!H529</f>
        <v>0</v>
      </c>
      <c r="J529" s="18">
        <f>'Sampling Data'!I529</f>
        <v>0</v>
      </c>
      <c r="K529" s="18">
        <f>'Sampling Data'!J529</f>
        <v>0</v>
      </c>
      <c r="L529" s="18">
        <f>'Sampling Data'!K529</f>
        <v>0</v>
      </c>
      <c r="M529" s="18">
        <f>'Sampling Data'!L529</f>
        <v>0</v>
      </c>
      <c r="N529" s="18">
        <f>'Sampling Data'!M529</f>
        <v>0</v>
      </c>
      <c r="O529" s="17">
        <f>'Sampling Data'!N529</f>
        <v>0</v>
      </c>
      <c r="P529" s="17">
        <f>'Sampling Data'!O529</f>
        <v>7</v>
      </c>
      <c r="Q529" s="17">
        <f>'Sampling Data'!P529</f>
        <v>246</v>
      </c>
      <c r="R529" s="17">
        <f>'Sampling Data'!AJ529</f>
        <v>0</v>
      </c>
      <c r="S529" s="111"/>
      <c r="T529" s="111"/>
      <c r="U529" s="112"/>
      <c r="V529" s="112"/>
      <c r="W529" s="111"/>
      <c r="X529" s="111"/>
      <c r="Y529" s="111"/>
      <c r="Z529" s="111"/>
      <c r="AA529" s="14"/>
      <c r="AB529" s="14"/>
      <c r="AC529" s="14"/>
      <c r="AD529" s="14"/>
      <c r="AE529" s="113" t="str">
        <f>IF(NOT(ISBLANK(Audit[[#This Row],[Audit Winning Candidate]])), Audit[[#This Row],[Audit Winning Candidate]]-Audit[[#This Row],[Winning Candidate]], "")</f>
        <v/>
      </c>
      <c r="AF529" s="17" t="str">
        <f>IF(NOT(ISBLANK(Audit[[#This Row],[Audit Losing Candidate]])), Audit[[#This Row],[Audit Losing Candidate]]-Audit[[#This Row],[Losing Candidate]], "")</f>
        <v/>
      </c>
      <c r="AG529" s="17" t="str">
        <f>IF(NOT(ISBLANK(Audit[[#This Row],[Audit Candidate 3]])), Audit[[#This Row],[Audit Candidate 3]]-Audit[[#This Row],[Candidate 3]], "")</f>
        <v/>
      </c>
      <c r="AH529" s="17" t="str">
        <f>IF(NOT(ISBLANK(Audit[[#This Row],[Audit Candidate 4]])),Audit[[#This Row],[Audit Candidate 4]]-Audit[[#This Row],[Candidate 4]], "")</f>
        <v/>
      </c>
      <c r="AI529" s="17" t="str">
        <f>IF(NOT(ISBLANK(Audit[[#This Row],[Audit Candidate 5]])), Audit[[#This Row],[Audit Candidate 5]]-Audit[[#This Row],[Candidate 5]], "")</f>
        <v/>
      </c>
      <c r="AJ529" s="17" t="str">
        <f>IF(NOT(ISBLANK(Audit[[#This Row],[Audit Candidate 6]])), Audit[[#This Row],[Audit Candidate 6]]-Audit[[#This Row],[Candidate 6]], "")</f>
        <v/>
      </c>
      <c r="AK529" s="17" t="str">
        <f>IF(NOT(ISBLANK(Audit[[#This Row],[Audit Candidate 7]])), Audit[[#This Row],[Audit Candidate 7]]-Audit[[#This Row],[Candidate 7]], "")</f>
        <v/>
      </c>
      <c r="AL529" s="17" t="str">
        <f>IF(NOT(ISBLANK(Audit[[#This Row],[Audit Candidate 8]])), Audit[[#This Row],[Audit Candidate 8]]-Audit[[#This Row],[Candidate 8]], "")</f>
        <v/>
      </c>
      <c r="AM529" s="17" t="str">
        <f>IF(NOT(ISBLANK(Audit[[#This Row],[Audit Candidate 9]])), Audit[[#This Row],[Audit Candidate 9]]-Audit[[#This Row],[Candidate 9]], "")</f>
        <v/>
      </c>
      <c r="AN529" s="17" t="str">
        <f>IF(NOT(ISBLANK(Audit[[#This Row],[Audit Candidate 10]])), Audit[[#This Row],[Audit Candidate 10]]-Audit[[#This Row],[Candidate 10]], "")</f>
        <v/>
      </c>
      <c r="AO529" s="17" t="str">
        <f>IF(NOT(ISBLANK(Audit[[#This Row],[Audit Candidate 11]])), Audit[[#This Row],[Audit Candidate 11]]-Audit[[#This Row],[Candidate 11]], "")</f>
        <v/>
      </c>
      <c r="AP529" s="17" t="str">
        <f>IF(NOT(ISBLANK(Audit[[#This Row],[Audit Candidate 12]])), Audit[[#This Row],[Audit Candidate 12]]-Audit[[#This Row],[Candidate 12]], "")</f>
        <v/>
      </c>
      <c r="AQ529" s="17">
        <f>SUMIF(Audit[[#This Row],[Difference Winner]:[Difference Candidate 12]], "&gt;0")</f>
        <v>0</v>
      </c>
      <c r="AR529" s="17">
        <f>SUM(Audit[[#This Row],[Difference Winner]:[Difference Candidate 12]])</f>
        <v>0</v>
      </c>
      <c r="AS529" s="17">
        <f>IF(Audit[[#This Row],[Times p Drawn - With Replacement]]&gt;0, IF(Audit[[#This Row],[Canceled Differences]]&lt;0, Audit[[#This Row],[Max Differences]]+ABS(Audit[[#This Row],[Canceled Differences]]), Audit[[#This Row],[Max Differences]]), 0)</f>
        <v>0</v>
      </c>
      <c r="AT529" s="17">
        <f>'Sampling Data'!AB529</f>
        <v>1.5150229163130198E-2</v>
      </c>
      <c r="AU529" s="17">
        <f>IF(
      SUM(Audit[[#This Row],[Audit Losing Candidate]:[Audit Candidate 12]])
      &lt;&gt;0,
      (Audit[[#This Row],[Winning Candidate]]-Audit[[#This Row],[Losing Candidate]]-(Audit[[#This Row],[Audit Winning Candidate]]-Audit[[#This Row],[Audit Losing Candidate]]))/(Audit[[#Totals],[Winning Candidate]]-Audit[[#Totals],[Losing Candidate]]),
      0
)</f>
        <v>0</v>
      </c>
      <c r="AV5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9" s="17">
        <f>IF(Audit[[#This Row],[Max Relative Error (ep)]] = 0, 0, Audit[[#This Row],[Max Relative Error (ep)]]/Audit[[#This Row],[Error Bound (up) - Max. possible relative overstatement]])</f>
        <v>0</v>
      </c>
      <c r="BH5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29" s="17">
        <f t="shared" si="9"/>
        <v>1</v>
      </c>
      <c r="BJ529" s="17">
        <f>PRODUCT($BI$5:BI529)</f>
        <v>0.41460018922772329</v>
      </c>
      <c r="BK529" s="19">
        <f>1 - Audit[[#This Row],[K-M P Value]]</f>
        <v>0.58539981077227665</v>
      </c>
      <c r="BL529" s="17" t="str">
        <f>IF(Audit[[#This Row],[K-M P Value]]&gt;1-'General Info'!$B$12,"Continue", "Stop")</f>
        <v>Continue</v>
      </c>
      <c r="BM529" s="22" t="b">
        <f>IF(Audit[[#This Row],[Status - Continue or stop audit]] = "Continue", TRUE, IF(BL528 = "Continue", TRUE, FALSE))</f>
        <v>1</v>
      </c>
      <c r="BN529" s="22"/>
    </row>
    <row r="530" spans="1:66" ht="15" hidden="1" customHeight="1" x14ac:dyDescent="0.35">
      <c r="A530" s="17" t="str">
        <f>'Sampling Data'!AI530</f>
        <v/>
      </c>
      <c r="B530" s="17" t="str">
        <f>'Sampling Data'!A530</f>
        <v>8725 SPFLD Y   (AV)</v>
      </c>
      <c r="C530" s="17">
        <f>'Sampling Data'!B530</f>
        <v>181</v>
      </c>
      <c r="D530" s="17">
        <f>'Sampling Data'!C530</f>
        <v>62</v>
      </c>
      <c r="E530" s="18">
        <f>'Sampling Data'!D530</f>
        <v>0</v>
      </c>
      <c r="F530" s="18">
        <f>'Sampling Data'!E530</f>
        <v>0</v>
      </c>
      <c r="G530" s="18">
        <f>'Sampling Data'!F530</f>
        <v>0</v>
      </c>
      <c r="H530" s="18">
        <f>'Sampling Data'!G530</f>
        <v>0</v>
      </c>
      <c r="I530" s="18">
        <f>'Sampling Data'!H530</f>
        <v>0</v>
      </c>
      <c r="J530" s="18">
        <f>'Sampling Data'!I530</f>
        <v>0</v>
      </c>
      <c r="K530" s="18">
        <f>'Sampling Data'!J530</f>
        <v>0</v>
      </c>
      <c r="L530" s="18">
        <f>'Sampling Data'!K530</f>
        <v>0</v>
      </c>
      <c r="M530" s="18">
        <f>'Sampling Data'!L530</f>
        <v>0</v>
      </c>
      <c r="N530" s="18">
        <f>'Sampling Data'!M530</f>
        <v>0</v>
      </c>
      <c r="O530" s="17">
        <f>'Sampling Data'!N530</f>
        <v>0</v>
      </c>
      <c r="P530" s="17">
        <f>'Sampling Data'!O530</f>
        <v>12</v>
      </c>
      <c r="Q530" s="17">
        <f>'Sampling Data'!P530</f>
        <v>255</v>
      </c>
      <c r="R530" s="17">
        <f>'Sampling Data'!AJ530</f>
        <v>0</v>
      </c>
      <c r="S530" s="111"/>
      <c r="T530" s="111"/>
      <c r="U530" s="112"/>
      <c r="V530" s="112"/>
      <c r="W530" s="111"/>
      <c r="X530" s="111"/>
      <c r="Y530" s="111"/>
      <c r="Z530" s="111"/>
      <c r="AA530" s="14"/>
      <c r="AB530" s="14"/>
      <c r="AC530" s="14"/>
      <c r="AD530" s="14"/>
      <c r="AE530" s="113" t="str">
        <f>IF(NOT(ISBLANK(Audit[[#This Row],[Audit Winning Candidate]])), Audit[[#This Row],[Audit Winning Candidate]]-Audit[[#This Row],[Winning Candidate]], "")</f>
        <v/>
      </c>
      <c r="AF530" s="17" t="str">
        <f>IF(NOT(ISBLANK(Audit[[#This Row],[Audit Losing Candidate]])), Audit[[#This Row],[Audit Losing Candidate]]-Audit[[#This Row],[Losing Candidate]], "")</f>
        <v/>
      </c>
      <c r="AG530" s="17" t="str">
        <f>IF(NOT(ISBLANK(Audit[[#This Row],[Audit Candidate 3]])), Audit[[#This Row],[Audit Candidate 3]]-Audit[[#This Row],[Candidate 3]], "")</f>
        <v/>
      </c>
      <c r="AH530" s="17" t="str">
        <f>IF(NOT(ISBLANK(Audit[[#This Row],[Audit Candidate 4]])),Audit[[#This Row],[Audit Candidate 4]]-Audit[[#This Row],[Candidate 4]], "")</f>
        <v/>
      </c>
      <c r="AI530" s="17" t="str">
        <f>IF(NOT(ISBLANK(Audit[[#This Row],[Audit Candidate 5]])), Audit[[#This Row],[Audit Candidate 5]]-Audit[[#This Row],[Candidate 5]], "")</f>
        <v/>
      </c>
      <c r="AJ530" s="17" t="str">
        <f>IF(NOT(ISBLANK(Audit[[#This Row],[Audit Candidate 6]])), Audit[[#This Row],[Audit Candidate 6]]-Audit[[#This Row],[Candidate 6]], "")</f>
        <v/>
      </c>
      <c r="AK530" s="17" t="str">
        <f>IF(NOT(ISBLANK(Audit[[#This Row],[Audit Candidate 7]])), Audit[[#This Row],[Audit Candidate 7]]-Audit[[#This Row],[Candidate 7]], "")</f>
        <v/>
      </c>
      <c r="AL530" s="17" t="str">
        <f>IF(NOT(ISBLANK(Audit[[#This Row],[Audit Candidate 8]])), Audit[[#This Row],[Audit Candidate 8]]-Audit[[#This Row],[Candidate 8]], "")</f>
        <v/>
      </c>
      <c r="AM530" s="17" t="str">
        <f>IF(NOT(ISBLANK(Audit[[#This Row],[Audit Candidate 9]])), Audit[[#This Row],[Audit Candidate 9]]-Audit[[#This Row],[Candidate 9]], "")</f>
        <v/>
      </c>
      <c r="AN530" s="17" t="str">
        <f>IF(NOT(ISBLANK(Audit[[#This Row],[Audit Candidate 10]])), Audit[[#This Row],[Audit Candidate 10]]-Audit[[#This Row],[Candidate 10]], "")</f>
        <v/>
      </c>
      <c r="AO530" s="17" t="str">
        <f>IF(NOT(ISBLANK(Audit[[#This Row],[Audit Candidate 11]])), Audit[[#This Row],[Audit Candidate 11]]-Audit[[#This Row],[Candidate 11]], "")</f>
        <v/>
      </c>
      <c r="AP530" s="17" t="str">
        <f>IF(NOT(ISBLANK(Audit[[#This Row],[Audit Candidate 12]])), Audit[[#This Row],[Audit Candidate 12]]-Audit[[#This Row],[Candidate 12]], "")</f>
        <v/>
      </c>
      <c r="AQ530" s="17">
        <f>SUMIF(Audit[[#This Row],[Difference Winner]:[Difference Candidate 12]], "&gt;0")</f>
        <v>0</v>
      </c>
      <c r="AR530" s="17">
        <f>SUM(Audit[[#This Row],[Difference Winner]:[Difference Candidate 12]])</f>
        <v>0</v>
      </c>
      <c r="AS530" s="17">
        <f>IF(Audit[[#This Row],[Times p Drawn - With Replacement]]&gt;0, IF(Audit[[#This Row],[Canceled Differences]]&lt;0, Audit[[#This Row],[Max Differences]]+ABS(Audit[[#This Row],[Canceled Differences]]), Audit[[#This Row],[Max Differences]]), 0)</f>
        <v>0</v>
      </c>
      <c r="AT530" s="17">
        <f>'Sampling Data'!AB530</f>
        <v>1.587166864708878E-2</v>
      </c>
      <c r="AU530" s="17">
        <f>IF(
      SUM(Audit[[#This Row],[Audit Losing Candidate]:[Audit Candidate 12]])
      &lt;&gt;0,
      (Audit[[#This Row],[Winning Candidate]]-Audit[[#This Row],[Losing Candidate]]-(Audit[[#This Row],[Audit Winning Candidate]]-Audit[[#This Row],[Audit Losing Candidate]]))/(Audit[[#Totals],[Winning Candidate]]-Audit[[#Totals],[Losing Candidate]]),
      0
)</f>
        <v>0</v>
      </c>
      <c r="AV5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0" s="17">
        <f>IF(Audit[[#This Row],[Max Relative Error (ep)]] = 0, 0, Audit[[#This Row],[Max Relative Error (ep)]]/Audit[[#This Row],[Error Bound (up) - Max. possible relative overstatement]])</f>
        <v>0</v>
      </c>
      <c r="BH5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30" s="17">
        <f t="shared" si="9"/>
        <v>1</v>
      </c>
      <c r="BJ530" s="17">
        <f>PRODUCT($BI$5:BI530)</f>
        <v>0.41460018922772329</v>
      </c>
      <c r="BK530" s="19">
        <f>1 - Audit[[#This Row],[K-M P Value]]</f>
        <v>0.58539981077227665</v>
      </c>
      <c r="BL530" s="17" t="str">
        <f>IF(Audit[[#This Row],[K-M P Value]]&gt;1-'General Info'!$B$12,"Continue", "Stop")</f>
        <v>Continue</v>
      </c>
      <c r="BM530" s="22" t="b">
        <f>IF(Audit[[#This Row],[Status - Continue or stop audit]] = "Continue", TRUE, IF(BL529 = "Continue", TRUE, FALSE))</f>
        <v>1</v>
      </c>
      <c r="BN530" s="22"/>
    </row>
    <row r="531" spans="1:66" ht="15" hidden="1" customHeight="1" x14ac:dyDescent="0.35">
      <c r="A531" s="17" t="str">
        <f>'Sampling Data'!AI531</f>
        <v/>
      </c>
      <c r="B531" s="17" t="str">
        <f>'Sampling Data'!A531</f>
        <v>8726 SPFLD Z   (AV)</v>
      </c>
      <c r="C531" s="17">
        <f>'Sampling Data'!B531</f>
        <v>144</v>
      </c>
      <c r="D531" s="17">
        <f>'Sampling Data'!C531</f>
        <v>62</v>
      </c>
      <c r="E531" s="18">
        <f>'Sampling Data'!D531</f>
        <v>0</v>
      </c>
      <c r="F531" s="18">
        <f>'Sampling Data'!E531</f>
        <v>0</v>
      </c>
      <c r="G531" s="18">
        <f>'Sampling Data'!F531</f>
        <v>0</v>
      </c>
      <c r="H531" s="18">
        <f>'Sampling Data'!G531</f>
        <v>0</v>
      </c>
      <c r="I531" s="18">
        <f>'Sampling Data'!H531</f>
        <v>0</v>
      </c>
      <c r="J531" s="18">
        <f>'Sampling Data'!I531</f>
        <v>0</v>
      </c>
      <c r="K531" s="18">
        <f>'Sampling Data'!J531</f>
        <v>0</v>
      </c>
      <c r="L531" s="18">
        <f>'Sampling Data'!K531</f>
        <v>0</v>
      </c>
      <c r="M531" s="18">
        <f>'Sampling Data'!L531</f>
        <v>0</v>
      </c>
      <c r="N531" s="18">
        <f>'Sampling Data'!M531</f>
        <v>0</v>
      </c>
      <c r="O531" s="17">
        <f>'Sampling Data'!N531</f>
        <v>0</v>
      </c>
      <c r="P531" s="17">
        <f>'Sampling Data'!O531</f>
        <v>10</v>
      </c>
      <c r="Q531" s="17">
        <f>'Sampling Data'!P531</f>
        <v>216</v>
      </c>
      <c r="R531" s="17">
        <f>'Sampling Data'!AJ531</f>
        <v>0</v>
      </c>
      <c r="S531" s="111"/>
      <c r="T531" s="111"/>
      <c r="U531" s="112"/>
      <c r="V531" s="112"/>
      <c r="W531" s="111"/>
      <c r="X531" s="111"/>
      <c r="Y531" s="111"/>
      <c r="Z531" s="111"/>
      <c r="AA531" s="14"/>
      <c r="AB531" s="14"/>
      <c r="AC531" s="14"/>
      <c r="AD531" s="14"/>
      <c r="AE531" s="113" t="str">
        <f>IF(NOT(ISBLANK(Audit[[#This Row],[Audit Winning Candidate]])), Audit[[#This Row],[Audit Winning Candidate]]-Audit[[#This Row],[Winning Candidate]], "")</f>
        <v/>
      </c>
      <c r="AF531" s="17" t="str">
        <f>IF(NOT(ISBLANK(Audit[[#This Row],[Audit Losing Candidate]])), Audit[[#This Row],[Audit Losing Candidate]]-Audit[[#This Row],[Losing Candidate]], "")</f>
        <v/>
      </c>
      <c r="AG531" s="17" t="str">
        <f>IF(NOT(ISBLANK(Audit[[#This Row],[Audit Candidate 3]])), Audit[[#This Row],[Audit Candidate 3]]-Audit[[#This Row],[Candidate 3]], "")</f>
        <v/>
      </c>
      <c r="AH531" s="17" t="str">
        <f>IF(NOT(ISBLANK(Audit[[#This Row],[Audit Candidate 4]])),Audit[[#This Row],[Audit Candidate 4]]-Audit[[#This Row],[Candidate 4]], "")</f>
        <v/>
      </c>
      <c r="AI531" s="17" t="str">
        <f>IF(NOT(ISBLANK(Audit[[#This Row],[Audit Candidate 5]])), Audit[[#This Row],[Audit Candidate 5]]-Audit[[#This Row],[Candidate 5]], "")</f>
        <v/>
      </c>
      <c r="AJ531" s="17" t="str">
        <f>IF(NOT(ISBLANK(Audit[[#This Row],[Audit Candidate 6]])), Audit[[#This Row],[Audit Candidate 6]]-Audit[[#This Row],[Candidate 6]], "")</f>
        <v/>
      </c>
      <c r="AK531" s="17" t="str">
        <f>IF(NOT(ISBLANK(Audit[[#This Row],[Audit Candidate 7]])), Audit[[#This Row],[Audit Candidate 7]]-Audit[[#This Row],[Candidate 7]], "")</f>
        <v/>
      </c>
      <c r="AL531" s="17" t="str">
        <f>IF(NOT(ISBLANK(Audit[[#This Row],[Audit Candidate 8]])), Audit[[#This Row],[Audit Candidate 8]]-Audit[[#This Row],[Candidate 8]], "")</f>
        <v/>
      </c>
      <c r="AM531" s="17" t="str">
        <f>IF(NOT(ISBLANK(Audit[[#This Row],[Audit Candidate 9]])), Audit[[#This Row],[Audit Candidate 9]]-Audit[[#This Row],[Candidate 9]], "")</f>
        <v/>
      </c>
      <c r="AN531" s="17" t="str">
        <f>IF(NOT(ISBLANK(Audit[[#This Row],[Audit Candidate 10]])), Audit[[#This Row],[Audit Candidate 10]]-Audit[[#This Row],[Candidate 10]], "")</f>
        <v/>
      </c>
      <c r="AO531" s="17" t="str">
        <f>IF(NOT(ISBLANK(Audit[[#This Row],[Audit Candidate 11]])), Audit[[#This Row],[Audit Candidate 11]]-Audit[[#This Row],[Candidate 11]], "")</f>
        <v/>
      </c>
      <c r="AP531" s="17" t="str">
        <f>IF(NOT(ISBLANK(Audit[[#This Row],[Audit Candidate 12]])), Audit[[#This Row],[Audit Candidate 12]]-Audit[[#This Row],[Candidate 12]], "")</f>
        <v/>
      </c>
      <c r="AQ531" s="17">
        <f>SUMIF(Audit[[#This Row],[Difference Winner]:[Difference Candidate 12]], "&gt;0")</f>
        <v>0</v>
      </c>
      <c r="AR531" s="17">
        <f>SUM(Audit[[#This Row],[Difference Winner]:[Difference Candidate 12]])</f>
        <v>0</v>
      </c>
      <c r="AS531" s="17">
        <f>IF(Audit[[#This Row],[Times p Drawn - With Replacement]]&gt;0, IF(Audit[[#This Row],[Canceled Differences]]&lt;0, Audit[[#This Row],[Max Differences]]+ABS(Audit[[#This Row],[Canceled Differences]]), Audit[[#This Row],[Max Differences]]), 0)</f>
        <v>0</v>
      </c>
      <c r="AT531" s="17">
        <f>'Sampling Data'!AB531</f>
        <v>1.2646409777626889E-2</v>
      </c>
      <c r="AU531" s="17">
        <f>IF(
      SUM(Audit[[#This Row],[Audit Losing Candidate]:[Audit Candidate 12]])
      &lt;&gt;0,
      (Audit[[#This Row],[Winning Candidate]]-Audit[[#This Row],[Losing Candidate]]-(Audit[[#This Row],[Audit Winning Candidate]]-Audit[[#This Row],[Audit Losing Candidate]]))/(Audit[[#Totals],[Winning Candidate]]-Audit[[#Totals],[Losing Candidate]]),
      0
)</f>
        <v>0</v>
      </c>
      <c r="AV5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1" s="17">
        <f>IF(Audit[[#This Row],[Max Relative Error (ep)]] = 0, 0, Audit[[#This Row],[Max Relative Error (ep)]]/Audit[[#This Row],[Error Bound (up) - Max. possible relative overstatement]])</f>
        <v>0</v>
      </c>
      <c r="BH5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31" s="17">
        <f t="shared" si="9"/>
        <v>1</v>
      </c>
      <c r="BJ531" s="17">
        <f>PRODUCT($BI$5:BI531)</f>
        <v>0.41460018922772329</v>
      </c>
      <c r="BK531" s="19">
        <f>1 - Audit[[#This Row],[K-M P Value]]</f>
        <v>0.58539981077227665</v>
      </c>
      <c r="BL531" s="17" t="str">
        <f>IF(Audit[[#This Row],[K-M P Value]]&gt;1-'General Info'!$B$12,"Continue", "Stop")</f>
        <v>Continue</v>
      </c>
      <c r="BM531" s="22" t="b">
        <f>IF(Audit[[#This Row],[Status - Continue or stop audit]] = "Continue", TRUE, IF(BL530 = "Continue", TRUE, FALSE))</f>
        <v>1</v>
      </c>
      <c r="BN531" s="22"/>
    </row>
    <row r="532" spans="1:66" ht="15" hidden="1" customHeight="1" x14ac:dyDescent="0.35">
      <c r="A532" s="17" t="str">
        <f>'Sampling Data'!AI532</f>
        <v/>
      </c>
      <c r="B532" s="17" t="str">
        <f>'Sampling Data'!A532</f>
        <v>8727 SPFLD AA   (AV)</v>
      </c>
      <c r="C532" s="17">
        <f>'Sampling Data'!B532</f>
        <v>144</v>
      </c>
      <c r="D532" s="17">
        <f>'Sampling Data'!C532</f>
        <v>62</v>
      </c>
      <c r="E532" s="18">
        <f>'Sampling Data'!D532</f>
        <v>0</v>
      </c>
      <c r="F532" s="18">
        <f>'Sampling Data'!E532</f>
        <v>0</v>
      </c>
      <c r="G532" s="18">
        <f>'Sampling Data'!F532</f>
        <v>0</v>
      </c>
      <c r="H532" s="18">
        <f>'Sampling Data'!G532</f>
        <v>0</v>
      </c>
      <c r="I532" s="18">
        <f>'Sampling Data'!H532</f>
        <v>0</v>
      </c>
      <c r="J532" s="18">
        <f>'Sampling Data'!I532</f>
        <v>0</v>
      </c>
      <c r="K532" s="18">
        <f>'Sampling Data'!J532</f>
        <v>0</v>
      </c>
      <c r="L532" s="18">
        <f>'Sampling Data'!K532</f>
        <v>0</v>
      </c>
      <c r="M532" s="18">
        <f>'Sampling Data'!L532</f>
        <v>0</v>
      </c>
      <c r="N532" s="18">
        <f>'Sampling Data'!M532</f>
        <v>0</v>
      </c>
      <c r="O532" s="17">
        <f>'Sampling Data'!N532</f>
        <v>0</v>
      </c>
      <c r="P532" s="17">
        <f>'Sampling Data'!O532</f>
        <v>9</v>
      </c>
      <c r="Q532" s="17">
        <f>'Sampling Data'!P532</f>
        <v>215</v>
      </c>
      <c r="R532" s="17">
        <f>'Sampling Data'!AJ532</f>
        <v>0</v>
      </c>
      <c r="S532" s="111"/>
      <c r="T532" s="111"/>
      <c r="U532" s="112"/>
      <c r="V532" s="112"/>
      <c r="W532" s="111"/>
      <c r="X532" s="111"/>
      <c r="Y532" s="111"/>
      <c r="Z532" s="111"/>
      <c r="AA532" s="14"/>
      <c r="AB532" s="14"/>
      <c r="AC532" s="14"/>
      <c r="AD532" s="14"/>
      <c r="AE532" s="113" t="str">
        <f>IF(NOT(ISBLANK(Audit[[#This Row],[Audit Winning Candidate]])), Audit[[#This Row],[Audit Winning Candidate]]-Audit[[#This Row],[Winning Candidate]], "")</f>
        <v/>
      </c>
      <c r="AF532" s="17" t="str">
        <f>IF(NOT(ISBLANK(Audit[[#This Row],[Audit Losing Candidate]])), Audit[[#This Row],[Audit Losing Candidate]]-Audit[[#This Row],[Losing Candidate]], "")</f>
        <v/>
      </c>
      <c r="AG532" s="17" t="str">
        <f>IF(NOT(ISBLANK(Audit[[#This Row],[Audit Candidate 3]])), Audit[[#This Row],[Audit Candidate 3]]-Audit[[#This Row],[Candidate 3]], "")</f>
        <v/>
      </c>
      <c r="AH532" s="17" t="str">
        <f>IF(NOT(ISBLANK(Audit[[#This Row],[Audit Candidate 4]])),Audit[[#This Row],[Audit Candidate 4]]-Audit[[#This Row],[Candidate 4]], "")</f>
        <v/>
      </c>
      <c r="AI532" s="17" t="str">
        <f>IF(NOT(ISBLANK(Audit[[#This Row],[Audit Candidate 5]])), Audit[[#This Row],[Audit Candidate 5]]-Audit[[#This Row],[Candidate 5]], "")</f>
        <v/>
      </c>
      <c r="AJ532" s="17" t="str">
        <f>IF(NOT(ISBLANK(Audit[[#This Row],[Audit Candidate 6]])), Audit[[#This Row],[Audit Candidate 6]]-Audit[[#This Row],[Candidate 6]], "")</f>
        <v/>
      </c>
      <c r="AK532" s="17" t="str">
        <f>IF(NOT(ISBLANK(Audit[[#This Row],[Audit Candidate 7]])), Audit[[#This Row],[Audit Candidate 7]]-Audit[[#This Row],[Candidate 7]], "")</f>
        <v/>
      </c>
      <c r="AL532" s="17" t="str">
        <f>IF(NOT(ISBLANK(Audit[[#This Row],[Audit Candidate 8]])), Audit[[#This Row],[Audit Candidate 8]]-Audit[[#This Row],[Candidate 8]], "")</f>
        <v/>
      </c>
      <c r="AM532" s="17" t="str">
        <f>IF(NOT(ISBLANK(Audit[[#This Row],[Audit Candidate 9]])), Audit[[#This Row],[Audit Candidate 9]]-Audit[[#This Row],[Candidate 9]], "")</f>
        <v/>
      </c>
      <c r="AN532" s="17" t="str">
        <f>IF(NOT(ISBLANK(Audit[[#This Row],[Audit Candidate 10]])), Audit[[#This Row],[Audit Candidate 10]]-Audit[[#This Row],[Candidate 10]], "")</f>
        <v/>
      </c>
      <c r="AO532" s="17" t="str">
        <f>IF(NOT(ISBLANK(Audit[[#This Row],[Audit Candidate 11]])), Audit[[#This Row],[Audit Candidate 11]]-Audit[[#This Row],[Candidate 11]], "")</f>
        <v/>
      </c>
      <c r="AP532" s="17" t="str">
        <f>IF(NOT(ISBLANK(Audit[[#This Row],[Audit Candidate 12]])), Audit[[#This Row],[Audit Candidate 12]]-Audit[[#This Row],[Candidate 12]], "")</f>
        <v/>
      </c>
      <c r="AQ532" s="17">
        <f>SUMIF(Audit[[#This Row],[Difference Winner]:[Difference Candidate 12]], "&gt;0")</f>
        <v>0</v>
      </c>
      <c r="AR532" s="17">
        <f>SUM(Audit[[#This Row],[Difference Winner]:[Difference Candidate 12]])</f>
        <v>0</v>
      </c>
      <c r="AS532" s="17">
        <f>IF(Audit[[#This Row],[Times p Drawn - With Replacement]]&gt;0, IF(Audit[[#This Row],[Canceled Differences]]&lt;0, Audit[[#This Row],[Max Differences]]+ABS(Audit[[#This Row],[Canceled Differences]]), Audit[[#This Row],[Max Differences]]), 0)</f>
        <v>0</v>
      </c>
      <c r="AT532" s="17">
        <f>'Sampling Data'!AB532</f>
        <v>1.2603972160923443E-2</v>
      </c>
      <c r="AU532" s="17">
        <f>IF(
      SUM(Audit[[#This Row],[Audit Losing Candidate]:[Audit Candidate 12]])
      &lt;&gt;0,
      (Audit[[#This Row],[Winning Candidate]]-Audit[[#This Row],[Losing Candidate]]-(Audit[[#This Row],[Audit Winning Candidate]]-Audit[[#This Row],[Audit Losing Candidate]]))/(Audit[[#Totals],[Winning Candidate]]-Audit[[#Totals],[Losing Candidate]]),
      0
)</f>
        <v>0</v>
      </c>
      <c r="AV5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2" s="17">
        <f>IF(Audit[[#This Row],[Max Relative Error (ep)]] = 0, 0, Audit[[#This Row],[Max Relative Error (ep)]]/Audit[[#This Row],[Error Bound (up) - Max. possible relative overstatement]])</f>
        <v>0</v>
      </c>
      <c r="BH5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32" s="17">
        <f t="shared" si="9"/>
        <v>1</v>
      </c>
      <c r="BJ532" s="17">
        <f>PRODUCT($BI$5:BI532)</f>
        <v>0.41460018922772329</v>
      </c>
      <c r="BK532" s="19">
        <f>1 - Audit[[#This Row],[K-M P Value]]</f>
        <v>0.58539981077227665</v>
      </c>
      <c r="BL532" s="17" t="str">
        <f>IF(Audit[[#This Row],[K-M P Value]]&gt;1-'General Info'!$B$12,"Continue", "Stop")</f>
        <v>Continue</v>
      </c>
      <c r="BM532" s="22" t="b">
        <f>IF(Audit[[#This Row],[Status - Continue or stop audit]] = "Continue", TRUE, IF(BL531 = "Continue", TRUE, FALSE))</f>
        <v>1</v>
      </c>
      <c r="BN532" s="22"/>
    </row>
    <row r="533" spans="1:66" ht="15" hidden="1" customHeight="1" x14ac:dyDescent="0.35">
      <c r="A533" s="17" t="str">
        <f>'Sampling Data'!AI533</f>
        <v/>
      </c>
      <c r="B533" s="17" t="str">
        <f>'Sampling Data'!A533</f>
        <v>8728 SPFLD BB   (AV)</v>
      </c>
      <c r="C533" s="17">
        <f>'Sampling Data'!B533</f>
        <v>110</v>
      </c>
      <c r="D533" s="17">
        <f>'Sampling Data'!C533</f>
        <v>122</v>
      </c>
      <c r="E533" s="18">
        <f>'Sampling Data'!D533</f>
        <v>0</v>
      </c>
      <c r="F533" s="18">
        <f>'Sampling Data'!E533</f>
        <v>0</v>
      </c>
      <c r="G533" s="18">
        <f>'Sampling Data'!F533</f>
        <v>0</v>
      </c>
      <c r="H533" s="18">
        <f>'Sampling Data'!G533</f>
        <v>0</v>
      </c>
      <c r="I533" s="18">
        <f>'Sampling Data'!H533</f>
        <v>0</v>
      </c>
      <c r="J533" s="18">
        <f>'Sampling Data'!I533</f>
        <v>0</v>
      </c>
      <c r="K533" s="18">
        <f>'Sampling Data'!J533</f>
        <v>0</v>
      </c>
      <c r="L533" s="18">
        <f>'Sampling Data'!K533</f>
        <v>0</v>
      </c>
      <c r="M533" s="18">
        <f>'Sampling Data'!L533</f>
        <v>0</v>
      </c>
      <c r="N533" s="18">
        <f>'Sampling Data'!M533</f>
        <v>0</v>
      </c>
      <c r="O533" s="17">
        <f>'Sampling Data'!N533</f>
        <v>0</v>
      </c>
      <c r="P533" s="17">
        <f>'Sampling Data'!O533</f>
        <v>7</v>
      </c>
      <c r="Q533" s="17">
        <f>'Sampling Data'!P533</f>
        <v>239</v>
      </c>
      <c r="R533" s="17">
        <f>'Sampling Data'!AJ533</f>
        <v>0</v>
      </c>
      <c r="S533" s="111"/>
      <c r="T533" s="111"/>
      <c r="U533" s="112"/>
      <c r="V533" s="112"/>
      <c r="W533" s="111"/>
      <c r="X533" s="111"/>
      <c r="Y533" s="111"/>
      <c r="Z533" s="111"/>
      <c r="AA533" s="14"/>
      <c r="AB533" s="14"/>
      <c r="AC533" s="14"/>
      <c r="AD533" s="14"/>
      <c r="AE533" s="113" t="str">
        <f>IF(NOT(ISBLANK(Audit[[#This Row],[Audit Winning Candidate]])), Audit[[#This Row],[Audit Winning Candidate]]-Audit[[#This Row],[Winning Candidate]], "")</f>
        <v/>
      </c>
      <c r="AF533" s="17" t="str">
        <f>IF(NOT(ISBLANK(Audit[[#This Row],[Audit Losing Candidate]])), Audit[[#This Row],[Audit Losing Candidate]]-Audit[[#This Row],[Losing Candidate]], "")</f>
        <v/>
      </c>
      <c r="AG533" s="17" t="str">
        <f>IF(NOT(ISBLANK(Audit[[#This Row],[Audit Candidate 3]])), Audit[[#This Row],[Audit Candidate 3]]-Audit[[#This Row],[Candidate 3]], "")</f>
        <v/>
      </c>
      <c r="AH533" s="17" t="str">
        <f>IF(NOT(ISBLANK(Audit[[#This Row],[Audit Candidate 4]])),Audit[[#This Row],[Audit Candidate 4]]-Audit[[#This Row],[Candidate 4]], "")</f>
        <v/>
      </c>
      <c r="AI533" s="17" t="str">
        <f>IF(NOT(ISBLANK(Audit[[#This Row],[Audit Candidate 5]])), Audit[[#This Row],[Audit Candidate 5]]-Audit[[#This Row],[Candidate 5]], "")</f>
        <v/>
      </c>
      <c r="AJ533" s="17" t="str">
        <f>IF(NOT(ISBLANK(Audit[[#This Row],[Audit Candidate 6]])), Audit[[#This Row],[Audit Candidate 6]]-Audit[[#This Row],[Candidate 6]], "")</f>
        <v/>
      </c>
      <c r="AK533" s="17" t="str">
        <f>IF(NOT(ISBLANK(Audit[[#This Row],[Audit Candidate 7]])), Audit[[#This Row],[Audit Candidate 7]]-Audit[[#This Row],[Candidate 7]], "")</f>
        <v/>
      </c>
      <c r="AL533" s="17" t="str">
        <f>IF(NOT(ISBLANK(Audit[[#This Row],[Audit Candidate 8]])), Audit[[#This Row],[Audit Candidate 8]]-Audit[[#This Row],[Candidate 8]], "")</f>
        <v/>
      </c>
      <c r="AM533" s="17" t="str">
        <f>IF(NOT(ISBLANK(Audit[[#This Row],[Audit Candidate 9]])), Audit[[#This Row],[Audit Candidate 9]]-Audit[[#This Row],[Candidate 9]], "")</f>
        <v/>
      </c>
      <c r="AN533" s="17" t="str">
        <f>IF(NOT(ISBLANK(Audit[[#This Row],[Audit Candidate 10]])), Audit[[#This Row],[Audit Candidate 10]]-Audit[[#This Row],[Candidate 10]], "")</f>
        <v/>
      </c>
      <c r="AO533" s="17" t="str">
        <f>IF(NOT(ISBLANK(Audit[[#This Row],[Audit Candidate 11]])), Audit[[#This Row],[Audit Candidate 11]]-Audit[[#This Row],[Candidate 11]], "")</f>
        <v/>
      </c>
      <c r="AP533" s="17" t="str">
        <f>IF(NOT(ISBLANK(Audit[[#This Row],[Audit Candidate 12]])), Audit[[#This Row],[Audit Candidate 12]]-Audit[[#This Row],[Candidate 12]], "")</f>
        <v/>
      </c>
      <c r="AQ533" s="17">
        <f>SUMIF(Audit[[#This Row],[Difference Winner]:[Difference Candidate 12]], "&gt;0")</f>
        <v>0</v>
      </c>
      <c r="AR533" s="17">
        <f>SUM(Audit[[#This Row],[Difference Winner]:[Difference Candidate 12]])</f>
        <v>0</v>
      </c>
      <c r="AS533" s="17">
        <f>IF(Audit[[#This Row],[Times p Drawn - With Replacement]]&gt;0, IF(Audit[[#This Row],[Canceled Differences]]&lt;0, Audit[[#This Row],[Max Differences]]+ABS(Audit[[#This Row],[Canceled Differences]]), Audit[[#This Row],[Max Differences]]), 0)</f>
        <v>0</v>
      </c>
      <c r="AT533" s="17">
        <f>'Sampling Data'!AB533</f>
        <v>9.6333389916822276E-3</v>
      </c>
      <c r="AU533" s="17">
        <f>IF(
      SUM(Audit[[#This Row],[Audit Losing Candidate]:[Audit Candidate 12]])
      &lt;&gt;0,
      (Audit[[#This Row],[Winning Candidate]]-Audit[[#This Row],[Losing Candidate]]-(Audit[[#This Row],[Audit Winning Candidate]]-Audit[[#This Row],[Audit Losing Candidate]]))/(Audit[[#Totals],[Winning Candidate]]-Audit[[#Totals],[Losing Candidate]]),
      0
)</f>
        <v>0</v>
      </c>
      <c r="AV5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3" s="17">
        <f>IF(Audit[[#This Row],[Max Relative Error (ep)]] = 0, 0, Audit[[#This Row],[Max Relative Error (ep)]]/Audit[[#This Row],[Error Bound (up) - Max. possible relative overstatement]])</f>
        <v>0</v>
      </c>
      <c r="BH5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33" s="17">
        <f t="shared" si="9"/>
        <v>1</v>
      </c>
      <c r="BJ533" s="17">
        <f>PRODUCT($BI$5:BI533)</f>
        <v>0.41460018922772329</v>
      </c>
      <c r="BK533" s="19">
        <f>1 - Audit[[#This Row],[K-M P Value]]</f>
        <v>0.58539981077227665</v>
      </c>
      <c r="BL533" s="17" t="str">
        <f>IF(Audit[[#This Row],[K-M P Value]]&gt;1-'General Info'!$B$12,"Continue", "Stop")</f>
        <v>Continue</v>
      </c>
      <c r="BM533" s="22" t="b">
        <f>IF(Audit[[#This Row],[Status - Continue or stop audit]] = "Continue", TRUE, IF(BL532 = "Continue", TRUE, FALSE))</f>
        <v>1</v>
      </c>
      <c r="BN533" s="22"/>
    </row>
    <row r="534" spans="1:66" ht="15" hidden="1" customHeight="1" x14ac:dyDescent="0.35">
      <c r="A534" s="17" t="str">
        <f>'Sampling Data'!AI534</f>
        <v/>
      </c>
      <c r="B534" s="17" t="str">
        <f>'Sampling Data'!A534</f>
        <v>8901 SYCAM A   (AV)</v>
      </c>
      <c r="C534" s="17">
        <f>'Sampling Data'!B534</f>
        <v>13</v>
      </c>
      <c r="D534" s="17">
        <f>'Sampling Data'!C534</f>
        <v>3</v>
      </c>
      <c r="E534" s="18">
        <f>'Sampling Data'!D534</f>
        <v>0</v>
      </c>
      <c r="F534" s="18">
        <f>'Sampling Data'!E534</f>
        <v>0</v>
      </c>
      <c r="G534" s="18">
        <f>'Sampling Data'!F534</f>
        <v>0</v>
      </c>
      <c r="H534" s="18">
        <f>'Sampling Data'!G534</f>
        <v>0</v>
      </c>
      <c r="I534" s="18">
        <f>'Sampling Data'!H534</f>
        <v>0</v>
      </c>
      <c r="J534" s="18">
        <f>'Sampling Data'!I534</f>
        <v>0</v>
      </c>
      <c r="K534" s="18">
        <f>'Sampling Data'!J534</f>
        <v>0</v>
      </c>
      <c r="L534" s="18">
        <f>'Sampling Data'!K534</f>
        <v>0</v>
      </c>
      <c r="M534" s="18">
        <f>'Sampling Data'!L534</f>
        <v>0</v>
      </c>
      <c r="N534" s="18">
        <f>'Sampling Data'!M534</f>
        <v>0</v>
      </c>
      <c r="O534" s="17">
        <f>'Sampling Data'!N534</f>
        <v>0</v>
      </c>
      <c r="P534" s="17">
        <f>'Sampling Data'!O534</f>
        <v>1</v>
      </c>
      <c r="Q534" s="17">
        <f>'Sampling Data'!P534</f>
        <v>17</v>
      </c>
      <c r="R534" s="17">
        <f>'Sampling Data'!AJ534</f>
        <v>0</v>
      </c>
      <c r="S534" s="111"/>
      <c r="T534" s="111"/>
      <c r="U534" s="112"/>
      <c r="V534" s="112"/>
      <c r="W534" s="111"/>
      <c r="X534" s="111"/>
      <c r="Y534" s="111"/>
      <c r="Z534" s="111"/>
      <c r="AA534" s="14"/>
      <c r="AB534" s="14"/>
      <c r="AC534" s="14"/>
      <c r="AD534" s="14"/>
      <c r="AE534" s="113" t="str">
        <f>IF(NOT(ISBLANK(Audit[[#This Row],[Audit Winning Candidate]])), Audit[[#This Row],[Audit Winning Candidate]]-Audit[[#This Row],[Winning Candidate]], "")</f>
        <v/>
      </c>
      <c r="AF534" s="17" t="str">
        <f>IF(NOT(ISBLANK(Audit[[#This Row],[Audit Losing Candidate]])), Audit[[#This Row],[Audit Losing Candidate]]-Audit[[#This Row],[Losing Candidate]], "")</f>
        <v/>
      </c>
      <c r="AG534" s="17" t="str">
        <f>IF(NOT(ISBLANK(Audit[[#This Row],[Audit Candidate 3]])), Audit[[#This Row],[Audit Candidate 3]]-Audit[[#This Row],[Candidate 3]], "")</f>
        <v/>
      </c>
      <c r="AH534" s="17" t="str">
        <f>IF(NOT(ISBLANK(Audit[[#This Row],[Audit Candidate 4]])),Audit[[#This Row],[Audit Candidate 4]]-Audit[[#This Row],[Candidate 4]], "")</f>
        <v/>
      </c>
      <c r="AI534" s="17" t="str">
        <f>IF(NOT(ISBLANK(Audit[[#This Row],[Audit Candidate 5]])), Audit[[#This Row],[Audit Candidate 5]]-Audit[[#This Row],[Candidate 5]], "")</f>
        <v/>
      </c>
      <c r="AJ534" s="17" t="str">
        <f>IF(NOT(ISBLANK(Audit[[#This Row],[Audit Candidate 6]])), Audit[[#This Row],[Audit Candidate 6]]-Audit[[#This Row],[Candidate 6]], "")</f>
        <v/>
      </c>
      <c r="AK534" s="17" t="str">
        <f>IF(NOT(ISBLANK(Audit[[#This Row],[Audit Candidate 7]])), Audit[[#This Row],[Audit Candidate 7]]-Audit[[#This Row],[Candidate 7]], "")</f>
        <v/>
      </c>
      <c r="AL534" s="17" t="str">
        <f>IF(NOT(ISBLANK(Audit[[#This Row],[Audit Candidate 8]])), Audit[[#This Row],[Audit Candidate 8]]-Audit[[#This Row],[Candidate 8]], "")</f>
        <v/>
      </c>
      <c r="AM534" s="17" t="str">
        <f>IF(NOT(ISBLANK(Audit[[#This Row],[Audit Candidate 9]])), Audit[[#This Row],[Audit Candidate 9]]-Audit[[#This Row],[Candidate 9]], "")</f>
        <v/>
      </c>
      <c r="AN534" s="17" t="str">
        <f>IF(NOT(ISBLANK(Audit[[#This Row],[Audit Candidate 10]])), Audit[[#This Row],[Audit Candidate 10]]-Audit[[#This Row],[Candidate 10]], "")</f>
        <v/>
      </c>
      <c r="AO534" s="17" t="str">
        <f>IF(NOT(ISBLANK(Audit[[#This Row],[Audit Candidate 11]])), Audit[[#This Row],[Audit Candidate 11]]-Audit[[#This Row],[Candidate 11]], "")</f>
        <v/>
      </c>
      <c r="AP534" s="17" t="str">
        <f>IF(NOT(ISBLANK(Audit[[#This Row],[Audit Candidate 12]])), Audit[[#This Row],[Audit Candidate 12]]-Audit[[#This Row],[Candidate 12]], "")</f>
        <v/>
      </c>
      <c r="AQ534" s="17">
        <f>SUMIF(Audit[[#This Row],[Difference Winner]:[Difference Candidate 12]], "&gt;0")</f>
        <v>0</v>
      </c>
      <c r="AR534" s="17">
        <f>SUM(Audit[[#This Row],[Difference Winner]:[Difference Candidate 12]])</f>
        <v>0</v>
      </c>
      <c r="AS534" s="17">
        <f>IF(Audit[[#This Row],[Times p Drawn - With Replacement]]&gt;0, IF(Audit[[#This Row],[Canceled Differences]]&lt;0, Audit[[#This Row],[Max Differences]]+ABS(Audit[[#This Row],[Canceled Differences]]), Audit[[#This Row],[Max Differences]]), 0)</f>
        <v>0</v>
      </c>
      <c r="AT534" s="17">
        <f>'Sampling Data'!AB534</f>
        <v>1.1458156509930402E-3</v>
      </c>
      <c r="AU534" s="17">
        <f>IF(
      SUM(Audit[[#This Row],[Audit Losing Candidate]:[Audit Candidate 12]])
      &lt;&gt;0,
      (Audit[[#This Row],[Winning Candidate]]-Audit[[#This Row],[Losing Candidate]]-(Audit[[#This Row],[Audit Winning Candidate]]-Audit[[#This Row],[Audit Losing Candidate]]))/(Audit[[#Totals],[Winning Candidate]]-Audit[[#Totals],[Losing Candidate]]),
      0
)</f>
        <v>0</v>
      </c>
      <c r="AV5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4" s="17">
        <f>IF(Audit[[#This Row],[Max Relative Error (ep)]] = 0, 0, Audit[[#This Row],[Max Relative Error (ep)]]/Audit[[#This Row],[Error Bound (up) - Max. possible relative overstatement]])</f>
        <v>0</v>
      </c>
      <c r="BH5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34" s="17">
        <f t="shared" si="9"/>
        <v>1</v>
      </c>
      <c r="BJ534" s="17">
        <f>PRODUCT($BI$5:BI534)</f>
        <v>0.41460018922772329</v>
      </c>
      <c r="BK534" s="19">
        <f>1 - Audit[[#This Row],[K-M P Value]]</f>
        <v>0.58539981077227665</v>
      </c>
      <c r="BL534" s="17" t="str">
        <f>IF(Audit[[#This Row],[K-M P Value]]&gt;1-'General Info'!$B$12,"Continue", "Stop")</f>
        <v>Continue</v>
      </c>
      <c r="BM534" s="22" t="b">
        <f>IF(Audit[[#This Row],[Status - Continue or stop audit]] = "Continue", TRUE, IF(BL533 = "Continue", TRUE, FALSE))</f>
        <v>1</v>
      </c>
      <c r="BN534" s="22"/>
    </row>
    <row r="535" spans="1:66" ht="15" hidden="1" customHeight="1" x14ac:dyDescent="0.35">
      <c r="A535" s="17" t="str">
        <f>'Sampling Data'!AI535</f>
        <v/>
      </c>
      <c r="B535" s="17" t="str">
        <f>'Sampling Data'!A535</f>
        <v>8902 SYCAM B   (AV)</v>
      </c>
      <c r="C535" s="17">
        <f>'Sampling Data'!B535</f>
        <v>140</v>
      </c>
      <c r="D535" s="17">
        <f>'Sampling Data'!C535</f>
        <v>168</v>
      </c>
      <c r="E535" s="18">
        <f>'Sampling Data'!D535</f>
        <v>0</v>
      </c>
      <c r="F535" s="18">
        <f>'Sampling Data'!E535</f>
        <v>0</v>
      </c>
      <c r="G535" s="18">
        <f>'Sampling Data'!F535</f>
        <v>0</v>
      </c>
      <c r="H535" s="18">
        <f>'Sampling Data'!G535</f>
        <v>0</v>
      </c>
      <c r="I535" s="18">
        <f>'Sampling Data'!H535</f>
        <v>0</v>
      </c>
      <c r="J535" s="18">
        <f>'Sampling Data'!I535</f>
        <v>0</v>
      </c>
      <c r="K535" s="18">
        <f>'Sampling Data'!J535</f>
        <v>0</v>
      </c>
      <c r="L535" s="18">
        <f>'Sampling Data'!K535</f>
        <v>0</v>
      </c>
      <c r="M535" s="18">
        <f>'Sampling Data'!L535</f>
        <v>0</v>
      </c>
      <c r="N535" s="18">
        <f>'Sampling Data'!M535</f>
        <v>0</v>
      </c>
      <c r="O535" s="17">
        <f>'Sampling Data'!N535</f>
        <v>1</v>
      </c>
      <c r="P535" s="17">
        <f>'Sampling Data'!O535</f>
        <v>21</v>
      </c>
      <c r="Q535" s="17">
        <f>'Sampling Data'!P535</f>
        <v>330</v>
      </c>
      <c r="R535" s="17">
        <f>'Sampling Data'!AJ535</f>
        <v>0</v>
      </c>
      <c r="S535" s="111"/>
      <c r="T535" s="111"/>
      <c r="U535" s="112"/>
      <c r="V535" s="112"/>
      <c r="W535" s="111"/>
      <c r="X535" s="111"/>
      <c r="Y535" s="111"/>
      <c r="Z535" s="111"/>
      <c r="AA535" s="14"/>
      <c r="AB535" s="14"/>
      <c r="AC535" s="14"/>
      <c r="AD535" s="14"/>
      <c r="AE535" s="113" t="str">
        <f>IF(NOT(ISBLANK(Audit[[#This Row],[Audit Winning Candidate]])), Audit[[#This Row],[Audit Winning Candidate]]-Audit[[#This Row],[Winning Candidate]], "")</f>
        <v/>
      </c>
      <c r="AF535" s="17" t="str">
        <f>IF(NOT(ISBLANK(Audit[[#This Row],[Audit Losing Candidate]])), Audit[[#This Row],[Audit Losing Candidate]]-Audit[[#This Row],[Losing Candidate]], "")</f>
        <v/>
      </c>
      <c r="AG535" s="17" t="str">
        <f>IF(NOT(ISBLANK(Audit[[#This Row],[Audit Candidate 3]])), Audit[[#This Row],[Audit Candidate 3]]-Audit[[#This Row],[Candidate 3]], "")</f>
        <v/>
      </c>
      <c r="AH535" s="17" t="str">
        <f>IF(NOT(ISBLANK(Audit[[#This Row],[Audit Candidate 4]])),Audit[[#This Row],[Audit Candidate 4]]-Audit[[#This Row],[Candidate 4]], "")</f>
        <v/>
      </c>
      <c r="AI535" s="17" t="str">
        <f>IF(NOT(ISBLANK(Audit[[#This Row],[Audit Candidate 5]])), Audit[[#This Row],[Audit Candidate 5]]-Audit[[#This Row],[Candidate 5]], "")</f>
        <v/>
      </c>
      <c r="AJ535" s="17" t="str">
        <f>IF(NOT(ISBLANK(Audit[[#This Row],[Audit Candidate 6]])), Audit[[#This Row],[Audit Candidate 6]]-Audit[[#This Row],[Candidate 6]], "")</f>
        <v/>
      </c>
      <c r="AK535" s="17" t="str">
        <f>IF(NOT(ISBLANK(Audit[[#This Row],[Audit Candidate 7]])), Audit[[#This Row],[Audit Candidate 7]]-Audit[[#This Row],[Candidate 7]], "")</f>
        <v/>
      </c>
      <c r="AL535" s="17" t="str">
        <f>IF(NOT(ISBLANK(Audit[[#This Row],[Audit Candidate 8]])), Audit[[#This Row],[Audit Candidate 8]]-Audit[[#This Row],[Candidate 8]], "")</f>
        <v/>
      </c>
      <c r="AM535" s="17" t="str">
        <f>IF(NOT(ISBLANK(Audit[[#This Row],[Audit Candidate 9]])), Audit[[#This Row],[Audit Candidate 9]]-Audit[[#This Row],[Candidate 9]], "")</f>
        <v/>
      </c>
      <c r="AN535" s="17" t="str">
        <f>IF(NOT(ISBLANK(Audit[[#This Row],[Audit Candidate 10]])), Audit[[#This Row],[Audit Candidate 10]]-Audit[[#This Row],[Candidate 10]], "")</f>
        <v/>
      </c>
      <c r="AO535" s="17" t="str">
        <f>IF(NOT(ISBLANK(Audit[[#This Row],[Audit Candidate 11]])), Audit[[#This Row],[Audit Candidate 11]]-Audit[[#This Row],[Candidate 11]], "")</f>
        <v/>
      </c>
      <c r="AP535" s="17" t="str">
        <f>IF(NOT(ISBLANK(Audit[[#This Row],[Audit Candidate 12]])), Audit[[#This Row],[Audit Candidate 12]]-Audit[[#This Row],[Candidate 12]], "")</f>
        <v/>
      </c>
      <c r="AQ535" s="17">
        <f>SUMIF(Audit[[#This Row],[Difference Winner]:[Difference Candidate 12]], "&gt;0")</f>
        <v>0</v>
      </c>
      <c r="AR535" s="17">
        <f>SUM(Audit[[#This Row],[Difference Winner]:[Difference Candidate 12]])</f>
        <v>0</v>
      </c>
      <c r="AS535" s="17">
        <f>IF(Audit[[#This Row],[Times p Drawn - With Replacement]]&gt;0, IF(Audit[[#This Row],[Canceled Differences]]&lt;0, Audit[[#This Row],[Max Differences]]+ABS(Audit[[#This Row],[Canceled Differences]]), Audit[[#This Row],[Max Differences]]), 0)</f>
        <v>0</v>
      </c>
      <c r="AT535" s="17">
        <f>'Sampling Data'!AB535</f>
        <v>1.2816160244440673E-2</v>
      </c>
      <c r="AU535" s="17">
        <f>IF(
      SUM(Audit[[#This Row],[Audit Losing Candidate]:[Audit Candidate 12]])
      &lt;&gt;0,
      (Audit[[#This Row],[Winning Candidate]]-Audit[[#This Row],[Losing Candidate]]-(Audit[[#This Row],[Audit Winning Candidate]]-Audit[[#This Row],[Audit Losing Candidate]]))/(Audit[[#Totals],[Winning Candidate]]-Audit[[#Totals],[Losing Candidate]]),
      0
)</f>
        <v>0</v>
      </c>
      <c r="AV5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5" s="17">
        <f>IF(Audit[[#This Row],[Max Relative Error (ep)]] = 0, 0, Audit[[#This Row],[Max Relative Error (ep)]]/Audit[[#This Row],[Error Bound (up) - Max. possible relative overstatement]])</f>
        <v>0</v>
      </c>
      <c r="BH5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35" s="17">
        <f t="shared" si="9"/>
        <v>1</v>
      </c>
      <c r="BJ535" s="17">
        <f>PRODUCT($BI$5:BI535)</f>
        <v>0.41460018922772329</v>
      </c>
      <c r="BK535" s="19">
        <f>1 - Audit[[#This Row],[K-M P Value]]</f>
        <v>0.58539981077227665</v>
      </c>
      <c r="BL535" s="17" t="str">
        <f>IF(Audit[[#This Row],[K-M P Value]]&gt;1-'General Info'!$B$12,"Continue", "Stop")</f>
        <v>Continue</v>
      </c>
      <c r="BM535" s="22" t="b">
        <f>IF(Audit[[#This Row],[Status - Continue or stop audit]] = "Continue", TRUE, IF(BL534 = "Continue", TRUE, FALSE))</f>
        <v>1</v>
      </c>
      <c r="BN535" s="22"/>
    </row>
    <row r="536" spans="1:66" ht="15" hidden="1" customHeight="1" x14ac:dyDescent="0.35">
      <c r="A536" s="17" t="str">
        <f>'Sampling Data'!AI536</f>
        <v/>
      </c>
      <c r="B536" s="17" t="str">
        <f>'Sampling Data'!A536</f>
        <v>8903 SYCAM C   (AV)</v>
      </c>
      <c r="C536" s="17">
        <f>'Sampling Data'!B536</f>
        <v>186</v>
      </c>
      <c r="D536" s="17">
        <f>'Sampling Data'!C536</f>
        <v>203</v>
      </c>
      <c r="E536" s="18">
        <f>'Sampling Data'!D536</f>
        <v>0</v>
      </c>
      <c r="F536" s="18">
        <f>'Sampling Data'!E536</f>
        <v>0</v>
      </c>
      <c r="G536" s="18">
        <f>'Sampling Data'!F536</f>
        <v>0</v>
      </c>
      <c r="H536" s="18">
        <f>'Sampling Data'!G536</f>
        <v>0</v>
      </c>
      <c r="I536" s="18">
        <f>'Sampling Data'!H536</f>
        <v>0</v>
      </c>
      <c r="J536" s="18">
        <f>'Sampling Data'!I536</f>
        <v>0</v>
      </c>
      <c r="K536" s="18">
        <f>'Sampling Data'!J536</f>
        <v>0</v>
      </c>
      <c r="L536" s="18">
        <f>'Sampling Data'!K536</f>
        <v>0</v>
      </c>
      <c r="M536" s="18">
        <f>'Sampling Data'!L536</f>
        <v>0</v>
      </c>
      <c r="N536" s="18">
        <f>'Sampling Data'!M536</f>
        <v>0</v>
      </c>
      <c r="O536" s="17">
        <f>'Sampling Data'!N536</f>
        <v>0</v>
      </c>
      <c r="P536" s="17">
        <f>'Sampling Data'!O536</f>
        <v>24</v>
      </c>
      <c r="Q536" s="17">
        <f>'Sampling Data'!P536</f>
        <v>413</v>
      </c>
      <c r="R536" s="17">
        <f>'Sampling Data'!AJ536</f>
        <v>0</v>
      </c>
      <c r="S536" s="111"/>
      <c r="T536" s="111"/>
      <c r="U536" s="112"/>
      <c r="V536" s="112"/>
      <c r="W536" s="111"/>
      <c r="X536" s="111"/>
      <c r="Y536" s="111"/>
      <c r="Z536" s="111"/>
      <c r="AA536" s="14"/>
      <c r="AB536" s="14"/>
      <c r="AC536" s="14"/>
      <c r="AD536" s="14"/>
      <c r="AE536" s="113" t="str">
        <f>IF(NOT(ISBLANK(Audit[[#This Row],[Audit Winning Candidate]])), Audit[[#This Row],[Audit Winning Candidate]]-Audit[[#This Row],[Winning Candidate]], "")</f>
        <v/>
      </c>
      <c r="AF536" s="17" t="str">
        <f>IF(NOT(ISBLANK(Audit[[#This Row],[Audit Losing Candidate]])), Audit[[#This Row],[Audit Losing Candidate]]-Audit[[#This Row],[Losing Candidate]], "")</f>
        <v/>
      </c>
      <c r="AG536" s="17" t="str">
        <f>IF(NOT(ISBLANK(Audit[[#This Row],[Audit Candidate 3]])), Audit[[#This Row],[Audit Candidate 3]]-Audit[[#This Row],[Candidate 3]], "")</f>
        <v/>
      </c>
      <c r="AH536" s="17" t="str">
        <f>IF(NOT(ISBLANK(Audit[[#This Row],[Audit Candidate 4]])),Audit[[#This Row],[Audit Candidate 4]]-Audit[[#This Row],[Candidate 4]], "")</f>
        <v/>
      </c>
      <c r="AI536" s="17" t="str">
        <f>IF(NOT(ISBLANK(Audit[[#This Row],[Audit Candidate 5]])), Audit[[#This Row],[Audit Candidate 5]]-Audit[[#This Row],[Candidate 5]], "")</f>
        <v/>
      </c>
      <c r="AJ536" s="17" t="str">
        <f>IF(NOT(ISBLANK(Audit[[#This Row],[Audit Candidate 6]])), Audit[[#This Row],[Audit Candidate 6]]-Audit[[#This Row],[Candidate 6]], "")</f>
        <v/>
      </c>
      <c r="AK536" s="17" t="str">
        <f>IF(NOT(ISBLANK(Audit[[#This Row],[Audit Candidate 7]])), Audit[[#This Row],[Audit Candidate 7]]-Audit[[#This Row],[Candidate 7]], "")</f>
        <v/>
      </c>
      <c r="AL536" s="17" t="str">
        <f>IF(NOT(ISBLANK(Audit[[#This Row],[Audit Candidate 8]])), Audit[[#This Row],[Audit Candidate 8]]-Audit[[#This Row],[Candidate 8]], "")</f>
        <v/>
      </c>
      <c r="AM536" s="17" t="str">
        <f>IF(NOT(ISBLANK(Audit[[#This Row],[Audit Candidate 9]])), Audit[[#This Row],[Audit Candidate 9]]-Audit[[#This Row],[Candidate 9]], "")</f>
        <v/>
      </c>
      <c r="AN536" s="17" t="str">
        <f>IF(NOT(ISBLANK(Audit[[#This Row],[Audit Candidate 10]])), Audit[[#This Row],[Audit Candidate 10]]-Audit[[#This Row],[Candidate 10]], "")</f>
        <v/>
      </c>
      <c r="AO536" s="17" t="str">
        <f>IF(NOT(ISBLANK(Audit[[#This Row],[Audit Candidate 11]])), Audit[[#This Row],[Audit Candidate 11]]-Audit[[#This Row],[Candidate 11]], "")</f>
        <v/>
      </c>
      <c r="AP536" s="17" t="str">
        <f>IF(NOT(ISBLANK(Audit[[#This Row],[Audit Candidate 12]])), Audit[[#This Row],[Audit Candidate 12]]-Audit[[#This Row],[Candidate 12]], "")</f>
        <v/>
      </c>
      <c r="AQ536" s="17">
        <f>SUMIF(Audit[[#This Row],[Difference Winner]:[Difference Candidate 12]], "&gt;0")</f>
        <v>0</v>
      </c>
      <c r="AR536" s="17">
        <f>SUM(Audit[[#This Row],[Difference Winner]:[Difference Candidate 12]])</f>
        <v>0</v>
      </c>
      <c r="AS536" s="17">
        <f>IF(Audit[[#This Row],[Times p Drawn - With Replacement]]&gt;0, IF(Audit[[#This Row],[Canceled Differences]]&lt;0, Audit[[#This Row],[Max Differences]]+ABS(Audit[[#This Row],[Canceled Differences]]), Audit[[#This Row],[Max Differences]]), 0)</f>
        <v>0</v>
      </c>
      <c r="AT536" s="17">
        <f>'Sampling Data'!AB536</f>
        <v>1.6805296214564589E-2</v>
      </c>
      <c r="AU536" s="17">
        <f>IF(
      SUM(Audit[[#This Row],[Audit Losing Candidate]:[Audit Candidate 12]])
      &lt;&gt;0,
      (Audit[[#This Row],[Winning Candidate]]-Audit[[#This Row],[Losing Candidate]]-(Audit[[#This Row],[Audit Winning Candidate]]-Audit[[#This Row],[Audit Losing Candidate]]))/(Audit[[#Totals],[Winning Candidate]]-Audit[[#Totals],[Losing Candidate]]),
      0
)</f>
        <v>0</v>
      </c>
      <c r="AV5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6" s="17">
        <f>IF(Audit[[#This Row],[Max Relative Error (ep)]] = 0, 0, Audit[[#This Row],[Max Relative Error (ep)]]/Audit[[#This Row],[Error Bound (up) - Max. possible relative overstatement]])</f>
        <v>0</v>
      </c>
      <c r="BH5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36" s="17">
        <f t="shared" si="9"/>
        <v>1</v>
      </c>
      <c r="BJ536" s="17">
        <f>PRODUCT($BI$5:BI536)</f>
        <v>0.41460018922772329</v>
      </c>
      <c r="BK536" s="19">
        <f>1 - Audit[[#This Row],[K-M P Value]]</f>
        <v>0.58539981077227665</v>
      </c>
      <c r="BL536" s="17" t="str">
        <f>IF(Audit[[#This Row],[K-M P Value]]&gt;1-'General Info'!$B$12,"Continue", "Stop")</f>
        <v>Continue</v>
      </c>
      <c r="BM536" s="22" t="b">
        <f>IF(Audit[[#This Row],[Status - Continue or stop audit]] = "Continue", TRUE, IF(BL535 = "Continue", TRUE, FALSE))</f>
        <v>1</v>
      </c>
      <c r="BN536" s="22"/>
    </row>
    <row r="537" spans="1:66" ht="15" hidden="1" customHeight="1" x14ac:dyDescent="0.35">
      <c r="A537" s="17" t="str">
        <f>'Sampling Data'!AI537</f>
        <v/>
      </c>
      <c r="B537" s="17" t="str">
        <f>'Sampling Data'!A537</f>
        <v>8904 SYCAM D   (AV)</v>
      </c>
      <c r="C537" s="17">
        <f>'Sampling Data'!B537</f>
        <v>140</v>
      </c>
      <c r="D537" s="17">
        <f>'Sampling Data'!C537</f>
        <v>142</v>
      </c>
      <c r="E537" s="18">
        <f>'Sampling Data'!D537</f>
        <v>0</v>
      </c>
      <c r="F537" s="18">
        <f>'Sampling Data'!E537</f>
        <v>0</v>
      </c>
      <c r="G537" s="18">
        <f>'Sampling Data'!F537</f>
        <v>0</v>
      </c>
      <c r="H537" s="18">
        <f>'Sampling Data'!G537</f>
        <v>0</v>
      </c>
      <c r="I537" s="18">
        <f>'Sampling Data'!H537</f>
        <v>0</v>
      </c>
      <c r="J537" s="18">
        <f>'Sampling Data'!I537</f>
        <v>0</v>
      </c>
      <c r="K537" s="18">
        <f>'Sampling Data'!J537</f>
        <v>0</v>
      </c>
      <c r="L537" s="18">
        <f>'Sampling Data'!K537</f>
        <v>0</v>
      </c>
      <c r="M537" s="18">
        <f>'Sampling Data'!L537</f>
        <v>0</v>
      </c>
      <c r="N537" s="18">
        <f>'Sampling Data'!M537</f>
        <v>0</v>
      </c>
      <c r="O537" s="17">
        <f>'Sampling Data'!N537</f>
        <v>0</v>
      </c>
      <c r="P537" s="17">
        <f>'Sampling Data'!O537</f>
        <v>14</v>
      </c>
      <c r="Q537" s="17">
        <f>'Sampling Data'!P537</f>
        <v>296</v>
      </c>
      <c r="R537" s="17">
        <f>'Sampling Data'!AJ537</f>
        <v>0</v>
      </c>
      <c r="S537" s="111"/>
      <c r="T537" s="111"/>
      <c r="U537" s="112"/>
      <c r="V537" s="112"/>
      <c r="W537" s="111"/>
      <c r="X537" s="111"/>
      <c r="Y537" s="111"/>
      <c r="Z537" s="111"/>
      <c r="AA537" s="14"/>
      <c r="AB537" s="14"/>
      <c r="AC537" s="14"/>
      <c r="AD537" s="14"/>
      <c r="AE537" s="113" t="str">
        <f>IF(NOT(ISBLANK(Audit[[#This Row],[Audit Winning Candidate]])), Audit[[#This Row],[Audit Winning Candidate]]-Audit[[#This Row],[Winning Candidate]], "")</f>
        <v/>
      </c>
      <c r="AF537" s="17" t="str">
        <f>IF(NOT(ISBLANK(Audit[[#This Row],[Audit Losing Candidate]])), Audit[[#This Row],[Audit Losing Candidate]]-Audit[[#This Row],[Losing Candidate]], "")</f>
        <v/>
      </c>
      <c r="AG537" s="17" t="str">
        <f>IF(NOT(ISBLANK(Audit[[#This Row],[Audit Candidate 3]])), Audit[[#This Row],[Audit Candidate 3]]-Audit[[#This Row],[Candidate 3]], "")</f>
        <v/>
      </c>
      <c r="AH537" s="17" t="str">
        <f>IF(NOT(ISBLANK(Audit[[#This Row],[Audit Candidate 4]])),Audit[[#This Row],[Audit Candidate 4]]-Audit[[#This Row],[Candidate 4]], "")</f>
        <v/>
      </c>
      <c r="AI537" s="17" t="str">
        <f>IF(NOT(ISBLANK(Audit[[#This Row],[Audit Candidate 5]])), Audit[[#This Row],[Audit Candidate 5]]-Audit[[#This Row],[Candidate 5]], "")</f>
        <v/>
      </c>
      <c r="AJ537" s="17" t="str">
        <f>IF(NOT(ISBLANK(Audit[[#This Row],[Audit Candidate 6]])), Audit[[#This Row],[Audit Candidate 6]]-Audit[[#This Row],[Candidate 6]], "")</f>
        <v/>
      </c>
      <c r="AK537" s="17" t="str">
        <f>IF(NOT(ISBLANK(Audit[[#This Row],[Audit Candidate 7]])), Audit[[#This Row],[Audit Candidate 7]]-Audit[[#This Row],[Candidate 7]], "")</f>
        <v/>
      </c>
      <c r="AL537" s="17" t="str">
        <f>IF(NOT(ISBLANK(Audit[[#This Row],[Audit Candidate 8]])), Audit[[#This Row],[Audit Candidate 8]]-Audit[[#This Row],[Candidate 8]], "")</f>
        <v/>
      </c>
      <c r="AM537" s="17" t="str">
        <f>IF(NOT(ISBLANK(Audit[[#This Row],[Audit Candidate 9]])), Audit[[#This Row],[Audit Candidate 9]]-Audit[[#This Row],[Candidate 9]], "")</f>
        <v/>
      </c>
      <c r="AN537" s="17" t="str">
        <f>IF(NOT(ISBLANK(Audit[[#This Row],[Audit Candidate 10]])), Audit[[#This Row],[Audit Candidate 10]]-Audit[[#This Row],[Candidate 10]], "")</f>
        <v/>
      </c>
      <c r="AO537" s="17" t="str">
        <f>IF(NOT(ISBLANK(Audit[[#This Row],[Audit Candidate 11]])), Audit[[#This Row],[Audit Candidate 11]]-Audit[[#This Row],[Candidate 11]], "")</f>
        <v/>
      </c>
      <c r="AP537" s="17" t="str">
        <f>IF(NOT(ISBLANK(Audit[[#This Row],[Audit Candidate 12]])), Audit[[#This Row],[Audit Candidate 12]]-Audit[[#This Row],[Candidate 12]], "")</f>
        <v/>
      </c>
      <c r="AQ537" s="17">
        <f>SUMIF(Audit[[#This Row],[Difference Winner]:[Difference Candidate 12]], "&gt;0")</f>
        <v>0</v>
      </c>
      <c r="AR537" s="17">
        <f>SUM(Audit[[#This Row],[Difference Winner]:[Difference Candidate 12]])</f>
        <v>0</v>
      </c>
      <c r="AS537" s="17">
        <f>IF(Audit[[#This Row],[Times p Drawn - With Replacement]]&gt;0, IF(Audit[[#This Row],[Canceled Differences]]&lt;0, Audit[[#This Row],[Max Differences]]+ABS(Audit[[#This Row],[Canceled Differences]]), Audit[[#This Row],[Max Differences]]), 0)</f>
        <v>0</v>
      </c>
      <c r="AT537" s="17">
        <f>'Sampling Data'!AB537</f>
        <v>1.2476659310813105E-2</v>
      </c>
      <c r="AU537" s="17">
        <f>IF(
      SUM(Audit[[#This Row],[Audit Losing Candidate]:[Audit Candidate 12]])
      &lt;&gt;0,
      (Audit[[#This Row],[Winning Candidate]]-Audit[[#This Row],[Losing Candidate]]-(Audit[[#This Row],[Audit Winning Candidate]]-Audit[[#This Row],[Audit Losing Candidate]]))/(Audit[[#Totals],[Winning Candidate]]-Audit[[#Totals],[Losing Candidate]]),
      0
)</f>
        <v>0</v>
      </c>
      <c r="AV5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7" s="17">
        <f>IF(Audit[[#This Row],[Max Relative Error (ep)]] = 0, 0, Audit[[#This Row],[Max Relative Error (ep)]]/Audit[[#This Row],[Error Bound (up) - Max. possible relative overstatement]])</f>
        <v>0</v>
      </c>
      <c r="BH5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37" s="17">
        <f t="shared" si="9"/>
        <v>1</v>
      </c>
      <c r="BJ537" s="17">
        <f>PRODUCT($BI$5:BI537)</f>
        <v>0.41460018922772329</v>
      </c>
      <c r="BK537" s="19">
        <f>1 - Audit[[#This Row],[K-M P Value]]</f>
        <v>0.58539981077227665</v>
      </c>
      <c r="BL537" s="17" t="str">
        <f>IF(Audit[[#This Row],[K-M P Value]]&gt;1-'General Info'!$B$12,"Continue", "Stop")</f>
        <v>Continue</v>
      </c>
      <c r="BM537" s="22" t="b">
        <f>IF(Audit[[#This Row],[Status - Continue or stop audit]] = "Continue", TRUE, IF(BL536 = "Continue", TRUE, FALSE))</f>
        <v>1</v>
      </c>
      <c r="BN537" s="22"/>
    </row>
    <row r="538" spans="1:66" ht="15" hidden="1" customHeight="1" x14ac:dyDescent="0.35">
      <c r="A538" s="17" t="str">
        <f>'Sampling Data'!AI538</f>
        <v/>
      </c>
      <c r="B538" s="17" t="str">
        <f>'Sampling Data'!A538</f>
        <v>8905 SYCAM E   (AV)</v>
      </c>
      <c r="C538" s="17">
        <f>'Sampling Data'!B538</f>
        <v>259</v>
      </c>
      <c r="D538" s="17">
        <f>'Sampling Data'!C538</f>
        <v>310</v>
      </c>
      <c r="E538" s="18">
        <f>'Sampling Data'!D538</f>
        <v>0</v>
      </c>
      <c r="F538" s="18">
        <f>'Sampling Data'!E538</f>
        <v>0</v>
      </c>
      <c r="G538" s="18">
        <f>'Sampling Data'!F538</f>
        <v>0</v>
      </c>
      <c r="H538" s="18">
        <f>'Sampling Data'!G538</f>
        <v>0</v>
      </c>
      <c r="I538" s="18">
        <f>'Sampling Data'!H538</f>
        <v>0</v>
      </c>
      <c r="J538" s="18">
        <f>'Sampling Data'!I538</f>
        <v>0</v>
      </c>
      <c r="K538" s="18">
        <f>'Sampling Data'!J538</f>
        <v>0</v>
      </c>
      <c r="L538" s="18">
        <f>'Sampling Data'!K538</f>
        <v>0</v>
      </c>
      <c r="M538" s="18">
        <f>'Sampling Data'!L538</f>
        <v>0</v>
      </c>
      <c r="N538" s="18">
        <f>'Sampling Data'!M538</f>
        <v>0</v>
      </c>
      <c r="O538" s="17">
        <f>'Sampling Data'!N538</f>
        <v>0</v>
      </c>
      <c r="P538" s="17">
        <f>'Sampling Data'!O538</f>
        <v>39</v>
      </c>
      <c r="Q538" s="17">
        <f>'Sampling Data'!P538</f>
        <v>608</v>
      </c>
      <c r="R538" s="17">
        <f>'Sampling Data'!AJ538</f>
        <v>0</v>
      </c>
      <c r="S538" s="111"/>
      <c r="T538" s="111"/>
      <c r="U538" s="112"/>
      <c r="V538" s="112"/>
      <c r="W538" s="111"/>
      <c r="X538" s="111"/>
      <c r="Y538" s="111"/>
      <c r="Z538" s="111"/>
      <c r="AA538" s="14"/>
      <c r="AB538" s="14"/>
      <c r="AC538" s="14"/>
      <c r="AD538" s="14"/>
      <c r="AE538" s="113" t="str">
        <f>IF(NOT(ISBLANK(Audit[[#This Row],[Audit Winning Candidate]])), Audit[[#This Row],[Audit Winning Candidate]]-Audit[[#This Row],[Winning Candidate]], "")</f>
        <v/>
      </c>
      <c r="AF538" s="17" t="str">
        <f>IF(NOT(ISBLANK(Audit[[#This Row],[Audit Losing Candidate]])), Audit[[#This Row],[Audit Losing Candidate]]-Audit[[#This Row],[Losing Candidate]], "")</f>
        <v/>
      </c>
      <c r="AG538" s="17" t="str">
        <f>IF(NOT(ISBLANK(Audit[[#This Row],[Audit Candidate 3]])), Audit[[#This Row],[Audit Candidate 3]]-Audit[[#This Row],[Candidate 3]], "")</f>
        <v/>
      </c>
      <c r="AH538" s="17" t="str">
        <f>IF(NOT(ISBLANK(Audit[[#This Row],[Audit Candidate 4]])),Audit[[#This Row],[Audit Candidate 4]]-Audit[[#This Row],[Candidate 4]], "")</f>
        <v/>
      </c>
      <c r="AI538" s="17" t="str">
        <f>IF(NOT(ISBLANK(Audit[[#This Row],[Audit Candidate 5]])), Audit[[#This Row],[Audit Candidate 5]]-Audit[[#This Row],[Candidate 5]], "")</f>
        <v/>
      </c>
      <c r="AJ538" s="17" t="str">
        <f>IF(NOT(ISBLANK(Audit[[#This Row],[Audit Candidate 6]])), Audit[[#This Row],[Audit Candidate 6]]-Audit[[#This Row],[Candidate 6]], "")</f>
        <v/>
      </c>
      <c r="AK538" s="17" t="str">
        <f>IF(NOT(ISBLANK(Audit[[#This Row],[Audit Candidate 7]])), Audit[[#This Row],[Audit Candidate 7]]-Audit[[#This Row],[Candidate 7]], "")</f>
        <v/>
      </c>
      <c r="AL538" s="17" t="str">
        <f>IF(NOT(ISBLANK(Audit[[#This Row],[Audit Candidate 8]])), Audit[[#This Row],[Audit Candidate 8]]-Audit[[#This Row],[Candidate 8]], "")</f>
        <v/>
      </c>
      <c r="AM538" s="17" t="str">
        <f>IF(NOT(ISBLANK(Audit[[#This Row],[Audit Candidate 9]])), Audit[[#This Row],[Audit Candidate 9]]-Audit[[#This Row],[Candidate 9]], "")</f>
        <v/>
      </c>
      <c r="AN538" s="17" t="str">
        <f>IF(NOT(ISBLANK(Audit[[#This Row],[Audit Candidate 10]])), Audit[[#This Row],[Audit Candidate 10]]-Audit[[#This Row],[Candidate 10]], "")</f>
        <v/>
      </c>
      <c r="AO538" s="17" t="str">
        <f>IF(NOT(ISBLANK(Audit[[#This Row],[Audit Candidate 11]])), Audit[[#This Row],[Audit Candidate 11]]-Audit[[#This Row],[Candidate 11]], "")</f>
        <v/>
      </c>
      <c r="AP538" s="17" t="str">
        <f>IF(NOT(ISBLANK(Audit[[#This Row],[Audit Candidate 12]])), Audit[[#This Row],[Audit Candidate 12]]-Audit[[#This Row],[Candidate 12]], "")</f>
        <v/>
      </c>
      <c r="AQ538" s="17">
        <f>SUMIF(Audit[[#This Row],[Difference Winner]:[Difference Candidate 12]], "&gt;0")</f>
        <v>0</v>
      </c>
      <c r="AR538" s="17">
        <f>SUM(Audit[[#This Row],[Difference Winner]:[Difference Candidate 12]])</f>
        <v>0</v>
      </c>
      <c r="AS538" s="17">
        <f>IF(Audit[[#This Row],[Times p Drawn - With Replacement]]&gt;0, IF(Audit[[#This Row],[Canceled Differences]]&lt;0, Audit[[#This Row],[Max Differences]]+ABS(Audit[[#This Row],[Canceled Differences]]), Audit[[#This Row],[Max Differences]]), 0)</f>
        <v>0</v>
      </c>
      <c r="AT538" s="17">
        <f>'Sampling Data'!AB538</f>
        <v>2.3637752503819387E-2</v>
      </c>
      <c r="AU538" s="17">
        <f>IF(
      SUM(Audit[[#This Row],[Audit Losing Candidate]:[Audit Candidate 12]])
      &lt;&gt;0,
      (Audit[[#This Row],[Winning Candidate]]-Audit[[#This Row],[Losing Candidate]]-(Audit[[#This Row],[Audit Winning Candidate]]-Audit[[#This Row],[Audit Losing Candidate]]))/(Audit[[#Totals],[Winning Candidate]]-Audit[[#Totals],[Losing Candidate]]),
      0
)</f>
        <v>0</v>
      </c>
      <c r="AV5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8" s="17">
        <f>IF(Audit[[#This Row],[Max Relative Error (ep)]] = 0, 0, Audit[[#This Row],[Max Relative Error (ep)]]/Audit[[#This Row],[Error Bound (up) - Max. possible relative overstatement]])</f>
        <v>0</v>
      </c>
      <c r="BH5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38" s="17">
        <f t="shared" si="9"/>
        <v>1</v>
      </c>
      <c r="BJ538" s="17">
        <f>PRODUCT($BI$5:BI538)</f>
        <v>0.41460018922772329</v>
      </c>
      <c r="BK538" s="19">
        <f>1 - Audit[[#This Row],[K-M P Value]]</f>
        <v>0.58539981077227665</v>
      </c>
      <c r="BL538" s="17" t="str">
        <f>IF(Audit[[#This Row],[K-M P Value]]&gt;1-'General Info'!$B$12,"Continue", "Stop")</f>
        <v>Continue</v>
      </c>
      <c r="BM538" s="22" t="b">
        <f>IF(Audit[[#This Row],[Status - Continue or stop audit]] = "Continue", TRUE, IF(BL537 = "Continue", TRUE, FALSE))</f>
        <v>1</v>
      </c>
      <c r="BN538" s="22"/>
    </row>
    <row r="539" spans="1:66" ht="15" hidden="1" customHeight="1" x14ac:dyDescent="0.35">
      <c r="A539" s="17" t="str">
        <f>'Sampling Data'!AI539</f>
        <v/>
      </c>
      <c r="B539" s="17" t="str">
        <f>'Sampling Data'!A539</f>
        <v>8906 SYCAM F   (AV)</v>
      </c>
      <c r="C539" s="17">
        <f>'Sampling Data'!B539</f>
        <v>186</v>
      </c>
      <c r="D539" s="17">
        <f>'Sampling Data'!C539</f>
        <v>147</v>
      </c>
      <c r="E539" s="18">
        <f>'Sampling Data'!D539</f>
        <v>0</v>
      </c>
      <c r="F539" s="18">
        <f>'Sampling Data'!E539</f>
        <v>0</v>
      </c>
      <c r="G539" s="18">
        <f>'Sampling Data'!F539</f>
        <v>0</v>
      </c>
      <c r="H539" s="18">
        <f>'Sampling Data'!G539</f>
        <v>0</v>
      </c>
      <c r="I539" s="18">
        <f>'Sampling Data'!H539</f>
        <v>0</v>
      </c>
      <c r="J539" s="18">
        <f>'Sampling Data'!I539</f>
        <v>0</v>
      </c>
      <c r="K539" s="18">
        <f>'Sampling Data'!J539</f>
        <v>0</v>
      </c>
      <c r="L539" s="18">
        <f>'Sampling Data'!K539</f>
        <v>0</v>
      </c>
      <c r="M539" s="18">
        <f>'Sampling Data'!L539</f>
        <v>0</v>
      </c>
      <c r="N539" s="18">
        <f>'Sampling Data'!M539</f>
        <v>0</v>
      </c>
      <c r="O539" s="17">
        <f>'Sampling Data'!N539</f>
        <v>1</v>
      </c>
      <c r="P539" s="17">
        <f>'Sampling Data'!O539</f>
        <v>14</v>
      </c>
      <c r="Q539" s="17">
        <f>'Sampling Data'!P539</f>
        <v>348</v>
      </c>
      <c r="R539" s="17">
        <f>'Sampling Data'!AJ539</f>
        <v>0</v>
      </c>
      <c r="S539" s="111"/>
      <c r="T539" s="111"/>
      <c r="U539" s="112"/>
      <c r="V539" s="112"/>
      <c r="W539" s="111"/>
      <c r="X539" s="111"/>
      <c r="Y539" s="111"/>
      <c r="Z539" s="111"/>
      <c r="AA539" s="14"/>
      <c r="AB539" s="14"/>
      <c r="AC539" s="14"/>
      <c r="AD539" s="14"/>
      <c r="AE539" s="113" t="str">
        <f>IF(NOT(ISBLANK(Audit[[#This Row],[Audit Winning Candidate]])), Audit[[#This Row],[Audit Winning Candidate]]-Audit[[#This Row],[Winning Candidate]], "")</f>
        <v/>
      </c>
      <c r="AF539" s="17" t="str">
        <f>IF(NOT(ISBLANK(Audit[[#This Row],[Audit Losing Candidate]])), Audit[[#This Row],[Audit Losing Candidate]]-Audit[[#This Row],[Losing Candidate]], "")</f>
        <v/>
      </c>
      <c r="AG539" s="17" t="str">
        <f>IF(NOT(ISBLANK(Audit[[#This Row],[Audit Candidate 3]])), Audit[[#This Row],[Audit Candidate 3]]-Audit[[#This Row],[Candidate 3]], "")</f>
        <v/>
      </c>
      <c r="AH539" s="17" t="str">
        <f>IF(NOT(ISBLANK(Audit[[#This Row],[Audit Candidate 4]])),Audit[[#This Row],[Audit Candidate 4]]-Audit[[#This Row],[Candidate 4]], "")</f>
        <v/>
      </c>
      <c r="AI539" s="17" t="str">
        <f>IF(NOT(ISBLANK(Audit[[#This Row],[Audit Candidate 5]])), Audit[[#This Row],[Audit Candidate 5]]-Audit[[#This Row],[Candidate 5]], "")</f>
        <v/>
      </c>
      <c r="AJ539" s="17" t="str">
        <f>IF(NOT(ISBLANK(Audit[[#This Row],[Audit Candidate 6]])), Audit[[#This Row],[Audit Candidate 6]]-Audit[[#This Row],[Candidate 6]], "")</f>
        <v/>
      </c>
      <c r="AK539" s="17" t="str">
        <f>IF(NOT(ISBLANK(Audit[[#This Row],[Audit Candidate 7]])), Audit[[#This Row],[Audit Candidate 7]]-Audit[[#This Row],[Candidate 7]], "")</f>
        <v/>
      </c>
      <c r="AL539" s="17" t="str">
        <f>IF(NOT(ISBLANK(Audit[[#This Row],[Audit Candidate 8]])), Audit[[#This Row],[Audit Candidate 8]]-Audit[[#This Row],[Candidate 8]], "")</f>
        <v/>
      </c>
      <c r="AM539" s="17" t="str">
        <f>IF(NOT(ISBLANK(Audit[[#This Row],[Audit Candidate 9]])), Audit[[#This Row],[Audit Candidate 9]]-Audit[[#This Row],[Candidate 9]], "")</f>
        <v/>
      </c>
      <c r="AN539" s="17" t="str">
        <f>IF(NOT(ISBLANK(Audit[[#This Row],[Audit Candidate 10]])), Audit[[#This Row],[Audit Candidate 10]]-Audit[[#This Row],[Candidate 10]], "")</f>
        <v/>
      </c>
      <c r="AO539" s="17" t="str">
        <f>IF(NOT(ISBLANK(Audit[[#This Row],[Audit Candidate 11]])), Audit[[#This Row],[Audit Candidate 11]]-Audit[[#This Row],[Candidate 11]], "")</f>
        <v/>
      </c>
      <c r="AP539" s="17" t="str">
        <f>IF(NOT(ISBLANK(Audit[[#This Row],[Audit Candidate 12]])), Audit[[#This Row],[Audit Candidate 12]]-Audit[[#This Row],[Candidate 12]], "")</f>
        <v/>
      </c>
      <c r="AQ539" s="17">
        <f>SUMIF(Audit[[#This Row],[Difference Winner]:[Difference Candidate 12]], "&gt;0")</f>
        <v>0</v>
      </c>
      <c r="AR539" s="17">
        <f>SUM(Audit[[#This Row],[Difference Winner]:[Difference Candidate 12]])</f>
        <v>0</v>
      </c>
      <c r="AS539" s="17">
        <f>IF(Audit[[#This Row],[Times p Drawn - With Replacement]]&gt;0, IF(Audit[[#This Row],[Canceled Differences]]&lt;0, Audit[[#This Row],[Max Differences]]+ABS(Audit[[#This Row],[Canceled Differences]]), Audit[[#This Row],[Max Differences]]), 0)</f>
        <v>0</v>
      </c>
      <c r="AT539" s="17">
        <f>'Sampling Data'!AB539</f>
        <v>1.6423357664233577E-2</v>
      </c>
      <c r="AU539" s="17">
        <f>IF(
      SUM(Audit[[#This Row],[Audit Losing Candidate]:[Audit Candidate 12]])
      &lt;&gt;0,
      (Audit[[#This Row],[Winning Candidate]]-Audit[[#This Row],[Losing Candidate]]-(Audit[[#This Row],[Audit Winning Candidate]]-Audit[[#This Row],[Audit Losing Candidate]]))/(Audit[[#Totals],[Winning Candidate]]-Audit[[#Totals],[Losing Candidate]]),
      0
)</f>
        <v>0</v>
      </c>
      <c r="AV5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9" s="17">
        <f>IF(Audit[[#This Row],[Max Relative Error (ep)]] = 0, 0, Audit[[#This Row],[Max Relative Error (ep)]]/Audit[[#This Row],[Error Bound (up) - Max. possible relative overstatement]])</f>
        <v>0</v>
      </c>
      <c r="BH5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39" s="17">
        <f t="shared" si="9"/>
        <v>1</v>
      </c>
      <c r="BJ539" s="17">
        <f>PRODUCT($BI$5:BI539)</f>
        <v>0.41460018922772329</v>
      </c>
      <c r="BK539" s="19">
        <f>1 - Audit[[#This Row],[K-M P Value]]</f>
        <v>0.58539981077227665</v>
      </c>
      <c r="BL539" s="17" t="str">
        <f>IF(Audit[[#This Row],[K-M P Value]]&gt;1-'General Info'!$B$12,"Continue", "Stop")</f>
        <v>Continue</v>
      </c>
      <c r="BM539" s="22" t="b">
        <f>IF(Audit[[#This Row],[Status - Continue or stop audit]] = "Continue", TRUE, IF(BL538 = "Continue", TRUE, FALSE))</f>
        <v>1</v>
      </c>
      <c r="BN539" s="22"/>
    </row>
    <row r="540" spans="1:66" ht="15" hidden="1" customHeight="1" x14ac:dyDescent="0.35">
      <c r="A540" s="17" t="str">
        <f>'Sampling Data'!AI540</f>
        <v/>
      </c>
      <c r="B540" s="17" t="str">
        <f>'Sampling Data'!A540</f>
        <v>8907 SYCAM G   (AV)</v>
      </c>
      <c r="C540" s="17">
        <f>'Sampling Data'!B540</f>
        <v>262</v>
      </c>
      <c r="D540" s="17">
        <f>'Sampling Data'!C540</f>
        <v>231</v>
      </c>
      <c r="E540" s="18">
        <f>'Sampling Data'!D540</f>
        <v>0</v>
      </c>
      <c r="F540" s="18">
        <f>'Sampling Data'!E540</f>
        <v>0</v>
      </c>
      <c r="G540" s="18">
        <f>'Sampling Data'!F540</f>
        <v>0</v>
      </c>
      <c r="H540" s="18">
        <f>'Sampling Data'!G540</f>
        <v>0</v>
      </c>
      <c r="I540" s="18">
        <f>'Sampling Data'!H540</f>
        <v>0</v>
      </c>
      <c r="J540" s="18">
        <f>'Sampling Data'!I540</f>
        <v>0</v>
      </c>
      <c r="K540" s="18">
        <f>'Sampling Data'!J540</f>
        <v>0</v>
      </c>
      <c r="L540" s="18">
        <f>'Sampling Data'!K540</f>
        <v>0</v>
      </c>
      <c r="M540" s="18">
        <f>'Sampling Data'!L540</f>
        <v>0</v>
      </c>
      <c r="N540" s="18">
        <f>'Sampling Data'!M540</f>
        <v>0</v>
      </c>
      <c r="O540" s="17">
        <f>'Sampling Data'!N540</f>
        <v>1</v>
      </c>
      <c r="P540" s="17">
        <f>'Sampling Data'!O540</f>
        <v>32</v>
      </c>
      <c r="Q540" s="17">
        <f>'Sampling Data'!P540</f>
        <v>526</v>
      </c>
      <c r="R540" s="17">
        <f>'Sampling Data'!AJ540</f>
        <v>0</v>
      </c>
      <c r="S540" s="111"/>
      <c r="T540" s="111"/>
      <c r="U540" s="112"/>
      <c r="V540" s="112"/>
      <c r="W540" s="111"/>
      <c r="X540" s="111"/>
      <c r="Y540" s="111"/>
      <c r="Z540" s="111"/>
      <c r="AA540" s="14"/>
      <c r="AB540" s="14"/>
      <c r="AC540" s="14"/>
      <c r="AD540" s="14"/>
      <c r="AE540" s="113" t="str">
        <f>IF(NOT(ISBLANK(Audit[[#This Row],[Audit Winning Candidate]])), Audit[[#This Row],[Audit Winning Candidate]]-Audit[[#This Row],[Winning Candidate]], "")</f>
        <v/>
      </c>
      <c r="AF540" s="17" t="str">
        <f>IF(NOT(ISBLANK(Audit[[#This Row],[Audit Losing Candidate]])), Audit[[#This Row],[Audit Losing Candidate]]-Audit[[#This Row],[Losing Candidate]], "")</f>
        <v/>
      </c>
      <c r="AG540" s="17" t="str">
        <f>IF(NOT(ISBLANK(Audit[[#This Row],[Audit Candidate 3]])), Audit[[#This Row],[Audit Candidate 3]]-Audit[[#This Row],[Candidate 3]], "")</f>
        <v/>
      </c>
      <c r="AH540" s="17" t="str">
        <f>IF(NOT(ISBLANK(Audit[[#This Row],[Audit Candidate 4]])),Audit[[#This Row],[Audit Candidate 4]]-Audit[[#This Row],[Candidate 4]], "")</f>
        <v/>
      </c>
      <c r="AI540" s="17" t="str">
        <f>IF(NOT(ISBLANK(Audit[[#This Row],[Audit Candidate 5]])), Audit[[#This Row],[Audit Candidate 5]]-Audit[[#This Row],[Candidate 5]], "")</f>
        <v/>
      </c>
      <c r="AJ540" s="17" t="str">
        <f>IF(NOT(ISBLANK(Audit[[#This Row],[Audit Candidate 6]])), Audit[[#This Row],[Audit Candidate 6]]-Audit[[#This Row],[Candidate 6]], "")</f>
        <v/>
      </c>
      <c r="AK540" s="17" t="str">
        <f>IF(NOT(ISBLANK(Audit[[#This Row],[Audit Candidate 7]])), Audit[[#This Row],[Audit Candidate 7]]-Audit[[#This Row],[Candidate 7]], "")</f>
        <v/>
      </c>
      <c r="AL540" s="17" t="str">
        <f>IF(NOT(ISBLANK(Audit[[#This Row],[Audit Candidate 8]])), Audit[[#This Row],[Audit Candidate 8]]-Audit[[#This Row],[Candidate 8]], "")</f>
        <v/>
      </c>
      <c r="AM540" s="17" t="str">
        <f>IF(NOT(ISBLANK(Audit[[#This Row],[Audit Candidate 9]])), Audit[[#This Row],[Audit Candidate 9]]-Audit[[#This Row],[Candidate 9]], "")</f>
        <v/>
      </c>
      <c r="AN540" s="17" t="str">
        <f>IF(NOT(ISBLANK(Audit[[#This Row],[Audit Candidate 10]])), Audit[[#This Row],[Audit Candidate 10]]-Audit[[#This Row],[Candidate 10]], "")</f>
        <v/>
      </c>
      <c r="AO540" s="17" t="str">
        <f>IF(NOT(ISBLANK(Audit[[#This Row],[Audit Candidate 11]])), Audit[[#This Row],[Audit Candidate 11]]-Audit[[#This Row],[Candidate 11]], "")</f>
        <v/>
      </c>
      <c r="AP540" s="17" t="str">
        <f>IF(NOT(ISBLANK(Audit[[#This Row],[Audit Candidate 12]])), Audit[[#This Row],[Audit Candidate 12]]-Audit[[#This Row],[Candidate 12]], "")</f>
        <v/>
      </c>
      <c r="AQ540" s="17">
        <f>SUMIF(Audit[[#This Row],[Difference Winner]:[Difference Candidate 12]], "&gt;0")</f>
        <v>0</v>
      </c>
      <c r="AR540" s="17">
        <f>SUM(Audit[[#This Row],[Difference Winner]:[Difference Candidate 12]])</f>
        <v>0</v>
      </c>
      <c r="AS540" s="17">
        <f>IF(Audit[[#This Row],[Times p Drawn - With Replacement]]&gt;0, IF(Audit[[#This Row],[Canceled Differences]]&lt;0, Audit[[#This Row],[Max Differences]]+ABS(Audit[[#This Row],[Canceled Differences]]), Audit[[#This Row],[Max Differences]]), 0)</f>
        <v>0</v>
      </c>
      <c r="AT540" s="17">
        <f>'Sampling Data'!AB540</f>
        <v>2.3637752503819387E-2</v>
      </c>
      <c r="AU540" s="17">
        <f>IF(
      SUM(Audit[[#This Row],[Audit Losing Candidate]:[Audit Candidate 12]])
      &lt;&gt;0,
      (Audit[[#This Row],[Winning Candidate]]-Audit[[#This Row],[Losing Candidate]]-(Audit[[#This Row],[Audit Winning Candidate]]-Audit[[#This Row],[Audit Losing Candidate]]))/(Audit[[#Totals],[Winning Candidate]]-Audit[[#Totals],[Losing Candidate]]),
      0
)</f>
        <v>0</v>
      </c>
      <c r="AV5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0" s="17">
        <f>IF(Audit[[#This Row],[Max Relative Error (ep)]] = 0, 0, Audit[[#This Row],[Max Relative Error (ep)]]/Audit[[#This Row],[Error Bound (up) - Max. possible relative overstatement]])</f>
        <v>0</v>
      </c>
      <c r="BH5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40" s="17">
        <f t="shared" si="9"/>
        <v>1</v>
      </c>
      <c r="BJ540" s="17">
        <f>PRODUCT($BI$5:BI540)</f>
        <v>0.41460018922772329</v>
      </c>
      <c r="BK540" s="19">
        <f>1 - Audit[[#This Row],[K-M P Value]]</f>
        <v>0.58539981077227665</v>
      </c>
      <c r="BL540" s="17" t="str">
        <f>IF(Audit[[#This Row],[K-M P Value]]&gt;1-'General Info'!$B$12,"Continue", "Stop")</f>
        <v>Continue</v>
      </c>
      <c r="BM540" s="22" t="b">
        <f>IF(Audit[[#This Row],[Status - Continue or stop audit]] = "Continue", TRUE, IF(BL539 = "Continue", TRUE, FALSE))</f>
        <v>1</v>
      </c>
      <c r="BN540" s="22"/>
    </row>
    <row r="541" spans="1:66" ht="15" hidden="1" customHeight="1" x14ac:dyDescent="0.35">
      <c r="A541" s="17" t="str">
        <f>'Sampling Data'!AI541</f>
        <v/>
      </c>
      <c r="B541" s="17" t="str">
        <f>'Sampling Data'!A541</f>
        <v>8908 SYCAM H   (AV)</v>
      </c>
      <c r="C541" s="17">
        <f>'Sampling Data'!B541</f>
        <v>142</v>
      </c>
      <c r="D541" s="17">
        <f>'Sampling Data'!C541</f>
        <v>129</v>
      </c>
      <c r="E541" s="18">
        <f>'Sampling Data'!D541</f>
        <v>0</v>
      </c>
      <c r="F541" s="18">
        <f>'Sampling Data'!E541</f>
        <v>0</v>
      </c>
      <c r="G541" s="18">
        <f>'Sampling Data'!F541</f>
        <v>0</v>
      </c>
      <c r="H541" s="18">
        <f>'Sampling Data'!G541</f>
        <v>0</v>
      </c>
      <c r="I541" s="18">
        <f>'Sampling Data'!H541</f>
        <v>0</v>
      </c>
      <c r="J541" s="18">
        <f>'Sampling Data'!I541</f>
        <v>0</v>
      </c>
      <c r="K541" s="18">
        <f>'Sampling Data'!J541</f>
        <v>0</v>
      </c>
      <c r="L541" s="18">
        <f>'Sampling Data'!K541</f>
        <v>0</v>
      </c>
      <c r="M541" s="18">
        <f>'Sampling Data'!L541</f>
        <v>0</v>
      </c>
      <c r="N541" s="18">
        <f>'Sampling Data'!M541</f>
        <v>0</v>
      </c>
      <c r="O541" s="17">
        <f>'Sampling Data'!N541</f>
        <v>0</v>
      </c>
      <c r="P541" s="17">
        <f>'Sampling Data'!O541</f>
        <v>22</v>
      </c>
      <c r="Q541" s="17">
        <f>'Sampling Data'!P541</f>
        <v>293</v>
      </c>
      <c r="R541" s="17">
        <f>'Sampling Data'!AJ541</f>
        <v>0</v>
      </c>
      <c r="S541" s="111"/>
      <c r="T541" s="111"/>
      <c r="U541" s="112"/>
      <c r="V541" s="112"/>
      <c r="W541" s="111"/>
      <c r="X541" s="111"/>
      <c r="Y541" s="111"/>
      <c r="Z541" s="111"/>
      <c r="AA541" s="14"/>
      <c r="AB541" s="14"/>
      <c r="AC541" s="14"/>
      <c r="AD541" s="14"/>
      <c r="AE541" s="113" t="str">
        <f>IF(NOT(ISBLANK(Audit[[#This Row],[Audit Winning Candidate]])), Audit[[#This Row],[Audit Winning Candidate]]-Audit[[#This Row],[Winning Candidate]], "")</f>
        <v/>
      </c>
      <c r="AF541" s="17" t="str">
        <f>IF(NOT(ISBLANK(Audit[[#This Row],[Audit Losing Candidate]])), Audit[[#This Row],[Audit Losing Candidate]]-Audit[[#This Row],[Losing Candidate]], "")</f>
        <v/>
      </c>
      <c r="AG541" s="17" t="str">
        <f>IF(NOT(ISBLANK(Audit[[#This Row],[Audit Candidate 3]])), Audit[[#This Row],[Audit Candidate 3]]-Audit[[#This Row],[Candidate 3]], "")</f>
        <v/>
      </c>
      <c r="AH541" s="17" t="str">
        <f>IF(NOT(ISBLANK(Audit[[#This Row],[Audit Candidate 4]])),Audit[[#This Row],[Audit Candidate 4]]-Audit[[#This Row],[Candidate 4]], "")</f>
        <v/>
      </c>
      <c r="AI541" s="17" t="str">
        <f>IF(NOT(ISBLANK(Audit[[#This Row],[Audit Candidate 5]])), Audit[[#This Row],[Audit Candidate 5]]-Audit[[#This Row],[Candidate 5]], "")</f>
        <v/>
      </c>
      <c r="AJ541" s="17" t="str">
        <f>IF(NOT(ISBLANK(Audit[[#This Row],[Audit Candidate 6]])), Audit[[#This Row],[Audit Candidate 6]]-Audit[[#This Row],[Candidate 6]], "")</f>
        <v/>
      </c>
      <c r="AK541" s="17" t="str">
        <f>IF(NOT(ISBLANK(Audit[[#This Row],[Audit Candidate 7]])), Audit[[#This Row],[Audit Candidate 7]]-Audit[[#This Row],[Candidate 7]], "")</f>
        <v/>
      </c>
      <c r="AL541" s="17" t="str">
        <f>IF(NOT(ISBLANK(Audit[[#This Row],[Audit Candidate 8]])), Audit[[#This Row],[Audit Candidate 8]]-Audit[[#This Row],[Candidate 8]], "")</f>
        <v/>
      </c>
      <c r="AM541" s="17" t="str">
        <f>IF(NOT(ISBLANK(Audit[[#This Row],[Audit Candidate 9]])), Audit[[#This Row],[Audit Candidate 9]]-Audit[[#This Row],[Candidate 9]], "")</f>
        <v/>
      </c>
      <c r="AN541" s="17" t="str">
        <f>IF(NOT(ISBLANK(Audit[[#This Row],[Audit Candidate 10]])), Audit[[#This Row],[Audit Candidate 10]]-Audit[[#This Row],[Candidate 10]], "")</f>
        <v/>
      </c>
      <c r="AO541" s="17" t="str">
        <f>IF(NOT(ISBLANK(Audit[[#This Row],[Audit Candidate 11]])), Audit[[#This Row],[Audit Candidate 11]]-Audit[[#This Row],[Candidate 11]], "")</f>
        <v/>
      </c>
      <c r="AP541" s="17" t="str">
        <f>IF(NOT(ISBLANK(Audit[[#This Row],[Audit Candidate 12]])), Audit[[#This Row],[Audit Candidate 12]]-Audit[[#This Row],[Candidate 12]], "")</f>
        <v/>
      </c>
      <c r="AQ541" s="17">
        <f>SUMIF(Audit[[#This Row],[Difference Winner]:[Difference Candidate 12]], "&gt;0")</f>
        <v>0</v>
      </c>
      <c r="AR541" s="17">
        <f>SUM(Audit[[#This Row],[Difference Winner]:[Difference Candidate 12]])</f>
        <v>0</v>
      </c>
      <c r="AS541" s="17">
        <f>IF(Audit[[#This Row],[Times p Drawn - With Replacement]]&gt;0, IF(Audit[[#This Row],[Canceled Differences]]&lt;0, Audit[[#This Row],[Max Differences]]+ABS(Audit[[#This Row],[Canceled Differences]]), Audit[[#This Row],[Max Differences]]), 0)</f>
        <v>0</v>
      </c>
      <c r="AT541" s="17">
        <f>'Sampling Data'!AB541</f>
        <v>1.2985910711254456E-2</v>
      </c>
      <c r="AU541" s="17">
        <f>IF(
      SUM(Audit[[#This Row],[Audit Losing Candidate]:[Audit Candidate 12]])
      &lt;&gt;0,
      (Audit[[#This Row],[Winning Candidate]]-Audit[[#This Row],[Losing Candidate]]-(Audit[[#This Row],[Audit Winning Candidate]]-Audit[[#This Row],[Audit Losing Candidate]]))/(Audit[[#Totals],[Winning Candidate]]-Audit[[#Totals],[Losing Candidate]]),
      0
)</f>
        <v>0</v>
      </c>
      <c r="AV5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1" s="17">
        <f>IF(Audit[[#This Row],[Max Relative Error (ep)]] = 0, 0, Audit[[#This Row],[Max Relative Error (ep)]]/Audit[[#This Row],[Error Bound (up) - Max. possible relative overstatement]])</f>
        <v>0</v>
      </c>
      <c r="BH5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41" s="17">
        <f t="shared" si="9"/>
        <v>1</v>
      </c>
      <c r="BJ541" s="17">
        <f>PRODUCT($BI$5:BI541)</f>
        <v>0.41460018922772329</v>
      </c>
      <c r="BK541" s="19">
        <f>1 - Audit[[#This Row],[K-M P Value]]</f>
        <v>0.58539981077227665</v>
      </c>
      <c r="BL541" s="17" t="str">
        <f>IF(Audit[[#This Row],[K-M P Value]]&gt;1-'General Info'!$B$12,"Continue", "Stop")</f>
        <v>Continue</v>
      </c>
      <c r="BM541" s="22" t="b">
        <f>IF(Audit[[#This Row],[Status - Continue or stop audit]] = "Continue", TRUE, IF(BL540 = "Continue", TRUE, FALSE))</f>
        <v>1</v>
      </c>
      <c r="BN541" s="22"/>
    </row>
    <row r="542" spans="1:66" ht="15" hidden="1" customHeight="1" x14ac:dyDescent="0.35">
      <c r="A542" s="17" t="str">
        <f>'Sampling Data'!AI542</f>
        <v/>
      </c>
      <c r="B542" s="17" t="str">
        <f>'Sampling Data'!A542</f>
        <v>8909 SYCAM I   (AV)</v>
      </c>
      <c r="C542" s="17">
        <f>'Sampling Data'!B542</f>
        <v>197</v>
      </c>
      <c r="D542" s="17">
        <f>'Sampling Data'!C542</f>
        <v>293</v>
      </c>
      <c r="E542" s="18">
        <f>'Sampling Data'!D542</f>
        <v>0</v>
      </c>
      <c r="F542" s="18">
        <f>'Sampling Data'!E542</f>
        <v>0</v>
      </c>
      <c r="G542" s="18">
        <f>'Sampling Data'!F542</f>
        <v>0</v>
      </c>
      <c r="H542" s="18">
        <f>'Sampling Data'!G542</f>
        <v>0</v>
      </c>
      <c r="I542" s="18">
        <f>'Sampling Data'!H542</f>
        <v>0</v>
      </c>
      <c r="J542" s="18">
        <f>'Sampling Data'!I542</f>
        <v>0</v>
      </c>
      <c r="K542" s="18">
        <f>'Sampling Data'!J542</f>
        <v>0</v>
      </c>
      <c r="L542" s="18">
        <f>'Sampling Data'!K542</f>
        <v>0</v>
      </c>
      <c r="M542" s="18">
        <f>'Sampling Data'!L542</f>
        <v>0</v>
      </c>
      <c r="N542" s="18">
        <f>'Sampling Data'!M542</f>
        <v>0</v>
      </c>
      <c r="O542" s="17">
        <f>'Sampling Data'!N542</f>
        <v>1</v>
      </c>
      <c r="P542" s="17">
        <f>'Sampling Data'!O542</f>
        <v>17</v>
      </c>
      <c r="Q542" s="17">
        <f>'Sampling Data'!P542</f>
        <v>508</v>
      </c>
      <c r="R542" s="17">
        <f>'Sampling Data'!AJ542</f>
        <v>0</v>
      </c>
      <c r="S542" s="111"/>
      <c r="T542" s="111"/>
      <c r="U542" s="112"/>
      <c r="V542" s="112"/>
      <c r="W542" s="111"/>
      <c r="X542" s="111"/>
      <c r="Y542" s="111"/>
      <c r="Z542" s="111"/>
      <c r="AA542" s="14"/>
      <c r="AB542" s="14"/>
      <c r="AC542" s="14"/>
      <c r="AD542" s="14"/>
      <c r="AE542" s="113" t="str">
        <f>IF(NOT(ISBLANK(Audit[[#This Row],[Audit Winning Candidate]])), Audit[[#This Row],[Audit Winning Candidate]]-Audit[[#This Row],[Winning Candidate]], "")</f>
        <v/>
      </c>
      <c r="AF542" s="17" t="str">
        <f>IF(NOT(ISBLANK(Audit[[#This Row],[Audit Losing Candidate]])), Audit[[#This Row],[Audit Losing Candidate]]-Audit[[#This Row],[Losing Candidate]], "")</f>
        <v/>
      </c>
      <c r="AG542" s="17" t="str">
        <f>IF(NOT(ISBLANK(Audit[[#This Row],[Audit Candidate 3]])), Audit[[#This Row],[Audit Candidate 3]]-Audit[[#This Row],[Candidate 3]], "")</f>
        <v/>
      </c>
      <c r="AH542" s="17" t="str">
        <f>IF(NOT(ISBLANK(Audit[[#This Row],[Audit Candidate 4]])),Audit[[#This Row],[Audit Candidate 4]]-Audit[[#This Row],[Candidate 4]], "")</f>
        <v/>
      </c>
      <c r="AI542" s="17" t="str">
        <f>IF(NOT(ISBLANK(Audit[[#This Row],[Audit Candidate 5]])), Audit[[#This Row],[Audit Candidate 5]]-Audit[[#This Row],[Candidate 5]], "")</f>
        <v/>
      </c>
      <c r="AJ542" s="17" t="str">
        <f>IF(NOT(ISBLANK(Audit[[#This Row],[Audit Candidate 6]])), Audit[[#This Row],[Audit Candidate 6]]-Audit[[#This Row],[Candidate 6]], "")</f>
        <v/>
      </c>
      <c r="AK542" s="17" t="str">
        <f>IF(NOT(ISBLANK(Audit[[#This Row],[Audit Candidate 7]])), Audit[[#This Row],[Audit Candidate 7]]-Audit[[#This Row],[Candidate 7]], "")</f>
        <v/>
      </c>
      <c r="AL542" s="17" t="str">
        <f>IF(NOT(ISBLANK(Audit[[#This Row],[Audit Candidate 8]])), Audit[[#This Row],[Audit Candidate 8]]-Audit[[#This Row],[Candidate 8]], "")</f>
        <v/>
      </c>
      <c r="AM542" s="17" t="str">
        <f>IF(NOT(ISBLANK(Audit[[#This Row],[Audit Candidate 9]])), Audit[[#This Row],[Audit Candidate 9]]-Audit[[#This Row],[Candidate 9]], "")</f>
        <v/>
      </c>
      <c r="AN542" s="17" t="str">
        <f>IF(NOT(ISBLANK(Audit[[#This Row],[Audit Candidate 10]])), Audit[[#This Row],[Audit Candidate 10]]-Audit[[#This Row],[Candidate 10]], "")</f>
        <v/>
      </c>
      <c r="AO542" s="17" t="str">
        <f>IF(NOT(ISBLANK(Audit[[#This Row],[Audit Candidate 11]])), Audit[[#This Row],[Audit Candidate 11]]-Audit[[#This Row],[Candidate 11]], "")</f>
        <v/>
      </c>
      <c r="AP542" s="17" t="str">
        <f>IF(NOT(ISBLANK(Audit[[#This Row],[Audit Candidate 12]])), Audit[[#This Row],[Audit Candidate 12]]-Audit[[#This Row],[Candidate 12]], "")</f>
        <v/>
      </c>
      <c r="AQ542" s="17">
        <f>SUMIF(Audit[[#This Row],[Difference Winner]:[Difference Candidate 12]], "&gt;0")</f>
        <v>0</v>
      </c>
      <c r="AR542" s="17">
        <f>SUM(Audit[[#This Row],[Difference Winner]:[Difference Candidate 12]])</f>
        <v>0</v>
      </c>
      <c r="AS542" s="17">
        <f>IF(Audit[[#This Row],[Times p Drawn - With Replacement]]&gt;0, IF(Audit[[#This Row],[Canceled Differences]]&lt;0, Audit[[#This Row],[Max Differences]]+ABS(Audit[[#This Row],[Canceled Differences]]), Audit[[#This Row],[Max Differences]]), 0)</f>
        <v>0</v>
      </c>
      <c r="AT542" s="17">
        <f>'Sampling Data'!AB542</f>
        <v>1.7484298081819723E-2</v>
      </c>
      <c r="AU542" s="17">
        <f>IF(
      SUM(Audit[[#This Row],[Audit Losing Candidate]:[Audit Candidate 12]])
      &lt;&gt;0,
      (Audit[[#This Row],[Winning Candidate]]-Audit[[#This Row],[Losing Candidate]]-(Audit[[#This Row],[Audit Winning Candidate]]-Audit[[#This Row],[Audit Losing Candidate]]))/(Audit[[#Totals],[Winning Candidate]]-Audit[[#Totals],[Losing Candidate]]),
      0
)</f>
        <v>0</v>
      </c>
      <c r="AV5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2" s="17">
        <f>IF(Audit[[#This Row],[Max Relative Error (ep)]] = 0, 0, Audit[[#This Row],[Max Relative Error (ep)]]/Audit[[#This Row],[Error Bound (up) - Max. possible relative overstatement]])</f>
        <v>0</v>
      </c>
      <c r="BH5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42" s="17">
        <f t="shared" si="9"/>
        <v>1</v>
      </c>
      <c r="BJ542" s="17">
        <f>PRODUCT($BI$5:BI542)</f>
        <v>0.41460018922772329</v>
      </c>
      <c r="BK542" s="19">
        <f>1 - Audit[[#This Row],[K-M P Value]]</f>
        <v>0.58539981077227665</v>
      </c>
      <c r="BL542" s="17" t="str">
        <f>IF(Audit[[#This Row],[K-M P Value]]&gt;1-'General Info'!$B$12,"Continue", "Stop")</f>
        <v>Continue</v>
      </c>
      <c r="BM542" s="22" t="b">
        <f>IF(Audit[[#This Row],[Status - Continue or stop audit]] = "Continue", TRUE, IF(BL541 = "Continue", TRUE, FALSE))</f>
        <v>1</v>
      </c>
      <c r="BN542" s="22"/>
    </row>
    <row r="543" spans="1:66" ht="15" hidden="1" customHeight="1" x14ac:dyDescent="0.35">
      <c r="A543" s="17" t="str">
        <f>'Sampling Data'!AI543</f>
        <v/>
      </c>
      <c r="B543" s="17" t="str">
        <f>'Sampling Data'!A543</f>
        <v>8910 SYCAM J   (AV)</v>
      </c>
      <c r="C543" s="17">
        <f>'Sampling Data'!B543</f>
        <v>162</v>
      </c>
      <c r="D543" s="17">
        <f>'Sampling Data'!C543</f>
        <v>79</v>
      </c>
      <c r="E543" s="18">
        <f>'Sampling Data'!D543</f>
        <v>0</v>
      </c>
      <c r="F543" s="18">
        <f>'Sampling Data'!E543</f>
        <v>0</v>
      </c>
      <c r="G543" s="18">
        <f>'Sampling Data'!F543</f>
        <v>0</v>
      </c>
      <c r="H543" s="18">
        <f>'Sampling Data'!G543</f>
        <v>0</v>
      </c>
      <c r="I543" s="18">
        <f>'Sampling Data'!H543</f>
        <v>0</v>
      </c>
      <c r="J543" s="18">
        <f>'Sampling Data'!I543</f>
        <v>0</v>
      </c>
      <c r="K543" s="18">
        <f>'Sampling Data'!J543</f>
        <v>0</v>
      </c>
      <c r="L543" s="18">
        <f>'Sampling Data'!K543</f>
        <v>0</v>
      </c>
      <c r="M543" s="18">
        <f>'Sampling Data'!L543</f>
        <v>0</v>
      </c>
      <c r="N543" s="18">
        <f>'Sampling Data'!M543</f>
        <v>0</v>
      </c>
      <c r="O543" s="17">
        <f>'Sampling Data'!N543</f>
        <v>0</v>
      </c>
      <c r="P543" s="17">
        <f>'Sampling Data'!O543</f>
        <v>11</v>
      </c>
      <c r="Q543" s="17">
        <f>'Sampling Data'!P543</f>
        <v>252</v>
      </c>
      <c r="R543" s="17">
        <f>'Sampling Data'!AJ543</f>
        <v>0</v>
      </c>
      <c r="S543" s="111"/>
      <c r="T543" s="111"/>
      <c r="U543" s="112"/>
      <c r="V543" s="112"/>
      <c r="W543" s="111"/>
      <c r="X543" s="111"/>
      <c r="Y543" s="111"/>
      <c r="Z543" s="111"/>
      <c r="AA543" s="14"/>
      <c r="AB543" s="14"/>
      <c r="AC543" s="14"/>
      <c r="AD543" s="14"/>
      <c r="AE543" s="113" t="str">
        <f>IF(NOT(ISBLANK(Audit[[#This Row],[Audit Winning Candidate]])), Audit[[#This Row],[Audit Winning Candidate]]-Audit[[#This Row],[Winning Candidate]], "")</f>
        <v/>
      </c>
      <c r="AF543" s="17" t="str">
        <f>IF(NOT(ISBLANK(Audit[[#This Row],[Audit Losing Candidate]])), Audit[[#This Row],[Audit Losing Candidate]]-Audit[[#This Row],[Losing Candidate]], "")</f>
        <v/>
      </c>
      <c r="AG543" s="17" t="str">
        <f>IF(NOT(ISBLANK(Audit[[#This Row],[Audit Candidate 3]])), Audit[[#This Row],[Audit Candidate 3]]-Audit[[#This Row],[Candidate 3]], "")</f>
        <v/>
      </c>
      <c r="AH543" s="17" t="str">
        <f>IF(NOT(ISBLANK(Audit[[#This Row],[Audit Candidate 4]])),Audit[[#This Row],[Audit Candidate 4]]-Audit[[#This Row],[Candidate 4]], "")</f>
        <v/>
      </c>
      <c r="AI543" s="17" t="str">
        <f>IF(NOT(ISBLANK(Audit[[#This Row],[Audit Candidate 5]])), Audit[[#This Row],[Audit Candidate 5]]-Audit[[#This Row],[Candidate 5]], "")</f>
        <v/>
      </c>
      <c r="AJ543" s="17" t="str">
        <f>IF(NOT(ISBLANK(Audit[[#This Row],[Audit Candidate 6]])), Audit[[#This Row],[Audit Candidate 6]]-Audit[[#This Row],[Candidate 6]], "")</f>
        <v/>
      </c>
      <c r="AK543" s="17" t="str">
        <f>IF(NOT(ISBLANK(Audit[[#This Row],[Audit Candidate 7]])), Audit[[#This Row],[Audit Candidate 7]]-Audit[[#This Row],[Candidate 7]], "")</f>
        <v/>
      </c>
      <c r="AL543" s="17" t="str">
        <f>IF(NOT(ISBLANK(Audit[[#This Row],[Audit Candidate 8]])), Audit[[#This Row],[Audit Candidate 8]]-Audit[[#This Row],[Candidate 8]], "")</f>
        <v/>
      </c>
      <c r="AM543" s="17" t="str">
        <f>IF(NOT(ISBLANK(Audit[[#This Row],[Audit Candidate 9]])), Audit[[#This Row],[Audit Candidate 9]]-Audit[[#This Row],[Candidate 9]], "")</f>
        <v/>
      </c>
      <c r="AN543" s="17" t="str">
        <f>IF(NOT(ISBLANK(Audit[[#This Row],[Audit Candidate 10]])), Audit[[#This Row],[Audit Candidate 10]]-Audit[[#This Row],[Candidate 10]], "")</f>
        <v/>
      </c>
      <c r="AO543" s="17" t="str">
        <f>IF(NOT(ISBLANK(Audit[[#This Row],[Audit Candidate 11]])), Audit[[#This Row],[Audit Candidate 11]]-Audit[[#This Row],[Candidate 11]], "")</f>
        <v/>
      </c>
      <c r="AP543" s="17" t="str">
        <f>IF(NOT(ISBLANK(Audit[[#This Row],[Audit Candidate 12]])), Audit[[#This Row],[Audit Candidate 12]]-Audit[[#This Row],[Candidate 12]], "")</f>
        <v/>
      </c>
      <c r="AQ543" s="17">
        <f>SUMIF(Audit[[#This Row],[Difference Winner]:[Difference Candidate 12]], "&gt;0")</f>
        <v>0</v>
      </c>
      <c r="AR543" s="17">
        <f>SUM(Audit[[#This Row],[Difference Winner]:[Difference Candidate 12]])</f>
        <v>0</v>
      </c>
      <c r="AS543" s="17">
        <f>IF(Audit[[#This Row],[Times p Drawn - With Replacement]]&gt;0, IF(Audit[[#This Row],[Canceled Differences]]&lt;0, Audit[[#This Row],[Max Differences]]+ABS(Audit[[#This Row],[Canceled Differences]]), Audit[[#This Row],[Max Differences]]), 0)</f>
        <v>0</v>
      </c>
      <c r="AT543" s="17">
        <f>'Sampling Data'!AB543</f>
        <v>1.4216601595654388E-2</v>
      </c>
      <c r="AU543" s="17">
        <f>IF(
      SUM(Audit[[#This Row],[Audit Losing Candidate]:[Audit Candidate 12]])
      &lt;&gt;0,
      (Audit[[#This Row],[Winning Candidate]]-Audit[[#This Row],[Losing Candidate]]-(Audit[[#This Row],[Audit Winning Candidate]]-Audit[[#This Row],[Audit Losing Candidate]]))/(Audit[[#Totals],[Winning Candidate]]-Audit[[#Totals],[Losing Candidate]]),
      0
)</f>
        <v>0</v>
      </c>
      <c r="AV5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3" s="17">
        <f>IF(Audit[[#This Row],[Max Relative Error (ep)]] = 0, 0, Audit[[#This Row],[Max Relative Error (ep)]]/Audit[[#This Row],[Error Bound (up) - Max. possible relative overstatement]])</f>
        <v>0</v>
      </c>
      <c r="BH5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43" s="17">
        <f t="shared" si="9"/>
        <v>1</v>
      </c>
      <c r="BJ543" s="17">
        <f>PRODUCT($BI$5:BI543)</f>
        <v>0.41460018922772329</v>
      </c>
      <c r="BK543" s="19">
        <f>1 - Audit[[#This Row],[K-M P Value]]</f>
        <v>0.58539981077227665</v>
      </c>
      <c r="BL543" s="17" t="str">
        <f>IF(Audit[[#This Row],[K-M P Value]]&gt;1-'General Info'!$B$12,"Continue", "Stop")</f>
        <v>Continue</v>
      </c>
      <c r="BM543" s="22" t="b">
        <f>IF(Audit[[#This Row],[Status - Continue or stop audit]] = "Continue", TRUE, IF(BL542 = "Continue", TRUE, FALSE))</f>
        <v>1</v>
      </c>
      <c r="BN543" s="22"/>
    </row>
    <row r="544" spans="1:66" ht="15" customHeight="1" x14ac:dyDescent="0.35">
      <c r="A544" s="17">
        <f>'Sampling Data'!AI544</f>
        <v>32</v>
      </c>
      <c r="B544" s="17" t="str">
        <f>'Sampling Data'!A544</f>
        <v>8911 SYCAM K   (AV)</v>
      </c>
      <c r="C544" s="17">
        <f>'Sampling Data'!B544</f>
        <v>269</v>
      </c>
      <c r="D544" s="17">
        <f>'Sampling Data'!C544</f>
        <v>178</v>
      </c>
      <c r="E544" s="18">
        <f>'Sampling Data'!D544</f>
        <v>0</v>
      </c>
      <c r="F544" s="18">
        <f>'Sampling Data'!E544</f>
        <v>0</v>
      </c>
      <c r="G544" s="18">
        <f>'Sampling Data'!F544</f>
        <v>0</v>
      </c>
      <c r="H544" s="18">
        <f>'Sampling Data'!G544</f>
        <v>0</v>
      </c>
      <c r="I544" s="18">
        <f>'Sampling Data'!H544</f>
        <v>0</v>
      </c>
      <c r="J544" s="18">
        <f>'Sampling Data'!I544</f>
        <v>0</v>
      </c>
      <c r="K544" s="18">
        <f>'Sampling Data'!J544</f>
        <v>0</v>
      </c>
      <c r="L544" s="18">
        <f>'Sampling Data'!K544</f>
        <v>0</v>
      </c>
      <c r="M544" s="18">
        <f>'Sampling Data'!L544</f>
        <v>0</v>
      </c>
      <c r="N544" s="18">
        <f>'Sampling Data'!M544</f>
        <v>0</v>
      </c>
      <c r="O544" s="17">
        <f>'Sampling Data'!N544</f>
        <v>0</v>
      </c>
      <c r="P544" s="17">
        <f>'Sampling Data'!O544</f>
        <v>38</v>
      </c>
      <c r="Q544" s="17">
        <f>'Sampling Data'!P544</f>
        <v>485</v>
      </c>
      <c r="R544" s="17">
        <f>'Sampling Data'!AJ544</f>
        <v>1</v>
      </c>
      <c r="S544" s="111">
        <v>269</v>
      </c>
      <c r="T544" s="111">
        <v>178</v>
      </c>
      <c r="U544" s="112"/>
      <c r="V544" s="112"/>
      <c r="W544" s="111"/>
      <c r="X544" s="111"/>
      <c r="Y544" s="111"/>
      <c r="Z544" s="111"/>
      <c r="AA544" s="14"/>
      <c r="AB544" s="14"/>
      <c r="AC544" s="14"/>
      <c r="AD544" s="14"/>
      <c r="AE544" s="113">
        <f>IF(NOT(ISBLANK(Audit[[#This Row],[Audit Winning Candidate]])), Audit[[#This Row],[Audit Winning Candidate]]-Audit[[#This Row],[Winning Candidate]], "")</f>
        <v>0</v>
      </c>
      <c r="AF544" s="17">
        <f>IF(NOT(ISBLANK(Audit[[#This Row],[Audit Losing Candidate]])), Audit[[#This Row],[Audit Losing Candidate]]-Audit[[#This Row],[Losing Candidate]], "")</f>
        <v>0</v>
      </c>
      <c r="AG544" s="17" t="str">
        <f>IF(NOT(ISBLANK(Audit[[#This Row],[Audit Candidate 3]])), Audit[[#This Row],[Audit Candidate 3]]-Audit[[#This Row],[Candidate 3]], "")</f>
        <v/>
      </c>
      <c r="AH544" s="17" t="str">
        <f>IF(NOT(ISBLANK(Audit[[#This Row],[Audit Candidate 4]])),Audit[[#This Row],[Audit Candidate 4]]-Audit[[#This Row],[Candidate 4]], "")</f>
        <v/>
      </c>
      <c r="AI544" s="17" t="str">
        <f>IF(NOT(ISBLANK(Audit[[#This Row],[Audit Candidate 5]])), Audit[[#This Row],[Audit Candidate 5]]-Audit[[#This Row],[Candidate 5]], "")</f>
        <v/>
      </c>
      <c r="AJ544" s="17" t="str">
        <f>IF(NOT(ISBLANK(Audit[[#This Row],[Audit Candidate 6]])), Audit[[#This Row],[Audit Candidate 6]]-Audit[[#This Row],[Candidate 6]], "")</f>
        <v/>
      </c>
      <c r="AK544" s="17" t="str">
        <f>IF(NOT(ISBLANK(Audit[[#This Row],[Audit Candidate 7]])), Audit[[#This Row],[Audit Candidate 7]]-Audit[[#This Row],[Candidate 7]], "")</f>
        <v/>
      </c>
      <c r="AL544" s="17" t="str">
        <f>IF(NOT(ISBLANK(Audit[[#This Row],[Audit Candidate 8]])), Audit[[#This Row],[Audit Candidate 8]]-Audit[[#This Row],[Candidate 8]], "")</f>
        <v/>
      </c>
      <c r="AM544" s="17" t="str">
        <f>IF(NOT(ISBLANK(Audit[[#This Row],[Audit Candidate 9]])), Audit[[#This Row],[Audit Candidate 9]]-Audit[[#This Row],[Candidate 9]], "")</f>
        <v/>
      </c>
      <c r="AN544" s="17" t="str">
        <f>IF(NOT(ISBLANK(Audit[[#This Row],[Audit Candidate 10]])), Audit[[#This Row],[Audit Candidate 10]]-Audit[[#This Row],[Candidate 10]], "")</f>
        <v/>
      </c>
      <c r="AO544" s="17" t="str">
        <f>IF(NOT(ISBLANK(Audit[[#This Row],[Audit Candidate 11]])), Audit[[#This Row],[Audit Candidate 11]]-Audit[[#This Row],[Candidate 11]], "")</f>
        <v/>
      </c>
      <c r="AP544" s="17" t="str">
        <f>IF(NOT(ISBLANK(Audit[[#This Row],[Audit Candidate 12]])), Audit[[#This Row],[Audit Candidate 12]]-Audit[[#This Row],[Candidate 12]], "")</f>
        <v/>
      </c>
      <c r="AQ544" s="17">
        <f>SUMIF(Audit[[#This Row],[Difference Winner]:[Difference Candidate 12]], "&gt;0")</f>
        <v>0</v>
      </c>
      <c r="AR544" s="17">
        <f>SUM(Audit[[#This Row],[Difference Winner]:[Difference Candidate 12]])</f>
        <v>0</v>
      </c>
      <c r="AS544" s="17">
        <f>IF(Audit[[#This Row],[Times p Drawn - With Replacement]]&gt;0, IF(Audit[[#This Row],[Canceled Differences]]&lt;0, Audit[[#This Row],[Max Differences]]+ABS(Audit[[#This Row],[Canceled Differences]]), Audit[[#This Row],[Max Differences]]), 0)</f>
        <v>0</v>
      </c>
      <c r="AT544" s="17">
        <f>'Sampling Data'!AB544</f>
        <v>2.4444067221184859E-2</v>
      </c>
      <c r="AU544" s="17">
        <f>IF(
      SUM(Audit[[#This Row],[Audit Losing Candidate]:[Audit Candidate 12]])
      &lt;&gt;0,
      (Audit[[#This Row],[Winning Candidate]]-Audit[[#This Row],[Losing Candidate]]-(Audit[[#This Row],[Audit Winning Candidate]]-Audit[[#This Row],[Audit Losing Candidate]]))/(Audit[[#Totals],[Winning Candidate]]-Audit[[#Totals],[Losing Candidate]]),
      0
)</f>
        <v>0</v>
      </c>
      <c r="AV5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4" s="17">
        <f>IF(Audit[[#This Row],[Max Relative Error (ep)]] = 0, 0, Audit[[#This Row],[Max Relative Error (ep)]]/Audit[[#This Row],[Error Bound (up) - Max. possible relative overstatement]])</f>
        <v>0</v>
      </c>
      <c r="BH5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44" s="17">
        <f t="shared" si="9"/>
        <v>0.94645908314247273</v>
      </c>
      <c r="BJ544" s="17">
        <f>PRODUCT($BI$5:BI544)</f>
        <v>0.3924021149671667</v>
      </c>
      <c r="BK544" s="19">
        <f>1 - Audit[[#This Row],[K-M P Value]]</f>
        <v>0.6075978850328333</v>
      </c>
      <c r="BL544" s="17" t="str">
        <f>IF(Audit[[#This Row],[K-M P Value]]&gt;1-'General Info'!$B$12,"Continue", "Stop")</f>
        <v>Continue</v>
      </c>
      <c r="BM544" s="22" t="b">
        <f>IF(Audit[[#This Row],[Status - Continue or stop audit]] = "Continue", TRUE, IF(BL543 = "Continue", TRUE, FALSE))</f>
        <v>1</v>
      </c>
      <c r="BN544" s="22"/>
    </row>
    <row r="545" spans="1:66" ht="15" hidden="1" customHeight="1" x14ac:dyDescent="0.35">
      <c r="A545" s="17" t="str">
        <f>'Sampling Data'!AI545</f>
        <v/>
      </c>
      <c r="B545" s="17" t="str">
        <f>'Sampling Data'!A545</f>
        <v>8912 SYCAM L   (AV)</v>
      </c>
      <c r="C545" s="17">
        <f>'Sampling Data'!B545</f>
        <v>160</v>
      </c>
      <c r="D545" s="17">
        <f>'Sampling Data'!C545</f>
        <v>237</v>
      </c>
      <c r="E545" s="18">
        <f>'Sampling Data'!D545</f>
        <v>0</v>
      </c>
      <c r="F545" s="18">
        <f>'Sampling Data'!E545</f>
        <v>0</v>
      </c>
      <c r="G545" s="18">
        <f>'Sampling Data'!F545</f>
        <v>0</v>
      </c>
      <c r="H545" s="18">
        <f>'Sampling Data'!G545</f>
        <v>0</v>
      </c>
      <c r="I545" s="18">
        <f>'Sampling Data'!H545</f>
        <v>0</v>
      </c>
      <c r="J545" s="18">
        <f>'Sampling Data'!I545</f>
        <v>0</v>
      </c>
      <c r="K545" s="18">
        <f>'Sampling Data'!J545</f>
        <v>0</v>
      </c>
      <c r="L545" s="18">
        <f>'Sampling Data'!K545</f>
        <v>0</v>
      </c>
      <c r="M545" s="18">
        <f>'Sampling Data'!L545</f>
        <v>0</v>
      </c>
      <c r="N545" s="18">
        <f>'Sampling Data'!M545</f>
        <v>0</v>
      </c>
      <c r="O545" s="17">
        <f>'Sampling Data'!N545</f>
        <v>0</v>
      </c>
      <c r="P545" s="17">
        <f>'Sampling Data'!O545</f>
        <v>18</v>
      </c>
      <c r="Q545" s="17">
        <f>'Sampling Data'!P545</f>
        <v>415</v>
      </c>
      <c r="R545" s="17">
        <f>'Sampling Data'!AJ545</f>
        <v>0</v>
      </c>
      <c r="S545" s="111"/>
      <c r="T545" s="111"/>
      <c r="U545" s="112"/>
      <c r="V545" s="112"/>
      <c r="W545" s="111"/>
      <c r="X545" s="111"/>
      <c r="Y545" s="111"/>
      <c r="Z545" s="111"/>
      <c r="AA545" s="14"/>
      <c r="AB545" s="14"/>
      <c r="AC545" s="14"/>
      <c r="AD545" s="14"/>
      <c r="AE545" s="113" t="str">
        <f>IF(NOT(ISBLANK(Audit[[#This Row],[Audit Winning Candidate]])), Audit[[#This Row],[Audit Winning Candidate]]-Audit[[#This Row],[Winning Candidate]], "")</f>
        <v/>
      </c>
      <c r="AF545" s="17" t="str">
        <f>IF(NOT(ISBLANK(Audit[[#This Row],[Audit Losing Candidate]])), Audit[[#This Row],[Audit Losing Candidate]]-Audit[[#This Row],[Losing Candidate]], "")</f>
        <v/>
      </c>
      <c r="AG545" s="17" t="str">
        <f>IF(NOT(ISBLANK(Audit[[#This Row],[Audit Candidate 3]])), Audit[[#This Row],[Audit Candidate 3]]-Audit[[#This Row],[Candidate 3]], "")</f>
        <v/>
      </c>
      <c r="AH545" s="17" t="str">
        <f>IF(NOT(ISBLANK(Audit[[#This Row],[Audit Candidate 4]])),Audit[[#This Row],[Audit Candidate 4]]-Audit[[#This Row],[Candidate 4]], "")</f>
        <v/>
      </c>
      <c r="AI545" s="17" t="str">
        <f>IF(NOT(ISBLANK(Audit[[#This Row],[Audit Candidate 5]])), Audit[[#This Row],[Audit Candidate 5]]-Audit[[#This Row],[Candidate 5]], "")</f>
        <v/>
      </c>
      <c r="AJ545" s="17" t="str">
        <f>IF(NOT(ISBLANK(Audit[[#This Row],[Audit Candidate 6]])), Audit[[#This Row],[Audit Candidate 6]]-Audit[[#This Row],[Candidate 6]], "")</f>
        <v/>
      </c>
      <c r="AK545" s="17" t="str">
        <f>IF(NOT(ISBLANK(Audit[[#This Row],[Audit Candidate 7]])), Audit[[#This Row],[Audit Candidate 7]]-Audit[[#This Row],[Candidate 7]], "")</f>
        <v/>
      </c>
      <c r="AL545" s="17" t="str">
        <f>IF(NOT(ISBLANK(Audit[[#This Row],[Audit Candidate 8]])), Audit[[#This Row],[Audit Candidate 8]]-Audit[[#This Row],[Candidate 8]], "")</f>
        <v/>
      </c>
      <c r="AM545" s="17" t="str">
        <f>IF(NOT(ISBLANK(Audit[[#This Row],[Audit Candidate 9]])), Audit[[#This Row],[Audit Candidate 9]]-Audit[[#This Row],[Candidate 9]], "")</f>
        <v/>
      </c>
      <c r="AN545" s="17" t="str">
        <f>IF(NOT(ISBLANK(Audit[[#This Row],[Audit Candidate 10]])), Audit[[#This Row],[Audit Candidate 10]]-Audit[[#This Row],[Candidate 10]], "")</f>
        <v/>
      </c>
      <c r="AO545" s="17" t="str">
        <f>IF(NOT(ISBLANK(Audit[[#This Row],[Audit Candidate 11]])), Audit[[#This Row],[Audit Candidate 11]]-Audit[[#This Row],[Candidate 11]], "")</f>
        <v/>
      </c>
      <c r="AP545" s="17" t="str">
        <f>IF(NOT(ISBLANK(Audit[[#This Row],[Audit Candidate 12]])), Audit[[#This Row],[Audit Candidate 12]]-Audit[[#This Row],[Candidate 12]], "")</f>
        <v/>
      </c>
      <c r="AQ545" s="17">
        <f>SUMIF(Audit[[#This Row],[Difference Winner]:[Difference Candidate 12]], "&gt;0")</f>
        <v>0</v>
      </c>
      <c r="AR545" s="17">
        <f>SUM(Audit[[#This Row],[Difference Winner]:[Difference Candidate 12]])</f>
        <v>0</v>
      </c>
      <c r="AS545" s="17">
        <f>IF(Audit[[#This Row],[Times p Drawn - With Replacement]]&gt;0, IF(Audit[[#This Row],[Canceled Differences]]&lt;0, Audit[[#This Row],[Max Differences]]+ABS(Audit[[#This Row],[Canceled Differences]]), Audit[[#This Row],[Max Differences]]), 0)</f>
        <v>0</v>
      </c>
      <c r="AT545" s="17">
        <f>'Sampling Data'!AB545</f>
        <v>1.4343914445764726E-2</v>
      </c>
      <c r="AU545" s="17">
        <f>IF(
      SUM(Audit[[#This Row],[Audit Losing Candidate]:[Audit Candidate 12]])
      &lt;&gt;0,
      (Audit[[#This Row],[Winning Candidate]]-Audit[[#This Row],[Losing Candidate]]-(Audit[[#This Row],[Audit Winning Candidate]]-Audit[[#This Row],[Audit Losing Candidate]]))/(Audit[[#Totals],[Winning Candidate]]-Audit[[#Totals],[Losing Candidate]]),
      0
)</f>
        <v>0</v>
      </c>
      <c r="AV5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5" s="17">
        <f>IF(Audit[[#This Row],[Max Relative Error (ep)]] = 0, 0, Audit[[#This Row],[Max Relative Error (ep)]]/Audit[[#This Row],[Error Bound (up) - Max. possible relative overstatement]])</f>
        <v>0</v>
      </c>
      <c r="BH5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45" s="17">
        <f t="shared" si="9"/>
        <v>1</v>
      </c>
      <c r="BJ545" s="17">
        <f>PRODUCT($BI$5:BI545)</f>
        <v>0.3924021149671667</v>
      </c>
      <c r="BK545" s="19">
        <f>1 - Audit[[#This Row],[K-M P Value]]</f>
        <v>0.6075978850328333</v>
      </c>
      <c r="BL545" s="17" t="str">
        <f>IF(Audit[[#This Row],[K-M P Value]]&gt;1-'General Info'!$B$12,"Continue", "Stop")</f>
        <v>Continue</v>
      </c>
      <c r="BM545" s="22" t="b">
        <f>IF(Audit[[#This Row],[Status - Continue or stop audit]] = "Continue", TRUE, IF(BL544 = "Continue", TRUE, FALSE))</f>
        <v>1</v>
      </c>
      <c r="BN545" s="22"/>
    </row>
    <row r="546" spans="1:66" ht="15" hidden="1" customHeight="1" x14ac:dyDescent="0.35">
      <c r="A546" s="17" t="str">
        <f>'Sampling Data'!AI546</f>
        <v/>
      </c>
      <c r="B546" s="17" t="str">
        <f>'Sampling Data'!A546</f>
        <v>8913 SYCAM M   (AV)</v>
      </c>
      <c r="C546" s="17">
        <f>'Sampling Data'!B546</f>
        <v>123</v>
      </c>
      <c r="D546" s="17">
        <f>'Sampling Data'!C546</f>
        <v>142</v>
      </c>
      <c r="E546" s="18">
        <f>'Sampling Data'!D546</f>
        <v>0</v>
      </c>
      <c r="F546" s="18">
        <f>'Sampling Data'!E546</f>
        <v>0</v>
      </c>
      <c r="G546" s="18">
        <f>'Sampling Data'!F546</f>
        <v>0</v>
      </c>
      <c r="H546" s="18">
        <f>'Sampling Data'!G546</f>
        <v>0</v>
      </c>
      <c r="I546" s="18">
        <f>'Sampling Data'!H546</f>
        <v>0</v>
      </c>
      <c r="J546" s="18">
        <f>'Sampling Data'!I546</f>
        <v>0</v>
      </c>
      <c r="K546" s="18">
        <f>'Sampling Data'!J546</f>
        <v>0</v>
      </c>
      <c r="L546" s="18">
        <f>'Sampling Data'!K546</f>
        <v>0</v>
      </c>
      <c r="M546" s="18">
        <f>'Sampling Data'!L546</f>
        <v>0</v>
      </c>
      <c r="N546" s="18">
        <f>'Sampling Data'!M546</f>
        <v>0</v>
      </c>
      <c r="O546" s="17">
        <f>'Sampling Data'!N546</f>
        <v>0</v>
      </c>
      <c r="P546" s="17">
        <f>'Sampling Data'!O546</f>
        <v>19</v>
      </c>
      <c r="Q546" s="17">
        <f>'Sampling Data'!P546</f>
        <v>284</v>
      </c>
      <c r="R546" s="17">
        <f>'Sampling Data'!AJ546</f>
        <v>0</v>
      </c>
      <c r="S546" s="111"/>
      <c r="T546" s="111"/>
      <c r="U546" s="112"/>
      <c r="V546" s="112"/>
      <c r="W546" s="111"/>
      <c r="X546" s="111"/>
      <c r="Y546" s="111"/>
      <c r="Z546" s="111"/>
      <c r="AA546" s="14"/>
      <c r="AB546" s="14"/>
      <c r="AC546" s="14"/>
      <c r="AD546" s="14"/>
      <c r="AE546" s="113" t="str">
        <f>IF(NOT(ISBLANK(Audit[[#This Row],[Audit Winning Candidate]])), Audit[[#This Row],[Audit Winning Candidate]]-Audit[[#This Row],[Winning Candidate]], "")</f>
        <v/>
      </c>
      <c r="AF546" s="17" t="str">
        <f>IF(NOT(ISBLANK(Audit[[#This Row],[Audit Losing Candidate]])), Audit[[#This Row],[Audit Losing Candidate]]-Audit[[#This Row],[Losing Candidate]], "")</f>
        <v/>
      </c>
      <c r="AG546" s="17" t="str">
        <f>IF(NOT(ISBLANK(Audit[[#This Row],[Audit Candidate 3]])), Audit[[#This Row],[Audit Candidate 3]]-Audit[[#This Row],[Candidate 3]], "")</f>
        <v/>
      </c>
      <c r="AH546" s="17" t="str">
        <f>IF(NOT(ISBLANK(Audit[[#This Row],[Audit Candidate 4]])),Audit[[#This Row],[Audit Candidate 4]]-Audit[[#This Row],[Candidate 4]], "")</f>
        <v/>
      </c>
      <c r="AI546" s="17" t="str">
        <f>IF(NOT(ISBLANK(Audit[[#This Row],[Audit Candidate 5]])), Audit[[#This Row],[Audit Candidate 5]]-Audit[[#This Row],[Candidate 5]], "")</f>
        <v/>
      </c>
      <c r="AJ546" s="17" t="str">
        <f>IF(NOT(ISBLANK(Audit[[#This Row],[Audit Candidate 6]])), Audit[[#This Row],[Audit Candidate 6]]-Audit[[#This Row],[Candidate 6]], "")</f>
        <v/>
      </c>
      <c r="AK546" s="17" t="str">
        <f>IF(NOT(ISBLANK(Audit[[#This Row],[Audit Candidate 7]])), Audit[[#This Row],[Audit Candidate 7]]-Audit[[#This Row],[Candidate 7]], "")</f>
        <v/>
      </c>
      <c r="AL546" s="17" t="str">
        <f>IF(NOT(ISBLANK(Audit[[#This Row],[Audit Candidate 8]])), Audit[[#This Row],[Audit Candidate 8]]-Audit[[#This Row],[Candidate 8]], "")</f>
        <v/>
      </c>
      <c r="AM546" s="17" t="str">
        <f>IF(NOT(ISBLANK(Audit[[#This Row],[Audit Candidate 9]])), Audit[[#This Row],[Audit Candidate 9]]-Audit[[#This Row],[Candidate 9]], "")</f>
        <v/>
      </c>
      <c r="AN546" s="17" t="str">
        <f>IF(NOT(ISBLANK(Audit[[#This Row],[Audit Candidate 10]])), Audit[[#This Row],[Audit Candidate 10]]-Audit[[#This Row],[Candidate 10]], "")</f>
        <v/>
      </c>
      <c r="AO546" s="17" t="str">
        <f>IF(NOT(ISBLANK(Audit[[#This Row],[Audit Candidate 11]])), Audit[[#This Row],[Audit Candidate 11]]-Audit[[#This Row],[Candidate 11]], "")</f>
        <v/>
      </c>
      <c r="AP546" s="17" t="str">
        <f>IF(NOT(ISBLANK(Audit[[#This Row],[Audit Candidate 12]])), Audit[[#This Row],[Audit Candidate 12]]-Audit[[#This Row],[Candidate 12]], "")</f>
        <v/>
      </c>
      <c r="AQ546" s="17">
        <f>SUMIF(Audit[[#This Row],[Difference Winner]:[Difference Candidate 12]], "&gt;0")</f>
        <v>0</v>
      </c>
      <c r="AR546" s="17">
        <f>SUM(Audit[[#This Row],[Difference Winner]:[Difference Candidate 12]])</f>
        <v>0</v>
      </c>
      <c r="AS546" s="17">
        <f>IF(Audit[[#This Row],[Times p Drawn - With Replacement]]&gt;0, IF(Audit[[#This Row],[Canceled Differences]]&lt;0, Audit[[#This Row],[Max Differences]]+ABS(Audit[[#This Row],[Canceled Differences]]), Audit[[#This Row],[Max Differences]]), 0)</f>
        <v>0</v>
      </c>
      <c r="AT546" s="17">
        <f>'Sampling Data'!AB546</f>
        <v>1.1245968426413172E-2</v>
      </c>
      <c r="AU546" s="17">
        <f>IF(
      SUM(Audit[[#This Row],[Audit Losing Candidate]:[Audit Candidate 12]])
      &lt;&gt;0,
      (Audit[[#This Row],[Winning Candidate]]-Audit[[#This Row],[Losing Candidate]]-(Audit[[#This Row],[Audit Winning Candidate]]-Audit[[#This Row],[Audit Losing Candidate]]))/(Audit[[#Totals],[Winning Candidate]]-Audit[[#Totals],[Losing Candidate]]),
      0
)</f>
        <v>0</v>
      </c>
      <c r="AV5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6" s="17">
        <f>IF(Audit[[#This Row],[Max Relative Error (ep)]] = 0, 0, Audit[[#This Row],[Max Relative Error (ep)]]/Audit[[#This Row],[Error Bound (up) - Max. possible relative overstatement]])</f>
        <v>0</v>
      </c>
      <c r="BH5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46" s="17">
        <f t="shared" si="9"/>
        <v>1</v>
      </c>
      <c r="BJ546" s="17">
        <f>PRODUCT($BI$5:BI546)</f>
        <v>0.3924021149671667</v>
      </c>
      <c r="BK546" s="19">
        <f>1 - Audit[[#This Row],[K-M P Value]]</f>
        <v>0.6075978850328333</v>
      </c>
      <c r="BL546" s="17" t="str">
        <f>IF(Audit[[#This Row],[K-M P Value]]&gt;1-'General Info'!$B$12,"Continue", "Stop")</f>
        <v>Continue</v>
      </c>
      <c r="BM546" s="22" t="b">
        <f>IF(Audit[[#This Row],[Status - Continue or stop audit]] = "Continue", TRUE, IF(BL545 = "Continue", TRUE, FALSE))</f>
        <v>1</v>
      </c>
      <c r="BN546" s="22"/>
    </row>
    <row r="547" spans="1:66" ht="15" hidden="1" customHeight="1" x14ac:dyDescent="0.35">
      <c r="A547" s="17" t="str">
        <f>'Sampling Data'!AI547</f>
        <v/>
      </c>
      <c r="B547" s="17" t="str">
        <f>'Sampling Data'!A547</f>
        <v>8914 SYCAM N   (AV)</v>
      </c>
      <c r="C547" s="17">
        <f>'Sampling Data'!B547</f>
        <v>189</v>
      </c>
      <c r="D547" s="17">
        <f>'Sampling Data'!C547</f>
        <v>179</v>
      </c>
      <c r="E547" s="18">
        <f>'Sampling Data'!D547</f>
        <v>0</v>
      </c>
      <c r="F547" s="18">
        <f>'Sampling Data'!E547</f>
        <v>0</v>
      </c>
      <c r="G547" s="18">
        <f>'Sampling Data'!F547</f>
        <v>0</v>
      </c>
      <c r="H547" s="18">
        <f>'Sampling Data'!G547</f>
        <v>0</v>
      </c>
      <c r="I547" s="18">
        <f>'Sampling Data'!H547</f>
        <v>0</v>
      </c>
      <c r="J547" s="18">
        <f>'Sampling Data'!I547</f>
        <v>0</v>
      </c>
      <c r="K547" s="18">
        <f>'Sampling Data'!J547</f>
        <v>0</v>
      </c>
      <c r="L547" s="18">
        <f>'Sampling Data'!K547</f>
        <v>0</v>
      </c>
      <c r="M547" s="18">
        <f>'Sampling Data'!L547</f>
        <v>0</v>
      </c>
      <c r="N547" s="18">
        <f>'Sampling Data'!M547</f>
        <v>0</v>
      </c>
      <c r="O547" s="17">
        <f>'Sampling Data'!N547</f>
        <v>0</v>
      </c>
      <c r="P547" s="17">
        <f>'Sampling Data'!O547</f>
        <v>24</v>
      </c>
      <c r="Q547" s="17">
        <f>'Sampling Data'!P547</f>
        <v>392</v>
      </c>
      <c r="R547" s="17">
        <f>'Sampling Data'!AJ547</f>
        <v>0</v>
      </c>
      <c r="S547" s="111"/>
      <c r="T547" s="111"/>
      <c r="U547" s="112"/>
      <c r="V547" s="112"/>
      <c r="W547" s="111"/>
      <c r="X547" s="111"/>
      <c r="Y547" s="111"/>
      <c r="Z547" s="111"/>
      <c r="AA547" s="14"/>
      <c r="AB547" s="14"/>
      <c r="AC547" s="14"/>
      <c r="AD547" s="14"/>
      <c r="AE547" s="113" t="str">
        <f>IF(NOT(ISBLANK(Audit[[#This Row],[Audit Winning Candidate]])), Audit[[#This Row],[Audit Winning Candidate]]-Audit[[#This Row],[Winning Candidate]], "")</f>
        <v/>
      </c>
      <c r="AF547" s="17" t="str">
        <f>IF(NOT(ISBLANK(Audit[[#This Row],[Audit Losing Candidate]])), Audit[[#This Row],[Audit Losing Candidate]]-Audit[[#This Row],[Losing Candidate]], "")</f>
        <v/>
      </c>
      <c r="AG547" s="17" t="str">
        <f>IF(NOT(ISBLANK(Audit[[#This Row],[Audit Candidate 3]])), Audit[[#This Row],[Audit Candidate 3]]-Audit[[#This Row],[Candidate 3]], "")</f>
        <v/>
      </c>
      <c r="AH547" s="17" t="str">
        <f>IF(NOT(ISBLANK(Audit[[#This Row],[Audit Candidate 4]])),Audit[[#This Row],[Audit Candidate 4]]-Audit[[#This Row],[Candidate 4]], "")</f>
        <v/>
      </c>
      <c r="AI547" s="17" t="str">
        <f>IF(NOT(ISBLANK(Audit[[#This Row],[Audit Candidate 5]])), Audit[[#This Row],[Audit Candidate 5]]-Audit[[#This Row],[Candidate 5]], "")</f>
        <v/>
      </c>
      <c r="AJ547" s="17" t="str">
        <f>IF(NOT(ISBLANK(Audit[[#This Row],[Audit Candidate 6]])), Audit[[#This Row],[Audit Candidate 6]]-Audit[[#This Row],[Candidate 6]], "")</f>
        <v/>
      </c>
      <c r="AK547" s="17" t="str">
        <f>IF(NOT(ISBLANK(Audit[[#This Row],[Audit Candidate 7]])), Audit[[#This Row],[Audit Candidate 7]]-Audit[[#This Row],[Candidate 7]], "")</f>
        <v/>
      </c>
      <c r="AL547" s="17" t="str">
        <f>IF(NOT(ISBLANK(Audit[[#This Row],[Audit Candidate 8]])), Audit[[#This Row],[Audit Candidate 8]]-Audit[[#This Row],[Candidate 8]], "")</f>
        <v/>
      </c>
      <c r="AM547" s="17" t="str">
        <f>IF(NOT(ISBLANK(Audit[[#This Row],[Audit Candidate 9]])), Audit[[#This Row],[Audit Candidate 9]]-Audit[[#This Row],[Candidate 9]], "")</f>
        <v/>
      </c>
      <c r="AN547" s="17" t="str">
        <f>IF(NOT(ISBLANK(Audit[[#This Row],[Audit Candidate 10]])), Audit[[#This Row],[Audit Candidate 10]]-Audit[[#This Row],[Candidate 10]], "")</f>
        <v/>
      </c>
      <c r="AO547" s="17" t="str">
        <f>IF(NOT(ISBLANK(Audit[[#This Row],[Audit Candidate 11]])), Audit[[#This Row],[Audit Candidate 11]]-Audit[[#This Row],[Candidate 11]], "")</f>
        <v/>
      </c>
      <c r="AP547" s="17" t="str">
        <f>IF(NOT(ISBLANK(Audit[[#This Row],[Audit Candidate 12]])), Audit[[#This Row],[Audit Candidate 12]]-Audit[[#This Row],[Candidate 12]], "")</f>
        <v/>
      </c>
      <c r="AQ547" s="17">
        <f>SUMIF(Audit[[#This Row],[Difference Winner]:[Difference Candidate 12]], "&gt;0")</f>
        <v>0</v>
      </c>
      <c r="AR547" s="17">
        <f>SUM(Audit[[#This Row],[Difference Winner]:[Difference Candidate 12]])</f>
        <v>0</v>
      </c>
      <c r="AS547" s="17">
        <f>IF(Audit[[#This Row],[Times p Drawn - With Replacement]]&gt;0, IF(Audit[[#This Row],[Canceled Differences]]&lt;0, Audit[[#This Row],[Max Differences]]+ABS(Audit[[#This Row],[Canceled Differences]]), Audit[[#This Row],[Max Differences]]), 0)</f>
        <v>0</v>
      </c>
      <c r="AT547" s="17">
        <f>'Sampling Data'!AB547</f>
        <v>1.7059921914785267E-2</v>
      </c>
      <c r="AU547" s="17">
        <f>IF(
      SUM(Audit[[#This Row],[Audit Losing Candidate]:[Audit Candidate 12]])
      &lt;&gt;0,
      (Audit[[#This Row],[Winning Candidate]]-Audit[[#This Row],[Losing Candidate]]-(Audit[[#This Row],[Audit Winning Candidate]]-Audit[[#This Row],[Audit Losing Candidate]]))/(Audit[[#Totals],[Winning Candidate]]-Audit[[#Totals],[Losing Candidate]]),
      0
)</f>
        <v>0</v>
      </c>
      <c r="AV5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7" s="17">
        <f>IF(Audit[[#This Row],[Max Relative Error (ep)]] = 0, 0, Audit[[#This Row],[Max Relative Error (ep)]]/Audit[[#This Row],[Error Bound (up) - Max. possible relative overstatement]])</f>
        <v>0</v>
      </c>
      <c r="BH5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47" s="17">
        <f t="shared" si="9"/>
        <v>1</v>
      </c>
      <c r="BJ547" s="17">
        <f>PRODUCT($BI$5:BI547)</f>
        <v>0.3924021149671667</v>
      </c>
      <c r="BK547" s="19">
        <f>1 - Audit[[#This Row],[K-M P Value]]</f>
        <v>0.6075978850328333</v>
      </c>
      <c r="BL547" s="17" t="str">
        <f>IF(Audit[[#This Row],[K-M P Value]]&gt;1-'General Info'!$B$12,"Continue", "Stop")</f>
        <v>Continue</v>
      </c>
      <c r="BM547" s="22" t="b">
        <f>IF(Audit[[#This Row],[Status - Continue or stop audit]] = "Continue", TRUE, IF(BL546 = "Continue", TRUE, FALSE))</f>
        <v>1</v>
      </c>
      <c r="BN547" s="22"/>
    </row>
    <row r="548" spans="1:66" ht="15" hidden="1" customHeight="1" x14ac:dyDescent="0.35">
      <c r="A548" s="17" t="str">
        <f>'Sampling Data'!AI548</f>
        <v/>
      </c>
      <c r="B548" s="17" t="str">
        <f>'Sampling Data'!A548</f>
        <v>9101 SYMM A   (AV)</v>
      </c>
      <c r="C548" s="17">
        <f>'Sampling Data'!B548</f>
        <v>45</v>
      </c>
      <c r="D548" s="17">
        <f>'Sampling Data'!C548</f>
        <v>15</v>
      </c>
      <c r="E548" s="18">
        <f>'Sampling Data'!D548</f>
        <v>0</v>
      </c>
      <c r="F548" s="18">
        <f>'Sampling Data'!E548</f>
        <v>0</v>
      </c>
      <c r="G548" s="18">
        <f>'Sampling Data'!F548</f>
        <v>0</v>
      </c>
      <c r="H548" s="18">
        <f>'Sampling Data'!G548</f>
        <v>0</v>
      </c>
      <c r="I548" s="18">
        <f>'Sampling Data'!H548</f>
        <v>0</v>
      </c>
      <c r="J548" s="18">
        <f>'Sampling Data'!I548</f>
        <v>0</v>
      </c>
      <c r="K548" s="18">
        <f>'Sampling Data'!J548</f>
        <v>0</v>
      </c>
      <c r="L548" s="18">
        <f>'Sampling Data'!K548</f>
        <v>0</v>
      </c>
      <c r="M548" s="18">
        <f>'Sampling Data'!L548</f>
        <v>0</v>
      </c>
      <c r="N548" s="18">
        <f>'Sampling Data'!M548</f>
        <v>0</v>
      </c>
      <c r="O548" s="17">
        <f>'Sampling Data'!N548</f>
        <v>0</v>
      </c>
      <c r="P548" s="17">
        <f>'Sampling Data'!O548</f>
        <v>4</v>
      </c>
      <c r="Q548" s="17">
        <f>'Sampling Data'!P548</f>
        <v>64</v>
      </c>
      <c r="R548" s="17">
        <f>'Sampling Data'!AJ548</f>
        <v>0</v>
      </c>
      <c r="S548" s="111"/>
      <c r="T548" s="111"/>
      <c r="U548" s="112"/>
      <c r="V548" s="112"/>
      <c r="W548" s="111"/>
      <c r="X548" s="111"/>
      <c r="Y548" s="111"/>
      <c r="Z548" s="111"/>
      <c r="AA548" s="14"/>
      <c r="AB548" s="14"/>
      <c r="AC548" s="14"/>
      <c r="AD548" s="14"/>
      <c r="AE548" s="113" t="str">
        <f>IF(NOT(ISBLANK(Audit[[#This Row],[Audit Winning Candidate]])), Audit[[#This Row],[Audit Winning Candidate]]-Audit[[#This Row],[Winning Candidate]], "")</f>
        <v/>
      </c>
      <c r="AF548" s="17" t="str">
        <f>IF(NOT(ISBLANK(Audit[[#This Row],[Audit Losing Candidate]])), Audit[[#This Row],[Audit Losing Candidate]]-Audit[[#This Row],[Losing Candidate]], "")</f>
        <v/>
      </c>
      <c r="AG548" s="17" t="str">
        <f>IF(NOT(ISBLANK(Audit[[#This Row],[Audit Candidate 3]])), Audit[[#This Row],[Audit Candidate 3]]-Audit[[#This Row],[Candidate 3]], "")</f>
        <v/>
      </c>
      <c r="AH548" s="17" t="str">
        <f>IF(NOT(ISBLANK(Audit[[#This Row],[Audit Candidate 4]])),Audit[[#This Row],[Audit Candidate 4]]-Audit[[#This Row],[Candidate 4]], "")</f>
        <v/>
      </c>
      <c r="AI548" s="17" t="str">
        <f>IF(NOT(ISBLANK(Audit[[#This Row],[Audit Candidate 5]])), Audit[[#This Row],[Audit Candidate 5]]-Audit[[#This Row],[Candidate 5]], "")</f>
        <v/>
      </c>
      <c r="AJ548" s="17" t="str">
        <f>IF(NOT(ISBLANK(Audit[[#This Row],[Audit Candidate 6]])), Audit[[#This Row],[Audit Candidate 6]]-Audit[[#This Row],[Candidate 6]], "")</f>
        <v/>
      </c>
      <c r="AK548" s="17" t="str">
        <f>IF(NOT(ISBLANK(Audit[[#This Row],[Audit Candidate 7]])), Audit[[#This Row],[Audit Candidate 7]]-Audit[[#This Row],[Candidate 7]], "")</f>
        <v/>
      </c>
      <c r="AL548" s="17" t="str">
        <f>IF(NOT(ISBLANK(Audit[[#This Row],[Audit Candidate 8]])), Audit[[#This Row],[Audit Candidate 8]]-Audit[[#This Row],[Candidate 8]], "")</f>
        <v/>
      </c>
      <c r="AM548" s="17" t="str">
        <f>IF(NOT(ISBLANK(Audit[[#This Row],[Audit Candidate 9]])), Audit[[#This Row],[Audit Candidate 9]]-Audit[[#This Row],[Candidate 9]], "")</f>
        <v/>
      </c>
      <c r="AN548" s="17" t="str">
        <f>IF(NOT(ISBLANK(Audit[[#This Row],[Audit Candidate 10]])), Audit[[#This Row],[Audit Candidate 10]]-Audit[[#This Row],[Candidate 10]], "")</f>
        <v/>
      </c>
      <c r="AO548" s="17" t="str">
        <f>IF(NOT(ISBLANK(Audit[[#This Row],[Audit Candidate 11]])), Audit[[#This Row],[Audit Candidate 11]]-Audit[[#This Row],[Candidate 11]], "")</f>
        <v/>
      </c>
      <c r="AP548" s="17" t="str">
        <f>IF(NOT(ISBLANK(Audit[[#This Row],[Audit Candidate 12]])), Audit[[#This Row],[Audit Candidate 12]]-Audit[[#This Row],[Candidate 12]], "")</f>
        <v/>
      </c>
      <c r="AQ548" s="17">
        <f>SUMIF(Audit[[#This Row],[Difference Winner]:[Difference Candidate 12]], "&gt;0")</f>
        <v>0</v>
      </c>
      <c r="AR548" s="17">
        <f>SUM(Audit[[#This Row],[Difference Winner]:[Difference Candidate 12]])</f>
        <v>0</v>
      </c>
      <c r="AS548" s="17">
        <f>IF(Audit[[#This Row],[Times p Drawn - With Replacement]]&gt;0, IF(Audit[[#This Row],[Canceled Differences]]&lt;0, Audit[[#This Row],[Max Differences]]+ABS(Audit[[#This Row],[Canceled Differences]]), Audit[[#This Row],[Max Differences]]), 0)</f>
        <v>0</v>
      </c>
      <c r="AT548" s="17">
        <f>'Sampling Data'!AB548</f>
        <v>3.9891359701239183E-3</v>
      </c>
      <c r="AU548" s="17">
        <f>IF(
      SUM(Audit[[#This Row],[Audit Losing Candidate]:[Audit Candidate 12]])
      &lt;&gt;0,
      (Audit[[#This Row],[Winning Candidate]]-Audit[[#This Row],[Losing Candidate]]-(Audit[[#This Row],[Audit Winning Candidate]]-Audit[[#This Row],[Audit Losing Candidate]]))/(Audit[[#Totals],[Winning Candidate]]-Audit[[#Totals],[Losing Candidate]]),
      0
)</f>
        <v>0</v>
      </c>
      <c r="AV5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8" s="17">
        <f>IF(Audit[[#This Row],[Max Relative Error (ep)]] = 0, 0, Audit[[#This Row],[Max Relative Error (ep)]]/Audit[[#This Row],[Error Bound (up) - Max. possible relative overstatement]])</f>
        <v>0</v>
      </c>
      <c r="BH5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48" s="17">
        <f t="shared" si="9"/>
        <v>1</v>
      </c>
      <c r="BJ548" s="17">
        <f>PRODUCT($BI$5:BI548)</f>
        <v>0.3924021149671667</v>
      </c>
      <c r="BK548" s="19">
        <f>1 - Audit[[#This Row],[K-M P Value]]</f>
        <v>0.6075978850328333</v>
      </c>
      <c r="BL548" s="17" t="str">
        <f>IF(Audit[[#This Row],[K-M P Value]]&gt;1-'General Info'!$B$12,"Continue", "Stop")</f>
        <v>Continue</v>
      </c>
      <c r="BM548" s="22" t="b">
        <f>IF(Audit[[#This Row],[Status - Continue or stop audit]] = "Continue", TRUE, IF(BL547 = "Continue", TRUE, FALSE))</f>
        <v>1</v>
      </c>
      <c r="BN548" s="22"/>
    </row>
    <row r="549" spans="1:66" ht="15" hidden="1" customHeight="1" x14ac:dyDescent="0.35">
      <c r="A549" s="17" t="str">
        <f>'Sampling Data'!AI549</f>
        <v/>
      </c>
      <c r="B549" s="17" t="str">
        <f>'Sampling Data'!A549</f>
        <v>9102 SYMM B   (AV)</v>
      </c>
      <c r="C549" s="17">
        <f>'Sampling Data'!B549</f>
        <v>199</v>
      </c>
      <c r="D549" s="17">
        <f>'Sampling Data'!C549</f>
        <v>182</v>
      </c>
      <c r="E549" s="18">
        <f>'Sampling Data'!D549</f>
        <v>0</v>
      </c>
      <c r="F549" s="18">
        <f>'Sampling Data'!E549</f>
        <v>0</v>
      </c>
      <c r="G549" s="18">
        <f>'Sampling Data'!F549</f>
        <v>0</v>
      </c>
      <c r="H549" s="18">
        <f>'Sampling Data'!G549</f>
        <v>0</v>
      </c>
      <c r="I549" s="18">
        <f>'Sampling Data'!H549</f>
        <v>0</v>
      </c>
      <c r="J549" s="18">
        <f>'Sampling Data'!I549</f>
        <v>0</v>
      </c>
      <c r="K549" s="18">
        <f>'Sampling Data'!J549</f>
        <v>0</v>
      </c>
      <c r="L549" s="18">
        <f>'Sampling Data'!K549</f>
        <v>0</v>
      </c>
      <c r="M549" s="18">
        <f>'Sampling Data'!L549</f>
        <v>0</v>
      </c>
      <c r="N549" s="18">
        <f>'Sampling Data'!M549</f>
        <v>0</v>
      </c>
      <c r="O549" s="17">
        <f>'Sampling Data'!N549</f>
        <v>0</v>
      </c>
      <c r="P549" s="17">
        <f>'Sampling Data'!O549</f>
        <v>22</v>
      </c>
      <c r="Q549" s="17">
        <f>'Sampling Data'!P549</f>
        <v>403</v>
      </c>
      <c r="R549" s="17">
        <f>'Sampling Data'!AJ549</f>
        <v>0</v>
      </c>
      <c r="S549" s="111"/>
      <c r="T549" s="111"/>
      <c r="U549" s="112"/>
      <c r="V549" s="112"/>
      <c r="W549" s="111"/>
      <c r="X549" s="111"/>
      <c r="Y549" s="111"/>
      <c r="Z549" s="111"/>
      <c r="AA549" s="14"/>
      <c r="AB549" s="14"/>
      <c r="AC549" s="14"/>
      <c r="AD549" s="14"/>
      <c r="AE549" s="113" t="str">
        <f>IF(NOT(ISBLANK(Audit[[#This Row],[Audit Winning Candidate]])), Audit[[#This Row],[Audit Winning Candidate]]-Audit[[#This Row],[Winning Candidate]], "")</f>
        <v/>
      </c>
      <c r="AF549" s="17" t="str">
        <f>IF(NOT(ISBLANK(Audit[[#This Row],[Audit Losing Candidate]])), Audit[[#This Row],[Audit Losing Candidate]]-Audit[[#This Row],[Losing Candidate]], "")</f>
        <v/>
      </c>
      <c r="AG549" s="17" t="str">
        <f>IF(NOT(ISBLANK(Audit[[#This Row],[Audit Candidate 3]])), Audit[[#This Row],[Audit Candidate 3]]-Audit[[#This Row],[Candidate 3]], "")</f>
        <v/>
      </c>
      <c r="AH549" s="17" t="str">
        <f>IF(NOT(ISBLANK(Audit[[#This Row],[Audit Candidate 4]])),Audit[[#This Row],[Audit Candidate 4]]-Audit[[#This Row],[Candidate 4]], "")</f>
        <v/>
      </c>
      <c r="AI549" s="17" t="str">
        <f>IF(NOT(ISBLANK(Audit[[#This Row],[Audit Candidate 5]])), Audit[[#This Row],[Audit Candidate 5]]-Audit[[#This Row],[Candidate 5]], "")</f>
        <v/>
      </c>
      <c r="AJ549" s="17" t="str">
        <f>IF(NOT(ISBLANK(Audit[[#This Row],[Audit Candidate 6]])), Audit[[#This Row],[Audit Candidate 6]]-Audit[[#This Row],[Candidate 6]], "")</f>
        <v/>
      </c>
      <c r="AK549" s="17" t="str">
        <f>IF(NOT(ISBLANK(Audit[[#This Row],[Audit Candidate 7]])), Audit[[#This Row],[Audit Candidate 7]]-Audit[[#This Row],[Candidate 7]], "")</f>
        <v/>
      </c>
      <c r="AL549" s="17" t="str">
        <f>IF(NOT(ISBLANK(Audit[[#This Row],[Audit Candidate 8]])), Audit[[#This Row],[Audit Candidate 8]]-Audit[[#This Row],[Candidate 8]], "")</f>
        <v/>
      </c>
      <c r="AM549" s="17" t="str">
        <f>IF(NOT(ISBLANK(Audit[[#This Row],[Audit Candidate 9]])), Audit[[#This Row],[Audit Candidate 9]]-Audit[[#This Row],[Candidate 9]], "")</f>
        <v/>
      </c>
      <c r="AN549" s="17" t="str">
        <f>IF(NOT(ISBLANK(Audit[[#This Row],[Audit Candidate 10]])), Audit[[#This Row],[Audit Candidate 10]]-Audit[[#This Row],[Candidate 10]], "")</f>
        <v/>
      </c>
      <c r="AO549" s="17" t="str">
        <f>IF(NOT(ISBLANK(Audit[[#This Row],[Audit Candidate 11]])), Audit[[#This Row],[Audit Candidate 11]]-Audit[[#This Row],[Candidate 11]], "")</f>
        <v/>
      </c>
      <c r="AP549" s="17" t="str">
        <f>IF(NOT(ISBLANK(Audit[[#This Row],[Audit Candidate 12]])), Audit[[#This Row],[Audit Candidate 12]]-Audit[[#This Row],[Candidate 12]], "")</f>
        <v/>
      </c>
      <c r="AQ549" s="17">
        <f>SUMIF(Audit[[#This Row],[Difference Winner]:[Difference Candidate 12]], "&gt;0")</f>
        <v>0</v>
      </c>
      <c r="AR549" s="17">
        <f>SUM(Audit[[#This Row],[Difference Winner]:[Difference Candidate 12]])</f>
        <v>0</v>
      </c>
      <c r="AS549" s="17">
        <f>IF(Audit[[#This Row],[Times p Drawn - With Replacement]]&gt;0, IF(Audit[[#This Row],[Canceled Differences]]&lt;0, Audit[[#This Row],[Max Differences]]+ABS(Audit[[#This Row],[Canceled Differences]]), Audit[[#This Row],[Max Differences]]), 0)</f>
        <v>0</v>
      </c>
      <c r="AT549" s="17">
        <f>'Sampling Data'!AB549</f>
        <v>1.7823799015447294E-2</v>
      </c>
      <c r="AU549" s="17">
        <f>IF(
      SUM(Audit[[#This Row],[Audit Losing Candidate]:[Audit Candidate 12]])
      &lt;&gt;0,
      (Audit[[#This Row],[Winning Candidate]]-Audit[[#This Row],[Losing Candidate]]-(Audit[[#This Row],[Audit Winning Candidate]]-Audit[[#This Row],[Audit Losing Candidate]]))/(Audit[[#Totals],[Winning Candidate]]-Audit[[#Totals],[Losing Candidate]]),
      0
)</f>
        <v>0</v>
      </c>
      <c r="AV5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9" s="17">
        <f>IF(Audit[[#This Row],[Max Relative Error (ep)]] = 0, 0, Audit[[#This Row],[Max Relative Error (ep)]]/Audit[[#This Row],[Error Bound (up) - Max. possible relative overstatement]])</f>
        <v>0</v>
      </c>
      <c r="BH5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49" s="17">
        <f t="shared" si="9"/>
        <v>1</v>
      </c>
      <c r="BJ549" s="17">
        <f>PRODUCT($BI$5:BI549)</f>
        <v>0.3924021149671667</v>
      </c>
      <c r="BK549" s="19">
        <f>1 - Audit[[#This Row],[K-M P Value]]</f>
        <v>0.6075978850328333</v>
      </c>
      <c r="BL549" s="17" t="str">
        <f>IF(Audit[[#This Row],[K-M P Value]]&gt;1-'General Info'!$B$12,"Continue", "Stop")</f>
        <v>Continue</v>
      </c>
      <c r="BM549" s="22" t="b">
        <f>IF(Audit[[#This Row],[Status - Continue or stop audit]] = "Continue", TRUE, IF(BL548 = "Continue", TRUE, FALSE))</f>
        <v>1</v>
      </c>
      <c r="BN549" s="22"/>
    </row>
    <row r="550" spans="1:66" ht="15" hidden="1" customHeight="1" x14ac:dyDescent="0.35">
      <c r="A550" s="17" t="str">
        <f>'Sampling Data'!AI550</f>
        <v/>
      </c>
      <c r="B550" s="17" t="str">
        <f>'Sampling Data'!A550</f>
        <v>9103 SYMM C   (AV)</v>
      </c>
      <c r="C550" s="17">
        <f>'Sampling Data'!B550</f>
        <v>230</v>
      </c>
      <c r="D550" s="17">
        <f>'Sampling Data'!C550</f>
        <v>214</v>
      </c>
      <c r="E550" s="18">
        <f>'Sampling Data'!D550</f>
        <v>0</v>
      </c>
      <c r="F550" s="18">
        <f>'Sampling Data'!E550</f>
        <v>0</v>
      </c>
      <c r="G550" s="18">
        <f>'Sampling Data'!F550</f>
        <v>0</v>
      </c>
      <c r="H550" s="18">
        <f>'Sampling Data'!G550</f>
        <v>0</v>
      </c>
      <c r="I550" s="18">
        <f>'Sampling Data'!H550</f>
        <v>0</v>
      </c>
      <c r="J550" s="18">
        <f>'Sampling Data'!I550</f>
        <v>0</v>
      </c>
      <c r="K550" s="18">
        <f>'Sampling Data'!J550</f>
        <v>0</v>
      </c>
      <c r="L550" s="18">
        <f>'Sampling Data'!K550</f>
        <v>0</v>
      </c>
      <c r="M550" s="18">
        <f>'Sampling Data'!L550</f>
        <v>0</v>
      </c>
      <c r="N550" s="18">
        <f>'Sampling Data'!M550</f>
        <v>0</v>
      </c>
      <c r="O550" s="17">
        <f>'Sampling Data'!N550</f>
        <v>0</v>
      </c>
      <c r="P550" s="17">
        <f>'Sampling Data'!O550</f>
        <v>31</v>
      </c>
      <c r="Q550" s="17">
        <f>'Sampling Data'!P550</f>
        <v>475</v>
      </c>
      <c r="R550" s="17">
        <f>'Sampling Data'!AJ550</f>
        <v>0</v>
      </c>
      <c r="S550" s="111"/>
      <c r="T550" s="111"/>
      <c r="U550" s="112"/>
      <c r="V550" s="112"/>
      <c r="W550" s="111"/>
      <c r="X550" s="111"/>
      <c r="Y550" s="111"/>
      <c r="Z550" s="111"/>
      <c r="AA550" s="14"/>
      <c r="AB550" s="14"/>
      <c r="AC550" s="14"/>
      <c r="AD550" s="14"/>
      <c r="AE550" s="113" t="str">
        <f>IF(NOT(ISBLANK(Audit[[#This Row],[Audit Winning Candidate]])), Audit[[#This Row],[Audit Winning Candidate]]-Audit[[#This Row],[Winning Candidate]], "")</f>
        <v/>
      </c>
      <c r="AF550" s="17" t="str">
        <f>IF(NOT(ISBLANK(Audit[[#This Row],[Audit Losing Candidate]])), Audit[[#This Row],[Audit Losing Candidate]]-Audit[[#This Row],[Losing Candidate]], "")</f>
        <v/>
      </c>
      <c r="AG550" s="17" t="str">
        <f>IF(NOT(ISBLANK(Audit[[#This Row],[Audit Candidate 3]])), Audit[[#This Row],[Audit Candidate 3]]-Audit[[#This Row],[Candidate 3]], "")</f>
        <v/>
      </c>
      <c r="AH550" s="17" t="str">
        <f>IF(NOT(ISBLANK(Audit[[#This Row],[Audit Candidate 4]])),Audit[[#This Row],[Audit Candidate 4]]-Audit[[#This Row],[Candidate 4]], "")</f>
        <v/>
      </c>
      <c r="AI550" s="17" t="str">
        <f>IF(NOT(ISBLANK(Audit[[#This Row],[Audit Candidate 5]])), Audit[[#This Row],[Audit Candidate 5]]-Audit[[#This Row],[Candidate 5]], "")</f>
        <v/>
      </c>
      <c r="AJ550" s="17" t="str">
        <f>IF(NOT(ISBLANK(Audit[[#This Row],[Audit Candidate 6]])), Audit[[#This Row],[Audit Candidate 6]]-Audit[[#This Row],[Candidate 6]], "")</f>
        <v/>
      </c>
      <c r="AK550" s="17" t="str">
        <f>IF(NOT(ISBLANK(Audit[[#This Row],[Audit Candidate 7]])), Audit[[#This Row],[Audit Candidate 7]]-Audit[[#This Row],[Candidate 7]], "")</f>
        <v/>
      </c>
      <c r="AL550" s="17" t="str">
        <f>IF(NOT(ISBLANK(Audit[[#This Row],[Audit Candidate 8]])), Audit[[#This Row],[Audit Candidate 8]]-Audit[[#This Row],[Candidate 8]], "")</f>
        <v/>
      </c>
      <c r="AM550" s="17" t="str">
        <f>IF(NOT(ISBLANK(Audit[[#This Row],[Audit Candidate 9]])), Audit[[#This Row],[Audit Candidate 9]]-Audit[[#This Row],[Candidate 9]], "")</f>
        <v/>
      </c>
      <c r="AN550" s="17" t="str">
        <f>IF(NOT(ISBLANK(Audit[[#This Row],[Audit Candidate 10]])), Audit[[#This Row],[Audit Candidate 10]]-Audit[[#This Row],[Candidate 10]], "")</f>
        <v/>
      </c>
      <c r="AO550" s="17" t="str">
        <f>IF(NOT(ISBLANK(Audit[[#This Row],[Audit Candidate 11]])), Audit[[#This Row],[Audit Candidate 11]]-Audit[[#This Row],[Candidate 11]], "")</f>
        <v/>
      </c>
      <c r="AP550" s="17" t="str">
        <f>IF(NOT(ISBLANK(Audit[[#This Row],[Audit Candidate 12]])), Audit[[#This Row],[Audit Candidate 12]]-Audit[[#This Row],[Candidate 12]], "")</f>
        <v/>
      </c>
      <c r="AQ550" s="17">
        <f>SUMIF(Audit[[#This Row],[Difference Winner]:[Difference Candidate 12]], "&gt;0")</f>
        <v>0</v>
      </c>
      <c r="AR550" s="17">
        <f>SUM(Audit[[#This Row],[Difference Winner]:[Difference Candidate 12]])</f>
        <v>0</v>
      </c>
      <c r="AS550" s="17">
        <f>IF(Audit[[#This Row],[Times p Drawn - With Replacement]]&gt;0, IF(Audit[[#This Row],[Canceled Differences]]&lt;0, Audit[[#This Row],[Max Differences]]+ABS(Audit[[#This Row],[Canceled Differences]]), Audit[[#This Row],[Max Differences]]), 0)</f>
        <v>0</v>
      </c>
      <c r="AT550" s="17">
        <f>'Sampling Data'!AB550</f>
        <v>2.0836869801391954E-2</v>
      </c>
      <c r="AU550" s="17">
        <f>IF(
      SUM(Audit[[#This Row],[Audit Losing Candidate]:[Audit Candidate 12]])
      &lt;&gt;0,
      (Audit[[#This Row],[Winning Candidate]]-Audit[[#This Row],[Losing Candidate]]-(Audit[[#This Row],[Audit Winning Candidate]]-Audit[[#This Row],[Audit Losing Candidate]]))/(Audit[[#Totals],[Winning Candidate]]-Audit[[#Totals],[Losing Candidate]]),
      0
)</f>
        <v>0</v>
      </c>
      <c r="AV5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0" s="17">
        <f>IF(Audit[[#This Row],[Max Relative Error (ep)]] = 0, 0, Audit[[#This Row],[Max Relative Error (ep)]]/Audit[[#This Row],[Error Bound (up) - Max. possible relative overstatement]])</f>
        <v>0</v>
      </c>
      <c r="BH5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50" s="17">
        <f t="shared" si="9"/>
        <v>1</v>
      </c>
      <c r="BJ550" s="17">
        <f>PRODUCT($BI$5:BI550)</f>
        <v>0.3924021149671667</v>
      </c>
      <c r="BK550" s="19">
        <f>1 - Audit[[#This Row],[K-M P Value]]</f>
        <v>0.6075978850328333</v>
      </c>
      <c r="BL550" s="17" t="str">
        <f>IF(Audit[[#This Row],[K-M P Value]]&gt;1-'General Info'!$B$12,"Continue", "Stop")</f>
        <v>Continue</v>
      </c>
      <c r="BM550" s="22" t="b">
        <f>IF(Audit[[#This Row],[Status - Continue or stop audit]] = "Continue", TRUE, IF(BL549 = "Continue", TRUE, FALSE))</f>
        <v>1</v>
      </c>
      <c r="BN550" s="22"/>
    </row>
    <row r="551" spans="1:66" ht="15" hidden="1" customHeight="1" x14ac:dyDescent="0.35">
      <c r="A551" s="17" t="str">
        <f>'Sampling Data'!AI551</f>
        <v/>
      </c>
      <c r="B551" s="17" t="str">
        <f>'Sampling Data'!A551</f>
        <v>9104 SYMM D   (AV)</v>
      </c>
      <c r="C551" s="17">
        <f>'Sampling Data'!B551</f>
        <v>184</v>
      </c>
      <c r="D551" s="17">
        <f>'Sampling Data'!C551</f>
        <v>169</v>
      </c>
      <c r="E551" s="18">
        <f>'Sampling Data'!D551</f>
        <v>0</v>
      </c>
      <c r="F551" s="18">
        <f>'Sampling Data'!E551</f>
        <v>0</v>
      </c>
      <c r="G551" s="18">
        <f>'Sampling Data'!F551</f>
        <v>0</v>
      </c>
      <c r="H551" s="18">
        <f>'Sampling Data'!G551</f>
        <v>0</v>
      </c>
      <c r="I551" s="18">
        <f>'Sampling Data'!H551</f>
        <v>0</v>
      </c>
      <c r="J551" s="18">
        <f>'Sampling Data'!I551</f>
        <v>0</v>
      </c>
      <c r="K551" s="18">
        <f>'Sampling Data'!J551</f>
        <v>0</v>
      </c>
      <c r="L551" s="18">
        <f>'Sampling Data'!K551</f>
        <v>0</v>
      </c>
      <c r="M551" s="18">
        <f>'Sampling Data'!L551</f>
        <v>0</v>
      </c>
      <c r="N551" s="18">
        <f>'Sampling Data'!M551</f>
        <v>0</v>
      </c>
      <c r="O551" s="17">
        <f>'Sampling Data'!N551</f>
        <v>0</v>
      </c>
      <c r="P551" s="17">
        <f>'Sampling Data'!O551</f>
        <v>19</v>
      </c>
      <c r="Q551" s="17">
        <f>'Sampling Data'!P551</f>
        <v>372</v>
      </c>
      <c r="R551" s="17">
        <f>'Sampling Data'!AJ551</f>
        <v>0</v>
      </c>
      <c r="S551" s="111"/>
      <c r="T551" s="111"/>
      <c r="U551" s="112"/>
      <c r="V551" s="112"/>
      <c r="W551" s="111"/>
      <c r="X551" s="111"/>
      <c r="Y551" s="111"/>
      <c r="Z551" s="111"/>
      <c r="AA551" s="14"/>
      <c r="AB551" s="14"/>
      <c r="AC551" s="14"/>
      <c r="AD551" s="14"/>
      <c r="AE551" s="113" t="str">
        <f>IF(NOT(ISBLANK(Audit[[#This Row],[Audit Winning Candidate]])), Audit[[#This Row],[Audit Winning Candidate]]-Audit[[#This Row],[Winning Candidate]], "")</f>
        <v/>
      </c>
      <c r="AF551" s="17" t="str">
        <f>IF(NOT(ISBLANK(Audit[[#This Row],[Audit Losing Candidate]])), Audit[[#This Row],[Audit Losing Candidate]]-Audit[[#This Row],[Losing Candidate]], "")</f>
        <v/>
      </c>
      <c r="AG551" s="17" t="str">
        <f>IF(NOT(ISBLANK(Audit[[#This Row],[Audit Candidate 3]])), Audit[[#This Row],[Audit Candidate 3]]-Audit[[#This Row],[Candidate 3]], "")</f>
        <v/>
      </c>
      <c r="AH551" s="17" t="str">
        <f>IF(NOT(ISBLANK(Audit[[#This Row],[Audit Candidate 4]])),Audit[[#This Row],[Audit Candidate 4]]-Audit[[#This Row],[Candidate 4]], "")</f>
        <v/>
      </c>
      <c r="AI551" s="17" t="str">
        <f>IF(NOT(ISBLANK(Audit[[#This Row],[Audit Candidate 5]])), Audit[[#This Row],[Audit Candidate 5]]-Audit[[#This Row],[Candidate 5]], "")</f>
        <v/>
      </c>
      <c r="AJ551" s="17" t="str">
        <f>IF(NOT(ISBLANK(Audit[[#This Row],[Audit Candidate 6]])), Audit[[#This Row],[Audit Candidate 6]]-Audit[[#This Row],[Candidate 6]], "")</f>
        <v/>
      </c>
      <c r="AK551" s="17" t="str">
        <f>IF(NOT(ISBLANK(Audit[[#This Row],[Audit Candidate 7]])), Audit[[#This Row],[Audit Candidate 7]]-Audit[[#This Row],[Candidate 7]], "")</f>
        <v/>
      </c>
      <c r="AL551" s="17" t="str">
        <f>IF(NOT(ISBLANK(Audit[[#This Row],[Audit Candidate 8]])), Audit[[#This Row],[Audit Candidate 8]]-Audit[[#This Row],[Candidate 8]], "")</f>
        <v/>
      </c>
      <c r="AM551" s="17" t="str">
        <f>IF(NOT(ISBLANK(Audit[[#This Row],[Audit Candidate 9]])), Audit[[#This Row],[Audit Candidate 9]]-Audit[[#This Row],[Candidate 9]], "")</f>
        <v/>
      </c>
      <c r="AN551" s="17" t="str">
        <f>IF(NOT(ISBLANK(Audit[[#This Row],[Audit Candidate 10]])), Audit[[#This Row],[Audit Candidate 10]]-Audit[[#This Row],[Candidate 10]], "")</f>
        <v/>
      </c>
      <c r="AO551" s="17" t="str">
        <f>IF(NOT(ISBLANK(Audit[[#This Row],[Audit Candidate 11]])), Audit[[#This Row],[Audit Candidate 11]]-Audit[[#This Row],[Candidate 11]], "")</f>
        <v/>
      </c>
      <c r="AP551" s="17" t="str">
        <f>IF(NOT(ISBLANK(Audit[[#This Row],[Audit Candidate 12]])), Audit[[#This Row],[Audit Candidate 12]]-Audit[[#This Row],[Candidate 12]], "")</f>
        <v/>
      </c>
      <c r="AQ551" s="17">
        <f>SUMIF(Audit[[#This Row],[Difference Winner]:[Difference Candidate 12]], "&gt;0")</f>
        <v>0</v>
      </c>
      <c r="AR551" s="17">
        <f>SUM(Audit[[#This Row],[Difference Winner]:[Difference Candidate 12]])</f>
        <v>0</v>
      </c>
      <c r="AS551" s="17">
        <f>IF(Audit[[#This Row],[Times p Drawn - With Replacement]]&gt;0, IF(Audit[[#This Row],[Canceled Differences]]&lt;0, Audit[[#This Row],[Max Differences]]+ABS(Audit[[#This Row],[Canceled Differences]]), Audit[[#This Row],[Max Differences]]), 0)</f>
        <v>0</v>
      </c>
      <c r="AT551" s="17">
        <f>'Sampling Data'!AB551</f>
        <v>1.6423357664233577E-2</v>
      </c>
      <c r="AU551" s="17">
        <f>IF(
      SUM(Audit[[#This Row],[Audit Losing Candidate]:[Audit Candidate 12]])
      &lt;&gt;0,
      (Audit[[#This Row],[Winning Candidate]]-Audit[[#This Row],[Losing Candidate]]-(Audit[[#This Row],[Audit Winning Candidate]]-Audit[[#This Row],[Audit Losing Candidate]]))/(Audit[[#Totals],[Winning Candidate]]-Audit[[#Totals],[Losing Candidate]]),
      0
)</f>
        <v>0</v>
      </c>
      <c r="AV5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1" s="17">
        <f>IF(Audit[[#This Row],[Max Relative Error (ep)]] = 0, 0, Audit[[#This Row],[Max Relative Error (ep)]]/Audit[[#This Row],[Error Bound (up) - Max. possible relative overstatement]])</f>
        <v>0</v>
      </c>
      <c r="BH5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51" s="17">
        <f t="shared" si="9"/>
        <v>1</v>
      </c>
      <c r="BJ551" s="17">
        <f>PRODUCT($BI$5:BI551)</f>
        <v>0.3924021149671667</v>
      </c>
      <c r="BK551" s="19">
        <f>1 - Audit[[#This Row],[K-M P Value]]</f>
        <v>0.6075978850328333</v>
      </c>
      <c r="BL551" s="17" t="str">
        <f>IF(Audit[[#This Row],[K-M P Value]]&gt;1-'General Info'!$B$12,"Continue", "Stop")</f>
        <v>Continue</v>
      </c>
      <c r="BM551" s="22" t="b">
        <f>IF(Audit[[#This Row],[Status - Continue or stop audit]] = "Continue", TRUE, IF(BL550 = "Continue", TRUE, FALSE))</f>
        <v>1</v>
      </c>
      <c r="BN551" s="22"/>
    </row>
    <row r="552" spans="1:66" ht="15" hidden="1" customHeight="1" x14ac:dyDescent="0.35">
      <c r="A552" s="17" t="str">
        <f>'Sampling Data'!AI552</f>
        <v/>
      </c>
      <c r="B552" s="17" t="str">
        <f>'Sampling Data'!A552</f>
        <v>9105 SYMM E   (AV)</v>
      </c>
      <c r="C552" s="17">
        <f>'Sampling Data'!B552</f>
        <v>202</v>
      </c>
      <c r="D552" s="17">
        <f>'Sampling Data'!C552</f>
        <v>214</v>
      </c>
      <c r="E552" s="18">
        <f>'Sampling Data'!D552</f>
        <v>0</v>
      </c>
      <c r="F552" s="18">
        <f>'Sampling Data'!E552</f>
        <v>0</v>
      </c>
      <c r="G552" s="18">
        <f>'Sampling Data'!F552</f>
        <v>0</v>
      </c>
      <c r="H552" s="18">
        <f>'Sampling Data'!G552</f>
        <v>0</v>
      </c>
      <c r="I552" s="18">
        <f>'Sampling Data'!H552</f>
        <v>0</v>
      </c>
      <c r="J552" s="18">
        <f>'Sampling Data'!I552</f>
        <v>0</v>
      </c>
      <c r="K552" s="18">
        <f>'Sampling Data'!J552</f>
        <v>0</v>
      </c>
      <c r="L552" s="18">
        <f>'Sampling Data'!K552</f>
        <v>0</v>
      </c>
      <c r="M552" s="18">
        <f>'Sampling Data'!L552</f>
        <v>0</v>
      </c>
      <c r="N552" s="18">
        <f>'Sampling Data'!M552</f>
        <v>0</v>
      </c>
      <c r="O552" s="17">
        <f>'Sampling Data'!N552</f>
        <v>0</v>
      </c>
      <c r="P552" s="17">
        <f>'Sampling Data'!O552</f>
        <v>23</v>
      </c>
      <c r="Q552" s="17">
        <f>'Sampling Data'!P552</f>
        <v>439</v>
      </c>
      <c r="R552" s="17">
        <f>'Sampling Data'!AJ552</f>
        <v>0</v>
      </c>
      <c r="S552" s="111"/>
      <c r="T552" s="111"/>
      <c r="U552" s="112"/>
      <c r="V552" s="112"/>
      <c r="W552" s="111"/>
      <c r="X552" s="111"/>
      <c r="Y552" s="111"/>
      <c r="Z552" s="111"/>
      <c r="AA552" s="14"/>
      <c r="AB552" s="14"/>
      <c r="AC552" s="14"/>
      <c r="AD552" s="14"/>
      <c r="AE552" s="113" t="str">
        <f>IF(NOT(ISBLANK(Audit[[#This Row],[Audit Winning Candidate]])), Audit[[#This Row],[Audit Winning Candidate]]-Audit[[#This Row],[Winning Candidate]], "")</f>
        <v/>
      </c>
      <c r="AF552" s="17" t="str">
        <f>IF(NOT(ISBLANK(Audit[[#This Row],[Audit Losing Candidate]])), Audit[[#This Row],[Audit Losing Candidate]]-Audit[[#This Row],[Losing Candidate]], "")</f>
        <v/>
      </c>
      <c r="AG552" s="17" t="str">
        <f>IF(NOT(ISBLANK(Audit[[#This Row],[Audit Candidate 3]])), Audit[[#This Row],[Audit Candidate 3]]-Audit[[#This Row],[Candidate 3]], "")</f>
        <v/>
      </c>
      <c r="AH552" s="17" t="str">
        <f>IF(NOT(ISBLANK(Audit[[#This Row],[Audit Candidate 4]])),Audit[[#This Row],[Audit Candidate 4]]-Audit[[#This Row],[Candidate 4]], "")</f>
        <v/>
      </c>
      <c r="AI552" s="17" t="str">
        <f>IF(NOT(ISBLANK(Audit[[#This Row],[Audit Candidate 5]])), Audit[[#This Row],[Audit Candidate 5]]-Audit[[#This Row],[Candidate 5]], "")</f>
        <v/>
      </c>
      <c r="AJ552" s="17" t="str">
        <f>IF(NOT(ISBLANK(Audit[[#This Row],[Audit Candidate 6]])), Audit[[#This Row],[Audit Candidate 6]]-Audit[[#This Row],[Candidate 6]], "")</f>
        <v/>
      </c>
      <c r="AK552" s="17" t="str">
        <f>IF(NOT(ISBLANK(Audit[[#This Row],[Audit Candidate 7]])), Audit[[#This Row],[Audit Candidate 7]]-Audit[[#This Row],[Candidate 7]], "")</f>
        <v/>
      </c>
      <c r="AL552" s="17" t="str">
        <f>IF(NOT(ISBLANK(Audit[[#This Row],[Audit Candidate 8]])), Audit[[#This Row],[Audit Candidate 8]]-Audit[[#This Row],[Candidate 8]], "")</f>
        <v/>
      </c>
      <c r="AM552" s="17" t="str">
        <f>IF(NOT(ISBLANK(Audit[[#This Row],[Audit Candidate 9]])), Audit[[#This Row],[Audit Candidate 9]]-Audit[[#This Row],[Candidate 9]], "")</f>
        <v/>
      </c>
      <c r="AN552" s="17" t="str">
        <f>IF(NOT(ISBLANK(Audit[[#This Row],[Audit Candidate 10]])), Audit[[#This Row],[Audit Candidate 10]]-Audit[[#This Row],[Candidate 10]], "")</f>
        <v/>
      </c>
      <c r="AO552" s="17" t="str">
        <f>IF(NOT(ISBLANK(Audit[[#This Row],[Audit Candidate 11]])), Audit[[#This Row],[Audit Candidate 11]]-Audit[[#This Row],[Candidate 11]], "")</f>
        <v/>
      </c>
      <c r="AP552" s="17" t="str">
        <f>IF(NOT(ISBLANK(Audit[[#This Row],[Audit Candidate 12]])), Audit[[#This Row],[Audit Candidate 12]]-Audit[[#This Row],[Candidate 12]], "")</f>
        <v/>
      </c>
      <c r="AQ552" s="17">
        <f>SUMIF(Audit[[#This Row],[Difference Winner]:[Difference Candidate 12]], "&gt;0")</f>
        <v>0</v>
      </c>
      <c r="AR552" s="17">
        <f>SUM(Audit[[#This Row],[Difference Winner]:[Difference Candidate 12]])</f>
        <v>0</v>
      </c>
      <c r="AS552" s="17">
        <f>IF(Audit[[#This Row],[Times p Drawn - With Replacement]]&gt;0, IF(Audit[[#This Row],[Canceled Differences]]&lt;0, Audit[[#This Row],[Max Differences]]+ABS(Audit[[#This Row],[Canceled Differences]]), Audit[[#This Row],[Max Differences]]), 0)</f>
        <v>0</v>
      </c>
      <c r="AT552" s="17">
        <f>'Sampling Data'!AB552</f>
        <v>1.8120862332371413E-2</v>
      </c>
      <c r="AU552" s="17">
        <f>IF(
      SUM(Audit[[#This Row],[Audit Losing Candidate]:[Audit Candidate 12]])
      &lt;&gt;0,
      (Audit[[#This Row],[Winning Candidate]]-Audit[[#This Row],[Losing Candidate]]-(Audit[[#This Row],[Audit Winning Candidate]]-Audit[[#This Row],[Audit Losing Candidate]]))/(Audit[[#Totals],[Winning Candidate]]-Audit[[#Totals],[Losing Candidate]]),
      0
)</f>
        <v>0</v>
      </c>
      <c r="AV5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2" s="17">
        <f>IF(Audit[[#This Row],[Max Relative Error (ep)]] = 0, 0, Audit[[#This Row],[Max Relative Error (ep)]]/Audit[[#This Row],[Error Bound (up) - Max. possible relative overstatement]])</f>
        <v>0</v>
      </c>
      <c r="BH5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52" s="17">
        <f t="shared" si="9"/>
        <v>1</v>
      </c>
      <c r="BJ552" s="17">
        <f>PRODUCT($BI$5:BI552)</f>
        <v>0.3924021149671667</v>
      </c>
      <c r="BK552" s="19">
        <f>1 - Audit[[#This Row],[K-M P Value]]</f>
        <v>0.6075978850328333</v>
      </c>
      <c r="BL552" s="17" t="str">
        <f>IF(Audit[[#This Row],[K-M P Value]]&gt;1-'General Info'!$B$12,"Continue", "Stop")</f>
        <v>Continue</v>
      </c>
      <c r="BM552" s="22" t="b">
        <f>IF(Audit[[#This Row],[Status - Continue or stop audit]] = "Continue", TRUE, IF(BL551 = "Continue", TRUE, FALSE))</f>
        <v>1</v>
      </c>
      <c r="BN552" s="22"/>
    </row>
    <row r="553" spans="1:66" ht="15" hidden="1" customHeight="1" x14ac:dyDescent="0.35">
      <c r="A553" s="17" t="str">
        <f>'Sampling Data'!AI553</f>
        <v/>
      </c>
      <c r="B553" s="17" t="str">
        <f>'Sampling Data'!A553</f>
        <v>9106 SYMM F   (AV)</v>
      </c>
      <c r="C553" s="17">
        <f>'Sampling Data'!B553</f>
        <v>242</v>
      </c>
      <c r="D553" s="17">
        <f>'Sampling Data'!C553</f>
        <v>177</v>
      </c>
      <c r="E553" s="18">
        <f>'Sampling Data'!D553</f>
        <v>0</v>
      </c>
      <c r="F553" s="18">
        <f>'Sampling Data'!E553</f>
        <v>0</v>
      </c>
      <c r="G553" s="18">
        <f>'Sampling Data'!F553</f>
        <v>0</v>
      </c>
      <c r="H553" s="18">
        <f>'Sampling Data'!G553</f>
        <v>0</v>
      </c>
      <c r="I553" s="18">
        <f>'Sampling Data'!H553</f>
        <v>0</v>
      </c>
      <c r="J553" s="18">
        <f>'Sampling Data'!I553</f>
        <v>0</v>
      </c>
      <c r="K553" s="18">
        <f>'Sampling Data'!J553</f>
        <v>0</v>
      </c>
      <c r="L553" s="18">
        <f>'Sampling Data'!K553</f>
        <v>0</v>
      </c>
      <c r="M553" s="18">
        <f>'Sampling Data'!L553</f>
        <v>0</v>
      </c>
      <c r="N553" s="18">
        <f>'Sampling Data'!M553</f>
        <v>0</v>
      </c>
      <c r="O553" s="17">
        <f>'Sampling Data'!N553</f>
        <v>0</v>
      </c>
      <c r="P553" s="17">
        <f>'Sampling Data'!O553</f>
        <v>16</v>
      </c>
      <c r="Q553" s="17">
        <f>'Sampling Data'!P553</f>
        <v>435</v>
      </c>
      <c r="R553" s="17">
        <f>'Sampling Data'!AJ553</f>
        <v>0</v>
      </c>
      <c r="S553" s="111"/>
      <c r="T553" s="111"/>
      <c r="U553" s="112"/>
      <c r="V553" s="112"/>
      <c r="W553" s="111"/>
      <c r="X553" s="111"/>
      <c r="Y553" s="111"/>
      <c r="Z553" s="111"/>
      <c r="AA553" s="14"/>
      <c r="AB553" s="14"/>
      <c r="AC553" s="14"/>
      <c r="AD553" s="14"/>
      <c r="AE553" s="113" t="str">
        <f>IF(NOT(ISBLANK(Audit[[#This Row],[Audit Winning Candidate]])), Audit[[#This Row],[Audit Winning Candidate]]-Audit[[#This Row],[Winning Candidate]], "")</f>
        <v/>
      </c>
      <c r="AF553" s="17" t="str">
        <f>IF(NOT(ISBLANK(Audit[[#This Row],[Audit Losing Candidate]])), Audit[[#This Row],[Audit Losing Candidate]]-Audit[[#This Row],[Losing Candidate]], "")</f>
        <v/>
      </c>
      <c r="AG553" s="17" t="str">
        <f>IF(NOT(ISBLANK(Audit[[#This Row],[Audit Candidate 3]])), Audit[[#This Row],[Audit Candidate 3]]-Audit[[#This Row],[Candidate 3]], "")</f>
        <v/>
      </c>
      <c r="AH553" s="17" t="str">
        <f>IF(NOT(ISBLANK(Audit[[#This Row],[Audit Candidate 4]])),Audit[[#This Row],[Audit Candidate 4]]-Audit[[#This Row],[Candidate 4]], "")</f>
        <v/>
      </c>
      <c r="AI553" s="17" t="str">
        <f>IF(NOT(ISBLANK(Audit[[#This Row],[Audit Candidate 5]])), Audit[[#This Row],[Audit Candidate 5]]-Audit[[#This Row],[Candidate 5]], "")</f>
        <v/>
      </c>
      <c r="AJ553" s="17" t="str">
        <f>IF(NOT(ISBLANK(Audit[[#This Row],[Audit Candidate 6]])), Audit[[#This Row],[Audit Candidate 6]]-Audit[[#This Row],[Candidate 6]], "")</f>
        <v/>
      </c>
      <c r="AK553" s="17" t="str">
        <f>IF(NOT(ISBLANK(Audit[[#This Row],[Audit Candidate 7]])), Audit[[#This Row],[Audit Candidate 7]]-Audit[[#This Row],[Candidate 7]], "")</f>
        <v/>
      </c>
      <c r="AL553" s="17" t="str">
        <f>IF(NOT(ISBLANK(Audit[[#This Row],[Audit Candidate 8]])), Audit[[#This Row],[Audit Candidate 8]]-Audit[[#This Row],[Candidate 8]], "")</f>
        <v/>
      </c>
      <c r="AM553" s="17" t="str">
        <f>IF(NOT(ISBLANK(Audit[[#This Row],[Audit Candidate 9]])), Audit[[#This Row],[Audit Candidate 9]]-Audit[[#This Row],[Candidate 9]], "")</f>
        <v/>
      </c>
      <c r="AN553" s="17" t="str">
        <f>IF(NOT(ISBLANK(Audit[[#This Row],[Audit Candidate 10]])), Audit[[#This Row],[Audit Candidate 10]]-Audit[[#This Row],[Candidate 10]], "")</f>
        <v/>
      </c>
      <c r="AO553" s="17" t="str">
        <f>IF(NOT(ISBLANK(Audit[[#This Row],[Audit Candidate 11]])), Audit[[#This Row],[Audit Candidate 11]]-Audit[[#This Row],[Candidate 11]], "")</f>
        <v/>
      </c>
      <c r="AP553" s="17" t="str">
        <f>IF(NOT(ISBLANK(Audit[[#This Row],[Audit Candidate 12]])), Audit[[#This Row],[Audit Candidate 12]]-Audit[[#This Row],[Candidate 12]], "")</f>
        <v/>
      </c>
      <c r="AQ553" s="17">
        <f>SUMIF(Audit[[#This Row],[Difference Winner]:[Difference Candidate 12]], "&gt;0")</f>
        <v>0</v>
      </c>
      <c r="AR553" s="17">
        <f>SUM(Audit[[#This Row],[Difference Winner]:[Difference Candidate 12]])</f>
        <v>0</v>
      </c>
      <c r="AS553" s="17">
        <f>IF(Audit[[#This Row],[Times p Drawn - With Replacement]]&gt;0, IF(Audit[[#This Row],[Canceled Differences]]&lt;0, Audit[[#This Row],[Max Differences]]+ABS(Audit[[#This Row],[Canceled Differences]]), Audit[[#This Row],[Max Differences]]), 0)</f>
        <v>0</v>
      </c>
      <c r="AT553" s="17">
        <f>'Sampling Data'!AB553</f>
        <v>2.1218808351722969E-2</v>
      </c>
      <c r="AU553" s="17">
        <f>IF(
      SUM(Audit[[#This Row],[Audit Losing Candidate]:[Audit Candidate 12]])
      &lt;&gt;0,
      (Audit[[#This Row],[Winning Candidate]]-Audit[[#This Row],[Losing Candidate]]-(Audit[[#This Row],[Audit Winning Candidate]]-Audit[[#This Row],[Audit Losing Candidate]]))/(Audit[[#Totals],[Winning Candidate]]-Audit[[#Totals],[Losing Candidate]]),
      0
)</f>
        <v>0</v>
      </c>
      <c r="AV5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3" s="17">
        <f>IF(Audit[[#This Row],[Max Relative Error (ep)]] = 0, 0, Audit[[#This Row],[Max Relative Error (ep)]]/Audit[[#This Row],[Error Bound (up) - Max. possible relative overstatement]])</f>
        <v>0</v>
      </c>
      <c r="BH5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53" s="17">
        <f t="shared" si="9"/>
        <v>1</v>
      </c>
      <c r="BJ553" s="17">
        <f>PRODUCT($BI$5:BI553)</f>
        <v>0.3924021149671667</v>
      </c>
      <c r="BK553" s="19">
        <f>1 - Audit[[#This Row],[K-M P Value]]</f>
        <v>0.6075978850328333</v>
      </c>
      <c r="BL553" s="17" t="str">
        <f>IF(Audit[[#This Row],[K-M P Value]]&gt;1-'General Info'!$B$12,"Continue", "Stop")</f>
        <v>Continue</v>
      </c>
      <c r="BM553" s="22" t="b">
        <f>IF(Audit[[#This Row],[Status - Continue or stop audit]] = "Continue", TRUE, IF(BL552 = "Continue", TRUE, FALSE))</f>
        <v>1</v>
      </c>
      <c r="BN553" s="22"/>
    </row>
    <row r="554" spans="1:66" ht="15" hidden="1" customHeight="1" x14ac:dyDescent="0.35">
      <c r="A554" s="17" t="str">
        <f>'Sampling Data'!AI554</f>
        <v/>
      </c>
      <c r="B554" s="17" t="str">
        <f>'Sampling Data'!A554</f>
        <v>9107 SYMM G   (AV)</v>
      </c>
      <c r="C554" s="17">
        <f>'Sampling Data'!B554</f>
        <v>117</v>
      </c>
      <c r="D554" s="17">
        <f>'Sampling Data'!C554</f>
        <v>118</v>
      </c>
      <c r="E554" s="18">
        <f>'Sampling Data'!D554</f>
        <v>0</v>
      </c>
      <c r="F554" s="18">
        <f>'Sampling Data'!E554</f>
        <v>0</v>
      </c>
      <c r="G554" s="18">
        <f>'Sampling Data'!F554</f>
        <v>0</v>
      </c>
      <c r="H554" s="18">
        <f>'Sampling Data'!G554</f>
        <v>0</v>
      </c>
      <c r="I554" s="18">
        <f>'Sampling Data'!H554</f>
        <v>0</v>
      </c>
      <c r="J554" s="18">
        <f>'Sampling Data'!I554</f>
        <v>0</v>
      </c>
      <c r="K554" s="18">
        <f>'Sampling Data'!J554</f>
        <v>0</v>
      </c>
      <c r="L554" s="18">
        <f>'Sampling Data'!K554</f>
        <v>0</v>
      </c>
      <c r="M554" s="18">
        <f>'Sampling Data'!L554</f>
        <v>0</v>
      </c>
      <c r="N554" s="18">
        <f>'Sampling Data'!M554</f>
        <v>0</v>
      </c>
      <c r="O554" s="17">
        <f>'Sampling Data'!N554</f>
        <v>1</v>
      </c>
      <c r="P554" s="17">
        <f>'Sampling Data'!O554</f>
        <v>8</v>
      </c>
      <c r="Q554" s="17">
        <f>'Sampling Data'!P554</f>
        <v>244</v>
      </c>
      <c r="R554" s="17">
        <f>'Sampling Data'!AJ554</f>
        <v>0</v>
      </c>
      <c r="S554" s="111"/>
      <c r="T554" s="111"/>
      <c r="U554" s="112"/>
      <c r="V554" s="112"/>
      <c r="W554" s="111"/>
      <c r="X554" s="111"/>
      <c r="Y554" s="111"/>
      <c r="Z554" s="111"/>
      <c r="AA554" s="14"/>
      <c r="AB554" s="14"/>
      <c r="AC554" s="14"/>
      <c r="AD554" s="14"/>
      <c r="AE554" s="113" t="str">
        <f>IF(NOT(ISBLANK(Audit[[#This Row],[Audit Winning Candidate]])), Audit[[#This Row],[Audit Winning Candidate]]-Audit[[#This Row],[Winning Candidate]], "")</f>
        <v/>
      </c>
      <c r="AF554" s="17" t="str">
        <f>IF(NOT(ISBLANK(Audit[[#This Row],[Audit Losing Candidate]])), Audit[[#This Row],[Audit Losing Candidate]]-Audit[[#This Row],[Losing Candidate]], "")</f>
        <v/>
      </c>
      <c r="AG554" s="17" t="str">
        <f>IF(NOT(ISBLANK(Audit[[#This Row],[Audit Candidate 3]])), Audit[[#This Row],[Audit Candidate 3]]-Audit[[#This Row],[Candidate 3]], "")</f>
        <v/>
      </c>
      <c r="AH554" s="17" t="str">
        <f>IF(NOT(ISBLANK(Audit[[#This Row],[Audit Candidate 4]])),Audit[[#This Row],[Audit Candidate 4]]-Audit[[#This Row],[Candidate 4]], "")</f>
        <v/>
      </c>
      <c r="AI554" s="17" t="str">
        <f>IF(NOT(ISBLANK(Audit[[#This Row],[Audit Candidate 5]])), Audit[[#This Row],[Audit Candidate 5]]-Audit[[#This Row],[Candidate 5]], "")</f>
        <v/>
      </c>
      <c r="AJ554" s="17" t="str">
        <f>IF(NOT(ISBLANK(Audit[[#This Row],[Audit Candidate 6]])), Audit[[#This Row],[Audit Candidate 6]]-Audit[[#This Row],[Candidate 6]], "")</f>
        <v/>
      </c>
      <c r="AK554" s="17" t="str">
        <f>IF(NOT(ISBLANK(Audit[[#This Row],[Audit Candidate 7]])), Audit[[#This Row],[Audit Candidate 7]]-Audit[[#This Row],[Candidate 7]], "")</f>
        <v/>
      </c>
      <c r="AL554" s="17" t="str">
        <f>IF(NOT(ISBLANK(Audit[[#This Row],[Audit Candidate 8]])), Audit[[#This Row],[Audit Candidate 8]]-Audit[[#This Row],[Candidate 8]], "")</f>
        <v/>
      </c>
      <c r="AM554" s="17" t="str">
        <f>IF(NOT(ISBLANK(Audit[[#This Row],[Audit Candidate 9]])), Audit[[#This Row],[Audit Candidate 9]]-Audit[[#This Row],[Candidate 9]], "")</f>
        <v/>
      </c>
      <c r="AN554" s="17" t="str">
        <f>IF(NOT(ISBLANK(Audit[[#This Row],[Audit Candidate 10]])), Audit[[#This Row],[Audit Candidate 10]]-Audit[[#This Row],[Candidate 10]], "")</f>
        <v/>
      </c>
      <c r="AO554" s="17" t="str">
        <f>IF(NOT(ISBLANK(Audit[[#This Row],[Audit Candidate 11]])), Audit[[#This Row],[Audit Candidate 11]]-Audit[[#This Row],[Candidate 11]], "")</f>
        <v/>
      </c>
      <c r="AP554" s="17" t="str">
        <f>IF(NOT(ISBLANK(Audit[[#This Row],[Audit Candidate 12]])), Audit[[#This Row],[Audit Candidate 12]]-Audit[[#This Row],[Candidate 12]], "")</f>
        <v/>
      </c>
      <c r="AQ554" s="17">
        <f>SUMIF(Audit[[#This Row],[Difference Winner]:[Difference Candidate 12]], "&gt;0")</f>
        <v>0</v>
      </c>
      <c r="AR554" s="17">
        <f>SUM(Audit[[#This Row],[Difference Winner]:[Difference Candidate 12]])</f>
        <v>0</v>
      </c>
      <c r="AS554" s="17">
        <f>IF(Audit[[#This Row],[Times p Drawn - With Replacement]]&gt;0, IF(Audit[[#This Row],[Canceled Differences]]&lt;0, Audit[[#This Row],[Max Differences]]+ABS(Audit[[#This Row],[Canceled Differences]]), Audit[[#This Row],[Max Differences]]), 0)</f>
        <v>0</v>
      </c>
      <c r="AT554" s="17">
        <f>'Sampling Data'!AB554</f>
        <v>1.0312340858937362E-2</v>
      </c>
      <c r="AU554" s="17">
        <f>IF(
      SUM(Audit[[#This Row],[Audit Losing Candidate]:[Audit Candidate 12]])
      &lt;&gt;0,
      (Audit[[#This Row],[Winning Candidate]]-Audit[[#This Row],[Losing Candidate]]-(Audit[[#This Row],[Audit Winning Candidate]]-Audit[[#This Row],[Audit Losing Candidate]]))/(Audit[[#Totals],[Winning Candidate]]-Audit[[#Totals],[Losing Candidate]]),
      0
)</f>
        <v>0</v>
      </c>
      <c r="AV5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4" s="17">
        <f>IF(Audit[[#This Row],[Max Relative Error (ep)]] = 0, 0, Audit[[#This Row],[Max Relative Error (ep)]]/Audit[[#This Row],[Error Bound (up) - Max. possible relative overstatement]])</f>
        <v>0</v>
      </c>
      <c r="BH5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54" s="17">
        <f t="shared" si="9"/>
        <v>1</v>
      </c>
      <c r="BJ554" s="17">
        <f>PRODUCT($BI$5:BI554)</f>
        <v>0.3924021149671667</v>
      </c>
      <c r="BK554" s="19">
        <f>1 - Audit[[#This Row],[K-M P Value]]</f>
        <v>0.6075978850328333</v>
      </c>
      <c r="BL554" s="17" t="str">
        <f>IF(Audit[[#This Row],[K-M P Value]]&gt;1-'General Info'!$B$12,"Continue", "Stop")</f>
        <v>Continue</v>
      </c>
      <c r="BM554" s="22" t="b">
        <f>IF(Audit[[#This Row],[Status - Continue or stop audit]] = "Continue", TRUE, IF(BL553 = "Continue", TRUE, FALSE))</f>
        <v>1</v>
      </c>
      <c r="BN554" s="22"/>
    </row>
    <row r="555" spans="1:66" ht="15" hidden="1" customHeight="1" x14ac:dyDescent="0.35">
      <c r="A555" s="17" t="str">
        <f>'Sampling Data'!AI555</f>
        <v/>
      </c>
      <c r="B555" s="17" t="str">
        <f>'Sampling Data'!A555</f>
        <v>9108 SYMM H   (AV)</v>
      </c>
      <c r="C555" s="17">
        <f>'Sampling Data'!B555</f>
        <v>63</v>
      </c>
      <c r="D555" s="17">
        <f>'Sampling Data'!C555</f>
        <v>83</v>
      </c>
      <c r="E555" s="18">
        <f>'Sampling Data'!D555</f>
        <v>0</v>
      </c>
      <c r="F555" s="18">
        <f>'Sampling Data'!E555</f>
        <v>0</v>
      </c>
      <c r="G555" s="18">
        <f>'Sampling Data'!F555</f>
        <v>0</v>
      </c>
      <c r="H555" s="18">
        <f>'Sampling Data'!G555</f>
        <v>0</v>
      </c>
      <c r="I555" s="18">
        <f>'Sampling Data'!H555</f>
        <v>0</v>
      </c>
      <c r="J555" s="18">
        <f>'Sampling Data'!I555</f>
        <v>0</v>
      </c>
      <c r="K555" s="18">
        <f>'Sampling Data'!J555</f>
        <v>0</v>
      </c>
      <c r="L555" s="18">
        <f>'Sampling Data'!K555</f>
        <v>0</v>
      </c>
      <c r="M555" s="18">
        <f>'Sampling Data'!L555</f>
        <v>0</v>
      </c>
      <c r="N555" s="18">
        <f>'Sampling Data'!M555</f>
        <v>0</v>
      </c>
      <c r="O555" s="17">
        <f>'Sampling Data'!N555</f>
        <v>0</v>
      </c>
      <c r="P555" s="17">
        <f>'Sampling Data'!O555</f>
        <v>4</v>
      </c>
      <c r="Q555" s="17">
        <f>'Sampling Data'!P555</f>
        <v>150</v>
      </c>
      <c r="R555" s="17">
        <f>'Sampling Data'!AJ555</f>
        <v>0</v>
      </c>
      <c r="S555" s="111"/>
      <c r="T555" s="111"/>
      <c r="U555" s="112"/>
      <c r="V555" s="112"/>
      <c r="W555" s="111"/>
      <c r="X555" s="111"/>
      <c r="Y555" s="111"/>
      <c r="Z555" s="111"/>
      <c r="AA555" s="14"/>
      <c r="AB555" s="14"/>
      <c r="AC555" s="14"/>
      <c r="AD555" s="14"/>
      <c r="AE555" s="113" t="str">
        <f>IF(NOT(ISBLANK(Audit[[#This Row],[Audit Winning Candidate]])), Audit[[#This Row],[Audit Winning Candidate]]-Audit[[#This Row],[Winning Candidate]], "")</f>
        <v/>
      </c>
      <c r="AF555" s="17" t="str">
        <f>IF(NOT(ISBLANK(Audit[[#This Row],[Audit Losing Candidate]])), Audit[[#This Row],[Audit Losing Candidate]]-Audit[[#This Row],[Losing Candidate]], "")</f>
        <v/>
      </c>
      <c r="AG555" s="17" t="str">
        <f>IF(NOT(ISBLANK(Audit[[#This Row],[Audit Candidate 3]])), Audit[[#This Row],[Audit Candidate 3]]-Audit[[#This Row],[Candidate 3]], "")</f>
        <v/>
      </c>
      <c r="AH555" s="17" t="str">
        <f>IF(NOT(ISBLANK(Audit[[#This Row],[Audit Candidate 4]])),Audit[[#This Row],[Audit Candidate 4]]-Audit[[#This Row],[Candidate 4]], "")</f>
        <v/>
      </c>
      <c r="AI555" s="17" t="str">
        <f>IF(NOT(ISBLANK(Audit[[#This Row],[Audit Candidate 5]])), Audit[[#This Row],[Audit Candidate 5]]-Audit[[#This Row],[Candidate 5]], "")</f>
        <v/>
      </c>
      <c r="AJ555" s="17" t="str">
        <f>IF(NOT(ISBLANK(Audit[[#This Row],[Audit Candidate 6]])), Audit[[#This Row],[Audit Candidate 6]]-Audit[[#This Row],[Candidate 6]], "")</f>
        <v/>
      </c>
      <c r="AK555" s="17" t="str">
        <f>IF(NOT(ISBLANK(Audit[[#This Row],[Audit Candidate 7]])), Audit[[#This Row],[Audit Candidate 7]]-Audit[[#This Row],[Candidate 7]], "")</f>
        <v/>
      </c>
      <c r="AL555" s="17" t="str">
        <f>IF(NOT(ISBLANK(Audit[[#This Row],[Audit Candidate 8]])), Audit[[#This Row],[Audit Candidate 8]]-Audit[[#This Row],[Candidate 8]], "")</f>
        <v/>
      </c>
      <c r="AM555" s="17" t="str">
        <f>IF(NOT(ISBLANK(Audit[[#This Row],[Audit Candidate 9]])), Audit[[#This Row],[Audit Candidate 9]]-Audit[[#This Row],[Candidate 9]], "")</f>
        <v/>
      </c>
      <c r="AN555" s="17" t="str">
        <f>IF(NOT(ISBLANK(Audit[[#This Row],[Audit Candidate 10]])), Audit[[#This Row],[Audit Candidate 10]]-Audit[[#This Row],[Candidate 10]], "")</f>
        <v/>
      </c>
      <c r="AO555" s="17" t="str">
        <f>IF(NOT(ISBLANK(Audit[[#This Row],[Audit Candidate 11]])), Audit[[#This Row],[Audit Candidate 11]]-Audit[[#This Row],[Candidate 11]], "")</f>
        <v/>
      </c>
      <c r="AP555" s="17" t="str">
        <f>IF(NOT(ISBLANK(Audit[[#This Row],[Audit Candidate 12]])), Audit[[#This Row],[Audit Candidate 12]]-Audit[[#This Row],[Candidate 12]], "")</f>
        <v/>
      </c>
      <c r="AQ555" s="17">
        <f>SUMIF(Audit[[#This Row],[Difference Winner]:[Difference Candidate 12]], "&gt;0")</f>
        <v>0</v>
      </c>
      <c r="AR555" s="17">
        <f>SUM(Audit[[#This Row],[Difference Winner]:[Difference Candidate 12]])</f>
        <v>0</v>
      </c>
      <c r="AS555" s="17">
        <f>IF(Audit[[#This Row],[Times p Drawn - With Replacement]]&gt;0, IF(Audit[[#This Row],[Canceled Differences]]&lt;0, Audit[[#This Row],[Max Differences]]+ABS(Audit[[#This Row],[Canceled Differences]]), Audit[[#This Row],[Max Differences]]), 0)</f>
        <v>0</v>
      </c>
      <c r="AT555" s="17">
        <f>'Sampling Data'!AB555</f>
        <v>5.5168901714479713E-3</v>
      </c>
      <c r="AU555" s="17">
        <f>IF(
      SUM(Audit[[#This Row],[Audit Losing Candidate]:[Audit Candidate 12]])
      &lt;&gt;0,
      (Audit[[#This Row],[Winning Candidate]]-Audit[[#This Row],[Losing Candidate]]-(Audit[[#This Row],[Audit Winning Candidate]]-Audit[[#This Row],[Audit Losing Candidate]]))/(Audit[[#Totals],[Winning Candidate]]-Audit[[#Totals],[Losing Candidate]]),
      0
)</f>
        <v>0</v>
      </c>
      <c r="AV5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5" s="17">
        <f>IF(Audit[[#This Row],[Max Relative Error (ep)]] = 0, 0, Audit[[#This Row],[Max Relative Error (ep)]]/Audit[[#This Row],[Error Bound (up) - Max. possible relative overstatement]])</f>
        <v>0</v>
      </c>
      <c r="BH5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55" s="17">
        <f t="shared" si="9"/>
        <v>1</v>
      </c>
      <c r="BJ555" s="17">
        <f>PRODUCT($BI$5:BI555)</f>
        <v>0.3924021149671667</v>
      </c>
      <c r="BK555" s="19">
        <f>1 - Audit[[#This Row],[K-M P Value]]</f>
        <v>0.6075978850328333</v>
      </c>
      <c r="BL555" s="17" t="str">
        <f>IF(Audit[[#This Row],[K-M P Value]]&gt;1-'General Info'!$B$12,"Continue", "Stop")</f>
        <v>Continue</v>
      </c>
      <c r="BM555" s="22" t="b">
        <f>IF(Audit[[#This Row],[Status - Continue or stop audit]] = "Continue", TRUE, IF(BL554 = "Continue", TRUE, FALSE))</f>
        <v>1</v>
      </c>
      <c r="BN555" s="22"/>
    </row>
    <row r="556" spans="1:66" ht="15" hidden="1" customHeight="1" x14ac:dyDescent="0.35">
      <c r="A556" s="17" t="str">
        <f>'Sampling Data'!AI556</f>
        <v/>
      </c>
      <c r="B556" s="17" t="str">
        <f>'Sampling Data'!A556</f>
        <v>9109 SYMM I   (AV)</v>
      </c>
      <c r="C556" s="17">
        <f>'Sampling Data'!B556</f>
        <v>185</v>
      </c>
      <c r="D556" s="17">
        <f>'Sampling Data'!C556</f>
        <v>113</v>
      </c>
      <c r="E556" s="18">
        <f>'Sampling Data'!D556</f>
        <v>0</v>
      </c>
      <c r="F556" s="18">
        <f>'Sampling Data'!E556</f>
        <v>0</v>
      </c>
      <c r="G556" s="18">
        <f>'Sampling Data'!F556</f>
        <v>0</v>
      </c>
      <c r="H556" s="18">
        <f>'Sampling Data'!G556</f>
        <v>0</v>
      </c>
      <c r="I556" s="18">
        <f>'Sampling Data'!H556</f>
        <v>0</v>
      </c>
      <c r="J556" s="18">
        <f>'Sampling Data'!I556</f>
        <v>0</v>
      </c>
      <c r="K556" s="18">
        <f>'Sampling Data'!J556</f>
        <v>0</v>
      </c>
      <c r="L556" s="18">
        <f>'Sampling Data'!K556</f>
        <v>0</v>
      </c>
      <c r="M556" s="18">
        <f>'Sampling Data'!L556</f>
        <v>0</v>
      </c>
      <c r="N556" s="18">
        <f>'Sampling Data'!M556</f>
        <v>0</v>
      </c>
      <c r="O556" s="17">
        <f>'Sampling Data'!N556</f>
        <v>1</v>
      </c>
      <c r="P556" s="17">
        <f>'Sampling Data'!O556</f>
        <v>15</v>
      </c>
      <c r="Q556" s="17">
        <f>'Sampling Data'!P556</f>
        <v>314</v>
      </c>
      <c r="R556" s="17">
        <f>'Sampling Data'!AJ556</f>
        <v>0</v>
      </c>
      <c r="S556" s="111"/>
      <c r="T556" s="111"/>
      <c r="U556" s="112"/>
      <c r="V556" s="112"/>
      <c r="W556" s="111"/>
      <c r="X556" s="111"/>
      <c r="Y556" s="111"/>
      <c r="Z556" s="111"/>
      <c r="AA556" s="14"/>
      <c r="AB556" s="14"/>
      <c r="AC556" s="14"/>
      <c r="AD556" s="14"/>
      <c r="AE556" s="113" t="str">
        <f>IF(NOT(ISBLANK(Audit[[#This Row],[Audit Winning Candidate]])), Audit[[#This Row],[Audit Winning Candidate]]-Audit[[#This Row],[Winning Candidate]], "")</f>
        <v/>
      </c>
      <c r="AF556" s="17" t="str">
        <f>IF(NOT(ISBLANK(Audit[[#This Row],[Audit Losing Candidate]])), Audit[[#This Row],[Audit Losing Candidate]]-Audit[[#This Row],[Losing Candidate]], "")</f>
        <v/>
      </c>
      <c r="AG556" s="17" t="str">
        <f>IF(NOT(ISBLANK(Audit[[#This Row],[Audit Candidate 3]])), Audit[[#This Row],[Audit Candidate 3]]-Audit[[#This Row],[Candidate 3]], "")</f>
        <v/>
      </c>
      <c r="AH556" s="17" t="str">
        <f>IF(NOT(ISBLANK(Audit[[#This Row],[Audit Candidate 4]])),Audit[[#This Row],[Audit Candidate 4]]-Audit[[#This Row],[Candidate 4]], "")</f>
        <v/>
      </c>
      <c r="AI556" s="17" t="str">
        <f>IF(NOT(ISBLANK(Audit[[#This Row],[Audit Candidate 5]])), Audit[[#This Row],[Audit Candidate 5]]-Audit[[#This Row],[Candidate 5]], "")</f>
        <v/>
      </c>
      <c r="AJ556" s="17" t="str">
        <f>IF(NOT(ISBLANK(Audit[[#This Row],[Audit Candidate 6]])), Audit[[#This Row],[Audit Candidate 6]]-Audit[[#This Row],[Candidate 6]], "")</f>
        <v/>
      </c>
      <c r="AK556" s="17" t="str">
        <f>IF(NOT(ISBLANK(Audit[[#This Row],[Audit Candidate 7]])), Audit[[#This Row],[Audit Candidate 7]]-Audit[[#This Row],[Candidate 7]], "")</f>
        <v/>
      </c>
      <c r="AL556" s="17" t="str">
        <f>IF(NOT(ISBLANK(Audit[[#This Row],[Audit Candidate 8]])), Audit[[#This Row],[Audit Candidate 8]]-Audit[[#This Row],[Candidate 8]], "")</f>
        <v/>
      </c>
      <c r="AM556" s="17" t="str">
        <f>IF(NOT(ISBLANK(Audit[[#This Row],[Audit Candidate 9]])), Audit[[#This Row],[Audit Candidate 9]]-Audit[[#This Row],[Candidate 9]], "")</f>
        <v/>
      </c>
      <c r="AN556" s="17" t="str">
        <f>IF(NOT(ISBLANK(Audit[[#This Row],[Audit Candidate 10]])), Audit[[#This Row],[Audit Candidate 10]]-Audit[[#This Row],[Candidate 10]], "")</f>
        <v/>
      </c>
      <c r="AO556" s="17" t="str">
        <f>IF(NOT(ISBLANK(Audit[[#This Row],[Audit Candidate 11]])), Audit[[#This Row],[Audit Candidate 11]]-Audit[[#This Row],[Candidate 11]], "")</f>
        <v/>
      </c>
      <c r="AP556" s="17" t="str">
        <f>IF(NOT(ISBLANK(Audit[[#This Row],[Audit Candidate 12]])), Audit[[#This Row],[Audit Candidate 12]]-Audit[[#This Row],[Candidate 12]], "")</f>
        <v/>
      </c>
      <c r="AQ556" s="17">
        <f>SUMIF(Audit[[#This Row],[Difference Winner]:[Difference Candidate 12]], "&gt;0")</f>
        <v>0</v>
      </c>
      <c r="AR556" s="17">
        <f>SUM(Audit[[#This Row],[Difference Winner]:[Difference Candidate 12]])</f>
        <v>0</v>
      </c>
      <c r="AS556" s="17">
        <f>IF(Audit[[#This Row],[Times p Drawn - With Replacement]]&gt;0, IF(Audit[[#This Row],[Canceled Differences]]&lt;0, Audit[[#This Row],[Max Differences]]+ABS(Audit[[#This Row],[Canceled Differences]]), Audit[[#This Row],[Max Differences]]), 0)</f>
        <v>0</v>
      </c>
      <c r="AT556" s="17">
        <f>'Sampling Data'!AB556</f>
        <v>1.6380920047530129E-2</v>
      </c>
      <c r="AU556" s="17">
        <f>IF(
      SUM(Audit[[#This Row],[Audit Losing Candidate]:[Audit Candidate 12]])
      &lt;&gt;0,
      (Audit[[#This Row],[Winning Candidate]]-Audit[[#This Row],[Losing Candidate]]-(Audit[[#This Row],[Audit Winning Candidate]]-Audit[[#This Row],[Audit Losing Candidate]]))/(Audit[[#Totals],[Winning Candidate]]-Audit[[#Totals],[Losing Candidate]]),
      0
)</f>
        <v>0</v>
      </c>
      <c r="AV5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6" s="17">
        <f>IF(Audit[[#This Row],[Max Relative Error (ep)]] = 0, 0, Audit[[#This Row],[Max Relative Error (ep)]]/Audit[[#This Row],[Error Bound (up) - Max. possible relative overstatement]])</f>
        <v>0</v>
      </c>
      <c r="BH5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56" s="17">
        <f t="shared" si="9"/>
        <v>1</v>
      </c>
      <c r="BJ556" s="17">
        <f>PRODUCT($BI$5:BI556)</f>
        <v>0.3924021149671667</v>
      </c>
      <c r="BK556" s="19">
        <f>1 - Audit[[#This Row],[K-M P Value]]</f>
        <v>0.6075978850328333</v>
      </c>
      <c r="BL556" s="17" t="str">
        <f>IF(Audit[[#This Row],[K-M P Value]]&gt;1-'General Info'!$B$12,"Continue", "Stop")</f>
        <v>Continue</v>
      </c>
      <c r="BM556" s="22" t="b">
        <f>IF(Audit[[#This Row],[Status - Continue or stop audit]] = "Continue", TRUE, IF(BL555 = "Continue", TRUE, FALSE))</f>
        <v>1</v>
      </c>
      <c r="BN556" s="22"/>
    </row>
    <row r="557" spans="1:66" ht="15" hidden="1" customHeight="1" x14ac:dyDescent="0.35">
      <c r="A557" s="17" t="str">
        <f>'Sampling Data'!AI557</f>
        <v/>
      </c>
      <c r="B557" s="17" t="str">
        <f>'Sampling Data'!A557</f>
        <v>9110 SYMM J   (AV)</v>
      </c>
      <c r="C557" s="17">
        <f>'Sampling Data'!B557</f>
        <v>170</v>
      </c>
      <c r="D557" s="17">
        <f>'Sampling Data'!C557</f>
        <v>212</v>
      </c>
      <c r="E557" s="18">
        <f>'Sampling Data'!D557</f>
        <v>0</v>
      </c>
      <c r="F557" s="18">
        <f>'Sampling Data'!E557</f>
        <v>0</v>
      </c>
      <c r="G557" s="18">
        <f>'Sampling Data'!F557</f>
        <v>0</v>
      </c>
      <c r="H557" s="18">
        <f>'Sampling Data'!G557</f>
        <v>0</v>
      </c>
      <c r="I557" s="18">
        <f>'Sampling Data'!H557</f>
        <v>0</v>
      </c>
      <c r="J557" s="18">
        <f>'Sampling Data'!I557</f>
        <v>0</v>
      </c>
      <c r="K557" s="18">
        <f>'Sampling Data'!J557</f>
        <v>0</v>
      </c>
      <c r="L557" s="18">
        <f>'Sampling Data'!K557</f>
        <v>0</v>
      </c>
      <c r="M557" s="18">
        <f>'Sampling Data'!L557</f>
        <v>0</v>
      </c>
      <c r="N557" s="18">
        <f>'Sampling Data'!M557</f>
        <v>0</v>
      </c>
      <c r="O557" s="17">
        <f>'Sampling Data'!N557</f>
        <v>0</v>
      </c>
      <c r="P557" s="17">
        <f>'Sampling Data'!O557</f>
        <v>24</v>
      </c>
      <c r="Q557" s="17">
        <f>'Sampling Data'!P557</f>
        <v>406</v>
      </c>
      <c r="R557" s="17">
        <f>'Sampling Data'!AJ557</f>
        <v>0</v>
      </c>
      <c r="S557" s="111"/>
      <c r="T557" s="111"/>
      <c r="U557" s="112"/>
      <c r="V557" s="112"/>
      <c r="W557" s="111"/>
      <c r="X557" s="111"/>
      <c r="Y557" s="111"/>
      <c r="Z557" s="111"/>
      <c r="AA557" s="14"/>
      <c r="AB557" s="14"/>
      <c r="AC557" s="14"/>
      <c r="AD557" s="14"/>
      <c r="AE557" s="113" t="str">
        <f>IF(NOT(ISBLANK(Audit[[#This Row],[Audit Winning Candidate]])), Audit[[#This Row],[Audit Winning Candidate]]-Audit[[#This Row],[Winning Candidate]], "")</f>
        <v/>
      </c>
      <c r="AF557" s="17" t="str">
        <f>IF(NOT(ISBLANK(Audit[[#This Row],[Audit Losing Candidate]])), Audit[[#This Row],[Audit Losing Candidate]]-Audit[[#This Row],[Losing Candidate]], "")</f>
        <v/>
      </c>
      <c r="AG557" s="17" t="str">
        <f>IF(NOT(ISBLANK(Audit[[#This Row],[Audit Candidate 3]])), Audit[[#This Row],[Audit Candidate 3]]-Audit[[#This Row],[Candidate 3]], "")</f>
        <v/>
      </c>
      <c r="AH557" s="17" t="str">
        <f>IF(NOT(ISBLANK(Audit[[#This Row],[Audit Candidate 4]])),Audit[[#This Row],[Audit Candidate 4]]-Audit[[#This Row],[Candidate 4]], "")</f>
        <v/>
      </c>
      <c r="AI557" s="17" t="str">
        <f>IF(NOT(ISBLANK(Audit[[#This Row],[Audit Candidate 5]])), Audit[[#This Row],[Audit Candidate 5]]-Audit[[#This Row],[Candidate 5]], "")</f>
        <v/>
      </c>
      <c r="AJ557" s="17" t="str">
        <f>IF(NOT(ISBLANK(Audit[[#This Row],[Audit Candidate 6]])), Audit[[#This Row],[Audit Candidate 6]]-Audit[[#This Row],[Candidate 6]], "")</f>
        <v/>
      </c>
      <c r="AK557" s="17" t="str">
        <f>IF(NOT(ISBLANK(Audit[[#This Row],[Audit Candidate 7]])), Audit[[#This Row],[Audit Candidate 7]]-Audit[[#This Row],[Candidate 7]], "")</f>
        <v/>
      </c>
      <c r="AL557" s="17" t="str">
        <f>IF(NOT(ISBLANK(Audit[[#This Row],[Audit Candidate 8]])), Audit[[#This Row],[Audit Candidate 8]]-Audit[[#This Row],[Candidate 8]], "")</f>
        <v/>
      </c>
      <c r="AM557" s="17" t="str">
        <f>IF(NOT(ISBLANK(Audit[[#This Row],[Audit Candidate 9]])), Audit[[#This Row],[Audit Candidate 9]]-Audit[[#This Row],[Candidate 9]], "")</f>
        <v/>
      </c>
      <c r="AN557" s="17" t="str">
        <f>IF(NOT(ISBLANK(Audit[[#This Row],[Audit Candidate 10]])), Audit[[#This Row],[Audit Candidate 10]]-Audit[[#This Row],[Candidate 10]], "")</f>
        <v/>
      </c>
      <c r="AO557" s="17" t="str">
        <f>IF(NOT(ISBLANK(Audit[[#This Row],[Audit Candidate 11]])), Audit[[#This Row],[Audit Candidate 11]]-Audit[[#This Row],[Candidate 11]], "")</f>
        <v/>
      </c>
      <c r="AP557" s="17" t="str">
        <f>IF(NOT(ISBLANK(Audit[[#This Row],[Audit Candidate 12]])), Audit[[#This Row],[Audit Candidate 12]]-Audit[[#This Row],[Candidate 12]], "")</f>
        <v/>
      </c>
      <c r="AQ557" s="17">
        <f>SUMIF(Audit[[#This Row],[Difference Winner]:[Difference Candidate 12]], "&gt;0")</f>
        <v>0</v>
      </c>
      <c r="AR557" s="17">
        <f>SUM(Audit[[#This Row],[Difference Winner]:[Difference Candidate 12]])</f>
        <v>0</v>
      </c>
      <c r="AS557" s="17">
        <f>IF(Audit[[#This Row],[Times p Drawn - With Replacement]]&gt;0, IF(Audit[[#This Row],[Canceled Differences]]&lt;0, Audit[[#This Row],[Max Differences]]+ABS(Audit[[#This Row],[Canceled Differences]]), Audit[[#This Row],[Max Differences]]), 0)</f>
        <v>0</v>
      </c>
      <c r="AT557" s="17">
        <f>'Sampling Data'!AB557</f>
        <v>1.5447292480054321E-2</v>
      </c>
      <c r="AU557" s="17">
        <f>IF(
      SUM(Audit[[#This Row],[Audit Losing Candidate]:[Audit Candidate 12]])
      &lt;&gt;0,
      (Audit[[#This Row],[Winning Candidate]]-Audit[[#This Row],[Losing Candidate]]-(Audit[[#This Row],[Audit Winning Candidate]]-Audit[[#This Row],[Audit Losing Candidate]]))/(Audit[[#Totals],[Winning Candidate]]-Audit[[#Totals],[Losing Candidate]]),
      0
)</f>
        <v>0</v>
      </c>
      <c r="AV5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7" s="17">
        <f>IF(Audit[[#This Row],[Max Relative Error (ep)]] = 0, 0, Audit[[#This Row],[Max Relative Error (ep)]]/Audit[[#This Row],[Error Bound (up) - Max. possible relative overstatement]])</f>
        <v>0</v>
      </c>
      <c r="BH5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57" s="17">
        <f t="shared" si="9"/>
        <v>1</v>
      </c>
      <c r="BJ557" s="17">
        <f>PRODUCT($BI$5:BI557)</f>
        <v>0.3924021149671667</v>
      </c>
      <c r="BK557" s="19">
        <f>1 - Audit[[#This Row],[K-M P Value]]</f>
        <v>0.6075978850328333</v>
      </c>
      <c r="BL557" s="17" t="str">
        <f>IF(Audit[[#This Row],[K-M P Value]]&gt;1-'General Info'!$B$12,"Continue", "Stop")</f>
        <v>Continue</v>
      </c>
      <c r="BM557" s="22" t="b">
        <f>IF(Audit[[#This Row],[Status - Continue or stop audit]] = "Continue", TRUE, IF(BL556 = "Continue", TRUE, FALSE))</f>
        <v>1</v>
      </c>
      <c r="BN557" s="22"/>
    </row>
    <row r="558" spans="1:66" ht="15" hidden="1" customHeight="1" x14ac:dyDescent="0.35">
      <c r="A558" s="17" t="str">
        <f>'Sampling Data'!AI558</f>
        <v/>
      </c>
      <c r="B558" s="17" t="str">
        <f>'Sampling Data'!A558</f>
        <v>9111 SYMM K   (AV)</v>
      </c>
      <c r="C558" s="17">
        <f>'Sampling Data'!B558</f>
        <v>48</v>
      </c>
      <c r="D558" s="17">
        <f>'Sampling Data'!C558</f>
        <v>88</v>
      </c>
      <c r="E558" s="18">
        <f>'Sampling Data'!D558</f>
        <v>0</v>
      </c>
      <c r="F558" s="18">
        <f>'Sampling Data'!E558</f>
        <v>0</v>
      </c>
      <c r="G558" s="18">
        <f>'Sampling Data'!F558</f>
        <v>0</v>
      </c>
      <c r="H558" s="18">
        <f>'Sampling Data'!G558</f>
        <v>0</v>
      </c>
      <c r="I558" s="18">
        <f>'Sampling Data'!H558</f>
        <v>0</v>
      </c>
      <c r="J558" s="18">
        <f>'Sampling Data'!I558</f>
        <v>0</v>
      </c>
      <c r="K558" s="18">
        <f>'Sampling Data'!J558</f>
        <v>0</v>
      </c>
      <c r="L558" s="18">
        <f>'Sampling Data'!K558</f>
        <v>0</v>
      </c>
      <c r="M558" s="18">
        <f>'Sampling Data'!L558</f>
        <v>0</v>
      </c>
      <c r="N558" s="18">
        <f>'Sampling Data'!M558</f>
        <v>0</v>
      </c>
      <c r="O558" s="17">
        <f>'Sampling Data'!N558</f>
        <v>0</v>
      </c>
      <c r="P558" s="17">
        <f>'Sampling Data'!O558</f>
        <v>6</v>
      </c>
      <c r="Q558" s="17">
        <f>'Sampling Data'!P558</f>
        <v>142</v>
      </c>
      <c r="R558" s="17">
        <f>'Sampling Data'!AJ558</f>
        <v>0</v>
      </c>
      <c r="S558" s="111"/>
      <c r="T558" s="111"/>
      <c r="U558" s="112"/>
      <c r="V558" s="112"/>
      <c r="W558" s="111"/>
      <c r="X558" s="111"/>
      <c r="Y558" s="111"/>
      <c r="Z558" s="111"/>
      <c r="AA558" s="14"/>
      <c r="AB558" s="14"/>
      <c r="AC558" s="14"/>
      <c r="AD558" s="14"/>
      <c r="AE558" s="113" t="str">
        <f>IF(NOT(ISBLANK(Audit[[#This Row],[Audit Winning Candidate]])), Audit[[#This Row],[Audit Winning Candidate]]-Audit[[#This Row],[Winning Candidate]], "")</f>
        <v/>
      </c>
      <c r="AF558" s="17" t="str">
        <f>IF(NOT(ISBLANK(Audit[[#This Row],[Audit Losing Candidate]])), Audit[[#This Row],[Audit Losing Candidate]]-Audit[[#This Row],[Losing Candidate]], "")</f>
        <v/>
      </c>
      <c r="AG558" s="17" t="str">
        <f>IF(NOT(ISBLANK(Audit[[#This Row],[Audit Candidate 3]])), Audit[[#This Row],[Audit Candidate 3]]-Audit[[#This Row],[Candidate 3]], "")</f>
        <v/>
      </c>
      <c r="AH558" s="17" t="str">
        <f>IF(NOT(ISBLANK(Audit[[#This Row],[Audit Candidate 4]])),Audit[[#This Row],[Audit Candidate 4]]-Audit[[#This Row],[Candidate 4]], "")</f>
        <v/>
      </c>
      <c r="AI558" s="17" t="str">
        <f>IF(NOT(ISBLANK(Audit[[#This Row],[Audit Candidate 5]])), Audit[[#This Row],[Audit Candidate 5]]-Audit[[#This Row],[Candidate 5]], "")</f>
        <v/>
      </c>
      <c r="AJ558" s="17" t="str">
        <f>IF(NOT(ISBLANK(Audit[[#This Row],[Audit Candidate 6]])), Audit[[#This Row],[Audit Candidate 6]]-Audit[[#This Row],[Candidate 6]], "")</f>
        <v/>
      </c>
      <c r="AK558" s="17" t="str">
        <f>IF(NOT(ISBLANK(Audit[[#This Row],[Audit Candidate 7]])), Audit[[#This Row],[Audit Candidate 7]]-Audit[[#This Row],[Candidate 7]], "")</f>
        <v/>
      </c>
      <c r="AL558" s="17" t="str">
        <f>IF(NOT(ISBLANK(Audit[[#This Row],[Audit Candidate 8]])), Audit[[#This Row],[Audit Candidate 8]]-Audit[[#This Row],[Candidate 8]], "")</f>
        <v/>
      </c>
      <c r="AM558" s="17" t="str">
        <f>IF(NOT(ISBLANK(Audit[[#This Row],[Audit Candidate 9]])), Audit[[#This Row],[Audit Candidate 9]]-Audit[[#This Row],[Candidate 9]], "")</f>
        <v/>
      </c>
      <c r="AN558" s="17" t="str">
        <f>IF(NOT(ISBLANK(Audit[[#This Row],[Audit Candidate 10]])), Audit[[#This Row],[Audit Candidate 10]]-Audit[[#This Row],[Candidate 10]], "")</f>
        <v/>
      </c>
      <c r="AO558" s="17" t="str">
        <f>IF(NOT(ISBLANK(Audit[[#This Row],[Audit Candidate 11]])), Audit[[#This Row],[Audit Candidate 11]]-Audit[[#This Row],[Candidate 11]], "")</f>
        <v/>
      </c>
      <c r="AP558" s="17" t="str">
        <f>IF(NOT(ISBLANK(Audit[[#This Row],[Audit Candidate 12]])), Audit[[#This Row],[Audit Candidate 12]]-Audit[[#This Row],[Candidate 12]], "")</f>
        <v/>
      </c>
      <c r="AQ558" s="17">
        <f>SUMIF(Audit[[#This Row],[Difference Winner]:[Difference Candidate 12]], "&gt;0")</f>
        <v>0</v>
      </c>
      <c r="AR558" s="17">
        <f>SUM(Audit[[#This Row],[Difference Winner]:[Difference Candidate 12]])</f>
        <v>0</v>
      </c>
      <c r="AS558" s="17">
        <f>IF(Audit[[#This Row],[Times p Drawn - With Replacement]]&gt;0, IF(Audit[[#This Row],[Canceled Differences]]&lt;0, Audit[[#This Row],[Max Differences]]+ABS(Audit[[#This Row],[Canceled Differences]]), Audit[[#This Row],[Max Differences]]), 0)</f>
        <v>0</v>
      </c>
      <c r="AT558" s="17">
        <f>'Sampling Data'!AB558</f>
        <v>4.3286369037514854E-3</v>
      </c>
      <c r="AU558" s="17">
        <f>IF(
      SUM(Audit[[#This Row],[Audit Losing Candidate]:[Audit Candidate 12]])
      &lt;&gt;0,
      (Audit[[#This Row],[Winning Candidate]]-Audit[[#This Row],[Losing Candidate]]-(Audit[[#This Row],[Audit Winning Candidate]]-Audit[[#This Row],[Audit Losing Candidate]]))/(Audit[[#Totals],[Winning Candidate]]-Audit[[#Totals],[Losing Candidate]]),
      0
)</f>
        <v>0</v>
      </c>
      <c r="AV5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8" s="17">
        <f>IF(Audit[[#This Row],[Max Relative Error (ep)]] = 0, 0, Audit[[#This Row],[Max Relative Error (ep)]]/Audit[[#This Row],[Error Bound (up) - Max. possible relative overstatement]])</f>
        <v>0</v>
      </c>
      <c r="BH5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58" s="17">
        <f t="shared" si="9"/>
        <v>1</v>
      </c>
      <c r="BJ558" s="17">
        <f>PRODUCT($BI$5:BI558)</f>
        <v>0.3924021149671667</v>
      </c>
      <c r="BK558" s="19">
        <f>1 - Audit[[#This Row],[K-M P Value]]</f>
        <v>0.6075978850328333</v>
      </c>
      <c r="BL558" s="17" t="str">
        <f>IF(Audit[[#This Row],[K-M P Value]]&gt;1-'General Info'!$B$12,"Continue", "Stop")</f>
        <v>Continue</v>
      </c>
      <c r="BM558" s="22" t="b">
        <f>IF(Audit[[#This Row],[Status - Continue or stop audit]] = "Continue", TRUE, IF(BL557 = "Continue", TRUE, FALSE))</f>
        <v>1</v>
      </c>
      <c r="BN558" s="22"/>
    </row>
    <row r="559" spans="1:66" ht="15" hidden="1" customHeight="1" x14ac:dyDescent="0.35">
      <c r="A559" s="17" t="str">
        <f>'Sampling Data'!AI559</f>
        <v/>
      </c>
      <c r="B559" s="17" t="str">
        <f>'Sampling Data'!A559</f>
        <v>9112 SYMM L   (AV)</v>
      </c>
      <c r="C559" s="17">
        <f>'Sampling Data'!B559</f>
        <v>188</v>
      </c>
      <c r="D559" s="17">
        <f>'Sampling Data'!C559</f>
        <v>210</v>
      </c>
      <c r="E559" s="18">
        <f>'Sampling Data'!D559</f>
        <v>0</v>
      </c>
      <c r="F559" s="18">
        <f>'Sampling Data'!E559</f>
        <v>0</v>
      </c>
      <c r="G559" s="18">
        <f>'Sampling Data'!F559</f>
        <v>0</v>
      </c>
      <c r="H559" s="18">
        <f>'Sampling Data'!G559</f>
        <v>0</v>
      </c>
      <c r="I559" s="18">
        <f>'Sampling Data'!H559</f>
        <v>0</v>
      </c>
      <c r="J559" s="18">
        <f>'Sampling Data'!I559</f>
        <v>0</v>
      </c>
      <c r="K559" s="18">
        <f>'Sampling Data'!J559</f>
        <v>0</v>
      </c>
      <c r="L559" s="18">
        <f>'Sampling Data'!K559</f>
        <v>0</v>
      </c>
      <c r="M559" s="18">
        <f>'Sampling Data'!L559</f>
        <v>0</v>
      </c>
      <c r="N559" s="18">
        <f>'Sampling Data'!M559</f>
        <v>0</v>
      </c>
      <c r="O559" s="17">
        <f>'Sampling Data'!N559</f>
        <v>0</v>
      </c>
      <c r="P559" s="17">
        <f>'Sampling Data'!O559</f>
        <v>20</v>
      </c>
      <c r="Q559" s="17">
        <f>'Sampling Data'!P559</f>
        <v>418</v>
      </c>
      <c r="R559" s="17">
        <f>'Sampling Data'!AJ559</f>
        <v>0</v>
      </c>
      <c r="S559" s="111"/>
      <c r="T559" s="111"/>
      <c r="U559" s="112"/>
      <c r="V559" s="112"/>
      <c r="W559" s="111"/>
      <c r="X559" s="111"/>
      <c r="Y559" s="111"/>
      <c r="Z559" s="111"/>
      <c r="AA559" s="14"/>
      <c r="AB559" s="14"/>
      <c r="AC559" s="14"/>
      <c r="AD559" s="14"/>
      <c r="AE559" s="113" t="str">
        <f>IF(NOT(ISBLANK(Audit[[#This Row],[Audit Winning Candidate]])), Audit[[#This Row],[Audit Winning Candidate]]-Audit[[#This Row],[Winning Candidate]], "")</f>
        <v/>
      </c>
      <c r="AF559" s="17" t="str">
        <f>IF(NOT(ISBLANK(Audit[[#This Row],[Audit Losing Candidate]])), Audit[[#This Row],[Audit Losing Candidate]]-Audit[[#This Row],[Losing Candidate]], "")</f>
        <v/>
      </c>
      <c r="AG559" s="17" t="str">
        <f>IF(NOT(ISBLANK(Audit[[#This Row],[Audit Candidate 3]])), Audit[[#This Row],[Audit Candidate 3]]-Audit[[#This Row],[Candidate 3]], "")</f>
        <v/>
      </c>
      <c r="AH559" s="17" t="str">
        <f>IF(NOT(ISBLANK(Audit[[#This Row],[Audit Candidate 4]])),Audit[[#This Row],[Audit Candidate 4]]-Audit[[#This Row],[Candidate 4]], "")</f>
        <v/>
      </c>
      <c r="AI559" s="17" t="str">
        <f>IF(NOT(ISBLANK(Audit[[#This Row],[Audit Candidate 5]])), Audit[[#This Row],[Audit Candidate 5]]-Audit[[#This Row],[Candidate 5]], "")</f>
        <v/>
      </c>
      <c r="AJ559" s="17" t="str">
        <f>IF(NOT(ISBLANK(Audit[[#This Row],[Audit Candidate 6]])), Audit[[#This Row],[Audit Candidate 6]]-Audit[[#This Row],[Candidate 6]], "")</f>
        <v/>
      </c>
      <c r="AK559" s="17" t="str">
        <f>IF(NOT(ISBLANK(Audit[[#This Row],[Audit Candidate 7]])), Audit[[#This Row],[Audit Candidate 7]]-Audit[[#This Row],[Candidate 7]], "")</f>
        <v/>
      </c>
      <c r="AL559" s="17" t="str">
        <f>IF(NOT(ISBLANK(Audit[[#This Row],[Audit Candidate 8]])), Audit[[#This Row],[Audit Candidate 8]]-Audit[[#This Row],[Candidate 8]], "")</f>
        <v/>
      </c>
      <c r="AM559" s="17" t="str">
        <f>IF(NOT(ISBLANK(Audit[[#This Row],[Audit Candidate 9]])), Audit[[#This Row],[Audit Candidate 9]]-Audit[[#This Row],[Candidate 9]], "")</f>
        <v/>
      </c>
      <c r="AN559" s="17" t="str">
        <f>IF(NOT(ISBLANK(Audit[[#This Row],[Audit Candidate 10]])), Audit[[#This Row],[Audit Candidate 10]]-Audit[[#This Row],[Candidate 10]], "")</f>
        <v/>
      </c>
      <c r="AO559" s="17" t="str">
        <f>IF(NOT(ISBLANK(Audit[[#This Row],[Audit Candidate 11]])), Audit[[#This Row],[Audit Candidate 11]]-Audit[[#This Row],[Candidate 11]], "")</f>
        <v/>
      </c>
      <c r="AP559" s="17" t="str">
        <f>IF(NOT(ISBLANK(Audit[[#This Row],[Audit Candidate 12]])), Audit[[#This Row],[Audit Candidate 12]]-Audit[[#This Row],[Candidate 12]], "")</f>
        <v/>
      </c>
      <c r="AQ559" s="17">
        <f>SUMIF(Audit[[#This Row],[Difference Winner]:[Difference Candidate 12]], "&gt;0")</f>
        <v>0</v>
      </c>
      <c r="AR559" s="17">
        <f>SUM(Audit[[#This Row],[Difference Winner]:[Difference Candidate 12]])</f>
        <v>0</v>
      </c>
      <c r="AS559" s="17">
        <f>IF(Audit[[#This Row],[Times p Drawn - With Replacement]]&gt;0, IF(Audit[[#This Row],[Canceled Differences]]&lt;0, Audit[[#This Row],[Max Differences]]+ABS(Audit[[#This Row],[Canceled Differences]]), Audit[[#This Row],[Max Differences]]), 0)</f>
        <v>0</v>
      </c>
      <c r="AT559" s="17">
        <f>'Sampling Data'!AB559</f>
        <v>1.6805296214564589E-2</v>
      </c>
      <c r="AU559" s="17">
        <f>IF(
      SUM(Audit[[#This Row],[Audit Losing Candidate]:[Audit Candidate 12]])
      &lt;&gt;0,
      (Audit[[#This Row],[Winning Candidate]]-Audit[[#This Row],[Losing Candidate]]-(Audit[[#This Row],[Audit Winning Candidate]]-Audit[[#This Row],[Audit Losing Candidate]]))/(Audit[[#Totals],[Winning Candidate]]-Audit[[#Totals],[Losing Candidate]]),
      0
)</f>
        <v>0</v>
      </c>
      <c r="AV5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9" s="17">
        <f>IF(Audit[[#This Row],[Max Relative Error (ep)]] = 0, 0, Audit[[#This Row],[Max Relative Error (ep)]]/Audit[[#This Row],[Error Bound (up) - Max. possible relative overstatement]])</f>
        <v>0</v>
      </c>
      <c r="BH5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59" s="17">
        <f t="shared" si="9"/>
        <v>1</v>
      </c>
      <c r="BJ559" s="17">
        <f>PRODUCT($BI$5:BI559)</f>
        <v>0.3924021149671667</v>
      </c>
      <c r="BK559" s="19">
        <f>1 - Audit[[#This Row],[K-M P Value]]</f>
        <v>0.6075978850328333</v>
      </c>
      <c r="BL559" s="17" t="str">
        <f>IF(Audit[[#This Row],[K-M P Value]]&gt;1-'General Info'!$B$12,"Continue", "Stop")</f>
        <v>Continue</v>
      </c>
      <c r="BM559" s="22" t="b">
        <f>IF(Audit[[#This Row],[Status - Continue or stop audit]] = "Continue", TRUE, IF(BL558 = "Continue", TRUE, FALSE))</f>
        <v>1</v>
      </c>
      <c r="BN559" s="22"/>
    </row>
    <row r="560" spans="1:66" ht="15" hidden="1" customHeight="1" x14ac:dyDescent="0.35">
      <c r="A560" s="17" t="str">
        <f>'Sampling Data'!AI560</f>
        <v/>
      </c>
      <c r="B560" s="17" t="str">
        <f>'Sampling Data'!A560</f>
        <v>9301 TER PK A   (AV)</v>
      </c>
      <c r="C560" s="17">
        <f>'Sampling Data'!B560</f>
        <v>168</v>
      </c>
      <c r="D560" s="17">
        <f>'Sampling Data'!C560</f>
        <v>184</v>
      </c>
      <c r="E560" s="18">
        <f>'Sampling Data'!D560</f>
        <v>0</v>
      </c>
      <c r="F560" s="18">
        <f>'Sampling Data'!E560</f>
        <v>0</v>
      </c>
      <c r="G560" s="18">
        <f>'Sampling Data'!F560</f>
        <v>0</v>
      </c>
      <c r="H560" s="18">
        <f>'Sampling Data'!G560</f>
        <v>0</v>
      </c>
      <c r="I560" s="18">
        <f>'Sampling Data'!H560</f>
        <v>0</v>
      </c>
      <c r="J560" s="18">
        <f>'Sampling Data'!I560</f>
        <v>0</v>
      </c>
      <c r="K560" s="18">
        <f>'Sampling Data'!J560</f>
        <v>0</v>
      </c>
      <c r="L560" s="18">
        <f>'Sampling Data'!K560</f>
        <v>0</v>
      </c>
      <c r="M560" s="18">
        <f>'Sampling Data'!L560</f>
        <v>0</v>
      </c>
      <c r="N560" s="18">
        <f>'Sampling Data'!M560</f>
        <v>0</v>
      </c>
      <c r="O560" s="17">
        <f>'Sampling Data'!N560</f>
        <v>0</v>
      </c>
      <c r="P560" s="17">
        <f>'Sampling Data'!O560</f>
        <v>19</v>
      </c>
      <c r="Q560" s="17">
        <f>'Sampling Data'!P560</f>
        <v>371</v>
      </c>
      <c r="R560" s="17">
        <f>'Sampling Data'!AJ560</f>
        <v>0</v>
      </c>
      <c r="S560" s="111"/>
      <c r="T560" s="111"/>
      <c r="U560" s="112"/>
      <c r="V560" s="112"/>
      <c r="W560" s="111"/>
      <c r="X560" s="111"/>
      <c r="Y560" s="111"/>
      <c r="Z560" s="111"/>
      <c r="AA560" s="14"/>
      <c r="AB560" s="14"/>
      <c r="AC560" s="14"/>
      <c r="AD560" s="14"/>
      <c r="AE560" s="113" t="str">
        <f>IF(NOT(ISBLANK(Audit[[#This Row],[Audit Winning Candidate]])), Audit[[#This Row],[Audit Winning Candidate]]-Audit[[#This Row],[Winning Candidate]], "")</f>
        <v/>
      </c>
      <c r="AF560" s="17" t="str">
        <f>IF(NOT(ISBLANK(Audit[[#This Row],[Audit Losing Candidate]])), Audit[[#This Row],[Audit Losing Candidate]]-Audit[[#This Row],[Losing Candidate]], "")</f>
        <v/>
      </c>
      <c r="AG560" s="17" t="str">
        <f>IF(NOT(ISBLANK(Audit[[#This Row],[Audit Candidate 3]])), Audit[[#This Row],[Audit Candidate 3]]-Audit[[#This Row],[Candidate 3]], "")</f>
        <v/>
      </c>
      <c r="AH560" s="17" t="str">
        <f>IF(NOT(ISBLANK(Audit[[#This Row],[Audit Candidate 4]])),Audit[[#This Row],[Audit Candidate 4]]-Audit[[#This Row],[Candidate 4]], "")</f>
        <v/>
      </c>
      <c r="AI560" s="17" t="str">
        <f>IF(NOT(ISBLANK(Audit[[#This Row],[Audit Candidate 5]])), Audit[[#This Row],[Audit Candidate 5]]-Audit[[#This Row],[Candidate 5]], "")</f>
        <v/>
      </c>
      <c r="AJ560" s="17" t="str">
        <f>IF(NOT(ISBLANK(Audit[[#This Row],[Audit Candidate 6]])), Audit[[#This Row],[Audit Candidate 6]]-Audit[[#This Row],[Candidate 6]], "")</f>
        <v/>
      </c>
      <c r="AK560" s="17" t="str">
        <f>IF(NOT(ISBLANK(Audit[[#This Row],[Audit Candidate 7]])), Audit[[#This Row],[Audit Candidate 7]]-Audit[[#This Row],[Candidate 7]], "")</f>
        <v/>
      </c>
      <c r="AL560" s="17" t="str">
        <f>IF(NOT(ISBLANK(Audit[[#This Row],[Audit Candidate 8]])), Audit[[#This Row],[Audit Candidate 8]]-Audit[[#This Row],[Candidate 8]], "")</f>
        <v/>
      </c>
      <c r="AM560" s="17" t="str">
        <f>IF(NOT(ISBLANK(Audit[[#This Row],[Audit Candidate 9]])), Audit[[#This Row],[Audit Candidate 9]]-Audit[[#This Row],[Candidate 9]], "")</f>
        <v/>
      </c>
      <c r="AN560" s="17" t="str">
        <f>IF(NOT(ISBLANK(Audit[[#This Row],[Audit Candidate 10]])), Audit[[#This Row],[Audit Candidate 10]]-Audit[[#This Row],[Candidate 10]], "")</f>
        <v/>
      </c>
      <c r="AO560" s="17" t="str">
        <f>IF(NOT(ISBLANK(Audit[[#This Row],[Audit Candidate 11]])), Audit[[#This Row],[Audit Candidate 11]]-Audit[[#This Row],[Candidate 11]], "")</f>
        <v/>
      </c>
      <c r="AP560" s="17" t="str">
        <f>IF(NOT(ISBLANK(Audit[[#This Row],[Audit Candidate 12]])), Audit[[#This Row],[Audit Candidate 12]]-Audit[[#This Row],[Candidate 12]], "")</f>
        <v/>
      </c>
      <c r="AQ560" s="17">
        <f>SUMIF(Audit[[#This Row],[Difference Winner]:[Difference Candidate 12]], "&gt;0")</f>
        <v>0</v>
      </c>
      <c r="AR560" s="17">
        <f>SUM(Audit[[#This Row],[Difference Winner]:[Difference Candidate 12]])</f>
        <v>0</v>
      </c>
      <c r="AS560" s="17">
        <f>IF(Audit[[#This Row],[Times p Drawn - With Replacement]]&gt;0, IF(Audit[[#This Row],[Canceled Differences]]&lt;0, Audit[[#This Row],[Max Differences]]+ABS(Audit[[#This Row],[Canceled Differences]]), Audit[[#This Row],[Max Differences]]), 0)</f>
        <v>0</v>
      </c>
      <c r="AT560" s="17">
        <f>'Sampling Data'!AB560</f>
        <v>1.5065353929723307E-2</v>
      </c>
      <c r="AU560" s="17">
        <f>IF(
      SUM(Audit[[#This Row],[Audit Losing Candidate]:[Audit Candidate 12]])
      &lt;&gt;0,
      (Audit[[#This Row],[Winning Candidate]]-Audit[[#This Row],[Losing Candidate]]-(Audit[[#This Row],[Audit Winning Candidate]]-Audit[[#This Row],[Audit Losing Candidate]]))/(Audit[[#Totals],[Winning Candidate]]-Audit[[#Totals],[Losing Candidate]]),
      0
)</f>
        <v>0</v>
      </c>
      <c r="AV5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0" s="17">
        <f>IF(Audit[[#This Row],[Max Relative Error (ep)]] = 0, 0, Audit[[#This Row],[Max Relative Error (ep)]]/Audit[[#This Row],[Error Bound (up) - Max. possible relative overstatement]])</f>
        <v>0</v>
      </c>
      <c r="BH5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60" s="17">
        <f t="shared" si="9"/>
        <v>1</v>
      </c>
      <c r="BJ560" s="17">
        <f>PRODUCT($BI$5:BI560)</f>
        <v>0.3924021149671667</v>
      </c>
      <c r="BK560" s="19">
        <f>1 - Audit[[#This Row],[K-M P Value]]</f>
        <v>0.6075978850328333</v>
      </c>
      <c r="BL560" s="17" t="str">
        <f>IF(Audit[[#This Row],[K-M P Value]]&gt;1-'General Info'!$B$12,"Continue", "Stop")</f>
        <v>Continue</v>
      </c>
      <c r="BM560" s="22" t="b">
        <f>IF(Audit[[#This Row],[Status - Continue or stop audit]] = "Continue", TRUE, IF(BL559 = "Continue", TRUE, FALSE))</f>
        <v>1</v>
      </c>
      <c r="BN560" s="22"/>
    </row>
    <row r="561" spans="1:66" ht="15" hidden="1" customHeight="1" x14ac:dyDescent="0.35">
      <c r="A561" s="17" t="str">
        <f>'Sampling Data'!AI561</f>
        <v/>
      </c>
      <c r="B561" s="17" t="str">
        <f>'Sampling Data'!A561</f>
        <v>9302 TER PK B   (AV)</v>
      </c>
      <c r="C561" s="17">
        <f>'Sampling Data'!B561</f>
        <v>85</v>
      </c>
      <c r="D561" s="17">
        <f>'Sampling Data'!C561</f>
        <v>109</v>
      </c>
      <c r="E561" s="18">
        <f>'Sampling Data'!D561</f>
        <v>0</v>
      </c>
      <c r="F561" s="18">
        <f>'Sampling Data'!E561</f>
        <v>0</v>
      </c>
      <c r="G561" s="18">
        <f>'Sampling Data'!F561</f>
        <v>0</v>
      </c>
      <c r="H561" s="18">
        <f>'Sampling Data'!G561</f>
        <v>0</v>
      </c>
      <c r="I561" s="18">
        <f>'Sampling Data'!H561</f>
        <v>0</v>
      </c>
      <c r="J561" s="18">
        <f>'Sampling Data'!I561</f>
        <v>0</v>
      </c>
      <c r="K561" s="18">
        <f>'Sampling Data'!J561</f>
        <v>0</v>
      </c>
      <c r="L561" s="18">
        <f>'Sampling Data'!K561</f>
        <v>0</v>
      </c>
      <c r="M561" s="18">
        <f>'Sampling Data'!L561</f>
        <v>0</v>
      </c>
      <c r="N561" s="18">
        <f>'Sampling Data'!M561</f>
        <v>0</v>
      </c>
      <c r="O561" s="17">
        <f>'Sampling Data'!N561</f>
        <v>0</v>
      </c>
      <c r="P561" s="17">
        <f>'Sampling Data'!O561</f>
        <v>8</v>
      </c>
      <c r="Q561" s="17">
        <f>'Sampling Data'!P561</f>
        <v>202</v>
      </c>
      <c r="R561" s="17">
        <f>'Sampling Data'!AJ561</f>
        <v>0</v>
      </c>
      <c r="S561" s="111"/>
      <c r="T561" s="111"/>
      <c r="U561" s="112"/>
      <c r="V561" s="112"/>
      <c r="W561" s="111"/>
      <c r="X561" s="111"/>
      <c r="Y561" s="111"/>
      <c r="Z561" s="111"/>
      <c r="AA561" s="14"/>
      <c r="AB561" s="14"/>
      <c r="AC561" s="14"/>
      <c r="AD561" s="14"/>
      <c r="AE561" s="113" t="str">
        <f>IF(NOT(ISBLANK(Audit[[#This Row],[Audit Winning Candidate]])), Audit[[#This Row],[Audit Winning Candidate]]-Audit[[#This Row],[Winning Candidate]], "")</f>
        <v/>
      </c>
      <c r="AF561" s="17" t="str">
        <f>IF(NOT(ISBLANK(Audit[[#This Row],[Audit Losing Candidate]])), Audit[[#This Row],[Audit Losing Candidate]]-Audit[[#This Row],[Losing Candidate]], "")</f>
        <v/>
      </c>
      <c r="AG561" s="17" t="str">
        <f>IF(NOT(ISBLANK(Audit[[#This Row],[Audit Candidate 3]])), Audit[[#This Row],[Audit Candidate 3]]-Audit[[#This Row],[Candidate 3]], "")</f>
        <v/>
      </c>
      <c r="AH561" s="17" t="str">
        <f>IF(NOT(ISBLANK(Audit[[#This Row],[Audit Candidate 4]])),Audit[[#This Row],[Audit Candidate 4]]-Audit[[#This Row],[Candidate 4]], "")</f>
        <v/>
      </c>
      <c r="AI561" s="17" t="str">
        <f>IF(NOT(ISBLANK(Audit[[#This Row],[Audit Candidate 5]])), Audit[[#This Row],[Audit Candidate 5]]-Audit[[#This Row],[Candidate 5]], "")</f>
        <v/>
      </c>
      <c r="AJ561" s="17" t="str">
        <f>IF(NOT(ISBLANK(Audit[[#This Row],[Audit Candidate 6]])), Audit[[#This Row],[Audit Candidate 6]]-Audit[[#This Row],[Candidate 6]], "")</f>
        <v/>
      </c>
      <c r="AK561" s="17" t="str">
        <f>IF(NOT(ISBLANK(Audit[[#This Row],[Audit Candidate 7]])), Audit[[#This Row],[Audit Candidate 7]]-Audit[[#This Row],[Candidate 7]], "")</f>
        <v/>
      </c>
      <c r="AL561" s="17" t="str">
        <f>IF(NOT(ISBLANK(Audit[[#This Row],[Audit Candidate 8]])), Audit[[#This Row],[Audit Candidate 8]]-Audit[[#This Row],[Candidate 8]], "")</f>
        <v/>
      </c>
      <c r="AM561" s="17" t="str">
        <f>IF(NOT(ISBLANK(Audit[[#This Row],[Audit Candidate 9]])), Audit[[#This Row],[Audit Candidate 9]]-Audit[[#This Row],[Candidate 9]], "")</f>
        <v/>
      </c>
      <c r="AN561" s="17" t="str">
        <f>IF(NOT(ISBLANK(Audit[[#This Row],[Audit Candidate 10]])), Audit[[#This Row],[Audit Candidate 10]]-Audit[[#This Row],[Candidate 10]], "")</f>
        <v/>
      </c>
      <c r="AO561" s="17" t="str">
        <f>IF(NOT(ISBLANK(Audit[[#This Row],[Audit Candidate 11]])), Audit[[#This Row],[Audit Candidate 11]]-Audit[[#This Row],[Candidate 11]], "")</f>
        <v/>
      </c>
      <c r="AP561" s="17" t="str">
        <f>IF(NOT(ISBLANK(Audit[[#This Row],[Audit Candidate 12]])), Audit[[#This Row],[Audit Candidate 12]]-Audit[[#This Row],[Candidate 12]], "")</f>
        <v/>
      </c>
      <c r="AQ561" s="17">
        <f>SUMIF(Audit[[#This Row],[Difference Winner]:[Difference Candidate 12]], "&gt;0")</f>
        <v>0</v>
      </c>
      <c r="AR561" s="17">
        <f>SUM(Audit[[#This Row],[Difference Winner]:[Difference Candidate 12]])</f>
        <v>0</v>
      </c>
      <c r="AS561" s="17">
        <f>IF(Audit[[#This Row],[Times p Drawn - With Replacement]]&gt;0, IF(Audit[[#This Row],[Canceled Differences]]&lt;0, Audit[[#This Row],[Max Differences]]+ABS(Audit[[#This Row],[Canceled Differences]]), Audit[[#This Row],[Max Differences]]), 0)</f>
        <v>0</v>
      </c>
      <c r="AT561" s="17">
        <f>'Sampling Data'!AB561</f>
        <v>7.5538957732133767E-3</v>
      </c>
      <c r="AU561" s="17">
        <f>IF(
      SUM(Audit[[#This Row],[Audit Losing Candidate]:[Audit Candidate 12]])
      &lt;&gt;0,
      (Audit[[#This Row],[Winning Candidate]]-Audit[[#This Row],[Losing Candidate]]-(Audit[[#This Row],[Audit Winning Candidate]]-Audit[[#This Row],[Audit Losing Candidate]]))/(Audit[[#Totals],[Winning Candidate]]-Audit[[#Totals],[Losing Candidate]]),
      0
)</f>
        <v>0</v>
      </c>
      <c r="AV5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1" s="17">
        <f>IF(Audit[[#This Row],[Max Relative Error (ep)]] = 0, 0, Audit[[#This Row],[Max Relative Error (ep)]]/Audit[[#This Row],[Error Bound (up) - Max. possible relative overstatement]])</f>
        <v>0</v>
      </c>
      <c r="BH5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61" s="17">
        <f t="shared" si="9"/>
        <v>1</v>
      </c>
      <c r="BJ561" s="17">
        <f>PRODUCT($BI$5:BI561)</f>
        <v>0.3924021149671667</v>
      </c>
      <c r="BK561" s="19">
        <f>1 - Audit[[#This Row],[K-M P Value]]</f>
        <v>0.6075978850328333</v>
      </c>
      <c r="BL561" s="17" t="str">
        <f>IF(Audit[[#This Row],[K-M P Value]]&gt;1-'General Info'!$B$12,"Continue", "Stop")</f>
        <v>Continue</v>
      </c>
      <c r="BM561" s="22" t="b">
        <f>IF(Audit[[#This Row],[Status - Continue or stop audit]] = "Continue", TRUE, IF(BL560 = "Continue", TRUE, FALSE))</f>
        <v>1</v>
      </c>
      <c r="BN561" s="22"/>
    </row>
    <row r="562" spans="1:66" ht="15" hidden="1" customHeight="1" x14ac:dyDescent="0.35">
      <c r="A562" s="17" t="str">
        <f>'Sampling Data'!AI562</f>
        <v/>
      </c>
      <c r="B562" s="17" t="str">
        <f>'Sampling Data'!A562</f>
        <v>9501 WHWTR A   (AV)</v>
      </c>
      <c r="C562" s="17">
        <f>'Sampling Data'!B562</f>
        <v>50</v>
      </c>
      <c r="D562" s="17">
        <f>'Sampling Data'!C562</f>
        <v>204</v>
      </c>
      <c r="E562" s="18">
        <f>'Sampling Data'!D562</f>
        <v>0</v>
      </c>
      <c r="F562" s="18">
        <f>'Sampling Data'!E562</f>
        <v>0</v>
      </c>
      <c r="G562" s="18">
        <f>'Sampling Data'!F562</f>
        <v>0</v>
      </c>
      <c r="H562" s="18">
        <f>'Sampling Data'!G562</f>
        <v>0</v>
      </c>
      <c r="I562" s="18">
        <f>'Sampling Data'!H562</f>
        <v>0</v>
      </c>
      <c r="J562" s="18">
        <f>'Sampling Data'!I562</f>
        <v>0</v>
      </c>
      <c r="K562" s="18">
        <f>'Sampling Data'!J562</f>
        <v>0</v>
      </c>
      <c r="L562" s="18">
        <f>'Sampling Data'!K562</f>
        <v>0</v>
      </c>
      <c r="M562" s="18">
        <f>'Sampling Data'!L562</f>
        <v>0</v>
      </c>
      <c r="N562" s="18">
        <f>'Sampling Data'!M562</f>
        <v>0</v>
      </c>
      <c r="O562" s="17">
        <f>'Sampling Data'!N562</f>
        <v>0</v>
      </c>
      <c r="P562" s="17">
        <f>'Sampling Data'!O562</f>
        <v>8</v>
      </c>
      <c r="Q562" s="17">
        <f>'Sampling Data'!P562</f>
        <v>262</v>
      </c>
      <c r="R562" s="17">
        <f>'Sampling Data'!AJ562</f>
        <v>0</v>
      </c>
      <c r="S562" s="111"/>
      <c r="T562" s="111"/>
      <c r="U562" s="112"/>
      <c r="V562" s="112"/>
      <c r="W562" s="111"/>
      <c r="X562" s="111"/>
      <c r="Y562" s="111"/>
      <c r="Z562" s="111"/>
      <c r="AA562" s="14"/>
      <c r="AB562" s="14"/>
      <c r="AC562" s="14"/>
      <c r="AD562" s="14"/>
      <c r="AE562" s="113" t="str">
        <f>IF(NOT(ISBLANK(Audit[[#This Row],[Audit Winning Candidate]])), Audit[[#This Row],[Audit Winning Candidate]]-Audit[[#This Row],[Winning Candidate]], "")</f>
        <v/>
      </c>
      <c r="AF562" s="17" t="str">
        <f>IF(NOT(ISBLANK(Audit[[#This Row],[Audit Losing Candidate]])), Audit[[#This Row],[Audit Losing Candidate]]-Audit[[#This Row],[Losing Candidate]], "")</f>
        <v/>
      </c>
      <c r="AG562" s="17" t="str">
        <f>IF(NOT(ISBLANK(Audit[[#This Row],[Audit Candidate 3]])), Audit[[#This Row],[Audit Candidate 3]]-Audit[[#This Row],[Candidate 3]], "")</f>
        <v/>
      </c>
      <c r="AH562" s="17" t="str">
        <f>IF(NOT(ISBLANK(Audit[[#This Row],[Audit Candidate 4]])),Audit[[#This Row],[Audit Candidate 4]]-Audit[[#This Row],[Candidate 4]], "")</f>
        <v/>
      </c>
      <c r="AI562" s="17" t="str">
        <f>IF(NOT(ISBLANK(Audit[[#This Row],[Audit Candidate 5]])), Audit[[#This Row],[Audit Candidate 5]]-Audit[[#This Row],[Candidate 5]], "")</f>
        <v/>
      </c>
      <c r="AJ562" s="17" t="str">
        <f>IF(NOT(ISBLANK(Audit[[#This Row],[Audit Candidate 6]])), Audit[[#This Row],[Audit Candidate 6]]-Audit[[#This Row],[Candidate 6]], "")</f>
        <v/>
      </c>
      <c r="AK562" s="17" t="str">
        <f>IF(NOT(ISBLANK(Audit[[#This Row],[Audit Candidate 7]])), Audit[[#This Row],[Audit Candidate 7]]-Audit[[#This Row],[Candidate 7]], "")</f>
        <v/>
      </c>
      <c r="AL562" s="17" t="str">
        <f>IF(NOT(ISBLANK(Audit[[#This Row],[Audit Candidate 8]])), Audit[[#This Row],[Audit Candidate 8]]-Audit[[#This Row],[Candidate 8]], "")</f>
        <v/>
      </c>
      <c r="AM562" s="17" t="str">
        <f>IF(NOT(ISBLANK(Audit[[#This Row],[Audit Candidate 9]])), Audit[[#This Row],[Audit Candidate 9]]-Audit[[#This Row],[Candidate 9]], "")</f>
        <v/>
      </c>
      <c r="AN562" s="17" t="str">
        <f>IF(NOT(ISBLANK(Audit[[#This Row],[Audit Candidate 10]])), Audit[[#This Row],[Audit Candidate 10]]-Audit[[#This Row],[Candidate 10]], "")</f>
        <v/>
      </c>
      <c r="AO562" s="17" t="str">
        <f>IF(NOT(ISBLANK(Audit[[#This Row],[Audit Candidate 11]])), Audit[[#This Row],[Audit Candidate 11]]-Audit[[#This Row],[Candidate 11]], "")</f>
        <v/>
      </c>
      <c r="AP562" s="17" t="str">
        <f>IF(NOT(ISBLANK(Audit[[#This Row],[Audit Candidate 12]])), Audit[[#This Row],[Audit Candidate 12]]-Audit[[#This Row],[Candidate 12]], "")</f>
        <v/>
      </c>
      <c r="AQ562" s="17">
        <f>SUMIF(Audit[[#This Row],[Difference Winner]:[Difference Candidate 12]], "&gt;0")</f>
        <v>0</v>
      </c>
      <c r="AR562" s="17">
        <f>SUM(Audit[[#This Row],[Difference Winner]:[Difference Candidate 12]])</f>
        <v>0</v>
      </c>
      <c r="AS562" s="17">
        <f>IF(Audit[[#This Row],[Times p Drawn - With Replacement]]&gt;0, IF(Audit[[#This Row],[Canceled Differences]]&lt;0, Audit[[#This Row],[Max Differences]]+ABS(Audit[[#This Row],[Canceled Differences]]), Audit[[#This Row],[Max Differences]]), 0)</f>
        <v>0</v>
      </c>
      <c r="AT562" s="17">
        <f>'Sampling Data'!AB562</f>
        <v>4.5832626039721608E-3</v>
      </c>
      <c r="AU562" s="17">
        <f>IF(
      SUM(Audit[[#This Row],[Audit Losing Candidate]:[Audit Candidate 12]])
      &lt;&gt;0,
      (Audit[[#This Row],[Winning Candidate]]-Audit[[#This Row],[Losing Candidate]]-(Audit[[#This Row],[Audit Winning Candidate]]-Audit[[#This Row],[Audit Losing Candidate]]))/(Audit[[#Totals],[Winning Candidate]]-Audit[[#Totals],[Losing Candidate]]),
      0
)</f>
        <v>0</v>
      </c>
      <c r="AV5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2" s="17">
        <f>IF(Audit[[#This Row],[Max Relative Error (ep)]] = 0, 0, Audit[[#This Row],[Max Relative Error (ep)]]/Audit[[#This Row],[Error Bound (up) - Max. possible relative overstatement]])</f>
        <v>0</v>
      </c>
      <c r="BH5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62" s="17">
        <f t="shared" si="9"/>
        <v>1</v>
      </c>
      <c r="BJ562" s="17">
        <f>PRODUCT($BI$5:BI562)</f>
        <v>0.3924021149671667</v>
      </c>
      <c r="BK562" s="19">
        <f>1 - Audit[[#This Row],[K-M P Value]]</f>
        <v>0.6075978850328333</v>
      </c>
      <c r="BL562" s="17" t="str">
        <f>IF(Audit[[#This Row],[K-M P Value]]&gt;1-'General Info'!$B$12,"Continue", "Stop")</f>
        <v>Continue</v>
      </c>
      <c r="BM562" s="22" t="b">
        <f>IF(Audit[[#This Row],[Status - Continue or stop audit]] = "Continue", TRUE, IF(BL561 = "Continue", TRUE, FALSE))</f>
        <v>1</v>
      </c>
      <c r="BN562" s="22"/>
    </row>
    <row r="563" spans="1:66" ht="15" hidden="1" customHeight="1" x14ac:dyDescent="0.35">
      <c r="A563" s="17" t="str">
        <f>'Sampling Data'!AI563</f>
        <v/>
      </c>
      <c r="B563" s="17" t="str">
        <f>'Sampling Data'!A563</f>
        <v>9502 WHWTR B   (AV)</v>
      </c>
      <c r="C563" s="17">
        <f>'Sampling Data'!B563</f>
        <v>65</v>
      </c>
      <c r="D563" s="17">
        <f>'Sampling Data'!C563</f>
        <v>188</v>
      </c>
      <c r="E563" s="18">
        <f>'Sampling Data'!D563</f>
        <v>0</v>
      </c>
      <c r="F563" s="18">
        <f>'Sampling Data'!E563</f>
        <v>0</v>
      </c>
      <c r="G563" s="18">
        <f>'Sampling Data'!F563</f>
        <v>0</v>
      </c>
      <c r="H563" s="18">
        <f>'Sampling Data'!G563</f>
        <v>0</v>
      </c>
      <c r="I563" s="18">
        <f>'Sampling Data'!H563</f>
        <v>0</v>
      </c>
      <c r="J563" s="18">
        <f>'Sampling Data'!I563</f>
        <v>0</v>
      </c>
      <c r="K563" s="18">
        <f>'Sampling Data'!J563</f>
        <v>0</v>
      </c>
      <c r="L563" s="18">
        <f>'Sampling Data'!K563</f>
        <v>0</v>
      </c>
      <c r="M563" s="18">
        <f>'Sampling Data'!L563</f>
        <v>0</v>
      </c>
      <c r="N563" s="18">
        <f>'Sampling Data'!M563</f>
        <v>0</v>
      </c>
      <c r="O563" s="17">
        <f>'Sampling Data'!N563</f>
        <v>0</v>
      </c>
      <c r="P563" s="17">
        <f>'Sampling Data'!O563</f>
        <v>14</v>
      </c>
      <c r="Q563" s="17">
        <f>'Sampling Data'!P563</f>
        <v>267</v>
      </c>
      <c r="R563" s="17">
        <f>'Sampling Data'!AJ563</f>
        <v>0</v>
      </c>
      <c r="S563" s="111"/>
      <c r="T563" s="111"/>
      <c r="U563" s="112"/>
      <c r="V563" s="112"/>
      <c r="W563" s="111"/>
      <c r="X563" s="111"/>
      <c r="Y563" s="111"/>
      <c r="Z563" s="111"/>
      <c r="AA563" s="14"/>
      <c r="AB563" s="14"/>
      <c r="AC563" s="14"/>
      <c r="AD563" s="14"/>
      <c r="AE563" s="113" t="str">
        <f>IF(NOT(ISBLANK(Audit[[#This Row],[Audit Winning Candidate]])), Audit[[#This Row],[Audit Winning Candidate]]-Audit[[#This Row],[Winning Candidate]], "")</f>
        <v/>
      </c>
      <c r="AF563" s="17" t="str">
        <f>IF(NOT(ISBLANK(Audit[[#This Row],[Audit Losing Candidate]])), Audit[[#This Row],[Audit Losing Candidate]]-Audit[[#This Row],[Losing Candidate]], "")</f>
        <v/>
      </c>
      <c r="AG563" s="17" t="str">
        <f>IF(NOT(ISBLANK(Audit[[#This Row],[Audit Candidate 3]])), Audit[[#This Row],[Audit Candidate 3]]-Audit[[#This Row],[Candidate 3]], "")</f>
        <v/>
      </c>
      <c r="AH563" s="17" t="str">
        <f>IF(NOT(ISBLANK(Audit[[#This Row],[Audit Candidate 4]])),Audit[[#This Row],[Audit Candidate 4]]-Audit[[#This Row],[Candidate 4]], "")</f>
        <v/>
      </c>
      <c r="AI563" s="17" t="str">
        <f>IF(NOT(ISBLANK(Audit[[#This Row],[Audit Candidate 5]])), Audit[[#This Row],[Audit Candidate 5]]-Audit[[#This Row],[Candidate 5]], "")</f>
        <v/>
      </c>
      <c r="AJ563" s="17" t="str">
        <f>IF(NOT(ISBLANK(Audit[[#This Row],[Audit Candidate 6]])), Audit[[#This Row],[Audit Candidate 6]]-Audit[[#This Row],[Candidate 6]], "")</f>
        <v/>
      </c>
      <c r="AK563" s="17" t="str">
        <f>IF(NOT(ISBLANK(Audit[[#This Row],[Audit Candidate 7]])), Audit[[#This Row],[Audit Candidate 7]]-Audit[[#This Row],[Candidate 7]], "")</f>
        <v/>
      </c>
      <c r="AL563" s="17" t="str">
        <f>IF(NOT(ISBLANK(Audit[[#This Row],[Audit Candidate 8]])), Audit[[#This Row],[Audit Candidate 8]]-Audit[[#This Row],[Candidate 8]], "")</f>
        <v/>
      </c>
      <c r="AM563" s="17" t="str">
        <f>IF(NOT(ISBLANK(Audit[[#This Row],[Audit Candidate 9]])), Audit[[#This Row],[Audit Candidate 9]]-Audit[[#This Row],[Candidate 9]], "")</f>
        <v/>
      </c>
      <c r="AN563" s="17" t="str">
        <f>IF(NOT(ISBLANK(Audit[[#This Row],[Audit Candidate 10]])), Audit[[#This Row],[Audit Candidate 10]]-Audit[[#This Row],[Candidate 10]], "")</f>
        <v/>
      </c>
      <c r="AO563" s="17" t="str">
        <f>IF(NOT(ISBLANK(Audit[[#This Row],[Audit Candidate 11]])), Audit[[#This Row],[Audit Candidate 11]]-Audit[[#This Row],[Candidate 11]], "")</f>
        <v/>
      </c>
      <c r="AP563" s="17" t="str">
        <f>IF(NOT(ISBLANK(Audit[[#This Row],[Audit Candidate 12]])), Audit[[#This Row],[Audit Candidate 12]]-Audit[[#This Row],[Candidate 12]], "")</f>
        <v/>
      </c>
      <c r="AQ563" s="17">
        <f>SUMIF(Audit[[#This Row],[Difference Winner]:[Difference Candidate 12]], "&gt;0")</f>
        <v>0</v>
      </c>
      <c r="AR563" s="17">
        <f>SUM(Audit[[#This Row],[Difference Winner]:[Difference Candidate 12]])</f>
        <v>0</v>
      </c>
      <c r="AS563" s="17">
        <f>IF(Audit[[#This Row],[Times p Drawn - With Replacement]]&gt;0, IF(Audit[[#This Row],[Canceled Differences]]&lt;0, Audit[[#This Row],[Max Differences]]+ABS(Audit[[#This Row],[Canceled Differences]]), Audit[[#This Row],[Max Differences]]), 0)</f>
        <v>0</v>
      </c>
      <c r="AT563" s="17">
        <f>'Sampling Data'!AB563</f>
        <v>6.1110168052962146E-3</v>
      </c>
      <c r="AU563" s="17">
        <f>IF(
      SUM(Audit[[#This Row],[Audit Losing Candidate]:[Audit Candidate 12]])
      &lt;&gt;0,
      (Audit[[#This Row],[Winning Candidate]]-Audit[[#This Row],[Losing Candidate]]-(Audit[[#This Row],[Audit Winning Candidate]]-Audit[[#This Row],[Audit Losing Candidate]]))/(Audit[[#Totals],[Winning Candidate]]-Audit[[#Totals],[Losing Candidate]]),
      0
)</f>
        <v>0</v>
      </c>
      <c r="AV5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3" s="17">
        <f>IF(Audit[[#This Row],[Max Relative Error (ep)]] = 0, 0, Audit[[#This Row],[Max Relative Error (ep)]]/Audit[[#This Row],[Error Bound (up) - Max. possible relative overstatement]])</f>
        <v>0</v>
      </c>
      <c r="BH5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63" s="17">
        <f t="shared" si="9"/>
        <v>1</v>
      </c>
      <c r="BJ563" s="17">
        <f>PRODUCT($BI$5:BI563)</f>
        <v>0.3924021149671667</v>
      </c>
      <c r="BK563" s="19">
        <f>1 - Audit[[#This Row],[K-M P Value]]</f>
        <v>0.6075978850328333</v>
      </c>
      <c r="BL563" s="17" t="str">
        <f>IF(Audit[[#This Row],[K-M P Value]]&gt;1-'General Info'!$B$12,"Continue", "Stop")</f>
        <v>Continue</v>
      </c>
      <c r="BM563" s="22" t="b">
        <f>IF(Audit[[#This Row],[Status - Continue or stop audit]] = "Continue", TRUE, IF(BL562 = "Continue", TRUE, FALSE))</f>
        <v>1</v>
      </c>
      <c r="BN563" s="22"/>
    </row>
    <row r="564" spans="1:66" ht="15" hidden="1" customHeight="1" x14ac:dyDescent="0.35">
      <c r="A564" s="17" t="str">
        <f>'Sampling Data'!AI564</f>
        <v/>
      </c>
      <c r="B564" s="17" t="str">
        <f>'Sampling Data'!A564</f>
        <v>9503 WHWTR C   (AV)</v>
      </c>
      <c r="C564" s="17">
        <f>'Sampling Data'!B564</f>
        <v>28</v>
      </c>
      <c r="D564" s="17">
        <f>'Sampling Data'!C564</f>
        <v>96</v>
      </c>
      <c r="E564" s="18">
        <f>'Sampling Data'!D564</f>
        <v>0</v>
      </c>
      <c r="F564" s="18">
        <f>'Sampling Data'!E564</f>
        <v>0</v>
      </c>
      <c r="G564" s="18">
        <f>'Sampling Data'!F564</f>
        <v>0</v>
      </c>
      <c r="H564" s="18">
        <f>'Sampling Data'!G564</f>
        <v>0</v>
      </c>
      <c r="I564" s="18">
        <f>'Sampling Data'!H564</f>
        <v>0</v>
      </c>
      <c r="J564" s="18">
        <f>'Sampling Data'!I564</f>
        <v>0</v>
      </c>
      <c r="K564" s="18">
        <f>'Sampling Data'!J564</f>
        <v>0</v>
      </c>
      <c r="L564" s="18">
        <f>'Sampling Data'!K564</f>
        <v>0</v>
      </c>
      <c r="M564" s="18">
        <f>'Sampling Data'!L564</f>
        <v>0</v>
      </c>
      <c r="N564" s="18">
        <f>'Sampling Data'!M564</f>
        <v>0</v>
      </c>
      <c r="O564" s="17">
        <f>'Sampling Data'!N564</f>
        <v>0</v>
      </c>
      <c r="P564" s="17">
        <f>'Sampling Data'!O564</f>
        <v>5</v>
      </c>
      <c r="Q564" s="17">
        <f>'Sampling Data'!P564</f>
        <v>129</v>
      </c>
      <c r="R564" s="17">
        <f>'Sampling Data'!AJ564</f>
        <v>0</v>
      </c>
      <c r="S564" s="111"/>
      <c r="T564" s="111"/>
      <c r="U564" s="112"/>
      <c r="V564" s="112"/>
      <c r="W564" s="111"/>
      <c r="X564" s="111"/>
      <c r="Y564" s="111"/>
      <c r="Z564" s="111"/>
      <c r="AA564" s="14"/>
      <c r="AB564" s="14"/>
      <c r="AC564" s="14"/>
      <c r="AD564" s="14"/>
      <c r="AE564" s="113" t="str">
        <f>IF(NOT(ISBLANK(Audit[[#This Row],[Audit Winning Candidate]])), Audit[[#This Row],[Audit Winning Candidate]]-Audit[[#This Row],[Winning Candidate]], "")</f>
        <v/>
      </c>
      <c r="AF564" s="17" t="str">
        <f>IF(NOT(ISBLANK(Audit[[#This Row],[Audit Losing Candidate]])), Audit[[#This Row],[Audit Losing Candidate]]-Audit[[#This Row],[Losing Candidate]], "")</f>
        <v/>
      </c>
      <c r="AG564" s="17" t="str">
        <f>IF(NOT(ISBLANK(Audit[[#This Row],[Audit Candidate 3]])), Audit[[#This Row],[Audit Candidate 3]]-Audit[[#This Row],[Candidate 3]], "")</f>
        <v/>
      </c>
      <c r="AH564" s="17" t="str">
        <f>IF(NOT(ISBLANK(Audit[[#This Row],[Audit Candidate 4]])),Audit[[#This Row],[Audit Candidate 4]]-Audit[[#This Row],[Candidate 4]], "")</f>
        <v/>
      </c>
      <c r="AI564" s="17" t="str">
        <f>IF(NOT(ISBLANK(Audit[[#This Row],[Audit Candidate 5]])), Audit[[#This Row],[Audit Candidate 5]]-Audit[[#This Row],[Candidate 5]], "")</f>
        <v/>
      </c>
      <c r="AJ564" s="17" t="str">
        <f>IF(NOT(ISBLANK(Audit[[#This Row],[Audit Candidate 6]])), Audit[[#This Row],[Audit Candidate 6]]-Audit[[#This Row],[Candidate 6]], "")</f>
        <v/>
      </c>
      <c r="AK564" s="17" t="str">
        <f>IF(NOT(ISBLANK(Audit[[#This Row],[Audit Candidate 7]])), Audit[[#This Row],[Audit Candidate 7]]-Audit[[#This Row],[Candidate 7]], "")</f>
        <v/>
      </c>
      <c r="AL564" s="17" t="str">
        <f>IF(NOT(ISBLANK(Audit[[#This Row],[Audit Candidate 8]])), Audit[[#This Row],[Audit Candidate 8]]-Audit[[#This Row],[Candidate 8]], "")</f>
        <v/>
      </c>
      <c r="AM564" s="17" t="str">
        <f>IF(NOT(ISBLANK(Audit[[#This Row],[Audit Candidate 9]])), Audit[[#This Row],[Audit Candidate 9]]-Audit[[#This Row],[Candidate 9]], "")</f>
        <v/>
      </c>
      <c r="AN564" s="17" t="str">
        <f>IF(NOT(ISBLANK(Audit[[#This Row],[Audit Candidate 10]])), Audit[[#This Row],[Audit Candidate 10]]-Audit[[#This Row],[Candidate 10]], "")</f>
        <v/>
      </c>
      <c r="AO564" s="17" t="str">
        <f>IF(NOT(ISBLANK(Audit[[#This Row],[Audit Candidate 11]])), Audit[[#This Row],[Audit Candidate 11]]-Audit[[#This Row],[Candidate 11]], "")</f>
        <v/>
      </c>
      <c r="AP564" s="17" t="str">
        <f>IF(NOT(ISBLANK(Audit[[#This Row],[Audit Candidate 12]])), Audit[[#This Row],[Audit Candidate 12]]-Audit[[#This Row],[Candidate 12]], "")</f>
        <v/>
      </c>
      <c r="AQ564" s="17">
        <f>SUMIF(Audit[[#This Row],[Difference Winner]:[Difference Candidate 12]], "&gt;0")</f>
        <v>0</v>
      </c>
      <c r="AR564" s="17">
        <f>SUM(Audit[[#This Row],[Difference Winner]:[Difference Candidate 12]])</f>
        <v>0</v>
      </c>
      <c r="AS564" s="17">
        <f>IF(Audit[[#This Row],[Times p Drawn - With Replacement]]&gt;0, IF(Audit[[#This Row],[Canceled Differences]]&lt;0, Audit[[#This Row],[Max Differences]]+ABS(Audit[[#This Row],[Canceled Differences]]), Audit[[#This Row],[Max Differences]]), 0)</f>
        <v>0</v>
      </c>
      <c r="AT564" s="17">
        <f>'Sampling Data'!AB564</f>
        <v>2.5886946189102021E-3</v>
      </c>
      <c r="AU564" s="17">
        <f>IF(
      SUM(Audit[[#This Row],[Audit Losing Candidate]:[Audit Candidate 12]])
      &lt;&gt;0,
      (Audit[[#This Row],[Winning Candidate]]-Audit[[#This Row],[Losing Candidate]]-(Audit[[#This Row],[Audit Winning Candidate]]-Audit[[#This Row],[Audit Losing Candidate]]))/(Audit[[#Totals],[Winning Candidate]]-Audit[[#Totals],[Losing Candidate]]),
      0
)</f>
        <v>0</v>
      </c>
      <c r="AV5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4" s="17">
        <f>IF(Audit[[#This Row],[Max Relative Error (ep)]] = 0, 0, Audit[[#This Row],[Max Relative Error (ep)]]/Audit[[#This Row],[Error Bound (up) - Max. possible relative overstatement]])</f>
        <v>0</v>
      </c>
      <c r="BH5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64" s="17">
        <f t="shared" si="9"/>
        <v>1</v>
      </c>
      <c r="BJ564" s="17">
        <f>PRODUCT($BI$5:BI564)</f>
        <v>0.3924021149671667</v>
      </c>
      <c r="BK564" s="19">
        <f>1 - Audit[[#This Row],[K-M P Value]]</f>
        <v>0.6075978850328333</v>
      </c>
      <c r="BL564" s="17" t="str">
        <f>IF(Audit[[#This Row],[K-M P Value]]&gt;1-'General Info'!$B$12,"Continue", "Stop")</f>
        <v>Continue</v>
      </c>
      <c r="BM564" s="22" t="b">
        <f>IF(Audit[[#This Row],[Status - Continue or stop audit]] = "Continue", TRUE, IF(BL563 = "Continue", TRUE, FALSE))</f>
        <v>1</v>
      </c>
      <c r="BN564" s="22"/>
    </row>
    <row r="565" spans="1:66" ht="15" hidden="1" customHeight="1" x14ac:dyDescent="0.35">
      <c r="A565" s="17" t="str">
        <f>'Sampling Data'!AI565</f>
        <v/>
      </c>
      <c r="B565" s="17" t="str">
        <f>'Sampling Data'!A565</f>
        <v>9701 WOOD A   (AV)</v>
      </c>
      <c r="C565" s="17">
        <f>'Sampling Data'!B565</f>
        <v>288</v>
      </c>
      <c r="D565" s="17">
        <f>'Sampling Data'!C565</f>
        <v>43</v>
      </c>
      <c r="E565" s="18">
        <f>'Sampling Data'!D565</f>
        <v>0</v>
      </c>
      <c r="F565" s="18">
        <f>'Sampling Data'!E565</f>
        <v>0</v>
      </c>
      <c r="G565" s="18">
        <f>'Sampling Data'!F565</f>
        <v>0</v>
      </c>
      <c r="H565" s="18">
        <f>'Sampling Data'!G565</f>
        <v>0</v>
      </c>
      <c r="I565" s="18">
        <f>'Sampling Data'!H565</f>
        <v>0</v>
      </c>
      <c r="J565" s="18">
        <f>'Sampling Data'!I565</f>
        <v>0</v>
      </c>
      <c r="K565" s="18">
        <f>'Sampling Data'!J565</f>
        <v>0</v>
      </c>
      <c r="L565" s="18">
        <f>'Sampling Data'!K565</f>
        <v>0</v>
      </c>
      <c r="M565" s="18">
        <f>'Sampling Data'!L565</f>
        <v>0</v>
      </c>
      <c r="N565" s="18">
        <f>'Sampling Data'!M565</f>
        <v>0</v>
      </c>
      <c r="O565" s="17">
        <f>'Sampling Data'!N565</f>
        <v>0</v>
      </c>
      <c r="P565" s="17">
        <f>'Sampling Data'!O565</f>
        <v>12</v>
      </c>
      <c r="Q565" s="17">
        <f>'Sampling Data'!P565</f>
        <v>343</v>
      </c>
      <c r="R565" s="17">
        <f>'Sampling Data'!AJ565</f>
        <v>0</v>
      </c>
      <c r="S565" s="111"/>
      <c r="T565" s="111"/>
      <c r="U565" s="112"/>
      <c r="V565" s="112"/>
      <c r="W565" s="111"/>
      <c r="X565" s="111"/>
      <c r="Y565" s="111"/>
      <c r="Z565" s="111"/>
      <c r="AA565" s="14"/>
      <c r="AB565" s="14"/>
      <c r="AC565" s="14"/>
      <c r="AD565" s="14"/>
      <c r="AE565" s="113" t="str">
        <f>IF(NOT(ISBLANK(Audit[[#This Row],[Audit Winning Candidate]])), Audit[[#This Row],[Audit Winning Candidate]]-Audit[[#This Row],[Winning Candidate]], "")</f>
        <v/>
      </c>
      <c r="AF565" s="17" t="str">
        <f>IF(NOT(ISBLANK(Audit[[#This Row],[Audit Losing Candidate]])), Audit[[#This Row],[Audit Losing Candidate]]-Audit[[#This Row],[Losing Candidate]], "")</f>
        <v/>
      </c>
      <c r="AG565" s="17" t="str">
        <f>IF(NOT(ISBLANK(Audit[[#This Row],[Audit Candidate 3]])), Audit[[#This Row],[Audit Candidate 3]]-Audit[[#This Row],[Candidate 3]], "")</f>
        <v/>
      </c>
      <c r="AH565" s="17" t="str">
        <f>IF(NOT(ISBLANK(Audit[[#This Row],[Audit Candidate 4]])),Audit[[#This Row],[Audit Candidate 4]]-Audit[[#This Row],[Candidate 4]], "")</f>
        <v/>
      </c>
      <c r="AI565" s="17" t="str">
        <f>IF(NOT(ISBLANK(Audit[[#This Row],[Audit Candidate 5]])), Audit[[#This Row],[Audit Candidate 5]]-Audit[[#This Row],[Candidate 5]], "")</f>
        <v/>
      </c>
      <c r="AJ565" s="17" t="str">
        <f>IF(NOT(ISBLANK(Audit[[#This Row],[Audit Candidate 6]])), Audit[[#This Row],[Audit Candidate 6]]-Audit[[#This Row],[Candidate 6]], "")</f>
        <v/>
      </c>
      <c r="AK565" s="17" t="str">
        <f>IF(NOT(ISBLANK(Audit[[#This Row],[Audit Candidate 7]])), Audit[[#This Row],[Audit Candidate 7]]-Audit[[#This Row],[Candidate 7]], "")</f>
        <v/>
      </c>
      <c r="AL565" s="17" t="str">
        <f>IF(NOT(ISBLANK(Audit[[#This Row],[Audit Candidate 8]])), Audit[[#This Row],[Audit Candidate 8]]-Audit[[#This Row],[Candidate 8]], "")</f>
        <v/>
      </c>
      <c r="AM565" s="17" t="str">
        <f>IF(NOT(ISBLANK(Audit[[#This Row],[Audit Candidate 9]])), Audit[[#This Row],[Audit Candidate 9]]-Audit[[#This Row],[Candidate 9]], "")</f>
        <v/>
      </c>
      <c r="AN565" s="17" t="str">
        <f>IF(NOT(ISBLANK(Audit[[#This Row],[Audit Candidate 10]])), Audit[[#This Row],[Audit Candidate 10]]-Audit[[#This Row],[Candidate 10]], "")</f>
        <v/>
      </c>
      <c r="AO565" s="17" t="str">
        <f>IF(NOT(ISBLANK(Audit[[#This Row],[Audit Candidate 11]])), Audit[[#This Row],[Audit Candidate 11]]-Audit[[#This Row],[Candidate 11]], "")</f>
        <v/>
      </c>
      <c r="AP565" s="17" t="str">
        <f>IF(NOT(ISBLANK(Audit[[#This Row],[Audit Candidate 12]])), Audit[[#This Row],[Audit Candidate 12]]-Audit[[#This Row],[Candidate 12]], "")</f>
        <v/>
      </c>
      <c r="AQ565" s="17">
        <f>SUMIF(Audit[[#This Row],[Difference Winner]:[Difference Candidate 12]], "&gt;0")</f>
        <v>0</v>
      </c>
      <c r="AR565" s="17">
        <f>SUM(Audit[[#This Row],[Difference Winner]:[Difference Candidate 12]])</f>
        <v>0</v>
      </c>
      <c r="AS565" s="17">
        <f>IF(Audit[[#This Row],[Times p Drawn - With Replacement]]&gt;0, IF(Audit[[#This Row],[Canceled Differences]]&lt;0, Audit[[#This Row],[Max Differences]]+ABS(Audit[[#This Row],[Canceled Differences]]), Audit[[#This Row],[Max Differences]]), 0)</f>
        <v>0</v>
      </c>
      <c r="AT565" s="17">
        <f>'Sampling Data'!AB565</f>
        <v>2.4953318621626211E-2</v>
      </c>
      <c r="AU565" s="17">
        <f>IF(
      SUM(Audit[[#This Row],[Audit Losing Candidate]:[Audit Candidate 12]])
      &lt;&gt;0,
      (Audit[[#This Row],[Winning Candidate]]-Audit[[#This Row],[Losing Candidate]]-(Audit[[#This Row],[Audit Winning Candidate]]-Audit[[#This Row],[Audit Losing Candidate]]))/(Audit[[#Totals],[Winning Candidate]]-Audit[[#Totals],[Losing Candidate]]),
      0
)</f>
        <v>0</v>
      </c>
      <c r="AV5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5" s="17">
        <f>IF(Audit[[#This Row],[Max Relative Error (ep)]] = 0, 0, Audit[[#This Row],[Max Relative Error (ep)]]/Audit[[#This Row],[Error Bound (up) - Max. possible relative overstatement]])</f>
        <v>0</v>
      </c>
      <c r="BH5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65" s="17">
        <f t="shared" si="9"/>
        <v>1</v>
      </c>
      <c r="BJ565" s="17">
        <f>PRODUCT($BI$5:BI565)</f>
        <v>0.3924021149671667</v>
      </c>
      <c r="BK565" s="19">
        <f>1 - Audit[[#This Row],[K-M P Value]]</f>
        <v>0.6075978850328333</v>
      </c>
      <c r="BL565" s="17" t="str">
        <f>IF(Audit[[#This Row],[K-M P Value]]&gt;1-'General Info'!$B$12,"Continue", "Stop")</f>
        <v>Continue</v>
      </c>
      <c r="BM565" s="22" t="b">
        <f>IF(Audit[[#This Row],[Status - Continue or stop audit]] = "Continue", TRUE, IF(BL564 = "Continue", TRUE, FALSE))</f>
        <v>1</v>
      </c>
      <c r="BN565" s="22"/>
    </row>
    <row r="566" spans="1:66" ht="15" hidden="1" customHeight="1" x14ac:dyDescent="0.35">
      <c r="A566" s="17" t="str">
        <f>'Sampling Data'!AI566</f>
        <v/>
      </c>
      <c r="B566" s="17" t="str">
        <f>'Sampling Data'!A566</f>
        <v>9702 WOOD B   (AV)</v>
      </c>
      <c r="C566" s="17">
        <f>'Sampling Data'!B566</f>
        <v>319</v>
      </c>
      <c r="D566" s="17">
        <f>'Sampling Data'!C566</f>
        <v>43</v>
      </c>
      <c r="E566" s="18">
        <f>'Sampling Data'!D566</f>
        <v>0</v>
      </c>
      <c r="F566" s="18">
        <f>'Sampling Data'!E566</f>
        <v>0</v>
      </c>
      <c r="G566" s="18">
        <f>'Sampling Data'!F566</f>
        <v>0</v>
      </c>
      <c r="H566" s="18">
        <f>'Sampling Data'!G566</f>
        <v>0</v>
      </c>
      <c r="I566" s="18">
        <f>'Sampling Data'!H566</f>
        <v>0</v>
      </c>
      <c r="J566" s="18">
        <f>'Sampling Data'!I566</f>
        <v>0</v>
      </c>
      <c r="K566" s="18">
        <f>'Sampling Data'!J566</f>
        <v>0</v>
      </c>
      <c r="L566" s="18">
        <f>'Sampling Data'!K566</f>
        <v>0</v>
      </c>
      <c r="M566" s="18">
        <f>'Sampling Data'!L566</f>
        <v>0</v>
      </c>
      <c r="N566" s="18">
        <f>'Sampling Data'!M566</f>
        <v>0</v>
      </c>
      <c r="O566" s="17">
        <f>'Sampling Data'!N566</f>
        <v>0</v>
      </c>
      <c r="P566" s="17">
        <f>'Sampling Data'!O566</f>
        <v>9</v>
      </c>
      <c r="Q566" s="17">
        <f>'Sampling Data'!P566</f>
        <v>371</v>
      </c>
      <c r="R566" s="17">
        <f>'Sampling Data'!AJ566</f>
        <v>0</v>
      </c>
      <c r="S566" s="111"/>
      <c r="T566" s="111"/>
      <c r="U566" s="112"/>
      <c r="V566" s="112"/>
      <c r="W566" s="111"/>
      <c r="X566" s="111"/>
      <c r="Y566" s="111"/>
      <c r="Z566" s="111"/>
      <c r="AA566" s="14"/>
      <c r="AB566" s="14"/>
      <c r="AC566" s="14"/>
      <c r="AD566" s="14"/>
      <c r="AE566" s="113" t="str">
        <f>IF(NOT(ISBLANK(Audit[[#This Row],[Audit Winning Candidate]])), Audit[[#This Row],[Audit Winning Candidate]]-Audit[[#This Row],[Winning Candidate]], "")</f>
        <v/>
      </c>
      <c r="AF566" s="17" t="str">
        <f>IF(NOT(ISBLANK(Audit[[#This Row],[Audit Losing Candidate]])), Audit[[#This Row],[Audit Losing Candidate]]-Audit[[#This Row],[Losing Candidate]], "")</f>
        <v/>
      </c>
      <c r="AG566" s="17" t="str">
        <f>IF(NOT(ISBLANK(Audit[[#This Row],[Audit Candidate 3]])), Audit[[#This Row],[Audit Candidate 3]]-Audit[[#This Row],[Candidate 3]], "")</f>
        <v/>
      </c>
      <c r="AH566" s="17" t="str">
        <f>IF(NOT(ISBLANK(Audit[[#This Row],[Audit Candidate 4]])),Audit[[#This Row],[Audit Candidate 4]]-Audit[[#This Row],[Candidate 4]], "")</f>
        <v/>
      </c>
      <c r="AI566" s="17" t="str">
        <f>IF(NOT(ISBLANK(Audit[[#This Row],[Audit Candidate 5]])), Audit[[#This Row],[Audit Candidate 5]]-Audit[[#This Row],[Candidate 5]], "")</f>
        <v/>
      </c>
      <c r="AJ566" s="17" t="str">
        <f>IF(NOT(ISBLANK(Audit[[#This Row],[Audit Candidate 6]])), Audit[[#This Row],[Audit Candidate 6]]-Audit[[#This Row],[Candidate 6]], "")</f>
        <v/>
      </c>
      <c r="AK566" s="17" t="str">
        <f>IF(NOT(ISBLANK(Audit[[#This Row],[Audit Candidate 7]])), Audit[[#This Row],[Audit Candidate 7]]-Audit[[#This Row],[Candidate 7]], "")</f>
        <v/>
      </c>
      <c r="AL566" s="17" t="str">
        <f>IF(NOT(ISBLANK(Audit[[#This Row],[Audit Candidate 8]])), Audit[[#This Row],[Audit Candidate 8]]-Audit[[#This Row],[Candidate 8]], "")</f>
        <v/>
      </c>
      <c r="AM566" s="17" t="str">
        <f>IF(NOT(ISBLANK(Audit[[#This Row],[Audit Candidate 9]])), Audit[[#This Row],[Audit Candidate 9]]-Audit[[#This Row],[Candidate 9]], "")</f>
        <v/>
      </c>
      <c r="AN566" s="17" t="str">
        <f>IF(NOT(ISBLANK(Audit[[#This Row],[Audit Candidate 10]])), Audit[[#This Row],[Audit Candidate 10]]-Audit[[#This Row],[Candidate 10]], "")</f>
        <v/>
      </c>
      <c r="AO566" s="17" t="str">
        <f>IF(NOT(ISBLANK(Audit[[#This Row],[Audit Candidate 11]])), Audit[[#This Row],[Audit Candidate 11]]-Audit[[#This Row],[Candidate 11]], "")</f>
        <v/>
      </c>
      <c r="AP566" s="17" t="str">
        <f>IF(NOT(ISBLANK(Audit[[#This Row],[Audit Candidate 12]])), Audit[[#This Row],[Audit Candidate 12]]-Audit[[#This Row],[Candidate 12]], "")</f>
        <v/>
      </c>
      <c r="AQ566" s="17">
        <f>SUMIF(Audit[[#This Row],[Difference Winner]:[Difference Candidate 12]], "&gt;0")</f>
        <v>0</v>
      </c>
      <c r="AR566" s="17">
        <f>SUM(Audit[[#This Row],[Difference Winner]:[Difference Candidate 12]])</f>
        <v>0</v>
      </c>
      <c r="AS566" s="17">
        <f>IF(Audit[[#This Row],[Times p Drawn - With Replacement]]&gt;0, IF(Audit[[#This Row],[Canceled Differences]]&lt;0, Audit[[#This Row],[Max Differences]]+ABS(Audit[[#This Row],[Canceled Differences]]), Audit[[#This Row],[Max Differences]]), 0)</f>
        <v>0</v>
      </c>
      <c r="AT566" s="17">
        <f>'Sampling Data'!AB566</f>
        <v>2.7457138007129518E-2</v>
      </c>
      <c r="AU566" s="17">
        <f>IF(
      SUM(Audit[[#This Row],[Audit Losing Candidate]:[Audit Candidate 12]])
      &lt;&gt;0,
      (Audit[[#This Row],[Winning Candidate]]-Audit[[#This Row],[Losing Candidate]]-(Audit[[#This Row],[Audit Winning Candidate]]-Audit[[#This Row],[Audit Losing Candidate]]))/(Audit[[#Totals],[Winning Candidate]]-Audit[[#Totals],[Losing Candidate]]),
      0
)</f>
        <v>0</v>
      </c>
      <c r="AV5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6" s="17">
        <f>IF(Audit[[#This Row],[Max Relative Error (ep)]] = 0, 0, Audit[[#This Row],[Max Relative Error (ep)]]/Audit[[#This Row],[Error Bound (up) - Max. possible relative overstatement]])</f>
        <v>0</v>
      </c>
      <c r="BH5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66" s="17">
        <f t="shared" si="9"/>
        <v>1</v>
      </c>
      <c r="BJ566" s="17">
        <f>PRODUCT($BI$5:BI566)</f>
        <v>0.3924021149671667</v>
      </c>
      <c r="BK566" s="19">
        <f>1 - Audit[[#This Row],[K-M P Value]]</f>
        <v>0.6075978850328333</v>
      </c>
      <c r="BL566" s="17" t="str">
        <f>IF(Audit[[#This Row],[K-M P Value]]&gt;1-'General Info'!$B$12,"Continue", "Stop")</f>
        <v>Continue</v>
      </c>
      <c r="BM566" s="22" t="b">
        <f>IF(Audit[[#This Row],[Status - Continue or stop audit]] = "Continue", TRUE, IF(BL565 = "Continue", TRUE, FALSE))</f>
        <v>1</v>
      </c>
      <c r="BN566" s="22"/>
    </row>
    <row r="567" spans="1:66" ht="15" hidden="1" customHeight="1" x14ac:dyDescent="0.35">
      <c r="A567" s="17" t="str">
        <f>'Sampling Data'!AI567</f>
        <v/>
      </c>
      <c r="B567" s="17" t="str">
        <f>'Sampling Data'!A567</f>
        <v>0101 CIN 1-A   (ED)</v>
      </c>
      <c r="C567" s="17">
        <f>'Sampling Data'!B567</f>
        <v>56</v>
      </c>
      <c r="D567" s="17">
        <f>'Sampling Data'!C567</f>
        <v>122</v>
      </c>
      <c r="E567" s="18">
        <f>'Sampling Data'!D567</f>
        <v>0</v>
      </c>
      <c r="F567" s="18">
        <f>'Sampling Data'!E567</f>
        <v>0</v>
      </c>
      <c r="G567" s="18">
        <f>'Sampling Data'!F567</f>
        <v>0</v>
      </c>
      <c r="H567" s="18">
        <f>'Sampling Data'!G567</f>
        <v>0</v>
      </c>
      <c r="I567" s="18">
        <f>'Sampling Data'!H567</f>
        <v>0</v>
      </c>
      <c r="J567" s="18">
        <f>'Sampling Data'!I567</f>
        <v>0</v>
      </c>
      <c r="K567" s="18">
        <f>'Sampling Data'!J567</f>
        <v>0</v>
      </c>
      <c r="L567" s="18">
        <f>'Sampling Data'!K567</f>
        <v>0</v>
      </c>
      <c r="M567" s="18">
        <f>'Sampling Data'!L567</f>
        <v>0</v>
      </c>
      <c r="N567" s="18">
        <f>'Sampling Data'!M567</f>
        <v>0</v>
      </c>
      <c r="O567" s="17">
        <f>'Sampling Data'!N567</f>
        <v>0</v>
      </c>
      <c r="P567" s="17">
        <f>'Sampling Data'!O567</f>
        <v>10</v>
      </c>
      <c r="Q567" s="17">
        <f>'Sampling Data'!P567</f>
        <v>188</v>
      </c>
      <c r="R567" s="17">
        <f>'Sampling Data'!AJ567</f>
        <v>0</v>
      </c>
      <c r="S567" s="111"/>
      <c r="T567" s="111"/>
      <c r="U567" s="112"/>
      <c r="V567" s="112"/>
      <c r="W567" s="111"/>
      <c r="X567" s="111"/>
      <c r="Y567" s="111"/>
      <c r="Z567" s="111"/>
      <c r="AA567" s="14"/>
      <c r="AB567" s="14"/>
      <c r="AC567" s="14"/>
      <c r="AD567" s="14"/>
      <c r="AE567" s="113" t="str">
        <f>IF(NOT(ISBLANK(Audit[[#This Row],[Audit Winning Candidate]])), Audit[[#This Row],[Audit Winning Candidate]]-Audit[[#This Row],[Winning Candidate]], "")</f>
        <v/>
      </c>
      <c r="AF567" s="17" t="str">
        <f>IF(NOT(ISBLANK(Audit[[#This Row],[Audit Losing Candidate]])), Audit[[#This Row],[Audit Losing Candidate]]-Audit[[#This Row],[Losing Candidate]], "")</f>
        <v/>
      </c>
      <c r="AG567" s="17" t="str">
        <f>IF(NOT(ISBLANK(Audit[[#This Row],[Audit Candidate 3]])), Audit[[#This Row],[Audit Candidate 3]]-Audit[[#This Row],[Candidate 3]], "")</f>
        <v/>
      </c>
      <c r="AH567" s="17" t="str">
        <f>IF(NOT(ISBLANK(Audit[[#This Row],[Audit Candidate 4]])),Audit[[#This Row],[Audit Candidate 4]]-Audit[[#This Row],[Candidate 4]], "")</f>
        <v/>
      </c>
      <c r="AI567" s="17" t="str">
        <f>IF(NOT(ISBLANK(Audit[[#This Row],[Audit Candidate 5]])), Audit[[#This Row],[Audit Candidate 5]]-Audit[[#This Row],[Candidate 5]], "")</f>
        <v/>
      </c>
      <c r="AJ567" s="17" t="str">
        <f>IF(NOT(ISBLANK(Audit[[#This Row],[Audit Candidate 6]])), Audit[[#This Row],[Audit Candidate 6]]-Audit[[#This Row],[Candidate 6]], "")</f>
        <v/>
      </c>
      <c r="AK567" s="17" t="str">
        <f>IF(NOT(ISBLANK(Audit[[#This Row],[Audit Candidate 7]])), Audit[[#This Row],[Audit Candidate 7]]-Audit[[#This Row],[Candidate 7]], "")</f>
        <v/>
      </c>
      <c r="AL567" s="17" t="str">
        <f>IF(NOT(ISBLANK(Audit[[#This Row],[Audit Candidate 8]])), Audit[[#This Row],[Audit Candidate 8]]-Audit[[#This Row],[Candidate 8]], "")</f>
        <v/>
      </c>
      <c r="AM567" s="17" t="str">
        <f>IF(NOT(ISBLANK(Audit[[#This Row],[Audit Candidate 9]])), Audit[[#This Row],[Audit Candidate 9]]-Audit[[#This Row],[Candidate 9]], "")</f>
        <v/>
      </c>
      <c r="AN567" s="17" t="str">
        <f>IF(NOT(ISBLANK(Audit[[#This Row],[Audit Candidate 10]])), Audit[[#This Row],[Audit Candidate 10]]-Audit[[#This Row],[Candidate 10]], "")</f>
        <v/>
      </c>
      <c r="AO567" s="17" t="str">
        <f>IF(NOT(ISBLANK(Audit[[#This Row],[Audit Candidate 11]])), Audit[[#This Row],[Audit Candidate 11]]-Audit[[#This Row],[Candidate 11]], "")</f>
        <v/>
      </c>
      <c r="AP567" s="17" t="str">
        <f>IF(NOT(ISBLANK(Audit[[#This Row],[Audit Candidate 12]])), Audit[[#This Row],[Audit Candidate 12]]-Audit[[#This Row],[Candidate 12]], "")</f>
        <v/>
      </c>
      <c r="AQ567" s="17">
        <f>SUMIF(Audit[[#This Row],[Difference Winner]:[Difference Candidate 12]], "&gt;0")</f>
        <v>0</v>
      </c>
      <c r="AR567" s="17">
        <f>SUM(Audit[[#This Row],[Difference Winner]:[Difference Candidate 12]])</f>
        <v>0</v>
      </c>
      <c r="AS567" s="17">
        <f>IF(Audit[[#This Row],[Times p Drawn - With Replacement]]&gt;0, IF(Audit[[#This Row],[Canceled Differences]]&lt;0, Audit[[#This Row],[Max Differences]]+ABS(Audit[[#This Row],[Canceled Differences]]), Audit[[#This Row],[Max Differences]]), 0)</f>
        <v>0</v>
      </c>
      <c r="AT567" s="17">
        <f>'Sampling Data'!AB567</f>
        <v>5.1773892378204041E-3</v>
      </c>
      <c r="AU567" s="17">
        <f>IF(
      SUM(Audit[[#This Row],[Audit Losing Candidate]:[Audit Candidate 12]])
      &lt;&gt;0,
      (Audit[[#This Row],[Winning Candidate]]-Audit[[#This Row],[Losing Candidate]]-(Audit[[#This Row],[Audit Winning Candidate]]-Audit[[#This Row],[Audit Losing Candidate]]))/(Audit[[#Totals],[Winning Candidate]]-Audit[[#Totals],[Losing Candidate]]),
      0
)</f>
        <v>0</v>
      </c>
      <c r="AV5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7" s="17">
        <f>IF(Audit[[#This Row],[Max Relative Error (ep)]] = 0, 0, Audit[[#This Row],[Max Relative Error (ep)]]/Audit[[#This Row],[Error Bound (up) - Max. possible relative overstatement]])</f>
        <v>0</v>
      </c>
      <c r="BH5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67" s="17">
        <f t="shared" si="9"/>
        <v>1</v>
      </c>
      <c r="BJ567" s="17">
        <f>PRODUCT($BI$5:BI567)</f>
        <v>0.3924021149671667</v>
      </c>
      <c r="BK567" s="19">
        <f>1 - Audit[[#This Row],[K-M P Value]]</f>
        <v>0.6075978850328333</v>
      </c>
      <c r="BL567" s="17" t="str">
        <f>IF(Audit[[#This Row],[K-M P Value]]&gt;1-'General Info'!$B$12,"Continue", "Stop")</f>
        <v>Continue</v>
      </c>
      <c r="BM567" s="22" t="b">
        <f>IF(Audit[[#This Row],[Status - Continue or stop audit]] = "Continue", TRUE, IF(BL566 = "Continue", TRUE, FALSE))</f>
        <v>1</v>
      </c>
      <c r="BN567" s="22"/>
    </row>
    <row r="568" spans="1:66" ht="15" customHeight="1" x14ac:dyDescent="0.35">
      <c r="A568" s="17">
        <f>'Sampling Data'!AI568</f>
        <v>27</v>
      </c>
      <c r="B568" s="17" t="str">
        <f>'Sampling Data'!A568</f>
        <v>0102 CIN 1-B   (ED)</v>
      </c>
      <c r="C568" s="17">
        <f>'Sampling Data'!B568</f>
        <v>344</v>
      </c>
      <c r="D568" s="17">
        <f>'Sampling Data'!C568</f>
        <v>269</v>
      </c>
      <c r="E568" s="18">
        <f>'Sampling Data'!D568</f>
        <v>0</v>
      </c>
      <c r="F568" s="18">
        <f>'Sampling Data'!E568</f>
        <v>0</v>
      </c>
      <c r="G568" s="18">
        <f>'Sampling Data'!F568</f>
        <v>0</v>
      </c>
      <c r="H568" s="18">
        <f>'Sampling Data'!G568</f>
        <v>0</v>
      </c>
      <c r="I568" s="18">
        <f>'Sampling Data'!H568</f>
        <v>0</v>
      </c>
      <c r="J568" s="18">
        <f>'Sampling Data'!I568</f>
        <v>0</v>
      </c>
      <c r="K568" s="18">
        <f>'Sampling Data'!J568</f>
        <v>0</v>
      </c>
      <c r="L568" s="18">
        <f>'Sampling Data'!K568</f>
        <v>0</v>
      </c>
      <c r="M568" s="18">
        <f>'Sampling Data'!L568</f>
        <v>0</v>
      </c>
      <c r="N568" s="18">
        <f>'Sampling Data'!M568</f>
        <v>0</v>
      </c>
      <c r="O568" s="17">
        <f>'Sampling Data'!N568</f>
        <v>0</v>
      </c>
      <c r="P568" s="17">
        <f>'Sampling Data'!O568</f>
        <v>42</v>
      </c>
      <c r="Q568" s="17">
        <f>'Sampling Data'!P568</f>
        <v>655</v>
      </c>
      <c r="R568" s="17">
        <f>'Sampling Data'!AJ568</f>
        <v>1</v>
      </c>
      <c r="S568" s="111">
        <v>344</v>
      </c>
      <c r="T568" s="111">
        <v>269</v>
      </c>
      <c r="U568" s="112"/>
      <c r="V568" s="112"/>
      <c r="W568" s="111"/>
      <c r="X568" s="111"/>
      <c r="Y568" s="111"/>
      <c r="Z568" s="111"/>
      <c r="AA568" s="14"/>
      <c r="AB568" s="14"/>
      <c r="AC568" s="14"/>
      <c r="AD568" s="14"/>
      <c r="AE568" s="113">
        <f>IF(NOT(ISBLANK(Audit[[#This Row],[Audit Winning Candidate]])), Audit[[#This Row],[Audit Winning Candidate]]-Audit[[#This Row],[Winning Candidate]], "")</f>
        <v>0</v>
      </c>
      <c r="AF568" s="17">
        <f>IF(NOT(ISBLANK(Audit[[#This Row],[Audit Losing Candidate]])), Audit[[#This Row],[Audit Losing Candidate]]-Audit[[#This Row],[Losing Candidate]], "")</f>
        <v>0</v>
      </c>
      <c r="AG568" s="17" t="str">
        <f>IF(NOT(ISBLANK(Audit[[#This Row],[Audit Candidate 3]])), Audit[[#This Row],[Audit Candidate 3]]-Audit[[#This Row],[Candidate 3]], "")</f>
        <v/>
      </c>
      <c r="AH568" s="17" t="str">
        <f>IF(NOT(ISBLANK(Audit[[#This Row],[Audit Candidate 4]])),Audit[[#This Row],[Audit Candidate 4]]-Audit[[#This Row],[Candidate 4]], "")</f>
        <v/>
      </c>
      <c r="AI568" s="17" t="str">
        <f>IF(NOT(ISBLANK(Audit[[#This Row],[Audit Candidate 5]])), Audit[[#This Row],[Audit Candidate 5]]-Audit[[#This Row],[Candidate 5]], "")</f>
        <v/>
      </c>
      <c r="AJ568" s="17" t="str">
        <f>IF(NOT(ISBLANK(Audit[[#This Row],[Audit Candidate 6]])), Audit[[#This Row],[Audit Candidate 6]]-Audit[[#This Row],[Candidate 6]], "")</f>
        <v/>
      </c>
      <c r="AK568" s="17" t="str">
        <f>IF(NOT(ISBLANK(Audit[[#This Row],[Audit Candidate 7]])), Audit[[#This Row],[Audit Candidate 7]]-Audit[[#This Row],[Candidate 7]], "")</f>
        <v/>
      </c>
      <c r="AL568" s="17" t="str">
        <f>IF(NOT(ISBLANK(Audit[[#This Row],[Audit Candidate 8]])), Audit[[#This Row],[Audit Candidate 8]]-Audit[[#This Row],[Candidate 8]], "")</f>
        <v/>
      </c>
      <c r="AM568" s="17" t="str">
        <f>IF(NOT(ISBLANK(Audit[[#This Row],[Audit Candidate 9]])), Audit[[#This Row],[Audit Candidate 9]]-Audit[[#This Row],[Candidate 9]], "")</f>
        <v/>
      </c>
      <c r="AN568" s="17" t="str">
        <f>IF(NOT(ISBLANK(Audit[[#This Row],[Audit Candidate 10]])), Audit[[#This Row],[Audit Candidate 10]]-Audit[[#This Row],[Candidate 10]], "")</f>
        <v/>
      </c>
      <c r="AO568" s="17" t="str">
        <f>IF(NOT(ISBLANK(Audit[[#This Row],[Audit Candidate 11]])), Audit[[#This Row],[Audit Candidate 11]]-Audit[[#This Row],[Candidate 11]], "")</f>
        <v/>
      </c>
      <c r="AP568" s="17" t="str">
        <f>IF(NOT(ISBLANK(Audit[[#This Row],[Audit Candidate 12]])), Audit[[#This Row],[Audit Candidate 12]]-Audit[[#This Row],[Candidate 12]], "")</f>
        <v/>
      </c>
      <c r="AQ568" s="17">
        <f>SUMIF(Audit[[#This Row],[Difference Winner]:[Difference Candidate 12]], "&gt;0")</f>
        <v>0</v>
      </c>
      <c r="AR568" s="17">
        <f>SUM(Audit[[#This Row],[Difference Winner]:[Difference Candidate 12]])</f>
        <v>0</v>
      </c>
      <c r="AS568" s="17">
        <f>IF(Audit[[#This Row],[Times p Drawn - With Replacement]]&gt;0, IF(Audit[[#This Row],[Canceled Differences]]&lt;0, Audit[[#This Row],[Max Differences]]+ABS(Audit[[#This Row],[Canceled Differences]]), Audit[[#This Row],[Max Differences]]), 0)</f>
        <v>0</v>
      </c>
      <c r="AT568" s="17">
        <f>'Sampling Data'!AB568</f>
        <v>3.0979460193515534E-2</v>
      </c>
      <c r="AU568" s="17">
        <f>IF(
      SUM(Audit[[#This Row],[Audit Losing Candidate]:[Audit Candidate 12]])
      &lt;&gt;0,
      (Audit[[#This Row],[Winning Candidate]]-Audit[[#This Row],[Losing Candidate]]-(Audit[[#This Row],[Audit Winning Candidate]]-Audit[[#This Row],[Audit Losing Candidate]]))/(Audit[[#Totals],[Winning Candidate]]-Audit[[#Totals],[Losing Candidate]]),
      0
)</f>
        <v>0</v>
      </c>
      <c r="AV5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8" s="17">
        <f>IF(Audit[[#This Row],[Max Relative Error (ep)]] = 0, 0, Audit[[#This Row],[Max Relative Error (ep)]]/Audit[[#This Row],[Error Bound (up) - Max. possible relative overstatement]])</f>
        <v>0</v>
      </c>
      <c r="BH5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68" s="17">
        <f t="shared" si="9"/>
        <v>0.94645908314247273</v>
      </c>
      <c r="BJ568" s="17">
        <f>PRODUCT($BI$5:BI568)</f>
        <v>0.37139254595499177</v>
      </c>
      <c r="BK568" s="19">
        <f>1 - Audit[[#This Row],[K-M P Value]]</f>
        <v>0.62860745404500817</v>
      </c>
      <c r="BL568" s="17" t="str">
        <f>IF(Audit[[#This Row],[K-M P Value]]&gt;1-'General Info'!$B$12,"Continue", "Stop")</f>
        <v>Continue</v>
      </c>
      <c r="BM568" s="22" t="b">
        <f>IF(Audit[[#This Row],[Status - Continue or stop audit]] = "Continue", TRUE, IF(BL567 = "Continue", TRUE, FALSE))</f>
        <v>1</v>
      </c>
      <c r="BN568" s="22"/>
    </row>
    <row r="569" spans="1:66" ht="15" hidden="1" customHeight="1" x14ac:dyDescent="0.35">
      <c r="A569" s="17" t="str">
        <f>'Sampling Data'!AI569</f>
        <v/>
      </c>
      <c r="B569" s="17" t="str">
        <f>'Sampling Data'!A569</f>
        <v>0103 CIN 1-C   (ED)</v>
      </c>
      <c r="C569" s="17">
        <f>'Sampling Data'!B569</f>
        <v>283</v>
      </c>
      <c r="D569" s="17">
        <f>'Sampling Data'!C569</f>
        <v>179</v>
      </c>
      <c r="E569" s="18">
        <f>'Sampling Data'!D569</f>
        <v>0</v>
      </c>
      <c r="F569" s="18">
        <f>'Sampling Data'!E569</f>
        <v>0</v>
      </c>
      <c r="G569" s="18">
        <f>'Sampling Data'!F569</f>
        <v>0</v>
      </c>
      <c r="H569" s="18">
        <f>'Sampling Data'!G569</f>
        <v>0</v>
      </c>
      <c r="I569" s="18">
        <f>'Sampling Data'!H569</f>
        <v>0</v>
      </c>
      <c r="J569" s="18">
        <f>'Sampling Data'!I569</f>
        <v>0</v>
      </c>
      <c r="K569" s="18">
        <f>'Sampling Data'!J569</f>
        <v>0</v>
      </c>
      <c r="L569" s="18">
        <f>'Sampling Data'!K569</f>
        <v>0</v>
      </c>
      <c r="M569" s="18">
        <f>'Sampling Data'!L569</f>
        <v>0</v>
      </c>
      <c r="N569" s="18">
        <f>'Sampling Data'!M569</f>
        <v>0</v>
      </c>
      <c r="O569" s="17">
        <f>'Sampling Data'!N569</f>
        <v>0</v>
      </c>
      <c r="P569" s="17">
        <f>'Sampling Data'!O569</f>
        <v>37</v>
      </c>
      <c r="Q569" s="17">
        <f>'Sampling Data'!P569</f>
        <v>499</v>
      </c>
      <c r="R569" s="17">
        <f>'Sampling Data'!AJ569</f>
        <v>0</v>
      </c>
      <c r="S569" s="111"/>
      <c r="T569" s="111"/>
      <c r="U569" s="112"/>
      <c r="V569" s="112"/>
      <c r="W569" s="111"/>
      <c r="X569" s="111"/>
      <c r="Y569" s="111"/>
      <c r="Z569" s="111"/>
      <c r="AA569" s="14"/>
      <c r="AB569" s="14"/>
      <c r="AC569" s="14"/>
      <c r="AD569" s="14"/>
      <c r="AE569" s="113" t="str">
        <f>IF(NOT(ISBLANK(Audit[[#This Row],[Audit Winning Candidate]])), Audit[[#This Row],[Audit Winning Candidate]]-Audit[[#This Row],[Winning Candidate]], "")</f>
        <v/>
      </c>
      <c r="AF569" s="17" t="str">
        <f>IF(NOT(ISBLANK(Audit[[#This Row],[Audit Losing Candidate]])), Audit[[#This Row],[Audit Losing Candidate]]-Audit[[#This Row],[Losing Candidate]], "")</f>
        <v/>
      </c>
      <c r="AG569" s="17" t="str">
        <f>IF(NOT(ISBLANK(Audit[[#This Row],[Audit Candidate 3]])), Audit[[#This Row],[Audit Candidate 3]]-Audit[[#This Row],[Candidate 3]], "")</f>
        <v/>
      </c>
      <c r="AH569" s="17" t="str">
        <f>IF(NOT(ISBLANK(Audit[[#This Row],[Audit Candidate 4]])),Audit[[#This Row],[Audit Candidate 4]]-Audit[[#This Row],[Candidate 4]], "")</f>
        <v/>
      </c>
      <c r="AI569" s="17" t="str">
        <f>IF(NOT(ISBLANK(Audit[[#This Row],[Audit Candidate 5]])), Audit[[#This Row],[Audit Candidate 5]]-Audit[[#This Row],[Candidate 5]], "")</f>
        <v/>
      </c>
      <c r="AJ569" s="17" t="str">
        <f>IF(NOT(ISBLANK(Audit[[#This Row],[Audit Candidate 6]])), Audit[[#This Row],[Audit Candidate 6]]-Audit[[#This Row],[Candidate 6]], "")</f>
        <v/>
      </c>
      <c r="AK569" s="17" t="str">
        <f>IF(NOT(ISBLANK(Audit[[#This Row],[Audit Candidate 7]])), Audit[[#This Row],[Audit Candidate 7]]-Audit[[#This Row],[Candidate 7]], "")</f>
        <v/>
      </c>
      <c r="AL569" s="17" t="str">
        <f>IF(NOT(ISBLANK(Audit[[#This Row],[Audit Candidate 8]])), Audit[[#This Row],[Audit Candidate 8]]-Audit[[#This Row],[Candidate 8]], "")</f>
        <v/>
      </c>
      <c r="AM569" s="17" t="str">
        <f>IF(NOT(ISBLANK(Audit[[#This Row],[Audit Candidate 9]])), Audit[[#This Row],[Audit Candidate 9]]-Audit[[#This Row],[Candidate 9]], "")</f>
        <v/>
      </c>
      <c r="AN569" s="17" t="str">
        <f>IF(NOT(ISBLANK(Audit[[#This Row],[Audit Candidate 10]])), Audit[[#This Row],[Audit Candidate 10]]-Audit[[#This Row],[Candidate 10]], "")</f>
        <v/>
      </c>
      <c r="AO569" s="17" t="str">
        <f>IF(NOT(ISBLANK(Audit[[#This Row],[Audit Candidate 11]])), Audit[[#This Row],[Audit Candidate 11]]-Audit[[#This Row],[Candidate 11]], "")</f>
        <v/>
      </c>
      <c r="AP569" s="17" t="str">
        <f>IF(NOT(ISBLANK(Audit[[#This Row],[Audit Candidate 12]])), Audit[[#This Row],[Audit Candidate 12]]-Audit[[#This Row],[Candidate 12]], "")</f>
        <v/>
      </c>
      <c r="AQ569" s="17">
        <f>SUMIF(Audit[[#This Row],[Difference Winner]:[Difference Candidate 12]], "&gt;0")</f>
        <v>0</v>
      </c>
      <c r="AR569" s="17">
        <f>SUM(Audit[[#This Row],[Difference Winner]:[Difference Candidate 12]])</f>
        <v>0</v>
      </c>
      <c r="AS569" s="17">
        <f>IF(Audit[[#This Row],[Times p Drawn - With Replacement]]&gt;0, IF(Audit[[#This Row],[Canceled Differences]]&lt;0, Audit[[#This Row],[Max Differences]]+ABS(Audit[[#This Row],[Canceled Differences]]), Audit[[#This Row],[Max Differences]]), 0)</f>
        <v>0</v>
      </c>
      <c r="AT569" s="17">
        <f>'Sampling Data'!AB569</f>
        <v>2.5589882872177897E-2</v>
      </c>
      <c r="AU569" s="17">
        <f>IF(
      SUM(Audit[[#This Row],[Audit Losing Candidate]:[Audit Candidate 12]])
      &lt;&gt;0,
      (Audit[[#This Row],[Winning Candidate]]-Audit[[#This Row],[Losing Candidate]]-(Audit[[#This Row],[Audit Winning Candidate]]-Audit[[#This Row],[Audit Losing Candidate]]))/(Audit[[#Totals],[Winning Candidate]]-Audit[[#Totals],[Losing Candidate]]),
      0
)</f>
        <v>0</v>
      </c>
      <c r="AV5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9" s="17">
        <f>IF(Audit[[#This Row],[Max Relative Error (ep)]] = 0, 0, Audit[[#This Row],[Max Relative Error (ep)]]/Audit[[#This Row],[Error Bound (up) - Max. possible relative overstatement]])</f>
        <v>0</v>
      </c>
      <c r="BH5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69" s="17">
        <f t="shared" si="9"/>
        <v>1</v>
      </c>
      <c r="BJ569" s="17">
        <f>PRODUCT($BI$5:BI569)</f>
        <v>0.37139254595499177</v>
      </c>
      <c r="BK569" s="19">
        <f>1 - Audit[[#This Row],[K-M P Value]]</f>
        <v>0.62860745404500817</v>
      </c>
      <c r="BL569" s="17" t="str">
        <f>IF(Audit[[#This Row],[K-M P Value]]&gt;1-'General Info'!$B$12,"Continue", "Stop")</f>
        <v>Continue</v>
      </c>
      <c r="BM569" s="22" t="b">
        <f>IF(Audit[[#This Row],[Status - Continue or stop audit]] = "Continue", TRUE, IF(BL568 = "Continue", TRUE, FALSE))</f>
        <v>1</v>
      </c>
      <c r="BN569" s="22"/>
    </row>
    <row r="570" spans="1:66" ht="15" hidden="1" customHeight="1" x14ac:dyDescent="0.35">
      <c r="A570" s="17" t="str">
        <f>'Sampling Data'!AI570</f>
        <v/>
      </c>
      <c r="B570" s="17" t="str">
        <f>'Sampling Data'!A570</f>
        <v>0104 CIN 1-D   (ED)</v>
      </c>
      <c r="C570" s="17">
        <f>'Sampling Data'!B570</f>
        <v>153</v>
      </c>
      <c r="D570" s="17">
        <f>'Sampling Data'!C570</f>
        <v>133</v>
      </c>
      <c r="E570" s="18">
        <f>'Sampling Data'!D570</f>
        <v>0</v>
      </c>
      <c r="F570" s="18">
        <f>'Sampling Data'!E570</f>
        <v>0</v>
      </c>
      <c r="G570" s="18">
        <f>'Sampling Data'!F570</f>
        <v>0</v>
      </c>
      <c r="H570" s="18">
        <f>'Sampling Data'!G570</f>
        <v>0</v>
      </c>
      <c r="I570" s="18">
        <f>'Sampling Data'!H570</f>
        <v>0</v>
      </c>
      <c r="J570" s="18">
        <f>'Sampling Data'!I570</f>
        <v>0</v>
      </c>
      <c r="K570" s="18">
        <f>'Sampling Data'!J570</f>
        <v>0</v>
      </c>
      <c r="L570" s="18">
        <f>'Sampling Data'!K570</f>
        <v>0</v>
      </c>
      <c r="M570" s="18">
        <f>'Sampling Data'!L570</f>
        <v>0</v>
      </c>
      <c r="N570" s="18">
        <f>'Sampling Data'!M570</f>
        <v>0</v>
      </c>
      <c r="O570" s="17">
        <f>'Sampling Data'!N570</f>
        <v>0</v>
      </c>
      <c r="P570" s="17">
        <f>'Sampling Data'!O570</f>
        <v>20</v>
      </c>
      <c r="Q570" s="17">
        <f>'Sampling Data'!P570</f>
        <v>306</v>
      </c>
      <c r="R570" s="17">
        <f>'Sampling Data'!AJ570</f>
        <v>0</v>
      </c>
      <c r="S570" s="111"/>
      <c r="T570" s="111"/>
      <c r="U570" s="112"/>
      <c r="V570" s="112"/>
      <c r="W570" s="111"/>
      <c r="X570" s="111"/>
      <c r="Y570" s="111"/>
      <c r="Z570" s="111"/>
      <c r="AA570" s="14"/>
      <c r="AB570" s="14"/>
      <c r="AC570" s="14"/>
      <c r="AD570" s="14"/>
      <c r="AE570" s="113" t="str">
        <f>IF(NOT(ISBLANK(Audit[[#This Row],[Audit Winning Candidate]])), Audit[[#This Row],[Audit Winning Candidate]]-Audit[[#This Row],[Winning Candidate]], "")</f>
        <v/>
      </c>
      <c r="AF570" s="17" t="str">
        <f>IF(NOT(ISBLANK(Audit[[#This Row],[Audit Losing Candidate]])), Audit[[#This Row],[Audit Losing Candidate]]-Audit[[#This Row],[Losing Candidate]], "")</f>
        <v/>
      </c>
      <c r="AG570" s="17" t="str">
        <f>IF(NOT(ISBLANK(Audit[[#This Row],[Audit Candidate 3]])), Audit[[#This Row],[Audit Candidate 3]]-Audit[[#This Row],[Candidate 3]], "")</f>
        <v/>
      </c>
      <c r="AH570" s="17" t="str">
        <f>IF(NOT(ISBLANK(Audit[[#This Row],[Audit Candidate 4]])),Audit[[#This Row],[Audit Candidate 4]]-Audit[[#This Row],[Candidate 4]], "")</f>
        <v/>
      </c>
      <c r="AI570" s="17" t="str">
        <f>IF(NOT(ISBLANK(Audit[[#This Row],[Audit Candidate 5]])), Audit[[#This Row],[Audit Candidate 5]]-Audit[[#This Row],[Candidate 5]], "")</f>
        <v/>
      </c>
      <c r="AJ570" s="17" t="str">
        <f>IF(NOT(ISBLANK(Audit[[#This Row],[Audit Candidate 6]])), Audit[[#This Row],[Audit Candidate 6]]-Audit[[#This Row],[Candidate 6]], "")</f>
        <v/>
      </c>
      <c r="AK570" s="17" t="str">
        <f>IF(NOT(ISBLANK(Audit[[#This Row],[Audit Candidate 7]])), Audit[[#This Row],[Audit Candidate 7]]-Audit[[#This Row],[Candidate 7]], "")</f>
        <v/>
      </c>
      <c r="AL570" s="17" t="str">
        <f>IF(NOT(ISBLANK(Audit[[#This Row],[Audit Candidate 8]])), Audit[[#This Row],[Audit Candidate 8]]-Audit[[#This Row],[Candidate 8]], "")</f>
        <v/>
      </c>
      <c r="AM570" s="17" t="str">
        <f>IF(NOT(ISBLANK(Audit[[#This Row],[Audit Candidate 9]])), Audit[[#This Row],[Audit Candidate 9]]-Audit[[#This Row],[Candidate 9]], "")</f>
        <v/>
      </c>
      <c r="AN570" s="17" t="str">
        <f>IF(NOT(ISBLANK(Audit[[#This Row],[Audit Candidate 10]])), Audit[[#This Row],[Audit Candidate 10]]-Audit[[#This Row],[Candidate 10]], "")</f>
        <v/>
      </c>
      <c r="AO570" s="17" t="str">
        <f>IF(NOT(ISBLANK(Audit[[#This Row],[Audit Candidate 11]])), Audit[[#This Row],[Audit Candidate 11]]-Audit[[#This Row],[Candidate 11]], "")</f>
        <v/>
      </c>
      <c r="AP570" s="17" t="str">
        <f>IF(NOT(ISBLANK(Audit[[#This Row],[Audit Candidate 12]])), Audit[[#This Row],[Audit Candidate 12]]-Audit[[#This Row],[Candidate 12]], "")</f>
        <v/>
      </c>
      <c r="AQ570" s="17">
        <f>SUMIF(Audit[[#This Row],[Difference Winner]:[Difference Candidate 12]], "&gt;0")</f>
        <v>0</v>
      </c>
      <c r="AR570" s="17">
        <f>SUM(Audit[[#This Row],[Difference Winner]:[Difference Candidate 12]])</f>
        <v>0</v>
      </c>
      <c r="AS570" s="17">
        <f>IF(Audit[[#This Row],[Times p Drawn - With Replacement]]&gt;0, IF(Audit[[#This Row],[Canceled Differences]]&lt;0, Audit[[#This Row],[Max Differences]]+ABS(Audit[[#This Row],[Canceled Differences]]), Audit[[#This Row],[Max Differences]]), 0)</f>
        <v>0</v>
      </c>
      <c r="AT570" s="17">
        <f>'Sampling Data'!AB570</f>
        <v>1.3834663045323374E-2</v>
      </c>
      <c r="AU570" s="17">
        <f>IF(
      SUM(Audit[[#This Row],[Audit Losing Candidate]:[Audit Candidate 12]])
      &lt;&gt;0,
      (Audit[[#This Row],[Winning Candidate]]-Audit[[#This Row],[Losing Candidate]]-(Audit[[#This Row],[Audit Winning Candidate]]-Audit[[#This Row],[Audit Losing Candidate]]))/(Audit[[#Totals],[Winning Candidate]]-Audit[[#Totals],[Losing Candidate]]),
      0
)</f>
        <v>0</v>
      </c>
      <c r="AV5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0" s="17">
        <f>IF(Audit[[#This Row],[Max Relative Error (ep)]] = 0, 0, Audit[[#This Row],[Max Relative Error (ep)]]/Audit[[#This Row],[Error Bound (up) - Max. possible relative overstatement]])</f>
        <v>0</v>
      </c>
      <c r="BH5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70" s="17">
        <f t="shared" si="9"/>
        <v>1</v>
      </c>
      <c r="BJ570" s="17">
        <f>PRODUCT($BI$5:BI570)</f>
        <v>0.37139254595499177</v>
      </c>
      <c r="BK570" s="19">
        <f>1 - Audit[[#This Row],[K-M P Value]]</f>
        <v>0.62860745404500817</v>
      </c>
      <c r="BL570" s="17" t="str">
        <f>IF(Audit[[#This Row],[K-M P Value]]&gt;1-'General Info'!$B$12,"Continue", "Stop")</f>
        <v>Continue</v>
      </c>
      <c r="BM570" s="22" t="b">
        <f>IF(Audit[[#This Row],[Status - Continue or stop audit]] = "Continue", TRUE, IF(BL569 = "Continue", TRUE, FALSE))</f>
        <v>1</v>
      </c>
      <c r="BN570" s="22"/>
    </row>
    <row r="571" spans="1:66" ht="15" hidden="1" customHeight="1" x14ac:dyDescent="0.35">
      <c r="A571" s="17" t="str">
        <f>'Sampling Data'!AI571</f>
        <v/>
      </c>
      <c r="B571" s="17" t="str">
        <f>'Sampling Data'!A571</f>
        <v>0105 CIN 1-E   (ED)</v>
      </c>
      <c r="C571" s="17">
        <f>'Sampling Data'!B571</f>
        <v>289</v>
      </c>
      <c r="D571" s="17">
        <f>'Sampling Data'!C571</f>
        <v>183</v>
      </c>
      <c r="E571" s="18">
        <f>'Sampling Data'!D571</f>
        <v>0</v>
      </c>
      <c r="F571" s="18">
        <f>'Sampling Data'!E571</f>
        <v>0</v>
      </c>
      <c r="G571" s="18">
        <f>'Sampling Data'!F571</f>
        <v>0</v>
      </c>
      <c r="H571" s="18">
        <f>'Sampling Data'!G571</f>
        <v>0</v>
      </c>
      <c r="I571" s="18">
        <f>'Sampling Data'!H571</f>
        <v>0</v>
      </c>
      <c r="J571" s="18">
        <f>'Sampling Data'!I571</f>
        <v>0</v>
      </c>
      <c r="K571" s="18">
        <f>'Sampling Data'!J571</f>
        <v>0</v>
      </c>
      <c r="L571" s="18">
        <f>'Sampling Data'!K571</f>
        <v>0</v>
      </c>
      <c r="M571" s="18">
        <f>'Sampling Data'!L571</f>
        <v>0</v>
      </c>
      <c r="N571" s="18">
        <f>'Sampling Data'!M571</f>
        <v>0</v>
      </c>
      <c r="O571" s="17">
        <f>'Sampling Data'!N571</f>
        <v>0</v>
      </c>
      <c r="P571" s="17">
        <f>'Sampling Data'!O571</f>
        <v>49</v>
      </c>
      <c r="Q571" s="17">
        <f>'Sampling Data'!P571</f>
        <v>521</v>
      </c>
      <c r="R571" s="17">
        <f>'Sampling Data'!AJ571</f>
        <v>0</v>
      </c>
      <c r="S571" s="111"/>
      <c r="T571" s="111"/>
      <c r="U571" s="112"/>
      <c r="V571" s="112"/>
      <c r="W571" s="111"/>
      <c r="X571" s="111"/>
      <c r="Y571" s="111"/>
      <c r="Z571" s="111"/>
      <c r="AA571" s="14"/>
      <c r="AB571" s="14"/>
      <c r="AC571" s="14"/>
      <c r="AD571" s="14"/>
      <c r="AE571" s="113" t="str">
        <f>IF(NOT(ISBLANK(Audit[[#This Row],[Audit Winning Candidate]])), Audit[[#This Row],[Audit Winning Candidate]]-Audit[[#This Row],[Winning Candidate]], "")</f>
        <v/>
      </c>
      <c r="AF571" s="17" t="str">
        <f>IF(NOT(ISBLANK(Audit[[#This Row],[Audit Losing Candidate]])), Audit[[#This Row],[Audit Losing Candidate]]-Audit[[#This Row],[Losing Candidate]], "")</f>
        <v/>
      </c>
      <c r="AG571" s="17" t="str">
        <f>IF(NOT(ISBLANK(Audit[[#This Row],[Audit Candidate 3]])), Audit[[#This Row],[Audit Candidate 3]]-Audit[[#This Row],[Candidate 3]], "")</f>
        <v/>
      </c>
      <c r="AH571" s="17" t="str">
        <f>IF(NOT(ISBLANK(Audit[[#This Row],[Audit Candidate 4]])),Audit[[#This Row],[Audit Candidate 4]]-Audit[[#This Row],[Candidate 4]], "")</f>
        <v/>
      </c>
      <c r="AI571" s="17" t="str">
        <f>IF(NOT(ISBLANK(Audit[[#This Row],[Audit Candidate 5]])), Audit[[#This Row],[Audit Candidate 5]]-Audit[[#This Row],[Candidate 5]], "")</f>
        <v/>
      </c>
      <c r="AJ571" s="17" t="str">
        <f>IF(NOT(ISBLANK(Audit[[#This Row],[Audit Candidate 6]])), Audit[[#This Row],[Audit Candidate 6]]-Audit[[#This Row],[Candidate 6]], "")</f>
        <v/>
      </c>
      <c r="AK571" s="17" t="str">
        <f>IF(NOT(ISBLANK(Audit[[#This Row],[Audit Candidate 7]])), Audit[[#This Row],[Audit Candidate 7]]-Audit[[#This Row],[Candidate 7]], "")</f>
        <v/>
      </c>
      <c r="AL571" s="17" t="str">
        <f>IF(NOT(ISBLANK(Audit[[#This Row],[Audit Candidate 8]])), Audit[[#This Row],[Audit Candidate 8]]-Audit[[#This Row],[Candidate 8]], "")</f>
        <v/>
      </c>
      <c r="AM571" s="17" t="str">
        <f>IF(NOT(ISBLANK(Audit[[#This Row],[Audit Candidate 9]])), Audit[[#This Row],[Audit Candidate 9]]-Audit[[#This Row],[Candidate 9]], "")</f>
        <v/>
      </c>
      <c r="AN571" s="17" t="str">
        <f>IF(NOT(ISBLANK(Audit[[#This Row],[Audit Candidate 10]])), Audit[[#This Row],[Audit Candidate 10]]-Audit[[#This Row],[Candidate 10]], "")</f>
        <v/>
      </c>
      <c r="AO571" s="17" t="str">
        <f>IF(NOT(ISBLANK(Audit[[#This Row],[Audit Candidate 11]])), Audit[[#This Row],[Audit Candidate 11]]-Audit[[#This Row],[Candidate 11]], "")</f>
        <v/>
      </c>
      <c r="AP571" s="17" t="str">
        <f>IF(NOT(ISBLANK(Audit[[#This Row],[Audit Candidate 12]])), Audit[[#This Row],[Audit Candidate 12]]-Audit[[#This Row],[Candidate 12]], "")</f>
        <v/>
      </c>
      <c r="AQ571" s="17">
        <f>SUMIF(Audit[[#This Row],[Difference Winner]:[Difference Candidate 12]], "&gt;0")</f>
        <v>0</v>
      </c>
      <c r="AR571" s="17">
        <f>SUM(Audit[[#This Row],[Difference Winner]:[Difference Candidate 12]])</f>
        <v>0</v>
      </c>
      <c r="AS571" s="17">
        <f>IF(Audit[[#This Row],[Times p Drawn - With Replacement]]&gt;0, IF(Audit[[#This Row],[Canceled Differences]]&lt;0, Audit[[#This Row],[Max Differences]]+ABS(Audit[[#This Row],[Canceled Differences]]), Audit[[#This Row],[Max Differences]]), 0)</f>
        <v>0</v>
      </c>
      <c r="AT571" s="17">
        <f>'Sampling Data'!AB571</f>
        <v>2.6608385673060602E-2</v>
      </c>
      <c r="AU571" s="17">
        <f>IF(
      SUM(Audit[[#This Row],[Audit Losing Candidate]:[Audit Candidate 12]])
      &lt;&gt;0,
      (Audit[[#This Row],[Winning Candidate]]-Audit[[#This Row],[Losing Candidate]]-(Audit[[#This Row],[Audit Winning Candidate]]-Audit[[#This Row],[Audit Losing Candidate]]))/(Audit[[#Totals],[Winning Candidate]]-Audit[[#Totals],[Losing Candidate]]),
      0
)</f>
        <v>0</v>
      </c>
      <c r="AV5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1" s="17">
        <f>IF(Audit[[#This Row],[Max Relative Error (ep)]] = 0, 0, Audit[[#This Row],[Max Relative Error (ep)]]/Audit[[#This Row],[Error Bound (up) - Max. possible relative overstatement]])</f>
        <v>0</v>
      </c>
      <c r="BH5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71" s="17">
        <f t="shared" si="9"/>
        <v>1</v>
      </c>
      <c r="BJ571" s="17">
        <f>PRODUCT($BI$5:BI571)</f>
        <v>0.37139254595499177</v>
      </c>
      <c r="BK571" s="19">
        <f>1 - Audit[[#This Row],[K-M P Value]]</f>
        <v>0.62860745404500817</v>
      </c>
      <c r="BL571" s="17" t="str">
        <f>IF(Audit[[#This Row],[K-M P Value]]&gt;1-'General Info'!$B$12,"Continue", "Stop")</f>
        <v>Continue</v>
      </c>
      <c r="BM571" s="22" t="b">
        <f>IF(Audit[[#This Row],[Status - Continue or stop audit]] = "Continue", TRUE, IF(BL570 = "Continue", TRUE, FALSE))</f>
        <v>1</v>
      </c>
      <c r="BN571" s="22"/>
    </row>
    <row r="572" spans="1:66" ht="15" hidden="1" customHeight="1" x14ac:dyDescent="0.35">
      <c r="A572" s="17" t="str">
        <f>'Sampling Data'!AI572</f>
        <v/>
      </c>
      <c r="B572" s="17" t="str">
        <f>'Sampling Data'!A572</f>
        <v>0106 CIN 1-F   (ED)</v>
      </c>
      <c r="C572" s="17">
        <f>'Sampling Data'!B572</f>
        <v>282</v>
      </c>
      <c r="D572" s="17">
        <f>'Sampling Data'!C572</f>
        <v>248</v>
      </c>
      <c r="E572" s="18">
        <f>'Sampling Data'!D572</f>
        <v>0</v>
      </c>
      <c r="F572" s="18">
        <f>'Sampling Data'!E572</f>
        <v>0</v>
      </c>
      <c r="G572" s="18">
        <f>'Sampling Data'!F572</f>
        <v>0</v>
      </c>
      <c r="H572" s="18">
        <f>'Sampling Data'!G572</f>
        <v>0</v>
      </c>
      <c r="I572" s="18">
        <f>'Sampling Data'!H572</f>
        <v>0</v>
      </c>
      <c r="J572" s="18">
        <f>'Sampling Data'!I572</f>
        <v>0</v>
      </c>
      <c r="K572" s="18">
        <f>'Sampling Data'!J572</f>
        <v>0</v>
      </c>
      <c r="L572" s="18">
        <f>'Sampling Data'!K572</f>
        <v>0</v>
      </c>
      <c r="M572" s="18">
        <f>'Sampling Data'!L572</f>
        <v>0</v>
      </c>
      <c r="N572" s="18">
        <f>'Sampling Data'!M572</f>
        <v>0</v>
      </c>
      <c r="O572" s="17">
        <f>'Sampling Data'!N572</f>
        <v>0</v>
      </c>
      <c r="P572" s="17">
        <f>'Sampling Data'!O572</f>
        <v>48</v>
      </c>
      <c r="Q572" s="17">
        <f>'Sampling Data'!P572</f>
        <v>578</v>
      </c>
      <c r="R572" s="17">
        <f>'Sampling Data'!AJ572</f>
        <v>0</v>
      </c>
      <c r="S572" s="111"/>
      <c r="T572" s="111"/>
      <c r="U572" s="112"/>
      <c r="V572" s="112"/>
      <c r="W572" s="111"/>
      <c r="X572" s="111"/>
      <c r="Y572" s="111"/>
      <c r="Z572" s="111"/>
      <c r="AA572" s="14"/>
      <c r="AB572" s="14"/>
      <c r="AC572" s="14"/>
      <c r="AD572" s="14"/>
      <c r="AE572" s="113" t="str">
        <f>IF(NOT(ISBLANK(Audit[[#This Row],[Audit Winning Candidate]])), Audit[[#This Row],[Audit Winning Candidate]]-Audit[[#This Row],[Winning Candidate]], "")</f>
        <v/>
      </c>
      <c r="AF572" s="17" t="str">
        <f>IF(NOT(ISBLANK(Audit[[#This Row],[Audit Losing Candidate]])), Audit[[#This Row],[Audit Losing Candidate]]-Audit[[#This Row],[Losing Candidate]], "")</f>
        <v/>
      </c>
      <c r="AG572" s="17" t="str">
        <f>IF(NOT(ISBLANK(Audit[[#This Row],[Audit Candidate 3]])), Audit[[#This Row],[Audit Candidate 3]]-Audit[[#This Row],[Candidate 3]], "")</f>
        <v/>
      </c>
      <c r="AH572" s="17" t="str">
        <f>IF(NOT(ISBLANK(Audit[[#This Row],[Audit Candidate 4]])),Audit[[#This Row],[Audit Candidate 4]]-Audit[[#This Row],[Candidate 4]], "")</f>
        <v/>
      </c>
      <c r="AI572" s="17" t="str">
        <f>IF(NOT(ISBLANK(Audit[[#This Row],[Audit Candidate 5]])), Audit[[#This Row],[Audit Candidate 5]]-Audit[[#This Row],[Candidate 5]], "")</f>
        <v/>
      </c>
      <c r="AJ572" s="17" t="str">
        <f>IF(NOT(ISBLANK(Audit[[#This Row],[Audit Candidate 6]])), Audit[[#This Row],[Audit Candidate 6]]-Audit[[#This Row],[Candidate 6]], "")</f>
        <v/>
      </c>
      <c r="AK572" s="17" t="str">
        <f>IF(NOT(ISBLANK(Audit[[#This Row],[Audit Candidate 7]])), Audit[[#This Row],[Audit Candidate 7]]-Audit[[#This Row],[Candidate 7]], "")</f>
        <v/>
      </c>
      <c r="AL572" s="17" t="str">
        <f>IF(NOT(ISBLANK(Audit[[#This Row],[Audit Candidate 8]])), Audit[[#This Row],[Audit Candidate 8]]-Audit[[#This Row],[Candidate 8]], "")</f>
        <v/>
      </c>
      <c r="AM572" s="17" t="str">
        <f>IF(NOT(ISBLANK(Audit[[#This Row],[Audit Candidate 9]])), Audit[[#This Row],[Audit Candidate 9]]-Audit[[#This Row],[Candidate 9]], "")</f>
        <v/>
      </c>
      <c r="AN572" s="17" t="str">
        <f>IF(NOT(ISBLANK(Audit[[#This Row],[Audit Candidate 10]])), Audit[[#This Row],[Audit Candidate 10]]-Audit[[#This Row],[Candidate 10]], "")</f>
        <v/>
      </c>
      <c r="AO572" s="17" t="str">
        <f>IF(NOT(ISBLANK(Audit[[#This Row],[Audit Candidate 11]])), Audit[[#This Row],[Audit Candidate 11]]-Audit[[#This Row],[Candidate 11]], "")</f>
        <v/>
      </c>
      <c r="AP572" s="17" t="str">
        <f>IF(NOT(ISBLANK(Audit[[#This Row],[Audit Candidate 12]])), Audit[[#This Row],[Audit Candidate 12]]-Audit[[#This Row],[Candidate 12]], "")</f>
        <v/>
      </c>
      <c r="AQ572" s="17">
        <f>SUMIF(Audit[[#This Row],[Difference Winner]:[Difference Candidate 12]], "&gt;0")</f>
        <v>0</v>
      </c>
      <c r="AR572" s="17">
        <f>SUM(Audit[[#This Row],[Difference Winner]:[Difference Candidate 12]])</f>
        <v>0</v>
      </c>
      <c r="AS572" s="17">
        <f>IF(Audit[[#This Row],[Times p Drawn - With Replacement]]&gt;0, IF(Audit[[#This Row],[Canceled Differences]]&lt;0, Audit[[#This Row],[Max Differences]]+ABS(Audit[[#This Row],[Canceled Differences]]), Audit[[#This Row],[Max Differences]]), 0)</f>
        <v>0</v>
      </c>
      <c r="AT572" s="17">
        <f>'Sampling Data'!AB572</f>
        <v>2.5971821422508912E-2</v>
      </c>
      <c r="AU572" s="17">
        <f>IF(
      SUM(Audit[[#This Row],[Audit Losing Candidate]:[Audit Candidate 12]])
      &lt;&gt;0,
      (Audit[[#This Row],[Winning Candidate]]-Audit[[#This Row],[Losing Candidate]]-(Audit[[#This Row],[Audit Winning Candidate]]-Audit[[#This Row],[Audit Losing Candidate]]))/(Audit[[#Totals],[Winning Candidate]]-Audit[[#Totals],[Losing Candidate]]),
      0
)</f>
        <v>0</v>
      </c>
      <c r="AV5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2" s="17">
        <f>IF(Audit[[#This Row],[Max Relative Error (ep)]] = 0, 0, Audit[[#This Row],[Max Relative Error (ep)]]/Audit[[#This Row],[Error Bound (up) - Max. possible relative overstatement]])</f>
        <v>0</v>
      </c>
      <c r="BH5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72" s="17">
        <f t="shared" si="9"/>
        <v>1</v>
      </c>
      <c r="BJ572" s="17">
        <f>PRODUCT($BI$5:BI572)</f>
        <v>0.37139254595499177</v>
      </c>
      <c r="BK572" s="19">
        <f>1 - Audit[[#This Row],[K-M P Value]]</f>
        <v>0.62860745404500817</v>
      </c>
      <c r="BL572" s="17" t="str">
        <f>IF(Audit[[#This Row],[K-M P Value]]&gt;1-'General Info'!$B$12,"Continue", "Stop")</f>
        <v>Continue</v>
      </c>
      <c r="BM572" s="22" t="b">
        <f>IF(Audit[[#This Row],[Status - Continue or stop audit]] = "Continue", TRUE, IF(BL571 = "Continue", TRUE, FALSE))</f>
        <v>1</v>
      </c>
      <c r="BN572" s="22"/>
    </row>
    <row r="573" spans="1:66" ht="15" hidden="1" customHeight="1" x14ac:dyDescent="0.35">
      <c r="A573" s="17" t="str">
        <f>'Sampling Data'!AI573</f>
        <v/>
      </c>
      <c r="B573" s="17" t="str">
        <f>'Sampling Data'!A573</f>
        <v>0107 CIN 1-G   (ED)</v>
      </c>
      <c r="C573" s="17">
        <f>'Sampling Data'!B573</f>
        <v>233</v>
      </c>
      <c r="D573" s="17">
        <f>'Sampling Data'!C573</f>
        <v>186</v>
      </c>
      <c r="E573" s="18">
        <f>'Sampling Data'!D573</f>
        <v>0</v>
      </c>
      <c r="F573" s="18">
        <f>'Sampling Data'!E573</f>
        <v>0</v>
      </c>
      <c r="G573" s="18">
        <f>'Sampling Data'!F573</f>
        <v>0</v>
      </c>
      <c r="H573" s="18">
        <f>'Sampling Data'!G573</f>
        <v>0</v>
      </c>
      <c r="I573" s="18">
        <f>'Sampling Data'!H573</f>
        <v>0</v>
      </c>
      <c r="J573" s="18">
        <f>'Sampling Data'!I573</f>
        <v>0</v>
      </c>
      <c r="K573" s="18">
        <f>'Sampling Data'!J573</f>
        <v>0</v>
      </c>
      <c r="L573" s="18">
        <f>'Sampling Data'!K573</f>
        <v>0</v>
      </c>
      <c r="M573" s="18">
        <f>'Sampling Data'!L573</f>
        <v>0</v>
      </c>
      <c r="N573" s="18">
        <f>'Sampling Data'!M573</f>
        <v>0</v>
      </c>
      <c r="O573" s="17">
        <f>'Sampling Data'!N573</f>
        <v>0</v>
      </c>
      <c r="P573" s="17">
        <f>'Sampling Data'!O573</f>
        <v>43</v>
      </c>
      <c r="Q573" s="17">
        <f>'Sampling Data'!P573</f>
        <v>462</v>
      </c>
      <c r="R573" s="17">
        <f>'Sampling Data'!AJ573</f>
        <v>0</v>
      </c>
      <c r="S573" s="111"/>
      <c r="T573" s="111"/>
      <c r="U573" s="112"/>
      <c r="V573" s="112"/>
      <c r="W573" s="111"/>
      <c r="X573" s="111"/>
      <c r="Y573" s="111"/>
      <c r="Z573" s="111"/>
      <c r="AA573" s="14"/>
      <c r="AB573" s="14"/>
      <c r="AC573" s="14"/>
      <c r="AD573" s="14"/>
      <c r="AE573" s="113" t="str">
        <f>IF(NOT(ISBLANK(Audit[[#This Row],[Audit Winning Candidate]])), Audit[[#This Row],[Audit Winning Candidate]]-Audit[[#This Row],[Winning Candidate]], "")</f>
        <v/>
      </c>
      <c r="AF573" s="17" t="str">
        <f>IF(NOT(ISBLANK(Audit[[#This Row],[Audit Losing Candidate]])), Audit[[#This Row],[Audit Losing Candidate]]-Audit[[#This Row],[Losing Candidate]], "")</f>
        <v/>
      </c>
      <c r="AG573" s="17" t="str">
        <f>IF(NOT(ISBLANK(Audit[[#This Row],[Audit Candidate 3]])), Audit[[#This Row],[Audit Candidate 3]]-Audit[[#This Row],[Candidate 3]], "")</f>
        <v/>
      </c>
      <c r="AH573" s="17" t="str">
        <f>IF(NOT(ISBLANK(Audit[[#This Row],[Audit Candidate 4]])),Audit[[#This Row],[Audit Candidate 4]]-Audit[[#This Row],[Candidate 4]], "")</f>
        <v/>
      </c>
      <c r="AI573" s="17" t="str">
        <f>IF(NOT(ISBLANK(Audit[[#This Row],[Audit Candidate 5]])), Audit[[#This Row],[Audit Candidate 5]]-Audit[[#This Row],[Candidate 5]], "")</f>
        <v/>
      </c>
      <c r="AJ573" s="17" t="str">
        <f>IF(NOT(ISBLANK(Audit[[#This Row],[Audit Candidate 6]])), Audit[[#This Row],[Audit Candidate 6]]-Audit[[#This Row],[Candidate 6]], "")</f>
        <v/>
      </c>
      <c r="AK573" s="17" t="str">
        <f>IF(NOT(ISBLANK(Audit[[#This Row],[Audit Candidate 7]])), Audit[[#This Row],[Audit Candidate 7]]-Audit[[#This Row],[Candidate 7]], "")</f>
        <v/>
      </c>
      <c r="AL573" s="17" t="str">
        <f>IF(NOT(ISBLANK(Audit[[#This Row],[Audit Candidate 8]])), Audit[[#This Row],[Audit Candidate 8]]-Audit[[#This Row],[Candidate 8]], "")</f>
        <v/>
      </c>
      <c r="AM573" s="17" t="str">
        <f>IF(NOT(ISBLANK(Audit[[#This Row],[Audit Candidate 9]])), Audit[[#This Row],[Audit Candidate 9]]-Audit[[#This Row],[Candidate 9]], "")</f>
        <v/>
      </c>
      <c r="AN573" s="17" t="str">
        <f>IF(NOT(ISBLANK(Audit[[#This Row],[Audit Candidate 10]])), Audit[[#This Row],[Audit Candidate 10]]-Audit[[#This Row],[Candidate 10]], "")</f>
        <v/>
      </c>
      <c r="AO573" s="17" t="str">
        <f>IF(NOT(ISBLANK(Audit[[#This Row],[Audit Candidate 11]])), Audit[[#This Row],[Audit Candidate 11]]-Audit[[#This Row],[Candidate 11]], "")</f>
        <v/>
      </c>
      <c r="AP573" s="17" t="str">
        <f>IF(NOT(ISBLANK(Audit[[#This Row],[Audit Candidate 12]])), Audit[[#This Row],[Audit Candidate 12]]-Audit[[#This Row],[Candidate 12]], "")</f>
        <v/>
      </c>
      <c r="AQ573" s="17">
        <f>SUMIF(Audit[[#This Row],[Difference Winner]:[Difference Candidate 12]], "&gt;0")</f>
        <v>0</v>
      </c>
      <c r="AR573" s="17">
        <f>SUM(Audit[[#This Row],[Difference Winner]:[Difference Candidate 12]])</f>
        <v>0</v>
      </c>
      <c r="AS573" s="17">
        <f>IF(Audit[[#This Row],[Times p Drawn - With Replacement]]&gt;0, IF(Audit[[#This Row],[Canceled Differences]]&lt;0, Audit[[#This Row],[Max Differences]]+ABS(Audit[[#This Row],[Canceled Differences]]), Audit[[#This Row],[Max Differences]]), 0)</f>
        <v>0</v>
      </c>
      <c r="AT573" s="17">
        <f>'Sampling Data'!AB573</f>
        <v>2.1600746902053981E-2</v>
      </c>
      <c r="AU573" s="17">
        <f>IF(
      SUM(Audit[[#This Row],[Audit Losing Candidate]:[Audit Candidate 12]])
      &lt;&gt;0,
      (Audit[[#This Row],[Winning Candidate]]-Audit[[#This Row],[Losing Candidate]]-(Audit[[#This Row],[Audit Winning Candidate]]-Audit[[#This Row],[Audit Losing Candidate]]))/(Audit[[#Totals],[Winning Candidate]]-Audit[[#Totals],[Losing Candidate]]),
      0
)</f>
        <v>0</v>
      </c>
      <c r="AV5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3" s="17">
        <f>IF(Audit[[#This Row],[Max Relative Error (ep)]] = 0, 0, Audit[[#This Row],[Max Relative Error (ep)]]/Audit[[#This Row],[Error Bound (up) - Max. possible relative overstatement]])</f>
        <v>0</v>
      </c>
      <c r="BH5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73" s="17">
        <f t="shared" si="9"/>
        <v>1</v>
      </c>
      <c r="BJ573" s="17">
        <f>PRODUCT($BI$5:BI573)</f>
        <v>0.37139254595499177</v>
      </c>
      <c r="BK573" s="19">
        <f>1 - Audit[[#This Row],[K-M P Value]]</f>
        <v>0.62860745404500817</v>
      </c>
      <c r="BL573" s="17" t="str">
        <f>IF(Audit[[#This Row],[K-M P Value]]&gt;1-'General Info'!$B$12,"Continue", "Stop")</f>
        <v>Continue</v>
      </c>
      <c r="BM573" s="22" t="b">
        <f>IF(Audit[[#This Row],[Status - Continue or stop audit]] = "Continue", TRUE, IF(BL572 = "Continue", TRUE, FALSE))</f>
        <v>1</v>
      </c>
      <c r="BN573" s="22"/>
    </row>
    <row r="574" spans="1:66" ht="15" hidden="1" customHeight="1" x14ac:dyDescent="0.35">
      <c r="A574" s="17" t="str">
        <f>'Sampling Data'!AI574</f>
        <v/>
      </c>
      <c r="B574" s="17" t="str">
        <f>'Sampling Data'!A574</f>
        <v>0108 CIN 1-H   (ED)</v>
      </c>
      <c r="C574" s="17">
        <f>'Sampling Data'!B574</f>
        <v>107</v>
      </c>
      <c r="D574" s="17">
        <f>'Sampling Data'!C574</f>
        <v>126</v>
      </c>
      <c r="E574" s="18">
        <f>'Sampling Data'!D574</f>
        <v>0</v>
      </c>
      <c r="F574" s="18">
        <f>'Sampling Data'!E574</f>
        <v>0</v>
      </c>
      <c r="G574" s="18">
        <f>'Sampling Data'!F574</f>
        <v>0</v>
      </c>
      <c r="H574" s="18">
        <f>'Sampling Data'!G574</f>
        <v>0</v>
      </c>
      <c r="I574" s="18">
        <f>'Sampling Data'!H574</f>
        <v>0</v>
      </c>
      <c r="J574" s="18">
        <f>'Sampling Data'!I574</f>
        <v>0</v>
      </c>
      <c r="K574" s="18">
        <f>'Sampling Data'!J574</f>
        <v>0</v>
      </c>
      <c r="L574" s="18">
        <f>'Sampling Data'!K574</f>
        <v>0</v>
      </c>
      <c r="M574" s="18">
        <f>'Sampling Data'!L574</f>
        <v>0</v>
      </c>
      <c r="N574" s="18">
        <f>'Sampling Data'!M574</f>
        <v>0</v>
      </c>
      <c r="O574" s="17">
        <f>'Sampling Data'!N574</f>
        <v>0</v>
      </c>
      <c r="P574" s="17">
        <f>'Sampling Data'!O574</f>
        <v>24</v>
      </c>
      <c r="Q574" s="17">
        <f>'Sampling Data'!P574</f>
        <v>257</v>
      </c>
      <c r="R574" s="17">
        <f>'Sampling Data'!AJ574</f>
        <v>0</v>
      </c>
      <c r="S574" s="111"/>
      <c r="T574" s="111"/>
      <c r="U574" s="112"/>
      <c r="V574" s="112"/>
      <c r="W574" s="111"/>
      <c r="X574" s="111"/>
      <c r="Y574" s="111"/>
      <c r="Z574" s="111"/>
      <c r="AA574" s="14"/>
      <c r="AB574" s="14"/>
      <c r="AC574" s="14"/>
      <c r="AD574" s="14"/>
      <c r="AE574" s="113" t="str">
        <f>IF(NOT(ISBLANK(Audit[[#This Row],[Audit Winning Candidate]])), Audit[[#This Row],[Audit Winning Candidate]]-Audit[[#This Row],[Winning Candidate]], "")</f>
        <v/>
      </c>
      <c r="AF574" s="17" t="str">
        <f>IF(NOT(ISBLANK(Audit[[#This Row],[Audit Losing Candidate]])), Audit[[#This Row],[Audit Losing Candidate]]-Audit[[#This Row],[Losing Candidate]], "")</f>
        <v/>
      </c>
      <c r="AG574" s="17" t="str">
        <f>IF(NOT(ISBLANK(Audit[[#This Row],[Audit Candidate 3]])), Audit[[#This Row],[Audit Candidate 3]]-Audit[[#This Row],[Candidate 3]], "")</f>
        <v/>
      </c>
      <c r="AH574" s="17" t="str">
        <f>IF(NOT(ISBLANK(Audit[[#This Row],[Audit Candidate 4]])),Audit[[#This Row],[Audit Candidate 4]]-Audit[[#This Row],[Candidate 4]], "")</f>
        <v/>
      </c>
      <c r="AI574" s="17" t="str">
        <f>IF(NOT(ISBLANK(Audit[[#This Row],[Audit Candidate 5]])), Audit[[#This Row],[Audit Candidate 5]]-Audit[[#This Row],[Candidate 5]], "")</f>
        <v/>
      </c>
      <c r="AJ574" s="17" t="str">
        <f>IF(NOT(ISBLANK(Audit[[#This Row],[Audit Candidate 6]])), Audit[[#This Row],[Audit Candidate 6]]-Audit[[#This Row],[Candidate 6]], "")</f>
        <v/>
      </c>
      <c r="AK574" s="17" t="str">
        <f>IF(NOT(ISBLANK(Audit[[#This Row],[Audit Candidate 7]])), Audit[[#This Row],[Audit Candidate 7]]-Audit[[#This Row],[Candidate 7]], "")</f>
        <v/>
      </c>
      <c r="AL574" s="17" t="str">
        <f>IF(NOT(ISBLANK(Audit[[#This Row],[Audit Candidate 8]])), Audit[[#This Row],[Audit Candidate 8]]-Audit[[#This Row],[Candidate 8]], "")</f>
        <v/>
      </c>
      <c r="AM574" s="17" t="str">
        <f>IF(NOT(ISBLANK(Audit[[#This Row],[Audit Candidate 9]])), Audit[[#This Row],[Audit Candidate 9]]-Audit[[#This Row],[Candidate 9]], "")</f>
        <v/>
      </c>
      <c r="AN574" s="17" t="str">
        <f>IF(NOT(ISBLANK(Audit[[#This Row],[Audit Candidate 10]])), Audit[[#This Row],[Audit Candidate 10]]-Audit[[#This Row],[Candidate 10]], "")</f>
        <v/>
      </c>
      <c r="AO574" s="17" t="str">
        <f>IF(NOT(ISBLANK(Audit[[#This Row],[Audit Candidate 11]])), Audit[[#This Row],[Audit Candidate 11]]-Audit[[#This Row],[Candidate 11]], "")</f>
        <v/>
      </c>
      <c r="AP574" s="17" t="str">
        <f>IF(NOT(ISBLANK(Audit[[#This Row],[Audit Candidate 12]])), Audit[[#This Row],[Audit Candidate 12]]-Audit[[#This Row],[Candidate 12]], "")</f>
        <v/>
      </c>
      <c r="AQ574" s="17">
        <f>SUMIF(Audit[[#This Row],[Difference Winner]:[Difference Candidate 12]], "&gt;0")</f>
        <v>0</v>
      </c>
      <c r="AR574" s="17">
        <f>SUM(Audit[[#This Row],[Difference Winner]:[Difference Candidate 12]])</f>
        <v>0</v>
      </c>
      <c r="AS574" s="17">
        <f>IF(Audit[[#This Row],[Times p Drawn - With Replacement]]&gt;0, IF(Audit[[#This Row],[Canceled Differences]]&lt;0, Audit[[#This Row],[Max Differences]]+ABS(Audit[[#This Row],[Canceled Differences]]), Audit[[#This Row],[Max Differences]]), 0)</f>
        <v>0</v>
      </c>
      <c r="AT574" s="17">
        <f>'Sampling Data'!AB574</f>
        <v>1.0100152775420132E-2</v>
      </c>
      <c r="AU574" s="17">
        <f>IF(
      SUM(Audit[[#This Row],[Audit Losing Candidate]:[Audit Candidate 12]])
      &lt;&gt;0,
      (Audit[[#This Row],[Winning Candidate]]-Audit[[#This Row],[Losing Candidate]]-(Audit[[#This Row],[Audit Winning Candidate]]-Audit[[#This Row],[Audit Losing Candidate]]))/(Audit[[#Totals],[Winning Candidate]]-Audit[[#Totals],[Losing Candidate]]),
      0
)</f>
        <v>0</v>
      </c>
      <c r="AV5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4" s="17">
        <f>IF(Audit[[#This Row],[Max Relative Error (ep)]] = 0, 0, Audit[[#This Row],[Max Relative Error (ep)]]/Audit[[#This Row],[Error Bound (up) - Max. possible relative overstatement]])</f>
        <v>0</v>
      </c>
      <c r="BH5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74" s="17">
        <f t="shared" si="9"/>
        <v>1</v>
      </c>
      <c r="BJ574" s="17">
        <f>PRODUCT($BI$5:BI574)</f>
        <v>0.37139254595499177</v>
      </c>
      <c r="BK574" s="19">
        <f>1 - Audit[[#This Row],[K-M P Value]]</f>
        <v>0.62860745404500817</v>
      </c>
      <c r="BL574" s="17" t="str">
        <f>IF(Audit[[#This Row],[K-M P Value]]&gt;1-'General Info'!$B$12,"Continue", "Stop")</f>
        <v>Continue</v>
      </c>
      <c r="BM574" s="22" t="b">
        <f>IF(Audit[[#This Row],[Status - Continue or stop audit]] = "Continue", TRUE, IF(BL573 = "Continue", TRUE, FALSE))</f>
        <v>1</v>
      </c>
      <c r="BN574" s="22"/>
    </row>
    <row r="575" spans="1:66" ht="15" hidden="1" customHeight="1" x14ac:dyDescent="0.35">
      <c r="A575" s="17" t="str">
        <f>'Sampling Data'!AI575</f>
        <v/>
      </c>
      <c r="B575" s="17" t="str">
        <f>'Sampling Data'!A575</f>
        <v>0109 CIN 1-I   (ED)</v>
      </c>
      <c r="C575" s="17">
        <f>'Sampling Data'!B575</f>
        <v>292</v>
      </c>
      <c r="D575" s="17">
        <f>'Sampling Data'!C575</f>
        <v>274</v>
      </c>
      <c r="E575" s="18">
        <f>'Sampling Data'!D575</f>
        <v>0</v>
      </c>
      <c r="F575" s="18">
        <f>'Sampling Data'!E575</f>
        <v>0</v>
      </c>
      <c r="G575" s="18">
        <f>'Sampling Data'!F575</f>
        <v>0</v>
      </c>
      <c r="H575" s="18">
        <f>'Sampling Data'!G575</f>
        <v>0</v>
      </c>
      <c r="I575" s="18">
        <f>'Sampling Data'!H575</f>
        <v>0</v>
      </c>
      <c r="J575" s="18">
        <f>'Sampling Data'!I575</f>
        <v>0</v>
      </c>
      <c r="K575" s="18">
        <f>'Sampling Data'!J575</f>
        <v>0</v>
      </c>
      <c r="L575" s="18">
        <f>'Sampling Data'!K575</f>
        <v>0</v>
      </c>
      <c r="M575" s="18">
        <f>'Sampling Data'!L575</f>
        <v>0</v>
      </c>
      <c r="N575" s="18">
        <f>'Sampling Data'!M575</f>
        <v>0</v>
      </c>
      <c r="O575" s="17">
        <f>'Sampling Data'!N575</f>
        <v>1</v>
      </c>
      <c r="P575" s="17">
        <f>'Sampling Data'!O575</f>
        <v>46</v>
      </c>
      <c r="Q575" s="17">
        <f>'Sampling Data'!P575</f>
        <v>613</v>
      </c>
      <c r="R575" s="17">
        <f>'Sampling Data'!AJ575</f>
        <v>0</v>
      </c>
      <c r="S575" s="111"/>
      <c r="T575" s="111"/>
      <c r="U575" s="112"/>
      <c r="V575" s="112"/>
      <c r="W575" s="111"/>
      <c r="X575" s="111"/>
      <c r="Y575" s="111"/>
      <c r="Z575" s="111"/>
      <c r="AA575" s="14"/>
      <c r="AB575" s="14"/>
      <c r="AC575" s="14"/>
      <c r="AD575" s="14"/>
      <c r="AE575" s="113" t="str">
        <f>IF(NOT(ISBLANK(Audit[[#This Row],[Audit Winning Candidate]])), Audit[[#This Row],[Audit Winning Candidate]]-Audit[[#This Row],[Winning Candidate]], "")</f>
        <v/>
      </c>
      <c r="AF575" s="17" t="str">
        <f>IF(NOT(ISBLANK(Audit[[#This Row],[Audit Losing Candidate]])), Audit[[#This Row],[Audit Losing Candidate]]-Audit[[#This Row],[Losing Candidate]], "")</f>
        <v/>
      </c>
      <c r="AG575" s="17" t="str">
        <f>IF(NOT(ISBLANK(Audit[[#This Row],[Audit Candidate 3]])), Audit[[#This Row],[Audit Candidate 3]]-Audit[[#This Row],[Candidate 3]], "")</f>
        <v/>
      </c>
      <c r="AH575" s="17" t="str">
        <f>IF(NOT(ISBLANK(Audit[[#This Row],[Audit Candidate 4]])),Audit[[#This Row],[Audit Candidate 4]]-Audit[[#This Row],[Candidate 4]], "")</f>
        <v/>
      </c>
      <c r="AI575" s="17" t="str">
        <f>IF(NOT(ISBLANK(Audit[[#This Row],[Audit Candidate 5]])), Audit[[#This Row],[Audit Candidate 5]]-Audit[[#This Row],[Candidate 5]], "")</f>
        <v/>
      </c>
      <c r="AJ575" s="17" t="str">
        <f>IF(NOT(ISBLANK(Audit[[#This Row],[Audit Candidate 6]])), Audit[[#This Row],[Audit Candidate 6]]-Audit[[#This Row],[Candidate 6]], "")</f>
        <v/>
      </c>
      <c r="AK575" s="17" t="str">
        <f>IF(NOT(ISBLANK(Audit[[#This Row],[Audit Candidate 7]])), Audit[[#This Row],[Audit Candidate 7]]-Audit[[#This Row],[Candidate 7]], "")</f>
        <v/>
      </c>
      <c r="AL575" s="17" t="str">
        <f>IF(NOT(ISBLANK(Audit[[#This Row],[Audit Candidate 8]])), Audit[[#This Row],[Audit Candidate 8]]-Audit[[#This Row],[Candidate 8]], "")</f>
        <v/>
      </c>
      <c r="AM575" s="17" t="str">
        <f>IF(NOT(ISBLANK(Audit[[#This Row],[Audit Candidate 9]])), Audit[[#This Row],[Audit Candidate 9]]-Audit[[#This Row],[Candidate 9]], "")</f>
        <v/>
      </c>
      <c r="AN575" s="17" t="str">
        <f>IF(NOT(ISBLANK(Audit[[#This Row],[Audit Candidate 10]])), Audit[[#This Row],[Audit Candidate 10]]-Audit[[#This Row],[Candidate 10]], "")</f>
        <v/>
      </c>
      <c r="AO575" s="17" t="str">
        <f>IF(NOT(ISBLANK(Audit[[#This Row],[Audit Candidate 11]])), Audit[[#This Row],[Audit Candidate 11]]-Audit[[#This Row],[Candidate 11]], "")</f>
        <v/>
      </c>
      <c r="AP575" s="17" t="str">
        <f>IF(NOT(ISBLANK(Audit[[#This Row],[Audit Candidate 12]])), Audit[[#This Row],[Audit Candidate 12]]-Audit[[#This Row],[Candidate 12]], "")</f>
        <v/>
      </c>
      <c r="AQ575" s="17">
        <f>SUMIF(Audit[[#This Row],[Difference Winner]:[Difference Candidate 12]], "&gt;0")</f>
        <v>0</v>
      </c>
      <c r="AR575" s="17">
        <f>SUM(Audit[[#This Row],[Difference Winner]:[Difference Candidate 12]])</f>
        <v>0</v>
      </c>
      <c r="AS575" s="17">
        <f>IF(Audit[[#This Row],[Times p Drawn - With Replacement]]&gt;0, IF(Audit[[#This Row],[Canceled Differences]]&lt;0, Audit[[#This Row],[Max Differences]]+ABS(Audit[[#This Row],[Canceled Differences]]), Audit[[#This Row],[Max Differences]]), 0)</f>
        <v>0</v>
      </c>
      <c r="AT575" s="17">
        <f>'Sampling Data'!AB575</f>
        <v>2.6778136139874384E-2</v>
      </c>
      <c r="AU575" s="17">
        <f>IF(
      SUM(Audit[[#This Row],[Audit Losing Candidate]:[Audit Candidate 12]])
      &lt;&gt;0,
      (Audit[[#This Row],[Winning Candidate]]-Audit[[#This Row],[Losing Candidate]]-(Audit[[#This Row],[Audit Winning Candidate]]-Audit[[#This Row],[Audit Losing Candidate]]))/(Audit[[#Totals],[Winning Candidate]]-Audit[[#Totals],[Losing Candidate]]),
      0
)</f>
        <v>0</v>
      </c>
      <c r="AV5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5" s="17">
        <f>IF(Audit[[#This Row],[Max Relative Error (ep)]] = 0, 0, Audit[[#This Row],[Max Relative Error (ep)]]/Audit[[#This Row],[Error Bound (up) - Max. possible relative overstatement]])</f>
        <v>0</v>
      </c>
      <c r="BH5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75" s="17">
        <f t="shared" si="9"/>
        <v>1</v>
      </c>
      <c r="BJ575" s="17">
        <f>PRODUCT($BI$5:BI575)</f>
        <v>0.37139254595499177</v>
      </c>
      <c r="BK575" s="19">
        <f>1 - Audit[[#This Row],[K-M P Value]]</f>
        <v>0.62860745404500817</v>
      </c>
      <c r="BL575" s="17" t="str">
        <f>IF(Audit[[#This Row],[K-M P Value]]&gt;1-'General Info'!$B$12,"Continue", "Stop")</f>
        <v>Continue</v>
      </c>
      <c r="BM575" s="22" t="b">
        <f>IF(Audit[[#This Row],[Status - Continue or stop audit]] = "Continue", TRUE, IF(BL574 = "Continue", TRUE, FALSE))</f>
        <v>1</v>
      </c>
      <c r="BN575" s="22"/>
    </row>
    <row r="576" spans="1:66" ht="15" hidden="1" customHeight="1" x14ac:dyDescent="0.35">
      <c r="A576" s="17" t="str">
        <f>'Sampling Data'!AI576</f>
        <v/>
      </c>
      <c r="B576" s="17" t="str">
        <f>'Sampling Data'!A576</f>
        <v>0110 CIN 1-J   (ED)</v>
      </c>
      <c r="C576" s="17">
        <f>'Sampling Data'!B576</f>
        <v>260</v>
      </c>
      <c r="D576" s="17">
        <f>'Sampling Data'!C576</f>
        <v>211</v>
      </c>
      <c r="E576" s="18">
        <f>'Sampling Data'!D576</f>
        <v>0</v>
      </c>
      <c r="F576" s="18">
        <f>'Sampling Data'!E576</f>
        <v>0</v>
      </c>
      <c r="G576" s="18">
        <f>'Sampling Data'!F576</f>
        <v>0</v>
      </c>
      <c r="H576" s="18">
        <f>'Sampling Data'!G576</f>
        <v>0</v>
      </c>
      <c r="I576" s="18">
        <f>'Sampling Data'!H576</f>
        <v>0</v>
      </c>
      <c r="J576" s="18">
        <f>'Sampling Data'!I576</f>
        <v>0</v>
      </c>
      <c r="K576" s="18">
        <f>'Sampling Data'!J576</f>
        <v>0</v>
      </c>
      <c r="L576" s="18">
        <f>'Sampling Data'!K576</f>
        <v>0</v>
      </c>
      <c r="M576" s="18">
        <f>'Sampling Data'!L576</f>
        <v>0</v>
      </c>
      <c r="N576" s="18">
        <f>'Sampling Data'!M576</f>
        <v>0</v>
      </c>
      <c r="O576" s="17">
        <f>'Sampling Data'!N576</f>
        <v>0</v>
      </c>
      <c r="P576" s="17">
        <f>'Sampling Data'!O576</f>
        <v>52</v>
      </c>
      <c r="Q576" s="17">
        <f>'Sampling Data'!P576</f>
        <v>523</v>
      </c>
      <c r="R576" s="17">
        <f>'Sampling Data'!AJ576</f>
        <v>0</v>
      </c>
      <c r="S576" s="111"/>
      <c r="T576" s="111"/>
      <c r="U576" s="112"/>
      <c r="V576" s="112"/>
      <c r="W576" s="111"/>
      <c r="X576" s="111"/>
      <c r="Y576" s="111"/>
      <c r="Z576" s="111"/>
      <c r="AA576" s="14"/>
      <c r="AB576" s="14"/>
      <c r="AC576" s="14"/>
      <c r="AD576" s="14"/>
      <c r="AE576" s="113" t="str">
        <f>IF(NOT(ISBLANK(Audit[[#This Row],[Audit Winning Candidate]])), Audit[[#This Row],[Audit Winning Candidate]]-Audit[[#This Row],[Winning Candidate]], "")</f>
        <v/>
      </c>
      <c r="AF576" s="17" t="str">
        <f>IF(NOT(ISBLANK(Audit[[#This Row],[Audit Losing Candidate]])), Audit[[#This Row],[Audit Losing Candidate]]-Audit[[#This Row],[Losing Candidate]], "")</f>
        <v/>
      </c>
      <c r="AG576" s="17" t="str">
        <f>IF(NOT(ISBLANK(Audit[[#This Row],[Audit Candidate 3]])), Audit[[#This Row],[Audit Candidate 3]]-Audit[[#This Row],[Candidate 3]], "")</f>
        <v/>
      </c>
      <c r="AH576" s="17" t="str">
        <f>IF(NOT(ISBLANK(Audit[[#This Row],[Audit Candidate 4]])),Audit[[#This Row],[Audit Candidate 4]]-Audit[[#This Row],[Candidate 4]], "")</f>
        <v/>
      </c>
      <c r="AI576" s="17" t="str">
        <f>IF(NOT(ISBLANK(Audit[[#This Row],[Audit Candidate 5]])), Audit[[#This Row],[Audit Candidate 5]]-Audit[[#This Row],[Candidate 5]], "")</f>
        <v/>
      </c>
      <c r="AJ576" s="17" t="str">
        <f>IF(NOT(ISBLANK(Audit[[#This Row],[Audit Candidate 6]])), Audit[[#This Row],[Audit Candidate 6]]-Audit[[#This Row],[Candidate 6]], "")</f>
        <v/>
      </c>
      <c r="AK576" s="17" t="str">
        <f>IF(NOT(ISBLANK(Audit[[#This Row],[Audit Candidate 7]])), Audit[[#This Row],[Audit Candidate 7]]-Audit[[#This Row],[Candidate 7]], "")</f>
        <v/>
      </c>
      <c r="AL576" s="17" t="str">
        <f>IF(NOT(ISBLANK(Audit[[#This Row],[Audit Candidate 8]])), Audit[[#This Row],[Audit Candidate 8]]-Audit[[#This Row],[Candidate 8]], "")</f>
        <v/>
      </c>
      <c r="AM576" s="17" t="str">
        <f>IF(NOT(ISBLANK(Audit[[#This Row],[Audit Candidate 9]])), Audit[[#This Row],[Audit Candidate 9]]-Audit[[#This Row],[Candidate 9]], "")</f>
        <v/>
      </c>
      <c r="AN576" s="17" t="str">
        <f>IF(NOT(ISBLANK(Audit[[#This Row],[Audit Candidate 10]])), Audit[[#This Row],[Audit Candidate 10]]-Audit[[#This Row],[Candidate 10]], "")</f>
        <v/>
      </c>
      <c r="AO576" s="17" t="str">
        <f>IF(NOT(ISBLANK(Audit[[#This Row],[Audit Candidate 11]])), Audit[[#This Row],[Audit Candidate 11]]-Audit[[#This Row],[Candidate 11]], "")</f>
        <v/>
      </c>
      <c r="AP576" s="17" t="str">
        <f>IF(NOT(ISBLANK(Audit[[#This Row],[Audit Candidate 12]])), Audit[[#This Row],[Audit Candidate 12]]-Audit[[#This Row],[Candidate 12]], "")</f>
        <v/>
      </c>
      <c r="AQ576" s="17">
        <f>SUMIF(Audit[[#This Row],[Difference Winner]:[Difference Candidate 12]], "&gt;0")</f>
        <v>0</v>
      </c>
      <c r="AR576" s="17">
        <f>SUM(Audit[[#This Row],[Difference Winner]:[Difference Candidate 12]])</f>
        <v>0</v>
      </c>
      <c r="AS576" s="17">
        <f>IF(Audit[[#This Row],[Times p Drawn - With Replacement]]&gt;0, IF(Audit[[#This Row],[Canceled Differences]]&lt;0, Audit[[#This Row],[Max Differences]]+ABS(Audit[[#This Row],[Canceled Differences]]), Audit[[#This Row],[Max Differences]]), 0)</f>
        <v>0</v>
      </c>
      <c r="AT576" s="17">
        <f>'Sampling Data'!AB576</f>
        <v>2.4274316754371073E-2</v>
      </c>
      <c r="AU576" s="17">
        <f>IF(
      SUM(Audit[[#This Row],[Audit Losing Candidate]:[Audit Candidate 12]])
      &lt;&gt;0,
      (Audit[[#This Row],[Winning Candidate]]-Audit[[#This Row],[Losing Candidate]]-(Audit[[#This Row],[Audit Winning Candidate]]-Audit[[#This Row],[Audit Losing Candidate]]))/(Audit[[#Totals],[Winning Candidate]]-Audit[[#Totals],[Losing Candidate]]),
      0
)</f>
        <v>0</v>
      </c>
      <c r="AV5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6" s="17">
        <f>IF(Audit[[#This Row],[Max Relative Error (ep)]] = 0, 0, Audit[[#This Row],[Max Relative Error (ep)]]/Audit[[#This Row],[Error Bound (up) - Max. possible relative overstatement]])</f>
        <v>0</v>
      </c>
      <c r="BH5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76" s="17">
        <f t="shared" si="9"/>
        <v>1</v>
      </c>
      <c r="BJ576" s="17">
        <f>PRODUCT($BI$5:BI576)</f>
        <v>0.37139254595499177</v>
      </c>
      <c r="BK576" s="19">
        <f>1 - Audit[[#This Row],[K-M P Value]]</f>
        <v>0.62860745404500817</v>
      </c>
      <c r="BL576" s="17" t="str">
        <f>IF(Audit[[#This Row],[K-M P Value]]&gt;1-'General Info'!$B$12,"Continue", "Stop")</f>
        <v>Continue</v>
      </c>
      <c r="BM576" s="22" t="b">
        <f>IF(Audit[[#This Row],[Status - Continue or stop audit]] = "Continue", TRUE, IF(BL575 = "Continue", TRUE, FALSE))</f>
        <v>1</v>
      </c>
      <c r="BN576" s="22"/>
    </row>
    <row r="577" spans="1:66" ht="15" hidden="1" customHeight="1" x14ac:dyDescent="0.35">
      <c r="A577" s="17" t="str">
        <f>'Sampling Data'!AI577</f>
        <v/>
      </c>
      <c r="B577" s="17" t="str">
        <f>'Sampling Data'!A577</f>
        <v>0111 CIN 1-K   (ED)</v>
      </c>
      <c r="C577" s="17">
        <f>'Sampling Data'!B577</f>
        <v>271</v>
      </c>
      <c r="D577" s="17">
        <f>'Sampling Data'!C577</f>
        <v>161</v>
      </c>
      <c r="E577" s="18">
        <f>'Sampling Data'!D577</f>
        <v>0</v>
      </c>
      <c r="F577" s="18">
        <f>'Sampling Data'!E577</f>
        <v>0</v>
      </c>
      <c r="G577" s="18">
        <f>'Sampling Data'!F577</f>
        <v>0</v>
      </c>
      <c r="H577" s="18">
        <f>'Sampling Data'!G577</f>
        <v>0</v>
      </c>
      <c r="I577" s="18">
        <f>'Sampling Data'!H577</f>
        <v>0</v>
      </c>
      <c r="J577" s="18">
        <f>'Sampling Data'!I577</f>
        <v>0</v>
      </c>
      <c r="K577" s="18">
        <f>'Sampling Data'!J577</f>
        <v>0</v>
      </c>
      <c r="L577" s="18">
        <f>'Sampling Data'!K577</f>
        <v>0</v>
      </c>
      <c r="M577" s="18">
        <f>'Sampling Data'!L577</f>
        <v>0</v>
      </c>
      <c r="N577" s="18">
        <f>'Sampling Data'!M577</f>
        <v>0</v>
      </c>
      <c r="O577" s="17">
        <f>'Sampling Data'!N577</f>
        <v>0</v>
      </c>
      <c r="P577" s="17">
        <f>'Sampling Data'!O577</f>
        <v>36</v>
      </c>
      <c r="Q577" s="17">
        <f>'Sampling Data'!P577</f>
        <v>468</v>
      </c>
      <c r="R577" s="17">
        <f>'Sampling Data'!AJ577</f>
        <v>0</v>
      </c>
      <c r="S577" s="111"/>
      <c r="T577" s="111"/>
      <c r="U577" s="112"/>
      <c r="V577" s="112"/>
      <c r="W577" s="111"/>
      <c r="X577" s="111"/>
      <c r="Y577" s="111"/>
      <c r="Z577" s="111"/>
      <c r="AA577" s="14"/>
      <c r="AB577" s="14"/>
      <c r="AC577" s="14"/>
      <c r="AD577" s="14"/>
      <c r="AE577" s="113" t="str">
        <f>IF(NOT(ISBLANK(Audit[[#This Row],[Audit Winning Candidate]])), Audit[[#This Row],[Audit Winning Candidate]]-Audit[[#This Row],[Winning Candidate]], "")</f>
        <v/>
      </c>
      <c r="AF577" s="17" t="str">
        <f>IF(NOT(ISBLANK(Audit[[#This Row],[Audit Losing Candidate]])), Audit[[#This Row],[Audit Losing Candidate]]-Audit[[#This Row],[Losing Candidate]], "")</f>
        <v/>
      </c>
      <c r="AG577" s="17" t="str">
        <f>IF(NOT(ISBLANK(Audit[[#This Row],[Audit Candidate 3]])), Audit[[#This Row],[Audit Candidate 3]]-Audit[[#This Row],[Candidate 3]], "")</f>
        <v/>
      </c>
      <c r="AH577" s="17" t="str">
        <f>IF(NOT(ISBLANK(Audit[[#This Row],[Audit Candidate 4]])),Audit[[#This Row],[Audit Candidate 4]]-Audit[[#This Row],[Candidate 4]], "")</f>
        <v/>
      </c>
      <c r="AI577" s="17" t="str">
        <f>IF(NOT(ISBLANK(Audit[[#This Row],[Audit Candidate 5]])), Audit[[#This Row],[Audit Candidate 5]]-Audit[[#This Row],[Candidate 5]], "")</f>
        <v/>
      </c>
      <c r="AJ577" s="17" t="str">
        <f>IF(NOT(ISBLANK(Audit[[#This Row],[Audit Candidate 6]])), Audit[[#This Row],[Audit Candidate 6]]-Audit[[#This Row],[Candidate 6]], "")</f>
        <v/>
      </c>
      <c r="AK577" s="17" t="str">
        <f>IF(NOT(ISBLANK(Audit[[#This Row],[Audit Candidate 7]])), Audit[[#This Row],[Audit Candidate 7]]-Audit[[#This Row],[Candidate 7]], "")</f>
        <v/>
      </c>
      <c r="AL577" s="17" t="str">
        <f>IF(NOT(ISBLANK(Audit[[#This Row],[Audit Candidate 8]])), Audit[[#This Row],[Audit Candidate 8]]-Audit[[#This Row],[Candidate 8]], "")</f>
        <v/>
      </c>
      <c r="AM577" s="17" t="str">
        <f>IF(NOT(ISBLANK(Audit[[#This Row],[Audit Candidate 9]])), Audit[[#This Row],[Audit Candidate 9]]-Audit[[#This Row],[Candidate 9]], "")</f>
        <v/>
      </c>
      <c r="AN577" s="17" t="str">
        <f>IF(NOT(ISBLANK(Audit[[#This Row],[Audit Candidate 10]])), Audit[[#This Row],[Audit Candidate 10]]-Audit[[#This Row],[Candidate 10]], "")</f>
        <v/>
      </c>
      <c r="AO577" s="17" t="str">
        <f>IF(NOT(ISBLANK(Audit[[#This Row],[Audit Candidate 11]])), Audit[[#This Row],[Audit Candidate 11]]-Audit[[#This Row],[Candidate 11]], "")</f>
        <v/>
      </c>
      <c r="AP577" s="17" t="str">
        <f>IF(NOT(ISBLANK(Audit[[#This Row],[Audit Candidate 12]])), Audit[[#This Row],[Audit Candidate 12]]-Audit[[#This Row],[Candidate 12]], "")</f>
        <v/>
      </c>
      <c r="AQ577" s="17">
        <f>SUMIF(Audit[[#This Row],[Difference Winner]:[Difference Candidate 12]], "&gt;0")</f>
        <v>0</v>
      </c>
      <c r="AR577" s="17">
        <f>SUM(Audit[[#This Row],[Difference Winner]:[Difference Candidate 12]])</f>
        <v>0</v>
      </c>
      <c r="AS577" s="17">
        <f>IF(Audit[[#This Row],[Times p Drawn - With Replacement]]&gt;0, IF(Audit[[#This Row],[Canceled Differences]]&lt;0, Audit[[#This Row],[Max Differences]]+ABS(Audit[[#This Row],[Canceled Differences]]), Audit[[#This Row],[Max Differences]]), 0)</f>
        <v>0</v>
      </c>
      <c r="AT577" s="17">
        <f>'Sampling Data'!AB577</f>
        <v>2.4528942454591751E-2</v>
      </c>
      <c r="AU577" s="17">
        <f>IF(
      SUM(Audit[[#This Row],[Audit Losing Candidate]:[Audit Candidate 12]])
      &lt;&gt;0,
      (Audit[[#This Row],[Winning Candidate]]-Audit[[#This Row],[Losing Candidate]]-(Audit[[#This Row],[Audit Winning Candidate]]-Audit[[#This Row],[Audit Losing Candidate]]))/(Audit[[#Totals],[Winning Candidate]]-Audit[[#Totals],[Losing Candidate]]),
      0
)</f>
        <v>0</v>
      </c>
      <c r="AV5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7" s="17">
        <f>IF(Audit[[#This Row],[Max Relative Error (ep)]] = 0, 0, Audit[[#This Row],[Max Relative Error (ep)]]/Audit[[#This Row],[Error Bound (up) - Max. possible relative overstatement]])</f>
        <v>0</v>
      </c>
      <c r="BH5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77" s="17">
        <f t="shared" si="9"/>
        <v>1</v>
      </c>
      <c r="BJ577" s="17">
        <f>PRODUCT($BI$5:BI577)</f>
        <v>0.37139254595499177</v>
      </c>
      <c r="BK577" s="19">
        <f>1 - Audit[[#This Row],[K-M P Value]]</f>
        <v>0.62860745404500817</v>
      </c>
      <c r="BL577" s="17" t="str">
        <f>IF(Audit[[#This Row],[K-M P Value]]&gt;1-'General Info'!$B$12,"Continue", "Stop")</f>
        <v>Continue</v>
      </c>
      <c r="BM577" s="22" t="b">
        <f>IF(Audit[[#This Row],[Status - Continue or stop audit]] = "Continue", TRUE, IF(BL576 = "Continue", TRUE, FALSE))</f>
        <v>1</v>
      </c>
      <c r="BN577" s="22"/>
    </row>
    <row r="578" spans="1:66" ht="15" hidden="1" customHeight="1" x14ac:dyDescent="0.35">
      <c r="A578" s="17" t="str">
        <f>'Sampling Data'!AI578</f>
        <v/>
      </c>
      <c r="B578" s="17" t="str">
        <f>'Sampling Data'!A578</f>
        <v>0112 CIN 1-L   (ED)</v>
      </c>
      <c r="C578" s="17">
        <f>'Sampling Data'!B578</f>
        <v>132</v>
      </c>
      <c r="D578" s="17">
        <f>'Sampling Data'!C578</f>
        <v>152</v>
      </c>
      <c r="E578" s="18">
        <f>'Sampling Data'!D578</f>
        <v>0</v>
      </c>
      <c r="F578" s="18">
        <f>'Sampling Data'!E578</f>
        <v>0</v>
      </c>
      <c r="G578" s="18">
        <f>'Sampling Data'!F578</f>
        <v>0</v>
      </c>
      <c r="H578" s="18">
        <f>'Sampling Data'!G578</f>
        <v>0</v>
      </c>
      <c r="I578" s="18">
        <f>'Sampling Data'!H578</f>
        <v>0</v>
      </c>
      <c r="J578" s="18">
        <f>'Sampling Data'!I578</f>
        <v>0</v>
      </c>
      <c r="K578" s="18">
        <f>'Sampling Data'!J578</f>
        <v>0</v>
      </c>
      <c r="L578" s="18">
        <f>'Sampling Data'!K578</f>
        <v>0</v>
      </c>
      <c r="M578" s="18">
        <f>'Sampling Data'!L578</f>
        <v>0</v>
      </c>
      <c r="N578" s="18">
        <f>'Sampling Data'!M578</f>
        <v>0</v>
      </c>
      <c r="O578" s="17">
        <f>'Sampling Data'!N578</f>
        <v>0</v>
      </c>
      <c r="P578" s="17">
        <f>'Sampling Data'!O578</f>
        <v>28</v>
      </c>
      <c r="Q578" s="17">
        <f>'Sampling Data'!P578</f>
        <v>312</v>
      </c>
      <c r="R578" s="17">
        <f>'Sampling Data'!AJ578</f>
        <v>0</v>
      </c>
      <c r="S578" s="111"/>
      <c r="T578" s="111"/>
      <c r="U578" s="112"/>
      <c r="V578" s="112"/>
      <c r="W578" s="111"/>
      <c r="X578" s="111"/>
      <c r="Y578" s="111"/>
      <c r="Z578" s="111"/>
      <c r="AA578" s="14"/>
      <c r="AB578" s="14"/>
      <c r="AC578" s="14"/>
      <c r="AD578" s="14"/>
      <c r="AE578" s="113" t="str">
        <f>IF(NOT(ISBLANK(Audit[[#This Row],[Audit Winning Candidate]])), Audit[[#This Row],[Audit Winning Candidate]]-Audit[[#This Row],[Winning Candidate]], "")</f>
        <v/>
      </c>
      <c r="AF578" s="17" t="str">
        <f>IF(NOT(ISBLANK(Audit[[#This Row],[Audit Losing Candidate]])), Audit[[#This Row],[Audit Losing Candidate]]-Audit[[#This Row],[Losing Candidate]], "")</f>
        <v/>
      </c>
      <c r="AG578" s="17" t="str">
        <f>IF(NOT(ISBLANK(Audit[[#This Row],[Audit Candidate 3]])), Audit[[#This Row],[Audit Candidate 3]]-Audit[[#This Row],[Candidate 3]], "")</f>
        <v/>
      </c>
      <c r="AH578" s="17" t="str">
        <f>IF(NOT(ISBLANK(Audit[[#This Row],[Audit Candidate 4]])),Audit[[#This Row],[Audit Candidate 4]]-Audit[[#This Row],[Candidate 4]], "")</f>
        <v/>
      </c>
      <c r="AI578" s="17" t="str">
        <f>IF(NOT(ISBLANK(Audit[[#This Row],[Audit Candidate 5]])), Audit[[#This Row],[Audit Candidate 5]]-Audit[[#This Row],[Candidate 5]], "")</f>
        <v/>
      </c>
      <c r="AJ578" s="17" t="str">
        <f>IF(NOT(ISBLANK(Audit[[#This Row],[Audit Candidate 6]])), Audit[[#This Row],[Audit Candidate 6]]-Audit[[#This Row],[Candidate 6]], "")</f>
        <v/>
      </c>
      <c r="AK578" s="17" t="str">
        <f>IF(NOT(ISBLANK(Audit[[#This Row],[Audit Candidate 7]])), Audit[[#This Row],[Audit Candidate 7]]-Audit[[#This Row],[Candidate 7]], "")</f>
        <v/>
      </c>
      <c r="AL578" s="17" t="str">
        <f>IF(NOT(ISBLANK(Audit[[#This Row],[Audit Candidate 8]])), Audit[[#This Row],[Audit Candidate 8]]-Audit[[#This Row],[Candidate 8]], "")</f>
        <v/>
      </c>
      <c r="AM578" s="17" t="str">
        <f>IF(NOT(ISBLANK(Audit[[#This Row],[Audit Candidate 9]])), Audit[[#This Row],[Audit Candidate 9]]-Audit[[#This Row],[Candidate 9]], "")</f>
        <v/>
      </c>
      <c r="AN578" s="17" t="str">
        <f>IF(NOT(ISBLANK(Audit[[#This Row],[Audit Candidate 10]])), Audit[[#This Row],[Audit Candidate 10]]-Audit[[#This Row],[Candidate 10]], "")</f>
        <v/>
      </c>
      <c r="AO578" s="17" t="str">
        <f>IF(NOT(ISBLANK(Audit[[#This Row],[Audit Candidate 11]])), Audit[[#This Row],[Audit Candidate 11]]-Audit[[#This Row],[Candidate 11]], "")</f>
        <v/>
      </c>
      <c r="AP578" s="17" t="str">
        <f>IF(NOT(ISBLANK(Audit[[#This Row],[Audit Candidate 12]])), Audit[[#This Row],[Audit Candidate 12]]-Audit[[#This Row],[Candidate 12]], "")</f>
        <v/>
      </c>
      <c r="AQ578" s="17">
        <f>SUMIF(Audit[[#This Row],[Difference Winner]:[Difference Candidate 12]], "&gt;0")</f>
        <v>0</v>
      </c>
      <c r="AR578" s="17">
        <f>SUM(Audit[[#This Row],[Difference Winner]:[Difference Candidate 12]])</f>
        <v>0</v>
      </c>
      <c r="AS578" s="17">
        <f>IF(Audit[[#This Row],[Times p Drawn - With Replacement]]&gt;0, IF(Audit[[#This Row],[Canceled Differences]]&lt;0, Audit[[#This Row],[Max Differences]]+ABS(Audit[[#This Row],[Canceled Differences]]), Audit[[#This Row],[Max Differences]]), 0)</f>
        <v>0</v>
      </c>
      <c r="AT578" s="17">
        <f>'Sampling Data'!AB578</f>
        <v>1.2391784077406213E-2</v>
      </c>
      <c r="AU578" s="17">
        <f>IF(
      SUM(Audit[[#This Row],[Audit Losing Candidate]:[Audit Candidate 12]])
      &lt;&gt;0,
      (Audit[[#This Row],[Winning Candidate]]-Audit[[#This Row],[Losing Candidate]]-(Audit[[#This Row],[Audit Winning Candidate]]-Audit[[#This Row],[Audit Losing Candidate]]))/(Audit[[#Totals],[Winning Candidate]]-Audit[[#Totals],[Losing Candidate]]),
      0
)</f>
        <v>0</v>
      </c>
      <c r="AV5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8" s="17">
        <f>IF(Audit[[#This Row],[Max Relative Error (ep)]] = 0, 0, Audit[[#This Row],[Max Relative Error (ep)]]/Audit[[#This Row],[Error Bound (up) - Max. possible relative overstatement]])</f>
        <v>0</v>
      </c>
      <c r="BH5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78" s="17">
        <f t="shared" si="9"/>
        <v>1</v>
      </c>
      <c r="BJ578" s="17">
        <f>PRODUCT($BI$5:BI578)</f>
        <v>0.37139254595499177</v>
      </c>
      <c r="BK578" s="19">
        <f>1 - Audit[[#This Row],[K-M P Value]]</f>
        <v>0.62860745404500817</v>
      </c>
      <c r="BL578" s="17" t="str">
        <f>IF(Audit[[#This Row],[K-M P Value]]&gt;1-'General Info'!$B$12,"Continue", "Stop")</f>
        <v>Continue</v>
      </c>
      <c r="BM578" s="22" t="b">
        <f>IF(Audit[[#This Row],[Status - Continue or stop audit]] = "Continue", TRUE, IF(BL577 = "Continue", TRUE, FALSE))</f>
        <v>1</v>
      </c>
      <c r="BN578" s="22"/>
    </row>
    <row r="579" spans="1:66" ht="15" hidden="1" customHeight="1" x14ac:dyDescent="0.35">
      <c r="A579" s="17" t="str">
        <f>'Sampling Data'!AI579</f>
        <v/>
      </c>
      <c r="B579" s="17" t="str">
        <f>'Sampling Data'!A579</f>
        <v>0113 CIN 1-M   (ED)</v>
      </c>
      <c r="C579" s="17">
        <f>'Sampling Data'!B579</f>
        <v>160</v>
      </c>
      <c r="D579" s="17">
        <f>'Sampling Data'!C579</f>
        <v>181</v>
      </c>
      <c r="E579" s="18">
        <f>'Sampling Data'!D579</f>
        <v>0</v>
      </c>
      <c r="F579" s="18">
        <f>'Sampling Data'!E579</f>
        <v>0</v>
      </c>
      <c r="G579" s="18">
        <f>'Sampling Data'!F579</f>
        <v>0</v>
      </c>
      <c r="H579" s="18">
        <f>'Sampling Data'!G579</f>
        <v>0</v>
      </c>
      <c r="I579" s="18">
        <f>'Sampling Data'!H579</f>
        <v>0</v>
      </c>
      <c r="J579" s="18">
        <f>'Sampling Data'!I579</f>
        <v>0</v>
      </c>
      <c r="K579" s="18">
        <f>'Sampling Data'!J579</f>
        <v>0</v>
      </c>
      <c r="L579" s="18">
        <f>'Sampling Data'!K579</f>
        <v>0</v>
      </c>
      <c r="M579" s="18">
        <f>'Sampling Data'!L579</f>
        <v>0</v>
      </c>
      <c r="N579" s="18">
        <f>'Sampling Data'!M579</f>
        <v>0</v>
      </c>
      <c r="O579" s="17">
        <f>'Sampling Data'!N579</f>
        <v>1</v>
      </c>
      <c r="P579" s="17">
        <f>'Sampling Data'!O579</f>
        <v>31</v>
      </c>
      <c r="Q579" s="17">
        <f>'Sampling Data'!P579</f>
        <v>373</v>
      </c>
      <c r="R579" s="17">
        <f>'Sampling Data'!AJ579</f>
        <v>0</v>
      </c>
      <c r="S579" s="111"/>
      <c r="T579" s="111"/>
      <c r="U579" s="112"/>
      <c r="V579" s="112"/>
      <c r="W579" s="111"/>
      <c r="X579" s="111"/>
      <c r="Y579" s="111"/>
      <c r="Z579" s="111"/>
      <c r="AA579" s="14"/>
      <c r="AB579" s="14"/>
      <c r="AC579" s="14"/>
      <c r="AD579" s="14"/>
      <c r="AE579" s="113" t="str">
        <f>IF(NOT(ISBLANK(Audit[[#This Row],[Audit Winning Candidate]])), Audit[[#This Row],[Audit Winning Candidate]]-Audit[[#This Row],[Winning Candidate]], "")</f>
        <v/>
      </c>
      <c r="AF579" s="17" t="str">
        <f>IF(NOT(ISBLANK(Audit[[#This Row],[Audit Losing Candidate]])), Audit[[#This Row],[Audit Losing Candidate]]-Audit[[#This Row],[Losing Candidate]], "")</f>
        <v/>
      </c>
      <c r="AG579" s="17" t="str">
        <f>IF(NOT(ISBLANK(Audit[[#This Row],[Audit Candidate 3]])), Audit[[#This Row],[Audit Candidate 3]]-Audit[[#This Row],[Candidate 3]], "")</f>
        <v/>
      </c>
      <c r="AH579" s="17" t="str">
        <f>IF(NOT(ISBLANK(Audit[[#This Row],[Audit Candidate 4]])),Audit[[#This Row],[Audit Candidate 4]]-Audit[[#This Row],[Candidate 4]], "")</f>
        <v/>
      </c>
      <c r="AI579" s="17" t="str">
        <f>IF(NOT(ISBLANK(Audit[[#This Row],[Audit Candidate 5]])), Audit[[#This Row],[Audit Candidate 5]]-Audit[[#This Row],[Candidate 5]], "")</f>
        <v/>
      </c>
      <c r="AJ579" s="17" t="str">
        <f>IF(NOT(ISBLANK(Audit[[#This Row],[Audit Candidate 6]])), Audit[[#This Row],[Audit Candidate 6]]-Audit[[#This Row],[Candidate 6]], "")</f>
        <v/>
      </c>
      <c r="AK579" s="17" t="str">
        <f>IF(NOT(ISBLANK(Audit[[#This Row],[Audit Candidate 7]])), Audit[[#This Row],[Audit Candidate 7]]-Audit[[#This Row],[Candidate 7]], "")</f>
        <v/>
      </c>
      <c r="AL579" s="17" t="str">
        <f>IF(NOT(ISBLANK(Audit[[#This Row],[Audit Candidate 8]])), Audit[[#This Row],[Audit Candidate 8]]-Audit[[#This Row],[Candidate 8]], "")</f>
        <v/>
      </c>
      <c r="AM579" s="17" t="str">
        <f>IF(NOT(ISBLANK(Audit[[#This Row],[Audit Candidate 9]])), Audit[[#This Row],[Audit Candidate 9]]-Audit[[#This Row],[Candidate 9]], "")</f>
        <v/>
      </c>
      <c r="AN579" s="17" t="str">
        <f>IF(NOT(ISBLANK(Audit[[#This Row],[Audit Candidate 10]])), Audit[[#This Row],[Audit Candidate 10]]-Audit[[#This Row],[Candidate 10]], "")</f>
        <v/>
      </c>
      <c r="AO579" s="17" t="str">
        <f>IF(NOT(ISBLANK(Audit[[#This Row],[Audit Candidate 11]])), Audit[[#This Row],[Audit Candidate 11]]-Audit[[#This Row],[Candidate 11]], "")</f>
        <v/>
      </c>
      <c r="AP579" s="17" t="str">
        <f>IF(NOT(ISBLANK(Audit[[#This Row],[Audit Candidate 12]])), Audit[[#This Row],[Audit Candidate 12]]-Audit[[#This Row],[Candidate 12]], "")</f>
        <v/>
      </c>
      <c r="AQ579" s="17">
        <f>SUMIF(Audit[[#This Row],[Difference Winner]:[Difference Candidate 12]], "&gt;0")</f>
        <v>0</v>
      </c>
      <c r="AR579" s="17">
        <f>SUM(Audit[[#This Row],[Difference Winner]:[Difference Candidate 12]])</f>
        <v>0</v>
      </c>
      <c r="AS579" s="17">
        <f>IF(Audit[[#This Row],[Times p Drawn - With Replacement]]&gt;0, IF(Audit[[#This Row],[Canceled Differences]]&lt;0, Audit[[#This Row],[Max Differences]]+ABS(Audit[[#This Row],[Canceled Differences]]), Audit[[#This Row],[Max Differences]]), 0)</f>
        <v>0</v>
      </c>
      <c r="AT579" s="17">
        <f>'Sampling Data'!AB579</f>
        <v>1.4938041079612968E-2</v>
      </c>
      <c r="AU579" s="17">
        <f>IF(
      SUM(Audit[[#This Row],[Audit Losing Candidate]:[Audit Candidate 12]])
      &lt;&gt;0,
      (Audit[[#This Row],[Winning Candidate]]-Audit[[#This Row],[Losing Candidate]]-(Audit[[#This Row],[Audit Winning Candidate]]-Audit[[#This Row],[Audit Losing Candidate]]))/(Audit[[#Totals],[Winning Candidate]]-Audit[[#Totals],[Losing Candidate]]),
      0
)</f>
        <v>0</v>
      </c>
      <c r="AV5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9" s="17">
        <f>IF(Audit[[#This Row],[Max Relative Error (ep)]] = 0, 0, Audit[[#This Row],[Max Relative Error (ep)]]/Audit[[#This Row],[Error Bound (up) - Max. possible relative overstatement]])</f>
        <v>0</v>
      </c>
      <c r="BH5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79" s="17">
        <f t="shared" si="9"/>
        <v>1</v>
      </c>
      <c r="BJ579" s="17">
        <f>PRODUCT($BI$5:BI579)</f>
        <v>0.37139254595499177</v>
      </c>
      <c r="BK579" s="19">
        <f>1 - Audit[[#This Row],[K-M P Value]]</f>
        <v>0.62860745404500817</v>
      </c>
      <c r="BL579" s="17" t="str">
        <f>IF(Audit[[#This Row],[K-M P Value]]&gt;1-'General Info'!$B$12,"Continue", "Stop")</f>
        <v>Continue</v>
      </c>
      <c r="BM579" s="22" t="b">
        <f>IF(Audit[[#This Row],[Status - Continue or stop audit]] = "Continue", TRUE, IF(BL578 = "Continue", TRUE, FALSE))</f>
        <v>1</v>
      </c>
      <c r="BN579" s="22"/>
    </row>
    <row r="580" spans="1:66" ht="15" hidden="1" customHeight="1" x14ac:dyDescent="0.35">
      <c r="A580" s="17" t="str">
        <f>'Sampling Data'!AI580</f>
        <v/>
      </c>
      <c r="B580" s="17" t="str">
        <f>'Sampling Data'!A580</f>
        <v>0201 CIN 2-A   (ED)</v>
      </c>
      <c r="C580" s="17">
        <f>'Sampling Data'!B580</f>
        <v>237</v>
      </c>
      <c r="D580" s="17">
        <f>'Sampling Data'!C580</f>
        <v>111</v>
      </c>
      <c r="E580" s="18">
        <f>'Sampling Data'!D580</f>
        <v>0</v>
      </c>
      <c r="F580" s="18">
        <f>'Sampling Data'!E580</f>
        <v>0</v>
      </c>
      <c r="G580" s="18">
        <f>'Sampling Data'!F580</f>
        <v>0</v>
      </c>
      <c r="H580" s="18">
        <f>'Sampling Data'!G580</f>
        <v>0</v>
      </c>
      <c r="I580" s="18">
        <f>'Sampling Data'!H580</f>
        <v>0</v>
      </c>
      <c r="J580" s="18">
        <f>'Sampling Data'!I580</f>
        <v>0</v>
      </c>
      <c r="K580" s="18">
        <f>'Sampling Data'!J580</f>
        <v>0</v>
      </c>
      <c r="L580" s="18">
        <f>'Sampling Data'!K580</f>
        <v>0</v>
      </c>
      <c r="M580" s="18">
        <f>'Sampling Data'!L580</f>
        <v>0</v>
      </c>
      <c r="N580" s="18">
        <f>'Sampling Data'!M580</f>
        <v>0</v>
      </c>
      <c r="O580" s="17">
        <f>'Sampling Data'!N580</f>
        <v>0</v>
      </c>
      <c r="P580" s="17">
        <f>'Sampling Data'!O580</f>
        <v>40</v>
      </c>
      <c r="Q580" s="17">
        <f>'Sampling Data'!P580</f>
        <v>388</v>
      </c>
      <c r="R580" s="17">
        <f>'Sampling Data'!AJ580</f>
        <v>0</v>
      </c>
      <c r="S580" s="111"/>
      <c r="T580" s="111"/>
      <c r="U580" s="112"/>
      <c r="V580" s="112"/>
      <c r="W580" s="111"/>
      <c r="X580" s="111"/>
      <c r="Y580" s="111"/>
      <c r="Z580" s="111"/>
      <c r="AA580" s="14"/>
      <c r="AB580" s="14"/>
      <c r="AC580" s="14"/>
      <c r="AD580" s="14"/>
      <c r="AE580" s="113" t="str">
        <f>IF(NOT(ISBLANK(Audit[[#This Row],[Audit Winning Candidate]])), Audit[[#This Row],[Audit Winning Candidate]]-Audit[[#This Row],[Winning Candidate]], "")</f>
        <v/>
      </c>
      <c r="AF580" s="17" t="str">
        <f>IF(NOT(ISBLANK(Audit[[#This Row],[Audit Losing Candidate]])), Audit[[#This Row],[Audit Losing Candidate]]-Audit[[#This Row],[Losing Candidate]], "")</f>
        <v/>
      </c>
      <c r="AG580" s="17" t="str">
        <f>IF(NOT(ISBLANK(Audit[[#This Row],[Audit Candidate 3]])), Audit[[#This Row],[Audit Candidate 3]]-Audit[[#This Row],[Candidate 3]], "")</f>
        <v/>
      </c>
      <c r="AH580" s="17" t="str">
        <f>IF(NOT(ISBLANK(Audit[[#This Row],[Audit Candidate 4]])),Audit[[#This Row],[Audit Candidate 4]]-Audit[[#This Row],[Candidate 4]], "")</f>
        <v/>
      </c>
      <c r="AI580" s="17" t="str">
        <f>IF(NOT(ISBLANK(Audit[[#This Row],[Audit Candidate 5]])), Audit[[#This Row],[Audit Candidate 5]]-Audit[[#This Row],[Candidate 5]], "")</f>
        <v/>
      </c>
      <c r="AJ580" s="17" t="str">
        <f>IF(NOT(ISBLANK(Audit[[#This Row],[Audit Candidate 6]])), Audit[[#This Row],[Audit Candidate 6]]-Audit[[#This Row],[Candidate 6]], "")</f>
        <v/>
      </c>
      <c r="AK580" s="17" t="str">
        <f>IF(NOT(ISBLANK(Audit[[#This Row],[Audit Candidate 7]])), Audit[[#This Row],[Audit Candidate 7]]-Audit[[#This Row],[Candidate 7]], "")</f>
        <v/>
      </c>
      <c r="AL580" s="17" t="str">
        <f>IF(NOT(ISBLANK(Audit[[#This Row],[Audit Candidate 8]])), Audit[[#This Row],[Audit Candidate 8]]-Audit[[#This Row],[Candidate 8]], "")</f>
        <v/>
      </c>
      <c r="AM580" s="17" t="str">
        <f>IF(NOT(ISBLANK(Audit[[#This Row],[Audit Candidate 9]])), Audit[[#This Row],[Audit Candidate 9]]-Audit[[#This Row],[Candidate 9]], "")</f>
        <v/>
      </c>
      <c r="AN580" s="17" t="str">
        <f>IF(NOT(ISBLANK(Audit[[#This Row],[Audit Candidate 10]])), Audit[[#This Row],[Audit Candidate 10]]-Audit[[#This Row],[Candidate 10]], "")</f>
        <v/>
      </c>
      <c r="AO580" s="17" t="str">
        <f>IF(NOT(ISBLANK(Audit[[#This Row],[Audit Candidate 11]])), Audit[[#This Row],[Audit Candidate 11]]-Audit[[#This Row],[Candidate 11]], "")</f>
        <v/>
      </c>
      <c r="AP580" s="17" t="str">
        <f>IF(NOT(ISBLANK(Audit[[#This Row],[Audit Candidate 12]])), Audit[[#This Row],[Audit Candidate 12]]-Audit[[#This Row],[Candidate 12]], "")</f>
        <v/>
      </c>
      <c r="AQ580" s="17">
        <f>SUMIF(Audit[[#This Row],[Difference Winner]:[Difference Candidate 12]], "&gt;0")</f>
        <v>0</v>
      </c>
      <c r="AR580" s="17">
        <f>SUM(Audit[[#This Row],[Difference Winner]:[Difference Candidate 12]])</f>
        <v>0</v>
      </c>
      <c r="AS580" s="17">
        <f>IF(Audit[[#This Row],[Times p Drawn - With Replacement]]&gt;0, IF(Audit[[#This Row],[Canceled Differences]]&lt;0, Audit[[#This Row],[Max Differences]]+ABS(Audit[[#This Row],[Canceled Differences]]), Audit[[#This Row],[Max Differences]]), 0)</f>
        <v>0</v>
      </c>
      <c r="AT580" s="17">
        <f>'Sampling Data'!AB580</f>
        <v>2.1812934985571211E-2</v>
      </c>
      <c r="AU580" s="17">
        <f>IF(
      SUM(Audit[[#This Row],[Audit Losing Candidate]:[Audit Candidate 12]])
      &lt;&gt;0,
      (Audit[[#This Row],[Winning Candidate]]-Audit[[#This Row],[Losing Candidate]]-(Audit[[#This Row],[Audit Winning Candidate]]-Audit[[#This Row],[Audit Losing Candidate]]))/(Audit[[#Totals],[Winning Candidate]]-Audit[[#Totals],[Losing Candidate]]),
      0
)</f>
        <v>0</v>
      </c>
      <c r="AV5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0" s="17">
        <f>IF(Audit[[#This Row],[Max Relative Error (ep)]] = 0, 0, Audit[[#This Row],[Max Relative Error (ep)]]/Audit[[#This Row],[Error Bound (up) - Max. possible relative overstatement]])</f>
        <v>0</v>
      </c>
      <c r="BH5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80" s="17">
        <f t="shared" si="9"/>
        <v>1</v>
      </c>
      <c r="BJ580" s="17">
        <f>PRODUCT($BI$5:BI580)</f>
        <v>0.37139254595499177</v>
      </c>
      <c r="BK580" s="19">
        <f>1 - Audit[[#This Row],[K-M P Value]]</f>
        <v>0.62860745404500817</v>
      </c>
      <c r="BL580" s="17" t="str">
        <f>IF(Audit[[#This Row],[K-M P Value]]&gt;1-'General Info'!$B$12,"Continue", "Stop")</f>
        <v>Continue</v>
      </c>
      <c r="BM580" s="22" t="b">
        <f>IF(Audit[[#This Row],[Status - Continue or stop audit]] = "Continue", TRUE, IF(BL579 = "Continue", TRUE, FALSE))</f>
        <v>1</v>
      </c>
      <c r="BN580" s="22"/>
    </row>
    <row r="581" spans="1:66" ht="15" hidden="1" customHeight="1" x14ac:dyDescent="0.35">
      <c r="A581" s="17" t="str">
        <f>'Sampling Data'!AI581</f>
        <v/>
      </c>
      <c r="B581" s="17" t="str">
        <f>'Sampling Data'!A581</f>
        <v>0202 CIN 2-B   (ED)</v>
      </c>
      <c r="C581" s="17">
        <f>'Sampling Data'!B581</f>
        <v>406</v>
      </c>
      <c r="D581" s="17">
        <f>'Sampling Data'!C581</f>
        <v>114</v>
      </c>
      <c r="E581" s="18">
        <f>'Sampling Data'!D581</f>
        <v>0</v>
      </c>
      <c r="F581" s="18">
        <f>'Sampling Data'!E581</f>
        <v>0</v>
      </c>
      <c r="G581" s="18">
        <f>'Sampling Data'!F581</f>
        <v>0</v>
      </c>
      <c r="H581" s="18">
        <f>'Sampling Data'!G581</f>
        <v>0</v>
      </c>
      <c r="I581" s="18">
        <f>'Sampling Data'!H581</f>
        <v>0</v>
      </c>
      <c r="J581" s="18">
        <f>'Sampling Data'!I581</f>
        <v>0</v>
      </c>
      <c r="K581" s="18">
        <f>'Sampling Data'!J581</f>
        <v>0</v>
      </c>
      <c r="L581" s="18">
        <f>'Sampling Data'!K581</f>
        <v>0</v>
      </c>
      <c r="M581" s="18">
        <f>'Sampling Data'!L581</f>
        <v>0</v>
      </c>
      <c r="N581" s="18">
        <f>'Sampling Data'!M581</f>
        <v>0</v>
      </c>
      <c r="O581" s="17">
        <f>'Sampling Data'!N581</f>
        <v>0</v>
      </c>
      <c r="P581" s="17">
        <f>'Sampling Data'!O581</f>
        <v>34</v>
      </c>
      <c r="Q581" s="17">
        <f>'Sampling Data'!P581</f>
        <v>554</v>
      </c>
      <c r="R581" s="17">
        <f>'Sampling Data'!AJ581</f>
        <v>0</v>
      </c>
      <c r="S581" s="111"/>
      <c r="T581" s="111"/>
      <c r="U581" s="112"/>
      <c r="V581" s="112"/>
      <c r="W581" s="111"/>
      <c r="X581" s="111"/>
      <c r="Y581" s="111"/>
      <c r="Z581" s="111"/>
      <c r="AA581" s="14"/>
      <c r="AB581" s="14"/>
      <c r="AC581" s="14"/>
      <c r="AD581" s="14"/>
      <c r="AE581" s="113" t="str">
        <f>IF(NOT(ISBLANK(Audit[[#This Row],[Audit Winning Candidate]])), Audit[[#This Row],[Audit Winning Candidate]]-Audit[[#This Row],[Winning Candidate]], "")</f>
        <v/>
      </c>
      <c r="AF581" s="17" t="str">
        <f>IF(NOT(ISBLANK(Audit[[#This Row],[Audit Losing Candidate]])), Audit[[#This Row],[Audit Losing Candidate]]-Audit[[#This Row],[Losing Candidate]], "")</f>
        <v/>
      </c>
      <c r="AG581" s="17" t="str">
        <f>IF(NOT(ISBLANK(Audit[[#This Row],[Audit Candidate 3]])), Audit[[#This Row],[Audit Candidate 3]]-Audit[[#This Row],[Candidate 3]], "")</f>
        <v/>
      </c>
      <c r="AH581" s="17" t="str">
        <f>IF(NOT(ISBLANK(Audit[[#This Row],[Audit Candidate 4]])),Audit[[#This Row],[Audit Candidate 4]]-Audit[[#This Row],[Candidate 4]], "")</f>
        <v/>
      </c>
      <c r="AI581" s="17" t="str">
        <f>IF(NOT(ISBLANK(Audit[[#This Row],[Audit Candidate 5]])), Audit[[#This Row],[Audit Candidate 5]]-Audit[[#This Row],[Candidate 5]], "")</f>
        <v/>
      </c>
      <c r="AJ581" s="17" t="str">
        <f>IF(NOT(ISBLANK(Audit[[#This Row],[Audit Candidate 6]])), Audit[[#This Row],[Audit Candidate 6]]-Audit[[#This Row],[Candidate 6]], "")</f>
        <v/>
      </c>
      <c r="AK581" s="17" t="str">
        <f>IF(NOT(ISBLANK(Audit[[#This Row],[Audit Candidate 7]])), Audit[[#This Row],[Audit Candidate 7]]-Audit[[#This Row],[Candidate 7]], "")</f>
        <v/>
      </c>
      <c r="AL581" s="17" t="str">
        <f>IF(NOT(ISBLANK(Audit[[#This Row],[Audit Candidate 8]])), Audit[[#This Row],[Audit Candidate 8]]-Audit[[#This Row],[Candidate 8]], "")</f>
        <v/>
      </c>
      <c r="AM581" s="17" t="str">
        <f>IF(NOT(ISBLANK(Audit[[#This Row],[Audit Candidate 9]])), Audit[[#This Row],[Audit Candidate 9]]-Audit[[#This Row],[Candidate 9]], "")</f>
        <v/>
      </c>
      <c r="AN581" s="17" t="str">
        <f>IF(NOT(ISBLANK(Audit[[#This Row],[Audit Candidate 10]])), Audit[[#This Row],[Audit Candidate 10]]-Audit[[#This Row],[Candidate 10]], "")</f>
        <v/>
      </c>
      <c r="AO581" s="17" t="str">
        <f>IF(NOT(ISBLANK(Audit[[#This Row],[Audit Candidate 11]])), Audit[[#This Row],[Audit Candidate 11]]-Audit[[#This Row],[Candidate 11]], "")</f>
        <v/>
      </c>
      <c r="AP581" s="17" t="str">
        <f>IF(NOT(ISBLANK(Audit[[#This Row],[Audit Candidate 12]])), Audit[[#This Row],[Audit Candidate 12]]-Audit[[#This Row],[Candidate 12]], "")</f>
        <v/>
      </c>
      <c r="AQ581" s="17">
        <f>SUMIF(Audit[[#This Row],[Difference Winner]:[Difference Candidate 12]], "&gt;0")</f>
        <v>0</v>
      </c>
      <c r="AR581" s="17">
        <f>SUM(Audit[[#This Row],[Difference Winner]:[Difference Candidate 12]])</f>
        <v>0</v>
      </c>
      <c r="AS581" s="17">
        <f>IF(Audit[[#This Row],[Times p Drawn - With Replacement]]&gt;0, IF(Audit[[#This Row],[Canceled Differences]]&lt;0, Audit[[#This Row],[Max Differences]]+ABS(Audit[[#This Row],[Canceled Differences]]), Audit[[#This Row],[Max Differences]]), 0)</f>
        <v>0</v>
      </c>
      <c r="AT581" s="17">
        <f>'Sampling Data'!AB581</f>
        <v>3.5902223731115263E-2</v>
      </c>
      <c r="AU581" s="17">
        <f>IF(
      SUM(Audit[[#This Row],[Audit Losing Candidate]:[Audit Candidate 12]])
      &lt;&gt;0,
      (Audit[[#This Row],[Winning Candidate]]-Audit[[#This Row],[Losing Candidate]]-(Audit[[#This Row],[Audit Winning Candidate]]-Audit[[#This Row],[Audit Losing Candidate]]))/(Audit[[#Totals],[Winning Candidate]]-Audit[[#Totals],[Losing Candidate]]),
      0
)</f>
        <v>0</v>
      </c>
      <c r="AV5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1" s="17">
        <f>IF(Audit[[#This Row],[Max Relative Error (ep)]] = 0, 0, Audit[[#This Row],[Max Relative Error (ep)]]/Audit[[#This Row],[Error Bound (up) - Max. possible relative overstatement]])</f>
        <v>0</v>
      </c>
      <c r="BH5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81" s="17">
        <f t="shared" si="9"/>
        <v>1</v>
      </c>
      <c r="BJ581" s="17">
        <f>PRODUCT($BI$5:BI581)</f>
        <v>0.37139254595499177</v>
      </c>
      <c r="BK581" s="19">
        <f>1 - Audit[[#This Row],[K-M P Value]]</f>
        <v>0.62860745404500817</v>
      </c>
      <c r="BL581" s="17" t="str">
        <f>IF(Audit[[#This Row],[K-M P Value]]&gt;1-'General Info'!$B$12,"Continue", "Stop")</f>
        <v>Continue</v>
      </c>
      <c r="BM581" s="22" t="b">
        <f>IF(Audit[[#This Row],[Status - Continue or stop audit]] = "Continue", TRUE, IF(BL580 = "Continue", TRUE, FALSE))</f>
        <v>1</v>
      </c>
      <c r="BN581" s="22"/>
    </row>
    <row r="582" spans="1:66" ht="15" hidden="1" customHeight="1" x14ac:dyDescent="0.35">
      <c r="A582" s="17" t="str">
        <f>'Sampling Data'!AI582</f>
        <v/>
      </c>
      <c r="B582" s="17" t="str">
        <f>'Sampling Data'!A582</f>
        <v>0203 CIN 2-C   (ED)</v>
      </c>
      <c r="C582" s="17">
        <f>'Sampling Data'!B582</f>
        <v>223</v>
      </c>
      <c r="D582" s="17">
        <f>'Sampling Data'!C582</f>
        <v>146</v>
      </c>
      <c r="E582" s="18">
        <f>'Sampling Data'!D582</f>
        <v>0</v>
      </c>
      <c r="F582" s="18">
        <f>'Sampling Data'!E582</f>
        <v>0</v>
      </c>
      <c r="G582" s="18">
        <f>'Sampling Data'!F582</f>
        <v>0</v>
      </c>
      <c r="H582" s="18">
        <f>'Sampling Data'!G582</f>
        <v>0</v>
      </c>
      <c r="I582" s="18">
        <f>'Sampling Data'!H582</f>
        <v>0</v>
      </c>
      <c r="J582" s="18">
        <f>'Sampling Data'!I582</f>
        <v>0</v>
      </c>
      <c r="K582" s="18">
        <f>'Sampling Data'!J582</f>
        <v>0</v>
      </c>
      <c r="L582" s="18">
        <f>'Sampling Data'!K582</f>
        <v>0</v>
      </c>
      <c r="M582" s="18">
        <f>'Sampling Data'!L582</f>
        <v>0</v>
      </c>
      <c r="N582" s="18">
        <f>'Sampling Data'!M582</f>
        <v>0</v>
      </c>
      <c r="O582" s="17">
        <f>'Sampling Data'!N582</f>
        <v>1</v>
      </c>
      <c r="P582" s="17">
        <f>'Sampling Data'!O582</f>
        <v>38</v>
      </c>
      <c r="Q582" s="17">
        <f>'Sampling Data'!P582</f>
        <v>408</v>
      </c>
      <c r="R582" s="17">
        <f>'Sampling Data'!AJ582</f>
        <v>0</v>
      </c>
      <c r="S582" s="111"/>
      <c r="T582" s="111"/>
      <c r="U582" s="112"/>
      <c r="V582" s="112"/>
      <c r="W582" s="111"/>
      <c r="X582" s="111"/>
      <c r="Y582" s="111"/>
      <c r="Z582" s="111"/>
      <c r="AA582" s="14"/>
      <c r="AB582" s="14"/>
      <c r="AC582" s="14"/>
      <c r="AD582" s="14"/>
      <c r="AE582" s="113" t="str">
        <f>IF(NOT(ISBLANK(Audit[[#This Row],[Audit Winning Candidate]])), Audit[[#This Row],[Audit Winning Candidate]]-Audit[[#This Row],[Winning Candidate]], "")</f>
        <v/>
      </c>
      <c r="AF582" s="17" t="str">
        <f>IF(NOT(ISBLANK(Audit[[#This Row],[Audit Losing Candidate]])), Audit[[#This Row],[Audit Losing Candidate]]-Audit[[#This Row],[Losing Candidate]], "")</f>
        <v/>
      </c>
      <c r="AG582" s="17" t="str">
        <f>IF(NOT(ISBLANK(Audit[[#This Row],[Audit Candidate 3]])), Audit[[#This Row],[Audit Candidate 3]]-Audit[[#This Row],[Candidate 3]], "")</f>
        <v/>
      </c>
      <c r="AH582" s="17" t="str">
        <f>IF(NOT(ISBLANK(Audit[[#This Row],[Audit Candidate 4]])),Audit[[#This Row],[Audit Candidate 4]]-Audit[[#This Row],[Candidate 4]], "")</f>
        <v/>
      </c>
      <c r="AI582" s="17" t="str">
        <f>IF(NOT(ISBLANK(Audit[[#This Row],[Audit Candidate 5]])), Audit[[#This Row],[Audit Candidate 5]]-Audit[[#This Row],[Candidate 5]], "")</f>
        <v/>
      </c>
      <c r="AJ582" s="17" t="str">
        <f>IF(NOT(ISBLANK(Audit[[#This Row],[Audit Candidate 6]])), Audit[[#This Row],[Audit Candidate 6]]-Audit[[#This Row],[Candidate 6]], "")</f>
        <v/>
      </c>
      <c r="AK582" s="17" t="str">
        <f>IF(NOT(ISBLANK(Audit[[#This Row],[Audit Candidate 7]])), Audit[[#This Row],[Audit Candidate 7]]-Audit[[#This Row],[Candidate 7]], "")</f>
        <v/>
      </c>
      <c r="AL582" s="17" t="str">
        <f>IF(NOT(ISBLANK(Audit[[#This Row],[Audit Candidate 8]])), Audit[[#This Row],[Audit Candidate 8]]-Audit[[#This Row],[Candidate 8]], "")</f>
        <v/>
      </c>
      <c r="AM582" s="17" t="str">
        <f>IF(NOT(ISBLANK(Audit[[#This Row],[Audit Candidate 9]])), Audit[[#This Row],[Audit Candidate 9]]-Audit[[#This Row],[Candidate 9]], "")</f>
        <v/>
      </c>
      <c r="AN582" s="17" t="str">
        <f>IF(NOT(ISBLANK(Audit[[#This Row],[Audit Candidate 10]])), Audit[[#This Row],[Audit Candidate 10]]-Audit[[#This Row],[Candidate 10]], "")</f>
        <v/>
      </c>
      <c r="AO582" s="17" t="str">
        <f>IF(NOT(ISBLANK(Audit[[#This Row],[Audit Candidate 11]])), Audit[[#This Row],[Audit Candidate 11]]-Audit[[#This Row],[Candidate 11]], "")</f>
        <v/>
      </c>
      <c r="AP582" s="17" t="str">
        <f>IF(NOT(ISBLANK(Audit[[#This Row],[Audit Candidate 12]])), Audit[[#This Row],[Audit Candidate 12]]-Audit[[#This Row],[Candidate 12]], "")</f>
        <v/>
      </c>
      <c r="AQ582" s="17">
        <f>SUMIF(Audit[[#This Row],[Difference Winner]:[Difference Candidate 12]], "&gt;0")</f>
        <v>0</v>
      </c>
      <c r="AR582" s="17">
        <f>SUM(Audit[[#This Row],[Difference Winner]:[Difference Candidate 12]])</f>
        <v>0</v>
      </c>
      <c r="AS582" s="17">
        <f>IF(Audit[[#This Row],[Times p Drawn - With Replacement]]&gt;0, IF(Audit[[#This Row],[Canceled Differences]]&lt;0, Audit[[#This Row],[Max Differences]]+ABS(Audit[[#This Row],[Canceled Differences]]), Audit[[#This Row],[Max Differences]]), 0)</f>
        <v>0</v>
      </c>
      <c r="AT582" s="17">
        <f>'Sampling Data'!AB582</f>
        <v>2.0582244101171279E-2</v>
      </c>
      <c r="AU582" s="17">
        <f>IF(
      SUM(Audit[[#This Row],[Audit Losing Candidate]:[Audit Candidate 12]])
      &lt;&gt;0,
      (Audit[[#This Row],[Winning Candidate]]-Audit[[#This Row],[Losing Candidate]]-(Audit[[#This Row],[Audit Winning Candidate]]-Audit[[#This Row],[Audit Losing Candidate]]))/(Audit[[#Totals],[Winning Candidate]]-Audit[[#Totals],[Losing Candidate]]),
      0
)</f>
        <v>0</v>
      </c>
      <c r="AV5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2" s="17">
        <f>IF(Audit[[#This Row],[Max Relative Error (ep)]] = 0, 0, Audit[[#This Row],[Max Relative Error (ep)]]/Audit[[#This Row],[Error Bound (up) - Max. possible relative overstatement]])</f>
        <v>0</v>
      </c>
      <c r="BH5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82" s="17">
        <f t="shared" si="9"/>
        <v>1</v>
      </c>
      <c r="BJ582" s="17">
        <f>PRODUCT($BI$5:BI582)</f>
        <v>0.37139254595499177</v>
      </c>
      <c r="BK582" s="19">
        <f>1 - Audit[[#This Row],[K-M P Value]]</f>
        <v>0.62860745404500817</v>
      </c>
      <c r="BL582" s="17" t="str">
        <f>IF(Audit[[#This Row],[K-M P Value]]&gt;1-'General Info'!$B$12,"Continue", "Stop")</f>
        <v>Continue</v>
      </c>
      <c r="BM582" s="22" t="b">
        <f>IF(Audit[[#This Row],[Status - Continue or stop audit]] = "Continue", TRUE, IF(BL581 = "Continue", TRUE, FALSE))</f>
        <v>1</v>
      </c>
      <c r="BN582" s="22"/>
    </row>
    <row r="583" spans="1:66" ht="15" hidden="1" customHeight="1" x14ac:dyDescent="0.35">
      <c r="A583" s="17" t="str">
        <f>'Sampling Data'!AI583</f>
        <v/>
      </c>
      <c r="B583" s="17" t="str">
        <f>'Sampling Data'!A583</f>
        <v>0204 CIN 2-D   (ED)</v>
      </c>
      <c r="C583" s="17">
        <f>'Sampling Data'!B583</f>
        <v>327</v>
      </c>
      <c r="D583" s="17">
        <f>'Sampling Data'!C583</f>
        <v>161</v>
      </c>
      <c r="E583" s="18">
        <f>'Sampling Data'!D583</f>
        <v>0</v>
      </c>
      <c r="F583" s="18">
        <f>'Sampling Data'!E583</f>
        <v>0</v>
      </c>
      <c r="G583" s="18">
        <f>'Sampling Data'!F583</f>
        <v>0</v>
      </c>
      <c r="H583" s="18">
        <f>'Sampling Data'!G583</f>
        <v>0</v>
      </c>
      <c r="I583" s="18">
        <f>'Sampling Data'!H583</f>
        <v>0</v>
      </c>
      <c r="J583" s="18">
        <f>'Sampling Data'!I583</f>
        <v>0</v>
      </c>
      <c r="K583" s="18">
        <f>'Sampling Data'!J583</f>
        <v>0</v>
      </c>
      <c r="L583" s="18">
        <f>'Sampling Data'!K583</f>
        <v>0</v>
      </c>
      <c r="M583" s="18">
        <f>'Sampling Data'!L583</f>
        <v>0</v>
      </c>
      <c r="N583" s="18">
        <f>'Sampling Data'!M583</f>
        <v>0</v>
      </c>
      <c r="O583" s="17">
        <f>'Sampling Data'!N583</f>
        <v>0</v>
      </c>
      <c r="P583" s="17">
        <f>'Sampling Data'!O583</f>
        <v>46</v>
      </c>
      <c r="Q583" s="17">
        <f>'Sampling Data'!P583</f>
        <v>534</v>
      </c>
      <c r="R583" s="17">
        <f>'Sampling Data'!AJ583</f>
        <v>0</v>
      </c>
      <c r="S583" s="111"/>
      <c r="T583" s="111"/>
      <c r="U583" s="112"/>
      <c r="V583" s="112"/>
      <c r="W583" s="111"/>
      <c r="X583" s="111"/>
      <c r="Y583" s="111"/>
      <c r="Z583" s="111"/>
      <c r="AA583" s="14"/>
      <c r="AB583" s="14"/>
      <c r="AC583" s="14"/>
      <c r="AD583" s="14"/>
      <c r="AE583" s="113" t="str">
        <f>IF(NOT(ISBLANK(Audit[[#This Row],[Audit Winning Candidate]])), Audit[[#This Row],[Audit Winning Candidate]]-Audit[[#This Row],[Winning Candidate]], "")</f>
        <v/>
      </c>
      <c r="AF583" s="17" t="str">
        <f>IF(NOT(ISBLANK(Audit[[#This Row],[Audit Losing Candidate]])), Audit[[#This Row],[Audit Losing Candidate]]-Audit[[#This Row],[Losing Candidate]], "")</f>
        <v/>
      </c>
      <c r="AG583" s="17" t="str">
        <f>IF(NOT(ISBLANK(Audit[[#This Row],[Audit Candidate 3]])), Audit[[#This Row],[Audit Candidate 3]]-Audit[[#This Row],[Candidate 3]], "")</f>
        <v/>
      </c>
      <c r="AH583" s="17" t="str">
        <f>IF(NOT(ISBLANK(Audit[[#This Row],[Audit Candidate 4]])),Audit[[#This Row],[Audit Candidate 4]]-Audit[[#This Row],[Candidate 4]], "")</f>
        <v/>
      </c>
      <c r="AI583" s="17" t="str">
        <f>IF(NOT(ISBLANK(Audit[[#This Row],[Audit Candidate 5]])), Audit[[#This Row],[Audit Candidate 5]]-Audit[[#This Row],[Candidate 5]], "")</f>
        <v/>
      </c>
      <c r="AJ583" s="17" t="str">
        <f>IF(NOT(ISBLANK(Audit[[#This Row],[Audit Candidate 6]])), Audit[[#This Row],[Audit Candidate 6]]-Audit[[#This Row],[Candidate 6]], "")</f>
        <v/>
      </c>
      <c r="AK583" s="17" t="str">
        <f>IF(NOT(ISBLANK(Audit[[#This Row],[Audit Candidate 7]])), Audit[[#This Row],[Audit Candidate 7]]-Audit[[#This Row],[Candidate 7]], "")</f>
        <v/>
      </c>
      <c r="AL583" s="17" t="str">
        <f>IF(NOT(ISBLANK(Audit[[#This Row],[Audit Candidate 8]])), Audit[[#This Row],[Audit Candidate 8]]-Audit[[#This Row],[Candidate 8]], "")</f>
        <v/>
      </c>
      <c r="AM583" s="17" t="str">
        <f>IF(NOT(ISBLANK(Audit[[#This Row],[Audit Candidate 9]])), Audit[[#This Row],[Audit Candidate 9]]-Audit[[#This Row],[Candidate 9]], "")</f>
        <v/>
      </c>
      <c r="AN583" s="17" t="str">
        <f>IF(NOT(ISBLANK(Audit[[#This Row],[Audit Candidate 10]])), Audit[[#This Row],[Audit Candidate 10]]-Audit[[#This Row],[Candidate 10]], "")</f>
        <v/>
      </c>
      <c r="AO583" s="17" t="str">
        <f>IF(NOT(ISBLANK(Audit[[#This Row],[Audit Candidate 11]])), Audit[[#This Row],[Audit Candidate 11]]-Audit[[#This Row],[Candidate 11]], "")</f>
        <v/>
      </c>
      <c r="AP583" s="17" t="str">
        <f>IF(NOT(ISBLANK(Audit[[#This Row],[Audit Candidate 12]])), Audit[[#This Row],[Audit Candidate 12]]-Audit[[#This Row],[Candidate 12]], "")</f>
        <v/>
      </c>
      <c r="AQ583" s="17">
        <f>SUMIF(Audit[[#This Row],[Difference Winner]:[Difference Candidate 12]], "&gt;0")</f>
        <v>0</v>
      </c>
      <c r="AR583" s="17">
        <f>SUM(Audit[[#This Row],[Difference Winner]:[Difference Candidate 12]])</f>
        <v>0</v>
      </c>
      <c r="AS583" s="17">
        <f>IF(Audit[[#This Row],[Times p Drawn - With Replacement]]&gt;0, IF(Audit[[#This Row],[Canceled Differences]]&lt;0, Audit[[#This Row],[Max Differences]]+ABS(Audit[[#This Row],[Canceled Differences]]), Audit[[#This Row],[Max Differences]]), 0)</f>
        <v>0</v>
      </c>
      <c r="AT583" s="17">
        <f>'Sampling Data'!AB583</f>
        <v>2.9706331692412154E-2</v>
      </c>
      <c r="AU583" s="17">
        <f>IF(
      SUM(Audit[[#This Row],[Audit Losing Candidate]:[Audit Candidate 12]])
      &lt;&gt;0,
      (Audit[[#This Row],[Winning Candidate]]-Audit[[#This Row],[Losing Candidate]]-(Audit[[#This Row],[Audit Winning Candidate]]-Audit[[#This Row],[Audit Losing Candidate]]))/(Audit[[#Totals],[Winning Candidate]]-Audit[[#Totals],[Losing Candidate]]),
      0
)</f>
        <v>0</v>
      </c>
      <c r="AV5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3" s="17">
        <f>IF(Audit[[#This Row],[Max Relative Error (ep)]] = 0, 0, Audit[[#This Row],[Max Relative Error (ep)]]/Audit[[#This Row],[Error Bound (up) - Max. possible relative overstatement]])</f>
        <v>0</v>
      </c>
      <c r="BH5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83" s="17">
        <f t="shared" si="9"/>
        <v>1</v>
      </c>
      <c r="BJ583" s="17">
        <f>PRODUCT($BI$5:BI583)</f>
        <v>0.37139254595499177</v>
      </c>
      <c r="BK583" s="19">
        <f>1 - Audit[[#This Row],[K-M P Value]]</f>
        <v>0.62860745404500817</v>
      </c>
      <c r="BL583" s="17" t="str">
        <f>IF(Audit[[#This Row],[K-M P Value]]&gt;1-'General Info'!$B$12,"Continue", "Stop")</f>
        <v>Continue</v>
      </c>
      <c r="BM583" s="22" t="b">
        <f>IF(Audit[[#This Row],[Status - Continue or stop audit]] = "Continue", TRUE, IF(BL582 = "Continue", TRUE, FALSE))</f>
        <v>1</v>
      </c>
      <c r="BN583" s="22"/>
    </row>
    <row r="584" spans="1:66" ht="15" hidden="1" customHeight="1" x14ac:dyDescent="0.35">
      <c r="A584" s="17" t="str">
        <f>'Sampling Data'!AI584</f>
        <v/>
      </c>
      <c r="B584" s="17" t="str">
        <f>'Sampling Data'!A584</f>
        <v>0205 CIN 2-E   (ED)</v>
      </c>
      <c r="C584" s="17">
        <f>'Sampling Data'!B584</f>
        <v>152</v>
      </c>
      <c r="D584" s="17">
        <f>'Sampling Data'!C584</f>
        <v>175</v>
      </c>
      <c r="E584" s="18">
        <f>'Sampling Data'!D584</f>
        <v>0</v>
      </c>
      <c r="F584" s="18">
        <f>'Sampling Data'!E584</f>
        <v>0</v>
      </c>
      <c r="G584" s="18">
        <f>'Sampling Data'!F584</f>
        <v>0</v>
      </c>
      <c r="H584" s="18">
        <f>'Sampling Data'!G584</f>
        <v>0</v>
      </c>
      <c r="I584" s="18">
        <f>'Sampling Data'!H584</f>
        <v>0</v>
      </c>
      <c r="J584" s="18">
        <f>'Sampling Data'!I584</f>
        <v>0</v>
      </c>
      <c r="K584" s="18">
        <f>'Sampling Data'!J584</f>
        <v>0</v>
      </c>
      <c r="L584" s="18">
        <f>'Sampling Data'!K584</f>
        <v>0</v>
      </c>
      <c r="M584" s="18">
        <f>'Sampling Data'!L584</f>
        <v>0</v>
      </c>
      <c r="N584" s="18">
        <f>'Sampling Data'!M584</f>
        <v>0</v>
      </c>
      <c r="O584" s="17">
        <f>'Sampling Data'!N584</f>
        <v>0</v>
      </c>
      <c r="P584" s="17">
        <f>'Sampling Data'!O584</f>
        <v>30</v>
      </c>
      <c r="Q584" s="17">
        <f>'Sampling Data'!P584</f>
        <v>357</v>
      </c>
      <c r="R584" s="17">
        <f>'Sampling Data'!AJ584</f>
        <v>0</v>
      </c>
      <c r="S584" s="111"/>
      <c r="T584" s="111"/>
      <c r="U584" s="112"/>
      <c r="V584" s="112"/>
      <c r="W584" s="111"/>
      <c r="X584" s="111"/>
      <c r="Y584" s="111"/>
      <c r="Z584" s="111"/>
      <c r="AA584" s="14"/>
      <c r="AB584" s="14"/>
      <c r="AC584" s="14"/>
      <c r="AD584" s="14"/>
      <c r="AE584" s="113" t="str">
        <f>IF(NOT(ISBLANK(Audit[[#This Row],[Audit Winning Candidate]])), Audit[[#This Row],[Audit Winning Candidate]]-Audit[[#This Row],[Winning Candidate]], "")</f>
        <v/>
      </c>
      <c r="AF584" s="17" t="str">
        <f>IF(NOT(ISBLANK(Audit[[#This Row],[Audit Losing Candidate]])), Audit[[#This Row],[Audit Losing Candidate]]-Audit[[#This Row],[Losing Candidate]], "")</f>
        <v/>
      </c>
      <c r="AG584" s="17" t="str">
        <f>IF(NOT(ISBLANK(Audit[[#This Row],[Audit Candidate 3]])), Audit[[#This Row],[Audit Candidate 3]]-Audit[[#This Row],[Candidate 3]], "")</f>
        <v/>
      </c>
      <c r="AH584" s="17" t="str">
        <f>IF(NOT(ISBLANK(Audit[[#This Row],[Audit Candidate 4]])),Audit[[#This Row],[Audit Candidate 4]]-Audit[[#This Row],[Candidate 4]], "")</f>
        <v/>
      </c>
      <c r="AI584" s="17" t="str">
        <f>IF(NOT(ISBLANK(Audit[[#This Row],[Audit Candidate 5]])), Audit[[#This Row],[Audit Candidate 5]]-Audit[[#This Row],[Candidate 5]], "")</f>
        <v/>
      </c>
      <c r="AJ584" s="17" t="str">
        <f>IF(NOT(ISBLANK(Audit[[#This Row],[Audit Candidate 6]])), Audit[[#This Row],[Audit Candidate 6]]-Audit[[#This Row],[Candidate 6]], "")</f>
        <v/>
      </c>
      <c r="AK584" s="17" t="str">
        <f>IF(NOT(ISBLANK(Audit[[#This Row],[Audit Candidate 7]])), Audit[[#This Row],[Audit Candidate 7]]-Audit[[#This Row],[Candidate 7]], "")</f>
        <v/>
      </c>
      <c r="AL584" s="17" t="str">
        <f>IF(NOT(ISBLANK(Audit[[#This Row],[Audit Candidate 8]])), Audit[[#This Row],[Audit Candidate 8]]-Audit[[#This Row],[Candidate 8]], "")</f>
        <v/>
      </c>
      <c r="AM584" s="17" t="str">
        <f>IF(NOT(ISBLANK(Audit[[#This Row],[Audit Candidate 9]])), Audit[[#This Row],[Audit Candidate 9]]-Audit[[#This Row],[Candidate 9]], "")</f>
        <v/>
      </c>
      <c r="AN584" s="17" t="str">
        <f>IF(NOT(ISBLANK(Audit[[#This Row],[Audit Candidate 10]])), Audit[[#This Row],[Audit Candidate 10]]-Audit[[#This Row],[Candidate 10]], "")</f>
        <v/>
      </c>
      <c r="AO584" s="17" t="str">
        <f>IF(NOT(ISBLANK(Audit[[#This Row],[Audit Candidate 11]])), Audit[[#This Row],[Audit Candidate 11]]-Audit[[#This Row],[Candidate 11]], "")</f>
        <v/>
      </c>
      <c r="AP584" s="17" t="str">
        <f>IF(NOT(ISBLANK(Audit[[#This Row],[Audit Candidate 12]])), Audit[[#This Row],[Audit Candidate 12]]-Audit[[#This Row],[Candidate 12]], "")</f>
        <v/>
      </c>
      <c r="AQ584" s="17">
        <f>SUMIF(Audit[[#This Row],[Difference Winner]:[Difference Candidate 12]], "&gt;0")</f>
        <v>0</v>
      </c>
      <c r="AR584" s="17">
        <f>SUM(Audit[[#This Row],[Difference Winner]:[Difference Candidate 12]])</f>
        <v>0</v>
      </c>
      <c r="AS584" s="17">
        <f>IF(Audit[[#This Row],[Times p Drawn - With Replacement]]&gt;0, IF(Audit[[#This Row],[Canceled Differences]]&lt;0, Audit[[#This Row],[Max Differences]]+ABS(Audit[[#This Row],[Canceled Differences]]), Audit[[#This Row],[Max Differences]]), 0)</f>
        <v>0</v>
      </c>
      <c r="AT584" s="17">
        <f>'Sampling Data'!AB584</f>
        <v>1.4174163978950943E-2</v>
      </c>
      <c r="AU584" s="17">
        <f>IF(
      SUM(Audit[[#This Row],[Audit Losing Candidate]:[Audit Candidate 12]])
      &lt;&gt;0,
      (Audit[[#This Row],[Winning Candidate]]-Audit[[#This Row],[Losing Candidate]]-(Audit[[#This Row],[Audit Winning Candidate]]-Audit[[#This Row],[Audit Losing Candidate]]))/(Audit[[#Totals],[Winning Candidate]]-Audit[[#Totals],[Losing Candidate]]),
      0
)</f>
        <v>0</v>
      </c>
      <c r="AV5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4" s="17">
        <f>IF(Audit[[#This Row],[Max Relative Error (ep)]] = 0, 0, Audit[[#This Row],[Max Relative Error (ep)]]/Audit[[#This Row],[Error Bound (up) - Max. possible relative overstatement]])</f>
        <v>0</v>
      </c>
      <c r="BH5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84" s="17">
        <f t="shared" si="9"/>
        <v>1</v>
      </c>
      <c r="BJ584" s="17">
        <f>PRODUCT($BI$5:BI584)</f>
        <v>0.37139254595499177</v>
      </c>
      <c r="BK584" s="19">
        <f>1 - Audit[[#This Row],[K-M P Value]]</f>
        <v>0.62860745404500817</v>
      </c>
      <c r="BL584" s="17" t="str">
        <f>IF(Audit[[#This Row],[K-M P Value]]&gt;1-'General Info'!$B$12,"Continue", "Stop")</f>
        <v>Continue</v>
      </c>
      <c r="BM584" s="22" t="b">
        <f>IF(Audit[[#This Row],[Status - Continue or stop audit]] = "Continue", TRUE, IF(BL583 = "Continue", TRUE, FALSE))</f>
        <v>1</v>
      </c>
      <c r="BN584" s="22"/>
    </row>
    <row r="585" spans="1:66" ht="15" customHeight="1" x14ac:dyDescent="0.35">
      <c r="A585" s="17">
        <f>'Sampling Data'!AI585</f>
        <v>31</v>
      </c>
      <c r="B585" s="17" t="str">
        <f>'Sampling Data'!A585</f>
        <v>0206 CIN 2-F   (ED)</v>
      </c>
      <c r="C585" s="17">
        <f>'Sampling Data'!B585</f>
        <v>393</v>
      </c>
      <c r="D585" s="17">
        <f>'Sampling Data'!C585</f>
        <v>137</v>
      </c>
      <c r="E585" s="18">
        <f>'Sampling Data'!D585</f>
        <v>0</v>
      </c>
      <c r="F585" s="18">
        <f>'Sampling Data'!E585</f>
        <v>0</v>
      </c>
      <c r="G585" s="18">
        <f>'Sampling Data'!F585</f>
        <v>0</v>
      </c>
      <c r="H585" s="18">
        <f>'Sampling Data'!G585</f>
        <v>0</v>
      </c>
      <c r="I585" s="18">
        <f>'Sampling Data'!H585</f>
        <v>0</v>
      </c>
      <c r="J585" s="18">
        <f>'Sampling Data'!I585</f>
        <v>0</v>
      </c>
      <c r="K585" s="18">
        <f>'Sampling Data'!J585</f>
        <v>0</v>
      </c>
      <c r="L585" s="18">
        <f>'Sampling Data'!K585</f>
        <v>0</v>
      </c>
      <c r="M585" s="18">
        <f>'Sampling Data'!L585</f>
        <v>0</v>
      </c>
      <c r="N585" s="18">
        <f>'Sampling Data'!M585</f>
        <v>0</v>
      </c>
      <c r="O585" s="17">
        <f>'Sampling Data'!N585</f>
        <v>0</v>
      </c>
      <c r="P585" s="17">
        <f>'Sampling Data'!O585</f>
        <v>48</v>
      </c>
      <c r="Q585" s="17">
        <f>'Sampling Data'!P585</f>
        <v>578</v>
      </c>
      <c r="R585" s="17">
        <f>'Sampling Data'!AJ585</f>
        <v>3</v>
      </c>
      <c r="S585" s="111">
        <v>393</v>
      </c>
      <c r="T585" s="111">
        <v>137</v>
      </c>
      <c r="U585" s="112"/>
      <c r="V585" s="112"/>
      <c r="W585" s="111"/>
      <c r="X585" s="111"/>
      <c r="Y585" s="111"/>
      <c r="Z585" s="111"/>
      <c r="AA585" s="14"/>
      <c r="AB585" s="14"/>
      <c r="AC585" s="14"/>
      <c r="AD585" s="14"/>
      <c r="AE585" s="113">
        <f>IF(NOT(ISBLANK(Audit[[#This Row],[Audit Winning Candidate]])), Audit[[#This Row],[Audit Winning Candidate]]-Audit[[#This Row],[Winning Candidate]], "")</f>
        <v>0</v>
      </c>
      <c r="AF585" s="17">
        <f>IF(NOT(ISBLANK(Audit[[#This Row],[Audit Losing Candidate]])), Audit[[#This Row],[Audit Losing Candidate]]-Audit[[#This Row],[Losing Candidate]], "")</f>
        <v>0</v>
      </c>
      <c r="AG585" s="17" t="str">
        <f>IF(NOT(ISBLANK(Audit[[#This Row],[Audit Candidate 3]])), Audit[[#This Row],[Audit Candidate 3]]-Audit[[#This Row],[Candidate 3]], "")</f>
        <v/>
      </c>
      <c r="AH585" s="17" t="str">
        <f>IF(NOT(ISBLANK(Audit[[#This Row],[Audit Candidate 4]])),Audit[[#This Row],[Audit Candidate 4]]-Audit[[#This Row],[Candidate 4]], "")</f>
        <v/>
      </c>
      <c r="AI585" s="17" t="str">
        <f>IF(NOT(ISBLANK(Audit[[#This Row],[Audit Candidate 5]])), Audit[[#This Row],[Audit Candidate 5]]-Audit[[#This Row],[Candidate 5]], "")</f>
        <v/>
      </c>
      <c r="AJ585" s="17" t="str">
        <f>IF(NOT(ISBLANK(Audit[[#This Row],[Audit Candidate 6]])), Audit[[#This Row],[Audit Candidate 6]]-Audit[[#This Row],[Candidate 6]], "")</f>
        <v/>
      </c>
      <c r="AK585" s="17" t="str">
        <f>IF(NOT(ISBLANK(Audit[[#This Row],[Audit Candidate 7]])), Audit[[#This Row],[Audit Candidate 7]]-Audit[[#This Row],[Candidate 7]], "")</f>
        <v/>
      </c>
      <c r="AL585" s="17" t="str">
        <f>IF(NOT(ISBLANK(Audit[[#This Row],[Audit Candidate 8]])), Audit[[#This Row],[Audit Candidate 8]]-Audit[[#This Row],[Candidate 8]], "")</f>
        <v/>
      </c>
      <c r="AM585" s="17" t="str">
        <f>IF(NOT(ISBLANK(Audit[[#This Row],[Audit Candidate 9]])), Audit[[#This Row],[Audit Candidate 9]]-Audit[[#This Row],[Candidate 9]], "")</f>
        <v/>
      </c>
      <c r="AN585" s="17" t="str">
        <f>IF(NOT(ISBLANK(Audit[[#This Row],[Audit Candidate 10]])), Audit[[#This Row],[Audit Candidate 10]]-Audit[[#This Row],[Candidate 10]], "")</f>
        <v/>
      </c>
      <c r="AO585" s="17" t="str">
        <f>IF(NOT(ISBLANK(Audit[[#This Row],[Audit Candidate 11]])), Audit[[#This Row],[Audit Candidate 11]]-Audit[[#This Row],[Candidate 11]], "")</f>
        <v/>
      </c>
      <c r="AP585" s="17" t="str">
        <f>IF(NOT(ISBLANK(Audit[[#This Row],[Audit Candidate 12]])), Audit[[#This Row],[Audit Candidate 12]]-Audit[[#This Row],[Candidate 12]], "")</f>
        <v/>
      </c>
      <c r="AQ585" s="17">
        <f>SUMIF(Audit[[#This Row],[Difference Winner]:[Difference Candidate 12]], "&gt;0")</f>
        <v>0</v>
      </c>
      <c r="AR585" s="17">
        <f>SUM(Audit[[#This Row],[Difference Winner]:[Difference Candidate 12]])</f>
        <v>0</v>
      </c>
      <c r="AS585" s="17">
        <f>IF(Audit[[#This Row],[Times p Drawn - With Replacement]]&gt;0, IF(Audit[[#This Row],[Canceled Differences]]&lt;0, Audit[[#This Row],[Max Differences]]+ABS(Audit[[#This Row],[Canceled Differences]]), Audit[[#This Row],[Max Differences]]), 0)</f>
        <v>0</v>
      </c>
      <c r="AT585" s="17">
        <f>'Sampling Data'!AB585</f>
        <v>3.5392972330673907E-2</v>
      </c>
      <c r="AU585" s="17">
        <f>IF(
      SUM(Audit[[#This Row],[Audit Losing Candidate]:[Audit Candidate 12]])
      &lt;&gt;0,
      (Audit[[#This Row],[Winning Candidate]]-Audit[[#This Row],[Losing Candidate]]-(Audit[[#This Row],[Audit Winning Candidate]]-Audit[[#This Row],[Audit Losing Candidate]]))/(Audit[[#Totals],[Winning Candidate]]-Audit[[#Totals],[Losing Candidate]]),
      0
)</f>
        <v>0</v>
      </c>
      <c r="AV5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5" s="17">
        <f>IF(Audit[[#This Row],[Max Relative Error (ep)]] = 0, 0, Audit[[#This Row],[Max Relative Error (ep)]]/Audit[[#This Row],[Error Bound (up) - Max. possible relative overstatement]])</f>
        <v>0</v>
      </c>
      <c r="BH5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85" s="17">
        <f t="shared" si="9"/>
        <v>0.84782365677464988</v>
      </c>
      <c r="BJ585" s="17">
        <f>PRODUCT($BI$5:BI585)</f>
        <v>0.31487538641040835</v>
      </c>
      <c r="BK585" s="19">
        <f>1 - Audit[[#This Row],[K-M P Value]]</f>
        <v>0.68512461358959165</v>
      </c>
      <c r="BL585" s="17" t="str">
        <f>IF(Audit[[#This Row],[K-M P Value]]&gt;1-'General Info'!$B$12,"Continue", "Stop")</f>
        <v>Continue</v>
      </c>
      <c r="BM585" s="22" t="b">
        <f>IF(Audit[[#This Row],[Status - Continue or stop audit]] = "Continue", TRUE, IF(BL584 = "Continue", TRUE, FALSE))</f>
        <v>1</v>
      </c>
      <c r="BN585" s="22"/>
    </row>
    <row r="586" spans="1:66" ht="15" hidden="1" customHeight="1" x14ac:dyDescent="0.35">
      <c r="A586" s="17" t="str">
        <f>'Sampling Data'!AI586</f>
        <v/>
      </c>
      <c r="B586" s="17" t="str">
        <f>'Sampling Data'!A586</f>
        <v>0207 CIN 2-G   (ED)</v>
      </c>
      <c r="C586" s="17">
        <f>'Sampling Data'!B586</f>
        <v>165</v>
      </c>
      <c r="D586" s="17">
        <f>'Sampling Data'!C586</f>
        <v>111</v>
      </c>
      <c r="E586" s="18">
        <f>'Sampling Data'!D586</f>
        <v>0</v>
      </c>
      <c r="F586" s="18">
        <f>'Sampling Data'!E586</f>
        <v>0</v>
      </c>
      <c r="G586" s="18">
        <f>'Sampling Data'!F586</f>
        <v>0</v>
      </c>
      <c r="H586" s="18">
        <f>'Sampling Data'!G586</f>
        <v>0</v>
      </c>
      <c r="I586" s="18">
        <f>'Sampling Data'!H586</f>
        <v>0</v>
      </c>
      <c r="J586" s="18">
        <f>'Sampling Data'!I586</f>
        <v>0</v>
      </c>
      <c r="K586" s="18">
        <f>'Sampling Data'!J586</f>
        <v>0</v>
      </c>
      <c r="L586" s="18">
        <f>'Sampling Data'!K586</f>
        <v>0</v>
      </c>
      <c r="M586" s="18">
        <f>'Sampling Data'!L586</f>
        <v>0</v>
      </c>
      <c r="N586" s="18">
        <f>'Sampling Data'!M586</f>
        <v>0</v>
      </c>
      <c r="O586" s="17">
        <f>'Sampling Data'!N586</f>
        <v>1</v>
      </c>
      <c r="P586" s="17">
        <f>'Sampling Data'!O586</f>
        <v>26</v>
      </c>
      <c r="Q586" s="17">
        <f>'Sampling Data'!P586</f>
        <v>303</v>
      </c>
      <c r="R586" s="17">
        <f>'Sampling Data'!AJ586</f>
        <v>0</v>
      </c>
      <c r="S586" s="111"/>
      <c r="T586" s="111"/>
      <c r="U586" s="112"/>
      <c r="V586" s="112"/>
      <c r="W586" s="111"/>
      <c r="X586" s="111"/>
      <c r="Y586" s="111"/>
      <c r="Z586" s="111"/>
      <c r="AA586" s="14"/>
      <c r="AB586" s="14"/>
      <c r="AC586" s="14"/>
      <c r="AD586" s="14"/>
      <c r="AE586" s="113" t="str">
        <f>IF(NOT(ISBLANK(Audit[[#This Row],[Audit Winning Candidate]])), Audit[[#This Row],[Audit Winning Candidate]]-Audit[[#This Row],[Winning Candidate]], "")</f>
        <v/>
      </c>
      <c r="AF586" s="17" t="str">
        <f>IF(NOT(ISBLANK(Audit[[#This Row],[Audit Losing Candidate]])), Audit[[#This Row],[Audit Losing Candidate]]-Audit[[#This Row],[Losing Candidate]], "")</f>
        <v/>
      </c>
      <c r="AG586" s="17" t="str">
        <f>IF(NOT(ISBLANK(Audit[[#This Row],[Audit Candidate 3]])), Audit[[#This Row],[Audit Candidate 3]]-Audit[[#This Row],[Candidate 3]], "")</f>
        <v/>
      </c>
      <c r="AH586" s="17" t="str">
        <f>IF(NOT(ISBLANK(Audit[[#This Row],[Audit Candidate 4]])),Audit[[#This Row],[Audit Candidate 4]]-Audit[[#This Row],[Candidate 4]], "")</f>
        <v/>
      </c>
      <c r="AI586" s="17" t="str">
        <f>IF(NOT(ISBLANK(Audit[[#This Row],[Audit Candidate 5]])), Audit[[#This Row],[Audit Candidate 5]]-Audit[[#This Row],[Candidate 5]], "")</f>
        <v/>
      </c>
      <c r="AJ586" s="17" t="str">
        <f>IF(NOT(ISBLANK(Audit[[#This Row],[Audit Candidate 6]])), Audit[[#This Row],[Audit Candidate 6]]-Audit[[#This Row],[Candidate 6]], "")</f>
        <v/>
      </c>
      <c r="AK586" s="17" t="str">
        <f>IF(NOT(ISBLANK(Audit[[#This Row],[Audit Candidate 7]])), Audit[[#This Row],[Audit Candidate 7]]-Audit[[#This Row],[Candidate 7]], "")</f>
        <v/>
      </c>
      <c r="AL586" s="17" t="str">
        <f>IF(NOT(ISBLANK(Audit[[#This Row],[Audit Candidate 8]])), Audit[[#This Row],[Audit Candidate 8]]-Audit[[#This Row],[Candidate 8]], "")</f>
        <v/>
      </c>
      <c r="AM586" s="17" t="str">
        <f>IF(NOT(ISBLANK(Audit[[#This Row],[Audit Candidate 9]])), Audit[[#This Row],[Audit Candidate 9]]-Audit[[#This Row],[Candidate 9]], "")</f>
        <v/>
      </c>
      <c r="AN586" s="17" t="str">
        <f>IF(NOT(ISBLANK(Audit[[#This Row],[Audit Candidate 10]])), Audit[[#This Row],[Audit Candidate 10]]-Audit[[#This Row],[Candidate 10]], "")</f>
        <v/>
      </c>
      <c r="AO586" s="17" t="str">
        <f>IF(NOT(ISBLANK(Audit[[#This Row],[Audit Candidate 11]])), Audit[[#This Row],[Audit Candidate 11]]-Audit[[#This Row],[Candidate 11]], "")</f>
        <v/>
      </c>
      <c r="AP586" s="17" t="str">
        <f>IF(NOT(ISBLANK(Audit[[#This Row],[Audit Candidate 12]])), Audit[[#This Row],[Audit Candidate 12]]-Audit[[#This Row],[Candidate 12]], "")</f>
        <v/>
      </c>
      <c r="AQ586" s="17">
        <f>SUMIF(Audit[[#This Row],[Difference Winner]:[Difference Candidate 12]], "&gt;0")</f>
        <v>0</v>
      </c>
      <c r="AR586" s="17">
        <f>SUM(Audit[[#This Row],[Difference Winner]:[Difference Candidate 12]])</f>
        <v>0</v>
      </c>
      <c r="AS586" s="17">
        <f>IF(Audit[[#This Row],[Times p Drawn - With Replacement]]&gt;0, IF(Audit[[#This Row],[Canceled Differences]]&lt;0, Audit[[#This Row],[Max Differences]]+ABS(Audit[[#This Row],[Canceled Differences]]), Audit[[#This Row],[Max Differences]]), 0)</f>
        <v>0</v>
      </c>
      <c r="AT586" s="17">
        <f>'Sampling Data'!AB586</f>
        <v>1.5150229163130198E-2</v>
      </c>
      <c r="AU586" s="17">
        <f>IF(
      SUM(Audit[[#This Row],[Audit Losing Candidate]:[Audit Candidate 12]])
      &lt;&gt;0,
      (Audit[[#This Row],[Winning Candidate]]-Audit[[#This Row],[Losing Candidate]]-(Audit[[#This Row],[Audit Winning Candidate]]-Audit[[#This Row],[Audit Losing Candidate]]))/(Audit[[#Totals],[Winning Candidate]]-Audit[[#Totals],[Losing Candidate]]),
      0
)</f>
        <v>0</v>
      </c>
      <c r="AV5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6" s="17">
        <f>IF(Audit[[#This Row],[Max Relative Error (ep)]] = 0, 0, Audit[[#This Row],[Max Relative Error (ep)]]/Audit[[#This Row],[Error Bound (up) - Max. possible relative overstatement]])</f>
        <v>0</v>
      </c>
      <c r="BH5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86" s="17">
        <f t="shared" si="9"/>
        <v>1</v>
      </c>
      <c r="BJ586" s="17">
        <f>PRODUCT($BI$5:BI586)</f>
        <v>0.31487538641040835</v>
      </c>
      <c r="BK586" s="19">
        <f>1 - Audit[[#This Row],[K-M P Value]]</f>
        <v>0.68512461358959165</v>
      </c>
      <c r="BL586" s="17" t="str">
        <f>IF(Audit[[#This Row],[K-M P Value]]&gt;1-'General Info'!$B$12,"Continue", "Stop")</f>
        <v>Continue</v>
      </c>
      <c r="BM586" s="22" t="b">
        <f>IF(Audit[[#This Row],[Status - Continue or stop audit]] = "Continue", TRUE, IF(BL585 = "Continue", TRUE, FALSE))</f>
        <v>1</v>
      </c>
      <c r="BN586" s="22"/>
    </row>
    <row r="587" spans="1:66" ht="15" hidden="1" customHeight="1" x14ac:dyDescent="0.35">
      <c r="A587" s="17" t="str">
        <f>'Sampling Data'!AI587</f>
        <v/>
      </c>
      <c r="B587" s="17" t="str">
        <f>'Sampling Data'!A587</f>
        <v>0208 CIN 2-H   (ED)</v>
      </c>
      <c r="C587" s="17">
        <f>'Sampling Data'!B587</f>
        <v>223</v>
      </c>
      <c r="D587" s="17">
        <f>'Sampling Data'!C587</f>
        <v>75</v>
      </c>
      <c r="E587" s="18">
        <f>'Sampling Data'!D587</f>
        <v>0</v>
      </c>
      <c r="F587" s="18">
        <f>'Sampling Data'!E587</f>
        <v>0</v>
      </c>
      <c r="G587" s="18">
        <f>'Sampling Data'!F587</f>
        <v>0</v>
      </c>
      <c r="H587" s="18">
        <f>'Sampling Data'!G587</f>
        <v>0</v>
      </c>
      <c r="I587" s="18">
        <f>'Sampling Data'!H587</f>
        <v>0</v>
      </c>
      <c r="J587" s="18">
        <f>'Sampling Data'!I587</f>
        <v>0</v>
      </c>
      <c r="K587" s="18">
        <f>'Sampling Data'!J587</f>
        <v>0</v>
      </c>
      <c r="L587" s="18">
        <f>'Sampling Data'!K587</f>
        <v>0</v>
      </c>
      <c r="M587" s="18">
        <f>'Sampling Data'!L587</f>
        <v>0</v>
      </c>
      <c r="N587" s="18">
        <f>'Sampling Data'!M587</f>
        <v>0</v>
      </c>
      <c r="O587" s="17">
        <f>'Sampling Data'!N587</f>
        <v>0</v>
      </c>
      <c r="P587" s="17">
        <f>'Sampling Data'!O587</f>
        <v>25</v>
      </c>
      <c r="Q587" s="17">
        <f>'Sampling Data'!P587</f>
        <v>323</v>
      </c>
      <c r="R587" s="17">
        <f>'Sampling Data'!AJ587</f>
        <v>0</v>
      </c>
      <c r="S587" s="111"/>
      <c r="T587" s="111"/>
      <c r="U587" s="112"/>
      <c r="V587" s="112"/>
      <c r="W587" s="111"/>
      <c r="X587" s="111"/>
      <c r="Y587" s="111"/>
      <c r="Z587" s="111"/>
      <c r="AA587" s="14"/>
      <c r="AB587" s="14"/>
      <c r="AC587" s="14"/>
      <c r="AD587" s="14"/>
      <c r="AE587" s="113" t="str">
        <f>IF(NOT(ISBLANK(Audit[[#This Row],[Audit Winning Candidate]])), Audit[[#This Row],[Audit Winning Candidate]]-Audit[[#This Row],[Winning Candidate]], "")</f>
        <v/>
      </c>
      <c r="AF587" s="17" t="str">
        <f>IF(NOT(ISBLANK(Audit[[#This Row],[Audit Losing Candidate]])), Audit[[#This Row],[Audit Losing Candidate]]-Audit[[#This Row],[Losing Candidate]], "")</f>
        <v/>
      </c>
      <c r="AG587" s="17" t="str">
        <f>IF(NOT(ISBLANK(Audit[[#This Row],[Audit Candidate 3]])), Audit[[#This Row],[Audit Candidate 3]]-Audit[[#This Row],[Candidate 3]], "")</f>
        <v/>
      </c>
      <c r="AH587" s="17" t="str">
        <f>IF(NOT(ISBLANK(Audit[[#This Row],[Audit Candidate 4]])),Audit[[#This Row],[Audit Candidate 4]]-Audit[[#This Row],[Candidate 4]], "")</f>
        <v/>
      </c>
      <c r="AI587" s="17" t="str">
        <f>IF(NOT(ISBLANK(Audit[[#This Row],[Audit Candidate 5]])), Audit[[#This Row],[Audit Candidate 5]]-Audit[[#This Row],[Candidate 5]], "")</f>
        <v/>
      </c>
      <c r="AJ587" s="17" t="str">
        <f>IF(NOT(ISBLANK(Audit[[#This Row],[Audit Candidate 6]])), Audit[[#This Row],[Audit Candidate 6]]-Audit[[#This Row],[Candidate 6]], "")</f>
        <v/>
      </c>
      <c r="AK587" s="17" t="str">
        <f>IF(NOT(ISBLANK(Audit[[#This Row],[Audit Candidate 7]])), Audit[[#This Row],[Audit Candidate 7]]-Audit[[#This Row],[Candidate 7]], "")</f>
        <v/>
      </c>
      <c r="AL587" s="17" t="str">
        <f>IF(NOT(ISBLANK(Audit[[#This Row],[Audit Candidate 8]])), Audit[[#This Row],[Audit Candidate 8]]-Audit[[#This Row],[Candidate 8]], "")</f>
        <v/>
      </c>
      <c r="AM587" s="17" t="str">
        <f>IF(NOT(ISBLANK(Audit[[#This Row],[Audit Candidate 9]])), Audit[[#This Row],[Audit Candidate 9]]-Audit[[#This Row],[Candidate 9]], "")</f>
        <v/>
      </c>
      <c r="AN587" s="17" t="str">
        <f>IF(NOT(ISBLANK(Audit[[#This Row],[Audit Candidate 10]])), Audit[[#This Row],[Audit Candidate 10]]-Audit[[#This Row],[Candidate 10]], "")</f>
        <v/>
      </c>
      <c r="AO587" s="17" t="str">
        <f>IF(NOT(ISBLANK(Audit[[#This Row],[Audit Candidate 11]])), Audit[[#This Row],[Audit Candidate 11]]-Audit[[#This Row],[Candidate 11]], "")</f>
        <v/>
      </c>
      <c r="AP587" s="17" t="str">
        <f>IF(NOT(ISBLANK(Audit[[#This Row],[Audit Candidate 12]])), Audit[[#This Row],[Audit Candidate 12]]-Audit[[#This Row],[Candidate 12]], "")</f>
        <v/>
      </c>
      <c r="AQ587" s="17">
        <f>SUMIF(Audit[[#This Row],[Difference Winner]:[Difference Candidate 12]], "&gt;0")</f>
        <v>0</v>
      </c>
      <c r="AR587" s="17">
        <f>SUM(Audit[[#This Row],[Difference Winner]:[Difference Candidate 12]])</f>
        <v>0</v>
      </c>
      <c r="AS587" s="17">
        <f>IF(Audit[[#This Row],[Times p Drawn - With Replacement]]&gt;0, IF(Audit[[#This Row],[Canceled Differences]]&lt;0, Audit[[#This Row],[Max Differences]]+ABS(Audit[[#This Row],[Canceled Differences]]), Audit[[#This Row],[Max Differences]]), 0)</f>
        <v>0</v>
      </c>
      <c r="AT587" s="17">
        <f>'Sampling Data'!AB587</f>
        <v>1.9988117467323034E-2</v>
      </c>
      <c r="AU587" s="17">
        <f>IF(
      SUM(Audit[[#This Row],[Audit Losing Candidate]:[Audit Candidate 12]])
      &lt;&gt;0,
      (Audit[[#This Row],[Winning Candidate]]-Audit[[#This Row],[Losing Candidate]]-(Audit[[#This Row],[Audit Winning Candidate]]-Audit[[#This Row],[Audit Losing Candidate]]))/(Audit[[#Totals],[Winning Candidate]]-Audit[[#Totals],[Losing Candidate]]),
      0
)</f>
        <v>0</v>
      </c>
      <c r="AV5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7" s="17">
        <f>IF(Audit[[#This Row],[Max Relative Error (ep)]] = 0, 0, Audit[[#This Row],[Max Relative Error (ep)]]/Audit[[#This Row],[Error Bound (up) - Max. possible relative overstatement]])</f>
        <v>0</v>
      </c>
      <c r="BH5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87" s="17">
        <f t="shared" si="9"/>
        <v>1</v>
      </c>
      <c r="BJ587" s="17">
        <f>PRODUCT($BI$5:BI587)</f>
        <v>0.31487538641040835</v>
      </c>
      <c r="BK587" s="19">
        <f>1 - Audit[[#This Row],[K-M P Value]]</f>
        <v>0.68512461358959165</v>
      </c>
      <c r="BL587" s="17" t="str">
        <f>IF(Audit[[#This Row],[K-M P Value]]&gt;1-'General Info'!$B$12,"Continue", "Stop")</f>
        <v>Continue</v>
      </c>
      <c r="BM587" s="22" t="b">
        <f>IF(Audit[[#This Row],[Status - Continue or stop audit]] = "Continue", TRUE, IF(BL586 = "Continue", TRUE, FALSE))</f>
        <v>1</v>
      </c>
      <c r="BN587" s="22"/>
    </row>
    <row r="588" spans="1:66" ht="15" hidden="1" customHeight="1" x14ac:dyDescent="0.35">
      <c r="A588" s="17" t="str">
        <f>'Sampling Data'!AI588</f>
        <v/>
      </c>
      <c r="B588" s="17" t="str">
        <f>'Sampling Data'!A588</f>
        <v>0209 CIN 2-I   (ED)</v>
      </c>
      <c r="C588" s="17">
        <f>'Sampling Data'!B588</f>
        <v>268</v>
      </c>
      <c r="D588" s="17">
        <f>'Sampling Data'!C588</f>
        <v>133</v>
      </c>
      <c r="E588" s="18">
        <f>'Sampling Data'!D588</f>
        <v>0</v>
      </c>
      <c r="F588" s="18">
        <f>'Sampling Data'!E588</f>
        <v>0</v>
      </c>
      <c r="G588" s="18">
        <f>'Sampling Data'!F588</f>
        <v>0</v>
      </c>
      <c r="H588" s="18">
        <f>'Sampling Data'!G588</f>
        <v>0</v>
      </c>
      <c r="I588" s="18">
        <f>'Sampling Data'!H588</f>
        <v>0</v>
      </c>
      <c r="J588" s="18">
        <f>'Sampling Data'!I588</f>
        <v>0</v>
      </c>
      <c r="K588" s="18">
        <f>'Sampling Data'!J588</f>
        <v>0</v>
      </c>
      <c r="L588" s="18">
        <f>'Sampling Data'!K588</f>
        <v>0</v>
      </c>
      <c r="M588" s="18">
        <f>'Sampling Data'!L588</f>
        <v>0</v>
      </c>
      <c r="N588" s="18">
        <f>'Sampling Data'!M588</f>
        <v>0</v>
      </c>
      <c r="O588" s="17">
        <f>'Sampling Data'!N588</f>
        <v>0</v>
      </c>
      <c r="P588" s="17">
        <f>'Sampling Data'!O588</f>
        <v>30</v>
      </c>
      <c r="Q588" s="17">
        <f>'Sampling Data'!P588</f>
        <v>431</v>
      </c>
      <c r="R588" s="17">
        <f>'Sampling Data'!AJ588</f>
        <v>0</v>
      </c>
      <c r="S588" s="111"/>
      <c r="T588" s="111"/>
      <c r="U588" s="112"/>
      <c r="V588" s="112"/>
      <c r="W588" s="111"/>
      <c r="X588" s="111"/>
      <c r="Y588" s="111"/>
      <c r="Z588" s="111"/>
      <c r="AA588" s="14"/>
      <c r="AB588" s="14"/>
      <c r="AC588" s="14"/>
      <c r="AD588" s="14"/>
      <c r="AE588" s="113" t="str">
        <f>IF(NOT(ISBLANK(Audit[[#This Row],[Audit Winning Candidate]])), Audit[[#This Row],[Audit Winning Candidate]]-Audit[[#This Row],[Winning Candidate]], "")</f>
        <v/>
      </c>
      <c r="AF588" s="17" t="str">
        <f>IF(NOT(ISBLANK(Audit[[#This Row],[Audit Losing Candidate]])), Audit[[#This Row],[Audit Losing Candidate]]-Audit[[#This Row],[Losing Candidate]], "")</f>
        <v/>
      </c>
      <c r="AG588" s="17" t="str">
        <f>IF(NOT(ISBLANK(Audit[[#This Row],[Audit Candidate 3]])), Audit[[#This Row],[Audit Candidate 3]]-Audit[[#This Row],[Candidate 3]], "")</f>
        <v/>
      </c>
      <c r="AH588" s="17" t="str">
        <f>IF(NOT(ISBLANK(Audit[[#This Row],[Audit Candidate 4]])),Audit[[#This Row],[Audit Candidate 4]]-Audit[[#This Row],[Candidate 4]], "")</f>
        <v/>
      </c>
      <c r="AI588" s="17" t="str">
        <f>IF(NOT(ISBLANK(Audit[[#This Row],[Audit Candidate 5]])), Audit[[#This Row],[Audit Candidate 5]]-Audit[[#This Row],[Candidate 5]], "")</f>
        <v/>
      </c>
      <c r="AJ588" s="17" t="str">
        <f>IF(NOT(ISBLANK(Audit[[#This Row],[Audit Candidate 6]])), Audit[[#This Row],[Audit Candidate 6]]-Audit[[#This Row],[Candidate 6]], "")</f>
        <v/>
      </c>
      <c r="AK588" s="17" t="str">
        <f>IF(NOT(ISBLANK(Audit[[#This Row],[Audit Candidate 7]])), Audit[[#This Row],[Audit Candidate 7]]-Audit[[#This Row],[Candidate 7]], "")</f>
        <v/>
      </c>
      <c r="AL588" s="17" t="str">
        <f>IF(NOT(ISBLANK(Audit[[#This Row],[Audit Candidate 8]])), Audit[[#This Row],[Audit Candidate 8]]-Audit[[#This Row],[Candidate 8]], "")</f>
        <v/>
      </c>
      <c r="AM588" s="17" t="str">
        <f>IF(NOT(ISBLANK(Audit[[#This Row],[Audit Candidate 9]])), Audit[[#This Row],[Audit Candidate 9]]-Audit[[#This Row],[Candidate 9]], "")</f>
        <v/>
      </c>
      <c r="AN588" s="17" t="str">
        <f>IF(NOT(ISBLANK(Audit[[#This Row],[Audit Candidate 10]])), Audit[[#This Row],[Audit Candidate 10]]-Audit[[#This Row],[Candidate 10]], "")</f>
        <v/>
      </c>
      <c r="AO588" s="17" t="str">
        <f>IF(NOT(ISBLANK(Audit[[#This Row],[Audit Candidate 11]])), Audit[[#This Row],[Audit Candidate 11]]-Audit[[#This Row],[Candidate 11]], "")</f>
        <v/>
      </c>
      <c r="AP588" s="17" t="str">
        <f>IF(NOT(ISBLANK(Audit[[#This Row],[Audit Candidate 12]])), Audit[[#This Row],[Audit Candidate 12]]-Audit[[#This Row],[Candidate 12]], "")</f>
        <v/>
      </c>
      <c r="AQ588" s="17">
        <f>SUMIF(Audit[[#This Row],[Difference Winner]:[Difference Candidate 12]], "&gt;0")</f>
        <v>0</v>
      </c>
      <c r="AR588" s="17">
        <f>SUM(Audit[[#This Row],[Difference Winner]:[Difference Candidate 12]])</f>
        <v>0</v>
      </c>
      <c r="AS588" s="17">
        <f>IF(Audit[[#This Row],[Times p Drawn - With Replacement]]&gt;0, IF(Audit[[#This Row],[Canceled Differences]]&lt;0, Audit[[#This Row],[Max Differences]]+ABS(Audit[[#This Row],[Canceled Differences]]), Audit[[#This Row],[Max Differences]]), 0)</f>
        <v>0</v>
      </c>
      <c r="AT588" s="17">
        <f>'Sampling Data'!AB588</f>
        <v>2.4019691054150399E-2</v>
      </c>
      <c r="AU588" s="17">
        <f>IF(
      SUM(Audit[[#This Row],[Audit Losing Candidate]:[Audit Candidate 12]])
      &lt;&gt;0,
      (Audit[[#This Row],[Winning Candidate]]-Audit[[#This Row],[Losing Candidate]]-(Audit[[#This Row],[Audit Winning Candidate]]-Audit[[#This Row],[Audit Losing Candidate]]))/(Audit[[#Totals],[Winning Candidate]]-Audit[[#Totals],[Losing Candidate]]),
      0
)</f>
        <v>0</v>
      </c>
      <c r="AV5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8" s="17">
        <f>IF(Audit[[#This Row],[Max Relative Error (ep)]] = 0, 0, Audit[[#This Row],[Max Relative Error (ep)]]/Audit[[#This Row],[Error Bound (up) - Max. possible relative overstatement]])</f>
        <v>0</v>
      </c>
      <c r="BH5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88" s="17">
        <f t="shared" si="9"/>
        <v>1</v>
      </c>
      <c r="BJ588" s="17">
        <f>PRODUCT($BI$5:BI588)</f>
        <v>0.31487538641040835</v>
      </c>
      <c r="BK588" s="19">
        <f>1 - Audit[[#This Row],[K-M P Value]]</f>
        <v>0.68512461358959165</v>
      </c>
      <c r="BL588" s="17" t="str">
        <f>IF(Audit[[#This Row],[K-M P Value]]&gt;1-'General Info'!$B$12,"Continue", "Stop")</f>
        <v>Continue</v>
      </c>
      <c r="BM588" s="22" t="b">
        <f>IF(Audit[[#This Row],[Status - Continue or stop audit]] = "Continue", TRUE, IF(BL587 = "Continue", TRUE, FALSE))</f>
        <v>1</v>
      </c>
      <c r="BN588" s="22"/>
    </row>
    <row r="589" spans="1:66" ht="15" hidden="1" customHeight="1" x14ac:dyDescent="0.35">
      <c r="A589" s="17" t="str">
        <f>'Sampling Data'!AI589</f>
        <v/>
      </c>
      <c r="B589" s="17" t="str">
        <f>'Sampling Data'!A589</f>
        <v>0210 CIN 2-J   (ED)</v>
      </c>
      <c r="C589" s="17">
        <f>'Sampling Data'!B589</f>
        <v>293</v>
      </c>
      <c r="D589" s="17">
        <f>'Sampling Data'!C589</f>
        <v>194</v>
      </c>
      <c r="E589" s="18">
        <f>'Sampling Data'!D589</f>
        <v>0</v>
      </c>
      <c r="F589" s="18">
        <f>'Sampling Data'!E589</f>
        <v>0</v>
      </c>
      <c r="G589" s="18">
        <f>'Sampling Data'!F589</f>
        <v>0</v>
      </c>
      <c r="H589" s="18">
        <f>'Sampling Data'!G589</f>
        <v>0</v>
      </c>
      <c r="I589" s="18">
        <f>'Sampling Data'!H589</f>
        <v>0</v>
      </c>
      <c r="J589" s="18">
        <f>'Sampling Data'!I589</f>
        <v>0</v>
      </c>
      <c r="K589" s="18">
        <f>'Sampling Data'!J589</f>
        <v>0</v>
      </c>
      <c r="L589" s="18">
        <f>'Sampling Data'!K589</f>
        <v>0</v>
      </c>
      <c r="M589" s="18">
        <f>'Sampling Data'!L589</f>
        <v>0</v>
      </c>
      <c r="N589" s="18">
        <f>'Sampling Data'!M589</f>
        <v>0</v>
      </c>
      <c r="O589" s="17">
        <f>'Sampling Data'!N589</f>
        <v>1</v>
      </c>
      <c r="P589" s="17">
        <f>'Sampling Data'!O589</f>
        <v>56</v>
      </c>
      <c r="Q589" s="17">
        <f>'Sampling Data'!P589</f>
        <v>544</v>
      </c>
      <c r="R589" s="17">
        <f>'Sampling Data'!AJ589</f>
        <v>0</v>
      </c>
      <c r="S589" s="111"/>
      <c r="T589" s="111"/>
      <c r="U589" s="112"/>
      <c r="V589" s="112"/>
      <c r="W589" s="111"/>
      <c r="X589" s="111"/>
      <c r="Y589" s="111"/>
      <c r="Z589" s="111"/>
      <c r="AA589" s="14"/>
      <c r="AB589" s="14"/>
      <c r="AC589" s="14"/>
      <c r="AD589" s="14"/>
      <c r="AE589" s="113" t="str">
        <f>IF(NOT(ISBLANK(Audit[[#This Row],[Audit Winning Candidate]])), Audit[[#This Row],[Audit Winning Candidate]]-Audit[[#This Row],[Winning Candidate]], "")</f>
        <v/>
      </c>
      <c r="AF589" s="17" t="str">
        <f>IF(NOT(ISBLANK(Audit[[#This Row],[Audit Losing Candidate]])), Audit[[#This Row],[Audit Losing Candidate]]-Audit[[#This Row],[Losing Candidate]], "")</f>
        <v/>
      </c>
      <c r="AG589" s="17" t="str">
        <f>IF(NOT(ISBLANK(Audit[[#This Row],[Audit Candidate 3]])), Audit[[#This Row],[Audit Candidate 3]]-Audit[[#This Row],[Candidate 3]], "")</f>
        <v/>
      </c>
      <c r="AH589" s="17" t="str">
        <f>IF(NOT(ISBLANK(Audit[[#This Row],[Audit Candidate 4]])),Audit[[#This Row],[Audit Candidate 4]]-Audit[[#This Row],[Candidate 4]], "")</f>
        <v/>
      </c>
      <c r="AI589" s="17" t="str">
        <f>IF(NOT(ISBLANK(Audit[[#This Row],[Audit Candidate 5]])), Audit[[#This Row],[Audit Candidate 5]]-Audit[[#This Row],[Candidate 5]], "")</f>
        <v/>
      </c>
      <c r="AJ589" s="17" t="str">
        <f>IF(NOT(ISBLANK(Audit[[#This Row],[Audit Candidate 6]])), Audit[[#This Row],[Audit Candidate 6]]-Audit[[#This Row],[Candidate 6]], "")</f>
        <v/>
      </c>
      <c r="AK589" s="17" t="str">
        <f>IF(NOT(ISBLANK(Audit[[#This Row],[Audit Candidate 7]])), Audit[[#This Row],[Audit Candidate 7]]-Audit[[#This Row],[Candidate 7]], "")</f>
        <v/>
      </c>
      <c r="AL589" s="17" t="str">
        <f>IF(NOT(ISBLANK(Audit[[#This Row],[Audit Candidate 8]])), Audit[[#This Row],[Audit Candidate 8]]-Audit[[#This Row],[Candidate 8]], "")</f>
        <v/>
      </c>
      <c r="AM589" s="17" t="str">
        <f>IF(NOT(ISBLANK(Audit[[#This Row],[Audit Candidate 9]])), Audit[[#This Row],[Audit Candidate 9]]-Audit[[#This Row],[Candidate 9]], "")</f>
        <v/>
      </c>
      <c r="AN589" s="17" t="str">
        <f>IF(NOT(ISBLANK(Audit[[#This Row],[Audit Candidate 10]])), Audit[[#This Row],[Audit Candidate 10]]-Audit[[#This Row],[Candidate 10]], "")</f>
        <v/>
      </c>
      <c r="AO589" s="17" t="str">
        <f>IF(NOT(ISBLANK(Audit[[#This Row],[Audit Candidate 11]])), Audit[[#This Row],[Audit Candidate 11]]-Audit[[#This Row],[Candidate 11]], "")</f>
        <v/>
      </c>
      <c r="AP589" s="17" t="str">
        <f>IF(NOT(ISBLANK(Audit[[#This Row],[Audit Candidate 12]])), Audit[[#This Row],[Audit Candidate 12]]-Audit[[#This Row],[Candidate 12]], "")</f>
        <v/>
      </c>
      <c r="AQ589" s="17">
        <f>SUMIF(Audit[[#This Row],[Difference Winner]:[Difference Candidate 12]], "&gt;0")</f>
        <v>0</v>
      </c>
      <c r="AR589" s="17">
        <f>SUM(Audit[[#This Row],[Difference Winner]:[Difference Candidate 12]])</f>
        <v>0</v>
      </c>
      <c r="AS589" s="17">
        <f>IF(Audit[[#This Row],[Times p Drawn - With Replacement]]&gt;0, IF(Audit[[#This Row],[Canceled Differences]]&lt;0, Audit[[#This Row],[Max Differences]]+ABS(Audit[[#This Row],[Canceled Differences]]), Audit[[#This Row],[Max Differences]]), 0)</f>
        <v>0</v>
      </c>
      <c r="AT589" s="17">
        <f>'Sampling Data'!AB589</f>
        <v>2.7287387540315736E-2</v>
      </c>
      <c r="AU589" s="17">
        <f>IF(
      SUM(Audit[[#This Row],[Audit Losing Candidate]:[Audit Candidate 12]])
      &lt;&gt;0,
      (Audit[[#This Row],[Winning Candidate]]-Audit[[#This Row],[Losing Candidate]]-(Audit[[#This Row],[Audit Winning Candidate]]-Audit[[#This Row],[Audit Losing Candidate]]))/(Audit[[#Totals],[Winning Candidate]]-Audit[[#Totals],[Losing Candidate]]),
      0
)</f>
        <v>0</v>
      </c>
      <c r="AV5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9" s="17">
        <f>IF(Audit[[#This Row],[Max Relative Error (ep)]] = 0, 0, Audit[[#This Row],[Max Relative Error (ep)]]/Audit[[#This Row],[Error Bound (up) - Max. possible relative overstatement]])</f>
        <v>0</v>
      </c>
      <c r="BH5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89" s="17">
        <f t="shared" si="9"/>
        <v>1</v>
      </c>
      <c r="BJ589" s="17">
        <f>PRODUCT($BI$5:BI589)</f>
        <v>0.31487538641040835</v>
      </c>
      <c r="BK589" s="19">
        <f>1 - Audit[[#This Row],[K-M P Value]]</f>
        <v>0.68512461358959165</v>
      </c>
      <c r="BL589" s="17" t="str">
        <f>IF(Audit[[#This Row],[K-M P Value]]&gt;1-'General Info'!$B$12,"Continue", "Stop")</f>
        <v>Continue</v>
      </c>
      <c r="BM589" s="22" t="b">
        <f>IF(Audit[[#This Row],[Status - Continue or stop audit]] = "Continue", TRUE, IF(BL588 = "Continue", TRUE, FALSE))</f>
        <v>1</v>
      </c>
      <c r="BN589" s="22"/>
    </row>
    <row r="590" spans="1:66" ht="15" hidden="1" customHeight="1" x14ac:dyDescent="0.35">
      <c r="A590" s="17" t="str">
        <f>'Sampling Data'!AI590</f>
        <v/>
      </c>
      <c r="B590" s="17" t="str">
        <f>'Sampling Data'!A590</f>
        <v>0211 CIN 2-K   (ED)</v>
      </c>
      <c r="C590" s="17">
        <f>'Sampling Data'!B590</f>
        <v>272</v>
      </c>
      <c r="D590" s="17">
        <f>'Sampling Data'!C590</f>
        <v>181</v>
      </c>
      <c r="E590" s="18">
        <f>'Sampling Data'!D590</f>
        <v>0</v>
      </c>
      <c r="F590" s="18">
        <f>'Sampling Data'!E590</f>
        <v>0</v>
      </c>
      <c r="G590" s="18">
        <f>'Sampling Data'!F590</f>
        <v>0</v>
      </c>
      <c r="H590" s="18">
        <f>'Sampling Data'!G590</f>
        <v>0</v>
      </c>
      <c r="I590" s="18">
        <f>'Sampling Data'!H590</f>
        <v>0</v>
      </c>
      <c r="J590" s="18">
        <f>'Sampling Data'!I590</f>
        <v>0</v>
      </c>
      <c r="K590" s="18">
        <f>'Sampling Data'!J590</f>
        <v>0</v>
      </c>
      <c r="L590" s="18">
        <f>'Sampling Data'!K590</f>
        <v>0</v>
      </c>
      <c r="M590" s="18">
        <f>'Sampling Data'!L590</f>
        <v>0</v>
      </c>
      <c r="N590" s="18">
        <f>'Sampling Data'!M590</f>
        <v>0</v>
      </c>
      <c r="O590" s="17">
        <f>'Sampling Data'!N590</f>
        <v>0</v>
      </c>
      <c r="P590" s="17">
        <f>'Sampling Data'!O590</f>
        <v>49</v>
      </c>
      <c r="Q590" s="17">
        <f>'Sampling Data'!P590</f>
        <v>502</v>
      </c>
      <c r="R590" s="17">
        <f>'Sampling Data'!AJ590</f>
        <v>0</v>
      </c>
      <c r="S590" s="111"/>
      <c r="T590" s="111"/>
      <c r="U590" s="112"/>
      <c r="V590" s="112"/>
      <c r="W590" s="111"/>
      <c r="X590" s="111"/>
      <c r="Y590" s="111"/>
      <c r="Z590" s="111"/>
      <c r="AA590" s="14"/>
      <c r="AB590" s="14"/>
      <c r="AC590" s="14"/>
      <c r="AD590" s="14"/>
      <c r="AE590" s="113" t="str">
        <f>IF(NOT(ISBLANK(Audit[[#This Row],[Audit Winning Candidate]])), Audit[[#This Row],[Audit Winning Candidate]]-Audit[[#This Row],[Winning Candidate]], "")</f>
        <v/>
      </c>
      <c r="AF590" s="17" t="str">
        <f>IF(NOT(ISBLANK(Audit[[#This Row],[Audit Losing Candidate]])), Audit[[#This Row],[Audit Losing Candidate]]-Audit[[#This Row],[Losing Candidate]], "")</f>
        <v/>
      </c>
      <c r="AG590" s="17" t="str">
        <f>IF(NOT(ISBLANK(Audit[[#This Row],[Audit Candidate 3]])), Audit[[#This Row],[Audit Candidate 3]]-Audit[[#This Row],[Candidate 3]], "")</f>
        <v/>
      </c>
      <c r="AH590" s="17" t="str">
        <f>IF(NOT(ISBLANK(Audit[[#This Row],[Audit Candidate 4]])),Audit[[#This Row],[Audit Candidate 4]]-Audit[[#This Row],[Candidate 4]], "")</f>
        <v/>
      </c>
      <c r="AI590" s="17" t="str">
        <f>IF(NOT(ISBLANK(Audit[[#This Row],[Audit Candidate 5]])), Audit[[#This Row],[Audit Candidate 5]]-Audit[[#This Row],[Candidate 5]], "")</f>
        <v/>
      </c>
      <c r="AJ590" s="17" t="str">
        <f>IF(NOT(ISBLANK(Audit[[#This Row],[Audit Candidate 6]])), Audit[[#This Row],[Audit Candidate 6]]-Audit[[#This Row],[Candidate 6]], "")</f>
        <v/>
      </c>
      <c r="AK590" s="17" t="str">
        <f>IF(NOT(ISBLANK(Audit[[#This Row],[Audit Candidate 7]])), Audit[[#This Row],[Audit Candidate 7]]-Audit[[#This Row],[Candidate 7]], "")</f>
        <v/>
      </c>
      <c r="AL590" s="17" t="str">
        <f>IF(NOT(ISBLANK(Audit[[#This Row],[Audit Candidate 8]])), Audit[[#This Row],[Audit Candidate 8]]-Audit[[#This Row],[Candidate 8]], "")</f>
        <v/>
      </c>
      <c r="AM590" s="17" t="str">
        <f>IF(NOT(ISBLANK(Audit[[#This Row],[Audit Candidate 9]])), Audit[[#This Row],[Audit Candidate 9]]-Audit[[#This Row],[Candidate 9]], "")</f>
        <v/>
      </c>
      <c r="AN590" s="17" t="str">
        <f>IF(NOT(ISBLANK(Audit[[#This Row],[Audit Candidate 10]])), Audit[[#This Row],[Audit Candidate 10]]-Audit[[#This Row],[Candidate 10]], "")</f>
        <v/>
      </c>
      <c r="AO590" s="17" t="str">
        <f>IF(NOT(ISBLANK(Audit[[#This Row],[Audit Candidate 11]])), Audit[[#This Row],[Audit Candidate 11]]-Audit[[#This Row],[Candidate 11]], "")</f>
        <v/>
      </c>
      <c r="AP590" s="17" t="str">
        <f>IF(NOT(ISBLANK(Audit[[#This Row],[Audit Candidate 12]])), Audit[[#This Row],[Audit Candidate 12]]-Audit[[#This Row],[Candidate 12]], "")</f>
        <v/>
      </c>
      <c r="AQ590" s="17">
        <f>SUMIF(Audit[[#This Row],[Difference Winner]:[Difference Candidate 12]], "&gt;0")</f>
        <v>0</v>
      </c>
      <c r="AR590" s="17">
        <f>SUM(Audit[[#This Row],[Difference Winner]:[Difference Candidate 12]])</f>
        <v>0</v>
      </c>
      <c r="AS590" s="17">
        <f>IF(Audit[[#This Row],[Times p Drawn - With Replacement]]&gt;0, IF(Audit[[#This Row],[Canceled Differences]]&lt;0, Audit[[#This Row],[Max Differences]]+ABS(Audit[[#This Row],[Canceled Differences]]), Audit[[#This Row],[Max Differences]]), 0)</f>
        <v>0</v>
      </c>
      <c r="AT590" s="17">
        <f>'Sampling Data'!AB590</f>
        <v>2.5165506705143441E-2</v>
      </c>
      <c r="AU590" s="17">
        <f>IF(
      SUM(Audit[[#This Row],[Audit Losing Candidate]:[Audit Candidate 12]])
      &lt;&gt;0,
      (Audit[[#This Row],[Winning Candidate]]-Audit[[#This Row],[Losing Candidate]]-(Audit[[#This Row],[Audit Winning Candidate]]-Audit[[#This Row],[Audit Losing Candidate]]))/(Audit[[#Totals],[Winning Candidate]]-Audit[[#Totals],[Losing Candidate]]),
      0
)</f>
        <v>0</v>
      </c>
      <c r="AV5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0" s="17">
        <f>IF(Audit[[#This Row],[Max Relative Error (ep)]] = 0, 0, Audit[[#This Row],[Max Relative Error (ep)]]/Audit[[#This Row],[Error Bound (up) - Max. possible relative overstatement]])</f>
        <v>0</v>
      </c>
      <c r="BH5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90" s="17">
        <f t="shared" si="9"/>
        <v>1</v>
      </c>
      <c r="BJ590" s="17">
        <f>PRODUCT($BI$5:BI590)</f>
        <v>0.31487538641040835</v>
      </c>
      <c r="BK590" s="19">
        <f>1 - Audit[[#This Row],[K-M P Value]]</f>
        <v>0.68512461358959165</v>
      </c>
      <c r="BL590" s="17" t="str">
        <f>IF(Audit[[#This Row],[K-M P Value]]&gt;1-'General Info'!$B$12,"Continue", "Stop")</f>
        <v>Continue</v>
      </c>
      <c r="BM590" s="22" t="b">
        <f>IF(Audit[[#This Row],[Status - Continue or stop audit]] = "Continue", TRUE, IF(BL589 = "Continue", TRUE, FALSE))</f>
        <v>1</v>
      </c>
      <c r="BN590" s="22"/>
    </row>
    <row r="591" spans="1:66" ht="15" hidden="1" customHeight="1" x14ac:dyDescent="0.35">
      <c r="A591" s="17" t="str">
        <f>'Sampling Data'!AI591</f>
        <v/>
      </c>
      <c r="B591" s="17" t="str">
        <f>'Sampling Data'!A591</f>
        <v>0301 CIN 3-A   (ED)</v>
      </c>
      <c r="C591" s="17">
        <f>'Sampling Data'!B591</f>
        <v>330</v>
      </c>
      <c r="D591" s="17">
        <f>'Sampling Data'!C591</f>
        <v>34</v>
      </c>
      <c r="E591" s="18">
        <f>'Sampling Data'!D591</f>
        <v>0</v>
      </c>
      <c r="F591" s="18">
        <f>'Sampling Data'!E591</f>
        <v>0</v>
      </c>
      <c r="G591" s="18">
        <f>'Sampling Data'!F591</f>
        <v>0</v>
      </c>
      <c r="H591" s="18">
        <f>'Sampling Data'!G591</f>
        <v>0</v>
      </c>
      <c r="I591" s="18">
        <f>'Sampling Data'!H591</f>
        <v>0</v>
      </c>
      <c r="J591" s="18">
        <f>'Sampling Data'!I591</f>
        <v>0</v>
      </c>
      <c r="K591" s="18">
        <f>'Sampling Data'!J591</f>
        <v>0</v>
      </c>
      <c r="L591" s="18">
        <f>'Sampling Data'!K591</f>
        <v>0</v>
      </c>
      <c r="M591" s="18">
        <f>'Sampling Data'!L591</f>
        <v>0</v>
      </c>
      <c r="N591" s="18">
        <f>'Sampling Data'!M591</f>
        <v>0</v>
      </c>
      <c r="O591" s="17">
        <f>'Sampling Data'!N591</f>
        <v>0</v>
      </c>
      <c r="P591" s="17">
        <f>'Sampling Data'!O591</f>
        <v>35</v>
      </c>
      <c r="Q591" s="17">
        <f>'Sampling Data'!P591</f>
        <v>399</v>
      </c>
      <c r="R591" s="17">
        <f>'Sampling Data'!AJ591</f>
        <v>0</v>
      </c>
      <c r="S591" s="111"/>
      <c r="T591" s="111"/>
      <c r="U591" s="112"/>
      <c r="V591" s="112"/>
      <c r="W591" s="111"/>
      <c r="X591" s="111"/>
      <c r="Y591" s="111"/>
      <c r="Z591" s="111"/>
      <c r="AA591" s="14"/>
      <c r="AB591" s="14"/>
      <c r="AC591" s="14"/>
      <c r="AD591" s="14"/>
      <c r="AE591" s="113" t="str">
        <f>IF(NOT(ISBLANK(Audit[[#This Row],[Audit Winning Candidate]])), Audit[[#This Row],[Audit Winning Candidate]]-Audit[[#This Row],[Winning Candidate]], "")</f>
        <v/>
      </c>
      <c r="AF591" s="17" t="str">
        <f>IF(NOT(ISBLANK(Audit[[#This Row],[Audit Losing Candidate]])), Audit[[#This Row],[Audit Losing Candidate]]-Audit[[#This Row],[Losing Candidate]], "")</f>
        <v/>
      </c>
      <c r="AG591" s="17" t="str">
        <f>IF(NOT(ISBLANK(Audit[[#This Row],[Audit Candidate 3]])), Audit[[#This Row],[Audit Candidate 3]]-Audit[[#This Row],[Candidate 3]], "")</f>
        <v/>
      </c>
      <c r="AH591" s="17" t="str">
        <f>IF(NOT(ISBLANK(Audit[[#This Row],[Audit Candidate 4]])),Audit[[#This Row],[Audit Candidate 4]]-Audit[[#This Row],[Candidate 4]], "")</f>
        <v/>
      </c>
      <c r="AI591" s="17" t="str">
        <f>IF(NOT(ISBLANK(Audit[[#This Row],[Audit Candidate 5]])), Audit[[#This Row],[Audit Candidate 5]]-Audit[[#This Row],[Candidate 5]], "")</f>
        <v/>
      </c>
      <c r="AJ591" s="17" t="str">
        <f>IF(NOT(ISBLANK(Audit[[#This Row],[Audit Candidate 6]])), Audit[[#This Row],[Audit Candidate 6]]-Audit[[#This Row],[Candidate 6]], "")</f>
        <v/>
      </c>
      <c r="AK591" s="17" t="str">
        <f>IF(NOT(ISBLANK(Audit[[#This Row],[Audit Candidate 7]])), Audit[[#This Row],[Audit Candidate 7]]-Audit[[#This Row],[Candidate 7]], "")</f>
        <v/>
      </c>
      <c r="AL591" s="17" t="str">
        <f>IF(NOT(ISBLANK(Audit[[#This Row],[Audit Candidate 8]])), Audit[[#This Row],[Audit Candidate 8]]-Audit[[#This Row],[Candidate 8]], "")</f>
        <v/>
      </c>
      <c r="AM591" s="17" t="str">
        <f>IF(NOT(ISBLANK(Audit[[#This Row],[Audit Candidate 9]])), Audit[[#This Row],[Audit Candidate 9]]-Audit[[#This Row],[Candidate 9]], "")</f>
        <v/>
      </c>
      <c r="AN591" s="17" t="str">
        <f>IF(NOT(ISBLANK(Audit[[#This Row],[Audit Candidate 10]])), Audit[[#This Row],[Audit Candidate 10]]-Audit[[#This Row],[Candidate 10]], "")</f>
        <v/>
      </c>
      <c r="AO591" s="17" t="str">
        <f>IF(NOT(ISBLANK(Audit[[#This Row],[Audit Candidate 11]])), Audit[[#This Row],[Audit Candidate 11]]-Audit[[#This Row],[Candidate 11]], "")</f>
        <v/>
      </c>
      <c r="AP591" s="17" t="str">
        <f>IF(NOT(ISBLANK(Audit[[#This Row],[Audit Candidate 12]])), Audit[[#This Row],[Audit Candidate 12]]-Audit[[#This Row],[Candidate 12]], "")</f>
        <v/>
      </c>
      <c r="AQ591" s="17">
        <f>SUMIF(Audit[[#This Row],[Difference Winner]:[Difference Candidate 12]], "&gt;0")</f>
        <v>0</v>
      </c>
      <c r="AR591" s="17">
        <f>SUM(Audit[[#This Row],[Difference Winner]:[Difference Candidate 12]])</f>
        <v>0</v>
      </c>
      <c r="AS591" s="17">
        <f>IF(Audit[[#This Row],[Times p Drawn - With Replacement]]&gt;0, IF(Audit[[#This Row],[Canceled Differences]]&lt;0, Audit[[#This Row],[Max Differences]]+ABS(Audit[[#This Row],[Canceled Differences]]), Audit[[#This Row],[Max Differences]]), 0)</f>
        <v>0</v>
      </c>
      <c r="AT591" s="17">
        <f>'Sampling Data'!AB591</f>
        <v>2.9494143608894925E-2</v>
      </c>
      <c r="AU591" s="17">
        <f>IF(
      SUM(Audit[[#This Row],[Audit Losing Candidate]:[Audit Candidate 12]])
      &lt;&gt;0,
      (Audit[[#This Row],[Winning Candidate]]-Audit[[#This Row],[Losing Candidate]]-(Audit[[#This Row],[Audit Winning Candidate]]-Audit[[#This Row],[Audit Losing Candidate]]))/(Audit[[#Totals],[Winning Candidate]]-Audit[[#Totals],[Losing Candidate]]),
      0
)</f>
        <v>0</v>
      </c>
      <c r="AV5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1" s="17">
        <f>IF(Audit[[#This Row],[Max Relative Error (ep)]] = 0, 0, Audit[[#This Row],[Max Relative Error (ep)]]/Audit[[#This Row],[Error Bound (up) - Max. possible relative overstatement]])</f>
        <v>0</v>
      </c>
      <c r="BH5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91" s="17">
        <f t="shared" ref="BI591:BI654" si="10">IF(ISERR(POWER(BH591,R591)), 0, POWER(BH591,R591))</f>
        <v>1</v>
      </c>
      <c r="BJ591" s="17">
        <f>PRODUCT($BI$5:BI591)</f>
        <v>0.31487538641040835</v>
      </c>
      <c r="BK591" s="19">
        <f>1 - Audit[[#This Row],[K-M P Value]]</f>
        <v>0.68512461358959165</v>
      </c>
      <c r="BL591" s="17" t="str">
        <f>IF(Audit[[#This Row],[K-M P Value]]&gt;1-'General Info'!$B$12,"Continue", "Stop")</f>
        <v>Continue</v>
      </c>
      <c r="BM591" s="22" t="b">
        <f>IF(Audit[[#This Row],[Status - Continue or stop audit]] = "Continue", TRUE, IF(BL590 = "Continue", TRUE, FALSE))</f>
        <v>1</v>
      </c>
      <c r="BN591" s="22"/>
    </row>
    <row r="592" spans="1:66" ht="15" hidden="1" customHeight="1" x14ac:dyDescent="0.35">
      <c r="A592" s="17" t="str">
        <f>'Sampling Data'!AI592</f>
        <v/>
      </c>
      <c r="B592" s="17" t="str">
        <f>'Sampling Data'!A592</f>
        <v>0302 CIN 3-B   (ED)</v>
      </c>
      <c r="C592" s="17">
        <f>'Sampling Data'!B592</f>
        <v>199</v>
      </c>
      <c r="D592" s="17">
        <f>'Sampling Data'!C592</f>
        <v>64</v>
      </c>
      <c r="E592" s="18">
        <f>'Sampling Data'!D592</f>
        <v>0</v>
      </c>
      <c r="F592" s="18">
        <f>'Sampling Data'!E592</f>
        <v>0</v>
      </c>
      <c r="G592" s="18">
        <f>'Sampling Data'!F592</f>
        <v>0</v>
      </c>
      <c r="H592" s="18">
        <f>'Sampling Data'!G592</f>
        <v>0</v>
      </c>
      <c r="I592" s="18">
        <f>'Sampling Data'!H592</f>
        <v>0</v>
      </c>
      <c r="J592" s="18">
        <f>'Sampling Data'!I592</f>
        <v>0</v>
      </c>
      <c r="K592" s="18">
        <f>'Sampling Data'!J592</f>
        <v>0</v>
      </c>
      <c r="L592" s="18">
        <f>'Sampling Data'!K592</f>
        <v>0</v>
      </c>
      <c r="M592" s="18">
        <f>'Sampling Data'!L592</f>
        <v>0</v>
      </c>
      <c r="N592" s="18">
        <f>'Sampling Data'!M592</f>
        <v>0</v>
      </c>
      <c r="O592" s="17">
        <f>'Sampling Data'!N592</f>
        <v>0</v>
      </c>
      <c r="P592" s="17">
        <f>'Sampling Data'!O592</f>
        <v>15</v>
      </c>
      <c r="Q592" s="17">
        <f>'Sampling Data'!P592</f>
        <v>278</v>
      </c>
      <c r="R592" s="17">
        <f>'Sampling Data'!AJ592</f>
        <v>0</v>
      </c>
      <c r="S592" s="111"/>
      <c r="T592" s="111"/>
      <c r="U592" s="112"/>
      <c r="V592" s="112"/>
      <c r="W592" s="111"/>
      <c r="X592" s="111"/>
      <c r="Y592" s="111"/>
      <c r="Z592" s="111"/>
      <c r="AA592" s="14"/>
      <c r="AB592" s="14"/>
      <c r="AC592" s="14"/>
      <c r="AD592" s="14"/>
      <c r="AE592" s="113" t="str">
        <f>IF(NOT(ISBLANK(Audit[[#This Row],[Audit Winning Candidate]])), Audit[[#This Row],[Audit Winning Candidate]]-Audit[[#This Row],[Winning Candidate]], "")</f>
        <v/>
      </c>
      <c r="AF592" s="17" t="str">
        <f>IF(NOT(ISBLANK(Audit[[#This Row],[Audit Losing Candidate]])), Audit[[#This Row],[Audit Losing Candidate]]-Audit[[#This Row],[Losing Candidate]], "")</f>
        <v/>
      </c>
      <c r="AG592" s="17" t="str">
        <f>IF(NOT(ISBLANK(Audit[[#This Row],[Audit Candidate 3]])), Audit[[#This Row],[Audit Candidate 3]]-Audit[[#This Row],[Candidate 3]], "")</f>
        <v/>
      </c>
      <c r="AH592" s="17" t="str">
        <f>IF(NOT(ISBLANK(Audit[[#This Row],[Audit Candidate 4]])),Audit[[#This Row],[Audit Candidate 4]]-Audit[[#This Row],[Candidate 4]], "")</f>
        <v/>
      </c>
      <c r="AI592" s="17" t="str">
        <f>IF(NOT(ISBLANK(Audit[[#This Row],[Audit Candidate 5]])), Audit[[#This Row],[Audit Candidate 5]]-Audit[[#This Row],[Candidate 5]], "")</f>
        <v/>
      </c>
      <c r="AJ592" s="17" t="str">
        <f>IF(NOT(ISBLANK(Audit[[#This Row],[Audit Candidate 6]])), Audit[[#This Row],[Audit Candidate 6]]-Audit[[#This Row],[Candidate 6]], "")</f>
        <v/>
      </c>
      <c r="AK592" s="17" t="str">
        <f>IF(NOT(ISBLANK(Audit[[#This Row],[Audit Candidate 7]])), Audit[[#This Row],[Audit Candidate 7]]-Audit[[#This Row],[Candidate 7]], "")</f>
        <v/>
      </c>
      <c r="AL592" s="17" t="str">
        <f>IF(NOT(ISBLANK(Audit[[#This Row],[Audit Candidate 8]])), Audit[[#This Row],[Audit Candidate 8]]-Audit[[#This Row],[Candidate 8]], "")</f>
        <v/>
      </c>
      <c r="AM592" s="17" t="str">
        <f>IF(NOT(ISBLANK(Audit[[#This Row],[Audit Candidate 9]])), Audit[[#This Row],[Audit Candidate 9]]-Audit[[#This Row],[Candidate 9]], "")</f>
        <v/>
      </c>
      <c r="AN592" s="17" t="str">
        <f>IF(NOT(ISBLANK(Audit[[#This Row],[Audit Candidate 10]])), Audit[[#This Row],[Audit Candidate 10]]-Audit[[#This Row],[Candidate 10]], "")</f>
        <v/>
      </c>
      <c r="AO592" s="17" t="str">
        <f>IF(NOT(ISBLANK(Audit[[#This Row],[Audit Candidate 11]])), Audit[[#This Row],[Audit Candidate 11]]-Audit[[#This Row],[Candidate 11]], "")</f>
        <v/>
      </c>
      <c r="AP592" s="17" t="str">
        <f>IF(NOT(ISBLANK(Audit[[#This Row],[Audit Candidate 12]])), Audit[[#This Row],[Audit Candidate 12]]-Audit[[#This Row],[Candidate 12]], "")</f>
        <v/>
      </c>
      <c r="AQ592" s="17">
        <f>SUMIF(Audit[[#This Row],[Difference Winner]:[Difference Candidate 12]], "&gt;0")</f>
        <v>0</v>
      </c>
      <c r="AR592" s="17">
        <f>SUM(Audit[[#This Row],[Difference Winner]:[Difference Candidate 12]])</f>
        <v>0</v>
      </c>
      <c r="AS592" s="17">
        <f>IF(Audit[[#This Row],[Times p Drawn - With Replacement]]&gt;0, IF(Audit[[#This Row],[Canceled Differences]]&lt;0, Audit[[#This Row],[Max Differences]]+ABS(Audit[[#This Row],[Canceled Differences]]), Audit[[#This Row],[Max Differences]]), 0)</f>
        <v>0</v>
      </c>
      <c r="AT592" s="17">
        <f>'Sampling Data'!AB592</f>
        <v>1.7526735698523171E-2</v>
      </c>
      <c r="AU592" s="17">
        <f>IF(
      SUM(Audit[[#This Row],[Audit Losing Candidate]:[Audit Candidate 12]])
      &lt;&gt;0,
      (Audit[[#This Row],[Winning Candidate]]-Audit[[#This Row],[Losing Candidate]]-(Audit[[#This Row],[Audit Winning Candidate]]-Audit[[#This Row],[Audit Losing Candidate]]))/(Audit[[#Totals],[Winning Candidate]]-Audit[[#Totals],[Losing Candidate]]),
      0
)</f>
        <v>0</v>
      </c>
      <c r="AV5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2" s="17">
        <f>IF(Audit[[#This Row],[Max Relative Error (ep)]] = 0, 0, Audit[[#This Row],[Max Relative Error (ep)]]/Audit[[#This Row],[Error Bound (up) - Max. possible relative overstatement]])</f>
        <v>0</v>
      </c>
      <c r="BH5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92" s="17">
        <f t="shared" si="10"/>
        <v>1</v>
      </c>
      <c r="BJ592" s="17">
        <f>PRODUCT($BI$5:BI592)</f>
        <v>0.31487538641040835</v>
      </c>
      <c r="BK592" s="19">
        <f>1 - Audit[[#This Row],[K-M P Value]]</f>
        <v>0.68512461358959165</v>
      </c>
      <c r="BL592" s="17" t="str">
        <f>IF(Audit[[#This Row],[K-M P Value]]&gt;1-'General Info'!$B$12,"Continue", "Stop")</f>
        <v>Continue</v>
      </c>
      <c r="BM592" s="22" t="b">
        <f>IF(Audit[[#This Row],[Status - Continue or stop audit]] = "Continue", TRUE, IF(BL591 = "Continue", TRUE, FALSE))</f>
        <v>1</v>
      </c>
      <c r="BN592" s="22"/>
    </row>
    <row r="593" spans="1:66" ht="15" hidden="1" customHeight="1" x14ac:dyDescent="0.35">
      <c r="A593" s="17" t="str">
        <f>'Sampling Data'!AI593</f>
        <v/>
      </c>
      <c r="B593" s="17" t="str">
        <f>'Sampling Data'!A593</f>
        <v>0303 CIN 3-C   (ED)</v>
      </c>
      <c r="C593" s="17">
        <f>'Sampling Data'!B593</f>
        <v>154</v>
      </c>
      <c r="D593" s="17">
        <f>'Sampling Data'!C593</f>
        <v>86</v>
      </c>
      <c r="E593" s="18">
        <f>'Sampling Data'!D593</f>
        <v>0</v>
      </c>
      <c r="F593" s="18">
        <f>'Sampling Data'!E593</f>
        <v>0</v>
      </c>
      <c r="G593" s="18">
        <f>'Sampling Data'!F593</f>
        <v>0</v>
      </c>
      <c r="H593" s="18">
        <f>'Sampling Data'!G593</f>
        <v>0</v>
      </c>
      <c r="I593" s="18">
        <f>'Sampling Data'!H593</f>
        <v>0</v>
      </c>
      <c r="J593" s="18">
        <f>'Sampling Data'!I593</f>
        <v>0</v>
      </c>
      <c r="K593" s="18">
        <f>'Sampling Data'!J593</f>
        <v>0</v>
      </c>
      <c r="L593" s="18">
        <f>'Sampling Data'!K593</f>
        <v>0</v>
      </c>
      <c r="M593" s="18">
        <f>'Sampling Data'!L593</f>
        <v>0</v>
      </c>
      <c r="N593" s="18">
        <f>'Sampling Data'!M593</f>
        <v>0</v>
      </c>
      <c r="O593" s="17">
        <f>'Sampling Data'!N593</f>
        <v>0</v>
      </c>
      <c r="P593" s="17">
        <f>'Sampling Data'!O593</f>
        <v>21</v>
      </c>
      <c r="Q593" s="17">
        <f>'Sampling Data'!P593</f>
        <v>261</v>
      </c>
      <c r="R593" s="17">
        <f>'Sampling Data'!AJ593</f>
        <v>0</v>
      </c>
      <c r="S593" s="111"/>
      <c r="T593" s="111"/>
      <c r="U593" s="112"/>
      <c r="V593" s="112"/>
      <c r="W593" s="111"/>
      <c r="X593" s="111"/>
      <c r="Y593" s="111"/>
      <c r="Z593" s="111"/>
      <c r="AA593" s="14"/>
      <c r="AB593" s="14"/>
      <c r="AC593" s="14"/>
      <c r="AD593" s="14"/>
      <c r="AE593" s="113" t="str">
        <f>IF(NOT(ISBLANK(Audit[[#This Row],[Audit Winning Candidate]])), Audit[[#This Row],[Audit Winning Candidate]]-Audit[[#This Row],[Winning Candidate]], "")</f>
        <v/>
      </c>
      <c r="AF593" s="17" t="str">
        <f>IF(NOT(ISBLANK(Audit[[#This Row],[Audit Losing Candidate]])), Audit[[#This Row],[Audit Losing Candidate]]-Audit[[#This Row],[Losing Candidate]], "")</f>
        <v/>
      </c>
      <c r="AG593" s="17" t="str">
        <f>IF(NOT(ISBLANK(Audit[[#This Row],[Audit Candidate 3]])), Audit[[#This Row],[Audit Candidate 3]]-Audit[[#This Row],[Candidate 3]], "")</f>
        <v/>
      </c>
      <c r="AH593" s="17" t="str">
        <f>IF(NOT(ISBLANK(Audit[[#This Row],[Audit Candidate 4]])),Audit[[#This Row],[Audit Candidate 4]]-Audit[[#This Row],[Candidate 4]], "")</f>
        <v/>
      </c>
      <c r="AI593" s="17" t="str">
        <f>IF(NOT(ISBLANK(Audit[[#This Row],[Audit Candidate 5]])), Audit[[#This Row],[Audit Candidate 5]]-Audit[[#This Row],[Candidate 5]], "")</f>
        <v/>
      </c>
      <c r="AJ593" s="17" t="str">
        <f>IF(NOT(ISBLANK(Audit[[#This Row],[Audit Candidate 6]])), Audit[[#This Row],[Audit Candidate 6]]-Audit[[#This Row],[Candidate 6]], "")</f>
        <v/>
      </c>
      <c r="AK593" s="17" t="str">
        <f>IF(NOT(ISBLANK(Audit[[#This Row],[Audit Candidate 7]])), Audit[[#This Row],[Audit Candidate 7]]-Audit[[#This Row],[Candidate 7]], "")</f>
        <v/>
      </c>
      <c r="AL593" s="17" t="str">
        <f>IF(NOT(ISBLANK(Audit[[#This Row],[Audit Candidate 8]])), Audit[[#This Row],[Audit Candidate 8]]-Audit[[#This Row],[Candidate 8]], "")</f>
        <v/>
      </c>
      <c r="AM593" s="17" t="str">
        <f>IF(NOT(ISBLANK(Audit[[#This Row],[Audit Candidate 9]])), Audit[[#This Row],[Audit Candidate 9]]-Audit[[#This Row],[Candidate 9]], "")</f>
        <v/>
      </c>
      <c r="AN593" s="17" t="str">
        <f>IF(NOT(ISBLANK(Audit[[#This Row],[Audit Candidate 10]])), Audit[[#This Row],[Audit Candidate 10]]-Audit[[#This Row],[Candidate 10]], "")</f>
        <v/>
      </c>
      <c r="AO593" s="17" t="str">
        <f>IF(NOT(ISBLANK(Audit[[#This Row],[Audit Candidate 11]])), Audit[[#This Row],[Audit Candidate 11]]-Audit[[#This Row],[Candidate 11]], "")</f>
        <v/>
      </c>
      <c r="AP593" s="17" t="str">
        <f>IF(NOT(ISBLANK(Audit[[#This Row],[Audit Candidate 12]])), Audit[[#This Row],[Audit Candidate 12]]-Audit[[#This Row],[Candidate 12]], "")</f>
        <v/>
      </c>
      <c r="AQ593" s="17">
        <f>SUMIF(Audit[[#This Row],[Difference Winner]:[Difference Candidate 12]], "&gt;0")</f>
        <v>0</v>
      </c>
      <c r="AR593" s="17">
        <f>SUM(Audit[[#This Row],[Difference Winner]:[Difference Candidate 12]])</f>
        <v>0</v>
      </c>
      <c r="AS593" s="17">
        <f>IF(Audit[[#This Row],[Times p Drawn - With Replacement]]&gt;0, IF(Audit[[#This Row],[Canceled Differences]]&lt;0, Audit[[#This Row],[Max Differences]]+ABS(Audit[[#This Row],[Canceled Differences]]), Audit[[#This Row],[Max Differences]]), 0)</f>
        <v>0</v>
      </c>
      <c r="AT593" s="17">
        <f>'Sampling Data'!AB593</f>
        <v>1.3961975895433713E-2</v>
      </c>
      <c r="AU593" s="17">
        <f>IF(
      SUM(Audit[[#This Row],[Audit Losing Candidate]:[Audit Candidate 12]])
      &lt;&gt;0,
      (Audit[[#This Row],[Winning Candidate]]-Audit[[#This Row],[Losing Candidate]]-(Audit[[#This Row],[Audit Winning Candidate]]-Audit[[#This Row],[Audit Losing Candidate]]))/(Audit[[#Totals],[Winning Candidate]]-Audit[[#Totals],[Losing Candidate]]),
      0
)</f>
        <v>0</v>
      </c>
      <c r="AV5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3" s="17">
        <f>IF(Audit[[#This Row],[Max Relative Error (ep)]] = 0, 0, Audit[[#This Row],[Max Relative Error (ep)]]/Audit[[#This Row],[Error Bound (up) - Max. possible relative overstatement]])</f>
        <v>0</v>
      </c>
      <c r="BH5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93" s="17">
        <f t="shared" si="10"/>
        <v>1</v>
      </c>
      <c r="BJ593" s="17">
        <f>PRODUCT($BI$5:BI593)</f>
        <v>0.31487538641040835</v>
      </c>
      <c r="BK593" s="19">
        <f>1 - Audit[[#This Row],[K-M P Value]]</f>
        <v>0.68512461358959165</v>
      </c>
      <c r="BL593" s="17" t="str">
        <f>IF(Audit[[#This Row],[K-M P Value]]&gt;1-'General Info'!$B$12,"Continue", "Stop")</f>
        <v>Continue</v>
      </c>
      <c r="BM593" s="22" t="b">
        <f>IF(Audit[[#This Row],[Status - Continue or stop audit]] = "Continue", TRUE, IF(BL592 = "Continue", TRUE, FALSE))</f>
        <v>1</v>
      </c>
      <c r="BN593" s="22"/>
    </row>
    <row r="594" spans="1:66" ht="15" hidden="1" customHeight="1" x14ac:dyDescent="0.35">
      <c r="A594" s="17" t="str">
        <f>'Sampling Data'!AI594</f>
        <v/>
      </c>
      <c r="B594" s="17" t="str">
        <f>'Sampling Data'!A594</f>
        <v>0304 CIN 3-D   (ED)</v>
      </c>
      <c r="C594" s="17">
        <f>'Sampling Data'!B594</f>
        <v>364</v>
      </c>
      <c r="D594" s="17">
        <f>'Sampling Data'!C594</f>
        <v>58</v>
      </c>
      <c r="E594" s="18">
        <f>'Sampling Data'!D594</f>
        <v>0</v>
      </c>
      <c r="F594" s="18">
        <f>'Sampling Data'!E594</f>
        <v>0</v>
      </c>
      <c r="G594" s="18">
        <f>'Sampling Data'!F594</f>
        <v>0</v>
      </c>
      <c r="H594" s="18">
        <f>'Sampling Data'!G594</f>
        <v>0</v>
      </c>
      <c r="I594" s="18">
        <f>'Sampling Data'!H594</f>
        <v>0</v>
      </c>
      <c r="J594" s="18">
        <f>'Sampling Data'!I594</f>
        <v>0</v>
      </c>
      <c r="K594" s="18">
        <f>'Sampling Data'!J594</f>
        <v>0</v>
      </c>
      <c r="L594" s="18">
        <f>'Sampling Data'!K594</f>
        <v>0</v>
      </c>
      <c r="M594" s="18">
        <f>'Sampling Data'!L594</f>
        <v>0</v>
      </c>
      <c r="N594" s="18">
        <f>'Sampling Data'!M594</f>
        <v>0</v>
      </c>
      <c r="O594" s="17">
        <f>'Sampling Data'!N594</f>
        <v>0</v>
      </c>
      <c r="P594" s="17">
        <f>'Sampling Data'!O594</f>
        <v>33</v>
      </c>
      <c r="Q594" s="17">
        <f>'Sampling Data'!P594</f>
        <v>455</v>
      </c>
      <c r="R594" s="17">
        <f>'Sampling Data'!AJ594</f>
        <v>0</v>
      </c>
      <c r="S594" s="111"/>
      <c r="T594" s="111"/>
      <c r="U594" s="112"/>
      <c r="V594" s="112"/>
      <c r="W594" s="111"/>
      <c r="X594" s="111"/>
      <c r="Y594" s="111"/>
      <c r="Z594" s="111"/>
      <c r="AA594" s="14"/>
      <c r="AB594" s="14"/>
      <c r="AC594" s="14"/>
      <c r="AD594" s="14"/>
      <c r="AE594" s="113" t="str">
        <f>IF(NOT(ISBLANK(Audit[[#This Row],[Audit Winning Candidate]])), Audit[[#This Row],[Audit Winning Candidate]]-Audit[[#This Row],[Winning Candidate]], "")</f>
        <v/>
      </c>
      <c r="AF594" s="17" t="str">
        <f>IF(NOT(ISBLANK(Audit[[#This Row],[Audit Losing Candidate]])), Audit[[#This Row],[Audit Losing Candidate]]-Audit[[#This Row],[Losing Candidate]], "")</f>
        <v/>
      </c>
      <c r="AG594" s="17" t="str">
        <f>IF(NOT(ISBLANK(Audit[[#This Row],[Audit Candidate 3]])), Audit[[#This Row],[Audit Candidate 3]]-Audit[[#This Row],[Candidate 3]], "")</f>
        <v/>
      </c>
      <c r="AH594" s="17" t="str">
        <f>IF(NOT(ISBLANK(Audit[[#This Row],[Audit Candidate 4]])),Audit[[#This Row],[Audit Candidate 4]]-Audit[[#This Row],[Candidate 4]], "")</f>
        <v/>
      </c>
      <c r="AI594" s="17" t="str">
        <f>IF(NOT(ISBLANK(Audit[[#This Row],[Audit Candidate 5]])), Audit[[#This Row],[Audit Candidate 5]]-Audit[[#This Row],[Candidate 5]], "")</f>
        <v/>
      </c>
      <c r="AJ594" s="17" t="str">
        <f>IF(NOT(ISBLANK(Audit[[#This Row],[Audit Candidate 6]])), Audit[[#This Row],[Audit Candidate 6]]-Audit[[#This Row],[Candidate 6]], "")</f>
        <v/>
      </c>
      <c r="AK594" s="17" t="str">
        <f>IF(NOT(ISBLANK(Audit[[#This Row],[Audit Candidate 7]])), Audit[[#This Row],[Audit Candidate 7]]-Audit[[#This Row],[Candidate 7]], "")</f>
        <v/>
      </c>
      <c r="AL594" s="17" t="str">
        <f>IF(NOT(ISBLANK(Audit[[#This Row],[Audit Candidate 8]])), Audit[[#This Row],[Audit Candidate 8]]-Audit[[#This Row],[Candidate 8]], "")</f>
        <v/>
      </c>
      <c r="AM594" s="17" t="str">
        <f>IF(NOT(ISBLANK(Audit[[#This Row],[Audit Candidate 9]])), Audit[[#This Row],[Audit Candidate 9]]-Audit[[#This Row],[Candidate 9]], "")</f>
        <v/>
      </c>
      <c r="AN594" s="17" t="str">
        <f>IF(NOT(ISBLANK(Audit[[#This Row],[Audit Candidate 10]])), Audit[[#This Row],[Audit Candidate 10]]-Audit[[#This Row],[Candidate 10]], "")</f>
        <v/>
      </c>
      <c r="AO594" s="17" t="str">
        <f>IF(NOT(ISBLANK(Audit[[#This Row],[Audit Candidate 11]])), Audit[[#This Row],[Audit Candidate 11]]-Audit[[#This Row],[Candidate 11]], "")</f>
        <v/>
      </c>
      <c r="AP594" s="17" t="str">
        <f>IF(NOT(ISBLANK(Audit[[#This Row],[Audit Candidate 12]])), Audit[[#This Row],[Audit Candidate 12]]-Audit[[#This Row],[Candidate 12]], "")</f>
        <v/>
      </c>
      <c r="AQ594" s="17">
        <f>SUMIF(Audit[[#This Row],[Difference Winner]:[Difference Candidate 12]], "&gt;0")</f>
        <v>0</v>
      </c>
      <c r="AR594" s="17">
        <f>SUM(Audit[[#This Row],[Difference Winner]:[Difference Candidate 12]])</f>
        <v>0</v>
      </c>
      <c r="AS594" s="17">
        <f>IF(Audit[[#This Row],[Times p Drawn - With Replacement]]&gt;0, IF(Audit[[#This Row],[Canceled Differences]]&lt;0, Audit[[#This Row],[Max Differences]]+ABS(Audit[[#This Row],[Canceled Differences]]), Audit[[#This Row],[Max Differences]]), 0)</f>
        <v>0</v>
      </c>
      <c r="AT594" s="17">
        <f>'Sampling Data'!AB594</f>
        <v>3.2295026311322354E-2</v>
      </c>
      <c r="AU594" s="17">
        <f>IF(
      SUM(Audit[[#This Row],[Audit Losing Candidate]:[Audit Candidate 12]])
      &lt;&gt;0,
      (Audit[[#This Row],[Winning Candidate]]-Audit[[#This Row],[Losing Candidate]]-(Audit[[#This Row],[Audit Winning Candidate]]-Audit[[#This Row],[Audit Losing Candidate]]))/(Audit[[#Totals],[Winning Candidate]]-Audit[[#Totals],[Losing Candidate]]),
      0
)</f>
        <v>0</v>
      </c>
      <c r="AV5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4" s="17">
        <f>IF(Audit[[#This Row],[Max Relative Error (ep)]] = 0, 0, Audit[[#This Row],[Max Relative Error (ep)]]/Audit[[#This Row],[Error Bound (up) - Max. possible relative overstatement]])</f>
        <v>0</v>
      </c>
      <c r="BH5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94" s="17">
        <f t="shared" si="10"/>
        <v>1</v>
      </c>
      <c r="BJ594" s="17">
        <f>PRODUCT($BI$5:BI594)</f>
        <v>0.31487538641040835</v>
      </c>
      <c r="BK594" s="19">
        <f>1 - Audit[[#This Row],[K-M P Value]]</f>
        <v>0.68512461358959165</v>
      </c>
      <c r="BL594" s="17" t="str">
        <f>IF(Audit[[#This Row],[K-M P Value]]&gt;1-'General Info'!$B$12,"Continue", "Stop")</f>
        <v>Continue</v>
      </c>
      <c r="BM594" s="22" t="b">
        <f>IF(Audit[[#This Row],[Status - Continue or stop audit]] = "Continue", TRUE, IF(BL593 = "Continue", TRUE, FALSE))</f>
        <v>1</v>
      </c>
      <c r="BN594" s="22"/>
    </row>
    <row r="595" spans="1:66" ht="15" hidden="1" customHeight="1" x14ac:dyDescent="0.35">
      <c r="A595" s="17" t="str">
        <f>'Sampling Data'!AI595</f>
        <v/>
      </c>
      <c r="B595" s="17" t="str">
        <f>'Sampling Data'!A595</f>
        <v>0305 CIN 3-E   (ED)</v>
      </c>
      <c r="C595" s="17">
        <f>'Sampling Data'!B595</f>
        <v>344</v>
      </c>
      <c r="D595" s="17">
        <f>'Sampling Data'!C595</f>
        <v>64</v>
      </c>
      <c r="E595" s="18">
        <f>'Sampling Data'!D595</f>
        <v>0</v>
      </c>
      <c r="F595" s="18">
        <f>'Sampling Data'!E595</f>
        <v>0</v>
      </c>
      <c r="G595" s="18">
        <f>'Sampling Data'!F595</f>
        <v>0</v>
      </c>
      <c r="H595" s="18">
        <f>'Sampling Data'!G595</f>
        <v>0</v>
      </c>
      <c r="I595" s="18">
        <f>'Sampling Data'!H595</f>
        <v>0</v>
      </c>
      <c r="J595" s="18">
        <f>'Sampling Data'!I595</f>
        <v>0</v>
      </c>
      <c r="K595" s="18">
        <f>'Sampling Data'!J595</f>
        <v>0</v>
      </c>
      <c r="L595" s="18">
        <f>'Sampling Data'!K595</f>
        <v>0</v>
      </c>
      <c r="M595" s="18">
        <f>'Sampling Data'!L595</f>
        <v>0</v>
      </c>
      <c r="N595" s="18">
        <f>'Sampling Data'!M595</f>
        <v>0</v>
      </c>
      <c r="O595" s="17">
        <f>'Sampling Data'!N595</f>
        <v>0</v>
      </c>
      <c r="P595" s="17">
        <f>'Sampling Data'!O595</f>
        <v>36</v>
      </c>
      <c r="Q595" s="17">
        <f>'Sampling Data'!P595</f>
        <v>444</v>
      </c>
      <c r="R595" s="17">
        <f>'Sampling Data'!AJ595</f>
        <v>0</v>
      </c>
      <c r="S595" s="111"/>
      <c r="T595" s="111"/>
      <c r="U595" s="112"/>
      <c r="V595" s="112"/>
      <c r="W595" s="111"/>
      <c r="X595" s="111"/>
      <c r="Y595" s="111"/>
      <c r="Z595" s="111"/>
      <c r="AA595" s="14"/>
      <c r="AB595" s="14"/>
      <c r="AC595" s="14"/>
      <c r="AD595" s="14"/>
      <c r="AE595" s="113" t="str">
        <f>IF(NOT(ISBLANK(Audit[[#This Row],[Audit Winning Candidate]])), Audit[[#This Row],[Audit Winning Candidate]]-Audit[[#This Row],[Winning Candidate]], "")</f>
        <v/>
      </c>
      <c r="AF595" s="17" t="str">
        <f>IF(NOT(ISBLANK(Audit[[#This Row],[Audit Losing Candidate]])), Audit[[#This Row],[Audit Losing Candidate]]-Audit[[#This Row],[Losing Candidate]], "")</f>
        <v/>
      </c>
      <c r="AG595" s="17" t="str">
        <f>IF(NOT(ISBLANK(Audit[[#This Row],[Audit Candidate 3]])), Audit[[#This Row],[Audit Candidate 3]]-Audit[[#This Row],[Candidate 3]], "")</f>
        <v/>
      </c>
      <c r="AH595" s="17" t="str">
        <f>IF(NOT(ISBLANK(Audit[[#This Row],[Audit Candidate 4]])),Audit[[#This Row],[Audit Candidate 4]]-Audit[[#This Row],[Candidate 4]], "")</f>
        <v/>
      </c>
      <c r="AI595" s="17" t="str">
        <f>IF(NOT(ISBLANK(Audit[[#This Row],[Audit Candidate 5]])), Audit[[#This Row],[Audit Candidate 5]]-Audit[[#This Row],[Candidate 5]], "")</f>
        <v/>
      </c>
      <c r="AJ595" s="17" t="str">
        <f>IF(NOT(ISBLANK(Audit[[#This Row],[Audit Candidate 6]])), Audit[[#This Row],[Audit Candidate 6]]-Audit[[#This Row],[Candidate 6]], "")</f>
        <v/>
      </c>
      <c r="AK595" s="17" t="str">
        <f>IF(NOT(ISBLANK(Audit[[#This Row],[Audit Candidate 7]])), Audit[[#This Row],[Audit Candidate 7]]-Audit[[#This Row],[Candidate 7]], "")</f>
        <v/>
      </c>
      <c r="AL595" s="17" t="str">
        <f>IF(NOT(ISBLANK(Audit[[#This Row],[Audit Candidate 8]])), Audit[[#This Row],[Audit Candidate 8]]-Audit[[#This Row],[Candidate 8]], "")</f>
        <v/>
      </c>
      <c r="AM595" s="17" t="str">
        <f>IF(NOT(ISBLANK(Audit[[#This Row],[Audit Candidate 9]])), Audit[[#This Row],[Audit Candidate 9]]-Audit[[#This Row],[Candidate 9]], "")</f>
        <v/>
      </c>
      <c r="AN595" s="17" t="str">
        <f>IF(NOT(ISBLANK(Audit[[#This Row],[Audit Candidate 10]])), Audit[[#This Row],[Audit Candidate 10]]-Audit[[#This Row],[Candidate 10]], "")</f>
        <v/>
      </c>
      <c r="AO595" s="17" t="str">
        <f>IF(NOT(ISBLANK(Audit[[#This Row],[Audit Candidate 11]])), Audit[[#This Row],[Audit Candidate 11]]-Audit[[#This Row],[Candidate 11]], "")</f>
        <v/>
      </c>
      <c r="AP595" s="17" t="str">
        <f>IF(NOT(ISBLANK(Audit[[#This Row],[Audit Candidate 12]])), Audit[[#This Row],[Audit Candidate 12]]-Audit[[#This Row],[Candidate 12]], "")</f>
        <v/>
      </c>
      <c r="AQ595" s="17">
        <f>SUMIF(Audit[[#This Row],[Difference Winner]:[Difference Candidate 12]], "&gt;0")</f>
        <v>0</v>
      </c>
      <c r="AR595" s="17">
        <f>SUM(Audit[[#This Row],[Difference Winner]:[Difference Candidate 12]])</f>
        <v>0</v>
      </c>
      <c r="AS595" s="17">
        <f>IF(Audit[[#This Row],[Times p Drawn - With Replacement]]&gt;0, IF(Audit[[#This Row],[Canceled Differences]]&lt;0, Audit[[#This Row],[Max Differences]]+ABS(Audit[[#This Row],[Canceled Differences]]), Audit[[#This Row],[Max Differences]]), 0)</f>
        <v>0</v>
      </c>
      <c r="AT595" s="17">
        <f>'Sampling Data'!AB595</f>
        <v>3.0724834493294856E-2</v>
      </c>
      <c r="AU595" s="17">
        <f>IF(
      SUM(Audit[[#This Row],[Audit Losing Candidate]:[Audit Candidate 12]])
      &lt;&gt;0,
      (Audit[[#This Row],[Winning Candidate]]-Audit[[#This Row],[Losing Candidate]]-(Audit[[#This Row],[Audit Winning Candidate]]-Audit[[#This Row],[Audit Losing Candidate]]))/(Audit[[#Totals],[Winning Candidate]]-Audit[[#Totals],[Losing Candidate]]),
      0
)</f>
        <v>0</v>
      </c>
      <c r="AV5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5" s="17">
        <f>IF(Audit[[#This Row],[Max Relative Error (ep)]] = 0, 0, Audit[[#This Row],[Max Relative Error (ep)]]/Audit[[#This Row],[Error Bound (up) - Max. possible relative overstatement]])</f>
        <v>0</v>
      </c>
      <c r="BH5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95" s="17">
        <f t="shared" si="10"/>
        <v>1</v>
      </c>
      <c r="BJ595" s="17">
        <f>PRODUCT($BI$5:BI595)</f>
        <v>0.31487538641040835</v>
      </c>
      <c r="BK595" s="19">
        <f>1 - Audit[[#This Row],[K-M P Value]]</f>
        <v>0.68512461358959165</v>
      </c>
      <c r="BL595" s="17" t="str">
        <f>IF(Audit[[#This Row],[K-M P Value]]&gt;1-'General Info'!$B$12,"Continue", "Stop")</f>
        <v>Continue</v>
      </c>
      <c r="BM595" s="22" t="b">
        <f>IF(Audit[[#This Row],[Status - Continue or stop audit]] = "Continue", TRUE, IF(BL594 = "Continue", TRUE, FALSE))</f>
        <v>1</v>
      </c>
      <c r="BN595" s="22"/>
    </row>
    <row r="596" spans="1:66" ht="15" hidden="1" customHeight="1" x14ac:dyDescent="0.35">
      <c r="A596" s="17" t="str">
        <f>'Sampling Data'!AI596</f>
        <v/>
      </c>
      <c r="B596" s="17" t="str">
        <f>'Sampling Data'!A596</f>
        <v>0401 CIN 4-A   (ED)</v>
      </c>
      <c r="C596" s="17">
        <f>'Sampling Data'!B596</f>
        <v>238</v>
      </c>
      <c r="D596" s="17">
        <f>'Sampling Data'!C596</f>
        <v>127</v>
      </c>
      <c r="E596" s="18">
        <f>'Sampling Data'!D596</f>
        <v>0</v>
      </c>
      <c r="F596" s="18">
        <f>'Sampling Data'!E596</f>
        <v>0</v>
      </c>
      <c r="G596" s="18">
        <f>'Sampling Data'!F596</f>
        <v>0</v>
      </c>
      <c r="H596" s="18">
        <f>'Sampling Data'!G596</f>
        <v>0</v>
      </c>
      <c r="I596" s="18">
        <f>'Sampling Data'!H596</f>
        <v>0</v>
      </c>
      <c r="J596" s="18">
        <f>'Sampling Data'!I596</f>
        <v>0</v>
      </c>
      <c r="K596" s="18">
        <f>'Sampling Data'!J596</f>
        <v>0</v>
      </c>
      <c r="L596" s="18">
        <f>'Sampling Data'!K596</f>
        <v>0</v>
      </c>
      <c r="M596" s="18">
        <f>'Sampling Data'!L596</f>
        <v>0</v>
      </c>
      <c r="N596" s="18">
        <f>'Sampling Data'!M596</f>
        <v>0</v>
      </c>
      <c r="O596" s="17">
        <f>'Sampling Data'!N596</f>
        <v>0</v>
      </c>
      <c r="P596" s="17">
        <f>'Sampling Data'!O596</f>
        <v>36</v>
      </c>
      <c r="Q596" s="17">
        <f>'Sampling Data'!P596</f>
        <v>401</v>
      </c>
      <c r="R596" s="17">
        <f>'Sampling Data'!AJ596</f>
        <v>0</v>
      </c>
      <c r="S596" s="111"/>
      <c r="T596" s="111"/>
      <c r="U596" s="112"/>
      <c r="V596" s="112"/>
      <c r="W596" s="111"/>
      <c r="X596" s="111"/>
      <c r="Y596" s="111"/>
      <c r="Z596" s="111"/>
      <c r="AA596" s="14"/>
      <c r="AB596" s="14"/>
      <c r="AC596" s="14"/>
      <c r="AD596" s="14"/>
      <c r="AE596" s="113" t="str">
        <f>IF(NOT(ISBLANK(Audit[[#This Row],[Audit Winning Candidate]])), Audit[[#This Row],[Audit Winning Candidate]]-Audit[[#This Row],[Winning Candidate]], "")</f>
        <v/>
      </c>
      <c r="AF596" s="17" t="str">
        <f>IF(NOT(ISBLANK(Audit[[#This Row],[Audit Losing Candidate]])), Audit[[#This Row],[Audit Losing Candidate]]-Audit[[#This Row],[Losing Candidate]], "")</f>
        <v/>
      </c>
      <c r="AG596" s="17" t="str">
        <f>IF(NOT(ISBLANK(Audit[[#This Row],[Audit Candidate 3]])), Audit[[#This Row],[Audit Candidate 3]]-Audit[[#This Row],[Candidate 3]], "")</f>
        <v/>
      </c>
      <c r="AH596" s="17" t="str">
        <f>IF(NOT(ISBLANK(Audit[[#This Row],[Audit Candidate 4]])),Audit[[#This Row],[Audit Candidate 4]]-Audit[[#This Row],[Candidate 4]], "")</f>
        <v/>
      </c>
      <c r="AI596" s="17" t="str">
        <f>IF(NOT(ISBLANK(Audit[[#This Row],[Audit Candidate 5]])), Audit[[#This Row],[Audit Candidate 5]]-Audit[[#This Row],[Candidate 5]], "")</f>
        <v/>
      </c>
      <c r="AJ596" s="17" t="str">
        <f>IF(NOT(ISBLANK(Audit[[#This Row],[Audit Candidate 6]])), Audit[[#This Row],[Audit Candidate 6]]-Audit[[#This Row],[Candidate 6]], "")</f>
        <v/>
      </c>
      <c r="AK596" s="17" t="str">
        <f>IF(NOT(ISBLANK(Audit[[#This Row],[Audit Candidate 7]])), Audit[[#This Row],[Audit Candidate 7]]-Audit[[#This Row],[Candidate 7]], "")</f>
        <v/>
      </c>
      <c r="AL596" s="17" t="str">
        <f>IF(NOT(ISBLANK(Audit[[#This Row],[Audit Candidate 8]])), Audit[[#This Row],[Audit Candidate 8]]-Audit[[#This Row],[Candidate 8]], "")</f>
        <v/>
      </c>
      <c r="AM596" s="17" t="str">
        <f>IF(NOT(ISBLANK(Audit[[#This Row],[Audit Candidate 9]])), Audit[[#This Row],[Audit Candidate 9]]-Audit[[#This Row],[Candidate 9]], "")</f>
        <v/>
      </c>
      <c r="AN596" s="17" t="str">
        <f>IF(NOT(ISBLANK(Audit[[#This Row],[Audit Candidate 10]])), Audit[[#This Row],[Audit Candidate 10]]-Audit[[#This Row],[Candidate 10]], "")</f>
        <v/>
      </c>
      <c r="AO596" s="17" t="str">
        <f>IF(NOT(ISBLANK(Audit[[#This Row],[Audit Candidate 11]])), Audit[[#This Row],[Audit Candidate 11]]-Audit[[#This Row],[Candidate 11]], "")</f>
        <v/>
      </c>
      <c r="AP596" s="17" t="str">
        <f>IF(NOT(ISBLANK(Audit[[#This Row],[Audit Candidate 12]])), Audit[[#This Row],[Audit Candidate 12]]-Audit[[#This Row],[Candidate 12]], "")</f>
        <v/>
      </c>
      <c r="AQ596" s="17">
        <f>SUMIF(Audit[[#This Row],[Difference Winner]:[Difference Candidate 12]], "&gt;0")</f>
        <v>0</v>
      </c>
      <c r="AR596" s="17">
        <f>SUM(Audit[[#This Row],[Difference Winner]:[Difference Candidate 12]])</f>
        <v>0</v>
      </c>
      <c r="AS596" s="17">
        <f>IF(Audit[[#This Row],[Times p Drawn - With Replacement]]&gt;0, IF(Audit[[#This Row],[Canceled Differences]]&lt;0, Audit[[#This Row],[Max Differences]]+ABS(Audit[[#This Row],[Canceled Differences]]), Audit[[#This Row],[Max Differences]]), 0)</f>
        <v>0</v>
      </c>
      <c r="AT596" s="17">
        <f>'Sampling Data'!AB596</f>
        <v>2.1728059752164318E-2</v>
      </c>
      <c r="AU596" s="17">
        <f>IF(
      SUM(Audit[[#This Row],[Audit Losing Candidate]:[Audit Candidate 12]])
      &lt;&gt;0,
      (Audit[[#This Row],[Winning Candidate]]-Audit[[#This Row],[Losing Candidate]]-(Audit[[#This Row],[Audit Winning Candidate]]-Audit[[#This Row],[Audit Losing Candidate]]))/(Audit[[#Totals],[Winning Candidate]]-Audit[[#Totals],[Losing Candidate]]),
      0
)</f>
        <v>0</v>
      </c>
      <c r="AV5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6" s="17">
        <f>IF(Audit[[#This Row],[Max Relative Error (ep)]] = 0, 0, Audit[[#This Row],[Max Relative Error (ep)]]/Audit[[#This Row],[Error Bound (up) - Max. possible relative overstatement]])</f>
        <v>0</v>
      </c>
      <c r="BH5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96" s="17">
        <f t="shared" si="10"/>
        <v>1</v>
      </c>
      <c r="BJ596" s="17">
        <f>PRODUCT($BI$5:BI596)</f>
        <v>0.31487538641040835</v>
      </c>
      <c r="BK596" s="19">
        <f>1 - Audit[[#This Row],[K-M P Value]]</f>
        <v>0.68512461358959165</v>
      </c>
      <c r="BL596" s="17" t="str">
        <f>IF(Audit[[#This Row],[K-M P Value]]&gt;1-'General Info'!$B$12,"Continue", "Stop")</f>
        <v>Continue</v>
      </c>
      <c r="BM596" s="22" t="b">
        <f>IF(Audit[[#This Row],[Status - Continue or stop audit]] = "Continue", TRUE, IF(BL595 = "Continue", TRUE, FALSE))</f>
        <v>1</v>
      </c>
      <c r="BN596" s="22"/>
    </row>
    <row r="597" spans="1:66" ht="15" hidden="1" customHeight="1" x14ac:dyDescent="0.35">
      <c r="A597" s="17" t="str">
        <f>'Sampling Data'!AI597</f>
        <v/>
      </c>
      <c r="B597" s="17" t="str">
        <f>'Sampling Data'!A597</f>
        <v>0402 CIN 4-B   (ED)</v>
      </c>
      <c r="C597" s="17">
        <f>'Sampling Data'!B597</f>
        <v>190</v>
      </c>
      <c r="D597" s="17">
        <f>'Sampling Data'!C597</f>
        <v>129</v>
      </c>
      <c r="E597" s="18">
        <f>'Sampling Data'!D597</f>
        <v>0</v>
      </c>
      <c r="F597" s="18">
        <f>'Sampling Data'!E597</f>
        <v>0</v>
      </c>
      <c r="G597" s="18">
        <f>'Sampling Data'!F597</f>
        <v>0</v>
      </c>
      <c r="H597" s="18">
        <f>'Sampling Data'!G597</f>
        <v>0</v>
      </c>
      <c r="I597" s="18">
        <f>'Sampling Data'!H597</f>
        <v>0</v>
      </c>
      <c r="J597" s="18">
        <f>'Sampling Data'!I597</f>
        <v>0</v>
      </c>
      <c r="K597" s="18">
        <f>'Sampling Data'!J597</f>
        <v>0</v>
      </c>
      <c r="L597" s="18">
        <f>'Sampling Data'!K597</f>
        <v>0</v>
      </c>
      <c r="M597" s="18">
        <f>'Sampling Data'!L597</f>
        <v>0</v>
      </c>
      <c r="N597" s="18">
        <f>'Sampling Data'!M597</f>
        <v>0</v>
      </c>
      <c r="O597" s="17">
        <f>'Sampling Data'!N597</f>
        <v>0</v>
      </c>
      <c r="P597" s="17">
        <f>'Sampling Data'!O597</f>
        <v>30</v>
      </c>
      <c r="Q597" s="17">
        <f>'Sampling Data'!P597</f>
        <v>349</v>
      </c>
      <c r="R597" s="17">
        <f>'Sampling Data'!AJ597</f>
        <v>0</v>
      </c>
      <c r="S597" s="111"/>
      <c r="T597" s="111"/>
      <c r="U597" s="112"/>
      <c r="V597" s="112"/>
      <c r="W597" s="111"/>
      <c r="X597" s="111"/>
      <c r="Y597" s="111"/>
      <c r="Z597" s="111"/>
      <c r="AA597" s="14"/>
      <c r="AB597" s="14"/>
      <c r="AC597" s="14"/>
      <c r="AD597" s="14"/>
      <c r="AE597" s="113" t="str">
        <f>IF(NOT(ISBLANK(Audit[[#This Row],[Audit Winning Candidate]])), Audit[[#This Row],[Audit Winning Candidate]]-Audit[[#This Row],[Winning Candidate]], "")</f>
        <v/>
      </c>
      <c r="AF597" s="17" t="str">
        <f>IF(NOT(ISBLANK(Audit[[#This Row],[Audit Losing Candidate]])), Audit[[#This Row],[Audit Losing Candidate]]-Audit[[#This Row],[Losing Candidate]], "")</f>
        <v/>
      </c>
      <c r="AG597" s="17" t="str">
        <f>IF(NOT(ISBLANK(Audit[[#This Row],[Audit Candidate 3]])), Audit[[#This Row],[Audit Candidate 3]]-Audit[[#This Row],[Candidate 3]], "")</f>
        <v/>
      </c>
      <c r="AH597" s="17" t="str">
        <f>IF(NOT(ISBLANK(Audit[[#This Row],[Audit Candidate 4]])),Audit[[#This Row],[Audit Candidate 4]]-Audit[[#This Row],[Candidate 4]], "")</f>
        <v/>
      </c>
      <c r="AI597" s="17" t="str">
        <f>IF(NOT(ISBLANK(Audit[[#This Row],[Audit Candidate 5]])), Audit[[#This Row],[Audit Candidate 5]]-Audit[[#This Row],[Candidate 5]], "")</f>
        <v/>
      </c>
      <c r="AJ597" s="17" t="str">
        <f>IF(NOT(ISBLANK(Audit[[#This Row],[Audit Candidate 6]])), Audit[[#This Row],[Audit Candidate 6]]-Audit[[#This Row],[Candidate 6]], "")</f>
        <v/>
      </c>
      <c r="AK597" s="17" t="str">
        <f>IF(NOT(ISBLANK(Audit[[#This Row],[Audit Candidate 7]])), Audit[[#This Row],[Audit Candidate 7]]-Audit[[#This Row],[Candidate 7]], "")</f>
        <v/>
      </c>
      <c r="AL597" s="17" t="str">
        <f>IF(NOT(ISBLANK(Audit[[#This Row],[Audit Candidate 8]])), Audit[[#This Row],[Audit Candidate 8]]-Audit[[#This Row],[Candidate 8]], "")</f>
        <v/>
      </c>
      <c r="AM597" s="17" t="str">
        <f>IF(NOT(ISBLANK(Audit[[#This Row],[Audit Candidate 9]])), Audit[[#This Row],[Audit Candidate 9]]-Audit[[#This Row],[Candidate 9]], "")</f>
        <v/>
      </c>
      <c r="AN597" s="17" t="str">
        <f>IF(NOT(ISBLANK(Audit[[#This Row],[Audit Candidate 10]])), Audit[[#This Row],[Audit Candidate 10]]-Audit[[#This Row],[Candidate 10]], "")</f>
        <v/>
      </c>
      <c r="AO597" s="17" t="str">
        <f>IF(NOT(ISBLANK(Audit[[#This Row],[Audit Candidate 11]])), Audit[[#This Row],[Audit Candidate 11]]-Audit[[#This Row],[Candidate 11]], "")</f>
        <v/>
      </c>
      <c r="AP597" s="17" t="str">
        <f>IF(NOT(ISBLANK(Audit[[#This Row],[Audit Candidate 12]])), Audit[[#This Row],[Audit Candidate 12]]-Audit[[#This Row],[Candidate 12]], "")</f>
        <v/>
      </c>
      <c r="AQ597" s="17">
        <f>SUMIF(Audit[[#This Row],[Difference Winner]:[Difference Candidate 12]], "&gt;0")</f>
        <v>0</v>
      </c>
      <c r="AR597" s="17">
        <f>SUM(Audit[[#This Row],[Difference Winner]:[Difference Candidate 12]])</f>
        <v>0</v>
      </c>
      <c r="AS597" s="17">
        <f>IF(Audit[[#This Row],[Times p Drawn - With Replacement]]&gt;0, IF(Audit[[#This Row],[Canceled Differences]]&lt;0, Audit[[#This Row],[Max Differences]]+ABS(Audit[[#This Row],[Canceled Differences]]), Audit[[#This Row],[Max Differences]]), 0)</f>
        <v>0</v>
      </c>
      <c r="AT597" s="17">
        <f>'Sampling Data'!AB597</f>
        <v>1.7399422848412834E-2</v>
      </c>
      <c r="AU597" s="17">
        <f>IF(
      SUM(Audit[[#This Row],[Audit Losing Candidate]:[Audit Candidate 12]])
      &lt;&gt;0,
      (Audit[[#This Row],[Winning Candidate]]-Audit[[#This Row],[Losing Candidate]]-(Audit[[#This Row],[Audit Winning Candidate]]-Audit[[#This Row],[Audit Losing Candidate]]))/(Audit[[#Totals],[Winning Candidate]]-Audit[[#Totals],[Losing Candidate]]),
      0
)</f>
        <v>0</v>
      </c>
      <c r="AV5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7" s="17">
        <f>IF(Audit[[#This Row],[Max Relative Error (ep)]] = 0, 0, Audit[[#This Row],[Max Relative Error (ep)]]/Audit[[#This Row],[Error Bound (up) - Max. possible relative overstatement]])</f>
        <v>0</v>
      </c>
      <c r="BH5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97" s="17">
        <f t="shared" si="10"/>
        <v>1</v>
      </c>
      <c r="BJ597" s="17">
        <f>PRODUCT($BI$5:BI597)</f>
        <v>0.31487538641040835</v>
      </c>
      <c r="BK597" s="19">
        <f>1 - Audit[[#This Row],[K-M P Value]]</f>
        <v>0.68512461358959165</v>
      </c>
      <c r="BL597" s="17" t="str">
        <f>IF(Audit[[#This Row],[K-M P Value]]&gt;1-'General Info'!$B$12,"Continue", "Stop")</f>
        <v>Continue</v>
      </c>
      <c r="BM597" s="22" t="b">
        <f>IF(Audit[[#This Row],[Status - Continue or stop audit]] = "Continue", TRUE, IF(BL596 = "Continue", TRUE, FALSE))</f>
        <v>1</v>
      </c>
      <c r="BN597" s="22"/>
    </row>
    <row r="598" spans="1:66" ht="15" hidden="1" customHeight="1" x14ac:dyDescent="0.35">
      <c r="A598" s="17" t="str">
        <f>'Sampling Data'!AI598</f>
        <v/>
      </c>
      <c r="B598" s="17" t="str">
        <f>'Sampling Data'!A598</f>
        <v>0403 CIN 4-C   (ED)</v>
      </c>
      <c r="C598" s="17">
        <f>'Sampling Data'!B598</f>
        <v>151</v>
      </c>
      <c r="D598" s="17">
        <f>'Sampling Data'!C598</f>
        <v>91</v>
      </c>
      <c r="E598" s="18">
        <f>'Sampling Data'!D598</f>
        <v>0</v>
      </c>
      <c r="F598" s="18">
        <f>'Sampling Data'!E598</f>
        <v>0</v>
      </c>
      <c r="G598" s="18">
        <f>'Sampling Data'!F598</f>
        <v>0</v>
      </c>
      <c r="H598" s="18">
        <f>'Sampling Data'!G598</f>
        <v>0</v>
      </c>
      <c r="I598" s="18">
        <f>'Sampling Data'!H598</f>
        <v>0</v>
      </c>
      <c r="J598" s="18">
        <f>'Sampling Data'!I598</f>
        <v>0</v>
      </c>
      <c r="K598" s="18">
        <f>'Sampling Data'!J598</f>
        <v>0</v>
      </c>
      <c r="L598" s="18">
        <f>'Sampling Data'!K598</f>
        <v>0</v>
      </c>
      <c r="M598" s="18">
        <f>'Sampling Data'!L598</f>
        <v>0</v>
      </c>
      <c r="N598" s="18">
        <f>'Sampling Data'!M598</f>
        <v>0</v>
      </c>
      <c r="O598" s="17">
        <f>'Sampling Data'!N598</f>
        <v>1</v>
      </c>
      <c r="P598" s="17">
        <f>'Sampling Data'!O598</f>
        <v>24</v>
      </c>
      <c r="Q598" s="17">
        <f>'Sampling Data'!P598</f>
        <v>267</v>
      </c>
      <c r="R598" s="17">
        <f>'Sampling Data'!AJ598</f>
        <v>0</v>
      </c>
      <c r="S598" s="111"/>
      <c r="T598" s="111"/>
      <c r="U598" s="112"/>
      <c r="V598" s="112"/>
      <c r="W598" s="111"/>
      <c r="X598" s="111"/>
      <c r="Y598" s="111"/>
      <c r="Z598" s="111"/>
      <c r="AA598" s="14"/>
      <c r="AB598" s="14"/>
      <c r="AC598" s="14"/>
      <c r="AD598" s="14"/>
      <c r="AE598" s="113" t="str">
        <f>IF(NOT(ISBLANK(Audit[[#This Row],[Audit Winning Candidate]])), Audit[[#This Row],[Audit Winning Candidate]]-Audit[[#This Row],[Winning Candidate]], "")</f>
        <v/>
      </c>
      <c r="AF598" s="17" t="str">
        <f>IF(NOT(ISBLANK(Audit[[#This Row],[Audit Losing Candidate]])), Audit[[#This Row],[Audit Losing Candidate]]-Audit[[#This Row],[Losing Candidate]], "")</f>
        <v/>
      </c>
      <c r="AG598" s="17" t="str">
        <f>IF(NOT(ISBLANK(Audit[[#This Row],[Audit Candidate 3]])), Audit[[#This Row],[Audit Candidate 3]]-Audit[[#This Row],[Candidate 3]], "")</f>
        <v/>
      </c>
      <c r="AH598" s="17" t="str">
        <f>IF(NOT(ISBLANK(Audit[[#This Row],[Audit Candidate 4]])),Audit[[#This Row],[Audit Candidate 4]]-Audit[[#This Row],[Candidate 4]], "")</f>
        <v/>
      </c>
      <c r="AI598" s="17" t="str">
        <f>IF(NOT(ISBLANK(Audit[[#This Row],[Audit Candidate 5]])), Audit[[#This Row],[Audit Candidate 5]]-Audit[[#This Row],[Candidate 5]], "")</f>
        <v/>
      </c>
      <c r="AJ598" s="17" t="str">
        <f>IF(NOT(ISBLANK(Audit[[#This Row],[Audit Candidate 6]])), Audit[[#This Row],[Audit Candidate 6]]-Audit[[#This Row],[Candidate 6]], "")</f>
        <v/>
      </c>
      <c r="AK598" s="17" t="str">
        <f>IF(NOT(ISBLANK(Audit[[#This Row],[Audit Candidate 7]])), Audit[[#This Row],[Audit Candidate 7]]-Audit[[#This Row],[Candidate 7]], "")</f>
        <v/>
      </c>
      <c r="AL598" s="17" t="str">
        <f>IF(NOT(ISBLANK(Audit[[#This Row],[Audit Candidate 8]])), Audit[[#This Row],[Audit Candidate 8]]-Audit[[#This Row],[Candidate 8]], "")</f>
        <v/>
      </c>
      <c r="AM598" s="17" t="str">
        <f>IF(NOT(ISBLANK(Audit[[#This Row],[Audit Candidate 9]])), Audit[[#This Row],[Audit Candidate 9]]-Audit[[#This Row],[Candidate 9]], "")</f>
        <v/>
      </c>
      <c r="AN598" s="17" t="str">
        <f>IF(NOT(ISBLANK(Audit[[#This Row],[Audit Candidate 10]])), Audit[[#This Row],[Audit Candidate 10]]-Audit[[#This Row],[Candidate 10]], "")</f>
        <v/>
      </c>
      <c r="AO598" s="17" t="str">
        <f>IF(NOT(ISBLANK(Audit[[#This Row],[Audit Candidate 11]])), Audit[[#This Row],[Audit Candidate 11]]-Audit[[#This Row],[Candidate 11]], "")</f>
        <v/>
      </c>
      <c r="AP598" s="17" t="str">
        <f>IF(NOT(ISBLANK(Audit[[#This Row],[Audit Candidate 12]])), Audit[[#This Row],[Audit Candidate 12]]-Audit[[#This Row],[Candidate 12]], "")</f>
        <v/>
      </c>
      <c r="AQ598" s="17">
        <f>SUMIF(Audit[[#This Row],[Difference Winner]:[Difference Candidate 12]], "&gt;0")</f>
        <v>0</v>
      </c>
      <c r="AR598" s="17">
        <f>SUM(Audit[[#This Row],[Difference Winner]:[Difference Candidate 12]])</f>
        <v>0</v>
      </c>
      <c r="AS598" s="17">
        <f>IF(Audit[[#This Row],[Times p Drawn - With Replacement]]&gt;0, IF(Audit[[#This Row],[Canceled Differences]]&lt;0, Audit[[#This Row],[Max Differences]]+ABS(Audit[[#This Row],[Canceled Differences]]), Audit[[#This Row],[Max Differences]]), 0)</f>
        <v>0</v>
      </c>
      <c r="AT598" s="17">
        <f>'Sampling Data'!AB598</f>
        <v>1.387710066202682E-2</v>
      </c>
      <c r="AU598" s="17">
        <f>IF(
      SUM(Audit[[#This Row],[Audit Losing Candidate]:[Audit Candidate 12]])
      &lt;&gt;0,
      (Audit[[#This Row],[Winning Candidate]]-Audit[[#This Row],[Losing Candidate]]-(Audit[[#This Row],[Audit Winning Candidate]]-Audit[[#This Row],[Audit Losing Candidate]]))/(Audit[[#Totals],[Winning Candidate]]-Audit[[#Totals],[Losing Candidate]]),
      0
)</f>
        <v>0</v>
      </c>
      <c r="AV5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8" s="17">
        <f>IF(Audit[[#This Row],[Max Relative Error (ep)]] = 0, 0, Audit[[#This Row],[Max Relative Error (ep)]]/Audit[[#This Row],[Error Bound (up) - Max. possible relative overstatement]])</f>
        <v>0</v>
      </c>
      <c r="BH5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98" s="17">
        <f t="shared" si="10"/>
        <v>1</v>
      </c>
      <c r="BJ598" s="17">
        <f>PRODUCT($BI$5:BI598)</f>
        <v>0.31487538641040835</v>
      </c>
      <c r="BK598" s="19">
        <f>1 - Audit[[#This Row],[K-M P Value]]</f>
        <v>0.68512461358959165</v>
      </c>
      <c r="BL598" s="17" t="str">
        <f>IF(Audit[[#This Row],[K-M P Value]]&gt;1-'General Info'!$B$12,"Continue", "Stop")</f>
        <v>Continue</v>
      </c>
      <c r="BM598" s="22" t="b">
        <f>IF(Audit[[#This Row],[Status - Continue or stop audit]] = "Continue", TRUE, IF(BL597 = "Continue", TRUE, FALSE))</f>
        <v>1</v>
      </c>
      <c r="BN598" s="22"/>
    </row>
    <row r="599" spans="1:66" ht="15" hidden="1" customHeight="1" x14ac:dyDescent="0.35">
      <c r="A599" s="17" t="str">
        <f>'Sampling Data'!AI599</f>
        <v/>
      </c>
      <c r="B599" s="17" t="str">
        <f>'Sampling Data'!A599</f>
        <v>0404 CIN 4-D   (ED)</v>
      </c>
      <c r="C599" s="17">
        <f>'Sampling Data'!B599</f>
        <v>240</v>
      </c>
      <c r="D599" s="17">
        <f>'Sampling Data'!C599</f>
        <v>181</v>
      </c>
      <c r="E599" s="18">
        <f>'Sampling Data'!D599</f>
        <v>0</v>
      </c>
      <c r="F599" s="18">
        <f>'Sampling Data'!E599</f>
        <v>0</v>
      </c>
      <c r="G599" s="18">
        <f>'Sampling Data'!F599</f>
        <v>0</v>
      </c>
      <c r="H599" s="18">
        <f>'Sampling Data'!G599</f>
        <v>0</v>
      </c>
      <c r="I599" s="18">
        <f>'Sampling Data'!H599</f>
        <v>0</v>
      </c>
      <c r="J599" s="18">
        <f>'Sampling Data'!I599</f>
        <v>0</v>
      </c>
      <c r="K599" s="18">
        <f>'Sampling Data'!J599</f>
        <v>0</v>
      </c>
      <c r="L599" s="18">
        <f>'Sampling Data'!K599</f>
        <v>0</v>
      </c>
      <c r="M599" s="18">
        <f>'Sampling Data'!L599</f>
        <v>0</v>
      </c>
      <c r="N599" s="18">
        <f>'Sampling Data'!M599</f>
        <v>0</v>
      </c>
      <c r="O599" s="17">
        <f>'Sampling Data'!N599</f>
        <v>0</v>
      </c>
      <c r="P599" s="17">
        <f>'Sampling Data'!O599</f>
        <v>52</v>
      </c>
      <c r="Q599" s="17">
        <f>'Sampling Data'!P599</f>
        <v>473</v>
      </c>
      <c r="R599" s="17">
        <f>'Sampling Data'!AJ599</f>
        <v>0</v>
      </c>
      <c r="S599" s="111"/>
      <c r="T599" s="111"/>
      <c r="U599" s="112"/>
      <c r="V599" s="112"/>
      <c r="W599" s="111"/>
      <c r="X599" s="111"/>
      <c r="Y599" s="111"/>
      <c r="Z599" s="111"/>
      <c r="AA599" s="14"/>
      <c r="AB599" s="14"/>
      <c r="AC599" s="14"/>
      <c r="AD599" s="14"/>
      <c r="AE599" s="113" t="str">
        <f>IF(NOT(ISBLANK(Audit[[#This Row],[Audit Winning Candidate]])), Audit[[#This Row],[Audit Winning Candidate]]-Audit[[#This Row],[Winning Candidate]], "")</f>
        <v/>
      </c>
      <c r="AF599" s="17" t="str">
        <f>IF(NOT(ISBLANK(Audit[[#This Row],[Audit Losing Candidate]])), Audit[[#This Row],[Audit Losing Candidate]]-Audit[[#This Row],[Losing Candidate]], "")</f>
        <v/>
      </c>
      <c r="AG599" s="17" t="str">
        <f>IF(NOT(ISBLANK(Audit[[#This Row],[Audit Candidate 3]])), Audit[[#This Row],[Audit Candidate 3]]-Audit[[#This Row],[Candidate 3]], "")</f>
        <v/>
      </c>
      <c r="AH599" s="17" t="str">
        <f>IF(NOT(ISBLANK(Audit[[#This Row],[Audit Candidate 4]])),Audit[[#This Row],[Audit Candidate 4]]-Audit[[#This Row],[Candidate 4]], "")</f>
        <v/>
      </c>
      <c r="AI599" s="17" t="str">
        <f>IF(NOT(ISBLANK(Audit[[#This Row],[Audit Candidate 5]])), Audit[[#This Row],[Audit Candidate 5]]-Audit[[#This Row],[Candidate 5]], "")</f>
        <v/>
      </c>
      <c r="AJ599" s="17" t="str">
        <f>IF(NOT(ISBLANK(Audit[[#This Row],[Audit Candidate 6]])), Audit[[#This Row],[Audit Candidate 6]]-Audit[[#This Row],[Candidate 6]], "")</f>
        <v/>
      </c>
      <c r="AK599" s="17" t="str">
        <f>IF(NOT(ISBLANK(Audit[[#This Row],[Audit Candidate 7]])), Audit[[#This Row],[Audit Candidate 7]]-Audit[[#This Row],[Candidate 7]], "")</f>
        <v/>
      </c>
      <c r="AL599" s="17" t="str">
        <f>IF(NOT(ISBLANK(Audit[[#This Row],[Audit Candidate 8]])), Audit[[#This Row],[Audit Candidate 8]]-Audit[[#This Row],[Candidate 8]], "")</f>
        <v/>
      </c>
      <c r="AM599" s="17" t="str">
        <f>IF(NOT(ISBLANK(Audit[[#This Row],[Audit Candidate 9]])), Audit[[#This Row],[Audit Candidate 9]]-Audit[[#This Row],[Candidate 9]], "")</f>
        <v/>
      </c>
      <c r="AN599" s="17" t="str">
        <f>IF(NOT(ISBLANK(Audit[[#This Row],[Audit Candidate 10]])), Audit[[#This Row],[Audit Candidate 10]]-Audit[[#This Row],[Candidate 10]], "")</f>
        <v/>
      </c>
      <c r="AO599" s="17" t="str">
        <f>IF(NOT(ISBLANK(Audit[[#This Row],[Audit Candidate 11]])), Audit[[#This Row],[Audit Candidate 11]]-Audit[[#This Row],[Candidate 11]], "")</f>
        <v/>
      </c>
      <c r="AP599" s="17" t="str">
        <f>IF(NOT(ISBLANK(Audit[[#This Row],[Audit Candidate 12]])), Audit[[#This Row],[Audit Candidate 12]]-Audit[[#This Row],[Candidate 12]], "")</f>
        <v/>
      </c>
      <c r="AQ599" s="17">
        <f>SUMIF(Audit[[#This Row],[Difference Winner]:[Difference Candidate 12]], "&gt;0")</f>
        <v>0</v>
      </c>
      <c r="AR599" s="17">
        <f>SUM(Audit[[#This Row],[Difference Winner]:[Difference Candidate 12]])</f>
        <v>0</v>
      </c>
      <c r="AS599" s="17">
        <f>IF(Audit[[#This Row],[Times p Drawn - With Replacement]]&gt;0, IF(Audit[[#This Row],[Canceled Differences]]&lt;0, Audit[[#This Row],[Max Differences]]+ABS(Audit[[#This Row],[Canceled Differences]]), Audit[[#This Row],[Max Differences]]), 0)</f>
        <v>0</v>
      </c>
      <c r="AT599" s="17">
        <f>'Sampling Data'!AB599</f>
        <v>2.2576812086233237E-2</v>
      </c>
      <c r="AU599" s="17">
        <f>IF(
      SUM(Audit[[#This Row],[Audit Losing Candidate]:[Audit Candidate 12]])
      &lt;&gt;0,
      (Audit[[#This Row],[Winning Candidate]]-Audit[[#This Row],[Losing Candidate]]-(Audit[[#This Row],[Audit Winning Candidate]]-Audit[[#This Row],[Audit Losing Candidate]]))/(Audit[[#Totals],[Winning Candidate]]-Audit[[#Totals],[Losing Candidate]]),
      0
)</f>
        <v>0</v>
      </c>
      <c r="AV5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9" s="17">
        <f>IF(Audit[[#This Row],[Max Relative Error (ep)]] = 0, 0, Audit[[#This Row],[Max Relative Error (ep)]]/Audit[[#This Row],[Error Bound (up) - Max. possible relative overstatement]])</f>
        <v>0</v>
      </c>
      <c r="BH5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599" s="17">
        <f t="shared" si="10"/>
        <v>1</v>
      </c>
      <c r="BJ599" s="17">
        <f>PRODUCT($BI$5:BI599)</f>
        <v>0.31487538641040835</v>
      </c>
      <c r="BK599" s="19">
        <f>1 - Audit[[#This Row],[K-M P Value]]</f>
        <v>0.68512461358959165</v>
      </c>
      <c r="BL599" s="17" t="str">
        <f>IF(Audit[[#This Row],[K-M P Value]]&gt;1-'General Info'!$B$12,"Continue", "Stop")</f>
        <v>Continue</v>
      </c>
      <c r="BM599" s="22" t="b">
        <f>IF(Audit[[#This Row],[Status - Continue or stop audit]] = "Continue", TRUE, IF(BL598 = "Continue", TRUE, FALSE))</f>
        <v>1</v>
      </c>
      <c r="BN599" s="22"/>
    </row>
    <row r="600" spans="1:66" ht="15" hidden="1" customHeight="1" x14ac:dyDescent="0.35">
      <c r="A600" s="17" t="str">
        <f>'Sampling Data'!AI600</f>
        <v/>
      </c>
      <c r="B600" s="17" t="str">
        <f>'Sampling Data'!A600</f>
        <v>0405 CIN 4-E   (ED)</v>
      </c>
      <c r="C600" s="17">
        <f>'Sampling Data'!B600</f>
        <v>258</v>
      </c>
      <c r="D600" s="17">
        <f>'Sampling Data'!C600</f>
        <v>164</v>
      </c>
      <c r="E600" s="18">
        <f>'Sampling Data'!D600</f>
        <v>0</v>
      </c>
      <c r="F600" s="18">
        <f>'Sampling Data'!E600</f>
        <v>0</v>
      </c>
      <c r="G600" s="18">
        <f>'Sampling Data'!F600</f>
        <v>0</v>
      </c>
      <c r="H600" s="18">
        <f>'Sampling Data'!G600</f>
        <v>0</v>
      </c>
      <c r="I600" s="18">
        <f>'Sampling Data'!H600</f>
        <v>0</v>
      </c>
      <c r="J600" s="18">
        <f>'Sampling Data'!I600</f>
        <v>0</v>
      </c>
      <c r="K600" s="18">
        <f>'Sampling Data'!J600</f>
        <v>0</v>
      </c>
      <c r="L600" s="18">
        <f>'Sampling Data'!K600</f>
        <v>0</v>
      </c>
      <c r="M600" s="18">
        <f>'Sampling Data'!L600</f>
        <v>0</v>
      </c>
      <c r="N600" s="18">
        <f>'Sampling Data'!M600</f>
        <v>0</v>
      </c>
      <c r="O600" s="17">
        <f>'Sampling Data'!N600</f>
        <v>0</v>
      </c>
      <c r="P600" s="17">
        <f>'Sampling Data'!O600</f>
        <v>49</v>
      </c>
      <c r="Q600" s="17">
        <f>'Sampling Data'!P600</f>
        <v>471</v>
      </c>
      <c r="R600" s="17">
        <f>'Sampling Data'!AJ600</f>
        <v>0</v>
      </c>
      <c r="S600" s="111"/>
      <c r="T600" s="111"/>
      <c r="U600" s="112"/>
      <c r="V600" s="112"/>
      <c r="W600" s="111"/>
      <c r="X600" s="111"/>
      <c r="Y600" s="111"/>
      <c r="Z600" s="111"/>
      <c r="AA600" s="14"/>
      <c r="AB600" s="14"/>
      <c r="AC600" s="14"/>
      <c r="AD600" s="14"/>
      <c r="AE600" s="113" t="str">
        <f>IF(NOT(ISBLANK(Audit[[#This Row],[Audit Winning Candidate]])), Audit[[#This Row],[Audit Winning Candidate]]-Audit[[#This Row],[Winning Candidate]], "")</f>
        <v/>
      </c>
      <c r="AF600" s="17" t="str">
        <f>IF(NOT(ISBLANK(Audit[[#This Row],[Audit Losing Candidate]])), Audit[[#This Row],[Audit Losing Candidate]]-Audit[[#This Row],[Losing Candidate]], "")</f>
        <v/>
      </c>
      <c r="AG600" s="17" t="str">
        <f>IF(NOT(ISBLANK(Audit[[#This Row],[Audit Candidate 3]])), Audit[[#This Row],[Audit Candidate 3]]-Audit[[#This Row],[Candidate 3]], "")</f>
        <v/>
      </c>
      <c r="AH600" s="17" t="str">
        <f>IF(NOT(ISBLANK(Audit[[#This Row],[Audit Candidate 4]])),Audit[[#This Row],[Audit Candidate 4]]-Audit[[#This Row],[Candidate 4]], "")</f>
        <v/>
      </c>
      <c r="AI600" s="17" t="str">
        <f>IF(NOT(ISBLANK(Audit[[#This Row],[Audit Candidate 5]])), Audit[[#This Row],[Audit Candidate 5]]-Audit[[#This Row],[Candidate 5]], "")</f>
        <v/>
      </c>
      <c r="AJ600" s="17" t="str">
        <f>IF(NOT(ISBLANK(Audit[[#This Row],[Audit Candidate 6]])), Audit[[#This Row],[Audit Candidate 6]]-Audit[[#This Row],[Candidate 6]], "")</f>
        <v/>
      </c>
      <c r="AK600" s="17" t="str">
        <f>IF(NOT(ISBLANK(Audit[[#This Row],[Audit Candidate 7]])), Audit[[#This Row],[Audit Candidate 7]]-Audit[[#This Row],[Candidate 7]], "")</f>
        <v/>
      </c>
      <c r="AL600" s="17" t="str">
        <f>IF(NOT(ISBLANK(Audit[[#This Row],[Audit Candidate 8]])), Audit[[#This Row],[Audit Candidate 8]]-Audit[[#This Row],[Candidate 8]], "")</f>
        <v/>
      </c>
      <c r="AM600" s="17" t="str">
        <f>IF(NOT(ISBLANK(Audit[[#This Row],[Audit Candidate 9]])), Audit[[#This Row],[Audit Candidate 9]]-Audit[[#This Row],[Candidate 9]], "")</f>
        <v/>
      </c>
      <c r="AN600" s="17" t="str">
        <f>IF(NOT(ISBLANK(Audit[[#This Row],[Audit Candidate 10]])), Audit[[#This Row],[Audit Candidate 10]]-Audit[[#This Row],[Candidate 10]], "")</f>
        <v/>
      </c>
      <c r="AO600" s="17" t="str">
        <f>IF(NOT(ISBLANK(Audit[[#This Row],[Audit Candidate 11]])), Audit[[#This Row],[Audit Candidate 11]]-Audit[[#This Row],[Candidate 11]], "")</f>
        <v/>
      </c>
      <c r="AP600" s="17" t="str">
        <f>IF(NOT(ISBLANK(Audit[[#This Row],[Audit Candidate 12]])), Audit[[#This Row],[Audit Candidate 12]]-Audit[[#This Row],[Candidate 12]], "")</f>
        <v/>
      </c>
      <c r="AQ600" s="17">
        <f>SUMIF(Audit[[#This Row],[Difference Winner]:[Difference Candidate 12]], "&gt;0")</f>
        <v>0</v>
      </c>
      <c r="AR600" s="17">
        <f>SUM(Audit[[#This Row],[Difference Winner]:[Difference Candidate 12]])</f>
        <v>0</v>
      </c>
      <c r="AS600" s="17">
        <f>IF(Audit[[#This Row],[Times p Drawn - With Replacement]]&gt;0, IF(Audit[[#This Row],[Canceled Differences]]&lt;0, Audit[[#This Row],[Max Differences]]+ABS(Audit[[#This Row],[Canceled Differences]]), Audit[[#This Row],[Max Differences]]), 0)</f>
        <v>0</v>
      </c>
      <c r="AT600" s="17">
        <f>'Sampling Data'!AB600</f>
        <v>2.3977253437446954E-2</v>
      </c>
      <c r="AU600" s="17">
        <f>IF(
      SUM(Audit[[#This Row],[Audit Losing Candidate]:[Audit Candidate 12]])
      &lt;&gt;0,
      (Audit[[#This Row],[Winning Candidate]]-Audit[[#This Row],[Losing Candidate]]-(Audit[[#This Row],[Audit Winning Candidate]]-Audit[[#This Row],[Audit Losing Candidate]]))/(Audit[[#Totals],[Winning Candidate]]-Audit[[#Totals],[Losing Candidate]]),
      0
)</f>
        <v>0</v>
      </c>
      <c r="AV6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0" s="17">
        <f>IF(Audit[[#This Row],[Max Relative Error (ep)]] = 0, 0, Audit[[#This Row],[Max Relative Error (ep)]]/Audit[[#This Row],[Error Bound (up) - Max. possible relative overstatement]])</f>
        <v>0</v>
      </c>
      <c r="BH6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00" s="17">
        <f t="shared" si="10"/>
        <v>1</v>
      </c>
      <c r="BJ600" s="17">
        <f>PRODUCT($BI$5:BI600)</f>
        <v>0.31487538641040835</v>
      </c>
      <c r="BK600" s="19">
        <f>1 - Audit[[#This Row],[K-M P Value]]</f>
        <v>0.68512461358959165</v>
      </c>
      <c r="BL600" s="17" t="str">
        <f>IF(Audit[[#This Row],[K-M P Value]]&gt;1-'General Info'!$B$12,"Continue", "Stop")</f>
        <v>Continue</v>
      </c>
      <c r="BM600" s="22" t="b">
        <f>IF(Audit[[#This Row],[Status - Continue or stop audit]] = "Continue", TRUE, IF(BL599 = "Continue", TRUE, FALSE))</f>
        <v>1</v>
      </c>
      <c r="BN600" s="22"/>
    </row>
    <row r="601" spans="1:66" ht="15" hidden="1" customHeight="1" x14ac:dyDescent="0.35">
      <c r="A601" s="17" t="str">
        <f>'Sampling Data'!AI601</f>
        <v/>
      </c>
      <c r="B601" s="17" t="str">
        <f>'Sampling Data'!A601</f>
        <v>0406 CIN 4-F   (ED)</v>
      </c>
      <c r="C601" s="17">
        <f>'Sampling Data'!B601</f>
        <v>191</v>
      </c>
      <c r="D601" s="17">
        <f>'Sampling Data'!C601</f>
        <v>141</v>
      </c>
      <c r="E601" s="18">
        <f>'Sampling Data'!D601</f>
        <v>0</v>
      </c>
      <c r="F601" s="18">
        <f>'Sampling Data'!E601</f>
        <v>0</v>
      </c>
      <c r="G601" s="18">
        <f>'Sampling Data'!F601</f>
        <v>0</v>
      </c>
      <c r="H601" s="18">
        <f>'Sampling Data'!G601</f>
        <v>0</v>
      </c>
      <c r="I601" s="18">
        <f>'Sampling Data'!H601</f>
        <v>0</v>
      </c>
      <c r="J601" s="18">
        <f>'Sampling Data'!I601</f>
        <v>0</v>
      </c>
      <c r="K601" s="18">
        <f>'Sampling Data'!J601</f>
        <v>0</v>
      </c>
      <c r="L601" s="18">
        <f>'Sampling Data'!K601</f>
        <v>0</v>
      </c>
      <c r="M601" s="18">
        <f>'Sampling Data'!L601</f>
        <v>0</v>
      </c>
      <c r="N601" s="18">
        <f>'Sampling Data'!M601</f>
        <v>0</v>
      </c>
      <c r="O601" s="17">
        <f>'Sampling Data'!N601</f>
        <v>0</v>
      </c>
      <c r="P601" s="17">
        <f>'Sampling Data'!O601</f>
        <v>21</v>
      </c>
      <c r="Q601" s="17">
        <f>'Sampling Data'!P601</f>
        <v>353</v>
      </c>
      <c r="R601" s="17">
        <f>'Sampling Data'!AJ601</f>
        <v>0</v>
      </c>
      <c r="S601" s="111"/>
      <c r="T601" s="111"/>
      <c r="U601" s="112"/>
      <c r="V601" s="112"/>
      <c r="W601" s="111"/>
      <c r="X601" s="111"/>
      <c r="Y601" s="111"/>
      <c r="Z601" s="111"/>
      <c r="AA601" s="14"/>
      <c r="AB601" s="14"/>
      <c r="AC601" s="14"/>
      <c r="AD601" s="14"/>
      <c r="AE601" s="113" t="str">
        <f>IF(NOT(ISBLANK(Audit[[#This Row],[Audit Winning Candidate]])), Audit[[#This Row],[Audit Winning Candidate]]-Audit[[#This Row],[Winning Candidate]], "")</f>
        <v/>
      </c>
      <c r="AF601" s="17" t="str">
        <f>IF(NOT(ISBLANK(Audit[[#This Row],[Audit Losing Candidate]])), Audit[[#This Row],[Audit Losing Candidate]]-Audit[[#This Row],[Losing Candidate]], "")</f>
        <v/>
      </c>
      <c r="AG601" s="17" t="str">
        <f>IF(NOT(ISBLANK(Audit[[#This Row],[Audit Candidate 3]])), Audit[[#This Row],[Audit Candidate 3]]-Audit[[#This Row],[Candidate 3]], "")</f>
        <v/>
      </c>
      <c r="AH601" s="17" t="str">
        <f>IF(NOT(ISBLANK(Audit[[#This Row],[Audit Candidate 4]])),Audit[[#This Row],[Audit Candidate 4]]-Audit[[#This Row],[Candidate 4]], "")</f>
        <v/>
      </c>
      <c r="AI601" s="17" t="str">
        <f>IF(NOT(ISBLANK(Audit[[#This Row],[Audit Candidate 5]])), Audit[[#This Row],[Audit Candidate 5]]-Audit[[#This Row],[Candidate 5]], "")</f>
        <v/>
      </c>
      <c r="AJ601" s="17" t="str">
        <f>IF(NOT(ISBLANK(Audit[[#This Row],[Audit Candidate 6]])), Audit[[#This Row],[Audit Candidate 6]]-Audit[[#This Row],[Candidate 6]], "")</f>
        <v/>
      </c>
      <c r="AK601" s="17" t="str">
        <f>IF(NOT(ISBLANK(Audit[[#This Row],[Audit Candidate 7]])), Audit[[#This Row],[Audit Candidate 7]]-Audit[[#This Row],[Candidate 7]], "")</f>
        <v/>
      </c>
      <c r="AL601" s="17" t="str">
        <f>IF(NOT(ISBLANK(Audit[[#This Row],[Audit Candidate 8]])), Audit[[#This Row],[Audit Candidate 8]]-Audit[[#This Row],[Candidate 8]], "")</f>
        <v/>
      </c>
      <c r="AM601" s="17" t="str">
        <f>IF(NOT(ISBLANK(Audit[[#This Row],[Audit Candidate 9]])), Audit[[#This Row],[Audit Candidate 9]]-Audit[[#This Row],[Candidate 9]], "")</f>
        <v/>
      </c>
      <c r="AN601" s="17" t="str">
        <f>IF(NOT(ISBLANK(Audit[[#This Row],[Audit Candidate 10]])), Audit[[#This Row],[Audit Candidate 10]]-Audit[[#This Row],[Candidate 10]], "")</f>
        <v/>
      </c>
      <c r="AO601" s="17" t="str">
        <f>IF(NOT(ISBLANK(Audit[[#This Row],[Audit Candidate 11]])), Audit[[#This Row],[Audit Candidate 11]]-Audit[[#This Row],[Candidate 11]], "")</f>
        <v/>
      </c>
      <c r="AP601" s="17" t="str">
        <f>IF(NOT(ISBLANK(Audit[[#This Row],[Audit Candidate 12]])), Audit[[#This Row],[Audit Candidate 12]]-Audit[[#This Row],[Candidate 12]], "")</f>
        <v/>
      </c>
      <c r="AQ601" s="17">
        <f>SUMIF(Audit[[#This Row],[Difference Winner]:[Difference Candidate 12]], "&gt;0")</f>
        <v>0</v>
      </c>
      <c r="AR601" s="17">
        <f>SUM(Audit[[#This Row],[Difference Winner]:[Difference Candidate 12]])</f>
        <v>0</v>
      </c>
      <c r="AS601" s="17">
        <f>IF(Audit[[#This Row],[Times p Drawn - With Replacement]]&gt;0, IF(Audit[[#This Row],[Canceled Differences]]&lt;0, Audit[[#This Row],[Max Differences]]+ABS(Audit[[#This Row],[Canceled Differences]]), Audit[[#This Row],[Max Differences]]), 0)</f>
        <v>0</v>
      </c>
      <c r="AT601" s="17">
        <f>'Sampling Data'!AB601</f>
        <v>1.7102359531488712E-2</v>
      </c>
      <c r="AU601" s="17">
        <f>IF(
      SUM(Audit[[#This Row],[Audit Losing Candidate]:[Audit Candidate 12]])
      &lt;&gt;0,
      (Audit[[#This Row],[Winning Candidate]]-Audit[[#This Row],[Losing Candidate]]-(Audit[[#This Row],[Audit Winning Candidate]]-Audit[[#This Row],[Audit Losing Candidate]]))/(Audit[[#Totals],[Winning Candidate]]-Audit[[#Totals],[Losing Candidate]]),
      0
)</f>
        <v>0</v>
      </c>
      <c r="AV6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1" s="17">
        <f>IF(Audit[[#This Row],[Max Relative Error (ep)]] = 0, 0, Audit[[#This Row],[Max Relative Error (ep)]]/Audit[[#This Row],[Error Bound (up) - Max. possible relative overstatement]])</f>
        <v>0</v>
      </c>
      <c r="BH6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01" s="17">
        <f t="shared" si="10"/>
        <v>1</v>
      </c>
      <c r="BJ601" s="17">
        <f>PRODUCT($BI$5:BI601)</f>
        <v>0.31487538641040835</v>
      </c>
      <c r="BK601" s="19">
        <f>1 - Audit[[#This Row],[K-M P Value]]</f>
        <v>0.68512461358959165</v>
      </c>
      <c r="BL601" s="17" t="str">
        <f>IF(Audit[[#This Row],[K-M P Value]]&gt;1-'General Info'!$B$12,"Continue", "Stop")</f>
        <v>Continue</v>
      </c>
      <c r="BM601" s="22" t="b">
        <f>IF(Audit[[#This Row],[Status - Continue or stop audit]] = "Continue", TRUE, IF(BL600 = "Continue", TRUE, FALSE))</f>
        <v>1</v>
      </c>
      <c r="BN601" s="22"/>
    </row>
    <row r="602" spans="1:66" ht="15" hidden="1" customHeight="1" x14ac:dyDescent="0.35">
      <c r="A602" s="17" t="str">
        <f>'Sampling Data'!AI602</f>
        <v/>
      </c>
      <c r="B602" s="17" t="str">
        <f>'Sampling Data'!A602</f>
        <v>0407 CIN 4-G   (ED)</v>
      </c>
      <c r="C602" s="17">
        <f>'Sampling Data'!B602</f>
        <v>199</v>
      </c>
      <c r="D602" s="17">
        <f>'Sampling Data'!C602</f>
        <v>202</v>
      </c>
      <c r="E602" s="18">
        <f>'Sampling Data'!D602</f>
        <v>0</v>
      </c>
      <c r="F602" s="18">
        <f>'Sampling Data'!E602</f>
        <v>0</v>
      </c>
      <c r="G602" s="18">
        <f>'Sampling Data'!F602</f>
        <v>0</v>
      </c>
      <c r="H602" s="18">
        <f>'Sampling Data'!G602</f>
        <v>0</v>
      </c>
      <c r="I602" s="18">
        <f>'Sampling Data'!H602</f>
        <v>0</v>
      </c>
      <c r="J602" s="18">
        <f>'Sampling Data'!I602</f>
        <v>0</v>
      </c>
      <c r="K602" s="18">
        <f>'Sampling Data'!J602</f>
        <v>0</v>
      </c>
      <c r="L602" s="18">
        <f>'Sampling Data'!K602</f>
        <v>0</v>
      </c>
      <c r="M602" s="18">
        <f>'Sampling Data'!L602</f>
        <v>0</v>
      </c>
      <c r="N602" s="18">
        <f>'Sampling Data'!M602</f>
        <v>0</v>
      </c>
      <c r="O602" s="17">
        <f>'Sampling Data'!N602</f>
        <v>0</v>
      </c>
      <c r="P602" s="17">
        <f>'Sampling Data'!O602</f>
        <v>43</v>
      </c>
      <c r="Q602" s="17">
        <f>'Sampling Data'!P602</f>
        <v>444</v>
      </c>
      <c r="R602" s="17">
        <f>'Sampling Data'!AJ602</f>
        <v>0</v>
      </c>
      <c r="S602" s="111"/>
      <c r="T602" s="111"/>
      <c r="U602" s="112"/>
      <c r="V602" s="112"/>
      <c r="W602" s="111"/>
      <c r="X602" s="111"/>
      <c r="Y602" s="111"/>
      <c r="Z602" s="111"/>
      <c r="AA602" s="14"/>
      <c r="AB602" s="14"/>
      <c r="AC602" s="14"/>
      <c r="AD602" s="14"/>
      <c r="AE602" s="113" t="str">
        <f>IF(NOT(ISBLANK(Audit[[#This Row],[Audit Winning Candidate]])), Audit[[#This Row],[Audit Winning Candidate]]-Audit[[#This Row],[Winning Candidate]], "")</f>
        <v/>
      </c>
      <c r="AF602" s="17" t="str">
        <f>IF(NOT(ISBLANK(Audit[[#This Row],[Audit Losing Candidate]])), Audit[[#This Row],[Audit Losing Candidate]]-Audit[[#This Row],[Losing Candidate]], "")</f>
        <v/>
      </c>
      <c r="AG602" s="17" t="str">
        <f>IF(NOT(ISBLANK(Audit[[#This Row],[Audit Candidate 3]])), Audit[[#This Row],[Audit Candidate 3]]-Audit[[#This Row],[Candidate 3]], "")</f>
        <v/>
      </c>
      <c r="AH602" s="17" t="str">
        <f>IF(NOT(ISBLANK(Audit[[#This Row],[Audit Candidate 4]])),Audit[[#This Row],[Audit Candidate 4]]-Audit[[#This Row],[Candidate 4]], "")</f>
        <v/>
      </c>
      <c r="AI602" s="17" t="str">
        <f>IF(NOT(ISBLANK(Audit[[#This Row],[Audit Candidate 5]])), Audit[[#This Row],[Audit Candidate 5]]-Audit[[#This Row],[Candidate 5]], "")</f>
        <v/>
      </c>
      <c r="AJ602" s="17" t="str">
        <f>IF(NOT(ISBLANK(Audit[[#This Row],[Audit Candidate 6]])), Audit[[#This Row],[Audit Candidate 6]]-Audit[[#This Row],[Candidate 6]], "")</f>
        <v/>
      </c>
      <c r="AK602" s="17" t="str">
        <f>IF(NOT(ISBLANK(Audit[[#This Row],[Audit Candidate 7]])), Audit[[#This Row],[Audit Candidate 7]]-Audit[[#This Row],[Candidate 7]], "")</f>
        <v/>
      </c>
      <c r="AL602" s="17" t="str">
        <f>IF(NOT(ISBLANK(Audit[[#This Row],[Audit Candidate 8]])), Audit[[#This Row],[Audit Candidate 8]]-Audit[[#This Row],[Candidate 8]], "")</f>
        <v/>
      </c>
      <c r="AM602" s="17" t="str">
        <f>IF(NOT(ISBLANK(Audit[[#This Row],[Audit Candidate 9]])), Audit[[#This Row],[Audit Candidate 9]]-Audit[[#This Row],[Candidate 9]], "")</f>
        <v/>
      </c>
      <c r="AN602" s="17" t="str">
        <f>IF(NOT(ISBLANK(Audit[[#This Row],[Audit Candidate 10]])), Audit[[#This Row],[Audit Candidate 10]]-Audit[[#This Row],[Candidate 10]], "")</f>
        <v/>
      </c>
      <c r="AO602" s="17" t="str">
        <f>IF(NOT(ISBLANK(Audit[[#This Row],[Audit Candidate 11]])), Audit[[#This Row],[Audit Candidate 11]]-Audit[[#This Row],[Candidate 11]], "")</f>
        <v/>
      </c>
      <c r="AP602" s="17" t="str">
        <f>IF(NOT(ISBLANK(Audit[[#This Row],[Audit Candidate 12]])), Audit[[#This Row],[Audit Candidate 12]]-Audit[[#This Row],[Candidate 12]], "")</f>
        <v/>
      </c>
      <c r="AQ602" s="17">
        <f>SUMIF(Audit[[#This Row],[Difference Winner]:[Difference Candidate 12]], "&gt;0")</f>
        <v>0</v>
      </c>
      <c r="AR602" s="17">
        <f>SUM(Audit[[#This Row],[Difference Winner]:[Difference Candidate 12]])</f>
        <v>0</v>
      </c>
      <c r="AS602" s="17">
        <f>IF(Audit[[#This Row],[Times p Drawn - With Replacement]]&gt;0, IF(Audit[[#This Row],[Canceled Differences]]&lt;0, Audit[[#This Row],[Max Differences]]+ABS(Audit[[#This Row],[Canceled Differences]]), Audit[[#This Row],[Max Differences]]), 0)</f>
        <v>0</v>
      </c>
      <c r="AT602" s="17">
        <f>'Sampling Data'!AB602</f>
        <v>1.8714988966219658E-2</v>
      </c>
      <c r="AU602" s="17">
        <f>IF(
      SUM(Audit[[#This Row],[Audit Losing Candidate]:[Audit Candidate 12]])
      &lt;&gt;0,
      (Audit[[#This Row],[Winning Candidate]]-Audit[[#This Row],[Losing Candidate]]-(Audit[[#This Row],[Audit Winning Candidate]]-Audit[[#This Row],[Audit Losing Candidate]]))/(Audit[[#Totals],[Winning Candidate]]-Audit[[#Totals],[Losing Candidate]]),
      0
)</f>
        <v>0</v>
      </c>
      <c r="AV6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2" s="17">
        <f>IF(Audit[[#This Row],[Max Relative Error (ep)]] = 0, 0, Audit[[#This Row],[Max Relative Error (ep)]]/Audit[[#This Row],[Error Bound (up) - Max. possible relative overstatement]])</f>
        <v>0</v>
      </c>
      <c r="BH6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02" s="17">
        <f t="shared" si="10"/>
        <v>1</v>
      </c>
      <c r="BJ602" s="17">
        <f>PRODUCT($BI$5:BI602)</f>
        <v>0.31487538641040835</v>
      </c>
      <c r="BK602" s="19">
        <f>1 - Audit[[#This Row],[K-M P Value]]</f>
        <v>0.68512461358959165</v>
      </c>
      <c r="BL602" s="17" t="str">
        <f>IF(Audit[[#This Row],[K-M P Value]]&gt;1-'General Info'!$B$12,"Continue", "Stop")</f>
        <v>Continue</v>
      </c>
      <c r="BM602" s="22" t="b">
        <f>IF(Audit[[#This Row],[Status - Continue or stop audit]] = "Continue", TRUE, IF(BL601 = "Continue", TRUE, FALSE))</f>
        <v>1</v>
      </c>
      <c r="BN602" s="22"/>
    </row>
    <row r="603" spans="1:66" ht="15" hidden="1" customHeight="1" x14ac:dyDescent="0.35">
      <c r="A603" s="17" t="str">
        <f>'Sampling Data'!AI603</f>
        <v/>
      </c>
      <c r="B603" s="17" t="str">
        <f>'Sampling Data'!A603</f>
        <v>0408 CIN 4-H   (ED)</v>
      </c>
      <c r="C603" s="17">
        <f>'Sampling Data'!B603</f>
        <v>263</v>
      </c>
      <c r="D603" s="17">
        <f>'Sampling Data'!C603</f>
        <v>174</v>
      </c>
      <c r="E603" s="18">
        <f>'Sampling Data'!D603</f>
        <v>0</v>
      </c>
      <c r="F603" s="18">
        <f>'Sampling Data'!E603</f>
        <v>0</v>
      </c>
      <c r="G603" s="18">
        <f>'Sampling Data'!F603</f>
        <v>0</v>
      </c>
      <c r="H603" s="18">
        <f>'Sampling Data'!G603</f>
        <v>0</v>
      </c>
      <c r="I603" s="18">
        <f>'Sampling Data'!H603</f>
        <v>0</v>
      </c>
      <c r="J603" s="18">
        <f>'Sampling Data'!I603</f>
        <v>0</v>
      </c>
      <c r="K603" s="18">
        <f>'Sampling Data'!J603</f>
        <v>0</v>
      </c>
      <c r="L603" s="18">
        <f>'Sampling Data'!K603</f>
        <v>0</v>
      </c>
      <c r="M603" s="18">
        <f>'Sampling Data'!L603</f>
        <v>0</v>
      </c>
      <c r="N603" s="18">
        <f>'Sampling Data'!M603</f>
        <v>0</v>
      </c>
      <c r="O603" s="17">
        <f>'Sampling Data'!N603</f>
        <v>1</v>
      </c>
      <c r="P603" s="17">
        <f>'Sampling Data'!O603</f>
        <v>55</v>
      </c>
      <c r="Q603" s="17">
        <f>'Sampling Data'!P603</f>
        <v>493</v>
      </c>
      <c r="R603" s="17">
        <f>'Sampling Data'!AJ603</f>
        <v>0</v>
      </c>
      <c r="S603" s="111"/>
      <c r="T603" s="111"/>
      <c r="U603" s="112"/>
      <c r="V603" s="112"/>
      <c r="W603" s="111"/>
      <c r="X603" s="111"/>
      <c r="Y603" s="111"/>
      <c r="Z603" s="111"/>
      <c r="AA603" s="14"/>
      <c r="AB603" s="14"/>
      <c r="AC603" s="14"/>
      <c r="AD603" s="14"/>
      <c r="AE603" s="113" t="str">
        <f>IF(NOT(ISBLANK(Audit[[#This Row],[Audit Winning Candidate]])), Audit[[#This Row],[Audit Winning Candidate]]-Audit[[#This Row],[Winning Candidate]], "")</f>
        <v/>
      </c>
      <c r="AF603" s="17" t="str">
        <f>IF(NOT(ISBLANK(Audit[[#This Row],[Audit Losing Candidate]])), Audit[[#This Row],[Audit Losing Candidate]]-Audit[[#This Row],[Losing Candidate]], "")</f>
        <v/>
      </c>
      <c r="AG603" s="17" t="str">
        <f>IF(NOT(ISBLANK(Audit[[#This Row],[Audit Candidate 3]])), Audit[[#This Row],[Audit Candidate 3]]-Audit[[#This Row],[Candidate 3]], "")</f>
        <v/>
      </c>
      <c r="AH603" s="17" t="str">
        <f>IF(NOT(ISBLANK(Audit[[#This Row],[Audit Candidate 4]])),Audit[[#This Row],[Audit Candidate 4]]-Audit[[#This Row],[Candidate 4]], "")</f>
        <v/>
      </c>
      <c r="AI603" s="17" t="str">
        <f>IF(NOT(ISBLANK(Audit[[#This Row],[Audit Candidate 5]])), Audit[[#This Row],[Audit Candidate 5]]-Audit[[#This Row],[Candidate 5]], "")</f>
        <v/>
      </c>
      <c r="AJ603" s="17" t="str">
        <f>IF(NOT(ISBLANK(Audit[[#This Row],[Audit Candidate 6]])), Audit[[#This Row],[Audit Candidate 6]]-Audit[[#This Row],[Candidate 6]], "")</f>
        <v/>
      </c>
      <c r="AK603" s="17" t="str">
        <f>IF(NOT(ISBLANK(Audit[[#This Row],[Audit Candidate 7]])), Audit[[#This Row],[Audit Candidate 7]]-Audit[[#This Row],[Candidate 7]], "")</f>
        <v/>
      </c>
      <c r="AL603" s="17" t="str">
        <f>IF(NOT(ISBLANK(Audit[[#This Row],[Audit Candidate 8]])), Audit[[#This Row],[Audit Candidate 8]]-Audit[[#This Row],[Candidate 8]], "")</f>
        <v/>
      </c>
      <c r="AM603" s="17" t="str">
        <f>IF(NOT(ISBLANK(Audit[[#This Row],[Audit Candidate 9]])), Audit[[#This Row],[Audit Candidate 9]]-Audit[[#This Row],[Candidate 9]], "")</f>
        <v/>
      </c>
      <c r="AN603" s="17" t="str">
        <f>IF(NOT(ISBLANK(Audit[[#This Row],[Audit Candidate 10]])), Audit[[#This Row],[Audit Candidate 10]]-Audit[[#This Row],[Candidate 10]], "")</f>
        <v/>
      </c>
      <c r="AO603" s="17" t="str">
        <f>IF(NOT(ISBLANK(Audit[[#This Row],[Audit Candidate 11]])), Audit[[#This Row],[Audit Candidate 11]]-Audit[[#This Row],[Candidate 11]], "")</f>
        <v/>
      </c>
      <c r="AP603" s="17" t="str">
        <f>IF(NOT(ISBLANK(Audit[[#This Row],[Audit Candidate 12]])), Audit[[#This Row],[Audit Candidate 12]]-Audit[[#This Row],[Candidate 12]], "")</f>
        <v/>
      </c>
      <c r="AQ603" s="17">
        <f>SUMIF(Audit[[#This Row],[Difference Winner]:[Difference Candidate 12]], "&gt;0")</f>
        <v>0</v>
      </c>
      <c r="AR603" s="17">
        <f>SUM(Audit[[#This Row],[Difference Winner]:[Difference Candidate 12]])</f>
        <v>0</v>
      </c>
      <c r="AS603" s="17">
        <f>IF(Audit[[#This Row],[Times p Drawn - With Replacement]]&gt;0, IF(Audit[[#This Row],[Canceled Differences]]&lt;0, Audit[[#This Row],[Max Differences]]+ABS(Audit[[#This Row],[Canceled Differences]]), Audit[[#This Row],[Max Differences]]), 0)</f>
        <v>0</v>
      </c>
      <c r="AT603" s="17">
        <f>'Sampling Data'!AB603</f>
        <v>2.4698692921405533E-2</v>
      </c>
      <c r="AU603" s="17">
        <f>IF(
      SUM(Audit[[#This Row],[Audit Losing Candidate]:[Audit Candidate 12]])
      &lt;&gt;0,
      (Audit[[#This Row],[Winning Candidate]]-Audit[[#This Row],[Losing Candidate]]-(Audit[[#This Row],[Audit Winning Candidate]]-Audit[[#This Row],[Audit Losing Candidate]]))/(Audit[[#Totals],[Winning Candidate]]-Audit[[#Totals],[Losing Candidate]]),
      0
)</f>
        <v>0</v>
      </c>
      <c r="AV6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3" s="17">
        <f>IF(Audit[[#This Row],[Max Relative Error (ep)]] = 0, 0, Audit[[#This Row],[Max Relative Error (ep)]]/Audit[[#This Row],[Error Bound (up) - Max. possible relative overstatement]])</f>
        <v>0</v>
      </c>
      <c r="BH6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03" s="17">
        <f t="shared" si="10"/>
        <v>1</v>
      </c>
      <c r="BJ603" s="17">
        <f>PRODUCT($BI$5:BI603)</f>
        <v>0.31487538641040835</v>
      </c>
      <c r="BK603" s="19">
        <f>1 - Audit[[#This Row],[K-M P Value]]</f>
        <v>0.68512461358959165</v>
      </c>
      <c r="BL603" s="17" t="str">
        <f>IF(Audit[[#This Row],[K-M P Value]]&gt;1-'General Info'!$B$12,"Continue", "Stop")</f>
        <v>Continue</v>
      </c>
      <c r="BM603" s="22" t="b">
        <f>IF(Audit[[#This Row],[Status - Continue or stop audit]] = "Continue", TRUE, IF(BL602 = "Continue", TRUE, FALSE))</f>
        <v>1</v>
      </c>
      <c r="BN603" s="22"/>
    </row>
    <row r="604" spans="1:66" ht="15" hidden="1" customHeight="1" x14ac:dyDescent="0.35">
      <c r="A604" s="17" t="str">
        <f>'Sampling Data'!AI604</f>
        <v/>
      </c>
      <c r="B604" s="17" t="str">
        <f>'Sampling Data'!A604</f>
        <v>0501 CIN 5-A   (ED)</v>
      </c>
      <c r="C604" s="17">
        <f>'Sampling Data'!B604</f>
        <v>154</v>
      </c>
      <c r="D604" s="17">
        <f>'Sampling Data'!C604</f>
        <v>214</v>
      </c>
      <c r="E604" s="18">
        <f>'Sampling Data'!D604</f>
        <v>0</v>
      </c>
      <c r="F604" s="18">
        <f>'Sampling Data'!E604</f>
        <v>0</v>
      </c>
      <c r="G604" s="18">
        <f>'Sampling Data'!F604</f>
        <v>0</v>
      </c>
      <c r="H604" s="18">
        <f>'Sampling Data'!G604</f>
        <v>0</v>
      </c>
      <c r="I604" s="18">
        <f>'Sampling Data'!H604</f>
        <v>0</v>
      </c>
      <c r="J604" s="18">
        <f>'Sampling Data'!I604</f>
        <v>0</v>
      </c>
      <c r="K604" s="18">
        <f>'Sampling Data'!J604</f>
        <v>0</v>
      </c>
      <c r="L604" s="18">
        <f>'Sampling Data'!K604</f>
        <v>0</v>
      </c>
      <c r="M604" s="18">
        <f>'Sampling Data'!L604</f>
        <v>0</v>
      </c>
      <c r="N604" s="18">
        <f>'Sampling Data'!M604</f>
        <v>0</v>
      </c>
      <c r="O604" s="17">
        <f>'Sampling Data'!N604</f>
        <v>0</v>
      </c>
      <c r="P604" s="17">
        <f>'Sampling Data'!O604</f>
        <v>29</v>
      </c>
      <c r="Q604" s="17">
        <f>'Sampling Data'!P604</f>
        <v>397</v>
      </c>
      <c r="R604" s="17">
        <f>'Sampling Data'!AJ604</f>
        <v>0</v>
      </c>
      <c r="S604" s="111"/>
      <c r="T604" s="111"/>
      <c r="U604" s="112"/>
      <c r="V604" s="112"/>
      <c r="W604" s="111"/>
      <c r="X604" s="111"/>
      <c r="Y604" s="111"/>
      <c r="Z604" s="111"/>
      <c r="AA604" s="14"/>
      <c r="AB604" s="14"/>
      <c r="AC604" s="14"/>
      <c r="AD604" s="14"/>
      <c r="AE604" s="113" t="str">
        <f>IF(NOT(ISBLANK(Audit[[#This Row],[Audit Winning Candidate]])), Audit[[#This Row],[Audit Winning Candidate]]-Audit[[#This Row],[Winning Candidate]], "")</f>
        <v/>
      </c>
      <c r="AF604" s="17" t="str">
        <f>IF(NOT(ISBLANK(Audit[[#This Row],[Audit Losing Candidate]])), Audit[[#This Row],[Audit Losing Candidate]]-Audit[[#This Row],[Losing Candidate]], "")</f>
        <v/>
      </c>
      <c r="AG604" s="17" t="str">
        <f>IF(NOT(ISBLANK(Audit[[#This Row],[Audit Candidate 3]])), Audit[[#This Row],[Audit Candidate 3]]-Audit[[#This Row],[Candidate 3]], "")</f>
        <v/>
      </c>
      <c r="AH604" s="17" t="str">
        <f>IF(NOT(ISBLANK(Audit[[#This Row],[Audit Candidate 4]])),Audit[[#This Row],[Audit Candidate 4]]-Audit[[#This Row],[Candidate 4]], "")</f>
        <v/>
      </c>
      <c r="AI604" s="17" t="str">
        <f>IF(NOT(ISBLANK(Audit[[#This Row],[Audit Candidate 5]])), Audit[[#This Row],[Audit Candidate 5]]-Audit[[#This Row],[Candidate 5]], "")</f>
        <v/>
      </c>
      <c r="AJ604" s="17" t="str">
        <f>IF(NOT(ISBLANK(Audit[[#This Row],[Audit Candidate 6]])), Audit[[#This Row],[Audit Candidate 6]]-Audit[[#This Row],[Candidate 6]], "")</f>
        <v/>
      </c>
      <c r="AK604" s="17" t="str">
        <f>IF(NOT(ISBLANK(Audit[[#This Row],[Audit Candidate 7]])), Audit[[#This Row],[Audit Candidate 7]]-Audit[[#This Row],[Candidate 7]], "")</f>
        <v/>
      </c>
      <c r="AL604" s="17" t="str">
        <f>IF(NOT(ISBLANK(Audit[[#This Row],[Audit Candidate 8]])), Audit[[#This Row],[Audit Candidate 8]]-Audit[[#This Row],[Candidate 8]], "")</f>
        <v/>
      </c>
      <c r="AM604" s="17" t="str">
        <f>IF(NOT(ISBLANK(Audit[[#This Row],[Audit Candidate 9]])), Audit[[#This Row],[Audit Candidate 9]]-Audit[[#This Row],[Candidate 9]], "")</f>
        <v/>
      </c>
      <c r="AN604" s="17" t="str">
        <f>IF(NOT(ISBLANK(Audit[[#This Row],[Audit Candidate 10]])), Audit[[#This Row],[Audit Candidate 10]]-Audit[[#This Row],[Candidate 10]], "")</f>
        <v/>
      </c>
      <c r="AO604" s="17" t="str">
        <f>IF(NOT(ISBLANK(Audit[[#This Row],[Audit Candidate 11]])), Audit[[#This Row],[Audit Candidate 11]]-Audit[[#This Row],[Candidate 11]], "")</f>
        <v/>
      </c>
      <c r="AP604" s="17" t="str">
        <f>IF(NOT(ISBLANK(Audit[[#This Row],[Audit Candidate 12]])), Audit[[#This Row],[Audit Candidate 12]]-Audit[[#This Row],[Candidate 12]], "")</f>
        <v/>
      </c>
      <c r="AQ604" s="17">
        <f>SUMIF(Audit[[#This Row],[Difference Winner]:[Difference Candidate 12]], "&gt;0")</f>
        <v>0</v>
      </c>
      <c r="AR604" s="17">
        <f>SUM(Audit[[#This Row],[Difference Winner]:[Difference Candidate 12]])</f>
        <v>0</v>
      </c>
      <c r="AS604" s="17">
        <f>IF(Audit[[#This Row],[Times p Drawn - With Replacement]]&gt;0, IF(Audit[[#This Row],[Canceled Differences]]&lt;0, Audit[[#This Row],[Max Differences]]+ABS(Audit[[#This Row],[Canceled Differences]]), Audit[[#This Row],[Max Differences]]), 0)</f>
        <v>0</v>
      </c>
      <c r="AT604" s="17">
        <f>'Sampling Data'!AB604</f>
        <v>1.430147682906128E-2</v>
      </c>
      <c r="AU604" s="17">
        <f>IF(
      SUM(Audit[[#This Row],[Audit Losing Candidate]:[Audit Candidate 12]])
      &lt;&gt;0,
      (Audit[[#This Row],[Winning Candidate]]-Audit[[#This Row],[Losing Candidate]]-(Audit[[#This Row],[Audit Winning Candidate]]-Audit[[#This Row],[Audit Losing Candidate]]))/(Audit[[#Totals],[Winning Candidate]]-Audit[[#Totals],[Losing Candidate]]),
      0
)</f>
        <v>0</v>
      </c>
      <c r="AV6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4" s="17">
        <f>IF(Audit[[#This Row],[Max Relative Error (ep)]] = 0, 0, Audit[[#This Row],[Max Relative Error (ep)]]/Audit[[#This Row],[Error Bound (up) - Max. possible relative overstatement]])</f>
        <v>0</v>
      </c>
      <c r="BH6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04" s="17">
        <f t="shared" si="10"/>
        <v>1</v>
      </c>
      <c r="BJ604" s="17">
        <f>PRODUCT($BI$5:BI604)</f>
        <v>0.31487538641040835</v>
      </c>
      <c r="BK604" s="19">
        <f>1 - Audit[[#This Row],[K-M P Value]]</f>
        <v>0.68512461358959165</v>
      </c>
      <c r="BL604" s="17" t="str">
        <f>IF(Audit[[#This Row],[K-M P Value]]&gt;1-'General Info'!$B$12,"Continue", "Stop")</f>
        <v>Continue</v>
      </c>
      <c r="BM604" s="22" t="b">
        <f>IF(Audit[[#This Row],[Status - Continue or stop audit]] = "Continue", TRUE, IF(BL603 = "Continue", TRUE, FALSE))</f>
        <v>1</v>
      </c>
      <c r="BN604" s="22"/>
    </row>
    <row r="605" spans="1:66" ht="15" hidden="1" customHeight="1" x14ac:dyDescent="0.35">
      <c r="A605" s="17" t="str">
        <f>'Sampling Data'!AI605</f>
        <v/>
      </c>
      <c r="B605" s="17" t="str">
        <f>'Sampling Data'!A605</f>
        <v>0502 CIN 5-B   (ED)</v>
      </c>
      <c r="C605" s="17">
        <f>'Sampling Data'!B605</f>
        <v>240</v>
      </c>
      <c r="D605" s="17">
        <f>'Sampling Data'!C605</f>
        <v>200</v>
      </c>
      <c r="E605" s="18">
        <f>'Sampling Data'!D605</f>
        <v>0</v>
      </c>
      <c r="F605" s="18">
        <f>'Sampling Data'!E605</f>
        <v>0</v>
      </c>
      <c r="G605" s="18">
        <f>'Sampling Data'!F605</f>
        <v>0</v>
      </c>
      <c r="H605" s="18">
        <f>'Sampling Data'!G605</f>
        <v>0</v>
      </c>
      <c r="I605" s="18">
        <f>'Sampling Data'!H605</f>
        <v>0</v>
      </c>
      <c r="J605" s="18">
        <f>'Sampling Data'!I605</f>
        <v>0</v>
      </c>
      <c r="K605" s="18">
        <f>'Sampling Data'!J605</f>
        <v>0</v>
      </c>
      <c r="L605" s="18">
        <f>'Sampling Data'!K605</f>
        <v>0</v>
      </c>
      <c r="M605" s="18">
        <f>'Sampling Data'!L605</f>
        <v>0</v>
      </c>
      <c r="N605" s="18">
        <f>'Sampling Data'!M605</f>
        <v>0</v>
      </c>
      <c r="O605" s="17">
        <f>'Sampling Data'!N605</f>
        <v>0</v>
      </c>
      <c r="P605" s="17">
        <f>'Sampling Data'!O605</f>
        <v>36</v>
      </c>
      <c r="Q605" s="17">
        <f>'Sampling Data'!P605</f>
        <v>476</v>
      </c>
      <c r="R605" s="17">
        <f>'Sampling Data'!AJ605</f>
        <v>0</v>
      </c>
      <c r="S605" s="111"/>
      <c r="T605" s="111"/>
      <c r="U605" s="112"/>
      <c r="V605" s="112"/>
      <c r="W605" s="111"/>
      <c r="X605" s="111"/>
      <c r="Y605" s="111"/>
      <c r="Z605" s="111"/>
      <c r="AA605" s="14"/>
      <c r="AB605" s="14"/>
      <c r="AC605" s="14"/>
      <c r="AD605" s="14"/>
      <c r="AE605" s="113" t="str">
        <f>IF(NOT(ISBLANK(Audit[[#This Row],[Audit Winning Candidate]])), Audit[[#This Row],[Audit Winning Candidate]]-Audit[[#This Row],[Winning Candidate]], "")</f>
        <v/>
      </c>
      <c r="AF605" s="17" t="str">
        <f>IF(NOT(ISBLANK(Audit[[#This Row],[Audit Losing Candidate]])), Audit[[#This Row],[Audit Losing Candidate]]-Audit[[#This Row],[Losing Candidate]], "")</f>
        <v/>
      </c>
      <c r="AG605" s="17" t="str">
        <f>IF(NOT(ISBLANK(Audit[[#This Row],[Audit Candidate 3]])), Audit[[#This Row],[Audit Candidate 3]]-Audit[[#This Row],[Candidate 3]], "")</f>
        <v/>
      </c>
      <c r="AH605" s="17" t="str">
        <f>IF(NOT(ISBLANK(Audit[[#This Row],[Audit Candidate 4]])),Audit[[#This Row],[Audit Candidate 4]]-Audit[[#This Row],[Candidate 4]], "")</f>
        <v/>
      </c>
      <c r="AI605" s="17" t="str">
        <f>IF(NOT(ISBLANK(Audit[[#This Row],[Audit Candidate 5]])), Audit[[#This Row],[Audit Candidate 5]]-Audit[[#This Row],[Candidate 5]], "")</f>
        <v/>
      </c>
      <c r="AJ605" s="17" t="str">
        <f>IF(NOT(ISBLANK(Audit[[#This Row],[Audit Candidate 6]])), Audit[[#This Row],[Audit Candidate 6]]-Audit[[#This Row],[Candidate 6]], "")</f>
        <v/>
      </c>
      <c r="AK605" s="17" t="str">
        <f>IF(NOT(ISBLANK(Audit[[#This Row],[Audit Candidate 7]])), Audit[[#This Row],[Audit Candidate 7]]-Audit[[#This Row],[Candidate 7]], "")</f>
        <v/>
      </c>
      <c r="AL605" s="17" t="str">
        <f>IF(NOT(ISBLANK(Audit[[#This Row],[Audit Candidate 8]])), Audit[[#This Row],[Audit Candidate 8]]-Audit[[#This Row],[Candidate 8]], "")</f>
        <v/>
      </c>
      <c r="AM605" s="17" t="str">
        <f>IF(NOT(ISBLANK(Audit[[#This Row],[Audit Candidate 9]])), Audit[[#This Row],[Audit Candidate 9]]-Audit[[#This Row],[Candidate 9]], "")</f>
        <v/>
      </c>
      <c r="AN605" s="17" t="str">
        <f>IF(NOT(ISBLANK(Audit[[#This Row],[Audit Candidate 10]])), Audit[[#This Row],[Audit Candidate 10]]-Audit[[#This Row],[Candidate 10]], "")</f>
        <v/>
      </c>
      <c r="AO605" s="17" t="str">
        <f>IF(NOT(ISBLANK(Audit[[#This Row],[Audit Candidate 11]])), Audit[[#This Row],[Audit Candidate 11]]-Audit[[#This Row],[Candidate 11]], "")</f>
        <v/>
      </c>
      <c r="AP605" s="17" t="str">
        <f>IF(NOT(ISBLANK(Audit[[#This Row],[Audit Candidate 12]])), Audit[[#This Row],[Audit Candidate 12]]-Audit[[#This Row],[Candidate 12]], "")</f>
        <v/>
      </c>
      <c r="AQ605" s="17">
        <f>SUMIF(Audit[[#This Row],[Difference Winner]:[Difference Candidate 12]], "&gt;0")</f>
        <v>0</v>
      </c>
      <c r="AR605" s="17">
        <f>SUM(Audit[[#This Row],[Difference Winner]:[Difference Candidate 12]])</f>
        <v>0</v>
      </c>
      <c r="AS605" s="17">
        <f>IF(Audit[[#This Row],[Times p Drawn - With Replacement]]&gt;0, IF(Audit[[#This Row],[Canceled Differences]]&lt;0, Audit[[#This Row],[Max Differences]]+ABS(Audit[[#This Row],[Canceled Differences]]), Audit[[#This Row],[Max Differences]]), 0)</f>
        <v>0</v>
      </c>
      <c r="AT605" s="17">
        <f>'Sampling Data'!AB605</f>
        <v>2.1897810218978103E-2</v>
      </c>
      <c r="AU605" s="17">
        <f>IF(
      SUM(Audit[[#This Row],[Audit Losing Candidate]:[Audit Candidate 12]])
      &lt;&gt;0,
      (Audit[[#This Row],[Winning Candidate]]-Audit[[#This Row],[Losing Candidate]]-(Audit[[#This Row],[Audit Winning Candidate]]-Audit[[#This Row],[Audit Losing Candidate]]))/(Audit[[#Totals],[Winning Candidate]]-Audit[[#Totals],[Losing Candidate]]),
      0
)</f>
        <v>0</v>
      </c>
      <c r="AV6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5" s="17">
        <f>IF(Audit[[#This Row],[Max Relative Error (ep)]] = 0, 0, Audit[[#This Row],[Max Relative Error (ep)]]/Audit[[#This Row],[Error Bound (up) - Max. possible relative overstatement]])</f>
        <v>0</v>
      </c>
      <c r="BH6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05" s="17">
        <f t="shared" si="10"/>
        <v>1</v>
      </c>
      <c r="BJ605" s="17">
        <f>PRODUCT($BI$5:BI605)</f>
        <v>0.31487538641040835</v>
      </c>
      <c r="BK605" s="19">
        <f>1 - Audit[[#This Row],[K-M P Value]]</f>
        <v>0.68512461358959165</v>
      </c>
      <c r="BL605" s="17" t="str">
        <f>IF(Audit[[#This Row],[K-M P Value]]&gt;1-'General Info'!$B$12,"Continue", "Stop")</f>
        <v>Continue</v>
      </c>
      <c r="BM605" s="22" t="b">
        <f>IF(Audit[[#This Row],[Status - Continue or stop audit]] = "Continue", TRUE, IF(BL604 = "Continue", TRUE, FALSE))</f>
        <v>1</v>
      </c>
      <c r="BN605" s="22"/>
    </row>
    <row r="606" spans="1:66" ht="15" hidden="1" customHeight="1" x14ac:dyDescent="0.35">
      <c r="A606" s="17" t="str">
        <f>'Sampling Data'!AI606</f>
        <v/>
      </c>
      <c r="B606" s="17" t="str">
        <f>'Sampling Data'!A606</f>
        <v>0503 CIN 5-C   (ED)</v>
      </c>
      <c r="C606" s="17">
        <f>'Sampling Data'!B606</f>
        <v>135</v>
      </c>
      <c r="D606" s="17">
        <f>'Sampling Data'!C606</f>
        <v>69</v>
      </c>
      <c r="E606" s="18">
        <f>'Sampling Data'!D606</f>
        <v>0</v>
      </c>
      <c r="F606" s="18">
        <f>'Sampling Data'!E606</f>
        <v>0</v>
      </c>
      <c r="G606" s="18">
        <f>'Sampling Data'!F606</f>
        <v>0</v>
      </c>
      <c r="H606" s="18">
        <f>'Sampling Data'!G606</f>
        <v>0</v>
      </c>
      <c r="I606" s="18">
        <f>'Sampling Data'!H606</f>
        <v>0</v>
      </c>
      <c r="J606" s="18">
        <f>'Sampling Data'!I606</f>
        <v>0</v>
      </c>
      <c r="K606" s="18">
        <f>'Sampling Data'!J606</f>
        <v>0</v>
      </c>
      <c r="L606" s="18">
        <f>'Sampling Data'!K606</f>
        <v>0</v>
      </c>
      <c r="M606" s="18">
        <f>'Sampling Data'!L606</f>
        <v>0</v>
      </c>
      <c r="N606" s="18">
        <f>'Sampling Data'!M606</f>
        <v>0</v>
      </c>
      <c r="O606" s="17">
        <f>'Sampling Data'!N606</f>
        <v>0</v>
      </c>
      <c r="P606" s="17">
        <f>'Sampling Data'!O606</f>
        <v>14</v>
      </c>
      <c r="Q606" s="17">
        <f>'Sampling Data'!P606</f>
        <v>218</v>
      </c>
      <c r="R606" s="17">
        <f>'Sampling Data'!AJ606</f>
        <v>0</v>
      </c>
      <c r="S606" s="111"/>
      <c r="T606" s="111"/>
      <c r="U606" s="112"/>
      <c r="V606" s="112"/>
      <c r="W606" s="111"/>
      <c r="X606" s="111"/>
      <c r="Y606" s="111"/>
      <c r="Z606" s="111"/>
      <c r="AA606" s="14"/>
      <c r="AB606" s="14"/>
      <c r="AC606" s="14"/>
      <c r="AD606" s="14"/>
      <c r="AE606" s="113" t="str">
        <f>IF(NOT(ISBLANK(Audit[[#This Row],[Audit Winning Candidate]])), Audit[[#This Row],[Audit Winning Candidate]]-Audit[[#This Row],[Winning Candidate]], "")</f>
        <v/>
      </c>
      <c r="AF606" s="17" t="str">
        <f>IF(NOT(ISBLANK(Audit[[#This Row],[Audit Losing Candidate]])), Audit[[#This Row],[Audit Losing Candidate]]-Audit[[#This Row],[Losing Candidate]], "")</f>
        <v/>
      </c>
      <c r="AG606" s="17" t="str">
        <f>IF(NOT(ISBLANK(Audit[[#This Row],[Audit Candidate 3]])), Audit[[#This Row],[Audit Candidate 3]]-Audit[[#This Row],[Candidate 3]], "")</f>
        <v/>
      </c>
      <c r="AH606" s="17" t="str">
        <f>IF(NOT(ISBLANK(Audit[[#This Row],[Audit Candidate 4]])),Audit[[#This Row],[Audit Candidate 4]]-Audit[[#This Row],[Candidate 4]], "")</f>
        <v/>
      </c>
      <c r="AI606" s="17" t="str">
        <f>IF(NOT(ISBLANK(Audit[[#This Row],[Audit Candidate 5]])), Audit[[#This Row],[Audit Candidate 5]]-Audit[[#This Row],[Candidate 5]], "")</f>
        <v/>
      </c>
      <c r="AJ606" s="17" t="str">
        <f>IF(NOT(ISBLANK(Audit[[#This Row],[Audit Candidate 6]])), Audit[[#This Row],[Audit Candidate 6]]-Audit[[#This Row],[Candidate 6]], "")</f>
        <v/>
      </c>
      <c r="AK606" s="17" t="str">
        <f>IF(NOT(ISBLANK(Audit[[#This Row],[Audit Candidate 7]])), Audit[[#This Row],[Audit Candidate 7]]-Audit[[#This Row],[Candidate 7]], "")</f>
        <v/>
      </c>
      <c r="AL606" s="17" t="str">
        <f>IF(NOT(ISBLANK(Audit[[#This Row],[Audit Candidate 8]])), Audit[[#This Row],[Audit Candidate 8]]-Audit[[#This Row],[Candidate 8]], "")</f>
        <v/>
      </c>
      <c r="AM606" s="17" t="str">
        <f>IF(NOT(ISBLANK(Audit[[#This Row],[Audit Candidate 9]])), Audit[[#This Row],[Audit Candidate 9]]-Audit[[#This Row],[Candidate 9]], "")</f>
        <v/>
      </c>
      <c r="AN606" s="17" t="str">
        <f>IF(NOT(ISBLANK(Audit[[#This Row],[Audit Candidate 10]])), Audit[[#This Row],[Audit Candidate 10]]-Audit[[#This Row],[Candidate 10]], "")</f>
        <v/>
      </c>
      <c r="AO606" s="17" t="str">
        <f>IF(NOT(ISBLANK(Audit[[#This Row],[Audit Candidate 11]])), Audit[[#This Row],[Audit Candidate 11]]-Audit[[#This Row],[Candidate 11]], "")</f>
        <v/>
      </c>
      <c r="AP606" s="17" t="str">
        <f>IF(NOT(ISBLANK(Audit[[#This Row],[Audit Candidate 12]])), Audit[[#This Row],[Audit Candidate 12]]-Audit[[#This Row],[Candidate 12]], "")</f>
        <v/>
      </c>
      <c r="AQ606" s="17">
        <f>SUMIF(Audit[[#This Row],[Difference Winner]:[Difference Candidate 12]], "&gt;0")</f>
        <v>0</v>
      </c>
      <c r="AR606" s="17">
        <f>SUM(Audit[[#This Row],[Difference Winner]:[Difference Candidate 12]])</f>
        <v>0</v>
      </c>
      <c r="AS606" s="17">
        <f>IF(Audit[[#This Row],[Times p Drawn - With Replacement]]&gt;0, IF(Audit[[#This Row],[Canceled Differences]]&lt;0, Audit[[#This Row],[Max Differences]]+ABS(Audit[[#This Row],[Canceled Differences]]), Audit[[#This Row],[Max Differences]]), 0)</f>
        <v>0</v>
      </c>
      <c r="AT606" s="17">
        <f>'Sampling Data'!AB606</f>
        <v>1.2052283143778646E-2</v>
      </c>
      <c r="AU606" s="17">
        <f>IF(
      SUM(Audit[[#This Row],[Audit Losing Candidate]:[Audit Candidate 12]])
      &lt;&gt;0,
      (Audit[[#This Row],[Winning Candidate]]-Audit[[#This Row],[Losing Candidate]]-(Audit[[#This Row],[Audit Winning Candidate]]-Audit[[#This Row],[Audit Losing Candidate]]))/(Audit[[#Totals],[Winning Candidate]]-Audit[[#Totals],[Losing Candidate]]),
      0
)</f>
        <v>0</v>
      </c>
      <c r="AV6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6" s="17">
        <f>IF(Audit[[#This Row],[Max Relative Error (ep)]] = 0, 0, Audit[[#This Row],[Max Relative Error (ep)]]/Audit[[#This Row],[Error Bound (up) - Max. possible relative overstatement]])</f>
        <v>0</v>
      </c>
      <c r="BH6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06" s="17">
        <f t="shared" si="10"/>
        <v>1</v>
      </c>
      <c r="BJ606" s="17">
        <f>PRODUCT($BI$5:BI606)</f>
        <v>0.31487538641040835</v>
      </c>
      <c r="BK606" s="19">
        <f>1 - Audit[[#This Row],[K-M P Value]]</f>
        <v>0.68512461358959165</v>
      </c>
      <c r="BL606" s="17" t="str">
        <f>IF(Audit[[#This Row],[K-M P Value]]&gt;1-'General Info'!$B$12,"Continue", "Stop")</f>
        <v>Continue</v>
      </c>
      <c r="BM606" s="22" t="b">
        <f>IF(Audit[[#This Row],[Status - Continue or stop audit]] = "Continue", TRUE, IF(BL605 = "Continue", TRUE, FALSE))</f>
        <v>1</v>
      </c>
      <c r="BN606" s="22"/>
    </row>
    <row r="607" spans="1:66" ht="15" hidden="1" customHeight="1" x14ac:dyDescent="0.35">
      <c r="A607" s="17" t="str">
        <f>'Sampling Data'!AI607</f>
        <v/>
      </c>
      <c r="B607" s="17" t="str">
        <f>'Sampling Data'!A607</f>
        <v>0504 CIN 5-D   (ED)</v>
      </c>
      <c r="C607" s="17">
        <f>'Sampling Data'!B607</f>
        <v>221</v>
      </c>
      <c r="D607" s="17">
        <f>'Sampling Data'!C607</f>
        <v>205</v>
      </c>
      <c r="E607" s="18">
        <f>'Sampling Data'!D607</f>
        <v>0</v>
      </c>
      <c r="F607" s="18">
        <f>'Sampling Data'!E607</f>
        <v>0</v>
      </c>
      <c r="G607" s="18">
        <f>'Sampling Data'!F607</f>
        <v>0</v>
      </c>
      <c r="H607" s="18">
        <f>'Sampling Data'!G607</f>
        <v>0</v>
      </c>
      <c r="I607" s="18">
        <f>'Sampling Data'!H607</f>
        <v>0</v>
      </c>
      <c r="J607" s="18">
        <f>'Sampling Data'!I607</f>
        <v>0</v>
      </c>
      <c r="K607" s="18">
        <f>'Sampling Data'!J607</f>
        <v>0</v>
      </c>
      <c r="L607" s="18">
        <f>'Sampling Data'!K607</f>
        <v>0</v>
      </c>
      <c r="M607" s="18">
        <f>'Sampling Data'!L607</f>
        <v>0</v>
      </c>
      <c r="N607" s="18">
        <f>'Sampling Data'!M607</f>
        <v>0</v>
      </c>
      <c r="O607" s="17">
        <f>'Sampling Data'!N607</f>
        <v>0</v>
      </c>
      <c r="P607" s="17">
        <f>'Sampling Data'!O607</f>
        <v>30</v>
      </c>
      <c r="Q607" s="17">
        <f>'Sampling Data'!P607</f>
        <v>456</v>
      </c>
      <c r="R607" s="17">
        <f>'Sampling Data'!AJ607</f>
        <v>0</v>
      </c>
      <c r="S607" s="111"/>
      <c r="T607" s="111"/>
      <c r="U607" s="112"/>
      <c r="V607" s="112"/>
      <c r="W607" s="111"/>
      <c r="X607" s="111"/>
      <c r="Y607" s="111"/>
      <c r="Z607" s="111"/>
      <c r="AA607" s="14"/>
      <c r="AB607" s="14"/>
      <c r="AC607" s="14"/>
      <c r="AD607" s="14"/>
      <c r="AE607" s="113" t="str">
        <f>IF(NOT(ISBLANK(Audit[[#This Row],[Audit Winning Candidate]])), Audit[[#This Row],[Audit Winning Candidate]]-Audit[[#This Row],[Winning Candidate]], "")</f>
        <v/>
      </c>
      <c r="AF607" s="17" t="str">
        <f>IF(NOT(ISBLANK(Audit[[#This Row],[Audit Losing Candidate]])), Audit[[#This Row],[Audit Losing Candidate]]-Audit[[#This Row],[Losing Candidate]], "")</f>
        <v/>
      </c>
      <c r="AG607" s="17" t="str">
        <f>IF(NOT(ISBLANK(Audit[[#This Row],[Audit Candidate 3]])), Audit[[#This Row],[Audit Candidate 3]]-Audit[[#This Row],[Candidate 3]], "")</f>
        <v/>
      </c>
      <c r="AH607" s="17" t="str">
        <f>IF(NOT(ISBLANK(Audit[[#This Row],[Audit Candidate 4]])),Audit[[#This Row],[Audit Candidate 4]]-Audit[[#This Row],[Candidate 4]], "")</f>
        <v/>
      </c>
      <c r="AI607" s="17" t="str">
        <f>IF(NOT(ISBLANK(Audit[[#This Row],[Audit Candidate 5]])), Audit[[#This Row],[Audit Candidate 5]]-Audit[[#This Row],[Candidate 5]], "")</f>
        <v/>
      </c>
      <c r="AJ607" s="17" t="str">
        <f>IF(NOT(ISBLANK(Audit[[#This Row],[Audit Candidate 6]])), Audit[[#This Row],[Audit Candidate 6]]-Audit[[#This Row],[Candidate 6]], "")</f>
        <v/>
      </c>
      <c r="AK607" s="17" t="str">
        <f>IF(NOT(ISBLANK(Audit[[#This Row],[Audit Candidate 7]])), Audit[[#This Row],[Audit Candidate 7]]-Audit[[#This Row],[Candidate 7]], "")</f>
        <v/>
      </c>
      <c r="AL607" s="17" t="str">
        <f>IF(NOT(ISBLANK(Audit[[#This Row],[Audit Candidate 8]])), Audit[[#This Row],[Audit Candidate 8]]-Audit[[#This Row],[Candidate 8]], "")</f>
        <v/>
      </c>
      <c r="AM607" s="17" t="str">
        <f>IF(NOT(ISBLANK(Audit[[#This Row],[Audit Candidate 9]])), Audit[[#This Row],[Audit Candidate 9]]-Audit[[#This Row],[Candidate 9]], "")</f>
        <v/>
      </c>
      <c r="AN607" s="17" t="str">
        <f>IF(NOT(ISBLANK(Audit[[#This Row],[Audit Candidate 10]])), Audit[[#This Row],[Audit Candidate 10]]-Audit[[#This Row],[Candidate 10]], "")</f>
        <v/>
      </c>
      <c r="AO607" s="17" t="str">
        <f>IF(NOT(ISBLANK(Audit[[#This Row],[Audit Candidate 11]])), Audit[[#This Row],[Audit Candidate 11]]-Audit[[#This Row],[Candidate 11]], "")</f>
        <v/>
      </c>
      <c r="AP607" s="17" t="str">
        <f>IF(NOT(ISBLANK(Audit[[#This Row],[Audit Candidate 12]])), Audit[[#This Row],[Audit Candidate 12]]-Audit[[#This Row],[Candidate 12]], "")</f>
        <v/>
      </c>
      <c r="AQ607" s="17">
        <f>SUMIF(Audit[[#This Row],[Difference Winner]:[Difference Candidate 12]], "&gt;0")</f>
        <v>0</v>
      </c>
      <c r="AR607" s="17">
        <f>SUM(Audit[[#This Row],[Difference Winner]:[Difference Candidate 12]])</f>
        <v>0</v>
      </c>
      <c r="AS607" s="17">
        <f>IF(Audit[[#This Row],[Times p Drawn - With Replacement]]&gt;0, IF(Audit[[#This Row],[Canceled Differences]]&lt;0, Audit[[#This Row],[Max Differences]]+ABS(Audit[[#This Row],[Canceled Differences]]), Audit[[#This Row],[Max Differences]]), 0)</f>
        <v>0</v>
      </c>
      <c r="AT607" s="17">
        <f>'Sampling Data'!AB607</f>
        <v>2.0030555084026482E-2</v>
      </c>
      <c r="AU607" s="17">
        <f>IF(
      SUM(Audit[[#This Row],[Audit Losing Candidate]:[Audit Candidate 12]])
      &lt;&gt;0,
      (Audit[[#This Row],[Winning Candidate]]-Audit[[#This Row],[Losing Candidate]]-(Audit[[#This Row],[Audit Winning Candidate]]-Audit[[#This Row],[Audit Losing Candidate]]))/(Audit[[#Totals],[Winning Candidate]]-Audit[[#Totals],[Losing Candidate]]),
      0
)</f>
        <v>0</v>
      </c>
      <c r="AV6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7" s="17">
        <f>IF(Audit[[#This Row],[Max Relative Error (ep)]] = 0, 0, Audit[[#This Row],[Max Relative Error (ep)]]/Audit[[#This Row],[Error Bound (up) - Max. possible relative overstatement]])</f>
        <v>0</v>
      </c>
      <c r="BH6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07" s="17">
        <f t="shared" si="10"/>
        <v>1</v>
      </c>
      <c r="BJ607" s="17">
        <f>PRODUCT($BI$5:BI607)</f>
        <v>0.31487538641040835</v>
      </c>
      <c r="BK607" s="19">
        <f>1 - Audit[[#This Row],[K-M P Value]]</f>
        <v>0.68512461358959165</v>
      </c>
      <c r="BL607" s="17" t="str">
        <f>IF(Audit[[#This Row],[K-M P Value]]&gt;1-'General Info'!$B$12,"Continue", "Stop")</f>
        <v>Continue</v>
      </c>
      <c r="BM607" s="22" t="b">
        <f>IF(Audit[[#This Row],[Status - Continue or stop audit]] = "Continue", TRUE, IF(BL606 = "Continue", TRUE, FALSE))</f>
        <v>1</v>
      </c>
      <c r="BN607" s="22"/>
    </row>
    <row r="608" spans="1:66" ht="15" hidden="1" customHeight="1" x14ac:dyDescent="0.35">
      <c r="A608" s="17" t="str">
        <f>'Sampling Data'!AI608</f>
        <v/>
      </c>
      <c r="B608" s="17" t="str">
        <f>'Sampling Data'!A608</f>
        <v>0505 CIN 5-E   (ED)</v>
      </c>
      <c r="C608" s="17">
        <f>'Sampling Data'!B608</f>
        <v>286</v>
      </c>
      <c r="D608" s="17">
        <f>'Sampling Data'!C608</f>
        <v>230</v>
      </c>
      <c r="E608" s="18">
        <f>'Sampling Data'!D608</f>
        <v>0</v>
      </c>
      <c r="F608" s="18">
        <f>'Sampling Data'!E608</f>
        <v>0</v>
      </c>
      <c r="G608" s="18">
        <f>'Sampling Data'!F608</f>
        <v>0</v>
      </c>
      <c r="H608" s="18">
        <f>'Sampling Data'!G608</f>
        <v>0</v>
      </c>
      <c r="I608" s="18">
        <f>'Sampling Data'!H608</f>
        <v>0</v>
      </c>
      <c r="J608" s="18">
        <f>'Sampling Data'!I608</f>
        <v>0</v>
      </c>
      <c r="K608" s="18">
        <f>'Sampling Data'!J608</f>
        <v>0</v>
      </c>
      <c r="L608" s="18">
        <f>'Sampling Data'!K608</f>
        <v>0</v>
      </c>
      <c r="M608" s="18">
        <f>'Sampling Data'!L608</f>
        <v>0</v>
      </c>
      <c r="N608" s="18">
        <f>'Sampling Data'!M608</f>
        <v>0</v>
      </c>
      <c r="O608" s="17">
        <f>'Sampling Data'!N608</f>
        <v>0</v>
      </c>
      <c r="P608" s="17">
        <f>'Sampling Data'!O608</f>
        <v>55</v>
      </c>
      <c r="Q608" s="17">
        <f>'Sampling Data'!P608</f>
        <v>571</v>
      </c>
      <c r="R608" s="17">
        <f>'Sampling Data'!AJ608</f>
        <v>0</v>
      </c>
      <c r="S608" s="111"/>
      <c r="T608" s="111"/>
      <c r="U608" s="112"/>
      <c r="V608" s="112"/>
      <c r="W608" s="111"/>
      <c r="X608" s="111"/>
      <c r="Y608" s="111"/>
      <c r="Z608" s="111"/>
      <c r="AA608" s="14"/>
      <c r="AB608" s="14"/>
      <c r="AC608" s="14"/>
      <c r="AD608" s="14"/>
      <c r="AE608" s="113" t="str">
        <f>IF(NOT(ISBLANK(Audit[[#This Row],[Audit Winning Candidate]])), Audit[[#This Row],[Audit Winning Candidate]]-Audit[[#This Row],[Winning Candidate]], "")</f>
        <v/>
      </c>
      <c r="AF608" s="17" t="str">
        <f>IF(NOT(ISBLANK(Audit[[#This Row],[Audit Losing Candidate]])), Audit[[#This Row],[Audit Losing Candidate]]-Audit[[#This Row],[Losing Candidate]], "")</f>
        <v/>
      </c>
      <c r="AG608" s="17" t="str">
        <f>IF(NOT(ISBLANK(Audit[[#This Row],[Audit Candidate 3]])), Audit[[#This Row],[Audit Candidate 3]]-Audit[[#This Row],[Candidate 3]], "")</f>
        <v/>
      </c>
      <c r="AH608" s="17" t="str">
        <f>IF(NOT(ISBLANK(Audit[[#This Row],[Audit Candidate 4]])),Audit[[#This Row],[Audit Candidate 4]]-Audit[[#This Row],[Candidate 4]], "")</f>
        <v/>
      </c>
      <c r="AI608" s="17" t="str">
        <f>IF(NOT(ISBLANK(Audit[[#This Row],[Audit Candidate 5]])), Audit[[#This Row],[Audit Candidate 5]]-Audit[[#This Row],[Candidate 5]], "")</f>
        <v/>
      </c>
      <c r="AJ608" s="17" t="str">
        <f>IF(NOT(ISBLANK(Audit[[#This Row],[Audit Candidate 6]])), Audit[[#This Row],[Audit Candidate 6]]-Audit[[#This Row],[Candidate 6]], "")</f>
        <v/>
      </c>
      <c r="AK608" s="17" t="str">
        <f>IF(NOT(ISBLANK(Audit[[#This Row],[Audit Candidate 7]])), Audit[[#This Row],[Audit Candidate 7]]-Audit[[#This Row],[Candidate 7]], "")</f>
        <v/>
      </c>
      <c r="AL608" s="17" t="str">
        <f>IF(NOT(ISBLANK(Audit[[#This Row],[Audit Candidate 8]])), Audit[[#This Row],[Audit Candidate 8]]-Audit[[#This Row],[Candidate 8]], "")</f>
        <v/>
      </c>
      <c r="AM608" s="17" t="str">
        <f>IF(NOT(ISBLANK(Audit[[#This Row],[Audit Candidate 9]])), Audit[[#This Row],[Audit Candidate 9]]-Audit[[#This Row],[Candidate 9]], "")</f>
        <v/>
      </c>
      <c r="AN608" s="17" t="str">
        <f>IF(NOT(ISBLANK(Audit[[#This Row],[Audit Candidate 10]])), Audit[[#This Row],[Audit Candidate 10]]-Audit[[#This Row],[Candidate 10]], "")</f>
        <v/>
      </c>
      <c r="AO608" s="17" t="str">
        <f>IF(NOT(ISBLANK(Audit[[#This Row],[Audit Candidate 11]])), Audit[[#This Row],[Audit Candidate 11]]-Audit[[#This Row],[Candidate 11]], "")</f>
        <v/>
      </c>
      <c r="AP608" s="17" t="str">
        <f>IF(NOT(ISBLANK(Audit[[#This Row],[Audit Candidate 12]])), Audit[[#This Row],[Audit Candidate 12]]-Audit[[#This Row],[Candidate 12]], "")</f>
        <v/>
      </c>
      <c r="AQ608" s="17">
        <f>SUMIF(Audit[[#This Row],[Difference Winner]:[Difference Candidate 12]], "&gt;0")</f>
        <v>0</v>
      </c>
      <c r="AR608" s="17">
        <f>SUM(Audit[[#This Row],[Difference Winner]:[Difference Candidate 12]])</f>
        <v>0</v>
      </c>
      <c r="AS608" s="17">
        <f>IF(Audit[[#This Row],[Times p Drawn - With Replacement]]&gt;0, IF(Audit[[#This Row],[Canceled Differences]]&lt;0, Audit[[#This Row],[Max Differences]]+ABS(Audit[[#This Row],[Canceled Differences]]), Audit[[#This Row],[Max Differences]]), 0)</f>
        <v>0</v>
      </c>
      <c r="AT608" s="17">
        <f>'Sampling Data'!AB608</f>
        <v>2.6608385673060602E-2</v>
      </c>
      <c r="AU608" s="17">
        <f>IF(
      SUM(Audit[[#This Row],[Audit Losing Candidate]:[Audit Candidate 12]])
      &lt;&gt;0,
      (Audit[[#This Row],[Winning Candidate]]-Audit[[#This Row],[Losing Candidate]]-(Audit[[#This Row],[Audit Winning Candidate]]-Audit[[#This Row],[Audit Losing Candidate]]))/(Audit[[#Totals],[Winning Candidate]]-Audit[[#Totals],[Losing Candidate]]),
      0
)</f>
        <v>0</v>
      </c>
      <c r="AV6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8" s="17">
        <f>IF(Audit[[#This Row],[Max Relative Error (ep)]] = 0, 0, Audit[[#This Row],[Max Relative Error (ep)]]/Audit[[#This Row],[Error Bound (up) - Max. possible relative overstatement]])</f>
        <v>0</v>
      </c>
      <c r="BH6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08" s="17">
        <f t="shared" si="10"/>
        <v>1</v>
      </c>
      <c r="BJ608" s="17">
        <f>PRODUCT($BI$5:BI608)</f>
        <v>0.31487538641040835</v>
      </c>
      <c r="BK608" s="19">
        <f>1 - Audit[[#This Row],[K-M P Value]]</f>
        <v>0.68512461358959165</v>
      </c>
      <c r="BL608" s="17" t="str">
        <f>IF(Audit[[#This Row],[K-M P Value]]&gt;1-'General Info'!$B$12,"Continue", "Stop")</f>
        <v>Continue</v>
      </c>
      <c r="BM608" s="22" t="b">
        <f>IF(Audit[[#This Row],[Status - Continue or stop audit]] = "Continue", TRUE, IF(BL607 = "Continue", TRUE, FALSE))</f>
        <v>1</v>
      </c>
      <c r="BN608" s="22"/>
    </row>
    <row r="609" spans="1:66" ht="15" hidden="1" customHeight="1" x14ac:dyDescent="0.35">
      <c r="A609" s="17" t="str">
        <f>'Sampling Data'!AI609</f>
        <v/>
      </c>
      <c r="B609" s="17" t="str">
        <f>'Sampling Data'!A609</f>
        <v>0506 CIN 5-F   (ED)</v>
      </c>
      <c r="C609" s="17">
        <f>'Sampling Data'!B609</f>
        <v>150</v>
      </c>
      <c r="D609" s="17">
        <f>'Sampling Data'!C609</f>
        <v>157</v>
      </c>
      <c r="E609" s="18">
        <f>'Sampling Data'!D609</f>
        <v>0</v>
      </c>
      <c r="F609" s="18">
        <f>'Sampling Data'!E609</f>
        <v>0</v>
      </c>
      <c r="G609" s="18">
        <f>'Sampling Data'!F609</f>
        <v>0</v>
      </c>
      <c r="H609" s="18">
        <f>'Sampling Data'!G609</f>
        <v>0</v>
      </c>
      <c r="I609" s="18">
        <f>'Sampling Data'!H609</f>
        <v>0</v>
      </c>
      <c r="J609" s="18">
        <f>'Sampling Data'!I609</f>
        <v>0</v>
      </c>
      <c r="K609" s="18">
        <f>'Sampling Data'!J609</f>
        <v>0</v>
      </c>
      <c r="L609" s="18">
        <f>'Sampling Data'!K609</f>
        <v>0</v>
      </c>
      <c r="M609" s="18">
        <f>'Sampling Data'!L609</f>
        <v>0</v>
      </c>
      <c r="N609" s="18">
        <f>'Sampling Data'!M609</f>
        <v>0</v>
      </c>
      <c r="O609" s="17">
        <f>'Sampling Data'!N609</f>
        <v>0</v>
      </c>
      <c r="P609" s="17">
        <f>'Sampling Data'!O609</f>
        <v>19</v>
      </c>
      <c r="Q609" s="17">
        <f>'Sampling Data'!P609</f>
        <v>326</v>
      </c>
      <c r="R609" s="17">
        <f>'Sampling Data'!AJ609</f>
        <v>0</v>
      </c>
      <c r="S609" s="111"/>
      <c r="T609" s="111"/>
      <c r="U609" s="112"/>
      <c r="V609" s="112"/>
      <c r="W609" s="111"/>
      <c r="X609" s="111"/>
      <c r="Y609" s="111"/>
      <c r="Z609" s="111"/>
      <c r="AA609" s="14"/>
      <c r="AB609" s="14"/>
      <c r="AC609" s="14"/>
      <c r="AD609" s="14"/>
      <c r="AE609" s="113" t="str">
        <f>IF(NOT(ISBLANK(Audit[[#This Row],[Audit Winning Candidate]])), Audit[[#This Row],[Audit Winning Candidate]]-Audit[[#This Row],[Winning Candidate]], "")</f>
        <v/>
      </c>
      <c r="AF609" s="17" t="str">
        <f>IF(NOT(ISBLANK(Audit[[#This Row],[Audit Losing Candidate]])), Audit[[#This Row],[Audit Losing Candidate]]-Audit[[#This Row],[Losing Candidate]], "")</f>
        <v/>
      </c>
      <c r="AG609" s="17" t="str">
        <f>IF(NOT(ISBLANK(Audit[[#This Row],[Audit Candidate 3]])), Audit[[#This Row],[Audit Candidate 3]]-Audit[[#This Row],[Candidate 3]], "")</f>
        <v/>
      </c>
      <c r="AH609" s="17" t="str">
        <f>IF(NOT(ISBLANK(Audit[[#This Row],[Audit Candidate 4]])),Audit[[#This Row],[Audit Candidate 4]]-Audit[[#This Row],[Candidate 4]], "")</f>
        <v/>
      </c>
      <c r="AI609" s="17" t="str">
        <f>IF(NOT(ISBLANK(Audit[[#This Row],[Audit Candidate 5]])), Audit[[#This Row],[Audit Candidate 5]]-Audit[[#This Row],[Candidate 5]], "")</f>
        <v/>
      </c>
      <c r="AJ609" s="17" t="str">
        <f>IF(NOT(ISBLANK(Audit[[#This Row],[Audit Candidate 6]])), Audit[[#This Row],[Audit Candidate 6]]-Audit[[#This Row],[Candidate 6]], "")</f>
        <v/>
      </c>
      <c r="AK609" s="17" t="str">
        <f>IF(NOT(ISBLANK(Audit[[#This Row],[Audit Candidate 7]])), Audit[[#This Row],[Audit Candidate 7]]-Audit[[#This Row],[Candidate 7]], "")</f>
        <v/>
      </c>
      <c r="AL609" s="17" t="str">
        <f>IF(NOT(ISBLANK(Audit[[#This Row],[Audit Candidate 8]])), Audit[[#This Row],[Audit Candidate 8]]-Audit[[#This Row],[Candidate 8]], "")</f>
        <v/>
      </c>
      <c r="AM609" s="17" t="str">
        <f>IF(NOT(ISBLANK(Audit[[#This Row],[Audit Candidate 9]])), Audit[[#This Row],[Audit Candidate 9]]-Audit[[#This Row],[Candidate 9]], "")</f>
        <v/>
      </c>
      <c r="AN609" s="17" t="str">
        <f>IF(NOT(ISBLANK(Audit[[#This Row],[Audit Candidate 10]])), Audit[[#This Row],[Audit Candidate 10]]-Audit[[#This Row],[Candidate 10]], "")</f>
        <v/>
      </c>
      <c r="AO609" s="17" t="str">
        <f>IF(NOT(ISBLANK(Audit[[#This Row],[Audit Candidate 11]])), Audit[[#This Row],[Audit Candidate 11]]-Audit[[#This Row],[Candidate 11]], "")</f>
        <v/>
      </c>
      <c r="AP609" s="17" t="str">
        <f>IF(NOT(ISBLANK(Audit[[#This Row],[Audit Candidate 12]])), Audit[[#This Row],[Audit Candidate 12]]-Audit[[#This Row],[Candidate 12]], "")</f>
        <v/>
      </c>
      <c r="AQ609" s="17">
        <f>SUMIF(Audit[[#This Row],[Difference Winner]:[Difference Candidate 12]], "&gt;0")</f>
        <v>0</v>
      </c>
      <c r="AR609" s="17">
        <f>SUM(Audit[[#This Row],[Difference Winner]:[Difference Candidate 12]])</f>
        <v>0</v>
      </c>
      <c r="AS609" s="17">
        <f>IF(Audit[[#This Row],[Times p Drawn - With Replacement]]&gt;0, IF(Audit[[#This Row],[Canceled Differences]]&lt;0, Audit[[#This Row],[Max Differences]]+ABS(Audit[[#This Row],[Canceled Differences]]), Audit[[#This Row],[Max Differences]]), 0)</f>
        <v>0</v>
      </c>
      <c r="AT609" s="17">
        <f>'Sampling Data'!AB609</f>
        <v>1.3537599728399253E-2</v>
      </c>
      <c r="AU609" s="17">
        <f>IF(
      SUM(Audit[[#This Row],[Audit Losing Candidate]:[Audit Candidate 12]])
      &lt;&gt;0,
      (Audit[[#This Row],[Winning Candidate]]-Audit[[#This Row],[Losing Candidate]]-(Audit[[#This Row],[Audit Winning Candidate]]-Audit[[#This Row],[Audit Losing Candidate]]))/(Audit[[#Totals],[Winning Candidate]]-Audit[[#Totals],[Losing Candidate]]),
      0
)</f>
        <v>0</v>
      </c>
      <c r="AV6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9" s="17">
        <f>IF(Audit[[#This Row],[Max Relative Error (ep)]] = 0, 0, Audit[[#This Row],[Max Relative Error (ep)]]/Audit[[#This Row],[Error Bound (up) - Max. possible relative overstatement]])</f>
        <v>0</v>
      </c>
      <c r="BH6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09" s="17">
        <f t="shared" si="10"/>
        <v>1</v>
      </c>
      <c r="BJ609" s="17">
        <f>PRODUCT($BI$5:BI609)</f>
        <v>0.31487538641040835</v>
      </c>
      <c r="BK609" s="19">
        <f>1 - Audit[[#This Row],[K-M P Value]]</f>
        <v>0.68512461358959165</v>
      </c>
      <c r="BL609" s="17" t="str">
        <f>IF(Audit[[#This Row],[K-M P Value]]&gt;1-'General Info'!$B$12,"Continue", "Stop")</f>
        <v>Continue</v>
      </c>
      <c r="BM609" s="22" t="b">
        <f>IF(Audit[[#This Row],[Status - Continue or stop audit]] = "Continue", TRUE, IF(BL608 = "Continue", TRUE, FALSE))</f>
        <v>1</v>
      </c>
      <c r="BN609" s="22"/>
    </row>
    <row r="610" spans="1:66" ht="15" hidden="1" customHeight="1" x14ac:dyDescent="0.35">
      <c r="A610" s="17" t="str">
        <f>'Sampling Data'!AI610</f>
        <v/>
      </c>
      <c r="B610" s="17" t="str">
        <f>'Sampling Data'!A610</f>
        <v>0507 CIN 5-G   (ED)</v>
      </c>
      <c r="C610" s="17">
        <f>'Sampling Data'!B610</f>
        <v>212</v>
      </c>
      <c r="D610" s="17">
        <f>'Sampling Data'!C610</f>
        <v>218</v>
      </c>
      <c r="E610" s="18">
        <f>'Sampling Data'!D610</f>
        <v>0</v>
      </c>
      <c r="F610" s="18">
        <f>'Sampling Data'!E610</f>
        <v>0</v>
      </c>
      <c r="G610" s="18">
        <f>'Sampling Data'!F610</f>
        <v>0</v>
      </c>
      <c r="H610" s="18">
        <f>'Sampling Data'!G610</f>
        <v>0</v>
      </c>
      <c r="I610" s="18">
        <f>'Sampling Data'!H610</f>
        <v>0</v>
      </c>
      <c r="J610" s="18">
        <f>'Sampling Data'!I610</f>
        <v>0</v>
      </c>
      <c r="K610" s="18">
        <f>'Sampling Data'!J610</f>
        <v>0</v>
      </c>
      <c r="L610" s="18">
        <f>'Sampling Data'!K610</f>
        <v>0</v>
      </c>
      <c r="M610" s="18">
        <f>'Sampling Data'!L610</f>
        <v>0</v>
      </c>
      <c r="N610" s="18">
        <f>'Sampling Data'!M610</f>
        <v>0</v>
      </c>
      <c r="O610" s="17">
        <f>'Sampling Data'!N610</f>
        <v>1</v>
      </c>
      <c r="P610" s="17">
        <f>'Sampling Data'!O610</f>
        <v>36</v>
      </c>
      <c r="Q610" s="17">
        <f>'Sampling Data'!P610</f>
        <v>467</v>
      </c>
      <c r="R610" s="17">
        <f>'Sampling Data'!AJ610</f>
        <v>0</v>
      </c>
      <c r="S610" s="111"/>
      <c r="T610" s="111"/>
      <c r="U610" s="112"/>
      <c r="V610" s="112"/>
      <c r="W610" s="111"/>
      <c r="X610" s="111"/>
      <c r="Y610" s="111"/>
      <c r="Z610" s="111"/>
      <c r="AA610" s="14"/>
      <c r="AB610" s="14"/>
      <c r="AC610" s="14"/>
      <c r="AD610" s="14"/>
      <c r="AE610" s="113" t="str">
        <f>IF(NOT(ISBLANK(Audit[[#This Row],[Audit Winning Candidate]])), Audit[[#This Row],[Audit Winning Candidate]]-Audit[[#This Row],[Winning Candidate]], "")</f>
        <v/>
      </c>
      <c r="AF610" s="17" t="str">
        <f>IF(NOT(ISBLANK(Audit[[#This Row],[Audit Losing Candidate]])), Audit[[#This Row],[Audit Losing Candidate]]-Audit[[#This Row],[Losing Candidate]], "")</f>
        <v/>
      </c>
      <c r="AG610" s="17" t="str">
        <f>IF(NOT(ISBLANK(Audit[[#This Row],[Audit Candidate 3]])), Audit[[#This Row],[Audit Candidate 3]]-Audit[[#This Row],[Candidate 3]], "")</f>
        <v/>
      </c>
      <c r="AH610" s="17" t="str">
        <f>IF(NOT(ISBLANK(Audit[[#This Row],[Audit Candidate 4]])),Audit[[#This Row],[Audit Candidate 4]]-Audit[[#This Row],[Candidate 4]], "")</f>
        <v/>
      </c>
      <c r="AI610" s="17" t="str">
        <f>IF(NOT(ISBLANK(Audit[[#This Row],[Audit Candidate 5]])), Audit[[#This Row],[Audit Candidate 5]]-Audit[[#This Row],[Candidate 5]], "")</f>
        <v/>
      </c>
      <c r="AJ610" s="17" t="str">
        <f>IF(NOT(ISBLANK(Audit[[#This Row],[Audit Candidate 6]])), Audit[[#This Row],[Audit Candidate 6]]-Audit[[#This Row],[Candidate 6]], "")</f>
        <v/>
      </c>
      <c r="AK610" s="17" t="str">
        <f>IF(NOT(ISBLANK(Audit[[#This Row],[Audit Candidate 7]])), Audit[[#This Row],[Audit Candidate 7]]-Audit[[#This Row],[Candidate 7]], "")</f>
        <v/>
      </c>
      <c r="AL610" s="17" t="str">
        <f>IF(NOT(ISBLANK(Audit[[#This Row],[Audit Candidate 8]])), Audit[[#This Row],[Audit Candidate 8]]-Audit[[#This Row],[Candidate 8]], "")</f>
        <v/>
      </c>
      <c r="AM610" s="17" t="str">
        <f>IF(NOT(ISBLANK(Audit[[#This Row],[Audit Candidate 9]])), Audit[[#This Row],[Audit Candidate 9]]-Audit[[#This Row],[Candidate 9]], "")</f>
        <v/>
      </c>
      <c r="AN610" s="17" t="str">
        <f>IF(NOT(ISBLANK(Audit[[#This Row],[Audit Candidate 10]])), Audit[[#This Row],[Audit Candidate 10]]-Audit[[#This Row],[Candidate 10]], "")</f>
        <v/>
      </c>
      <c r="AO610" s="17" t="str">
        <f>IF(NOT(ISBLANK(Audit[[#This Row],[Audit Candidate 11]])), Audit[[#This Row],[Audit Candidate 11]]-Audit[[#This Row],[Candidate 11]], "")</f>
        <v/>
      </c>
      <c r="AP610" s="17" t="str">
        <f>IF(NOT(ISBLANK(Audit[[#This Row],[Audit Candidate 12]])), Audit[[#This Row],[Audit Candidate 12]]-Audit[[#This Row],[Candidate 12]], "")</f>
        <v/>
      </c>
      <c r="AQ610" s="17">
        <f>SUMIF(Audit[[#This Row],[Difference Winner]:[Difference Candidate 12]], "&gt;0")</f>
        <v>0</v>
      </c>
      <c r="AR610" s="17">
        <f>SUM(Audit[[#This Row],[Difference Winner]:[Difference Candidate 12]])</f>
        <v>0</v>
      </c>
      <c r="AS610" s="17">
        <f>IF(Audit[[#This Row],[Times p Drawn - With Replacement]]&gt;0, IF(Audit[[#This Row],[Canceled Differences]]&lt;0, Audit[[#This Row],[Max Differences]]+ABS(Audit[[#This Row],[Canceled Differences]]), Audit[[#This Row],[Max Differences]]), 0)</f>
        <v>0</v>
      </c>
      <c r="AT610" s="17">
        <f>'Sampling Data'!AB610</f>
        <v>1.9563741300288574E-2</v>
      </c>
      <c r="AU610" s="17">
        <f>IF(
      SUM(Audit[[#This Row],[Audit Losing Candidate]:[Audit Candidate 12]])
      &lt;&gt;0,
      (Audit[[#This Row],[Winning Candidate]]-Audit[[#This Row],[Losing Candidate]]-(Audit[[#This Row],[Audit Winning Candidate]]-Audit[[#This Row],[Audit Losing Candidate]]))/(Audit[[#Totals],[Winning Candidate]]-Audit[[#Totals],[Losing Candidate]]),
      0
)</f>
        <v>0</v>
      </c>
      <c r="AV6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0" s="17">
        <f>IF(Audit[[#This Row],[Max Relative Error (ep)]] = 0, 0, Audit[[#This Row],[Max Relative Error (ep)]]/Audit[[#This Row],[Error Bound (up) - Max. possible relative overstatement]])</f>
        <v>0</v>
      </c>
      <c r="BH6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10" s="17">
        <f t="shared" si="10"/>
        <v>1</v>
      </c>
      <c r="BJ610" s="17">
        <f>PRODUCT($BI$5:BI610)</f>
        <v>0.31487538641040835</v>
      </c>
      <c r="BK610" s="19">
        <f>1 - Audit[[#This Row],[K-M P Value]]</f>
        <v>0.68512461358959165</v>
      </c>
      <c r="BL610" s="17" t="str">
        <f>IF(Audit[[#This Row],[K-M P Value]]&gt;1-'General Info'!$B$12,"Continue", "Stop")</f>
        <v>Continue</v>
      </c>
      <c r="BM610" s="22" t="b">
        <f>IF(Audit[[#This Row],[Status - Continue or stop audit]] = "Continue", TRUE, IF(BL609 = "Continue", TRUE, FALSE))</f>
        <v>1</v>
      </c>
      <c r="BN610" s="22"/>
    </row>
    <row r="611" spans="1:66" ht="15" hidden="1" customHeight="1" x14ac:dyDescent="0.35">
      <c r="A611" s="17" t="str">
        <f>'Sampling Data'!AI611</f>
        <v/>
      </c>
      <c r="B611" s="17" t="str">
        <f>'Sampling Data'!A611</f>
        <v>0508 CIN 5-H   (ED)</v>
      </c>
      <c r="C611" s="17">
        <f>'Sampling Data'!B611</f>
        <v>222</v>
      </c>
      <c r="D611" s="17">
        <f>'Sampling Data'!C611</f>
        <v>48</v>
      </c>
      <c r="E611" s="18">
        <f>'Sampling Data'!D611</f>
        <v>0</v>
      </c>
      <c r="F611" s="18">
        <f>'Sampling Data'!E611</f>
        <v>0</v>
      </c>
      <c r="G611" s="18">
        <f>'Sampling Data'!F611</f>
        <v>0</v>
      </c>
      <c r="H611" s="18">
        <f>'Sampling Data'!G611</f>
        <v>0</v>
      </c>
      <c r="I611" s="18">
        <f>'Sampling Data'!H611</f>
        <v>0</v>
      </c>
      <c r="J611" s="18">
        <f>'Sampling Data'!I611</f>
        <v>0</v>
      </c>
      <c r="K611" s="18">
        <f>'Sampling Data'!J611</f>
        <v>0</v>
      </c>
      <c r="L611" s="18">
        <f>'Sampling Data'!K611</f>
        <v>0</v>
      </c>
      <c r="M611" s="18">
        <f>'Sampling Data'!L611</f>
        <v>0</v>
      </c>
      <c r="N611" s="18">
        <f>'Sampling Data'!M611</f>
        <v>0</v>
      </c>
      <c r="O611" s="17">
        <f>'Sampling Data'!N611</f>
        <v>0</v>
      </c>
      <c r="P611" s="17">
        <f>'Sampling Data'!O611</f>
        <v>26</v>
      </c>
      <c r="Q611" s="17">
        <f>'Sampling Data'!P611</f>
        <v>296</v>
      </c>
      <c r="R611" s="17">
        <f>'Sampling Data'!AJ611</f>
        <v>0</v>
      </c>
      <c r="S611" s="111"/>
      <c r="T611" s="111"/>
      <c r="U611" s="112"/>
      <c r="V611" s="112"/>
      <c r="W611" s="111"/>
      <c r="X611" s="111"/>
      <c r="Y611" s="111"/>
      <c r="Z611" s="111"/>
      <c r="AA611" s="14"/>
      <c r="AB611" s="14"/>
      <c r="AC611" s="14"/>
      <c r="AD611" s="14"/>
      <c r="AE611" s="113" t="str">
        <f>IF(NOT(ISBLANK(Audit[[#This Row],[Audit Winning Candidate]])), Audit[[#This Row],[Audit Winning Candidate]]-Audit[[#This Row],[Winning Candidate]], "")</f>
        <v/>
      </c>
      <c r="AF611" s="17" t="str">
        <f>IF(NOT(ISBLANK(Audit[[#This Row],[Audit Losing Candidate]])), Audit[[#This Row],[Audit Losing Candidate]]-Audit[[#This Row],[Losing Candidate]], "")</f>
        <v/>
      </c>
      <c r="AG611" s="17" t="str">
        <f>IF(NOT(ISBLANK(Audit[[#This Row],[Audit Candidate 3]])), Audit[[#This Row],[Audit Candidate 3]]-Audit[[#This Row],[Candidate 3]], "")</f>
        <v/>
      </c>
      <c r="AH611" s="17" t="str">
        <f>IF(NOT(ISBLANK(Audit[[#This Row],[Audit Candidate 4]])),Audit[[#This Row],[Audit Candidate 4]]-Audit[[#This Row],[Candidate 4]], "")</f>
        <v/>
      </c>
      <c r="AI611" s="17" t="str">
        <f>IF(NOT(ISBLANK(Audit[[#This Row],[Audit Candidate 5]])), Audit[[#This Row],[Audit Candidate 5]]-Audit[[#This Row],[Candidate 5]], "")</f>
        <v/>
      </c>
      <c r="AJ611" s="17" t="str">
        <f>IF(NOT(ISBLANK(Audit[[#This Row],[Audit Candidate 6]])), Audit[[#This Row],[Audit Candidate 6]]-Audit[[#This Row],[Candidate 6]], "")</f>
        <v/>
      </c>
      <c r="AK611" s="17" t="str">
        <f>IF(NOT(ISBLANK(Audit[[#This Row],[Audit Candidate 7]])), Audit[[#This Row],[Audit Candidate 7]]-Audit[[#This Row],[Candidate 7]], "")</f>
        <v/>
      </c>
      <c r="AL611" s="17" t="str">
        <f>IF(NOT(ISBLANK(Audit[[#This Row],[Audit Candidate 8]])), Audit[[#This Row],[Audit Candidate 8]]-Audit[[#This Row],[Candidate 8]], "")</f>
        <v/>
      </c>
      <c r="AM611" s="17" t="str">
        <f>IF(NOT(ISBLANK(Audit[[#This Row],[Audit Candidate 9]])), Audit[[#This Row],[Audit Candidate 9]]-Audit[[#This Row],[Candidate 9]], "")</f>
        <v/>
      </c>
      <c r="AN611" s="17" t="str">
        <f>IF(NOT(ISBLANK(Audit[[#This Row],[Audit Candidate 10]])), Audit[[#This Row],[Audit Candidate 10]]-Audit[[#This Row],[Candidate 10]], "")</f>
        <v/>
      </c>
      <c r="AO611" s="17" t="str">
        <f>IF(NOT(ISBLANK(Audit[[#This Row],[Audit Candidate 11]])), Audit[[#This Row],[Audit Candidate 11]]-Audit[[#This Row],[Candidate 11]], "")</f>
        <v/>
      </c>
      <c r="AP611" s="17" t="str">
        <f>IF(NOT(ISBLANK(Audit[[#This Row],[Audit Candidate 12]])), Audit[[#This Row],[Audit Candidate 12]]-Audit[[#This Row],[Candidate 12]], "")</f>
        <v/>
      </c>
      <c r="AQ611" s="17">
        <f>SUMIF(Audit[[#This Row],[Difference Winner]:[Difference Candidate 12]], "&gt;0")</f>
        <v>0</v>
      </c>
      <c r="AR611" s="17">
        <f>SUM(Audit[[#This Row],[Difference Winner]:[Difference Candidate 12]])</f>
        <v>0</v>
      </c>
      <c r="AS611" s="17">
        <f>IF(Audit[[#This Row],[Times p Drawn - With Replacement]]&gt;0, IF(Audit[[#This Row],[Canceled Differences]]&lt;0, Audit[[#This Row],[Max Differences]]+ABS(Audit[[#This Row],[Canceled Differences]]), Audit[[#This Row],[Max Differences]]), 0)</f>
        <v>0</v>
      </c>
      <c r="AT611" s="17">
        <f>'Sampling Data'!AB611</f>
        <v>1.994567985061959E-2</v>
      </c>
      <c r="AU611" s="17">
        <f>IF(
      SUM(Audit[[#This Row],[Audit Losing Candidate]:[Audit Candidate 12]])
      &lt;&gt;0,
      (Audit[[#This Row],[Winning Candidate]]-Audit[[#This Row],[Losing Candidate]]-(Audit[[#This Row],[Audit Winning Candidate]]-Audit[[#This Row],[Audit Losing Candidate]]))/(Audit[[#Totals],[Winning Candidate]]-Audit[[#Totals],[Losing Candidate]]),
      0
)</f>
        <v>0</v>
      </c>
      <c r="AV6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1" s="17">
        <f>IF(Audit[[#This Row],[Max Relative Error (ep)]] = 0, 0, Audit[[#This Row],[Max Relative Error (ep)]]/Audit[[#This Row],[Error Bound (up) - Max. possible relative overstatement]])</f>
        <v>0</v>
      </c>
      <c r="BH6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11" s="17">
        <f t="shared" si="10"/>
        <v>1</v>
      </c>
      <c r="BJ611" s="17">
        <f>PRODUCT($BI$5:BI611)</f>
        <v>0.31487538641040835</v>
      </c>
      <c r="BK611" s="19">
        <f>1 - Audit[[#This Row],[K-M P Value]]</f>
        <v>0.68512461358959165</v>
      </c>
      <c r="BL611" s="17" t="str">
        <f>IF(Audit[[#This Row],[K-M P Value]]&gt;1-'General Info'!$B$12,"Continue", "Stop")</f>
        <v>Continue</v>
      </c>
      <c r="BM611" s="22" t="b">
        <f>IF(Audit[[#This Row],[Status - Continue or stop audit]] = "Continue", TRUE, IF(BL610 = "Continue", TRUE, FALSE))</f>
        <v>1</v>
      </c>
      <c r="BN611" s="22"/>
    </row>
    <row r="612" spans="1:66" ht="15" hidden="1" customHeight="1" x14ac:dyDescent="0.35">
      <c r="A612" s="17" t="str">
        <f>'Sampling Data'!AI612</f>
        <v/>
      </c>
      <c r="B612" s="17" t="str">
        <f>'Sampling Data'!A612</f>
        <v>0509 CIN 5-I   (ED)</v>
      </c>
      <c r="C612" s="17">
        <f>'Sampling Data'!B612</f>
        <v>200</v>
      </c>
      <c r="D612" s="17">
        <f>'Sampling Data'!C612</f>
        <v>239</v>
      </c>
      <c r="E612" s="18">
        <f>'Sampling Data'!D612</f>
        <v>0</v>
      </c>
      <c r="F612" s="18">
        <f>'Sampling Data'!E612</f>
        <v>0</v>
      </c>
      <c r="G612" s="18">
        <f>'Sampling Data'!F612</f>
        <v>0</v>
      </c>
      <c r="H612" s="18">
        <f>'Sampling Data'!G612</f>
        <v>0</v>
      </c>
      <c r="I612" s="18">
        <f>'Sampling Data'!H612</f>
        <v>0</v>
      </c>
      <c r="J612" s="18">
        <f>'Sampling Data'!I612</f>
        <v>0</v>
      </c>
      <c r="K612" s="18">
        <f>'Sampling Data'!J612</f>
        <v>0</v>
      </c>
      <c r="L612" s="18">
        <f>'Sampling Data'!K612</f>
        <v>0</v>
      </c>
      <c r="M612" s="18">
        <f>'Sampling Data'!L612</f>
        <v>0</v>
      </c>
      <c r="N612" s="18">
        <f>'Sampling Data'!M612</f>
        <v>0</v>
      </c>
      <c r="O612" s="17">
        <f>'Sampling Data'!N612</f>
        <v>0</v>
      </c>
      <c r="P612" s="17">
        <f>'Sampling Data'!O612</f>
        <v>18</v>
      </c>
      <c r="Q612" s="17">
        <f>'Sampling Data'!P612</f>
        <v>457</v>
      </c>
      <c r="R612" s="17">
        <f>'Sampling Data'!AJ612</f>
        <v>0</v>
      </c>
      <c r="S612" s="111"/>
      <c r="T612" s="111"/>
      <c r="U612" s="112"/>
      <c r="V612" s="112"/>
      <c r="W612" s="111"/>
      <c r="X612" s="111"/>
      <c r="Y612" s="111"/>
      <c r="Z612" s="111"/>
      <c r="AA612" s="14"/>
      <c r="AB612" s="14"/>
      <c r="AC612" s="14"/>
      <c r="AD612" s="14"/>
      <c r="AE612" s="113" t="str">
        <f>IF(NOT(ISBLANK(Audit[[#This Row],[Audit Winning Candidate]])), Audit[[#This Row],[Audit Winning Candidate]]-Audit[[#This Row],[Winning Candidate]], "")</f>
        <v/>
      </c>
      <c r="AF612" s="17" t="str">
        <f>IF(NOT(ISBLANK(Audit[[#This Row],[Audit Losing Candidate]])), Audit[[#This Row],[Audit Losing Candidate]]-Audit[[#This Row],[Losing Candidate]], "")</f>
        <v/>
      </c>
      <c r="AG612" s="17" t="str">
        <f>IF(NOT(ISBLANK(Audit[[#This Row],[Audit Candidate 3]])), Audit[[#This Row],[Audit Candidate 3]]-Audit[[#This Row],[Candidate 3]], "")</f>
        <v/>
      </c>
      <c r="AH612" s="17" t="str">
        <f>IF(NOT(ISBLANK(Audit[[#This Row],[Audit Candidate 4]])),Audit[[#This Row],[Audit Candidate 4]]-Audit[[#This Row],[Candidate 4]], "")</f>
        <v/>
      </c>
      <c r="AI612" s="17" t="str">
        <f>IF(NOT(ISBLANK(Audit[[#This Row],[Audit Candidate 5]])), Audit[[#This Row],[Audit Candidate 5]]-Audit[[#This Row],[Candidate 5]], "")</f>
        <v/>
      </c>
      <c r="AJ612" s="17" t="str">
        <f>IF(NOT(ISBLANK(Audit[[#This Row],[Audit Candidate 6]])), Audit[[#This Row],[Audit Candidate 6]]-Audit[[#This Row],[Candidate 6]], "")</f>
        <v/>
      </c>
      <c r="AK612" s="17" t="str">
        <f>IF(NOT(ISBLANK(Audit[[#This Row],[Audit Candidate 7]])), Audit[[#This Row],[Audit Candidate 7]]-Audit[[#This Row],[Candidate 7]], "")</f>
        <v/>
      </c>
      <c r="AL612" s="17" t="str">
        <f>IF(NOT(ISBLANK(Audit[[#This Row],[Audit Candidate 8]])), Audit[[#This Row],[Audit Candidate 8]]-Audit[[#This Row],[Candidate 8]], "")</f>
        <v/>
      </c>
      <c r="AM612" s="17" t="str">
        <f>IF(NOT(ISBLANK(Audit[[#This Row],[Audit Candidate 9]])), Audit[[#This Row],[Audit Candidate 9]]-Audit[[#This Row],[Candidate 9]], "")</f>
        <v/>
      </c>
      <c r="AN612" s="17" t="str">
        <f>IF(NOT(ISBLANK(Audit[[#This Row],[Audit Candidate 10]])), Audit[[#This Row],[Audit Candidate 10]]-Audit[[#This Row],[Candidate 10]], "")</f>
        <v/>
      </c>
      <c r="AO612" s="17" t="str">
        <f>IF(NOT(ISBLANK(Audit[[#This Row],[Audit Candidate 11]])), Audit[[#This Row],[Audit Candidate 11]]-Audit[[#This Row],[Candidate 11]], "")</f>
        <v/>
      </c>
      <c r="AP612" s="17" t="str">
        <f>IF(NOT(ISBLANK(Audit[[#This Row],[Audit Candidate 12]])), Audit[[#This Row],[Audit Candidate 12]]-Audit[[#This Row],[Candidate 12]], "")</f>
        <v/>
      </c>
      <c r="AQ612" s="17">
        <f>SUMIF(Audit[[#This Row],[Difference Winner]:[Difference Candidate 12]], "&gt;0")</f>
        <v>0</v>
      </c>
      <c r="AR612" s="17">
        <f>SUM(Audit[[#This Row],[Difference Winner]:[Difference Candidate 12]])</f>
        <v>0</v>
      </c>
      <c r="AS612" s="17">
        <f>IF(Audit[[#This Row],[Times p Drawn - With Replacement]]&gt;0, IF(Audit[[#This Row],[Canceled Differences]]&lt;0, Audit[[#This Row],[Max Differences]]+ABS(Audit[[#This Row],[Canceled Differences]]), Audit[[#This Row],[Max Differences]]), 0)</f>
        <v>0</v>
      </c>
      <c r="AT612" s="17">
        <f>'Sampling Data'!AB612</f>
        <v>1.7738923782040401E-2</v>
      </c>
      <c r="AU612" s="17">
        <f>IF(
      SUM(Audit[[#This Row],[Audit Losing Candidate]:[Audit Candidate 12]])
      &lt;&gt;0,
      (Audit[[#This Row],[Winning Candidate]]-Audit[[#This Row],[Losing Candidate]]-(Audit[[#This Row],[Audit Winning Candidate]]-Audit[[#This Row],[Audit Losing Candidate]]))/(Audit[[#Totals],[Winning Candidate]]-Audit[[#Totals],[Losing Candidate]]),
      0
)</f>
        <v>0</v>
      </c>
      <c r="AV6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2" s="17">
        <f>IF(Audit[[#This Row],[Max Relative Error (ep)]] = 0, 0, Audit[[#This Row],[Max Relative Error (ep)]]/Audit[[#This Row],[Error Bound (up) - Max. possible relative overstatement]])</f>
        <v>0</v>
      </c>
      <c r="BH6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12" s="17">
        <f t="shared" si="10"/>
        <v>1</v>
      </c>
      <c r="BJ612" s="17">
        <f>PRODUCT($BI$5:BI612)</f>
        <v>0.31487538641040835</v>
      </c>
      <c r="BK612" s="19">
        <f>1 - Audit[[#This Row],[K-M P Value]]</f>
        <v>0.68512461358959165</v>
      </c>
      <c r="BL612" s="17" t="str">
        <f>IF(Audit[[#This Row],[K-M P Value]]&gt;1-'General Info'!$B$12,"Continue", "Stop")</f>
        <v>Continue</v>
      </c>
      <c r="BM612" s="22" t="b">
        <f>IF(Audit[[#This Row],[Status - Continue or stop audit]] = "Continue", TRUE, IF(BL611 = "Continue", TRUE, FALSE))</f>
        <v>1</v>
      </c>
      <c r="BN612" s="22"/>
    </row>
    <row r="613" spans="1:66" ht="15" hidden="1" customHeight="1" x14ac:dyDescent="0.35">
      <c r="A613" s="17" t="str">
        <f>'Sampling Data'!AI613</f>
        <v/>
      </c>
      <c r="B613" s="17" t="str">
        <f>'Sampling Data'!A613</f>
        <v>0601 CIN 6-A   (ED)</v>
      </c>
      <c r="C613" s="17">
        <f>'Sampling Data'!B613</f>
        <v>428</v>
      </c>
      <c r="D613" s="17">
        <f>'Sampling Data'!C613</f>
        <v>150</v>
      </c>
      <c r="E613" s="18">
        <f>'Sampling Data'!D613</f>
        <v>0</v>
      </c>
      <c r="F613" s="18">
        <f>'Sampling Data'!E613</f>
        <v>0</v>
      </c>
      <c r="G613" s="18">
        <f>'Sampling Data'!F613</f>
        <v>0</v>
      </c>
      <c r="H613" s="18">
        <f>'Sampling Data'!G613</f>
        <v>0</v>
      </c>
      <c r="I613" s="18">
        <f>'Sampling Data'!H613</f>
        <v>0</v>
      </c>
      <c r="J613" s="18">
        <f>'Sampling Data'!I613</f>
        <v>0</v>
      </c>
      <c r="K613" s="18">
        <f>'Sampling Data'!J613</f>
        <v>0</v>
      </c>
      <c r="L613" s="18">
        <f>'Sampling Data'!K613</f>
        <v>0</v>
      </c>
      <c r="M613" s="18">
        <f>'Sampling Data'!L613</f>
        <v>0</v>
      </c>
      <c r="N613" s="18">
        <f>'Sampling Data'!M613</f>
        <v>0</v>
      </c>
      <c r="O613" s="17">
        <f>'Sampling Data'!N613</f>
        <v>0</v>
      </c>
      <c r="P613" s="17">
        <f>'Sampling Data'!O613</f>
        <v>60</v>
      </c>
      <c r="Q613" s="17">
        <f>'Sampling Data'!P613</f>
        <v>638</v>
      </c>
      <c r="R613" s="17">
        <f>'Sampling Data'!AJ613</f>
        <v>0</v>
      </c>
      <c r="S613" s="111"/>
      <c r="T613" s="111"/>
      <c r="U613" s="112"/>
      <c r="V613" s="112"/>
      <c r="W613" s="111"/>
      <c r="X613" s="111"/>
      <c r="Y613" s="111"/>
      <c r="Z613" s="111"/>
      <c r="AA613" s="14"/>
      <c r="AB613" s="14"/>
      <c r="AC613" s="14"/>
      <c r="AD613" s="14"/>
      <c r="AE613" s="113" t="str">
        <f>IF(NOT(ISBLANK(Audit[[#This Row],[Audit Winning Candidate]])), Audit[[#This Row],[Audit Winning Candidate]]-Audit[[#This Row],[Winning Candidate]], "")</f>
        <v/>
      </c>
      <c r="AF613" s="17" t="str">
        <f>IF(NOT(ISBLANK(Audit[[#This Row],[Audit Losing Candidate]])), Audit[[#This Row],[Audit Losing Candidate]]-Audit[[#This Row],[Losing Candidate]], "")</f>
        <v/>
      </c>
      <c r="AG613" s="17" t="str">
        <f>IF(NOT(ISBLANK(Audit[[#This Row],[Audit Candidate 3]])), Audit[[#This Row],[Audit Candidate 3]]-Audit[[#This Row],[Candidate 3]], "")</f>
        <v/>
      </c>
      <c r="AH613" s="17" t="str">
        <f>IF(NOT(ISBLANK(Audit[[#This Row],[Audit Candidate 4]])),Audit[[#This Row],[Audit Candidate 4]]-Audit[[#This Row],[Candidate 4]], "")</f>
        <v/>
      </c>
      <c r="AI613" s="17" t="str">
        <f>IF(NOT(ISBLANK(Audit[[#This Row],[Audit Candidate 5]])), Audit[[#This Row],[Audit Candidate 5]]-Audit[[#This Row],[Candidate 5]], "")</f>
        <v/>
      </c>
      <c r="AJ613" s="17" t="str">
        <f>IF(NOT(ISBLANK(Audit[[#This Row],[Audit Candidate 6]])), Audit[[#This Row],[Audit Candidate 6]]-Audit[[#This Row],[Candidate 6]], "")</f>
        <v/>
      </c>
      <c r="AK613" s="17" t="str">
        <f>IF(NOT(ISBLANK(Audit[[#This Row],[Audit Candidate 7]])), Audit[[#This Row],[Audit Candidate 7]]-Audit[[#This Row],[Candidate 7]], "")</f>
        <v/>
      </c>
      <c r="AL613" s="17" t="str">
        <f>IF(NOT(ISBLANK(Audit[[#This Row],[Audit Candidate 8]])), Audit[[#This Row],[Audit Candidate 8]]-Audit[[#This Row],[Candidate 8]], "")</f>
        <v/>
      </c>
      <c r="AM613" s="17" t="str">
        <f>IF(NOT(ISBLANK(Audit[[#This Row],[Audit Candidate 9]])), Audit[[#This Row],[Audit Candidate 9]]-Audit[[#This Row],[Candidate 9]], "")</f>
        <v/>
      </c>
      <c r="AN613" s="17" t="str">
        <f>IF(NOT(ISBLANK(Audit[[#This Row],[Audit Candidate 10]])), Audit[[#This Row],[Audit Candidate 10]]-Audit[[#This Row],[Candidate 10]], "")</f>
        <v/>
      </c>
      <c r="AO613" s="17" t="str">
        <f>IF(NOT(ISBLANK(Audit[[#This Row],[Audit Candidate 11]])), Audit[[#This Row],[Audit Candidate 11]]-Audit[[#This Row],[Candidate 11]], "")</f>
        <v/>
      </c>
      <c r="AP613" s="17" t="str">
        <f>IF(NOT(ISBLANK(Audit[[#This Row],[Audit Candidate 12]])), Audit[[#This Row],[Audit Candidate 12]]-Audit[[#This Row],[Candidate 12]], "")</f>
        <v/>
      </c>
      <c r="AQ613" s="17">
        <f>SUMIF(Audit[[#This Row],[Difference Winner]:[Difference Candidate 12]], "&gt;0")</f>
        <v>0</v>
      </c>
      <c r="AR613" s="17">
        <f>SUM(Audit[[#This Row],[Difference Winner]:[Difference Candidate 12]])</f>
        <v>0</v>
      </c>
      <c r="AS613" s="17">
        <f>IF(Audit[[#This Row],[Times p Drawn - With Replacement]]&gt;0, IF(Audit[[#This Row],[Canceled Differences]]&lt;0, Audit[[#This Row],[Max Differences]]+ABS(Audit[[#This Row],[Canceled Differences]]), Audit[[#This Row],[Max Differences]]), 0)</f>
        <v>0</v>
      </c>
      <c r="AT613" s="17">
        <f>'Sampling Data'!AB613</f>
        <v>3.8872856900356474E-2</v>
      </c>
      <c r="AU613" s="17">
        <f>IF(
      SUM(Audit[[#This Row],[Audit Losing Candidate]:[Audit Candidate 12]])
      &lt;&gt;0,
      (Audit[[#This Row],[Winning Candidate]]-Audit[[#This Row],[Losing Candidate]]-(Audit[[#This Row],[Audit Winning Candidate]]-Audit[[#This Row],[Audit Losing Candidate]]))/(Audit[[#Totals],[Winning Candidate]]-Audit[[#Totals],[Losing Candidate]]),
      0
)</f>
        <v>0</v>
      </c>
      <c r="AV6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3" s="17">
        <f>IF(Audit[[#This Row],[Max Relative Error (ep)]] = 0, 0, Audit[[#This Row],[Max Relative Error (ep)]]/Audit[[#This Row],[Error Bound (up) - Max. possible relative overstatement]])</f>
        <v>0</v>
      </c>
      <c r="BH6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13" s="17">
        <f t="shared" si="10"/>
        <v>1</v>
      </c>
      <c r="BJ613" s="17">
        <f>PRODUCT($BI$5:BI613)</f>
        <v>0.31487538641040835</v>
      </c>
      <c r="BK613" s="19">
        <f>1 - Audit[[#This Row],[K-M P Value]]</f>
        <v>0.68512461358959165</v>
      </c>
      <c r="BL613" s="17" t="str">
        <f>IF(Audit[[#This Row],[K-M P Value]]&gt;1-'General Info'!$B$12,"Continue", "Stop")</f>
        <v>Continue</v>
      </c>
      <c r="BM613" s="22" t="b">
        <f>IF(Audit[[#This Row],[Status - Continue or stop audit]] = "Continue", TRUE, IF(BL612 = "Continue", TRUE, FALSE))</f>
        <v>1</v>
      </c>
      <c r="BN613" s="22"/>
    </row>
    <row r="614" spans="1:66" ht="15" hidden="1" customHeight="1" x14ac:dyDescent="0.35">
      <c r="A614" s="17" t="str">
        <f>'Sampling Data'!AI614</f>
        <v/>
      </c>
      <c r="B614" s="17" t="str">
        <f>'Sampling Data'!A614</f>
        <v>0602 CIN 6-B   (ED)</v>
      </c>
      <c r="C614" s="17">
        <f>'Sampling Data'!B614</f>
        <v>258</v>
      </c>
      <c r="D614" s="17">
        <f>'Sampling Data'!C614</f>
        <v>136</v>
      </c>
      <c r="E614" s="18">
        <f>'Sampling Data'!D614</f>
        <v>0</v>
      </c>
      <c r="F614" s="18">
        <f>'Sampling Data'!E614</f>
        <v>0</v>
      </c>
      <c r="G614" s="18">
        <f>'Sampling Data'!F614</f>
        <v>0</v>
      </c>
      <c r="H614" s="18">
        <f>'Sampling Data'!G614</f>
        <v>0</v>
      </c>
      <c r="I614" s="18">
        <f>'Sampling Data'!H614</f>
        <v>0</v>
      </c>
      <c r="J614" s="18">
        <f>'Sampling Data'!I614</f>
        <v>0</v>
      </c>
      <c r="K614" s="18">
        <f>'Sampling Data'!J614</f>
        <v>0</v>
      </c>
      <c r="L614" s="18">
        <f>'Sampling Data'!K614</f>
        <v>0</v>
      </c>
      <c r="M614" s="18">
        <f>'Sampling Data'!L614</f>
        <v>0</v>
      </c>
      <c r="N614" s="18">
        <f>'Sampling Data'!M614</f>
        <v>0</v>
      </c>
      <c r="O614" s="17">
        <f>'Sampling Data'!N614</f>
        <v>0</v>
      </c>
      <c r="P614" s="17">
        <f>'Sampling Data'!O614</f>
        <v>29</v>
      </c>
      <c r="Q614" s="17">
        <f>'Sampling Data'!P614</f>
        <v>423</v>
      </c>
      <c r="R614" s="17">
        <f>'Sampling Data'!AJ614</f>
        <v>0</v>
      </c>
      <c r="S614" s="111"/>
      <c r="T614" s="111"/>
      <c r="U614" s="112"/>
      <c r="V614" s="112"/>
      <c r="W614" s="111"/>
      <c r="X614" s="111"/>
      <c r="Y614" s="111"/>
      <c r="Z614" s="111"/>
      <c r="AA614" s="14"/>
      <c r="AB614" s="14"/>
      <c r="AC614" s="14"/>
      <c r="AD614" s="14"/>
      <c r="AE614" s="113" t="str">
        <f>IF(NOT(ISBLANK(Audit[[#This Row],[Audit Winning Candidate]])), Audit[[#This Row],[Audit Winning Candidate]]-Audit[[#This Row],[Winning Candidate]], "")</f>
        <v/>
      </c>
      <c r="AF614" s="17" t="str">
        <f>IF(NOT(ISBLANK(Audit[[#This Row],[Audit Losing Candidate]])), Audit[[#This Row],[Audit Losing Candidate]]-Audit[[#This Row],[Losing Candidate]], "")</f>
        <v/>
      </c>
      <c r="AG614" s="17" t="str">
        <f>IF(NOT(ISBLANK(Audit[[#This Row],[Audit Candidate 3]])), Audit[[#This Row],[Audit Candidate 3]]-Audit[[#This Row],[Candidate 3]], "")</f>
        <v/>
      </c>
      <c r="AH614" s="17" t="str">
        <f>IF(NOT(ISBLANK(Audit[[#This Row],[Audit Candidate 4]])),Audit[[#This Row],[Audit Candidate 4]]-Audit[[#This Row],[Candidate 4]], "")</f>
        <v/>
      </c>
      <c r="AI614" s="17" t="str">
        <f>IF(NOT(ISBLANK(Audit[[#This Row],[Audit Candidate 5]])), Audit[[#This Row],[Audit Candidate 5]]-Audit[[#This Row],[Candidate 5]], "")</f>
        <v/>
      </c>
      <c r="AJ614" s="17" t="str">
        <f>IF(NOT(ISBLANK(Audit[[#This Row],[Audit Candidate 6]])), Audit[[#This Row],[Audit Candidate 6]]-Audit[[#This Row],[Candidate 6]], "")</f>
        <v/>
      </c>
      <c r="AK614" s="17" t="str">
        <f>IF(NOT(ISBLANK(Audit[[#This Row],[Audit Candidate 7]])), Audit[[#This Row],[Audit Candidate 7]]-Audit[[#This Row],[Candidate 7]], "")</f>
        <v/>
      </c>
      <c r="AL614" s="17" t="str">
        <f>IF(NOT(ISBLANK(Audit[[#This Row],[Audit Candidate 8]])), Audit[[#This Row],[Audit Candidate 8]]-Audit[[#This Row],[Candidate 8]], "")</f>
        <v/>
      </c>
      <c r="AM614" s="17" t="str">
        <f>IF(NOT(ISBLANK(Audit[[#This Row],[Audit Candidate 9]])), Audit[[#This Row],[Audit Candidate 9]]-Audit[[#This Row],[Candidate 9]], "")</f>
        <v/>
      </c>
      <c r="AN614" s="17" t="str">
        <f>IF(NOT(ISBLANK(Audit[[#This Row],[Audit Candidate 10]])), Audit[[#This Row],[Audit Candidate 10]]-Audit[[#This Row],[Candidate 10]], "")</f>
        <v/>
      </c>
      <c r="AO614" s="17" t="str">
        <f>IF(NOT(ISBLANK(Audit[[#This Row],[Audit Candidate 11]])), Audit[[#This Row],[Audit Candidate 11]]-Audit[[#This Row],[Candidate 11]], "")</f>
        <v/>
      </c>
      <c r="AP614" s="17" t="str">
        <f>IF(NOT(ISBLANK(Audit[[#This Row],[Audit Candidate 12]])), Audit[[#This Row],[Audit Candidate 12]]-Audit[[#This Row],[Candidate 12]], "")</f>
        <v/>
      </c>
      <c r="AQ614" s="17">
        <f>SUMIF(Audit[[#This Row],[Difference Winner]:[Difference Candidate 12]], "&gt;0")</f>
        <v>0</v>
      </c>
      <c r="AR614" s="17">
        <f>SUM(Audit[[#This Row],[Difference Winner]:[Difference Candidate 12]])</f>
        <v>0</v>
      </c>
      <c r="AS614" s="17">
        <f>IF(Audit[[#This Row],[Times p Drawn - With Replacement]]&gt;0, IF(Audit[[#This Row],[Canceled Differences]]&lt;0, Audit[[#This Row],[Max Differences]]+ABS(Audit[[#This Row],[Canceled Differences]]), Audit[[#This Row],[Max Differences]]), 0)</f>
        <v>0</v>
      </c>
      <c r="AT614" s="17">
        <f>'Sampling Data'!AB614</f>
        <v>2.3128501103378035E-2</v>
      </c>
      <c r="AU614" s="17">
        <f>IF(
      SUM(Audit[[#This Row],[Audit Losing Candidate]:[Audit Candidate 12]])
      &lt;&gt;0,
      (Audit[[#This Row],[Winning Candidate]]-Audit[[#This Row],[Losing Candidate]]-(Audit[[#This Row],[Audit Winning Candidate]]-Audit[[#This Row],[Audit Losing Candidate]]))/(Audit[[#Totals],[Winning Candidate]]-Audit[[#Totals],[Losing Candidate]]),
      0
)</f>
        <v>0</v>
      </c>
      <c r="AV6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4" s="17">
        <f>IF(Audit[[#This Row],[Max Relative Error (ep)]] = 0, 0, Audit[[#This Row],[Max Relative Error (ep)]]/Audit[[#This Row],[Error Bound (up) - Max. possible relative overstatement]])</f>
        <v>0</v>
      </c>
      <c r="BH6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14" s="17">
        <f t="shared" si="10"/>
        <v>1</v>
      </c>
      <c r="BJ614" s="17">
        <f>PRODUCT($BI$5:BI614)</f>
        <v>0.31487538641040835</v>
      </c>
      <c r="BK614" s="19">
        <f>1 - Audit[[#This Row],[K-M P Value]]</f>
        <v>0.68512461358959165</v>
      </c>
      <c r="BL614" s="17" t="str">
        <f>IF(Audit[[#This Row],[K-M P Value]]&gt;1-'General Info'!$B$12,"Continue", "Stop")</f>
        <v>Continue</v>
      </c>
      <c r="BM614" s="22" t="b">
        <f>IF(Audit[[#This Row],[Status - Continue or stop audit]] = "Continue", TRUE, IF(BL613 = "Continue", TRUE, FALSE))</f>
        <v>1</v>
      </c>
      <c r="BN614" s="22"/>
    </row>
    <row r="615" spans="1:66" ht="15" hidden="1" customHeight="1" x14ac:dyDescent="0.35">
      <c r="A615" s="17" t="str">
        <f>'Sampling Data'!AI615</f>
        <v/>
      </c>
      <c r="B615" s="17" t="str">
        <f>'Sampling Data'!A615</f>
        <v>0603 CIN 6-C   (ED)</v>
      </c>
      <c r="C615" s="17">
        <f>'Sampling Data'!B615</f>
        <v>400</v>
      </c>
      <c r="D615" s="17">
        <f>'Sampling Data'!C615</f>
        <v>81</v>
      </c>
      <c r="E615" s="18">
        <f>'Sampling Data'!D615</f>
        <v>0</v>
      </c>
      <c r="F615" s="18">
        <f>'Sampling Data'!E615</f>
        <v>0</v>
      </c>
      <c r="G615" s="18">
        <f>'Sampling Data'!F615</f>
        <v>0</v>
      </c>
      <c r="H615" s="18">
        <f>'Sampling Data'!G615</f>
        <v>0</v>
      </c>
      <c r="I615" s="18">
        <f>'Sampling Data'!H615</f>
        <v>0</v>
      </c>
      <c r="J615" s="18">
        <f>'Sampling Data'!I615</f>
        <v>0</v>
      </c>
      <c r="K615" s="18">
        <f>'Sampling Data'!J615</f>
        <v>0</v>
      </c>
      <c r="L615" s="18">
        <f>'Sampling Data'!K615</f>
        <v>0</v>
      </c>
      <c r="M615" s="18">
        <f>'Sampling Data'!L615</f>
        <v>0</v>
      </c>
      <c r="N615" s="18">
        <f>'Sampling Data'!M615</f>
        <v>0</v>
      </c>
      <c r="O615" s="17">
        <f>'Sampling Data'!N615</f>
        <v>0</v>
      </c>
      <c r="P615" s="17">
        <f>'Sampling Data'!O615</f>
        <v>26</v>
      </c>
      <c r="Q615" s="17">
        <f>'Sampling Data'!P615</f>
        <v>507</v>
      </c>
      <c r="R615" s="17">
        <f>'Sampling Data'!AJ615</f>
        <v>0</v>
      </c>
      <c r="S615" s="111"/>
      <c r="T615" s="111"/>
      <c r="U615" s="112"/>
      <c r="V615" s="112"/>
      <c r="W615" s="111"/>
      <c r="X615" s="111"/>
      <c r="Y615" s="111"/>
      <c r="Z615" s="111"/>
      <c r="AA615" s="14"/>
      <c r="AB615" s="14"/>
      <c r="AC615" s="14"/>
      <c r="AD615" s="14"/>
      <c r="AE615" s="113" t="str">
        <f>IF(NOT(ISBLANK(Audit[[#This Row],[Audit Winning Candidate]])), Audit[[#This Row],[Audit Winning Candidate]]-Audit[[#This Row],[Winning Candidate]], "")</f>
        <v/>
      </c>
      <c r="AF615" s="17" t="str">
        <f>IF(NOT(ISBLANK(Audit[[#This Row],[Audit Losing Candidate]])), Audit[[#This Row],[Audit Losing Candidate]]-Audit[[#This Row],[Losing Candidate]], "")</f>
        <v/>
      </c>
      <c r="AG615" s="17" t="str">
        <f>IF(NOT(ISBLANK(Audit[[#This Row],[Audit Candidate 3]])), Audit[[#This Row],[Audit Candidate 3]]-Audit[[#This Row],[Candidate 3]], "")</f>
        <v/>
      </c>
      <c r="AH615" s="17" t="str">
        <f>IF(NOT(ISBLANK(Audit[[#This Row],[Audit Candidate 4]])),Audit[[#This Row],[Audit Candidate 4]]-Audit[[#This Row],[Candidate 4]], "")</f>
        <v/>
      </c>
      <c r="AI615" s="17" t="str">
        <f>IF(NOT(ISBLANK(Audit[[#This Row],[Audit Candidate 5]])), Audit[[#This Row],[Audit Candidate 5]]-Audit[[#This Row],[Candidate 5]], "")</f>
        <v/>
      </c>
      <c r="AJ615" s="17" t="str">
        <f>IF(NOT(ISBLANK(Audit[[#This Row],[Audit Candidate 6]])), Audit[[#This Row],[Audit Candidate 6]]-Audit[[#This Row],[Candidate 6]], "")</f>
        <v/>
      </c>
      <c r="AK615" s="17" t="str">
        <f>IF(NOT(ISBLANK(Audit[[#This Row],[Audit Candidate 7]])), Audit[[#This Row],[Audit Candidate 7]]-Audit[[#This Row],[Candidate 7]], "")</f>
        <v/>
      </c>
      <c r="AL615" s="17" t="str">
        <f>IF(NOT(ISBLANK(Audit[[#This Row],[Audit Candidate 8]])), Audit[[#This Row],[Audit Candidate 8]]-Audit[[#This Row],[Candidate 8]], "")</f>
        <v/>
      </c>
      <c r="AM615" s="17" t="str">
        <f>IF(NOT(ISBLANK(Audit[[#This Row],[Audit Candidate 9]])), Audit[[#This Row],[Audit Candidate 9]]-Audit[[#This Row],[Candidate 9]], "")</f>
        <v/>
      </c>
      <c r="AN615" s="17" t="str">
        <f>IF(NOT(ISBLANK(Audit[[#This Row],[Audit Candidate 10]])), Audit[[#This Row],[Audit Candidate 10]]-Audit[[#This Row],[Candidate 10]], "")</f>
        <v/>
      </c>
      <c r="AO615" s="17" t="str">
        <f>IF(NOT(ISBLANK(Audit[[#This Row],[Audit Candidate 11]])), Audit[[#This Row],[Audit Candidate 11]]-Audit[[#This Row],[Candidate 11]], "")</f>
        <v/>
      </c>
      <c r="AP615" s="17" t="str">
        <f>IF(NOT(ISBLANK(Audit[[#This Row],[Audit Candidate 12]])), Audit[[#This Row],[Audit Candidate 12]]-Audit[[#This Row],[Candidate 12]], "")</f>
        <v/>
      </c>
      <c r="AQ615" s="17">
        <f>SUMIF(Audit[[#This Row],[Difference Winner]:[Difference Candidate 12]], "&gt;0")</f>
        <v>0</v>
      </c>
      <c r="AR615" s="17">
        <f>SUM(Audit[[#This Row],[Difference Winner]:[Difference Candidate 12]])</f>
        <v>0</v>
      </c>
      <c r="AS615" s="17">
        <f>IF(Audit[[#This Row],[Times p Drawn - With Replacement]]&gt;0, IF(Audit[[#This Row],[Canceled Differences]]&lt;0, Audit[[#This Row],[Max Differences]]+ABS(Audit[[#This Row],[Canceled Differences]]), Audit[[#This Row],[Max Differences]]), 0)</f>
        <v>0</v>
      </c>
      <c r="AT615" s="17">
        <f>'Sampling Data'!AB615</f>
        <v>3.5053471397046343E-2</v>
      </c>
      <c r="AU615" s="17">
        <f>IF(
      SUM(Audit[[#This Row],[Audit Losing Candidate]:[Audit Candidate 12]])
      &lt;&gt;0,
      (Audit[[#This Row],[Winning Candidate]]-Audit[[#This Row],[Losing Candidate]]-(Audit[[#This Row],[Audit Winning Candidate]]-Audit[[#This Row],[Audit Losing Candidate]]))/(Audit[[#Totals],[Winning Candidate]]-Audit[[#Totals],[Losing Candidate]]),
      0
)</f>
        <v>0</v>
      </c>
      <c r="AV6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5" s="17">
        <f>IF(Audit[[#This Row],[Max Relative Error (ep)]] = 0, 0, Audit[[#This Row],[Max Relative Error (ep)]]/Audit[[#This Row],[Error Bound (up) - Max. possible relative overstatement]])</f>
        <v>0</v>
      </c>
      <c r="BH6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15" s="17">
        <f t="shared" si="10"/>
        <v>1</v>
      </c>
      <c r="BJ615" s="17">
        <f>PRODUCT($BI$5:BI615)</f>
        <v>0.31487538641040835</v>
      </c>
      <c r="BK615" s="19">
        <f>1 - Audit[[#This Row],[K-M P Value]]</f>
        <v>0.68512461358959165</v>
      </c>
      <c r="BL615" s="17" t="str">
        <f>IF(Audit[[#This Row],[K-M P Value]]&gt;1-'General Info'!$B$12,"Continue", "Stop")</f>
        <v>Continue</v>
      </c>
      <c r="BM615" s="22" t="b">
        <f>IF(Audit[[#This Row],[Status - Continue or stop audit]] = "Continue", TRUE, IF(BL614 = "Continue", TRUE, FALSE))</f>
        <v>1</v>
      </c>
      <c r="BN615" s="22"/>
    </row>
    <row r="616" spans="1:66" ht="15" hidden="1" customHeight="1" x14ac:dyDescent="0.35">
      <c r="A616" s="17" t="str">
        <f>'Sampling Data'!AI616</f>
        <v/>
      </c>
      <c r="B616" s="17" t="str">
        <f>'Sampling Data'!A616</f>
        <v>0604 CIN 6-D   (ED)</v>
      </c>
      <c r="C616" s="17">
        <f>'Sampling Data'!B616</f>
        <v>421</v>
      </c>
      <c r="D616" s="17">
        <f>'Sampling Data'!C616</f>
        <v>83</v>
      </c>
      <c r="E616" s="18">
        <f>'Sampling Data'!D616</f>
        <v>0</v>
      </c>
      <c r="F616" s="18">
        <f>'Sampling Data'!E616</f>
        <v>0</v>
      </c>
      <c r="G616" s="18">
        <f>'Sampling Data'!F616</f>
        <v>0</v>
      </c>
      <c r="H616" s="18">
        <f>'Sampling Data'!G616</f>
        <v>0</v>
      </c>
      <c r="I616" s="18">
        <f>'Sampling Data'!H616</f>
        <v>0</v>
      </c>
      <c r="J616" s="18">
        <f>'Sampling Data'!I616</f>
        <v>0</v>
      </c>
      <c r="K616" s="18">
        <f>'Sampling Data'!J616</f>
        <v>0</v>
      </c>
      <c r="L616" s="18">
        <f>'Sampling Data'!K616</f>
        <v>0</v>
      </c>
      <c r="M616" s="18">
        <f>'Sampling Data'!L616</f>
        <v>0</v>
      </c>
      <c r="N616" s="18">
        <f>'Sampling Data'!M616</f>
        <v>0</v>
      </c>
      <c r="O616" s="17">
        <f>'Sampling Data'!N616</f>
        <v>0</v>
      </c>
      <c r="P616" s="17">
        <f>'Sampling Data'!O616</f>
        <v>40</v>
      </c>
      <c r="Q616" s="17">
        <f>'Sampling Data'!P616</f>
        <v>544</v>
      </c>
      <c r="R616" s="17">
        <f>'Sampling Data'!AJ616</f>
        <v>0</v>
      </c>
      <c r="S616" s="111"/>
      <c r="T616" s="111"/>
      <c r="U616" s="112"/>
      <c r="V616" s="112"/>
      <c r="W616" s="111"/>
      <c r="X616" s="111"/>
      <c r="Y616" s="111"/>
      <c r="Z616" s="111"/>
      <c r="AA616" s="14"/>
      <c r="AB616" s="14"/>
      <c r="AC616" s="14"/>
      <c r="AD616" s="14"/>
      <c r="AE616" s="113" t="str">
        <f>IF(NOT(ISBLANK(Audit[[#This Row],[Audit Winning Candidate]])), Audit[[#This Row],[Audit Winning Candidate]]-Audit[[#This Row],[Winning Candidate]], "")</f>
        <v/>
      </c>
      <c r="AF616" s="17" t="str">
        <f>IF(NOT(ISBLANK(Audit[[#This Row],[Audit Losing Candidate]])), Audit[[#This Row],[Audit Losing Candidate]]-Audit[[#This Row],[Losing Candidate]], "")</f>
        <v/>
      </c>
      <c r="AG616" s="17" t="str">
        <f>IF(NOT(ISBLANK(Audit[[#This Row],[Audit Candidate 3]])), Audit[[#This Row],[Audit Candidate 3]]-Audit[[#This Row],[Candidate 3]], "")</f>
        <v/>
      </c>
      <c r="AH616" s="17" t="str">
        <f>IF(NOT(ISBLANK(Audit[[#This Row],[Audit Candidate 4]])),Audit[[#This Row],[Audit Candidate 4]]-Audit[[#This Row],[Candidate 4]], "")</f>
        <v/>
      </c>
      <c r="AI616" s="17" t="str">
        <f>IF(NOT(ISBLANK(Audit[[#This Row],[Audit Candidate 5]])), Audit[[#This Row],[Audit Candidate 5]]-Audit[[#This Row],[Candidate 5]], "")</f>
        <v/>
      </c>
      <c r="AJ616" s="17" t="str">
        <f>IF(NOT(ISBLANK(Audit[[#This Row],[Audit Candidate 6]])), Audit[[#This Row],[Audit Candidate 6]]-Audit[[#This Row],[Candidate 6]], "")</f>
        <v/>
      </c>
      <c r="AK616" s="17" t="str">
        <f>IF(NOT(ISBLANK(Audit[[#This Row],[Audit Candidate 7]])), Audit[[#This Row],[Audit Candidate 7]]-Audit[[#This Row],[Candidate 7]], "")</f>
        <v/>
      </c>
      <c r="AL616" s="17" t="str">
        <f>IF(NOT(ISBLANK(Audit[[#This Row],[Audit Candidate 8]])), Audit[[#This Row],[Audit Candidate 8]]-Audit[[#This Row],[Candidate 8]], "")</f>
        <v/>
      </c>
      <c r="AM616" s="17" t="str">
        <f>IF(NOT(ISBLANK(Audit[[#This Row],[Audit Candidate 9]])), Audit[[#This Row],[Audit Candidate 9]]-Audit[[#This Row],[Candidate 9]], "")</f>
        <v/>
      </c>
      <c r="AN616" s="17" t="str">
        <f>IF(NOT(ISBLANK(Audit[[#This Row],[Audit Candidate 10]])), Audit[[#This Row],[Audit Candidate 10]]-Audit[[#This Row],[Candidate 10]], "")</f>
        <v/>
      </c>
      <c r="AO616" s="17" t="str">
        <f>IF(NOT(ISBLANK(Audit[[#This Row],[Audit Candidate 11]])), Audit[[#This Row],[Audit Candidate 11]]-Audit[[#This Row],[Candidate 11]], "")</f>
        <v/>
      </c>
      <c r="AP616" s="17" t="str">
        <f>IF(NOT(ISBLANK(Audit[[#This Row],[Audit Candidate 12]])), Audit[[#This Row],[Audit Candidate 12]]-Audit[[#This Row],[Candidate 12]], "")</f>
        <v/>
      </c>
      <c r="AQ616" s="17">
        <f>SUMIF(Audit[[#This Row],[Difference Winner]:[Difference Candidate 12]], "&gt;0")</f>
        <v>0</v>
      </c>
      <c r="AR616" s="17">
        <f>SUM(Audit[[#This Row],[Difference Winner]:[Difference Candidate 12]])</f>
        <v>0</v>
      </c>
      <c r="AS616" s="17">
        <f>IF(Audit[[#This Row],[Times p Drawn - With Replacement]]&gt;0, IF(Audit[[#This Row],[Canceled Differences]]&lt;0, Audit[[#This Row],[Max Differences]]+ABS(Audit[[#This Row],[Canceled Differences]]), Audit[[#This Row],[Max Differences]]), 0)</f>
        <v>0</v>
      </c>
      <c r="AT616" s="17">
        <f>'Sampling Data'!AB616</f>
        <v>3.7429977932439316E-2</v>
      </c>
      <c r="AU616" s="17">
        <f>IF(
      SUM(Audit[[#This Row],[Audit Losing Candidate]:[Audit Candidate 12]])
      &lt;&gt;0,
      (Audit[[#This Row],[Winning Candidate]]-Audit[[#This Row],[Losing Candidate]]-(Audit[[#This Row],[Audit Winning Candidate]]-Audit[[#This Row],[Audit Losing Candidate]]))/(Audit[[#Totals],[Winning Candidate]]-Audit[[#Totals],[Losing Candidate]]),
      0
)</f>
        <v>0</v>
      </c>
      <c r="AV6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6" s="17">
        <f>IF(Audit[[#This Row],[Max Relative Error (ep)]] = 0, 0, Audit[[#This Row],[Max Relative Error (ep)]]/Audit[[#This Row],[Error Bound (up) - Max. possible relative overstatement]])</f>
        <v>0</v>
      </c>
      <c r="BH6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16" s="17">
        <f t="shared" si="10"/>
        <v>1</v>
      </c>
      <c r="BJ616" s="17">
        <f>PRODUCT($BI$5:BI616)</f>
        <v>0.31487538641040835</v>
      </c>
      <c r="BK616" s="19">
        <f>1 - Audit[[#This Row],[K-M P Value]]</f>
        <v>0.68512461358959165</v>
      </c>
      <c r="BL616" s="17" t="str">
        <f>IF(Audit[[#This Row],[K-M P Value]]&gt;1-'General Info'!$B$12,"Continue", "Stop")</f>
        <v>Continue</v>
      </c>
      <c r="BM616" s="22" t="b">
        <f>IF(Audit[[#This Row],[Status - Continue or stop audit]] = "Continue", TRUE, IF(BL615 = "Continue", TRUE, FALSE))</f>
        <v>1</v>
      </c>
      <c r="BN616" s="22"/>
    </row>
    <row r="617" spans="1:66" ht="15" hidden="1" customHeight="1" x14ac:dyDescent="0.35">
      <c r="A617" s="17" t="str">
        <f>'Sampling Data'!AI617</f>
        <v/>
      </c>
      <c r="B617" s="17" t="str">
        <f>'Sampling Data'!A617</f>
        <v>0605 CIN 6-E   (ED)</v>
      </c>
      <c r="C617" s="17">
        <f>'Sampling Data'!B617</f>
        <v>287</v>
      </c>
      <c r="D617" s="17">
        <f>'Sampling Data'!C617</f>
        <v>168</v>
      </c>
      <c r="E617" s="18">
        <f>'Sampling Data'!D617</f>
        <v>0</v>
      </c>
      <c r="F617" s="18">
        <f>'Sampling Data'!E617</f>
        <v>0</v>
      </c>
      <c r="G617" s="18">
        <f>'Sampling Data'!F617</f>
        <v>0</v>
      </c>
      <c r="H617" s="18">
        <f>'Sampling Data'!G617</f>
        <v>0</v>
      </c>
      <c r="I617" s="18">
        <f>'Sampling Data'!H617</f>
        <v>0</v>
      </c>
      <c r="J617" s="18">
        <f>'Sampling Data'!I617</f>
        <v>0</v>
      </c>
      <c r="K617" s="18">
        <f>'Sampling Data'!J617</f>
        <v>0</v>
      </c>
      <c r="L617" s="18">
        <f>'Sampling Data'!K617</f>
        <v>0</v>
      </c>
      <c r="M617" s="18">
        <f>'Sampling Data'!L617</f>
        <v>0</v>
      </c>
      <c r="N617" s="18">
        <f>'Sampling Data'!M617</f>
        <v>0</v>
      </c>
      <c r="O617" s="17">
        <f>'Sampling Data'!N617</f>
        <v>0</v>
      </c>
      <c r="P617" s="17">
        <f>'Sampling Data'!O617</f>
        <v>29</v>
      </c>
      <c r="Q617" s="17">
        <f>'Sampling Data'!P617</f>
        <v>484</v>
      </c>
      <c r="R617" s="17">
        <f>'Sampling Data'!AJ617</f>
        <v>0</v>
      </c>
      <c r="S617" s="111"/>
      <c r="T617" s="111"/>
      <c r="U617" s="112"/>
      <c r="V617" s="112"/>
      <c r="W617" s="111"/>
      <c r="X617" s="111"/>
      <c r="Y617" s="111"/>
      <c r="Z617" s="111"/>
      <c r="AA617" s="14"/>
      <c r="AB617" s="14"/>
      <c r="AC617" s="14"/>
      <c r="AD617" s="14"/>
      <c r="AE617" s="113" t="str">
        <f>IF(NOT(ISBLANK(Audit[[#This Row],[Audit Winning Candidate]])), Audit[[#This Row],[Audit Winning Candidate]]-Audit[[#This Row],[Winning Candidate]], "")</f>
        <v/>
      </c>
      <c r="AF617" s="17" t="str">
        <f>IF(NOT(ISBLANK(Audit[[#This Row],[Audit Losing Candidate]])), Audit[[#This Row],[Audit Losing Candidate]]-Audit[[#This Row],[Losing Candidate]], "")</f>
        <v/>
      </c>
      <c r="AG617" s="17" t="str">
        <f>IF(NOT(ISBLANK(Audit[[#This Row],[Audit Candidate 3]])), Audit[[#This Row],[Audit Candidate 3]]-Audit[[#This Row],[Candidate 3]], "")</f>
        <v/>
      </c>
      <c r="AH617" s="17" t="str">
        <f>IF(NOT(ISBLANK(Audit[[#This Row],[Audit Candidate 4]])),Audit[[#This Row],[Audit Candidate 4]]-Audit[[#This Row],[Candidate 4]], "")</f>
        <v/>
      </c>
      <c r="AI617" s="17" t="str">
        <f>IF(NOT(ISBLANK(Audit[[#This Row],[Audit Candidate 5]])), Audit[[#This Row],[Audit Candidate 5]]-Audit[[#This Row],[Candidate 5]], "")</f>
        <v/>
      </c>
      <c r="AJ617" s="17" t="str">
        <f>IF(NOT(ISBLANK(Audit[[#This Row],[Audit Candidate 6]])), Audit[[#This Row],[Audit Candidate 6]]-Audit[[#This Row],[Candidate 6]], "")</f>
        <v/>
      </c>
      <c r="AK617" s="17" t="str">
        <f>IF(NOT(ISBLANK(Audit[[#This Row],[Audit Candidate 7]])), Audit[[#This Row],[Audit Candidate 7]]-Audit[[#This Row],[Candidate 7]], "")</f>
        <v/>
      </c>
      <c r="AL617" s="17" t="str">
        <f>IF(NOT(ISBLANK(Audit[[#This Row],[Audit Candidate 8]])), Audit[[#This Row],[Audit Candidate 8]]-Audit[[#This Row],[Candidate 8]], "")</f>
        <v/>
      </c>
      <c r="AM617" s="17" t="str">
        <f>IF(NOT(ISBLANK(Audit[[#This Row],[Audit Candidate 9]])), Audit[[#This Row],[Audit Candidate 9]]-Audit[[#This Row],[Candidate 9]], "")</f>
        <v/>
      </c>
      <c r="AN617" s="17" t="str">
        <f>IF(NOT(ISBLANK(Audit[[#This Row],[Audit Candidate 10]])), Audit[[#This Row],[Audit Candidate 10]]-Audit[[#This Row],[Candidate 10]], "")</f>
        <v/>
      </c>
      <c r="AO617" s="17" t="str">
        <f>IF(NOT(ISBLANK(Audit[[#This Row],[Audit Candidate 11]])), Audit[[#This Row],[Audit Candidate 11]]-Audit[[#This Row],[Candidate 11]], "")</f>
        <v/>
      </c>
      <c r="AP617" s="17" t="str">
        <f>IF(NOT(ISBLANK(Audit[[#This Row],[Audit Candidate 12]])), Audit[[#This Row],[Audit Candidate 12]]-Audit[[#This Row],[Candidate 12]], "")</f>
        <v/>
      </c>
      <c r="AQ617" s="17">
        <f>SUMIF(Audit[[#This Row],[Difference Winner]:[Difference Candidate 12]], "&gt;0")</f>
        <v>0</v>
      </c>
      <c r="AR617" s="17">
        <f>SUM(Audit[[#This Row],[Difference Winner]:[Difference Candidate 12]])</f>
        <v>0</v>
      </c>
      <c r="AS617" s="17">
        <f>IF(Audit[[#This Row],[Times p Drawn - With Replacement]]&gt;0, IF(Audit[[#This Row],[Canceled Differences]]&lt;0, Audit[[#This Row],[Max Differences]]+ABS(Audit[[#This Row],[Canceled Differences]]), Audit[[#This Row],[Max Differences]]), 0)</f>
        <v>0</v>
      </c>
      <c r="AT617" s="17">
        <f>'Sampling Data'!AB617</f>
        <v>2.5589882872177897E-2</v>
      </c>
      <c r="AU617" s="17">
        <f>IF(
      SUM(Audit[[#This Row],[Audit Losing Candidate]:[Audit Candidate 12]])
      &lt;&gt;0,
      (Audit[[#This Row],[Winning Candidate]]-Audit[[#This Row],[Losing Candidate]]-(Audit[[#This Row],[Audit Winning Candidate]]-Audit[[#This Row],[Audit Losing Candidate]]))/(Audit[[#Totals],[Winning Candidate]]-Audit[[#Totals],[Losing Candidate]]),
      0
)</f>
        <v>0</v>
      </c>
      <c r="AV6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7" s="17">
        <f>IF(Audit[[#This Row],[Max Relative Error (ep)]] = 0, 0, Audit[[#This Row],[Max Relative Error (ep)]]/Audit[[#This Row],[Error Bound (up) - Max. possible relative overstatement]])</f>
        <v>0</v>
      </c>
      <c r="BH6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17" s="17">
        <f t="shared" si="10"/>
        <v>1</v>
      </c>
      <c r="BJ617" s="17">
        <f>PRODUCT($BI$5:BI617)</f>
        <v>0.31487538641040835</v>
      </c>
      <c r="BK617" s="19">
        <f>1 - Audit[[#This Row],[K-M P Value]]</f>
        <v>0.68512461358959165</v>
      </c>
      <c r="BL617" s="17" t="str">
        <f>IF(Audit[[#This Row],[K-M P Value]]&gt;1-'General Info'!$B$12,"Continue", "Stop")</f>
        <v>Continue</v>
      </c>
      <c r="BM617" s="22" t="b">
        <f>IF(Audit[[#This Row],[Status - Continue or stop audit]] = "Continue", TRUE, IF(BL616 = "Continue", TRUE, FALSE))</f>
        <v>1</v>
      </c>
      <c r="BN617" s="22"/>
    </row>
    <row r="618" spans="1:66" ht="15" hidden="1" customHeight="1" x14ac:dyDescent="0.35">
      <c r="A618" s="17" t="str">
        <f>'Sampling Data'!AI618</f>
        <v/>
      </c>
      <c r="B618" s="17" t="str">
        <f>'Sampling Data'!A618</f>
        <v>0701 CIN 7-A   (ED)</v>
      </c>
      <c r="C618" s="17">
        <f>'Sampling Data'!B618</f>
        <v>290</v>
      </c>
      <c r="D618" s="17">
        <f>'Sampling Data'!C618</f>
        <v>48</v>
      </c>
      <c r="E618" s="18">
        <f>'Sampling Data'!D618</f>
        <v>0</v>
      </c>
      <c r="F618" s="18">
        <f>'Sampling Data'!E618</f>
        <v>0</v>
      </c>
      <c r="G618" s="18">
        <f>'Sampling Data'!F618</f>
        <v>0</v>
      </c>
      <c r="H618" s="18">
        <f>'Sampling Data'!G618</f>
        <v>0</v>
      </c>
      <c r="I618" s="18">
        <f>'Sampling Data'!H618</f>
        <v>0</v>
      </c>
      <c r="J618" s="18">
        <f>'Sampling Data'!I618</f>
        <v>0</v>
      </c>
      <c r="K618" s="18">
        <f>'Sampling Data'!J618</f>
        <v>0</v>
      </c>
      <c r="L618" s="18">
        <f>'Sampling Data'!K618</f>
        <v>0</v>
      </c>
      <c r="M618" s="18">
        <f>'Sampling Data'!L618</f>
        <v>0</v>
      </c>
      <c r="N618" s="18">
        <f>'Sampling Data'!M618</f>
        <v>0</v>
      </c>
      <c r="O618" s="17">
        <f>'Sampling Data'!N618</f>
        <v>0</v>
      </c>
      <c r="P618" s="17">
        <f>'Sampling Data'!O618</f>
        <v>22</v>
      </c>
      <c r="Q618" s="17">
        <f>'Sampling Data'!P618</f>
        <v>360</v>
      </c>
      <c r="R618" s="17">
        <f>'Sampling Data'!AJ618</f>
        <v>0</v>
      </c>
      <c r="S618" s="111"/>
      <c r="T618" s="111"/>
      <c r="U618" s="112"/>
      <c r="V618" s="112"/>
      <c r="W618" s="111"/>
      <c r="X618" s="111"/>
      <c r="Y618" s="111"/>
      <c r="Z618" s="111"/>
      <c r="AA618" s="14"/>
      <c r="AB618" s="14"/>
      <c r="AC618" s="14"/>
      <c r="AD618" s="14"/>
      <c r="AE618" s="113" t="str">
        <f>IF(NOT(ISBLANK(Audit[[#This Row],[Audit Winning Candidate]])), Audit[[#This Row],[Audit Winning Candidate]]-Audit[[#This Row],[Winning Candidate]], "")</f>
        <v/>
      </c>
      <c r="AF618" s="17" t="str">
        <f>IF(NOT(ISBLANK(Audit[[#This Row],[Audit Losing Candidate]])), Audit[[#This Row],[Audit Losing Candidate]]-Audit[[#This Row],[Losing Candidate]], "")</f>
        <v/>
      </c>
      <c r="AG618" s="17" t="str">
        <f>IF(NOT(ISBLANK(Audit[[#This Row],[Audit Candidate 3]])), Audit[[#This Row],[Audit Candidate 3]]-Audit[[#This Row],[Candidate 3]], "")</f>
        <v/>
      </c>
      <c r="AH618" s="17" t="str">
        <f>IF(NOT(ISBLANK(Audit[[#This Row],[Audit Candidate 4]])),Audit[[#This Row],[Audit Candidate 4]]-Audit[[#This Row],[Candidate 4]], "")</f>
        <v/>
      </c>
      <c r="AI618" s="17" t="str">
        <f>IF(NOT(ISBLANK(Audit[[#This Row],[Audit Candidate 5]])), Audit[[#This Row],[Audit Candidate 5]]-Audit[[#This Row],[Candidate 5]], "")</f>
        <v/>
      </c>
      <c r="AJ618" s="17" t="str">
        <f>IF(NOT(ISBLANK(Audit[[#This Row],[Audit Candidate 6]])), Audit[[#This Row],[Audit Candidate 6]]-Audit[[#This Row],[Candidate 6]], "")</f>
        <v/>
      </c>
      <c r="AK618" s="17" t="str">
        <f>IF(NOT(ISBLANK(Audit[[#This Row],[Audit Candidate 7]])), Audit[[#This Row],[Audit Candidate 7]]-Audit[[#This Row],[Candidate 7]], "")</f>
        <v/>
      </c>
      <c r="AL618" s="17" t="str">
        <f>IF(NOT(ISBLANK(Audit[[#This Row],[Audit Candidate 8]])), Audit[[#This Row],[Audit Candidate 8]]-Audit[[#This Row],[Candidate 8]], "")</f>
        <v/>
      </c>
      <c r="AM618" s="17" t="str">
        <f>IF(NOT(ISBLANK(Audit[[#This Row],[Audit Candidate 9]])), Audit[[#This Row],[Audit Candidate 9]]-Audit[[#This Row],[Candidate 9]], "")</f>
        <v/>
      </c>
      <c r="AN618" s="17" t="str">
        <f>IF(NOT(ISBLANK(Audit[[#This Row],[Audit Candidate 10]])), Audit[[#This Row],[Audit Candidate 10]]-Audit[[#This Row],[Candidate 10]], "")</f>
        <v/>
      </c>
      <c r="AO618" s="17" t="str">
        <f>IF(NOT(ISBLANK(Audit[[#This Row],[Audit Candidate 11]])), Audit[[#This Row],[Audit Candidate 11]]-Audit[[#This Row],[Candidate 11]], "")</f>
        <v/>
      </c>
      <c r="AP618" s="17" t="str">
        <f>IF(NOT(ISBLANK(Audit[[#This Row],[Audit Candidate 12]])), Audit[[#This Row],[Audit Candidate 12]]-Audit[[#This Row],[Candidate 12]], "")</f>
        <v/>
      </c>
      <c r="AQ618" s="17">
        <f>SUMIF(Audit[[#This Row],[Difference Winner]:[Difference Candidate 12]], "&gt;0")</f>
        <v>0</v>
      </c>
      <c r="AR618" s="17">
        <f>SUM(Audit[[#This Row],[Difference Winner]:[Difference Candidate 12]])</f>
        <v>0</v>
      </c>
      <c r="AS618" s="17">
        <f>IF(Audit[[#This Row],[Times p Drawn - With Replacement]]&gt;0, IF(Audit[[#This Row],[Canceled Differences]]&lt;0, Audit[[#This Row],[Max Differences]]+ABS(Audit[[#This Row],[Canceled Differences]]), Audit[[#This Row],[Max Differences]]), 0)</f>
        <v>0</v>
      </c>
      <c r="AT618" s="17">
        <f>'Sampling Data'!AB618</f>
        <v>2.5547445255474453E-2</v>
      </c>
      <c r="AU618" s="17">
        <f>IF(
      SUM(Audit[[#This Row],[Audit Losing Candidate]:[Audit Candidate 12]])
      &lt;&gt;0,
      (Audit[[#This Row],[Winning Candidate]]-Audit[[#This Row],[Losing Candidate]]-(Audit[[#This Row],[Audit Winning Candidate]]-Audit[[#This Row],[Audit Losing Candidate]]))/(Audit[[#Totals],[Winning Candidate]]-Audit[[#Totals],[Losing Candidate]]),
      0
)</f>
        <v>0</v>
      </c>
      <c r="AV6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8" s="17">
        <f>IF(Audit[[#This Row],[Max Relative Error (ep)]] = 0, 0, Audit[[#This Row],[Max Relative Error (ep)]]/Audit[[#This Row],[Error Bound (up) - Max. possible relative overstatement]])</f>
        <v>0</v>
      </c>
      <c r="BH6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18" s="17">
        <f t="shared" si="10"/>
        <v>1</v>
      </c>
      <c r="BJ618" s="17">
        <f>PRODUCT($BI$5:BI618)</f>
        <v>0.31487538641040835</v>
      </c>
      <c r="BK618" s="19">
        <f>1 - Audit[[#This Row],[K-M P Value]]</f>
        <v>0.68512461358959165</v>
      </c>
      <c r="BL618" s="17" t="str">
        <f>IF(Audit[[#This Row],[K-M P Value]]&gt;1-'General Info'!$B$12,"Continue", "Stop")</f>
        <v>Continue</v>
      </c>
      <c r="BM618" s="22" t="b">
        <f>IF(Audit[[#This Row],[Status - Continue or stop audit]] = "Continue", TRUE, IF(BL617 = "Continue", TRUE, FALSE))</f>
        <v>1</v>
      </c>
      <c r="BN618" s="22"/>
    </row>
    <row r="619" spans="1:66" ht="15" hidden="1" customHeight="1" x14ac:dyDescent="0.35">
      <c r="A619" s="17" t="str">
        <f>'Sampling Data'!AI619</f>
        <v/>
      </c>
      <c r="B619" s="17" t="str">
        <f>'Sampling Data'!A619</f>
        <v>0702 CIN 7-B   (ED)</v>
      </c>
      <c r="C619" s="17">
        <f>'Sampling Data'!B619</f>
        <v>123</v>
      </c>
      <c r="D619" s="17">
        <f>'Sampling Data'!C619</f>
        <v>14</v>
      </c>
      <c r="E619" s="18">
        <f>'Sampling Data'!D619</f>
        <v>0</v>
      </c>
      <c r="F619" s="18">
        <f>'Sampling Data'!E619</f>
        <v>0</v>
      </c>
      <c r="G619" s="18">
        <f>'Sampling Data'!F619</f>
        <v>0</v>
      </c>
      <c r="H619" s="18">
        <f>'Sampling Data'!G619</f>
        <v>0</v>
      </c>
      <c r="I619" s="18">
        <f>'Sampling Data'!H619</f>
        <v>0</v>
      </c>
      <c r="J619" s="18">
        <f>'Sampling Data'!I619</f>
        <v>0</v>
      </c>
      <c r="K619" s="18">
        <f>'Sampling Data'!J619</f>
        <v>0</v>
      </c>
      <c r="L619" s="18">
        <f>'Sampling Data'!K619</f>
        <v>0</v>
      </c>
      <c r="M619" s="18">
        <f>'Sampling Data'!L619</f>
        <v>0</v>
      </c>
      <c r="N619" s="18">
        <f>'Sampling Data'!M619</f>
        <v>0</v>
      </c>
      <c r="O619" s="17">
        <f>'Sampling Data'!N619</f>
        <v>0</v>
      </c>
      <c r="P619" s="17">
        <f>'Sampling Data'!O619</f>
        <v>8</v>
      </c>
      <c r="Q619" s="17">
        <f>'Sampling Data'!P619</f>
        <v>145</v>
      </c>
      <c r="R619" s="17">
        <f>'Sampling Data'!AJ619</f>
        <v>0</v>
      </c>
      <c r="S619" s="111"/>
      <c r="T619" s="111"/>
      <c r="U619" s="112"/>
      <c r="V619" s="112"/>
      <c r="W619" s="111"/>
      <c r="X619" s="111"/>
      <c r="Y619" s="111"/>
      <c r="Z619" s="111"/>
      <c r="AA619" s="14"/>
      <c r="AB619" s="14"/>
      <c r="AC619" s="14"/>
      <c r="AD619" s="14"/>
      <c r="AE619" s="113" t="str">
        <f>IF(NOT(ISBLANK(Audit[[#This Row],[Audit Winning Candidate]])), Audit[[#This Row],[Audit Winning Candidate]]-Audit[[#This Row],[Winning Candidate]], "")</f>
        <v/>
      </c>
      <c r="AF619" s="17" t="str">
        <f>IF(NOT(ISBLANK(Audit[[#This Row],[Audit Losing Candidate]])), Audit[[#This Row],[Audit Losing Candidate]]-Audit[[#This Row],[Losing Candidate]], "")</f>
        <v/>
      </c>
      <c r="AG619" s="17" t="str">
        <f>IF(NOT(ISBLANK(Audit[[#This Row],[Audit Candidate 3]])), Audit[[#This Row],[Audit Candidate 3]]-Audit[[#This Row],[Candidate 3]], "")</f>
        <v/>
      </c>
      <c r="AH619" s="17" t="str">
        <f>IF(NOT(ISBLANK(Audit[[#This Row],[Audit Candidate 4]])),Audit[[#This Row],[Audit Candidate 4]]-Audit[[#This Row],[Candidate 4]], "")</f>
        <v/>
      </c>
      <c r="AI619" s="17" t="str">
        <f>IF(NOT(ISBLANK(Audit[[#This Row],[Audit Candidate 5]])), Audit[[#This Row],[Audit Candidate 5]]-Audit[[#This Row],[Candidate 5]], "")</f>
        <v/>
      </c>
      <c r="AJ619" s="17" t="str">
        <f>IF(NOT(ISBLANK(Audit[[#This Row],[Audit Candidate 6]])), Audit[[#This Row],[Audit Candidate 6]]-Audit[[#This Row],[Candidate 6]], "")</f>
        <v/>
      </c>
      <c r="AK619" s="17" t="str">
        <f>IF(NOT(ISBLANK(Audit[[#This Row],[Audit Candidate 7]])), Audit[[#This Row],[Audit Candidate 7]]-Audit[[#This Row],[Candidate 7]], "")</f>
        <v/>
      </c>
      <c r="AL619" s="17" t="str">
        <f>IF(NOT(ISBLANK(Audit[[#This Row],[Audit Candidate 8]])), Audit[[#This Row],[Audit Candidate 8]]-Audit[[#This Row],[Candidate 8]], "")</f>
        <v/>
      </c>
      <c r="AM619" s="17" t="str">
        <f>IF(NOT(ISBLANK(Audit[[#This Row],[Audit Candidate 9]])), Audit[[#This Row],[Audit Candidate 9]]-Audit[[#This Row],[Candidate 9]], "")</f>
        <v/>
      </c>
      <c r="AN619" s="17" t="str">
        <f>IF(NOT(ISBLANK(Audit[[#This Row],[Audit Candidate 10]])), Audit[[#This Row],[Audit Candidate 10]]-Audit[[#This Row],[Candidate 10]], "")</f>
        <v/>
      </c>
      <c r="AO619" s="17" t="str">
        <f>IF(NOT(ISBLANK(Audit[[#This Row],[Audit Candidate 11]])), Audit[[#This Row],[Audit Candidate 11]]-Audit[[#This Row],[Candidate 11]], "")</f>
        <v/>
      </c>
      <c r="AP619" s="17" t="str">
        <f>IF(NOT(ISBLANK(Audit[[#This Row],[Audit Candidate 12]])), Audit[[#This Row],[Audit Candidate 12]]-Audit[[#This Row],[Candidate 12]], "")</f>
        <v/>
      </c>
      <c r="AQ619" s="17">
        <f>SUMIF(Audit[[#This Row],[Difference Winner]:[Difference Candidate 12]], "&gt;0")</f>
        <v>0</v>
      </c>
      <c r="AR619" s="17">
        <f>SUM(Audit[[#This Row],[Difference Winner]:[Difference Candidate 12]])</f>
        <v>0</v>
      </c>
      <c r="AS619" s="17">
        <f>IF(Audit[[#This Row],[Times p Drawn - With Replacement]]&gt;0, IF(Audit[[#This Row],[Canceled Differences]]&lt;0, Audit[[#This Row],[Max Differences]]+ABS(Audit[[#This Row],[Canceled Differences]]), Audit[[#This Row],[Max Differences]]), 0)</f>
        <v>0</v>
      </c>
      <c r="AT619" s="17">
        <f>'Sampling Data'!AB619</f>
        <v>1.0779154642675268E-2</v>
      </c>
      <c r="AU619" s="17">
        <f>IF(
      SUM(Audit[[#This Row],[Audit Losing Candidate]:[Audit Candidate 12]])
      &lt;&gt;0,
      (Audit[[#This Row],[Winning Candidate]]-Audit[[#This Row],[Losing Candidate]]-(Audit[[#This Row],[Audit Winning Candidate]]-Audit[[#This Row],[Audit Losing Candidate]]))/(Audit[[#Totals],[Winning Candidate]]-Audit[[#Totals],[Losing Candidate]]),
      0
)</f>
        <v>0</v>
      </c>
      <c r="AV6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9" s="17">
        <f>IF(Audit[[#This Row],[Max Relative Error (ep)]] = 0, 0, Audit[[#This Row],[Max Relative Error (ep)]]/Audit[[#This Row],[Error Bound (up) - Max. possible relative overstatement]])</f>
        <v>0</v>
      </c>
      <c r="BH6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19" s="17">
        <f t="shared" si="10"/>
        <v>1</v>
      </c>
      <c r="BJ619" s="17">
        <f>PRODUCT($BI$5:BI619)</f>
        <v>0.31487538641040835</v>
      </c>
      <c r="BK619" s="19">
        <f>1 - Audit[[#This Row],[K-M P Value]]</f>
        <v>0.68512461358959165</v>
      </c>
      <c r="BL619" s="17" t="str">
        <f>IF(Audit[[#This Row],[K-M P Value]]&gt;1-'General Info'!$B$12,"Continue", "Stop")</f>
        <v>Continue</v>
      </c>
      <c r="BM619" s="22" t="b">
        <f>IF(Audit[[#This Row],[Status - Continue or stop audit]] = "Continue", TRUE, IF(BL618 = "Continue", TRUE, FALSE))</f>
        <v>1</v>
      </c>
      <c r="BN619" s="22"/>
    </row>
    <row r="620" spans="1:66" ht="15" customHeight="1" x14ac:dyDescent="0.35">
      <c r="A620" s="17">
        <f>'Sampling Data'!AI620</f>
        <v>20</v>
      </c>
      <c r="B620" s="17" t="str">
        <f>'Sampling Data'!A620</f>
        <v>0703 CIN 7-C   (ED)</v>
      </c>
      <c r="C620" s="17">
        <f>'Sampling Data'!B620</f>
        <v>283</v>
      </c>
      <c r="D620" s="17">
        <f>'Sampling Data'!C620</f>
        <v>23</v>
      </c>
      <c r="E620" s="18">
        <f>'Sampling Data'!D620</f>
        <v>0</v>
      </c>
      <c r="F620" s="18">
        <f>'Sampling Data'!E620</f>
        <v>0</v>
      </c>
      <c r="G620" s="18">
        <f>'Sampling Data'!F620</f>
        <v>0</v>
      </c>
      <c r="H620" s="18">
        <f>'Sampling Data'!G620</f>
        <v>0</v>
      </c>
      <c r="I620" s="18">
        <f>'Sampling Data'!H620</f>
        <v>0</v>
      </c>
      <c r="J620" s="18">
        <f>'Sampling Data'!I620</f>
        <v>0</v>
      </c>
      <c r="K620" s="18">
        <f>'Sampling Data'!J620</f>
        <v>0</v>
      </c>
      <c r="L620" s="18">
        <f>'Sampling Data'!K620</f>
        <v>0</v>
      </c>
      <c r="M620" s="18">
        <f>'Sampling Data'!L620</f>
        <v>0</v>
      </c>
      <c r="N620" s="18">
        <f>'Sampling Data'!M620</f>
        <v>0</v>
      </c>
      <c r="O620" s="17">
        <f>'Sampling Data'!N620</f>
        <v>0</v>
      </c>
      <c r="P620" s="17">
        <f>'Sampling Data'!O620</f>
        <v>15</v>
      </c>
      <c r="Q620" s="17">
        <f>'Sampling Data'!P620</f>
        <v>321</v>
      </c>
      <c r="R620" s="17">
        <f>'Sampling Data'!AJ620</f>
        <v>1</v>
      </c>
      <c r="S620" s="111">
        <v>283</v>
      </c>
      <c r="T620" s="111">
        <v>23</v>
      </c>
      <c r="U620" s="112"/>
      <c r="V620" s="112"/>
      <c r="W620" s="111"/>
      <c r="X620" s="111"/>
      <c r="Y620" s="111"/>
      <c r="Z620" s="111"/>
      <c r="AA620" s="14"/>
      <c r="AB620" s="14"/>
      <c r="AC620" s="14"/>
      <c r="AD620" s="14"/>
      <c r="AE620" s="113">
        <f>IF(NOT(ISBLANK(Audit[[#This Row],[Audit Winning Candidate]])), Audit[[#This Row],[Audit Winning Candidate]]-Audit[[#This Row],[Winning Candidate]], "")</f>
        <v>0</v>
      </c>
      <c r="AF620" s="17">
        <f>IF(NOT(ISBLANK(Audit[[#This Row],[Audit Losing Candidate]])), Audit[[#This Row],[Audit Losing Candidate]]-Audit[[#This Row],[Losing Candidate]], "")</f>
        <v>0</v>
      </c>
      <c r="AG620" s="17" t="str">
        <f>IF(NOT(ISBLANK(Audit[[#This Row],[Audit Candidate 3]])), Audit[[#This Row],[Audit Candidate 3]]-Audit[[#This Row],[Candidate 3]], "")</f>
        <v/>
      </c>
      <c r="AH620" s="17" t="str">
        <f>IF(NOT(ISBLANK(Audit[[#This Row],[Audit Candidate 4]])),Audit[[#This Row],[Audit Candidate 4]]-Audit[[#This Row],[Candidate 4]], "")</f>
        <v/>
      </c>
      <c r="AI620" s="17" t="str">
        <f>IF(NOT(ISBLANK(Audit[[#This Row],[Audit Candidate 5]])), Audit[[#This Row],[Audit Candidate 5]]-Audit[[#This Row],[Candidate 5]], "")</f>
        <v/>
      </c>
      <c r="AJ620" s="17" t="str">
        <f>IF(NOT(ISBLANK(Audit[[#This Row],[Audit Candidate 6]])), Audit[[#This Row],[Audit Candidate 6]]-Audit[[#This Row],[Candidate 6]], "")</f>
        <v/>
      </c>
      <c r="AK620" s="17" t="str">
        <f>IF(NOT(ISBLANK(Audit[[#This Row],[Audit Candidate 7]])), Audit[[#This Row],[Audit Candidate 7]]-Audit[[#This Row],[Candidate 7]], "")</f>
        <v/>
      </c>
      <c r="AL620" s="17" t="str">
        <f>IF(NOT(ISBLANK(Audit[[#This Row],[Audit Candidate 8]])), Audit[[#This Row],[Audit Candidate 8]]-Audit[[#This Row],[Candidate 8]], "")</f>
        <v/>
      </c>
      <c r="AM620" s="17" t="str">
        <f>IF(NOT(ISBLANK(Audit[[#This Row],[Audit Candidate 9]])), Audit[[#This Row],[Audit Candidate 9]]-Audit[[#This Row],[Candidate 9]], "")</f>
        <v/>
      </c>
      <c r="AN620" s="17" t="str">
        <f>IF(NOT(ISBLANK(Audit[[#This Row],[Audit Candidate 10]])), Audit[[#This Row],[Audit Candidate 10]]-Audit[[#This Row],[Candidate 10]], "")</f>
        <v/>
      </c>
      <c r="AO620" s="17" t="str">
        <f>IF(NOT(ISBLANK(Audit[[#This Row],[Audit Candidate 11]])), Audit[[#This Row],[Audit Candidate 11]]-Audit[[#This Row],[Candidate 11]], "")</f>
        <v/>
      </c>
      <c r="AP620" s="17" t="str">
        <f>IF(NOT(ISBLANK(Audit[[#This Row],[Audit Candidate 12]])), Audit[[#This Row],[Audit Candidate 12]]-Audit[[#This Row],[Candidate 12]], "")</f>
        <v/>
      </c>
      <c r="AQ620" s="17">
        <f>SUMIF(Audit[[#This Row],[Difference Winner]:[Difference Candidate 12]], "&gt;0")</f>
        <v>0</v>
      </c>
      <c r="AR620" s="17">
        <f>SUM(Audit[[#This Row],[Difference Winner]:[Difference Candidate 12]])</f>
        <v>0</v>
      </c>
      <c r="AS620" s="17">
        <f>IF(Audit[[#This Row],[Times p Drawn - With Replacement]]&gt;0, IF(Audit[[#This Row],[Canceled Differences]]&lt;0, Audit[[#This Row],[Max Differences]]+ABS(Audit[[#This Row],[Canceled Differences]]), Audit[[#This Row],[Max Differences]]), 0)</f>
        <v>0</v>
      </c>
      <c r="AT620" s="17">
        <f>'Sampling Data'!AB620</f>
        <v>2.4656255304702088E-2</v>
      </c>
      <c r="AU620" s="17">
        <f>IF(
      SUM(Audit[[#This Row],[Audit Losing Candidate]:[Audit Candidate 12]])
      &lt;&gt;0,
      (Audit[[#This Row],[Winning Candidate]]-Audit[[#This Row],[Losing Candidate]]-(Audit[[#This Row],[Audit Winning Candidate]]-Audit[[#This Row],[Audit Losing Candidate]]))/(Audit[[#Totals],[Winning Candidate]]-Audit[[#Totals],[Losing Candidate]]),
      0
)</f>
        <v>0</v>
      </c>
      <c r="AV6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0" s="17">
        <f>IF(Audit[[#This Row],[Max Relative Error (ep)]] = 0, 0, Audit[[#This Row],[Max Relative Error (ep)]]/Audit[[#This Row],[Error Bound (up) - Max. possible relative overstatement]])</f>
        <v>0</v>
      </c>
      <c r="BH6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20" s="17">
        <f t="shared" si="10"/>
        <v>0.94645908314247273</v>
      </c>
      <c r="BJ620" s="17">
        <f>PRODUCT($BI$5:BI620)</f>
        <v>0.29801666952612693</v>
      </c>
      <c r="BK620" s="19">
        <f>1 - Audit[[#This Row],[K-M P Value]]</f>
        <v>0.70198333047387307</v>
      </c>
      <c r="BL620" s="17" t="str">
        <f>IF(Audit[[#This Row],[K-M P Value]]&gt;1-'General Info'!$B$12,"Continue", "Stop")</f>
        <v>Continue</v>
      </c>
      <c r="BM620" s="22" t="b">
        <f>IF(Audit[[#This Row],[Status - Continue or stop audit]] = "Continue", TRUE, IF(BL619 = "Continue", TRUE, FALSE))</f>
        <v>1</v>
      </c>
      <c r="BN620" s="22"/>
    </row>
    <row r="621" spans="1:66" ht="15" customHeight="1" x14ac:dyDescent="0.35">
      <c r="A621" s="17">
        <f>'Sampling Data'!AI621</f>
        <v>7</v>
      </c>
      <c r="B621" s="17" t="str">
        <f>'Sampling Data'!A621</f>
        <v>0704 CIN 7-D   (ED)</v>
      </c>
      <c r="C621" s="17">
        <f>'Sampling Data'!B621</f>
        <v>264</v>
      </c>
      <c r="D621" s="17">
        <f>'Sampling Data'!C621</f>
        <v>38</v>
      </c>
      <c r="E621" s="18">
        <f>'Sampling Data'!D621</f>
        <v>0</v>
      </c>
      <c r="F621" s="18">
        <f>'Sampling Data'!E621</f>
        <v>0</v>
      </c>
      <c r="G621" s="18">
        <f>'Sampling Data'!F621</f>
        <v>0</v>
      </c>
      <c r="H621" s="18">
        <f>'Sampling Data'!G621</f>
        <v>0</v>
      </c>
      <c r="I621" s="18">
        <f>'Sampling Data'!H621</f>
        <v>0</v>
      </c>
      <c r="J621" s="18">
        <f>'Sampling Data'!I621</f>
        <v>0</v>
      </c>
      <c r="K621" s="18">
        <f>'Sampling Data'!J621</f>
        <v>0</v>
      </c>
      <c r="L621" s="18">
        <f>'Sampling Data'!K621</f>
        <v>0</v>
      </c>
      <c r="M621" s="18">
        <f>'Sampling Data'!L621</f>
        <v>0</v>
      </c>
      <c r="N621" s="18">
        <f>'Sampling Data'!M621</f>
        <v>0</v>
      </c>
      <c r="O621" s="17">
        <f>'Sampling Data'!N621</f>
        <v>0</v>
      </c>
      <c r="P621" s="17">
        <f>'Sampling Data'!O621</f>
        <v>23</v>
      </c>
      <c r="Q621" s="17">
        <f>'Sampling Data'!P621</f>
        <v>325</v>
      </c>
      <c r="R621" s="17">
        <f>'Sampling Data'!AJ621</f>
        <v>1</v>
      </c>
      <c r="S621" s="111">
        <v>264</v>
      </c>
      <c r="T621" s="111">
        <v>38</v>
      </c>
      <c r="U621" s="112"/>
      <c r="V621" s="112"/>
      <c r="W621" s="111"/>
      <c r="X621" s="111"/>
      <c r="Y621" s="111"/>
      <c r="Z621" s="111"/>
      <c r="AA621" s="14"/>
      <c r="AB621" s="14"/>
      <c r="AC621" s="14"/>
      <c r="AD621" s="14"/>
      <c r="AE621" s="113">
        <f>IF(NOT(ISBLANK(Audit[[#This Row],[Audit Winning Candidate]])), Audit[[#This Row],[Audit Winning Candidate]]-Audit[[#This Row],[Winning Candidate]], "")</f>
        <v>0</v>
      </c>
      <c r="AF621" s="17">
        <f>IF(NOT(ISBLANK(Audit[[#This Row],[Audit Losing Candidate]])), Audit[[#This Row],[Audit Losing Candidate]]-Audit[[#This Row],[Losing Candidate]], "")</f>
        <v>0</v>
      </c>
      <c r="AG621" s="17" t="str">
        <f>IF(NOT(ISBLANK(Audit[[#This Row],[Audit Candidate 3]])), Audit[[#This Row],[Audit Candidate 3]]-Audit[[#This Row],[Candidate 3]], "")</f>
        <v/>
      </c>
      <c r="AH621" s="17" t="str">
        <f>IF(NOT(ISBLANK(Audit[[#This Row],[Audit Candidate 4]])),Audit[[#This Row],[Audit Candidate 4]]-Audit[[#This Row],[Candidate 4]], "")</f>
        <v/>
      </c>
      <c r="AI621" s="17" t="str">
        <f>IF(NOT(ISBLANK(Audit[[#This Row],[Audit Candidate 5]])), Audit[[#This Row],[Audit Candidate 5]]-Audit[[#This Row],[Candidate 5]], "")</f>
        <v/>
      </c>
      <c r="AJ621" s="17" t="str">
        <f>IF(NOT(ISBLANK(Audit[[#This Row],[Audit Candidate 6]])), Audit[[#This Row],[Audit Candidate 6]]-Audit[[#This Row],[Candidate 6]], "")</f>
        <v/>
      </c>
      <c r="AK621" s="17" t="str">
        <f>IF(NOT(ISBLANK(Audit[[#This Row],[Audit Candidate 7]])), Audit[[#This Row],[Audit Candidate 7]]-Audit[[#This Row],[Candidate 7]], "")</f>
        <v/>
      </c>
      <c r="AL621" s="17" t="str">
        <f>IF(NOT(ISBLANK(Audit[[#This Row],[Audit Candidate 8]])), Audit[[#This Row],[Audit Candidate 8]]-Audit[[#This Row],[Candidate 8]], "")</f>
        <v/>
      </c>
      <c r="AM621" s="17" t="str">
        <f>IF(NOT(ISBLANK(Audit[[#This Row],[Audit Candidate 9]])), Audit[[#This Row],[Audit Candidate 9]]-Audit[[#This Row],[Candidate 9]], "")</f>
        <v/>
      </c>
      <c r="AN621" s="17" t="str">
        <f>IF(NOT(ISBLANK(Audit[[#This Row],[Audit Candidate 10]])), Audit[[#This Row],[Audit Candidate 10]]-Audit[[#This Row],[Candidate 10]], "")</f>
        <v/>
      </c>
      <c r="AO621" s="17" t="str">
        <f>IF(NOT(ISBLANK(Audit[[#This Row],[Audit Candidate 11]])), Audit[[#This Row],[Audit Candidate 11]]-Audit[[#This Row],[Candidate 11]], "")</f>
        <v/>
      </c>
      <c r="AP621" s="17" t="str">
        <f>IF(NOT(ISBLANK(Audit[[#This Row],[Audit Candidate 12]])), Audit[[#This Row],[Audit Candidate 12]]-Audit[[#This Row],[Candidate 12]], "")</f>
        <v/>
      </c>
      <c r="AQ621" s="17">
        <f>SUMIF(Audit[[#This Row],[Difference Winner]:[Difference Candidate 12]], "&gt;0")</f>
        <v>0</v>
      </c>
      <c r="AR621" s="17">
        <f>SUM(Audit[[#This Row],[Difference Winner]:[Difference Candidate 12]])</f>
        <v>0</v>
      </c>
      <c r="AS621" s="17">
        <f>IF(Audit[[#This Row],[Times p Drawn - With Replacement]]&gt;0, IF(Audit[[#This Row],[Canceled Differences]]&lt;0, Audit[[#This Row],[Max Differences]]+ABS(Audit[[#This Row],[Canceled Differences]]), Audit[[#This Row],[Max Differences]]), 0)</f>
        <v>0</v>
      </c>
      <c r="AT621" s="17">
        <f>'Sampling Data'!AB621</f>
        <v>2.3383126803598709E-2</v>
      </c>
      <c r="AU621" s="17">
        <f>IF(
      SUM(Audit[[#This Row],[Audit Losing Candidate]:[Audit Candidate 12]])
      &lt;&gt;0,
      (Audit[[#This Row],[Winning Candidate]]-Audit[[#This Row],[Losing Candidate]]-(Audit[[#This Row],[Audit Winning Candidate]]-Audit[[#This Row],[Audit Losing Candidate]]))/(Audit[[#Totals],[Winning Candidate]]-Audit[[#Totals],[Losing Candidate]]),
      0
)</f>
        <v>0</v>
      </c>
      <c r="AV6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1" s="17">
        <f>IF(Audit[[#This Row],[Max Relative Error (ep)]] = 0, 0, Audit[[#This Row],[Max Relative Error (ep)]]/Audit[[#This Row],[Error Bound (up) - Max. possible relative overstatement]])</f>
        <v>0</v>
      </c>
      <c r="BH6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21" s="17">
        <f t="shared" si="10"/>
        <v>0.94645908314247273</v>
      </c>
      <c r="BJ621" s="17">
        <f>PRODUCT($BI$5:BI621)</f>
        <v>0.2820605838008714</v>
      </c>
      <c r="BK621" s="19">
        <f>1 - Audit[[#This Row],[K-M P Value]]</f>
        <v>0.7179394161991286</v>
      </c>
      <c r="BL621" s="17" t="str">
        <f>IF(Audit[[#This Row],[K-M P Value]]&gt;1-'General Info'!$B$12,"Continue", "Stop")</f>
        <v>Continue</v>
      </c>
      <c r="BM621" s="22" t="b">
        <f>IF(Audit[[#This Row],[Status - Continue or stop audit]] = "Continue", TRUE, IF(BL620 = "Continue", TRUE, FALSE))</f>
        <v>1</v>
      </c>
      <c r="BN621" s="22"/>
    </row>
    <row r="622" spans="1:66" ht="15" hidden="1" customHeight="1" x14ac:dyDescent="0.35">
      <c r="A622" s="17" t="str">
        <f>'Sampling Data'!AI622</f>
        <v/>
      </c>
      <c r="B622" s="17" t="str">
        <f>'Sampling Data'!A622</f>
        <v>0705 CIN 7-E   (ED)</v>
      </c>
      <c r="C622" s="17">
        <f>'Sampling Data'!B622</f>
        <v>154</v>
      </c>
      <c r="D622" s="17">
        <f>'Sampling Data'!C622</f>
        <v>13</v>
      </c>
      <c r="E622" s="18">
        <f>'Sampling Data'!D622</f>
        <v>0</v>
      </c>
      <c r="F622" s="18">
        <f>'Sampling Data'!E622</f>
        <v>0</v>
      </c>
      <c r="G622" s="18">
        <f>'Sampling Data'!F622</f>
        <v>0</v>
      </c>
      <c r="H622" s="18">
        <f>'Sampling Data'!G622</f>
        <v>0</v>
      </c>
      <c r="I622" s="18">
        <f>'Sampling Data'!H622</f>
        <v>0</v>
      </c>
      <c r="J622" s="18">
        <f>'Sampling Data'!I622</f>
        <v>0</v>
      </c>
      <c r="K622" s="18">
        <f>'Sampling Data'!J622</f>
        <v>0</v>
      </c>
      <c r="L622" s="18">
        <f>'Sampling Data'!K622</f>
        <v>0</v>
      </c>
      <c r="M622" s="18">
        <f>'Sampling Data'!L622</f>
        <v>0</v>
      </c>
      <c r="N622" s="18">
        <f>'Sampling Data'!M622</f>
        <v>0</v>
      </c>
      <c r="O622" s="17">
        <f>'Sampling Data'!N622</f>
        <v>0</v>
      </c>
      <c r="P622" s="17">
        <f>'Sampling Data'!O622</f>
        <v>14</v>
      </c>
      <c r="Q622" s="17">
        <f>'Sampling Data'!P622</f>
        <v>181</v>
      </c>
      <c r="R622" s="17">
        <f>'Sampling Data'!AJ622</f>
        <v>0</v>
      </c>
      <c r="S622" s="111"/>
      <c r="T622" s="111"/>
      <c r="U622" s="112"/>
      <c r="V622" s="112"/>
      <c r="W622" s="111"/>
      <c r="X622" s="111"/>
      <c r="Y622" s="111"/>
      <c r="Z622" s="111"/>
      <c r="AA622" s="14"/>
      <c r="AB622" s="14"/>
      <c r="AC622" s="14"/>
      <c r="AD622" s="14"/>
      <c r="AE622" s="113" t="str">
        <f>IF(NOT(ISBLANK(Audit[[#This Row],[Audit Winning Candidate]])), Audit[[#This Row],[Audit Winning Candidate]]-Audit[[#This Row],[Winning Candidate]], "")</f>
        <v/>
      </c>
      <c r="AF622" s="17" t="str">
        <f>IF(NOT(ISBLANK(Audit[[#This Row],[Audit Losing Candidate]])), Audit[[#This Row],[Audit Losing Candidate]]-Audit[[#This Row],[Losing Candidate]], "")</f>
        <v/>
      </c>
      <c r="AG622" s="17" t="str">
        <f>IF(NOT(ISBLANK(Audit[[#This Row],[Audit Candidate 3]])), Audit[[#This Row],[Audit Candidate 3]]-Audit[[#This Row],[Candidate 3]], "")</f>
        <v/>
      </c>
      <c r="AH622" s="17" t="str">
        <f>IF(NOT(ISBLANK(Audit[[#This Row],[Audit Candidate 4]])),Audit[[#This Row],[Audit Candidate 4]]-Audit[[#This Row],[Candidate 4]], "")</f>
        <v/>
      </c>
      <c r="AI622" s="17" t="str">
        <f>IF(NOT(ISBLANK(Audit[[#This Row],[Audit Candidate 5]])), Audit[[#This Row],[Audit Candidate 5]]-Audit[[#This Row],[Candidate 5]], "")</f>
        <v/>
      </c>
      <c r="AJ622" s="17" t="str">
        <f>IF(NOT(ISBLANK(Audit[[#This Row],[Audit Candidate 6]])), Audit[[#This Row],[Audit Candidate 6]]-Audit[[#This Row],[Candidate 6]], "")</f>
        <v/>
      </c>
      <c r="AK622" s="17" t="str">
        <f>IF(NOT(ISBLANK(Audit[[#This Row],[Audit Candidate 7]])), Audit[[#This Row],[Audit Candidate 7]]-Audit[[#This Row],[Candidate 7]], "")</f>
        <v/>
      </c>
      <c r="AL622" s="17" t="str">
        <f>IF(NOT(ISBLANK(Audit[[#This Row],[Audit Candidate 8]])), Audit[[#This Row],[Audit Candidate 8]]-Audit[[#This Row],[Candidate 8]], "")</f>
        <v/>
      </c>
      <c r="AM622" s="17" t="str">
        <f>IF(NOT(ISBLANK(Audit[[#This Row],[Audit Candidate 9]])), Audit[[#This Row],[Audit Candidate 9]]-Audit[[#This Row],[Candidate 9]], "")</f>
        <v/>
      </c>
      <c r="AN622" s="17" t="str">
        <f>IF(NOT(ISBLANK(Audit[[#This Row],[Audit Candidate 10]])), Audit[[#This Row],[Audit Candidate 10]]-Audit[[#This Row],[Candidate 10]], "")</f>
        <v/>
      </c>
      <c r="AO622" s="17" t="str">
        <f>IF(NOT(ISBLANK(Audit[[#This Row],[Audit Candidate 11]])), Audit[[#This Row],[Audit Candidate 11]]-Audit[[#This Row],[Candidate 11]], "")</f>
        <v/>
      </c>
      <c r="AP622" s="17" t="str">
        <f>IF(NOT(ISBLANK(Audit[[#This Row],[Audit Candidate 12]])), Audit[[#This Row],[Audit Candidate 12]]-Audit[[#This Row],[Candidate 12]], "")</f>
        <v/>
      </c>
      <c r="AQ622" s="17">
        <f>SUMIF(Audit[[#This Row],[Difference Winner]:[Difference Candidate 12]], "&gt;0")</f>
        <v>0</v>
      </c>
      <c r="AR622" s="17">
        <f>SUM(Audit[[#This Row],[Difference Winner]:[Difference Candidate 12]])</f>
        <v>0</v>
      </c>
      <c r="AS622" s="17">
        <f>IF(Audit[[#This Row],[Times p Drawn - With Replacement]]&gt;0, IF(Audit[[#This Row],[Canceled Differences]]&lt;0, Audit[[#This Row],[Max Differences]]+ABS(Audit[[#This Row],[Canceled Differences]]), Audit[[#This Row],[Max Differences]]), 0)</f>
        <v>0</v>
      </c>
      <c r="AT622" s="17">
        <f>'Sampling Data'!AB622</f>
        <v>1.366491257850959E-2</v>
      </c>
      <c r="AU622" s="17">
        <f>IF(
      SUM(Audit[[#This Row],[Audit Losing Candidate]:[Audit Candidate 12]])
      &lt;&gt;0,
      (Audit[[#This Row],[Winning Candidate]]-Audit[[#This Row],[Losing Candidate]]-(Audit[[#This Row],[Audit Winning Candidate]]-Audit[[#This Row],[Audit Losing Candidate]]))/(Audit[[#Totals],[Winning Candidate]]-Audit[[#Totals],[Losing Candidate]]),
      0
)</f>
        <v>0</v>
      </c>
      <c r="AV6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2" s="17">
        <f>IF(Audit[[#This Row],[Max Relative Error (ep)]] = 0, 0, Audit[[#This Row],[Max Relative Error (ep)]]/Audit[[#This Row],[Error Bound (up) - Max. possible relative overstatement]])</f>
        <v>0</v>
      </c>
      <c r="BH6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22" s="17">
        <f t="shared" si="10"/>
        <v>1</v>
      </c>
      <c r="BJ622" s="17">
        <f>PRODUCT($BI$5:BI622)</f>
        <v>0.2820605838008714</v>
      </c>
      <c r="BK622" s="19">
        <f>1 - Audit[[#This Row],[K-M P Value]]</f>
        <v>0.7179394161991286</v>
      </c>
      <c r="BL622" s="17" t="str">
        <f>IF(Audit[[#This Row],[K-M P Value]]&gt;1-'General Info'!$B$12,"Continue", "Stop")</f>
        <v>Continue</v>
      </c>
      <c r="BM622" s="22" t="b">
        <f>IF(Audit[[#This Row],[Status - Continue or stop audit]] = "Continue", TRUE, IF(BL621 = "Continue", TRUE, FALSE))</f>
        <v>1</v>
      </c>
      <c r="BN622" s="22"/>
    </row>
    <row r="623" spans="1:66" ht="15" hidden="1" customHeight="1" x14ac:dyDescent="0.35">
      <c r="A623" s="17" t="str">
        <f>'Sampling Data'!AI623</f>
        <v/>
      </c>
      <c r="B623" s="17" t="str">
        <f>'Sampling Data'!A623</f>
        <v>0706 CIN 7-F   (ED)</v>
      </c>
      <c r="C623" s="17">
        <f>'Sampling Data'!B623</f>
        <v>204</v>
      </c>
      <c r="D623" s="17">
        <f>'Sampling Data'!C623</f>
        <v>17</v>
      </c>
      <c r="E623" s="18">
        <f>'Sampling Data'!D623</f>
        <v>0</v>
      </c>
      <c r="F623" s="18">
        <f>'Sampling Data'!E623</f>
        <v>0</v>
      </c>
      <c r="G623" s="18">
        <f>'Sampling Data'!F623</f>
        <v>0</v>
      </c>
      <c r="H623" s="18">
        <f>'Sampling Data'!G623</f>
        <v>0</v>
      </c>
      <c r="I623" s="18">
        <f>'Sampling Data'!H623</f>
        <v>0</v>
      </c>
      <c r="J623" s="18">
        <f>'Sampling Data'!I623</f>
        <v>0</v>
      </c>
      <c r="K623" s="18">
        <f>'Sampling Data'!J623</f>
        <v>0</v>
      </c>
      <c r="L623" s="18">
        <f>'Sampling Data'!K623</f>
        <v>0</v>
      </c>
      <c r="M623" s="18">
        <f>'Sampling Data'!L623</f>
        <v>0</v>
      </c>
      <c r="N623" s="18">
        <f>'Sampling Data'!M623</f>
        <v>0</v>
      </c>
      <c r="O623" s="17">
        <f>'Sampling Data'!N623</f>
        <v>0</v>
      </c>
      <c r="P623" s="17">
        <f>'Sampling Data'!O623</f>
        <v>16</v>
      </c>
      <c r="Q623" s="17">
        <f>'Sampling Data'!P623</f>
        <v>237</v>
      </c>
      <c r="R623" s="17">
        <f>'Sampling Data'!AJ623</f>
        <v>0</v>
      </c>
      <c r="S623" s="111"/>
      <c r="T623" s="111"/>
      <c r="U623" s="112"/>
      <c r="V623" s="112"/>
      <c r="W623" s="111"/>
      <c r="X623" s="111"/>
      <c r="Y623" s="111"/>
      <c r="Z623" s="111"/>
      <c r="AA623" s="14"/>
      <c r="AB623" s="14"/>
      <c r="AC623" s="14"/>
      <c r="AD623" s="14"/>
      <c r="AE623" s="113" t="str">
        <f>IF(NOT(ISBLANK(Audit[[#This Row],[Audit Winning Candidate]])), Audit[[#This Row],[Audit Winning Candidate]]-Audit[[#This Row],[Winning Candidate]], "")</f>
        <v/>
      </c>
      <c r="AF623" s="17" t="str">
        <f>IF(NOT(ISBLANK(Audit[[#This Row],[Audit Losing Candidate]])), Audit[[#This Row],[Audit Losing Candidate]]-Audit[[#This Row],[Losing Candidate]], "")</f>
        <v/>
      </c>
      <c r="AG623" s="17" t="str">
        <f>IF(NOT(ISBLANK(Audit[[#This Row],[Audit Candidate 3]])), Audit[[#This Row],[Audit Candidate 3]]-Audit[[#This Row],[Candidate 3]], "")</f>
        <v/>
      </c>
      <c r="AH623" s="17" t="str">
        <f>IF(NOT(ISBLANK(Audit[[#This Row],[Audit Candidate 4]])),Audit[[#This Row],[Audit Candidate 4]]-Audit[[#This Row],[Candidate 4]], "")</f>
        <v/>
      </c>
      <c r="AI623" s="17" t="str">
        <f>IF(NOT(ISBLANK(Audit[[#This Row],[Audit Candidate 5]])), Audit[[#This Row],[Audit Candidate 5]]-Audit[[#This Row],[Candidate 5]], "")</f>
        <v/>
      </c>
      <c r="AJ623" s="17" t="str">
        <f>IF(NOT(ISBLANK(Audit[[#This Row],[Audit Candidate 6]])), Audit[[#This Row],[Audit Candidate 6]]-Audit[[#This Row],[Candidate 6]], "")</f>
        <v/>
      </c>
      <c r="AK623" s="17" t="str">
        <f>IF(NOT(ISBLANK(Audit[[#This Row],[Audit Candidate 7]])), Audit[[#This Row],[Audit Candidate 7]]-Audit[[#This Row],[Candidate 7]], "")</f>
        <v/>
      </c>
      <c r="AL623" s="17" t="str">
        <f>IF(NOT(ISBLANK(Audit[[#This Row],[Audit Candidate 8]])), Audit[[#This Row],[Audit Candidate 8]]-Audit[[#This Row],[Candidate 8]], "")</f>
        <v/>
      </c>
      <c r="AM623" s="17" t="str">
        <f>IF(NOT(ISBLANK(Audit[[#This Row],[Audit Candidate 9]])), Audit[[#This Row],[Audit Candidate 9]]-Audit[[#This Row],[Candidate 9]], "")</f>
        <v/>
      </c>
      <c r="AN623" s="17" t="str">
        <f>IF(NOT(ISBLANK(Audit[[#This Row],[Audit Candidate 10]])), Audit[[#This Row],[Audit Candidate 10]]-Audit[[#This Row],[Candidate 10]], "")</f>
        <v/>
      </c>
      <c r="AO623" s="17" t="str">
        <f>IF(NOT(ISBLANK(Audit[[#This Row],[Audit Candidate 11]])), Audit[[#This Row],[Audit Candidate 11]]-Audit[[#This Row],[Candidate 11]], "")</f>
        <v/>
      </c>
      <c r="AP623" s="17" t="str">
        <f>IF(NOT(ISBLANK(Audit[[#This Row],[Audit Candidate 12]])), Audit[[#This Row],[Audit Candidate 12]]-Audit[[#This Row],[Candidate 12]], "")</f>
        <v/>
      </c>
      <c r="AQ623" s="17">
        <f>SUMIF(Audit[[#This Row],[Difference Winner]:[Difference Candidate 12]], "&gt;0")</f>
        <v>0</v>
      </c>
      <c r="AR623" s="17">
        <f>SUM(Audit[[#This Row],[Difference Winner]:[Difference Candidate 12]])</f>
        <v>0</v>
      </c>
      <c r="AS623" s="17">
        <f>IF(Audit[[#This Row],[Times p Drawn - With Replacement]]&gt;0, IF(Audit[[#This Row],[Canceled Differences]]&lt;0, Audit[[#This Row],[Max Differences]]+ABS(Audit[[#This Row],[Canceled Differences]]), Audit[[#This Row],[Max Differences]]), 0)</f>
        <v>0</v>
      </c>
      <c r="AT623" s="17">
        <f>'Sampling Data'!AB623</f>
        <v>1.7993549482261076E-2</v>
      </c>
      <c r="AU623" s="17">
        <f>IF(
      SUM(Audit[[#This Row],[Audit Losing Candidate]:[Audit Candidate 12]])
      &lt;&gt;0,
      (Audit[[#This Row],[Winning Candidate]]-Audit[[#This Row],[Losing Candidate]]-(Audit[[#This Row],[Audit Winning Candidate]]-Audit[[#This Row],[Audit Losing Candidate]]))/(Audit[[#Totals],[Winning Candidate]]-Audit[[#Totals],[Losing Candidate]]),
      0
)</f>
        <v>0</v>
      </c>
      <c r="AV6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3" s="17">
        <f>IF(Audit[[#This Row],[Max Relative Error (ep)]] = 0, 0, Audit[[#This Row],[Max Relative Error (ep)]]/Audit[[#This Row],[Error Bound (up) - Max. possible relative overstatement]])</f>
        <v>0</v>
      </c>
      <c r="BH6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23" s="17">
        <f t="shared" si="10"/>
        <v>1</v>
      </c>
      <c r="BJ623" s="17">
        <f>PRODUCT($BI$5:BI623)</f>
        <v>0.2820605838008714</v>
      </c>
      <c r="BK623" s="19">
        <f>1 - Audit[[#This Row],[K-M P Value]]</f>
        <v>0.7179394161991286</v>
      </c>
      <c r="BL623" s="17" t="str">
        <f>IF(Audit[[#This Row],[K-M P Value]]&gt;1-'General Info'!$B$12,"Continue", "Stop")</f>
        <v>Continue</v>
      </c>
      <c r="BM623" s="22" t="b">
        <f>IF(Audit[[#This Row],[Status - Continue or stop audit]] = "Continue", TRUE, IF(BL622 = "Continue", TRUE, FALSE))</f>
        <v>1</v>
      </c>
      <c r="BN623" s="22"/>
    </row>
    <row r="624" spans="1:66" ht="15" hidden="1" customHeight="1" x14ac:dyDescent="0.35">
      <c r="A624" s="17" t="str">
        <f>'Sampling Data'!AI624</f>
        <v/>
      </c>
      <c r="B624" s="17" t="str">
        <f>'Sampling Data'!A624</f>
        <v>0707 CIN 7-G   (ED)</v>
      </c>
      <c r="C624" s="17">
        <f>'Sampling Data'!B624</f>
        <v>286</v>
      </c>
      <c r="D624" s="17">
        <f>'Sampling Data'!C624</f>
        <v>32</v>
      </c>
      <c r="E624" s="18">
        <f>'Sampling Data'!D624</f>
        <v>0</v>
      </c>
      <c r="F624" s="18">
        <f>'Sampling Data'!E624</f>
        <v>0</v>
      </c>
      <c r="G624" s="18">
        <f>'Sampling Data'!F624</f>
        <v>0</v>
      </c>
      <c r="H624" s="18">
        <f>'Sampling Data'!G624</f>
        <v>0</v>
      </c>
      <c r="I624" s="18">
        <f>'Sampling Data'!H624</f>
        <v>0</v>
      </c>
      <c r="J624" s="18">
        <f>'Sampling Data'!I624</f>
        <v>0</v>
      </c>
      <c r="K624" s="18">
        <f>'Sampling Data'!J624</f>
        <v>0</v>
      </c>
      <c r="L624" s="18">
        <f>'Sampling Data'!K624</f>
        <v>0</v>
      </c>
      <c r="M624" s="18">
        <f>'Sampling Data'!L624</f>
        <v>0</v>
      </c>
      <c r="N624" s="18">
        <f>'Sampling Data'!M624</f>
        <v>0</v>
      </c>
      <c r="O624" s="17">
        <f>'Sampling Data'!N624</f>
        <v>0</v>
      </c>
      <c r="P624" s="17">
        <f>'Sampling Data'!O624</f>
        <v>25</v>
      </c>
      <c r="Q624" s="17">
        <f>'Sampling Data'!P624</f>
        <v>343</v>
      </c>
      <c r="R624" s="17">
        <f>'Sampling Data'!AJ624</f>
        <v>0</v>
      </c>
      <c r="S624" s="111"/>
      <c r="T624" s="111"/>
      <c r="U624" s="112"/>
      <c r="V624" s="112"/>
      <c r="W624" s="111"/>
      <c r="X624" s="111"/>
      <c r="Y624" s="111"/>
      <c r="Z624" s="111"/>
      <c r="AA624" s="14"/>
      <c r="AB624" s="14"/>
      <c r="AC624" s="14"/>
      <c r="AD624" s="14"/>
      <c r="AE624" s="113" t="str">
        <f>IF(NOT(ISBLANK(Audit[[#This Row],[Audit Winning Candidate]])), Audit[[#This Row],[Audit Winning Candidate]]-Audit[[#This Row],[Winning Candidate]], "")</f>
        <v/>
      </c>
      <c r="AF624" s="17" t="str">
        <f>IF(NOT(ISBLANK(Audit[[#This Row],[Audit Losing Candidate]])), Audit[[#This Row],[Audit Losing Candidate]]-Audit[[#This Row],[Losing Candidate]], "")</f>
        <v/>
      </c>
      <c r="AG624" s="17" t="str">
        <f>IF(NOT(ISBLANK(Audit[[#This Row],[Audit Candidate 3]])), Audit[[#This Row],[Audit Candidate 3]]-Audit[[#This Row],[Candidate 3]], "")</f>
        <v/>
      </c>
      <c r="AH624" s="17" t="str">
        <f>IF(NOT(ISBLANK(Audit[[#This Row],[Audit Candidate 4]])),Audit[[#This Row],[Audit Candidate 4]]-Audit[[#This Row],[Candidate 4]], "")</f>
        <v/>
      </c>
      <c r="AI624" s="17" t="str">
        <f>IF(NOT(ISBLANK(Audit[[#This Row],[Audit Candidate 5]])), Audit[[#This Row],[Audit Candidate 5]]-Audit[[#This Row],[Candidate 5]], "")</f>
        <v/>
      </c>
      <c r="AJ624" s="17" t="str">
        <f>IF(NOT(ISBLANK(Audit[[#This Row],[Audit Candidate 6]])), Audit[[#This Row],[Audit Candidate 6]]-Audit[[#This Row],[Candidate 6]], "")</f>
        <v/>
      </c>
      <c r="AK624" s="17" t="str">
        <f>IF(NOT(ISBLANK(Audit[[#This Row],[Audit Candidate 7]])), Audit[[#This Row],[Audit Candidate 7]]-Audit[[#This Row],[Candidate 7]], "")</f>
        <v/>
      </c>
      <c r="AL624" s="17" t="str">
        <f>IF(NOT(ISBLANK(Audit[[#This Row],[Audit Candidate 8]])), Audit[[#This Row],[Audit Candidate 8]]-Audit[[#This Row],[Candidate 8]], "")</f>
        <v/>
      </c>
      <c r="AM624" s="17" t="str">
        <f>IF(NOT(ISBLANK(Audit[[#This Row],[Audit Candidate 9]])), Audit[[#This Row],[Audit Candidate 9]]-Audit[[#This Row],[Candidate 9]], "")</f>
        <v/>
      </c>
      <c r="AN624" s="17" t="str">
        <f>IF(NOT(ISBLANK(Audit[[#This Row],[Audit Candidate 10]])), Audit[[#This Row],[Audit Candidate 10]]-Audit[[#This Row],[Candidate 10]], "")</f>
        <v/>
      </c>
      <c r="AO624" s="17" t="str">
        <f>IF(NOT(ISBLANK(Audit[[#This Row],[Audit Candidate 11]])), Audit[[#This Row],[Audit Candidate 11]]-Audit[[#This Row],[Candidate 11]], "")</f>
        <v/>
      </c>
      <c r="AP624" s="17" t="str">
        <f>IF(NOT(ISBLANK(Audit[[#This Row],[Audit Candidate 12]])), Audit[[#This Row],[Audit Candidate 12]]-Audit[[#This Row],[Candidate 12]], "")</f>
        <v/>
      </c>
      <c r="AQ624" s="17">
        <f>SUMIF(Audit[[#This Row],[Difference Winner]:[Difference Candidate 12]], "&gt;0")</f>
        <v>0</v>
      </c>
      <c r="AR624" s="17">
        <f>SUM(Audit[[#This Row],[Difference Winner]:[Difference Candidate 12]])</f>
        <v>0</v>
      </c>
      <c r="AS624" s="17">
        <f>IF(Audit[[#This Row],[Times p Drawn - With Replacement]]&gt;0, IF(Audit[[#This Row],[Canceled Differences]]&lt;0, Audit[[#This Row],[Max Differences]]+ABS(Audit[[#This Row],[Canceled Differences]]), Audit[[#This Row],[Max Differences]]), 0)</f>
        <v>0</v>
      </c>
      <c r="AT624" s="17">
        <f>'Sampling Data'!AB624</f>
        <v>2.5335257171957223E-2</v>
      </c>
      <c r="AU624" s="17">
        <f>IF(
      SUM(Audit[[#This Row],[Audit Losing Candidate]:[Audit Candidate 12]])
      &lt;&gt;0,
      (Audit[[#This Row],[Winning Candidate]]-Audit[[#This Row],[Losing Candidate]]-(Audit[[#This Row],[Audit Winning Candidate]]-Audit[[#This Row],[Audit Losing Candidate]]))/(Audit[[#Totals],[Winning Candidate]]-Audit[[#Totals],[Losing Candidate]]),
      0
)</f>
        <v>0</v>
      </c>
      <c r="AV6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4" s="17">
        <f>IF(Audit[[#This Row],[Max Relative Error (ep)]] = 0, 0, Audit[[#This Row],[Max Relative Error (ep)]]/Audit[[#This Row],[Error Bound (up) - Max. possible relative overstatement]])</f>
        <v>0</v>
      </c>
      <c r="BH6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24" s="17">
        <f t="shared" si="10"/>
        <v>1</v>
      </c>
      <c r="BJ624" s="17">
        <f>PRODUCT($BI$5:BI624)</f>
        <v>0.2820605838008714</v>
      </c>
      <c r="BK624" s="19">
        <f>1 - Audit[[#This Row],[K-M P Value]]</f>
        <v>0.7179394161991286</v>
      </c>
      <c r="BL624" s="17" t="str">
        <f>IF(Audit[[#This Row],[K-M P Value]]&gt;1-'General Info'!$B$12,"Continue", "Stop")</f>
        <v>Continue</v>
      </c>
      <c r="BM624" s="22" t="b">
        <f>IF(Audit[[#This Row],[Status - Continue or stop audit]] = "Continue", TRUE, IF(BL623 = "Continue", TRUE, FALSE))</f>
        <v>1</v>
      </c>
      <c r="BN624" s="22"/>
    </row>
    <row r="625" spans="1:66" ht="15" hidden="1" customHeight="1" x14ac:dyDescent="0.35">
      <c r="A625" s="17" t="str">
        <f>'Sampling Data'!AI625</f>
        <v/>
      </c>
      <c r="B625" s="17" t="str">
        <f>'Sampling Data'!A625</f>
        <v>0708 CIN 7-H   (ED)</v>
      </c>
      <c r="C625" s="17">
        <f>'Sampling Data'!B625</f>
        <v>278</v>
      </c>
      <c r="D625" s="17">
        <f>'Sampling Data'!C625</f>
        <v>29</v>
      </c>
      <c r="E625" s="18">
        <f>'Sampling Data'!D625</f>
        <v>0</v>
      </c>
      <c r="F625" s="18">
        <f>'Sampling Data'!E625</f>
        <v>0</v>
      </c>
      <c r="G625" s="18">
        <f>'Sampling Data'!F625</f>
        <v>0</v>
      </c>
      <c r="H625" s="18">
        <f>'Sampling Data'!G625</f>
        <v>0</v>
      </c>
      <c r="I625" s="18">
        <f>'Sampling Data'!H625</f>
        <v>0</v>
      </c>
      <c r="J625" s="18">
        <f>'Sampling Data'!I625</f>
        <v>0</v>
      </c>
      <c r="K625" s="18">
        <f>'Sampling Data'!J625</f>
        <v>0</v>
      </c>
      <c r="L625" s="18">
        <f>'Sampling Data'!K625</f>
        <v>0</v>
      </c>
      <c r="M625" s="18">
        <f>'Sampling Data'!L625</f>
        <v>0</v>
      </c>
      <c r="N625" s="18">
        <f>'Sampling Data'!M625</f>
        <v>0</v>
      </c>
      <c r="O625" s="17">
        <f>'Sampling Data'!N625</f>
        <v>1</v>
      </c>
      <c r="P625" s="17">
        <f>'Sampling Data'!O625</f>
        <v>23</v>
      </c>
      <c r="Q625" s="17">
        <f>'Sampling Data'!P625</f>
        <v>331</v>
      </c>
      <c r="R625" s="17">
        <f>'Sampling Data'!AJ625</f>
        <v>0</v>
      </c>
      <c r="S625" s="111"/>
      <c r="T625" s="111"/>
      <c r="U625" s="112"/>
      <c r="V625" s="112"/>
      <c r="W625" s="111"/>
      <c r="X625" s="111"/>
      <c r="Y625" s="111"/>
      <c r="Z625" s="111"/>
      <c r="AA625" s="14"/>
      <c r="AB625" s="14"/>
      <c r="AC625" s="14"/>
      <c r="AD625" s="14"/>
      <c r="AE625" s="113" t="str">
        <f>IF(NOT(ISBLANK(Audit[[#This Row],[Audit Winning Candidate]])), Audit[[#This Row],[Audit Winning Candidate]]-Audit[[#This Row],[Winning Candidate]], "")</f>
        <v/>
      </c>
      <c r="AF625" s="17" t="str">
        <f>IF(NOT(ISBLANK(Audit[[#This Row],[Audit Losing Candidate]])), Audit[[#This Row],[Audit Losing Candidate]]-Audit[[#This Row],[Losing Candidate]], "")</f>
        <v/>
      </c>
      <c r="AG625" s="17" t="str">
        <f>IF(NOT(ISBLANK(Audit[[#This Row],[Audit Candidate 3]])), Audit[[#This Row],[Audit Candidate 3]]-Audit[[#This Row],[Candidate 3]], "")</f>
        <v/>
      </c>
      <c r="AH625" s="17" t="str">
        <f>IF(NOT(ISBLANK(Audit[[#This Row],[Audit Candidate 4]])),Audit[[#This Row],[Audit Candidate 4]]-Audit[[#This Row],[Candidate 4]], "")</f>
        <v/>
      </c>
      <c r="AI625" s="17" t="str">
        <f>IF(NOT(ISBLANK(Audit[[#This Row],[Audit Candidate 5]])), Audit[[#This Row],[Audit Candidate 5]]-Audit[[#This Row],[Candidate 5]], "")</f>
        <v/>
      </c>
      <c r="AJ625" s="17" t="str">
        <f>IF(NOT(ISBLANK(Audit[[#This Row],[Audit Candidate 6]])), Audit[[#This Row],[Audit Candidate 6]]-Audit[[#This Row],[Candidate 6]], "")</f>
        <v/>
      </c>
      <c r="AK625" s="17" t="str">
        <f>IF(NOT(ISBLANK(Audit[[#This Row],[Audit Candidate 7]])), Audit[[#This Row],[Audit Candidate 7]]-Audit[[#This Row],[Candidate 7]], "")</f>
        <v/>
      </c>
      <c r="AL625" s="17" t="str">
        <f>IF(NOT(ISBLANK(Audit[[#This Row],[Audit Candidate 8]])), Audit[[#This Row],[Audit Candidate 8]]-Audit[[#This Row],[Candidate 8]], "")</f>
        <v/>
      </c>
      <c r="AM625" s="17" t="str">
        <f>IF(NOT(ISBLANK(Audit[[#This Row],[Audit Candidate 9]])), Audit[[#This Row],[Audit Candidate 9]]-Audit[[#This Row],[Candidate 9]], "")</f>
        <v/>
      </c>
      <c r="AN625" s="17" t="str">
        <f>IF(NOT(ISBLANK(Audit[[#This Row],[Audit Candidate 10]])), Audit[[#This Row],[Audit Candidate 10]]-Audit[[#This Row],[Candidate 10]], "")</f>
        <v/>
      </c>
      <c r="AO625" s="17" t="str">
        <f>IF(NOT(ISBLANK(Audit[[#This Row],[Audit Candidate 11]])), Audit[[#This Row],[Audit Candidate 11]]-Audit[[#This Row],[Candidate 11]], "")</f>
        <v/>
      </c>
      <c r="AP625" s="17" t="str">
        <f>IF(NOT(ISBLANK(Audit[[#This Row],[Audit Candidate 12]])), Audit[[#This Row],[Audit Candidate 12]]-Audit[[#This Row],[Candidate 12]], "")</f>
        <v/>
      </c>
      <c r="AQ625" s="17">
        <f>SUMIF(Audit[[#This Row],[Difference Winner]:[Difference Candidate 12]], "&gt;0")</f>
        <v>0</v>
      </c>
      <c r="AR625" s="17">
        <f>SUM(Audit[[#This Row],[Difference Winner]:[Difference Candidate 12]])</f>
        <v>0</v>
      </c>
      <c r="AS625" s="17">
        <f>IF(Audit[[#This Row],[Times p Drawn - With Replacement]]&gt;0, IF(Audit[[#This Row],[Canceled Differences]]&lt;0, Audit[[#This Row],[Max Differences]]+ABS(Audit[[#This Row],[Canceled Differences]]), Audit[[#This Row],[Max Differences]]), 0)</f>
        <v>0</v>
      </c>
      <c r="AT625" s="17">
        <f>'Sampling Data'!AB625</f>
        <v>2.461381768799864E-2</v>
      </c>
      <c r="AU625" s="17">
        <f>IF(
      SUM(Audit[[#This Row],[Audit Losing Candidate]:[Audit Candidate 12]])
      &lt;&gt;0,
      (Audit[[#This Row],[Winning Candidate]]-Audit[[#This Row],[Losing Candidate]]-(Audit[[#This Row],[Audit Winning Candidate]]-Audit[[#This Row],[Audit Losing Candidate]]))/(Audit[[#Totals],[Winning Candidate]]-Audit[[#Totals],[Losing Candidate]]),
      0
)</f>
        <v>0</v>
      </c>
      <c r="AV6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5" s="17">
        <f>IF(Audit[[#This Row],[Max Relative Error (ep)]] = 0, 0, Audit[[#This Row],[Max Relative Error (ep)]]/Audit[[#This Row],[Error Bound (up) - Max. possible relative overstatement]])</f>
        <v>0</v>
      </c>
      <c r="BH6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25" s="17">
        <f t="shared" si="10"/>
        <v>1</v>
      </c>
      <c r="BJ625" s="17">
        <f>PRODUCT($BI$5:BI625)</f>
        <v>0.2820605838008714</v>
      </c>
      <c r="BK625" s="19">
        <f>1 - Audit[[#This Row],[K-M P Value]]</f>
        <v>0.7179394161991286</v>
      </c>
      <c r="BL625" s="17" t="str">
        <f>IF(Audit[[#This Row],[K-M P Value]]&gt;1-'General Info'!$B$12,"Continue", "Stop")</f>
        <v>Continue</v>
      </c>
      <c r="BM625" s="22" t="b">
        <f>IF(Audit[[#This Row],[Status - Continue or stop audit]] = "Continue", TRUE, IF(BL624 = "Continue", TRUE, FALSE))</f>
        <v>1</v>
      </c>
      <c r="BN625" s="22"/>
    </row>
    <row r="626" spans="1:66" ht="15" hidden="1" customHeight="1" x14ac:dyDescent="0.35">
      <c r="A626" s="17" t="str">
        <f>'Sampling Data'!AI626</f>
        <v/>
      </c>
      <c r="B626" s="17" t="str">
        <f>'Sampling Data'!A626</f>
        <v>0709 CIN 7-I   (ED)</v>
      </c>
      <c r="C626" s="17">
        <f>'Sampling Data'!B626</f>
        <v>259</v>
      </c>
      <c r="D626" s="17">
        <f>'Sampling Data'!C626</f>
        <v>37</v>
      </c>
      <c r="E626" s="18">
        <f>'Sampling Data'!D626</f>
        <v>0</v>
      </c>
      <c r="F626" s="18">
        <f>'Sampling Data'!E626</f>
        <v>0</v>
      </c>
      <c r="G626" s="18">
        <f>'Sampling Data'!F626</f>
        <v>0</v>
      </c>
      <c r="H626" s="18">
        <f>'Sampling Data'!G626</f>
        <v>0</v>
      </c>
      <c r="I626" s="18">
        <f>'Sampling Data'!H626</f>
        <v>0</v>
      </c>
      <c r="J626" s="18">
        <f>'Sampling Data'!I626</f>
        <v>0</v>
      </c>
      <c r="K626" s="18">
        <f>'Sampling Data'!J626</f>
        <v>0</v>
      </c>
      <c r="L626" s="18">
        <f>'Sampling Data'!K626</f>
        <v>0</v>
      </c>
      <c r="M626" s="18">
        <f>'Sampling Data'!L626</f>
        <v>0</v>
      </c>
      <c r="N626" s="18">
        <f>'Sampling Data'!M626</f>
        <v>0</v>
      </c>
      <c r="O626" s="17">
        <f>'Sampling Data'!N626</f>
        <v>0</v>
      </c>
      <c r="P626" s="17">
        <f>'Sampling Data'!O626</f>
        <v>20</v>
      </c>
      <c r="Q626" s="17">
        <f>'Sampling Data'!P626</f>
        <v>316</v>
      </c>
      <c r="R626" s="17">
        <f>'Sampling Data'!AJ626</f>
        <v>0</v>
      </c>
      <c r="S626" s="111"/>
      <c r="T626" s="111"/>
      <c r="U626" s="112"/>
      <c r="V626" s="112"/>
      <c r="W626" s="111"/>
      <c r="X626" s="111"/>
      <c r="Y626" s="111"/>
      <c r="Z626" s="111"/>
      <c r="AA626" s="14"/>
      <c r="AB626" s="14"/>
      <c r="AC626" s="14"/>
      <c r="AD626" s="14"/>
      <c r="AE626" s="113" t="str">
        <f>IF(NOT(ISBLANK(Audit[[#This Row],[Audit Winning Candidate]])), Audit[[#This Row],[Audit Winning Candidate]]-Audit[[#This Row],[Winning Candidate]], "")</f>
        <v/>
      </c>
      <c r="AF626" s="17" t="str">
        <f>IF(NOT(ISBLANK(Audit[[#This Row],[Audit Losing Candidate]])), Audit[[#This Row],[Audit Losing Candidate]]-Audit[[#This Row],[Losing Candidate]], "")</f>
        <v/>
      </c>
      <c r="AG626" s="17" t="str">
        <f>IF(NOT(ISBLANK(Audit[[#This Row],[Audit Candidate 3]])), Audit[[#This Row],[Audit Candidate 3]]-Audit[[#This Row],[Candidate 3]], "")</f>
        <v/>
      </c>
      <c r="AH626" s="17" t="str">
        <f>IF(NOT(ISBLANK(Audit[[#This Row],[Audit Candidate 4]])),Audit[[#This Row],[Audit Candidate 4]]-Audit[[#This Row],[Candidate 4]], "")</f>
        <v/>
      </c>
      <c r="AI626" s="17" t="str">
        <f>IF(NOT(ISBLANK(Audit[[#This Row],[Audit Candidate 5]])), Audit[[#This Row],[Audit Candidate 5]]-Audit[[#This Row],[Candidate 5]], "")</f>
        <v/>
      </c>
      <c r="AJ626" s="17" t="str">
        <f>IF(NOT(ISBLANK(Audit[[#This Row],[Audit Candidate 6]])), Audit[[#This Row],[Audit Candidate 6]]-Audit[[#This Row],[Candidate 6]], "")</f>
        <v/>
      </c>
      <c r="AK626" s="17" t="str">
        <f>IF(NOT(ISBLANK(Audit[[#This Row],[Audit Candidate 7]])), Audit[[#This Row],[Audit Candidate 7]]-Audit[[#This Row],[Candidate 7]], "")</f>
        <v/>
      </c>
      <c r="AL626" s="17" t="str">
        <f>IF(NOT(ISBLANK(Audit[[#This Row],[Audit Candidate 8]])), Audit[[#This Row],[Audit Candidate 8]]-Audit[[#This Row],[Candidate 8]], "")</f>
        <v/>
      </c>
      <c r="AM626" s="17" t="str">
        <f>IF(NOT(ISBLANK(Audit[[#This Row],[Audit Candidate 9]])), Audit[[#This Row],[Audit Candidate 9]]-Audit[[#This Row],[Candidate 9]], "")</f>
        <v/>
      </c>
      <c r="AN626" s="17" t="str">
        <f>IF(NOT(ISBLANK(Audit[[#This Row],[Audit Candidate 10]])), Audit[[#This Row],[Audit Candidate 10]]-Audit[[#This Row],[Candidate 10]], "")</f>
        <v/>
      </c>
      <c r="AO626" s="17" t="str">
        <f>IF(NOT(ISBLANK(Audit[[#This Row],[Audit Candidate 11]])), Audit[[#This Row],[Audit Candidate 11]]-Audit[[#This Row],[Candidate 11]], "")</f>
        <v/>
      </c>
      <c r="AP626" s="17" t="str">
        <f>IF(NOT(ISBLANK(Audit[[#This Row],[Audit Candidate 12]])), Audit[[#This Row],[Audit Candidate 12]]-Audit[[#This Row],[Candidate 12]], "")</f>
        <v/>
      </c>
      <c r="AQ626" s="17">
        <f>SUMIF(Audit[[#This Row],[Difference Winner]:[Difference Candidate 12]], "&gt;0")</f>
        <v>0</v>
      </c>
      <c r="AR626" s="17">
        <f>SUM(Audit[[#This Row],[Difference Winner]:[Difference Candidate 12]])</f>
        <v>0</v>
      </c>
      <c r="AS626" s="17">
        <f>IF(Audit[[#This Row],[Times p Drawn - With Replacement]]&gt;0, IF(Audit[[#This Row],[Canceled Differences]]&lt;0, Audit[[#This Row],[Max Differences]]+ABS(Audit[[#This Row],[Canceled Differences]]), Audit[[#This Row],[Max Differences]]), 0)</f>
        <v>0</v>
      </c>
      <c r="AT626" s="17">
        <f>'Sampling Data'!AB626</f>
        <v>2.2831437786453912E-2</v>
      </c>
      <c r="AU626" s="17">
        <f>IF(
      SUM(Audit[[#This Row],[Audit Losing Candidate]:[Audit Candidate 12]])
      &lt;&gt;0,
      (Audit[[#This Row],[Winning Candidate]]-Audit[[#This Row],[Losing Candidate]]-(Audit[[#This Row],[Audit Winning Candidate]]-Audit[[#This Row],[Audit Losing Candidate]]))/(Audit[[#Totals],[Winning Candidate]]-Audit[[#Totals],[Losing Candidate]]),
      0
)</f>
        <v>0</v>
      </c>
      <c r="AV6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6" s="17">
        <f>IF(Audit[[#This Row],[Max Relative Error (ep)]] = 0, 0, Audit[[#This Row],[Max Relative Error (ep)]]/Audit[[#This Row],[Error Bound (up) - Max. possible relative overstatement]])</f>
        <v>0</v>
      </c>
      <c r="BH6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26" s="17">
        <f t="shared" si="10"/>
        <v>1</v>
      </c>
      <c r="BJ626" s="17">
        <f>PRODUCT($BI$5:BI626)</f>
        <v>0.2820605838008714</v>
      </c>
      <c r="BK626" s="19">
        <f>1 - Audit[[#This Row],[K-M P Value]]</f>
        <v>0.7179394161991286</v>
      </c>
      <c r="BL626" s="17" t="str">
        <f>IF(Audit[[#This Row],[K-M P Value]]&gt;1-'General Info'!$B$12,"Continue", "Stop")</f>
        <v>Continue</v>
      </c>
      <c r="BM626" s="22" t="b">
        <f>IF(Audit[[#This Row],[Status - Continue or stop audit]] = "Continue", TRUE, IF(BL625 = "Continue", TRUE, FALSE))</f>
        <v>1</v>
      </c>
      <c r="BN626" s="22"/>
    </row>
    <row r="627" spans="1:66" ht="15" hidden="1" customHeight="1" x14ac:dyDescent="0.35">
      <c r="A627" s="17" t="str">
        <f>'Sampling Data'!AI627</f>
        <v/>
      </c>
      <c r="B627" s="17" t="str">
        <f>'Sampling Data'!A627</f>
        <v>0710 CIN 7-J   (ED)</v>
      </c>
      <c r="C627" s="17">
        <f>'Sampling Data'!B627</f>
        <v>94</v>
      </c>
      <c r="D627" s="17">
        <f>'Sampling Data'!C627</f>
        <v>5</v>
      </c>
      <c r="E627" s="18">
        <f>'Sampling Data'!D627</f>
        <v>0</v>
      </c>
      <c r="F627" s="18">
        <f>'Sampling Data'!E627</f>
        <v>0</v>
      </c>
      <c r="G627" s="18">
        <f>'Sampling Data'!F627</f>
        <v>0</v>
      </c>
      <c r="H627" s="18">
        <f>'Sampling Data'!G627</f>
        <v>0</v>
      </c>
      <c r="I627" s="18">
        <f>'Sampling Data'!H627</f>
        <v>0</v>
      </c>
      <c r="J627" s="18">
        <f>'Sampling Data'!I627</f>
        <v>0</v>
      </c>
      <c r="K627" s="18">
        <f>'Sampling Data'!J627</f>
        <v>0</v>
      </c>
      <c r="L627" s="18">
        <f>'Sampling Data'!K627</f>
        <v>0</v>
      </c>
      <c r="M627" s="18">
        <f>'Sampling Data'!L627</f>
        <v>0</v>
      </c>
      <c r="N627" s="18">
        <f>'Sampling Data'!M627</f>
        <v>0</v>
      </c>
      <c r="O627" s="17">
        <f>'Sampling Data'!N627</f>
        <v>0</v>
      </c>
      <c r="P627" s="17">
        <f>'Sampling Data'!O627</f>
        <v>13</v>
      </c>
      <c r="Q627" s="17">
        <f>'Sampling Data'!P627</f>
        <v>112</v>
      </c>
      <c r="R627" s="17">
        <f>'Sampling Data'!AJ627</f>
        <v>0</v>
      </c>
      <c r="S627" s="111"/>
      <c r="T627" s="111"/>
      <c r="U627" s="112"/>
      <c r="V627" s="112"/>
      <c r="W627" s="111"/>
      <c r="X627" s="111"/>
      <c r="Y627" s="111"/>
      <c r="Z627" s="111"/>
      <c r="AA627" s="14"/>
      <c r="AB627" s="14"/>
      <c r="AC627" s="14"/>
      <c r="AD627" s="14"/>
      <c r="AE627" s="113" t="str">
        <f>IF(NOT(ISBLANK(Audit[[#This Row],[Audit Winning Candidate]])), Audit[[#This Row],[Audit Winning Candidate]]-Audit[[#This Row],[Winning Candidate]], "")</f>
        <v/>
      </c>
      <c r="AF627" s="17" t="str">
        <f>IF(NOT(ISBLANK(Audit[[#This Row],[Audit Losing Candidate]])), Audit[[#This Row],[Audit Losing Candidate]]-Audit[[#This Row],[Losing Candidate]], "")</f>
        <v/>
      </c>
      <c r="AG627" s="17" t="str">
        <f>IF(NOT(ISBLANK(Audit[[#This Row],[Audit Candidate 3]])), Audit[[#This Row],[Audit Candidate 3]]-Audit[[#This Row],[Candidate 3]], "")</f>
        <v/>
      </c>
      <c r="AH627" s="17" t="str">
        <f>IF(NOT(ISBLANK(Audit[[#This Row],[Audit Candidate 4]])),Audit[[#This Row],[Audit Candidate 4]]-Audit[[#This Row],[Candidate 4]], "")</f>
        <v/>
      </c>
      <c r="AI627" s="17" t="str">
        <f>IF(NOT(ISBLANK(Audit[[#This Row],[Audit Candidate 5]])), Audit[[#This Row],[Audit Candidate 5]]-Audit[[#This Row],[Candidate 5]], "")</f>
        <v/>
      </c>
      <c r="AJ627" s="17" t="str">
        <f>IF(NOT(ISBLANK(Audit[[#This Row],[Audit Candidate 6]])), Audit[[#This Row],[Audit Candidate 6]]-Audit[[#This Row],[Candidate 6]], "")</f>
        <v/>
      </c>
      <c r="AK627" s="17" t="str">
        <f>IF(NOT(ISBLANK(Audit[[#This Row],[Audit Candidate 7]])), Audit[[#This Row],[Audit Candidate 7]]-Audit[[#This Row],[Candidate 7]], "")</f>
        <v/>
      </c>
      <c r="AL627" s="17" t="str">
        <f>IF(NOT(ISBLANK(Audit[[#This Row],[Audit Candidate 8]])), Audit[[#This Row],[Audit Candidate 8]]-Audit[[#This Row],[Candidate 8]], "")</f>
        <v/>
      </c>
      <c r="AM627" s="17" t="str">
        <f>IF(NOT(ISBLANK(Audit[[#This Row],[Audit Candidate 9]])), Audit[[#This Row],[Audit Candidate 9]]-Audit[[#This Row],[Candidate 9]], "")</f>
        <v/>
      </c>
      <c r="AN627" s="17" t="str">
        <f>IF(NOT(ISBLANK(Audit[[#This Row],[Audit Candidate 10]])), Audit[[#This Row],[Audit Candidate 10]]-Audit[[#This Row],[Candidate 10]], "")</f>
        <v/>
      </c>
      <c r="AO627" s="17" t="str">
        <f>IF(NOT(ISBLANK(Audit[[#This Row],[Audit Candidate 11]])), Audit[[#This Row],[Audit Candidate 11]]-Audit[[#This Row],[Candidate 11]], "")</f>
        <v/>
      </c>
      <c r="AP627" s="17" t="str">
        <f>IF(NOT(ISBLANK(Audit[[#This Row],[Audit Candidate 12]])), Audit[[#This Row],[Audit Candidate 12]]-Audit[[#This Row],[Candidate 12]], "")</f>
        <v/>
      </c>
      <c r="AQ627" s="17">
        <f>SUMIF(Audit[[#This Row],[Difference Winner]:[Difference Candidate 12]], "&gt;0")</f>
        <v>0</v>
      </c>
      <c r="AR627" s="17">
        <f>SUM(Audit[[#This Row],[Difference Winner]:[Difference Candidate 12]])</f>
        <v>0</v>
      </c>
      <c r="AS627" s="17">
        <f>IF(Audit[[#This Row],[Times p Drawn - With Replacement]]&gt;0, IF(Audit[[#This Row],[Canceled Differences]]&lt;0, Audit[[#This Row],[Max Differences]]+ABS(Audit[[#This Row],[Canceled Differences]]), Audit[[#This Row],[Max Differences]]), 0)</f>
        <v>0</v>
      </c>
      <c r="AT627" s="17">
        <f>'Sampling Data'!AB627</f>
        <v>8.5299609573926335E-3</v>
      </c>
      <c r="AU627" s="17">
        <f>IF(
      SUM(Audit[[#This Row],[Audit Losing Candidate]:[Audit Candidate 12]])
      &lt;&gt;0,
      (Audit[[#This Row],[Winning Candidate]]-Audit[[#This Row],[Losing Candidate]]-(Audit[[#This Row],[Audit Winning Candidate]]-Audit[[#This Row],[Audit Losing Candidate]]))/(Audit[[#Totals],[Winning Candidate]]-Audit[[#Totals],[Losing Candidate]]),
      0
)</f>
        <v>0</v>
      </c>
      <c r="AV6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7" s="17">
        <f>IF(Audit[[#This Row],[Max Relative Error (ep)]] = 0, 0, Audit[[#This Row],[Max Relative Error (ep)]]/Audit[[#This Row],[Error Bound (up) - Max. possible relative overstatement]])</f>
        <v>0</v>
      </c>
      <c r="BH6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27" s="17">
        <f t="shared" si="10"/>
        <v>1</v>
      </c>
      <c r="BJ627" s="17">
        <f>PRODUCT($BI$5:BI627)</f>
        <v>0.2820605838008714</v>
      </c>
      <c r="BK627" s="19">
        <f>1 - Audit[[#This Row],[K-M P Value]]</f>
        <v>0.7179394161991286</v>
      </c>
      <c r="BL627" s="17" t="str">
        <f>IF(Audit[[#This Row],[K-M P Value]]&gt;1-'General Info'!$B$12,"Continue", "Stop")</f>
        <v>Continue</v>
      </c>
      <c r="BM627" s="22" t="b">
        <f>IF(Audit[[#This Row],[Status - Continue or stop audit]] = "Continue", TRUE, IF(BL626 = "Continue", TRUE, FALSE))</f>
        <v>1</v>
      </c>
      <c r="BN627" s="22"/>
    </row>
    <row r="628" spans="1:66" ht="15" hidden="1" customHeight="1" x14ac:dyDescent="0.35">
      <c r="A628" s="17" t="str">
        <f>'Sampling Data'!AI628</f>
        <v/>
      </c>
      <c r="B628" s="17" t="str">
        <f>'Sampling Data'!A628</f>
        <v>0711 CIN 7-K   (ED)</v>
      </c>
      <c r="C628" s="17">
        <f>'Sampling Data'!B628</f>
        <v>274</v>
      </c>
      <c r="D628" s="17">
        <f>'Sampling Data'!C628</f>
        <v>33</v>
      </c>
      <c r="E628" s="18">
        <f>'Sampling Data'!D628</f>
        <v>0</v>
      </c>
      <c r="F628" s="18">
        <f>'Sampling Data'!E628</f>
        <v>0</v>
      </c>
      <c r="G628" s="18">
        <f>'Sampling Data'!F628</f>
        <v>0</v>
      </c>
      <c r="H628" s="18">
        <f>'Sampling Data'!G628</f>
        <v>0</v>
      </c>
      <c r="I628" s="18">
        <f>'Sampling Data'!H628</f>
        <v>0</v>
      </c>
      <c r="J628" s="18">
        <f>'Sampling Data'!I628</f>
        <v>0</v>
      </c>
      <c r="K628" s="18">
        <f>'Sampling Data'!J628</f>
        <v>0</v>
      </c>
      <c r="L628" s="18">
        <f>'Sampling Data'!K628</f>
        <v>0</v>
      </c>
      <c r="M628" s="18">
        <f>'Sampling Data'!L628</f>
        <v>0</v>
      </c>
      <c r="N628" s="18">
        <f>'Sampling Data'!M628</f>
        <v>0</v>
      </c>
      <c r="O628" s="17">
        <f>'Sampling Data'!N628</f>
        <v>0</v>
      </c>
      <c r="P628" s="17">
        <f>'Sampling Data'!O628</f>
        <v>19</v>
      </c>
      <c r="Q628" s="17">
        <f>'Sampling Data'!P628</f>
        <v>326</v>
      </c>
      <c r="R628" s="17">
        <f>'Sampling Data'!AJ628</f>
        <v>0</v>
      </c>
      <c r="S628" s="111"/>
      <c r="T628" s="111"/>
      <c r="U628" s="112"/>
      <c r="V628" s="112"/>
      <c r="W628" s="111"/>
      <c r="X628" s="111"/>
      <c r="Y628" s="111"/>
      <c r="Z628" s="111"/>
      <c r="AA628" s="14"/>
      <c r="AB628" s="14"/>
      <c r="AC628" s="14"/>
      <c r="AD628" s="14"/>
      <c r="AE628" s="113" t="str">
        <f>IF(NOT(ISBLANK(Audit[[#This Row],[Audit Winning Candidate]])), Audit[[#This Row],[Audit Winning Candidate]]-Audit[[#This Row],[Winning Candidate]], "")</f>
        <v/>
      </c>
      <c r="AF628" s="17" t="str">
        <f>IF(NOT(ISBLANK(Audit[[#This Row],[Audit Losing Candidate]])), Audit[[#This Row],[Audit Losing Candidate]]-Audit[[#This Row],[Losing Candidate]], "")</f>
        <v/>
      </c>
      <c r="AG628" s="17" t="str">
        <f>IF(NOT(ISBLANK(Audit[[#This Row],[Audit Candidate 3]])), Audit[[#This Row],[Audit Candidate 3]]-Audit[[#This Row],[Candidate 3]], "")</f>
        <v/>
      </c>
      <c r="AH628" s="17" t="str">
        <f>IF(NOT(ISBLANK(Audit[[#This Row],[Audit Candidate 4]])),Audit[[#This Row],[Audit Candidate 4]]-Audit[[#This Row],[Candidate 4]], "")</f>
        <v/>
      </c>
      <c r="AI628" s="17" t="str">
        <f>IF(NOT(ISBLANK(Audit[[#This Row],[Audit Candidate 5]])), Audit[[#This Row],[Audit Candidate 5]]-Audit[[#This Row],[Candidate 5]], "")</f>
        <v/>
      </c>
      <c r="AJ628" s="17" t="str">
        <f>IF(NOT(ISBLANK(Audit[[#This Row],[Audit Candidate 6]])), Audit[[#This Row],[Audit Candidate 6]]-Audit[[#This Row],[Candidate 6]], "")</f>
        <v/>
      </c>
      <c r="AK628" s="17" t="str">
        <f>IF(NOT(ISBLANK(Audit[[#This Row],[Audit Candidate 7]])), Audit[[#This Row],[Audit Candidate 7]]-Audit[[#This Row],[Candidate 7]], "")</f>
        <v/>
      </c>
      <c r="AL628" s="17" t="str">
        <f>IF(NOT(ISBLANK(Audit[[#This Row],[Audit Candidate 8]])), Audit[[#This Row],[Audit Candidate 8]]-Audit[[#This Row],[Candidate 8]], "")</f>
        <v/>
      </c>
      <c r="AM628" s="17" t="str">
        <f>IF(NOT(ISBLANK(Audit[[#This Row],[Audit Candidate 9]])), Audit[[#This Row],[Audit Candidate 9]]-Audit[[#This Row],[Candidate 9]], "")</f>
        <v/>
      </c>
      <c r="AN628" s="17" t="str">
        <f>IF(NOT(ISBLANK(Audit[[#This Row],[Audit Candidate 10]])), Audit[[#This Row],[Audit Candidate 10]]-Audit[[#This Row],[Candidate 10]], "")</f>
        <v/>
      </c>
      <c r="AO628" s="17" t="str">
        <f>IF(NOT(ISBLANK(Audit[[#This Row],[Audit Candidate 11]])), Audit[[#This Row],[Audit Candidate 11]]-Audit[[#This Row],[Candidate 11]], "")</f>
        <v/>
      </c>
      <c r="AP628" s="17" t="str">
        <f>IF(NOT(ISBLANK(Audit[[#This Row],[Audit Candidate 12]])), Audit[[#This Row],[Audit Candidate 12]]-Audit[[#This Row],[Candidate 12]], "")</f>
        <v/>
      </c>
      <c r="AQ628" s="17">
        <f>SUMIF(Audit[[#This Row],[Difference Winner]:[Difference Candidate 12]], "&gt;0")</f>
        <v>0</v>
      </c>
      <c r="AR628" s="17">
        <f>SUM(Audit[[#This Row],[Difference Winner]:[Difference Candidate 12]])</f>
        <v>0</v>
      </c>
      <c r="AS628" s="17">
        <f>IF(Audit[[#This Row],[Times p Drawn - With Replacement]]&gt;0, IF(Audit[[#This Row],[Canceled Differences]]&lt;0, Audit[[#This Row],[Max Differences]]+ABS(Audit[[#This Row],[Canceled Differences]]), Audit[[#This Row],[Max Differences]]), 0)</f>
        <v>0</v>
      </c>
      <c r="AT628" s="17">
        <f>'Sampling Data'!AB628</f>
        <v>2.4062128670853843E-2</v>
      </c>
      <c r="AU628" s="17">
        <f>IF(
      SUM(Audit[[#This Row],[Audit Losing Candidate]:[Audit Candidate 12]])
      &lt;&gt;0,
      (Audit[[#This Row],[Winning Candidate]]-Audit[[#This Row],[Losing Candidate]]-(Audit[[#This Row],[Audit Winning Candidate]]-Audit[[#This Row],[Audit Losing Candidate]]))/(Audit[[#Totals],[Winning Candidate]]-Audit[[#Totals],[Losing Candidate]]),
      0
)</f>
        <v>0</v>
      </c>
      <c r="AV6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8" s="17">
        <f>IF(Audit[[#This Row],[Max Relative Error (ep)]] = 0, 0, Audit[[#This Row],[Max Relative Error (ep)]]/Audit[[#This Row],[Error Bound (up) - Max. possible relative overstatement]])</f>
        <v>0</v>
      </c>
      <c r="BH6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28" s="17">
        <f t="shared" si="10"/>
        <v>1</v>
      </c>
      <c r="BJ628" s="17">
        <f>PRODUCT($BI$5:BI628)</f>
        <v>0.2820605838008714</v>
      </c>
      <c r="BK628" s="19">
        <f>1 - Audit[[#This Row],[K-M P Value]]</f>
        <v>0.7179394161991286</v>
      </c>
      <c r="BL628" s="17" t="str">
        <f>IF(Audit[[#This Row],[K-M P Value]]&gt;1-'General Info'!$B$12,"Continue", "Stop")</f>
        <v>Continue</v>
      </c>
      <c r="BM628" s="22" t="b">
        <f>IF(Audit[[#This Row],[Status - Continue or stop audit]] = "Continue", TRUE, IF(BL627 = "Continue", TRUE, FALSE))</f>
        <v>1</v>
      </c>
      <c r="BN628" s="22"/>
    </row>
    <row r="629" spans="1:66" ht="15" hidden="1" customHeight="1" x14ac:dyDescent="0.35">
      <c r="A629" s="17" t="str">
        <f>'Sampling Data'!AI629</f>
        <v/>
      </c>
      <c r="B629" s="17" t="str">
        <f>'Sampling Data'!A629</f>
        <v>0801 CIN 8-A   (ED)</v>
      </c>
      <c r="C629" s="17">
        <f>'Sampling Data'!B629</f>
        <v>287</v>
      </c>
      <c r="D629" s="17">
        <f>'Sampling Data'!C629</f>
        <v>57</v>
      </c>
      <c r="E629" s="18">
        <f>'Sampling Data'!D629</f>
        <v>0</v>
      </c>
      <c r="F629" s="18">
        <f>'Sampling Data'!E629</f>
        <v>0</v>
      </c>
      <c r="G629" s="18">
        <f>'Sampling Data'!F629</f>
        <v>0</v>
      </c>
      <c r="H629" s="18">
        <f>'Sampling Data'!G629</f>
        <v>0</v>
      </c>
      <c r="I629" s="18">
        <f>'Sampling Data'!H629</f>
        <v>0</v>
      </c>
      <c r="J629" s="18">
        <f>'Sampling Data'!I629</f>
        <v>0</v>
      </c>
      <c r="K629" s="18">
        <f>'Sampling Data'!J629</f>
        <v>0</v>
      </c>
      <c r="L629" s="18">
        <f>'Sampling Data'!K629</f>
        <v>0</v>
      </c>
      <c r="M629" s="18">
        <f>'Sampling Data'!L629</f>
        <v>0</v>
      </c>
      <c r="N629" s="18">
        <f>'Sampling Data'!M629</f>
        <v>0</v>
      </c>
      <c r="O629" s="17">
        <f>'Sampling Data'!N629</f>
        <v>0</v>
      </c>
      <c r="P629" s="17">
        <f>'Sampling Data'!O629</f>
        <v>25</v>
      </c>
      <c r="Q629" s="17">
        <f>'Sampling Data'!P629</f>
        <v>369</v>
      </c>
      <c r="R629" s="17">
        <f>'Sampling Data'!AJ629</f>
        <v>0</v>
      </c>
      <c r="S629" s="111"/>
      <c r="T629" s="111"/>
      <c r="U629" s="112"/>
      <c r="V629" s="112"/>
      <c r="W629" s="111"/>
      <c r="X629" s="111"/>
      <c r="Y629" s="111"/>
      <c r="Z629" s="111"/>
      <c r="AA629" s="14"/>
      <c r="AB629" s="14"/>
      <c r="AC629" s="14"/>
      <c r="AD629" s="14"/>
      <c r="AE629" s="113" t="str">
        <f>IF(NOT(ISBLANK(Audit[[#This Row],[Audit Winning Candidate]])), Audit[[#This Row],[Audit Winning Candidate]]-Audit[[#This Row],[Winning Candidate]], "")</f>
        <v/>
      </c>
      <c r="AF629" s="17" t="str">
        <f>IF(NOT(ISBLANK(Audit[[#This Row],[Audit Losing Candidate]])), Audit[[#This Row],[Audit Losing Candidate]]-Audit[[#This Row],[Losing Candidate]], "")</f>
        <v/>
      </c>
      <c r="AG629" s="17" t="str">
        <f>IF(NOT(ISBLANK(Audit[[#This Row],[Audit Candidate 3]])), Audit[[#This Row],[Audit Candidate 3]]-Audit[[#This Row],[Candidate 3]], "")</f>
        <v/>
      </c>
      <c r="AH629" s="17" t="str">
        <f>IF(NOT(ISBLANK(Audit[[#This Row],[Audit Candidate 4]])),Audit[[#This Row],[Audit Candidate 4]]-Audit[[#This Row],[Candidate 4]], "")</f>
        <v/>
      </c>
      <c r="AI629" s="17" t="str">
        <f>IF(NOT(ISBLANK(Audit[[#This Row],[Audit Candidate 5]])), Audit[[#This Row],[Audit Candidate 5]]-Audit[[#This Row],[Candidate 5]], "")</f>
        <v/>
      </c>
      <c r="AJ629" s="17" t="str">
        <f>IF(NOT(ISBLANK(Audit[[#This Row],[Audit Candidate 6]])), Audit[[#This Row],[Audit Candidate 6]]-Audit[[#This Row],[Candidate 6]], "")</f>
        <v/>
      </c>
      <c r="AK629" s="17" t="str">
        <f>IF(NOT(ISBLANK(Audit[[#This Row],[Audit Candidate 7]])), Audit[[#This Row],[Audit Candidate 7]]-Audit[[#This Row],[Candidate 7]], "")</f>
        <v/>
      </c>
      <c r="AL629" s="17" t="str">
        <f>IF(NOT(ISBLANK(Audit[[#This Row],[Audit Candidate 8]])), Audit[[#This Row],[Audit Candidate 8]]-Audit[[#This Row],[Candidate 8]], "")</f>
        <v/>
      </c>
      <c r="AM629" s="17" t="str">
        <f>IF(NOT(ISBLANK(Audit[[#This Row],[Audit Candidate 9]])), Audit[[#This Row],[Audit Candidate 9]]-Audit[[#This Row],[Candidate 9]], "")</f>
        <v/>
      </c>
      <c r="AN629" s="17" t="str">
        <f>IF(NOT(ISBLANK(Audit[[#This Row],[Audit Candidate 10]])), Audit[[#This Row],[Audit Candidate 10]]-Audit[[#This Row],[Candidate 10]], "")</f>
        <v/>
      </c>
      <c r="AO629" s="17" t="str">
        <f>IF(NOT(ISBLANK(Audit[[#This Row],[Audit Candidate 11]])), Audit[[#This Row],[Audit Candidate 11]]-Audit[[#This Row],[Candidate 11]], "")</f>
        <v/>
      </c>
      <c r="AP629" s="17" t="str">
        <f>IF(NOT(ISBLANK(Audit[[#This Row],[Audit Candidate 12]])), Audit[[#This Row],[Audit Candidate 12]]-Audit[[#This Row],[Candidate 12]], "")</f>
        <v/>
      </c>
      <c r="AQ629" s="17">
        <f>SUMIF(Audit[[#This Row],[Difference Winner]:[Difference Candidate 12]], "&gt;0")</f>
        <v>0</v>
      </c>
      <c r="AR629" s="17">
        <f>SUM(Audit[[#This Row],[Difference Winner]:[Difference Candidate 12]])</f>
        <v>0</v>
      </c>
      <c r="AS629" s="17">
        <f>IF(Audit[[#This Row],[Times p Drawn - With Replacement]]&gt;0, IF(Audit[[#This Row],[Canceled Differences]]&lt;0, Audit[[#This Row],[Max Differences]]+ABS(Audit[[#This Row],[Canceled Differences]]), Audit[[#This Row],[Max Differences]]), 0)</f>
        <v>0</v>
      </c>
      <c r="AT629" s="17">
        <f>'Sampling Data'!AB629</f>
        <v>2.5420132405364115E-2</v>
      </c>
      <c r="AU629" s="17">
        <f>IF(
      SUM(Audit[[#This Row],[Audit Losing Candidate]:[Audit Candidate 12]])
      &lt;&gt;0,
      (Audit[[#This Row],[Winning Candidate]]-Audit[[#This Row],[Losing Candidate]]-(Audit[[#This Row],[Audit Winning Candidate]]-Audit[[#This Row],[Audit Losing Candidate]]))/(Audit[[#Totals],[Winning Candidate]]-Audit[[#Totals],[Losing Candidate]]),
      0
)</f>
        <v>0</v>
      </c>
      <c r="AV6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9" s="17">
        <f>IF(Audit[[#This Row],[Max Relative Error (ep)]] = 0, 0, Audit[[#This Row],[Max Relative Error (ep)]]/Audit[[#This Row],[Error Bound (up) - Max. possible relative overstatement]])</f>
        <v>0</v>
      </c>
      <c r="BH6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29" s="17">
        <f t="shared" si="10"/>
        <v>1</v>
      </c>
      <c r="BJ629" s="17">
        <f>PRODUCT($BI$5:BI629)</f>
        <v>0.2820605838008714</v>
      </c>
      <c r="BK629" s="19">
        <f>1 - Audit[[#This Row],[K-M P Value]]</f>
        <v>0.7179394161991286</v>
      </c>
      <c r="BL629" s="17" t="str">
        <f>IF(Audit[[#This Row],[K-M P Value]]&gt;1-'General Info'!$B$12,"Continue", "Stop")</f>
        <v>Continue</v>
      </c>
      <c r="BM629" s="22" t="b">
        <f>IF(Audit[[#This Row],[Status - Continue or stop audit]] = "Continue", TRUE, IF(BL628 = "Continue", TRUE, FALSE))</f>
        <v>1</v>
      </c>
      <c r="BN629" s="22"/>
    </row>
    <row r="630" spans="1:66" ht="15" hidden="1" customHeight="1" x14ac:dyDescent="0.35">
      <c r="A630" s="17" t="str">
        <f>'Sampling Data'!AI630</f>
        <v/>
      </c>
      <c r="B630" s="17" t="str">
        <f>'Sampling Data'!A630</f>
        <v>0802 CIN 8-B   (ED)</v>
      </c>
      <c r="C630" s="17">
        <f>'Sampling Data'!B630</f>
        <v>268</v>
      </c>
      <c r="D630" s="17">
        <f>'Sampling Data'!C630</f>
        <v>122</v>
      </c>
      <c r="E630" s="18">
        <f>'Sampling Data'!D630</f>
        <v>0</v>
      </c>
      <c r="F630" s="18">
        <f>'Sampling Data'!E630</f>
        <v>0</v>
      </c>
      <c r="G630" s="18">
        <f>'Sampling Data'!F630</f>
        <v>0</v>
      </c>
      <c r="H630" s="18">
        <f>'Sampling Data'!G630</f>
        <v>0</v>
      </c>
      <c r="I630" s="18">
        <f>'Sampling Data'!H630</f>
        <v>0</v>
      </c>
      <c r="J630" s="18">
        <f>'Sampling Data'!I630</f>
        <v>0</v>
      </c>
      <c r="K630" s="18">
        <f>'Sampling Data'!J630</f>
        <v>0</v>
      </c>
      <c r="L630" s="18">
        <f>'Sampling Data'!K630</f>
        <v>0</v>
      </c>
      <c r="M630" s="18">
        <f>'Sampling Data'!L630</f>
        <v>0</v>
      </c>
      <c r="N630" s="18">
        <f>'Sampling Data'!M630</f>
        <v>0</v>
      </c>
      <c r="O630" s="17">
        <f>'Sampling Data'!N630</f>
        <v>0</v>
      </c>
      <c r="P630" s="17">
        <f>'Sampling Data'!O630</f>
        <v>40</v>
      </c>
      <c r="Q630" s="17">
        <f>'Sampling Data'!P630</f>
        <v>430</v>
      </c>
      <c r="R630" s="17">
        <f>'Sampling Data'!AJ630</f>
        <v>0</v>
      </c>
      <c r="S630" s="111"/>
      <c r="T630" s="111"/>
      <c r="U630" s="112"/>
      <c r="V630" s="112"/>
      <c r="W630" s="111"/>
      <c r="X630" s="111"/>
      <c r="Y630" s="111"/>
      <c r="Z630" s="111"/>
      <c r="AA630" s="14"/>
      <c r="AB630" s="14"/>
      <c r="AC630" s="14"/>
      <c r="AD630" s="14"/>
      <c r="AE630" s="113" t="str">
        <f>IF(NOT(ISBLANK(Audit[[#This Row],[Audit Winning Candidate]])), Audit[[#This Row],[Audit Winning Candidate]]-Audit[[#This Row],[Winning Candidate]], "")</f>
        <v/>
      </c>
      <c r="AF630" s="17" t="str">
        <f>IF(NOT(ISBLANK(Audit[[#This Row],[Audit Losing Candidate]])), Audit[[#This Row],[Audit Losing Candidate]]-Audit[[#This Row],[Losing Candidate]], "")</f>
        <v/>
      </c>
      <c r="AG630" s="17" t="str">
        <f>IF(NOT(ISBLANK(Audit[[#This Row],[Audit Candidate 3]])), Audit[[#This Row],[Audit Candidate 3]]-Audit[[#This Row],[Candidate 3]], "")</f>
        <v/>
      </c>
      <c r="AH630" s="17" t="str">
        <f>IF(NOT(ISBLANK(Audit[[#This Row],[Audit Candidate 4]])),Audit[[#This Row],[Audit Candidate 4]]-Audit[[#This Row],[Candidate 4]], "")</f>
        <v/>
      </c>
      <c r="AI630" s="17" t="str">
        <f>IF(NOT(ISBLANK(Audit[[#This Row],[Audit Candidate 5]])), Audit[[#This Row],[Audit Candidate 5]]-Audit[[#This Row],[Candidate 5]], "")</f>
        <v/>
      </c>
      <c r="AJ630" s="17" t="str">
        <f>IF(NOT(ISBLANK(Audit[[#This Row],[Audit Candidate 6]])), Audit[[#This Row],[Audit Candidate 6]]-Audit[[#This Row],[Candidate 6]], "")</f>
        <v/>
      </c>
      <c r="AK630" s="17" t="str">
        <f>IF(NOT(ISBLANK(Audit[[#This Row],[Audit Candidate 7]])), Audit[[#This Row],[Audit Candidate 7]]-Audit[[#This Row],[Candidate 7]], "")</f>
        <v/>
      </c>
      <c r="AL630" s="17" t="str">
        <f>IF(NOT(ISBLANK(Audit[[#This Row],[Audit Candidate 8]])), Audit[[#This Row],[Audit Candidate 8]]-Audit[[#This Row],[Candidate 8]], "")</f>
        <v/>
      </c>
      <c r="AM630" s="17" t="str">
        <f>IF(NOT(ISBLANK(Audit[[#This Row],[Audit Candidate 9]])), Audit[[#This Row],[Audit Candidate 9]]-Audit[[#This Row],[Candidate 9]], "")</f>
        <v/>
      </c>
      <c r="AN630" s="17" t="str">
        <f>IF(NOT(ISBLANK(Audit[[#This Row],[Audit Candidate 10]])), Audit[[#This Row],[Audit Candidate 10]]-Audit[[#This Row],[Candidate 10]], "")</f>
        <v/>
      </c>
      <c r="AO630" s="17" t="str">
        <f>IF(NOT(ISBLANK(Audit[[#This Row],[Audit Candidate 11]])), Audit[[#This Row],[Audit Candidate 11]]-Audit[[#This Row],[Candidate 11]], "")</f>
        <v/>
      </c>
      <c r="AP630" s="17" t="str">
        <f>IF(NOT(ISBLANK(Audit[[#This Row],[Audit Candidate 12]])), Audit[[#This Row],[Audit Candidate 12]]-Audit[[#This Row],[Candidate 12]], "")</f>
        <v/>
      </c>
      <c r="AQ630" s="17">
        <f>SUMIF(Audit[[#This Row],[Difference Winner]:[Difference Candidate 12]], "&gt;0")</f>
        <v>0</v>
      </c>
      <c r="AR630" s="17">
        <f>SUM(Audit[[#This Row],[Difference Winner]:[Difference Candidate 12]])</f>
        <v>0</v>
      </c>
      <c r="AS630" s="17">
        <f>IF(Audit[[#This Row],[Times p Drawn - With Replacement]]&gt;0, IF(Audit[[#This Row],[Canceled Differences]]&lt;0, Audit[[#This Row],[Max Differences]]+ABS(Audit[[#This Row],[Canceled Differences]]), Audit[[#This Row],[Max Differences]]), 0)</f>
        <v>0</v>
      </c>
      <c r="AT630" s="17">
        <f>'Sampling Data'!AB630</f>
        <v>2.4444067221184859E-2</v>
      </c>
      <c r="AU630" s="17">
        <f>IF(
      SUM(Audit[[#This Row],[Audit Losing Candidate]:[Audit Candidate 12]])
      &lt;&gt;0,
      (Audit[[#This Row],[Winning Candidate]]-Audit[[#This Row],[Losing Candidate]]-(Audit[[#This Row],[Audit Winning Candidate]]-Audit[[#This Row],[Audit Losing Candidate]]))/(Audit[[#Totals],[Winning Candidate]]-Audit[[#Totals],[Losing Candidate]]),
      0
)</f>
        <v>0</v>
      </c>
      <c r="AV6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0" s="17">
        <f>IF(Audit[[#This Row],[Max Relative Error (ep)]] = 0, 0, Audit[[#This Row],[Max Relative Error (ep)]]/Audit[[#This Row],[Error Bound (up) - Max. possible relative overstatement]])</f>
        <v>0</v>
      </c>
      <c r="BH6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30" s="17">
        <f t="shared" si="10"/>
        <v>1</v>
      </c>
      <c r="BJ630" s="17">
        <f>PRODUCT($BI$5:BI630)</f>
        <v>0.2820605838008714</v>
      </c>
      <c r="BK630" s="19">
        <f>1 - Audit[[#This Row],[K-M P Value]]</f>
        <v>0.7179394161991286</v>
      </c>
      <c r="BL630" s="17" t="str">
        <f>IF(Audit[[#This Row],[K-M P Value]]&gt;1-'General Info'!$B$12,"Continue", "Stop")</f>
        <v>Continue</v>
      </c>
      <c r="BM630" s="22" t="b">
        <f>IF(Audit[[#This Row],[Status - Continue or stop audit]] = "Continue", TRUE, IF(BL629 = "Continue", TRUE, FALSE))</f>
        <v>1</v>
      </c>
      <c r="BN630" s="22"/>
    </row>
    <row r="631" spans="1:66" ht="15" hidden="1" customHeight="1" x14ac:dyDescent="0.35">
      <c r="A631" s="17" t="str">
        <f>'Sampling Data'!AI631</f>
        <v/>
      </c>
      <c r="B631" s="17" t="str">
        <f>'Sampling Data'!A631</f>
        <v>0803 CIN 8-C   (ED)</v>
      </c>
      <c r="C631" s="17">
        <f>'Sampling Data'!B631</f>
        <v>249</v>
      </c>
      <c r="D631" s="17">
        <f>'Sampling Data'!C631</f>
        <v>177</v>
      </c>
      <c r="E631" s="18">
        <f>'Sampling Data'!D631</f>
        <v>0</v>
      </c>
      <c r="F631" s="18">
        <f>'Sampling Data'!E631</f>
        <v>0</v>
      </c>
      <c r="G631" s="18">
        <f>'Sampling Data'!F631</f>
        <v>0</v>
      </c>
      <c r="H631" s="18">
        <f>'Sampling Data'!G631</f>
        <v>0</v>
      </c>
      <c r="I631" s="18">
        <f>'Sampling Data'!H631</f>
        <v>0</v>
      </c>
      <c r="J631" s="18">
        <f>'Sampling Data'!I631</f>
        <v>0</v>
      </c>
      <c r="K631" s="18">
        <f>'Sampling Data'!J631</f>
        <v>0</v>
      </c>
      <c r="L631" s="18">
        <f>'Sampling Data'!K631</f>
        <v>0</v>
      </c>
      <c r="M631" s="18">
        <f>'Sampling Data'!L631</f>
        <v>0</v>
      </c>
      <c r="N631" s="18">
        <f>'Sampling Data'!M631</f>
        <v>0</v>
      </c>
      <c r="O631" s="17">
        <f>'Sampling Data'!N631</f>
        <v>0</v>
      </c>
      <c r="P631" s="17">
        <f>'Sampling Data'!O631</f>
        <v>34</v>
      </c>
      <c r="Q631" s="17">
        <f>'Sampling Data'!P631</f>
        <v>460</v>
      </c>
      <c r="R631" s="17">
        <f>'Sampling Data'!AJ631</f>
        <v>0</v>
      </c>
      <c r="S631" s="111"/>
      <c r="T631" s="111"/>
      <c r="U631" s="112"/>
      <c r="V631" s="112"/>
      <c r="W631" s="111"/>
      <c r="X631" s="111"/>
      <c r="Y631" s="111"/>
      <c r="Z631" s="111"/>
      <c r="AA631" s="14"/>
      <c r="AB631" s="14"/>
      <c r="AC631" s="14"/>
      <c r="AD631" s="14"/>
      <c r="AE631" s="113" t="str">
        <f>IF(NOT(ISBLANK(Audit[[#This Row],[Audit Winning Candidate]])), Audit[[#This Row],[Audit Winning Candidate]]-Audit[[#This Row],[Winning Candidate]], "")</f>
        <v/>
      </c>
      <c r="AF631" s="17" t="str">
        <f>IF(NOT(ISBLANK(Audit[[#This Row],[Audit Losing Candidate]])), Audit[[#This Row],[Audit Losing Candidate]]-Audit[[#This Row],[Losing Candidate]], "")</f>
        <v/>
      </c>
      <c r="AG631" s="17" t="str">
        <f>IF(NOT(ISBLANK(Audit[[#This Row],[Audit Candidate 3]])), Audit[[#This Row],[Audit Candidate 3]]-Audit[[#This Row],[Candidate 3]], "")</f>
        <v/>
      </c>
      <c r="AH631" s="17" t="str">
        <f>IF(NOT(ISBLANK(Audit[[#This Row],[Audit Candidate 4]])),Audit[[#This Row],[Audit Candidate 4]]-Audit[[#This Row],[Candidate 4]], "")</f>
        <v/>
      </c>
      <c r="AI631" s="17" t="str">
        <f>IF(NOT(ISBLANK(Audit[[#This Row],[Audit Candidate 5]])), Audit[[#This Row],[Audit Candidate 5]]-Audit[[#This Row],[Candidate 5]], "")</f>
        <v/>
      </c>
      <c r="AJ631" s="17" t="str">
        <f>IF(NOT(ISBLANK(Audit[[#This Row],[Audit Candidate 6]])), Audit[[#This Row],[Audit Candidate 6]]-Audit[[#This Row],[Candidate 6]], "")</f>
        <v/>
      </c>
      <c r="AK631" s="17" t="str">
        <f>IF(NOT(ISBLANK(Audit[[#This Row],[Audit Candidate 7]])), Audit[[#This Row],[Audit Candidate 7]]-Audit[[#This Row],[Candidate 7]], "")</f>
        <v/>
      </c>
      <c r="AL631" s="17" t="str">
        <f>IF(NOT(ISBLANK(Audit[[#This Row],[Audit Candidate 8]])), Audit[[#This Row],[Audit Candidate 8]]-Audit[[#This Row],[Candidate 8]], "")</f>
        <v/>
      </c>
      <c r="AM631" s="17" t="str">
        <f>IF(NOT(ISBLANK(Audit[[#This Row],[Audit Candidate 9]])), Audit[[#This Row],[Audit Candidate 9]]-Audit[[#This Row],[Candidate 9]], "")</f>
        <v/>
      </c>
      <c r="AN631" s="17" t="str">
        <f>IF(NOT(ISBLANK(Audit[[#This Row],[Audit Candidate 10]])), Audit[[#This Row],[Audit Candidate 10]]-Audit[[#This Row],[Candidate 10]], "")</f>
        <v/>
      </c>
      <c r="AO631" s="17" t="str">
        <f>IF(NOT(ISBLANK(Audit[[#This Row],[Audit Candidate 11]])), Audit[[#This Row],[Audit Candidate 11]]-Audit[[#This Row],[Candidate 11]], "")</f>
        <v/>
      </c>
      <c r="AP631" s="17" t="str">
        <f>IF(NOT(ISBLANK(Audit[[#This Row],[Audit Candidate 12]])), Audit[[#This Row],[Audit Candidate 12]]-Audit[[#This Row],[Candidate 12]], "")</f>
        <v/>
      </c>
      <c r="AQ631" s="17">
        <f>SUMIF(Audit[[#This Row],[Difference Winner]:[Difference Candidate 12]], "&gt;0")</f>
        <v>0</v>
      </c>
      <c r="AR631" s="17">
        <f>SUM(Audit[[#This Row],[Difference Winner]:[Difference Candidate 12]])</f>
        <v>0</v>
      </c>
      <c r="AS631" s="17">
        <f>IF(Audit[[#This Row],[Times p Drawn - With Replacement]]&gt;0, IF(Audit[[#This Row],[Canceled Differences]]&lt;0, Audit[[#This Row],[Max Differences]]+ABS(Audit[[#This Row],[Canceled Differences]]), Audit[[#This Row],[Max Differences]]), 0)</f>
        <v>0</v>
      </c>
      <c r="AT631" s="17">
        <f>'Sampling Data'!AB631</f>
        <v>2.2576812086233237E-2</v>
      </c>
      <c r="AU631" s="17">
        <f>IF(
      SUM(Audit[[#This Row],[Audit Losing Candidate]:[Audit Candidate 12]])
      &lt;&gt;0,
      (Audit[[#This Row],[Winning Candidate]]-Audit[[#This Row],[Losing Candidate]]-(Audit[[#This Row],[Audit Winning Candidate]]-Audit[[#This Row],[Audit Losing Candidate]]))/(Audit[[#Totals],[Winning Candidate]]-Audit[[#Totals],[Losing Candidate]]),
      0
)</f>
        <v>0</v>
      </c>
      <c r="AV6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1" s="17">
        <f>IF(Audit[[#This Row],[Max Relative Error (ep)]] = 0, 0, Audit[[#This Row],[Max Relative Error (ep)]]/Audit[[#This Row],[Error Bound (up) - Max. possible relative overstatement]])</f>
        <v>0</v>
      </c>
      <c r="BH6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31" s="17">
        <f t="shared" si="10"/>
        <v>1</v>
      </c>
      <c r="BJ631" s="17">
        <f>PRODUCT($BI$5:BI631)</f>
        <v>0.2820605838008714</v>
      </c>
      <c r="BK631" s="19">
        <f>1 - Audit[[#This Row],[K-M P Value]]</f>
        <v>0.7179394161991286</v>
      </c>
      <c r="BL631" s="17" t="str">
        <f>IF(Audit[[#This Row],[K-M P Value]]&gt;1-'General Info'!$B$12,"Continue", "Stop")</f>
        <v>Continue</v>
      </c>
      <c r="BM631" s="22" t="b">
        <f>IF(Audit[[#This Row],[Status - Continue or stop audit]] = "Continue", TRUE, IF(BL630 = "Continue", TRUE, FALSE))</f>
        <v>1</v>
      </c>
      <c r="BN631" s="22"/>
    </row>
    <row r="632" spans="1:66" ht="15" hidden="1" customHeight="1" x14ac:dyDescent="0.35">
      <c r="A632" s="17" t="str">
        <f>'Sampling Data'!AI632</f>
        <v/>
      </c>
      <c r="B632" s="17" t="str">
        <f>'Sampling Data'!A632</f>
        <v>0804 CIN 8-D   (ED)</v>
      </c>
      <c r="C632" s="17">
        <f>'Sampling Data'!B632</f>
        <v>350</v>
      </c>
      <c r="D632" s="17">
        <f>'Sampling Data'!C632</f>
        <v>44</v>
      </c>
      <c r="E632" s="18">
        <f>'Sampling Data'!D632</f>
        <v>0</v>
      </c>
      <c r="F632" s="18">
        <f>'Sampling Data'!E632</f>
        <v>0</v>
      </c>
      <c r="G632" s="18">
        <f>'Sampling Data'!F632</f>
        <v>0</v>
      </c>
      <c r="H632" s="18">
        <f>'Sampling Data'!G632</f>
        <v>0</v>
      </c>
      <c r="I632" s="18">
        <f>'Sampling Data'!H632</f>
        <v>0</v>
      </c>
      <c r="J632" s="18">
        <f>'Sampling Data'!I632</f>
        <v>0</v>
      </c>
      <c r="K632" s="18">
        <f>'Sampling Data'!J632</f>
        <v>0</v>
      </c>
      <c r="L632" s="18">
        <f>'Sampling Data'!K632</f>
        <v>0</v>
      </c>
      <c r="M632" s="18">
        <f>'Sampling Data'!L632</f>
        <v>0</v>
      </c>
      <c r="N632" s="18">
        <f>'Sampling Data'!M632</f>
        <v>0</v>
      </c>
      <c r="O632" s="17">
        <f>'Sampling Data'!N632</f>
        <v>0</v>
      </c>
      <c r="P632" s="17">
        <f>'Sampling Data'!O632</f>
        <v>31</v>
      </c>
      <c r="Q632" s="17">
        <f>'Sampling Data'!P632</f>
        <v>425</v>
      </c>
      <c r="R632" s="17">
        <f>'Sampling Data'!AJ632</f>
        <v>0</v>
      </c>
      <c r="S632" s="111"/>
      <c r="T632" s="111"/>
      <c r="U632" s="112"/>
      <c r="V632" s="112"/>
      <c r="W632" s="111"/>
      <c r="X632" s="111"/>
      <c r="Y632" s="111"/>
      <c r="Z632" s="111"/>
      <c r="AA632" s="14"/>
      <c r="AB632" s="14"/>
      <c r="AC632" s="14"/>
      <c r="AD632" s="14"/>
      <c r="AE632" s="113" t="str">
        <f>IF(NOT(ISBLANK(Audit[[#This Row],[Audit Winning Candidate]])), Audit[[#This Row],[Audit Winning Candidate]]-Audit[[#This Row],[Winning Candidate]], "")</f>
        <v/>
      </c>
      <c r="AF632" s="17" t="str">
        <f>IF(NOT(ISBLANK(Audit[[#This Row],[Audit Losing Candidate]])), Audit[[#This Row],[Audit Losing Candidate]]-Audit[[#This Row],[Losing Candidate]], "")</f>
        <v/>
      </c>
      <c r="AG632" s="17" t="str">
        <f>IF(NOT(ISBLANK(Audit[[#This Row],[Audit Candidate 3]])), Audit[[#This Row],[Audit Candidate 3]]-Audit[[#This Row],[Candidate 3]], "")</f>
        <v/>
      </c>
      <c r="AH632" s="17" t="str">
        <f>IF(NOT(ISBLANK(Audit[[#This Row],[Audit Candidate 4]])),Audit[[#This Row],[Audit Candidate 4]]-Audit[[#This Row],[Candidate 4]], "")</f>
        <v/>
      </c>
      <c r="AI632" s="17" t="str">
        <f>IF(NOT(ISBLANK(Audit[[#This Row],[Audit Candidate 5]])), Audit[[#This Row],[Audit Candidate 5]]-Audit[[#This Row],[Candidate 5]], "")</f>
        <v/>
      </c>
      <c r="AJ632" s="17" t="str">
        <f>IF(NOT(ISBLANK(Audit[[#This Row],[Audit Candidate 6]])), Audit[[#This Row],[Audit Candidate 6]]-Audit[[#This Row],[Candidate 6]], "")</f>
        <v/>
      </c>
      <c r="AK632" s="17" t="str">
        <f>IF(NOT(ISBLANK(Audit[[#This Row],[Audit Candidate 7]])), Audit[[#This Row],[Audit Candidate 7]]-Audit[[#This Row],[Candidate 7]], "")</f>
        <v/>
      </c>
      <c r="AL632" s="17" t="str">
        <f>IF(NOT(ISBLANK(Audit[[#This Row],[Audit Candidate 8]])), Audit[[#This Row],[Audit Candidate 8]]-Audit[[#This Row],[Candidate 8]], "")</f>
        <v/>
      </c>
      <c r="AM632" s="17" t="str">
        <f>IF(NOT(ISBLANK(Audit[[#This Row],[Audit Candidate 9]])), Audit[[#This Row],[Audit Candidate 9]]-Audit[[#This Row],[Candidate 9]], "")</f>
        <v/>
      </c>
      <c r="AN632" s="17" t="str">
        <f>IF(NOT(ISBLANK(Audit[[#This Row],[Audit Candidate 10]])), Audit[[#This Row],[Audit Candidate 10]]-Audit[[#This Row],[Candidate 10]], "")</f>
        <v/>
      </c>
      <c r="AO632" s="17" t="str">
        <f>IF(NOT(ISBLANK(Audit[[#This Row],[Audit Candidate 11]])), Audit[[#This Row],[Audit Candidate 11]]-Audit[[#This Row],[Candidate 11]], "")</f>
        <v/>
      </c>
      <c r="AP632" s="17" t="str">
        <f>IF(NOT(ISBLANK(Audit[[#This Row],[Audit Candidate 12]])), Audit[[#This Row],[Audit Candidate 12]]-Audit[[#This Row],[Candidate 12]], "")</f>
        <v/>
      </c>
      <c r="AQ632" s="17">
        <f>SUMIF(Audit[[#This Row],[Difference Winner]:[Difference Candidate 12]], "&gt;0")</f>
        <v>0</v>
      </c>
      <c r="AR632" s="17">
        <f>SUM(Audit[[#This Row],[Difference Winner]:[Difference Candidate 12]])</f>
        <v>0</v>
      </c>
      <c r="AS632" s="17">
        <f>IF(Audit[[#This Row],[Times p Drawn - With Replacement]]&gt;0, IF(Audit[[#This Row],[Canceled Differences]]&lt;0, Audit[[#This Row],[Max Differences]]+ABS(Audit[[#This Row],[Canceled Differences]]), Audit[[#This Row],[Max Differences]]), 0)</f>
        <v>0</v>
      </c>
      <c r="AT632" s="17">
        <f>'Sampling Data'!AB632</f>
        <v>3.1021897810218978E-2</v>
      </c>
      <c r="AU632" s="17">
        <f>IF(
      SUM(Audit[[#This Row],[Audit Losing Candidate]:[Audit Candidate 12]])
      &lt;&gt;0,
      (Audit[[#This Row],[Winning Candidate]]-Audit[[#This Row],[Losing Candidate]]-(Audit[[#This Row],[Audit Winning Candidate]]-Audit[[#This Row],[Audit Losing Candidate]]))/(Audit[[#Totals],[Winning Candidate]]-Audit[[#Totals],[Losing Candidate]]),
      0
)</f>
        <v>0</v>
      </c>
      <c r="AV6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2" s="17">
        <f>IF(Audit[[#This Row],[Max Relative Error (ep)]] = 0, 0, Audit[[#This Row],[Max Relative Error (ep)]]/Audit[[#This Row],[Error Bound (up) - Max. possible relative overstatement]])</f>
        <v>0</v>
      </c>
      <c r="BH6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32" s="17">
        <f t="shared" si="10"/>
        <v>1</v>
      </c>
      <c r="BJ632" s="17">
        <f>PRODUCT($BI$5:BI632)</f>
        <v>0.2820605838008714</v>
      </c>
      <c r="BK632" s="19">
        <f>1 - Audit[[#This Row],[K-M P Value]]</f>
        <v>0.7179394161991286</v>
      </c>
      <c r="BL632" s="17" t="str">
        <f>IF(Audit[[#This Row],[K-M P Value]]&gt;1-'General Info'!$B$12,"Continue", "Stop")</f>
        <v>Continue</v>
      </c>
      <c r="BM632" s="22" t="b">
        <f>IF(Audit[[#This Row],[Status - Continue or stop audit]] = "Continue", TRUE, IF(BL631 = "Continue", TRUE, FALSE))</f>
        <v>1</v>
      </c>
      <c r="BN632" s="22"/>
    </row>
    <row r="633" spans="1:66" ht="15" hidden="1" customHeight="1" x14ac:dyDescent="0.35">
      <c r="A633" s="17" t="str">
        <f>'Sampling Data'!AI633</f>
        <v/>
      </c>
      <c r="B633" s="17" t="str">
        <f>'Sampling Data'!A633</f>
        <v>0901 CIN 9-A   (ED)</v>
      </c>
      <c r="C633" s="17">
        <f>'Sampling Data'!B633</f>
        <v>167</v>
      </c>
      <c r="D633" s="17">
        <f>'Sampling Data'!C633</f>
        <v>17</v>
      </c>
      <c r="E633" s="18">
        <f>'Sampling Data'!D633</f>
        <v>0</v>
      </c>
      <c r="F633" s="18">
        <f>'Sampling Data'!E633</f>
        <v>0</v>
      </c>
      <c r="G633" s="18">
        <f>'Sampling Data'!F633</f>
        <v>0</v>
      </c>
      <c r="H633" s="18">
        <f>'Sampling Data'!G633</f>
        <v>0</v>
      </c>
      <c r="I633" s="18">
        <f>'Sampling Data'!H633</f>
        <v>0</v>
      </c>
      <c r="J633" s="18">
        <f>'Sampling Data'!I633</f>
        <v>0</v>
      </c>
      <c r="K633" s="18">
        <f>'Sampling Data'!J633</f>
        <v>0</v>
      </c>
      <c r="L633" s="18">
        <f>'Sampling Data'!K633</f>
        <v>0</v>
      </c>
      <c r="M633" s="18">
        <f>'Sampling Data'!L633</f>
        <v>0</v>
      </c>
      <c r="N633" s="18">
        <f>'Sampling Data'!M633</f>
        <v>0</v>
      </c>
      <c r="O633" s="17">
        <f>'Sampling Data'!N633</f>
        <v>0</v>
      </c>
      <c r="P633" s="17">
        <f>'Sampling Data'!O633</f>
        <v>14</v>
      </c>
      <c r="Q633" s="17">
        <f>'Sampling Data'!P633</f>
        <v>198</v>
      </c>
      <c r="R633" s="17">
        <f>'Sampling Data'!AJ633</f>
        <v>0</v>
      </c>
      <c r="S633" s="111"/>
      <c r="T633" s="111"/>
      <c r="U633" s="112"/>
      <c r="V633" s="112"/>
      <c r="W633" s="111"/>
      <c r="X633" s="111"/>
      <c r="Y633" s="111"/>
      <c r="Z633" s="111"/>
      <c r="AA633" s="14"/>
      <c r="AB633" s="14"/>
      <c r="AC633" s="14"/>
      <c r="AD633" s="14"/>
      <c r="AE633" s="113" t="str">
        <f>IF(NOT(ISBLANK(Audit[[#This Row],[Audit Winning Candidate]])), Audit[[#This Row],[Audit Winning Candidate]]-Audit[[#This Row],[Winning Candidate]], "")</f>
        <v/>
      </c>
      <c r="AF633" s="17" t="str">
        <f>IF(NOT(ISBLANK(Audit[[#This Row],[Audit Losing Candidate]])), Audit[[#This Row],[Audit Losing Candidate]]-Audit[[#This Row],[Losing Candidate]], "")</f>
        <v/>
      </c>
      <c r="AG633" s="17" t="str">
        <f>IF(NOT(ISBLANK(Audit[[#This Row],[Audit Candidate 3]])), Audit[[#This Row],[Audit Candidate 3]]-Audit[[#This Row],[Candidate 3]], "")</f>
        <v/>
      </c>
      <c r="AH633" s="17" t="str">
        <f>IF(NOT(ISBLANK(Audit[[#This Row],[Audit Candidate 4]])),Audit[[#This Row],[Audit Candidate 4]]-Audit[[#This Row],[Candidate 4]], "")</f>
        <v/>
      </c>
      <c r="AI633" s="17" t="str">
        <f>IF(NOT(ISBLANK(Audit[[#This Row],[Audit Candidate 5]])), Audit[[#This Row],[Audit Candidate 5]]-Audit[[#This Row],[Candidate 5]], "")</f>
        <v/>
      </c>
      <c r="AJ633" s="17" t="str">
        <f>IF(NOT(ISBLANK(Audit[[#This Row],[Audit Candidate 6]])), Audit[[#This Row],[Audit Candidate 6]]-Audit[[#This Row],[Candidate 6]], "")</f>
        <v/>
      </c>
      <c r="AK633" s="17" t="str">
        <f>IF(NOT(ISBLANK(Audit[[#This Row],[Audit Candidate 7]])), Audit[[#This Row],[Audit Candidate 7]]-Audit[[#This Row],[Candidate 7]], "")</f>
        <v/>
      </c>
      <c r="AL633" s="17" t="str">
        <f>IF(NOT(ISBLANK(Audit[[#This Row],[Audit Candidate 8]])), Audit[[#This Row],[Audit Candidate 8]]-Audit[[#This Row],[Candidate 8]], "")</f>
        <v/>
      </c>
      <c r="AM633" s="17" t="str">
        <f>IF(NOT(ISBLANK(Audit[[#This Row],[Audit Candidate 9]])), Audit[[#This Row],[Audit Candidate 9]]-Audit[[#This Row],[Candidate 9]], "")</f>
        <v/>
      </c>
      <c r="AN633" s="17" t="str">
        <f>IF(NOT(ISBLANK(Audit[[#This Row],[Audit Candidate 10]])), Audit[[#This Row],[Audit Candidate 10]]-Audit[[#This Row],[Candidate 10]], "")</f>
        <v/>
      </c>
      <c r="AO633" s="17" t="str">
        <f>IF(NOT(ISBLANK(Audit[[#This Row],[Audit Candidate 11]])), Audit[[#This Row],[Audit Candidate 11]]-Audit[[#This Row],[Candidate 11]], "")</f>
        <v/>
      </c>
      <c r="AP633" s="17" t="str">
        <f>IF(NOT(ISBLANK(Audit[[#This Row],[Audit Candidate 12]])), Audit[[#This Row],[Audit Candidate 12]]-Audit[[#This Row],[Candidate 12]], "")</f>
        <v/>
      </c>
      <c r="AQ633" s="17">
        <f>SUMIF(Audit[[#This Row],[Difference Winner]:[Difference Candidate 12]], "&gt;0")</f>
        <v>0</v>
      </c>
      <c r="AR633" s="17">
        <f>SUM(Audit[[#This Row],[Difference Winner]:[Difference Candidate 12]])</f>
        <v>0</v>
      </c>
      <c r="AS633" s="17">
        <f>IF(Audit[[#This Row],[Times p Drawn - With Replacement]]&gt;0, IF(Audit[[#This Row],[Canceled Differences]]&lt;0, Audit[[#This Row],[Max Differences]]+ABS(Audit[[#This Row],[Canceled Differences]]), Audit[[#This Row],[Max Differences]]), 0)</f>
        <v>0</v>
      </c>
      <c r="AT633" s="17">
        <f>'Sampling Data'!AB633</f>
        <v>1.4768290612799185E-2</v>
      </c>
      <c r="AU633" s="17">
        <f>IF(
      SUM(Audit[[#This Row],[Audit Losing Candidate]:[Audit Candidate 12]])
      &lt;&gt;0,
      (Audit[[#This Row],[Winning Candidate]]-Audit[[#This Row],[Losing Candidate]]-(Audit[[#This Row],[Audit Winning Candidate]]-Audit[[#This Row],[Audit Losing Candidate]]))/(Audit[[#Totals],[Winning Candidate]]-Audit[[#Totals],[Losing Candidate]]),
      0
)</f>
        <v>0</v>
      </c>
      <c r="AV6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3" s="17">
        <f>IF(Audit[[#This Row],[Max Relative Error (ep)]] = 0, 0, Audit[[#This Row],[Max Relative Error (ep)]]/Audit[[#This Row],[Error Bound (up) - Max. possible relative overstatement]])</f>
        <v>0</v>
      </c>
      <c r="BH6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33" s="17">
        <f t="shared" si="10"/>
        <v>1</v>
      </c>
      <c r="BJ633" s="17">
        <f>PRODUCT($BI$5:BI633)</f>
        <v>0.2820605838008714</v>
      </c>
      <c r="BK633" s="19">
        <f>1 - Audit[[#This Row],[K-M P Value]]</f>
        <v>0.7179394161991286</v>
      </c>
      <c r="BL633" s="17" t="str">
        <f>IF(Audit[[#This Row],[K-M P Value]]&gt;1-'General Info'!$B$12,"Continue", "Stop")</f>
        <v>Continue</v>
      </c>
      <c r="BM633" s="22" t="b">
        <f>IF(Audit[[#This Row],[Status - Continue or stop audit]] = "Continue", TRUE, IF(BL632 = "Continue", TRUE, FALSE))</f>
        <v>1</v>
      </c>
      <c r="BN633" s="22"/>
    </row>
    <row r="634" spans="1:66" ht="15" hidden="1" customHeight="1" x14ac:dyDescent="0.35">
      <c r="A634" s="17" t="str">
        <f>'Sampling Data'!AI634</f>
        <v/>
      </c>
      <c r="B634" s="17" t="str">
        <f>'Sampling Data'!A634</f>
        <v>0902 CIN 9-B   (ED)</v>
      </c>
      <c r="C634" s="17">
        <f>'Sampling Data'!B634</f>
        <v>373</v>
      </c>
      <c r="D634" s="17">
        <f>'Sampling Data'!C634</f>
        <v>116</v>
      </c>
      <c r="E634" s="18">
        <f>'Sampling Data'!D634</f>
        <v>0</v>
      </c>
      <c r="F634" s="18">
        <f>'Sampling Data'!E634</f>
        <v>0</v>
      </c>
      <c r="G634" s="18">
        <f>'Sampling Data'!F634</f>
        <v>0</v>
      </c>
      <c r="H634" s="18">
        <f>'Sampling Data'!G634</f>
        <v>0</v>
      </c>
      <c r="I634" s="18">
        <f>'Sampling Data'!H634</f>
        <v>0</v>
      </c>
      <c r="J634" s="18">
        <f>'Sampling Data'!I634</f>
        <v>0</v>
      </c>
      <c r="K634" s="18">
        <f>'Sampling Data'!J634</f>
        <v>0</v>
      </c>
      <c r="L634" s="18">
        <f>'Sampling Data'!K634</f>
        <v>0</v>
      </c>
      <c r="M634" s="18">
        <f>'Sampling Data'!L634</f>
        <v>0</v>
      </c>
      <c r="N634" s="18">
        <f>'Sampling Data'!M634</f>
        <v>0</v>
      </c>
      <c r="O634" s="17">
        <f>'Sampling Data'!N634</f>
        <v>1</v>
      </c>
      <c r="P634" s="17">
        <f>'Sampling Data'!O634</f>
        <v>38</v>
      </c>
      <c r="Q634" s="17">
        <f>'Sampling Data'!P634</f>
        <v>528</v>
      </c>
      <c r="R634" s="17">
        <f>'Sampling Data'!AJ634</f>
        <v>0</v>
      </c>
      <c r="S634" s="111"/>
      <c r="T634" s="111"/>
      <c r="U634" s="112"/>
      <c r="V634" s="112"/>
      <c r="W634" s="111"/>
      <c r="X634" s="111"/>
      <c r="Y634" s="111"/>
      <c r="Z634" s="111"/>
      <c r="AA634" s="14"/>
      <c r="AB634" s="14"/>
      <c r="AC634" s="14"/>
      <c r="AD634" s="14"/>
      <c r="AE634" s="113" t="str">
        <f>IF(NOT(ISBLANK(Audit[[#This Row],[Audit Winning Candidate]])), Audit[[#This Row],[Audit Winning Candidate]]-Audit[[#This Row],[Winning Candidate]], "")</f>
        <v/>
      </c>
      <c r="AF634" s="17" t="str">
        <f>IF(NOT(ISBLANK(Audit[[#This Row],[Audit Losing Candidate]])), Audit[[#This Row],[Audit Losing Candidate]]-Audit[[#This Row],[Losing Candidate]], "")</f>
        <v/>
      </c>
      <c r="AG634" s="17" t="str">
        <f>IF(NOT(ISBLANK(Audit[[#This Row],[Audit Candidate 3]])), Audit[[#This Row],[Audit Candidate 3]]-Audit[[#This Row],[Candidate 3]], "")</f>
        <v/>
      </c>
      <c r="AH634" s="17" t="str">
        <f>IF(NOT(ISBLANK(Audit[[#This Row],[Audit Candidate 4]])),Audit[[#This Row],[Audit Candidate 4]]-Audit[[#This Row],[Candidate 4]], "")</f>
        <v/>
      </c>
      <c r="AI634" s="17" t="str">
        <f>IF(NOT(ISBLANK(Audit[[#This Row],[Audit Candidate 5]])), Audit[[#This Row],[Audit Candidate 5]]-Audit[[#This Row],[Candidate 5]], "")</f>
        <v/>
      </c>
      <c r="AJ634" s="17" t="str">
        <f>IF(NOT(ISBLANK(Audit[[#This Row],[Audit Candidate 6]])), Audit[[#This Row],[Audit Candidate 6]]-Audit[[#This Row],[Candidate 6]], "")</f>
        <v/>
      </c>
      <c r="AK634" s="17" t="str">
        <f>IF(NOT(ISBLANK(Audit[[#This Row],[Audit Candidate 7]])), Audit[[#This Row],[Audit Candidate 7]]-Audit[[#This Row],[Candidate 7]], "")</f>
        <v/>
      </c>
      <c r="AL634" s="17" t="str">
        <f>IF(NOT(ISBLANK(Audit[[#This Row],[Audit Candidate 8]])), Audit[[#This Row],[Audit Candidate 8]]-Audit[[#This Row],[Candidate 8]], "")</f>
        <v/>
      </c>
      <c r="AM634" s="17" t="str">
        <f>IF(NOT(ISBLANK(Audit[[#This Row],[Audit Candidate 9]])), Audit[[#This Row],[Audit Candidate 9]]-Audit[[#This Row],[Candidate 9]], "")</f>
        <v/>
      </c>
      <c r="AN634" s="17" t="str">
        <f>IF(NOT(ISBLANK(Audit[[#This Row],[Audit Candidate 10]])), Audit[[#This Row],[Audit Candidate 10]]-Audit[[#This Row],[Candidate 10]], "")</f>
        <v/>
      </c>
      <c r="AO634" s="17" t="str">
        <f>IF(NOT(ISBLANK(Audit[[#This Row],[Audit Candidate 11]])), Audit[[#This Row],[Audit Candidate 11]]-Audit[[#This Row],[Candidate 11]], "")</f>
        <v/>
      </c>
      <c r="AP634" s="17" t="str">
        <f>IF(NOT(ISBLANK(Audit[[#This Row],[Audit Candidate 12]])), Audit[[#This Row],[Audit Candidate 12]]-Audit[[#This Row],[Candidate 12]], "")</f>
        <v/>
      </c>
      <c r="AQ634" s="17">
        <f>SUMIF(Audit[[#This Row],[Difference Winner]:[Difference Candidate 12]], "&gt;0")</f>
        <v>0</v>
      </c>
      <c r="AR634" s="17">
        <f>SUM(Audit[[#This Row],[Difference Winner]:[Difference Candidate 12]])</f>
        <v>0</v>
      </c>
      <c r="AS634" s="17">
        <f>IF(Audit[[#This Row],[Times p Drawn - With Replacement]]&gt;0, IF(Audit[[#This Row],[Canceled Differences]]&lt;0, Audit[[#This Row],[Max Differences]]+ABS(Audit[[#This Row],[Canceled Differences]]), Audit[[#This Row],[Max Differences]]), 0)</f>
        <v>0</v>
      </c>
      <c r="AT634" s="17">
        <f>'Sampling Data'!AB634</f>
        <v>3.3313529112205059E-2</v>
      </c>
      <c r="AU634" s="17">
        <f>IF(
      SUM(Audit[[#This Row],[Audit Losing Candidate]:[Audit Candidate 12]])
      &lt;&gt;0,
      (Audit[[#This Row],[Winning Candidate]]-Audit[[#This Row],[Losing Candidate]]-(Audit[[#This Row],[Audit Winning Candidate]]-Audit[[#This Row],[Audit Losing Candidate]]))/(Audit[[#Totals],[Winning Candidate]]-Audit[[#Totals],[Losing Candidate]]),
      0
)</f>
        <v>0</v>
      </c>
      <c r="AV6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4" s="17">
        <f>IF(Audit[[#This Row],[Max Relative Error (ep)]] = 0, 0, Audit[[#This Row],[Max Relative Error (ep)]]/Audit[[#This Row],[Error Bound (up) - Max. possible relative overstatement]])</f>
        <v>0</v>
      </c>
      <c r="BH6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34" s="17">
        <f t="shared" si="10"/>
        <v>1</v>
      </c>
      <c r="BJ634" s="17">
        <f>PRODUCT($BI$5:BI634)</f>
        <v>0.2820605838008714</v>
      </c>
      <c r="BK634" s="19">
        <f>1 - Audit[[#This Row],[K-M P Value]]</f>
        <v>0.7179394161991286</v>
      </c>
      <c r="BL634" s="17" t="str">
        <f>IF(Audit[[#This Row],[K-M P Value]]&gt;1-'General Info'!$B$12,"Continue", "Stop")</f>
        <v>Continue</v>
      </c>
      <c r="BM634" s="22" t="b">
        <f>IF(Audit[[#This Row],[Status - Continue or stop audit]] = "Continue", TRUE, IF(BL633 = "Continue", TRUE, FALSE))</f>
        <v>1</v>
      </c>
      <c r="BN634" s="22"/>
    </row>
    <row r="635" spans="1:66" ht="15" hidden="1" customHeight="1" x14ac:dyDescent="0.35">
      <c r="A635" s="17" t="str">
        <f>'Sampling Data'!AI635</f>
        <v/>
      </c>
      <c r="B635" s="17" t="str">
        <f>'Sampling Data'!A635</f>
        <v>0903 CIN 9-C   (ED)</v>
      </c>
      <c r="C635" s="17">
        <f>'Sampling Data'!B635</f>
        <v>269</v>
      </c>
      <c r="D635" s="17">
        <f>'Sampling Data'!C635</f>
        <v>37</v>
      </c>
      <c r="E635" s="18">
        <f>'Sampling Data'!D635</f>
        <v>0</v>
      </c>
      <c r="F635" s="18">
        <f>'Sampling Data'!E635</f>
        <v>0</v>
      </c>
      <c r="G635" s="18">
        <f>'Sampling Data'!F635</f>
        <v>0</v>
      </c>
      <c r="H635" s="18">
        <f>'Sampling Data'!G635</f>
        <v>0</v>
      </c>
      <c r="I635" s="18">
        <f>'Sampling Data'!H635</f>
        <v>0</v>
      </c>
      <c r="J635" s="18">
        <f>'Sampling Data'!I635</f>
        <v>0</v>
      </c>
      <c r="K635" s="18">
        <f>'Sampling Data'!J635</f>
        <v>0</v>
      </c>
      <c r="L635" s="18">
        <f>'Sampling Data'!K635</f>
        <v>0</v>
      </c>
      <c r="M635" s="18">
        <f>'Sampling Data'!L635</f>
        <v>0</v>
      </c>
      <c r="N635" s="18">
        <f>'Sampling Data'!M635</f>
        <v>0</v>
      </c>
      <c r="O635" s="17">
        <f>'Sampling Data'!N635</f>
        <v>0</v>
      </c>
      <c r="P635" s="17">
        <f>'Sampling Data'!O635</f>
        <v>42</v>
      </c>
      <c r="Q635" s="17">
        <f>'Sampling Data'!P635</f>
        <v>348</v>
      </c>
      <c r="R635" s="17">
        <f>'Sampling Data'!AJ635</f>
        <v>0</v>
      </c>
      <c r="S635" s="111"/>
      <c r="T635" s="111"/>
      <c r="U635" s="112"/>
      <c r="V635" s="112"/>
      <c r="W635" s="111"/>
      <c r="X635" s="111"/>
      <c r="Y635" s="111"/>
      <c r="Z635" s="111"/>
      <c r="AA635" s="14"/>
      <c r="AB635" s="14"/>
      <c r="AC635" s="14"/>
      <c r="AD635" s="14"/>
      <c r="AE635" s="113" t="str">
        <f>IF(NOT(ISBLANK(Audit[[#This Row],[Audit Winning Candidate]])), Audit[[#This Row],[Audit Winning Candidate]]-Audit[[#This Row],[Winning Candidate]], "")</f>
        <v/>
      </c>
      <c r="AF635" s="17" t="str">
        <f>IF(NOT(ISBLANK(Audit[[#This Row],[Audit Losing Candidate]])), Audit[[#This Row],[Audit Losing Candidate]]-Audit[[#This Row],[Losing Candidate]], "")</f>
        <v/>
      </c>
      <c r="AG635" s="17" t="str">
        <f>IF(NOT(ISBLANK(Audit[[#This Row],[Audit Candidate 3]])), Audit[[#This Row],[Audit Candidate 3]]-Audit[[#This Row],[Candidate 3]], "")</f>
        <v/>
      </c>
      <c r="AH635" s="17" t="str">
        <f>IF(NOT(ISBLANK(Audit[[#This Row],[Audit Candidate 4]])),Audit[[#This Row],[Audit Candidate 4]]-Audit[[#This Row],[Candidate 4]], "")</f>
        <v/>
      </c>
      <c r="AI635" s="17" t="str">
        <f>IF(NOT(ISBLANK(Audit[[#This Row],[Audit Candidate 5]])), Audit[[#This Row],[Audit Candidate 5]]-Audit[[#This Row],[Candidate 5]], "")</f>
        <v/>
      </c>
      <c r="AJ635" s="17" t="str">
        <f>IF(NOT(ISBLANK(Audit[[#This Row],[Audit Candidate 6]])), Audit[[#This Row],[Audit Candidate 6]]-Audit[[#This Row],[Candidate 6]], "")</f>
        <v/>
      </c>
      <c r="AK635" s="17" t="str">
        <f>IF(NOT(ISBLANK(Audit[[#This Row],[Audit Candidate 7]])), Audit[[#This Row],[Audit Candidate 7]]-Audit[[#This Row],[Candidate 7]], "")</f>
        <v/>
      </c>
      <c r="AL635" s="17" t="str">
        <f>IF(NOT(ISBLANK(Audit[[#This Row],[Audit Candidate 8]])), Audit[[#This Row],[Audit Candidate 8]]-Audit[[#This Row],[Candidate 8]], "")</f>
        <v/>
      </c>
      <c r="AM635" s="17" t="str">
        <f>IF(NOT(ISBLANK(Audit[[#This Row],[Audit Candidate 9]])), Audit[[#This Row],[Audit Candidate 9]]-Audit[[#This Row],[Candidate 9]], "")</f>
        <v/>
      </c>
      <c r="AN635" s="17" t="str">
        <f>IF(NOT(ISBLANK(Audit[[#This Row],[Audit Candidate 10]])), Audit[[#This Row],[Audit Candidate 10]]-Audit[[#This Row],[Candidate 10]], "")</f>
        <v/>
      </c>
      <c r="AO635" s="17" t="str">
        <f>IF(NOT(ISBLANK(Audit[[#This Row],[Audit Candidate 11]])), Audit[[#This Row],[Audit Candidate 11]]-Audit[[#This Row],[Candidate 11]], "")</f>
        <v/>
      </c>
      <c r="AP635" s="17" t="str">
        <f>IF(NOT(ISBLANK(Audit[[#This Row],[Audit Candidate 12]])), Audit[[#This Row],[Audit Candidate 12]]-Audit[[#This Row],[Candidate 12]], "")</f>
        <v/>
      </c>
      <c r="AQ635" s="17">
        <f>SUMIF(Audit[[#This Row],[Difference Winner]:[Difference Candidate 12]], "&gt;0")</f>
        <v>0</v>
      </c>
      <c r="AR635" s="17">
        <f>SUM(Audit[[#This Row],[Difference Winner]:[Difference Candidate 12]])</f>
        <v>0</v>
      </c>
      <c r="AS635" s="17">
        <f>IF(Audit[[#This Row],[Times p Drawn - With Replacement]]&gt;0, IF(Audit[[#This Row],[Canceled Differences]]&lt;0, Audit[[#This Row],[Max Differences]]+ABS(Audit[[#This Row],[Canceled Differences]]), Audit[[#This Row],[Max Differences]]), 0)</f>
        <v>0</v>
      </c>
      <c r="AT635" s="17">
        <f>'Sampling Data'!AB635</f>
        <v>2.461381768799864E-2</v>
      </c>
      <c r="AU635" s="17">
        <f>IF(
      SUM(Audit[[#This Row],[Audit Losing Candidate]:[Audit Candidate 12]])
      &lt;&gt;0,
      (Audit[[#This Row],[Winning Candidate]]-Audit[[#This Row],[Losing Candidate]]-(Audit[[#This Row],[Audit Winning Candidate]]-Audit[[#This Row],[Audit Losing Candidate]]))/(Audit[[#Totals],[Winning Candidate]]-Audit[[#Totals],[Losing Candidate]]),
      0
)</f>
        <v>0</v>
      </c>
      <c r="AV6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5" s="17">
        <f>IF(Audit[[#This Row],[Max Relative Error (ep)]] = 0, 0, Audit[[#This Row],[Max Relative Error (ep)]]/Audit[[#This Row],[Error Bound (up) - Max. possible relative overstatement]])</f>
        <v>0</v>
      </c>
      <c r="BH6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35" s="17">
        <f t="shared" si="10"/>
        <v>1</v>
      </c>
      <c r="BJ635" s="17">
        <f>PRODUCT($BI$5:BI635)</f>
        <v>0.2820605838008714</v>
      </c>
      <c r="BK635" s="19">
        <f>1 - Audit[[#This Row],[K-M P Value]]</f>
        <v>0.7179394161991286</v>
      </c>
      <c r="BL635" s="17" t="str">
        <f>IF(Audit[[#This Row],[K-M P Value]]&gt;1-'General Info'!$B$12,"Continue", "Stop")</f>
        <v>Continue</v>
      </c>
      <c r="BM635" s="22" t="b">
        <f>IF(Audit[[#This Row],[Status - Continue or stop audit]] = "Continue", TRUE, IF(BL634 = "Continue", TRUE, FALSE))</f>
        <v>1</v>
      </c>
      <c r="BN635" s="22"/>
    </row>
    <row r="636" spans="1:66" ht="15" hidden="1" customHeight="1" x14ac:dyDescent="0.35">
      <c r="A636" s="17" t="str">
        <f>'Sampling Data'!AI636</f>
        <v/>
      </c>
      <c r="B636" s="17" t="str">
        <f>'Sampling Data'!A636</f>
        <v>0904 CIN 9-D   (ED)</v>
      </c>
      <c r="C636" s="17">
        <f>'Sampling Data'!B636</f>
        <v>230</v>
      </c>
      <c r="D636" s="17">
        <f>'Sampling Data'!C636</f>
        <v>29</v>
      </c>
      <c r="E636" s="18">
        <f>'Sampling Data'!D636</f>
        <v>0</v>
      </c>
      <c r="F636" s="18">
        <f>'Sampling Data'!E636</f>
        <v>0</v>
      </c>
      <c r="G636" s="18">
        <f>'Sampling Data'!F636</f>
        <v>0</v>
      </c>
      <c r="H636" s="18">
        <f>'Sampling Data'!G636</f>
        <v>0</v>
      </c>
      <c r="I636" s="18">
        <f>'Sampling Data'!H636</f>
        <v>0</v>
      </c>
      <c r="J636" s="18">
        <f>'Sampling Data'!I636</f>
        <v>0</v>
      </c>
      <c r="K636" s="18">
        <f>'Sampling Data'!J636</f>
        <v>0</v>
      </c>
      <c r="L636" s="18">
        <f>'Sampling Data'!K636</f>
        <v>0</v>
      </c>
      <c r="M636" s="18">
        <f>'Sampling Data'!L636</f>
        <v>0</v>
      </c>
      <c r="N636" s="18">
        <f>'Sampling Data'!M636</f>
        <v>0</v>
      </c>
      <c r="O636" s="17">
        <f>'Sampling Data'!N636</f>
        <v>0</v>
      </c>
      <c r="P636" s="17">
        <f>'Sampling Data'!O636</f>
        <v>26</v>
      </c>
      <c r="Q636" s="17">
        <f>'Sampling Data'!P636</f>
        <v>285</v>
      </c>
      <c r="R636" s="17">
        <f>'Sampling Data'!AJ636</f>
        <v>0</v>
      </c>
      <c r="S636" s="111"/>
      <c r="T636" s="111"/>
      <c r="U636" s="112"/>
      <c r="V636" s="112"/>
      <c r="W636" s="111"/>
      <c r="X636" s="111"/>
      <c r="Y636" s="111"/>
      <c r="Z636" s="111"/>
      <c r="AA636" s="14"/>
      <c r="AB636" s="14"/>
      <c r="AC636" s="14"/>
      <c r="AD636" s="14"/>
      <c r="AE636" s="113" t="str">
        <f>IF(NOT(ISBLANK(Audit[[#This Row],[Audit Winning Candidate]])), Audit[[#This Row],[Audit Winning Candidate]]-Audit[[#This Row],[Winning Candidate]], "")</f>
        <v/>
      </c>
      <c r="AF636" s="17" t="str">
        <f>IF(NOT(ISBLANK(Audit[[#This Row],[Audit Losing Candidate]])), Audit[[#This Row],[Audit Losing Candidate]]-Audit[[#This Row],[Losing Candidate]], "")</f>
        <v/>
      </c>
      <c r="AG636" s="17" t="str">
        <f>IF(NOT(ISBLANK(Audit[[#This Row],[Audit Candidate 3]])), Audit[[#This Row],[Audit Candidate 3]]-Audit[[#This Row],[Candidate 3]], "")</f>
        <v/>
      </c>
      <c r="AH636" s="17" t="str">
        <f>IF(NOT(ISBLANK(Audit[[#This Row],[Audit Candidate 4]])),Audit[[#This Row],[Audit Candidate 4]]-Audit[[#This Row],[Candidate 4]], "")</f>
        <v/>
      </c>
      <c r="AI636" s="17" t="str">
        <f>IF(NOT(ISBLANK(Audit[[#This Row],[Audit Candidate 5]])), Audit[[#This Row],[Audit Candidate 5]]-Audit[[#This Row],[Candidate 5]], "")</f>
        <v/>
      </c>
      <c r="AJ636" s="17" t="str">
        <f>IF(NOT(ISBLANK(Audit[[#This Row],[Audit Candidate 6]])), Audit[[#This Row],[Audit Candidate 6]]-Audit[[#This Row],[Candidate 6]], "")</f>
        <v/>
      </c>
      <c r="AK636" s="17" t="str">
        <f>IF(NOT(ISBLANK(Audit[[#This Row],[Audit Candidate 7]])), Audit[[#This Row],[Audit Candidate 7]]-Audit[[#This Row],[Candidate 7]], "")</f>
        <v/>
      </c>
      <c r="AL636" s="17" t="str">
        <f>IF(NOT(ISBLANK(Audit[[#This Row],[Audit Candidate 8]])), Audit[[#This Row],[Audit Candidate 8]]-Audit[[#This Row],[Candidate 8]], "")</f>
        <v/>
      </c>
      <c r="AM636" s="17" t="str">
        <f>IF(NOT(ISBLANK(Audit[[#This Row],[Audit Candidate 9]])), Audit[[#This Row],[Audit Candidate 9]]-Audit[[#This Row],[Candidate 9]], "")</f>
        <v/>
      </c>
      <c r="AN636" s="17" t="str">
        <f>IF(NOT(ISBLANK(Audit[[#This Row],[Audit Candidate 10]])), Audit[[#This Row],[Audit Candidate 10]]-Audit[[#This Row],[Candidate 10]], "")</f>
        <v/>
      </c>
      <c r="AO636" s="17" t="str">
        <f>IF(NOT(ISBLANK(Audit[[#This Row],[Audit Candidate 11]])), Audit[[#This Row],[Audit Candidate 11]]-Audit[[#This Row],[Candidate 11]], "")</f>
        <v/>
      </c>
      <c r="AP636" s="17" t="str">
        <f>IF(NOT(ISBLANK(Audit[[#This Row],[Audit Candidate 12]])), Audit[[#This Row],[Audit Candidate 12]]-Audit[[#This Row],[Candidate 12]], "")</f>
        <v/>
      </c>
      <c r="AQ636" s="17">
        <f>SUMIF(Audit[[#This Row],[Difference Winner]:[Difference Candidate 12]], "&gt;0")</f>
        <v>0</v>
      </c>
      <c r="AR636" s="17">
        <f>SUM(Audit[[#This Row],[Difference Winner]:[Difference Candidate 12]])</f>
        <v>0</v>
      </c>
      <c r="AS636" s="17">
        <f>IF(Audit[[#This Row],[Times p Drawn - With Replacement]]&gt;0, IF(Audit[[#This Row],[Canceled Differences]]&lt;0, Audit[[#This Row],[Max Differences]]+ABS(Audit[[#This Row],[Canceled Differences]]), Audit[[#This Row],[Max Differences]]), 0)</f>
        <v>0</v>
      </c>
      <c r="AT636" s="17">
        <f>'Sampling Data'!AB636</f>
        <v>2.0624681717874724E-2</v>
      </c>
      <c r="AU636" s="17">
        <f>IF(
      SUM(Audit[[#This Row],[Audit Losing Candidate]:[Audit Candidate 12]])
      &lt;&gt;0,
      (Audit[[#This Row],[Winning Candidate]]-Audit[[#This Row],[Losing Candidate]]-(Audit[[#This Row],[Audit Winning Candidate]]-Audit[[#This Row],[Audit Losing Candidate]]))/(Audit[[#Totals],[Winning Candidate]]-Audit[[#Totals],[Losing Candidate]]),
      0
)</f>
        <v>0</v>
      </c>
      <c r="AV6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6" s="17">
        <f>IF(Audit[[#This Row],[Max Relative Error (ep)]] = 0, 0, Audit[[#This Row],[Max Relative Error (ep)]]/Audit[[#This Row],[Error Bound (up) - Max. possible relative overstatement]])</f>
        <v>0</v>
      </c>
      <c r="BH6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36" s="17">
        <f t="shared" si="10"/>
        <v>1</v>
      </c>
      <c r="BJ636" s="17">
        <f>PRODUCT($BI$5:BI636)</f>
        <v>0.2820605838008714</v>
      </c>
      <c r="BK636" s="19">
        <f>1 - Audit[[#This Row],[K-M P Value]]</f>
        <v>0.7179394161991286</v>
      </c>
      <c r="BL636" s="17" t="str">
        <f>IF(Audit[[#This Row],[K-M P Value]]&gt;1-'General Info'!$B$12,"Continue", "Stop")</f>
        <v>Continue</v>
      </c>
      <c r="BM636" s="22" t="b">
        <f>IF(Audit[[#This Row],[Status - Continue or stop audit]] = "Continue", TRUE, IF(BL635 = "Continue", TRUE, FALSE))</f>
        <v>1</v>
      </c>
      <c r="BN636" s="22"/>
    </row>
    <row r="637" spans="1:66" ht="15" hidden="1" customHeight="1" x14ac:dyDescent="0.35">
      <c r="A637" s="17" t="str">
        <f>'Sampling Data'!AI637</f>
        <v/>
      </c>
      <c r="B637" s="17" t="str">
        <f>'Sampling Data'!A637</f>
        <v>1001 CIN 10-A   (ED)</v>
      </c>
      <c r="C637" s="17">
        <f>'Sampling Data'!B637</f>
        <v>302</v>
      </c>
      <c r="D637" s="17">
        <f>'Sampling Data'!C637</f>
        <v>177</v>
      </c>
      <c r="E637" s="18">
        <f>'Sampling Data'!D637</f>
        <v>0</v>
      </c>
      <c r="F637" s="18">
        <f>'Sampling Data'!E637</f>
        <v>0</v>
      </c>
      <c r="G637" s="18">
        <f>'Sampling Data'!F637</f>
        <v>0</v>
      </c>
      <c r="H637" s="18">
        <f>'Sampling Data'!G637</f>
        <v>0</v>
      </c>
      <c r="I637" s="18">
        <f>'Sampling Data'!H637</f>
        <v>0</v>
      </c>
      <c r="J637" s="18">
        <f>'Sampling Data'!I637</f>
        <v>0</v>
      </c>
      <c r="K637" s="18">
        <f>'Sampling Data'!J637</f>
        <v>0</v>
      </c>
      <c r="L637" s="18">
        <f>'Sampling Data'!K637</f>
        <v>0</v>
      </c>
      <c r="M637" s="18">
        <f>'Sampling Data'!L637</f>
        <v>0</v>
      </c>
      <c r="N637" s="18">
        <f>'Sampling Data'!M637</f>
        <v>0</v>
      </c>
      <c r="O637" s="17">
        <f>'Sampling Data'!N637</f>
        <v>0</v>
      </c>
      <c r="P637" s="17">
        <f>'Sampling Data'!O637</f>
        <v>38</v>
      </c>
      <c r="Q637" s="17">
        <f>'Sampling Data'!P637</f>
        <v>517</v>
      </c>
      <c r="R637" s="17">
        <f>'Sampling Data'!AJ637</f>
        <v>0</v>
      </c>
      <c r="S637" s="111"/>
      <c r="T637" s="111"/>
      <c r="U637" s="112"/>
      <c r="V637" s="112"/>
      <c r="W637" s="111"/>
      <c r="X637" s="111"/>
      <c r="Y637" s="111"/>
      <c r="Z637" s="111"/>
      <c r="AA637" s="14"/>
      <c r="AB637" s="14"/>
      <c r="AC637" s="14"/>
      <c r="AD637" s="14"/>
      <c r="AE637" s="113" t="str">
        <f>IF(NOT(ISBLANK(Audit[[#This Row],[Audit Winning Candidate]])), Audit[[#This Row],[Audit Winning Candidate]]-Audit[[#This Row],[Winning Candidate]], "")</f>
        <v/>
      </c>
      <c r="AF637" s="17" t="str">
        <f>IF(NOT(ISBLANK(Audit[[#This Row],[Audit Losing Candidate]])), Audit[[#This Row],[Audit Losing Candidate]]-Audit[[#This Row],[Losing Candidate]], "")</f>
        <v/>
      </c>
      <c r="AG637" s="17" t="str">
        <f>IF(NOT(ISBLANK(Audit[[#This Row],[Audit Candidate 3]])), Audit[[#This Row],[Audit Candidate 3]]-Audit[[#This Row],[Candidate 3]], "")</f>
        <v/>
      </c>
      <c r="AH637" s="17" t="str">
        <f>IF(NOT(ISBLANK(Audit[[#This Row],[Audit Candidate 4]])),Audit[[#This Row],[Audit Candidate 4]]-Audit[[#This Row],[Candidate 4]], "")</f>
        <v/>
      </c>
      <c r="AI637" s="17" t="str">
        <f>IF(NOT(ISBLANK(Audit[[#This Row],[Audit Candidate 5]])), Audit[[#This Row],[Audit Candidate 5]]-Audit[[#This Row],[Candidate 5]], "")</f>
        <v/>
      </c>
      <c r="AJ637" s="17" t="str">
        <f>IF(NOT(ISBLANK(Audit[[#This Row],[Audit Candidate 6]])), Audit[[#This Row],[Audit Candidate 6]]-Audit[[#This Row],[Candidate 6]], "")</f>
        <v/>
      </c>
      <c r="AK637" s="17" t="str">
        <f>IF(NOT(ISBLANK(Audit[[#This Row],[Audit Candidate 7]])), Audit[[#This Row],[Audit Candidate 7]]-Audit[[#This Row],[Candidate 7]], "")</f>
        <v/>
      </c>
      <c r="AL637" s="17" t="str">
        <f>IF(NOT(ISBLANK(Audit[[#This Row],[Audit Candidate 8]])), Audit[[#This Row],[Audit Candidate 8]]-Audit[[#This Row],[Candidate 8]], "")</f>
        <v/>
      </c>
      <c r="AM637" s="17" t="str">
        <f>IF(NOT(ISBLANK(Audit[[#This Row],[Audit Candidate 9]])), Audit[[#This Row],[Audit Candidate 9]]-Audit[[#This Row],[Candidate 9]], "")</f>
        <v/>
      </c>
      <c r="AN637" s="17" t="str">
        <f>IF(NOT(ISBLANK(Audit[[#This Row],[Audit Candidate 10]])), Audit[[#This Row],[Audit Candidate 10]]-Audit[[#This Row],[Candidate 10]], "")</f>
        <v/>
      </c>
      <c r="AO637" s="17" t="str">
        <f>IF(NOT(ISBLANK(Audit[[#This Row],[Audit Candidate 11]])), Audit[[#This Row],[Audit Candidate 11]]-Audit[[#This Row],[Candidate 11]], "")</f>
        <v/>
      </c>
      <c r="AP637" s="17" t="str">
        <f>IF(NOT(ISBLANK(Audit[[#This Row],[Audit Candidate 12]])), Audit[[#This Row],[Audit Candidate 12]]-Audit[[#This Row],[Candidate 12]], "")</f>
        <v/>
      </c>
      <c r="AQ637" s="17">
        <f>SUMIF(Audit[[#This Row],[Difference Winner]:[Difference Candidate 12]], "&gt;0")</f>
        <v>0</v>
      </c>
      <c r="AR637" s="17">
        <f>SUM(Audit[[#This Row],[Difference Winner]:[Difference Candidate 12]])</f>
        <v>0</v>
      </c>
      <c r="AS637" s="17">
        <f>IF(Audit[[#This Row],[Times p Drawn - With Replacement]]&gt;0, IF(Audit[[#This Row],[Canceled Differences]]&lt;0, Audit[[#This Row],[Max Differences]]+ABS(Audit[[#This Row],[Canceled Differences]]), Audit[[#This Row],[Max Differences]]), 0)</f>
        <v>0</v>
      </c>
      <c r="AT637" s="17">
        <f>'Sampling Data'!AB637</f>
        <v>2.7244949923612288E-2</v>
      </c>
      <c r="AU637" s="17">
        <f>IF(
      SUM(Audit[[#This Row],[Audit Losing Candidate]:[Audit Candidate 12]])
      &lt;&gt;0,
      (Audit[[#This Row],[Winning Candidate]]-Audit[[#This Row],[Losing Candidate]]-(Audit[[#This Row],[Audit Winning Candidate]]-Audit[[#This Row],[Audit Losing Candidate]]))/(Audit[[#Totals],[Winning Candidate]]-Audit[[#Totals],[Losing Candidate]]),
      0
)</f>
        <v>0</v>
      </c>
      <c r="AV6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7" s="17">
        <f>IF(Audit[[#This Row],[Max Relative Error (ep)]] = 0, 0, Audit[[#This Row],[Max Relative Error (ep)]]/Audit[[#This Row],[Error Bound (up) - Max. possible relative overstatement]])</f>
        <v>0</v>
      </c>
      <c r="BH6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37" s="17">
        <f t="shared" si="10"/>
        <v>1</v>
      </c>
      <c r="BJ637" s="17">
        <f>PRODUCT($BI$5:BI637)</f>
        <v>0.2820605838008714</v>
      </c>
      <c r="BK637" s="19">
        <f>1 - Audit[[#This Row],[K-M P Value]]</f>
        <v>0.7179394161991286</v>
      </c>
      <c r="BL637" s="17" t="str">
        <f>IF(Audit[[#This Row],[K-M P Value]]&gt;1-'General Info'!$B$12,"Continue", "Stop")</f>
        <v>Continue</v>
      </c>
      <c r="BM637" s="22" t="b">
        <f>IF(Audit[[#This Row],[Status - Continue or stop audit]] = "Continue", TRUE, IF(BL636 = "Continue", TRUE, FALSE))</f>
        <v>1</v>
      </c>
      <c r="BN637" s="22"/>
    </row>
    <row r="638" spans="1:66" ht="15" hidden="1" customHeight="1" x14ac:dyDescent="0.35">
      <c r="A638" s="17" t="str">
        <f>'Sampling Data'!AI638</f>
        <v/>
      </c>
      <c r="B638" s="17" t="str">
        <f>'Sampling Data'!A638</f>
        <v>1002 CIN 10-B   (ED)</v>
      </c>
      <c r="C638" s="17">
        <f>'Sampling Data'!B638</f>
        <v>269</v>
      </c>
      <c r="D638" s="17">
        <f>'Sampling Data'!C638</f>
        <v>51</v>
      </c>
      <c r="E638" s="18">
        <f>'Sampling Data'!D638</f>
        <v>0</v>
      </c>
      <c r="F638" s="18">
        <f>'Sampling Data'!E638</f>
        <v>0</v>
      </c>
      <c r="G638" s="18">
        <f>'Sampling Data'!F638</f>
        <v>0</v>
      </c>
      <c r="H638" s="18">
        <f>'Sampling Data'!G638</f>
        <v>0</v>
      </c>
      <c r="I638" s="18">
        <f>'Sampling Data'!H638</f>
        <v>0</v>
      </c>
      <c r="J638" s="18">
        <f>'Sampling Data'!I638</f>
        <v>0</v>
      </c>
      <c r="K638" s="18">
        <f>'Sampling Data'!J638</f>
        <v>0</v>
      </c>
      <c r="L638" s="18">
        <f>'Sampling Data'!K638</f>
        <v>0</v>
      </c>
      <c r="M638" s="18">
        <f>'Sampling Data'!L638</f>
        <v>0</v>
      </c>
      <c r="N638" s="18">
        <f>'Sampling Data'!M638</f>
        <v>0</v>
      </c>
      <c r="O638" s="17">
        <f>'Sampling Data'!N638</f>
        <v>1</v>
      </c>
      <c r="P638" s="17">
        <f>'Sampling Data'!O638</f>
        <v>27</v>
      </c>
      <c r="Q638" s="17">
        <f>'Sampling Data'!P638</f>
        <v>348</v>
      </c>
      <c r="R638" s="17">
        <f>'Sampling Data'!AJ638</f>
        <v>0</v>
      </c>
      <c r="S638" s="111"/>
      <c r="T638" s="111"/>
      <c r="U638" s="112"/>
      <c r="V638" s="112"/>
      <c r="W638" s="111"/>
      <c r="X638" s="111"/>
      <c r="Y638" s="111"/>
      <c r="Z638" s="111"/>
      <c r="AA638" s="14"/>
      <c r="AB638" s="14"/>
      <c r="AC638" s="14"/>
      <c r="AD638" s="14"/>
      <c r="AE638" s="113" t="str">
        <f>IF(NOT(ISBLANK(Audit[[#This Row],[Audit Winning Candidate]])), Audit[[#This Row],[Audit Winning Candidate]]-Audit[[#This Row],[Winning Candidate]], "")</f>
        <v/>
      </c>
      <c r="AF638" s="17" t="str">
        <f>IF(NOT(ISBLANK(Audit[[#This Row],[Audit Losing Candidate]])), Audit[[#This Row],[Audit Losing Candidate]]-Audit[[#This Row],[Losing Candidate]], "")</f>
        <v/>
      </c>
      <c r="AG638" s="17" t="str">
        <f>IF(NOT(ISBLANK(Audit[[#This Row],[Audit Candidate 3]])), Audit[[#This Row],[Audit Candidate 3]]-Audit[[#This Row],[Candidate 3]], "")</f>
        <v/>
      </c>
      <c r="AH638" s="17" t="str">
        <f>IF(NOT(ISBLANK(Audit[[#This Row],[Audit Candidate 4]])),Audit[[#This Row],[Audit Candidate 4]]-Audit[[#This Row],[Candidate 4]], "")</f>
        <v/>
      </c>
      <c r="AI638" s="17" t="str">
        <f>IF(NOT(ISBLANK(Audit[[#This Row],[Audit Candidate 5]])), Audit[[#This Row],[Audit Candidate 5]]-Audit[[#This Row],[Candidate 5]], "")</f>
        <v/>
      </c>
      <c r="AJ638" s="17" t="str">
        <f>IF(NOT(ISBLANK(Audit[[#This Row],[Audit Candidate 6]])), Audit[[#This Row],[Audit Candidate 6]]-Audit[[#This Row],[Candidate 6]], "")</f>
        <v/>
      </c>
      <c r="AK638" s="17" t="str">
        <f>IF(NOT(ISBLANK(Audit[[#This Row],[Audit Candidate 7]])), Audit[[#This Row],[Audit Candidate 7]]-Audit[[#This Row],[Candidate 7]], "")</f>
        <v/>
      </c>
      <c r="AL638" s="17" t="str">
        <f>IF(NOT(ISBLANK(Audit[[#This Row],[Audit Candidate 8]])), Audit[[#This Row],[Audit Candidate 8]]-Audit[[#This Row],[Candidate 8]], "")</f>
        <v/>
      </c>
      <c r="AM638" s="17" t="str">
        <f>IF(NOT(ISBLANK(Audit[[#This Row],[Audit Candidate 9]])), Audit[[#This Row],[Audit Candidate 9]]-Audit[[#This Row],[Candidate 9]], "")</f>
        <v/>
      </c>
      <c r="AN638" s="17" t="str">
        <f>IF(NOT(ISBLANK(Audit[[#This Row],[Audit Candidate 10]])), Audit[[#This Row],[Audit Candidate 10]]-Audit[[#This Row],[Candidate 10]], "")</f>
        <v/>
      </c>
      <c r="AO638" s="17" t="str">
        <f>IF(NOT(ISBLANK(Audit[[#This Row],[Audit Candidate 11]])), Audit[[#This Row],[Audit Candidate 11]]-Audit[[#This Row],[Candidate 11]], "")</f>
        <v/>
      </c>
      <c r="AP638" s="17" t="str">
        <f>IF(NOT(ISBLANK(Audit[[#This Row],[Audit Candidate 12]])), Audit[[#This Row],[Audit Candidate 12]]-Audit[[#This Row],[Candidate 12]], "")</f>
        <v/>
      </c>
      <c r="AQ638" s="17">
        <f>SUMIF(Audit[[#This Row],[Difference Winner]:[Difference Candidate 12]], "&gt;0")</f>
        <v>0</v>
      </c>
      <c r="AR638" s="17">
        <f>SUM(Audit[[#This Row],[Difference Winner]:[Difference Candidate 12]])</f>
        <v>0</v>
      </c>
      <c r="AS638" s="17">
        <f>IF(Audit[[#This Row],[Times p Drawn - With Replacement]]&gt;0, IF(Audit[[#This Row],[Canceled Differences]]&lt;0, Audit[[#This Row],[Max Differences]]+ABS(Audit[[#This Row],[Canceled Differences]]), Audit[[#This Row],[Max Differences]]), 0)</f>
        <v>0</v>
      </c>
      <c r="AT638" s="17">
        <f>'Sampling Data'!AB638</f>
        <v>2.4019691054150399E-2</v>
      </c>
      <c r="AU638" s="17">
        <f>IF(
      SUM(Audit[[#This Row],[Audit Losing Candidate]:[Audit Candidate 12]])
      &lt;&gt;0,
      (Audit[[#This Row],[Winning Candidate]]-Audit[[#This Row],[Losing Candidate]]-(Audit[[#This Row],[Audit Winning Candidate]]-Audit[[#This Row],[Audit Losing Candidate]]))/(Audit[[#Totals],[Winning Candidate]]-Audit[[#Totals],[Losing Candidate]]),
      0
)</f>
        <v>0</v>
      </c>
      <c r="AV6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8" s="17">
        <f>IF(Audit[[#This Row],[Max Relative Error (ep)]] = 0, 0, Audit[[#This Row],[Max Relative Error (ep)]]/Audit[[#This Row],[Error Bound (up) - Max. possible relative overstatement]])</f>
        <v>0</v>
      </c>
      <c r="BH6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38" s="17">
        <f t="shared" si="10"/>
        <v>1</v>
      </c>
      <c r="BJ638" s="17">
        <f>PRODUCT($BI$5:BI638)</f>
        <v>0.2820605838008714</v>
      </c>
      <c r="BK638" s="19">
        <f>1 - Audit[[#This Row],[K-M P Value]]</f>
        <v>0.7179394161991286</v>
      </c>
      <c r="BL638" s="17" t="str">
        <f>IF(Audit[[#This Row],[K-M P Value]]&gt;1-'General Info'!$B$12,"Continue", "Stop")</f>
        <v>Continue</v>
      </c>
      <c r="BM638" s="22" t="b">
        <f>IF(Audit[[#This Row],[Status - Continue or stop audit]] = "Continue", TRUE, IF(BL637 = "Continue", TRUE, FALSE))</f>
        <v>1</v>
      </c>
      <c r="BN638" s="22"/>
    </row>
    <row r="639" spans="1:66" ht="15" hidden="1" customHeight="1" x14ac:dyDescent="0.35">
      <c r="A639" s="17" t="str">
        <f>'Sampling Data'!AI639</f>
        <v/>
      </c>
      <c r="B639" s="17" t="str">
        <f>'Sampling Data'!A639</f>
        <v>1003 CIN 10-C   (ED)</v>
      </c>
      <c r="C639" s="17">
        <f>'Sampling Data'!B639</f>
        <v>286</v>
      </c>
      <c r="D639" s="17">
        <f>'Sampling Data'!C639</f>
        <v>45</v>
      </c>
      <c r="E639" s="18">
        <f>'Sampling Data'!D639</f>
        <v>0</v>
      </c>
      <c r="F639" s="18">
        <f>'Sampling Data'!E639</f>
        <v>0</v>
      </c>
      <c r="G639" s="18">
        <f>'Sampling Data'!F639</f>
        <v>0</v>
      </c>
      <c r="H639" s="18">
        <f>'Sampling Data'!G639</f>
        <v>0</v>
      </c>
      <c r="I639" s="18">
        <f>'Sampling Data'!H639</f>
        <v>0</v>
      </c>
      <c r="J639" s="18">
        <f>'Sampling Data'!I639</f>
        <v>0</v>
      </c>
      <c r="K639" s="18">
        <f>'Sampling Data'!J639</f>
        <v>0</v>
      </c>
      <c r="L639" s="18">
        <f>'Sampling Data'!K639</f>
        <v>0</v>
      </c>
      <c r="M639" s="18">
        <f>'Sampling Data'!L639</f>
        <v>0</v>
      </c>
      <c r="N639" s="18">
        <f>'Sampling Data'!M639</f>
        <v>0</v>
      </c>
      <c r="O639" s="17">
        <f>'Sampling Data'!N639</f>
        <v>0</v>
      </c>
      <c r="P639" s="17">
        <f>'Sampling Data'!O639</f>
        <v>25</v>
      </c>
      <c r="Q639" s="17">
        <f>'Sampling Data'!P639</f>
        <v>356</v>
      </c>
      <c r="R639" s="17">
        <f>'Sampling Data'!AJ639</f>
        <v>0</v>
      </c>
      <c r="S639" s="111"/>
      <c r="T639" s="111"/>
      <c r="U639" s="112"/>
      <c r="V639" s="112"/>
      <c r="W639" s="111"/>
      <c r="X639" s="111"/>
      <c r="Y639" s="111"/>
      <c r="Z639" s="111"/>
      <c r="AA639" s="14"/>
      <c r="AB639" s="14"/>
      <c r="AC639" s="14"/>
      <c r="AD639" s="14"/>
      <c r="AE639" s="113" t="str">
        <f>IF(NOT(ISBLANK(Audit[[#This Row],[Audit Winning Candidate]])), Audit[[#This Row],[Audit Winning Candidate]]-Audit[[#This Row],[Winning Candidate]], "")</f>
        <v/>
      </c>
      <c r="AF639" s="17" t="str">
        <f>IF(NOT(ISBLANK(Audit[[#This Row],[Audit Losing Candidate]])), Audit[[#This Row],[Audit Losing Candidate]]-Audit[[#This Row],[Losing Candidate]], "")</f>
        <v/>
      </c>
      <c r="AG639" s="17" t="str">
        <f>IF(NOT(ISBLANK(Audit[[#This Row],[Audit Candidate 3]])), Audit[[#This Row],[Audit Candidate 3]]-Audit[[#This Row],[Candidate 3]], "")</f>
        <v/>
      </c>
      <c r="AH639" s="17" t="str">
        <f>IF(NOT(ISBLANK(Audit[[#This Row],[Audit Candidate 4]])),Audit[[#This Row],[Audit Candidate 4]]-Audit[[#This Row],[Candidate 4]], "")</f>
        <v/>
      </c>
      <c r="AI639" s="17" t="str">
        <f>IF(NOT(ISBLANK(Audit[[#This Row],[Audit Candidate 5]])), Audit[[#This Row],[Audit Candidate 5]]-Audit[[#This Row],[Candidate 5]], "")</f>
        <v/>
      </c>
      <c r="AJ639" s="17" t="str">
        <f>IF(NOT(ISBLANK(Audit[[#This Row],[Audit Candidate 6]])), Audit[[#This Row],[Audit Candidate 6]]-Audit[[#This Row],[Candidate 6]], "")</f>
        <v/>
      </c>
      <c r="AK639" s="17" t="str">
        <f>IF(NOT(ISBLANK(Audit[[#This Row],[Audit Candidate 7]])), Audit[[#This Row],[Audit Candidate 7]]-Audit[[#This Row],[Candidate 7]], "")</f>
        <v/>
      </c>
      <c r="AL639" s="17" t="str">
        <f>IF(NOT(ISBLANK(Audit[[#This Row],[Audit Candidate 8]])), Audit[[#This Row],[Audit Candidate 8]]-Audit[[#This Row],[Candidate 8]], "")</f>
        <v/>
      </c>
      <c r="AM639" s="17" t="str">
        <f>IF(NOT(ISBLANK(Audit[[#This Row],[Audit Candidate 9]])), Audit[[#This Row],[Audit Candidate 9]]-Audit[[#This Row],[Candidate 9]], "")</f>
        <v/>
      </c>
      <c r="AN639" s="17" t="str">
        <f>IF(NOT(ISBLANK(Audit[[#This Row],[Audit Candidate 10]])), Audit[[#This Row],[Audit Candidate 10]]-Audit[[#This Row],[Candidate 10]], "")</f>
        <v/>
      </c>
      <c r="AO639" s="17" t="str">
        <f>IF(NOT(ISBLANK(Audit[[#This Row],[Audit Candidate 11]])), Audit[[#This Row],[Audit Candidate 11]]-Audit[[#This Row],[Candidate 11]], "")</f>
        <v/>
      </c>
      <c r="AP639" s="17" t="str">
        <f>IF(NOT(ISBLANK(Audit[[#This Row],[Audit Candidate 12]])), Audit[[#This Row],[Audit Candidate 12]]-Audit[[#This Row],[Candidate 12]], "")</f>
        <v/>
      </c>
      <c r="AQ639" s="17">
        <f>SUMIF(Audit[[#This Row],[Difference Winner]:[Difference Candidate 12]], "&gt;0")</f>
        <v>0</v>
      </c>
      <c r="AR639" s="17">
        <f>SUM(Audit[[#This Row],[Difference Winner]:[Difference Candidate 12]])</f>
        <v>0</v>
      </c>
      <c r="AS639" s="17">
        <f>IF(Audit[[#This Row],[Times p Drawn - With Replacement]]&gt;0, IF(Audit[[#This Row],[Canceled Differences]]&lt;0, Audit[[#This Row],[Max Differences]]+ABS(Audit[[#This Row],[Canceled Differences]]), Audit[[#This Row],[Max Differences]]), 0)</f>
        <v>0</v>
      </c>
      <c r="AT639" s="17">
        <f>'Sampling Data'!AB639</f>
        <v>2.5335257171957223E-2</v>
      </c>
      <c r="AU639" s="17">
        <f>IF(
      SUM(Audit[[#This Row],[Audit Losing Candidate]:[Audit Candidate 12]])
      &lt;&gt;0,
      (Audit[[#This Row],[Winning Candidate]]-Audit[[#This Row],[Losing Candidate]]-(Audit[[#This Row],[Audit Winning Candidate]]-Audit[[#This Row],[Audit Losing Candidate]]))/(Audit[[#Totals],[Winning Candidate]]-Audit[[#Totals],[Losing Candidate]]),
      0
)</f>
        <v>0</v>
      </c>
      <c r="AV6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9" s="17">
        <f>IF(Audit[[#This Row],[Max Relative Error (ep)]] = 0, 0, Audit[[#This Row],[Max Relative Error (ep)]]/Audit[[#This Row],[Error Bound (up) - Max. possible relative overstatement]])</f>
        <v>0</v>
      </c>
      <c r="BH6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39" s="17">
        <f t="shared" si="10"/>
        <v>1</v>
      </c>
      <c r="BJ639" s="17">
        <f>PRODUCT($BI$5:BI639)</f>
        <v>0.2820605838008714</v>
      </c>
      <c r="BK639" s="19">
        <f>1 - Audit[[#This Row],[K-M P Value]]</f>
        <v>0.7179394161991286</v>
      </c>
      <c r="BL639" s="17" t="str">
        <f>IF(Audit[[#This Row],[K-M P Value]]&gt;1-'General Info'!$B$12,"Continue", "Stop")</f>
        <v>Continue</v>
      </c>
      <c r="BM639" s="22" t="b">
        <f>IF(Audit[[#This Row],[Status - Continue or stop audit]] = "Continue", TRUE, IF(BL638 = "Continue", TRUE, FALSE))</f>
        <v>1</v>
      </c>
      <c r="BN639" s="22"/>
    </row>
    <row r="640" spans="1:66" ht="15" hidden="1" customHeight="1" x14ac:dyDescent="0.35">
      <c r="A640" s="17" t="str">
        <f>'Sampling Data'!AI640</f>
        <v/>
      </c>
      <c r="B640" s="17" t="str">
        <f>'Sampling Data'!A640</f>
        <v>1101 CIN 11-A   (ED)</v>
      </c>
      <c r="C640" s="17">
        <f>'Sampling Data'!B640</f>
        <v>263</v>
      </c>
      <c r="D640" s="17">
        <f>'Sampling Data'!C640</f>
        <v>72</v>
      </c>
      <c r="E640" s="18">
        <f>'Sampling Data'!D640</f>
        <v>0</v>
      </c>
      <c r="F640" s="18">
        <f>'Sampling Data'!E640</f>
        <v>0</v>
      </c>
      <c r="G640" s="18">
        <f>'Sampling Data'!F640</f>
        <v>0</v>
      </c>
      <c r="H640" s="18">
        <f>'Sampling Data'!G640</f>
        <v>0</v>
      </c>
      <c r="I640" s="18">
        <f>'Sampling Data'!H640</f>
        <v>0</v>
      </c>
      <c r="J640" s="18">
        <f>'Sampling Data'!I640</f>
        <v>0</v>
      </c>
      <c r="K640" s="18">
        <f>'Sampling Data'!J640</f>
        <v>0</v>
      </c>
      <c r="L640" s="18">
        <f>'Sampling Data'!K640</f>
        <v>0</v>
      </c>
      <c r="M640" s="18">
        <f>'Sampling Data'!L640</f>
        <v>0</v>
      </c>
      <c r="N640" s="18">
        <f>'Sampling Data'!M640</f>
        <v>0</v>
      </c>
      <c r="O640" s="17">
        <f>'Sampling Data'!N640</f>
        <v>1</v>
      </c>
      <c r="P640" s="17">
        <f>'Sampling Data'!O640</f>
        <v>31</v>
      </c>
      <c r="Q640" s="17">
        <f>'Sampling Data'!P640</f>
        <v>367</v>
      </c>
      <c r="R640" s="17">
        <f>'Sampling Data'!AJ640</f>
        <v>0</v>
      </c>
      <c r="S640" s="111"/>
      <c r="T640" s="111"/>
      <c r="U640" s="112"/>
      <c r="V640" s="112"/>
      <c r="W640" s="111"/>
      <c r="X640" s="111"/>
      <c r="Y640" s="111"/>
      <c r="Z640" s="111"/>
      <c r="AA640" s="14"/>
      <c r="AB640" s="14"/>
      <c r="AC640" s="14"/>
      <c r="AD640" s="14"/>
      <c r="AE640" s="113" t="str">
        <f>IF(NOT(ISBLANK(Audit[[#This Row],[Audit Winning Candidate]])), Audit[[#This Row],[Audit Winning Candidate]]-Audit[[#This Row],[Winning Candidate]], "")</f>
        <v/>
      </c>
      <c r="AF640" s="17" t="str">
        <f>IF(NOT(ISBLANK(Audit[[#This Row],[Audit Losing Candidate]])), Audit[[#This Row],[Audit Losing Candidate]]-Audit[[#This Row],[Losing Candidate]], "")</f>
        <v/>
      </c>
      <c r="AG640" s="17" t="str">
        <f>IF(NOT(ISBLANK(Audit[[#This Row],[Audit Candidate 3]])), Audit[[#This Row],[Audit Candidate 3]]-Audit[[#This Row],[Candidate 3]], "")</f>
        <v/>
      </c>
      <c r="AH640" s="17" t="str">
        <f>IF(NOT(ISBLANK(Audit[[#This Row],[Audit Candidate 4]])),Audit[[#This Row],[Audit Candidate 4]]-Audit[[#This Row],[Candidate 4]], "")</f>
        <v/>
      </c>
      <c r="AI640" s="17" t="str">
        <f>IF(NOT(ISBLANK(Audit[[#This Row],[Audit Candidate 5]])), Audit[[#This Row],[Audit Candidate 5]]-Audit[[#This Row],[Candidate 5]], "")</f>
        <v/>
      </c>
      <c r="AJ640" s="17" t="str">
        <f>IF(NOT(ISBLANK(Audit[[#This Row],[Audit Candidate 6]])), Audit[[#This Row],[Audit Candidate 6]]-Audit[[#This Row],[Candidate 6]], "")</f>
        <v/>
      </c>
      <c r="AK640" s="17" t="str">
        <f>IF(NOT(ISBLANK(Audit[[#This Row],[Audit Candidate 7]])), Audit[[#This Row],[Audit Candidate 7]]-Audit[[#This Row],[Candidate 7]], "")</f>
        <v/>
      </c>
      <c r="AL640" s="17" t="str">
        <f>IF(NOT(ISBLANK(Audit[[#This Row],[Audit Candidate 8]])), Audit[[#This Row],[Audit Candidate 8]]-Audit[[#This Row],[Candidate 8]], "")</f>
        <v/>
      </c>
      <c r="AM640" s="17" t="str">
        <f>IF(NOT(ISBLANK(Audit[[#This Row],[Audit Candidate 9]])), Audit[[#This Row],[Audit Candidate 9]]-Audit[[#This Row],[Candidate 9]], "")</f>
        <v/>
      </c>
      <c r="AN640" s="17" t="str">
        <f>IF(NOT(ISBLANK(Audit[[#This Row],[Audit Candidate 10]])), Audit[[#This Row],[Audit Candidate 10]]-Audit[[#This Row],[Candidate 10]], "")</f>
        <v/>
      </c>
      <c r="AO640" s="17" t="str">
        <f>IF(NOT(ISBLANK(Audit[[#This Row],[Audit Candidate 11]])), Audit[[#This Row],[Audit Candidate 11]]-Audit[[#This Row],[Candidate 11]], "")</f>
        <v/>
      </c>
      <c r="AP640" s="17" t="str">
        <f>IF(NOT(ISBLANK(Audit[[#This Row],[Audit Candidate 12]])), Audit[[#This Row],[Audit Candidate 12]]-Audit[[#This Row],[Candidate 12]], "")</f>
        <v/>
      </c>
      <c r="AQ640" s="17">
        <f>SUMIF(Audit[[#This Row],[Difference Winner]:[Difference Candidate 12]], "&gt;0")</f>
        <v>0</v>
      </c>
      <c r="AR640" s="17">
        <f>SUM(Audit[[#This Row],[Difference Winner]:[Difference Candidate 12]])</f>
        <v>0</v>
      </c>
      <c r="AS640" s="17">
        <f>IF(Audit[[#This Row],[Times p Drawn - With Replacement]]&gt;0, IF(Audit[[#This Row],[Canceled Differences]]&lt;0, Audit[[#This Row],[Max Differences]]+ABS(Audit[[#This Row],[Canceled Differences]]), Audit[[#This Row],[Max Differences]]), 0)</f>
        <v>0</v>
      </c>
      <c r="AT640" s="17">
        <f>'Sampling Data'!AB640</f>
        <v>2.3680190120522832E-2</v>
      </c>
      <c r="AU640" s="17">
        <f>IF(
      SUM(Audit[[#This Row],[Audit Losing Candidate]:[Audit Candidate 12]])
      &lt;&gt;0,
      (Audit[[#This Row],[Winning Candidate]]-Audit[[#This Row],[Losing Candidate]]-(Audit[[#This Row],[Audit Winning Candidate]]-Audit[[#This Row],[Audit Losing Candidate]]))/(Audit[[#Totals],[Winning Candidate]]-Audit[[#Totals],[Losing Candidate]]),
      0
)</f>
        <v>0</v>
      </c>
      <c r="AV6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0" s="17">
        <f>IF(Audit[[#This Row],[Max Relative Error (ep)]] = 0, 0, Audit[[#This Row],[Max Relative Error (ep)]]/Audit[[#This Row],[Error Bound (up) - Max. possible relative overstatement]])</f>
        <v>0</v>
      </c>
      <c r="BH6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40" s="17">
        <f t="shared" si="10"/>
        <v>1</v>
      </c>
      <c r="BJ640" s="17">
        <f>PRODUCT($BI$5:BI640)</f>
        <v>0.2820605838008714</v>
      </c>
      <c r="BK640" s="19">
        <f>1 - Audit[[#This Row],[K-M P Value]]</f>
        <v>0.7179394161991286</v>
      </c>
      <c r="BL640" s="17" t="str">
        <f>IF(Audit[[#This Row],[K-M P Value]]&gt;1-'General Info'!$B$12,"Continue", "Stop")</f>
        <v>Continue</v>
      </c>
      <c r="BM640" s="22" t="b">
        <f>IF(Audit[[#This Row],[Status - Continue or stop audit]] = "Continue", TRUE, IF(BL639 = "Continue", TRUE, FALSE))</f>
        <v>1</v>
      </c>
      <c r="BN640" s="22"/>
    </row>
    <row r="641" spans="1:66" ht="15" hidden="1" customHeight="1" x14ac:dyDescent="0.35">
      <c r="A641" s="17" t="str">
        <f>'Sampling Data'!AI641</f>
        <v/>
      </c>
      <c r="B641" s="17" t="str">
        <f>'Sampling Data'!A641</f>
        <v>1102 CIN 11-B   (ED)</v>
      </c>
      <c r="C641" s="17">
        <f>'Sampling Data'!B641</f>
        <v>239</v>
      </c>
      <c r="D641" s="17">
        <f>'Sampling Data'!C641</f>
        <v>74</v>
      </c>
      <c r="E641" s="18">
        <f>'Sampling Data'!D641</f>
        <v>0</v>
      </c>
      <c r="F641" s="18">
        <f>'Sampling Data'!E641</f>
        <v>0</v>
      </c>
      <c r="G641" s="18">
        <f>'Sampling Data'!F641</f>
        <v>0</v>
      </c>
      <c r="H641" s="18">
        <f>'Sampling Data'!G641</f>
        <v>0</v>
      </c>
      <c r="I641" s="18">
        <f>'Sampling Data'!H641</f>
        <v>0</v>
      </c>
      <c r="J641" s="18">
        <f>'Sampling Data'!I641</f>
        <v>0</v>
      </c>
      <c r="K641" s="18">
        <f>'Sampling Data'!J641</f>
        <v>0</v>
      </c>
      <c r="L641" s="18">
        <f>'Sampling Data'!K641</f>
        <v>0</v>
      </c>
      <c r="M641" s="18">
        <f>'Sampling Data'!L641</f>
        <v>0</v>
      </c>
      <c r="N641" s="18">
        <f>'Sampling Data'!M641</f>
        <v>0</v>
      </c>
      <c r="O641" s="17">
        <f>'Sampling Data'!N641</f>
        <v>0</v>
      </c>
      <c r="P641" s="17">
        <f>'Sampling Data'!O641</f>
        <v>24</v>
      </c>
      <c r="Q641" s="17">
        <f>'Sampling Data'!P641</f>
        <v>337</v>
      </c>
      <c r="R641" s="17">
        <f>'Sampling Data'!AJ641</f>
        <v>0</v>
      </c>
      <c r="S641" s="111"/>
      <c r="T641" s="111"/>
      <c r="U641" s="112"/>
      <c r="V641" s="112"/>
      <c r="W641" s="111"/>
      <c r="X641" s="111"/>
      <c r="Y641" s="111"/>
      <c r="Z641" s="111"/>
      <c r="AA641" s="14"/>
      <c r="AB641" s="14"/>
      <c r="AC641" s="14"/>
      <c r="AD641" s="14"/>
      <c r="AE641" s="113" t="str">
        <f>IF(NOT(ISBLANK(Audit[[#This Row],[Audit Winning Candidate]])), Audit[[#This Row],[Audit Winning Candidate]]-Audit[[#This Row],[Winning Candidate]], "")</f>
        <v/>
      </c>
      <c r="AF641" s="17" t="str">
        <f>IF(NOT(ISBLANK(Audit[[#This Row],[Audit Losing Candidate]])), Audit[[#This Row],[Audit Losing Candidate]]-Audit[[#This Row],[Losing Candidate]], "")</f>
        <v/>
      </c>
      <c r="AG641" s="17" t="str">
        <f>IF(NOT(ISBLANK(Audit[[#This Row],[Audit Candidate 3]])), Audit[[#This Row],[Audit Candidate 3]]-Audit[[#This Row],[Candidate 3]], "")</f>
        <v/>
      </c>
      <c r="AH641" s="17" t="str">
        <f>IF(NOT(ISBLANK(Audit[[#This Row],[Audit Candidate 4]])),Audit[[#This Row],[Audit Candidate 4]]-Audit[[#This Row],[Candidate 4]], "")</f>
        <v/>
      </c>
      <c r="AI641" s="17" t="str">
        <f>IF(NOT(ISBLANK(Audit[[#This Row],[Audit Candidate 5]])), Audit[[#This Row],[Audit Candidate 5]]-Audit[[#This Row],[Candidate 5]], "")</f>
        <v/>
      </c>
      <c r="AJ641" s="17" t="str">
        <f>IF(NOT(ISBLANK(Audit[[#This Row],[Audit Candidate 6]])), Audit[[#This Row],[Audit Candidate 6]]-Audit[[#This Row],[Candidate 6]], "")</f>
        <v/>
      </c>
      <c r="AK641" s="17" t="str">
        <f>IF(NOT(ISBLANK(Audit[[#This Row],[Audit Candidate 7]])), Audit[[#This Row],[Audit Candidate 7]]-Audit[[#This Row],[Candidate 7]], "")</f>
        <v/>
      </c>
      <c r="AL641" s="17" t="str">
        <f>IF(NOT(ISBLANK(Audit[[#This Row],[Audit Candidate 8]])), Audit[[#This Row],[Audit Candidate 8]]-Audit[[#This Row],[Candidate 8]], "")</f>
        <v/>
      </c>
      <c r="AM641" s="17" t="str">
        <f>IF(NOT(ISBLANK(Audit[[#This Row],[Audit Candidate 9]])), Audit[[#This Row],[Audit Candidate 9]]-Audit[[#This Row],[Candidate 9]], "")</f>
        <v/>
      </c>
      <c r="AN641" s="17" t="str">
        <f>IF(NOT(ISBLANK(Audit[[#This Row],[Audit Candidate 10]])), Audit[[#This Row],[Audit Candidate 10]]-Audit[[#This Row],[Candidate 10]], "")</f>
        <v/>
      </c>
      <c r="AO641" s="17" t="str">
        <f>IF(NOT(ISBLANK(Audit[[#This Row],[Audit Candidate 11]])), Audit[[#This Row],[Audit Candidate 11]]-Audit[[#This Row],[Candidate 11]], "")</f>
        <v/>
      </c>
      <c r="AP641" s="17" t="str">
        <f>IF(NOT(ISBLANK(Audit[[#This Row],[Audit Candidate 12]])), Audit[[#This Row],[Audit Candidate 12]]-Audit[[#This Row],[Candidate 12]], "")</f>
        <v/>
      </c>
      <c r="AQ641" s="17">
        <f>SUMIF(Audit[[#This Row],[Difference Winner]:[Difference Candidate 12]], "&gt;0")</f>
        <v>0</v>
      </c>
      <c r="AR641" s="17">
        <f>SUM(Audit[[#This Row],[Difference Winner]:[Difference Candidate 12]])</f>
        <v>0</v>
      </c>
      <c r="AS641" s="17">
        <f>IF(Audit[[#This Row],[Times p Drawn - With Replacement]]&gt;0, IF(Audit[[#This Row],[Canceled Differences]]&lt;0, Audit[[#This Row],[Max Differences]]+ABS(Audit[[#This Row],[Canceled Differences]]), Audit[[#This Row],[Max Differences]]), 0)</f>
        <v>0</v>
      </c>
      <c r="AT641" s="17">
        <f>'Sampling Data'!AB641</f>
        <v>2.1303683585129858E-2</v>
      </c>
      <c r="AU641" s="17">
        <f>IF(
      SUM(Audit[[#This Row],[Audit Losing Candidate]:[Audit Candidate 12]])
      &lt;&gt;0,
      (Audit[[#This Row],[Winning Candidate]]-Audit[[#This Row],[Losing Candidate]]-(Audit[[#This Row],[Audit Winning Candidate]]-Audit[[#This Row],[Audit Losing Candidate]]))/(Audit[[#Totals],[Winning Candidate]]-Audit[[#Totals],[Losing Candidate]]),
      0
)</f>
        <v>0</v>
      </c>
      <c r="AV6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1" s="17">
        <f>IF(Audit[[#This Row],[Max Relative Error (ep)]] = 0, 0, Audit[[#This Row],[Max Relative Error (ep)]]/Audit[[#This Row],[Error Bound (up) - Max. possible relative overstatement]])</f>
        <v>0</v>
      </c>
      <c r="BH6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41" s="17">
        <f t="shared" si="10"/>
        <v>1</v>
      </c>
      <c r="BJ641" s="17">
        <f>PRODUCT($BI$5:BI641)</f>
        <v>0.2820605838008714</v>
      </c>
      <c r="BK641" s="19">
        <f>1 - Audit[[#This Row],[K-M P Value]]</f>
        <v>0.7179394161991286</v>
      </c>
      <c r="BL641" s="17" t="str">
        <f>IF(Audit[[#This Row],[K-M P Value]]&gt;1-'General Info'!$B$12,"Continue", "Stop")</f>
        <v>Continue</v>
      </c>
      <c r="BM641" s="22" t="b">
        <f>IF(Audit[[#This Row],[Status - Continue or stop audit]] = "Continue", TRUE, IF(BL640 = "Continue", TRUE, FALSE))</f>
        <v>1</v>
      </c>
      <c r="BN641" s="22"/>
    </row>
    <row r="642" spans="1:66" ht="15" hidden="1" customHeight="1" x14ac:dyDescent="0.35">
      <c r="A642" s="17" t="str">
        <f>'Sampling Data'!AI642</f>
        <v/>
      </c>
      <c r="B642" s="17" t="str">
        <f>'Sampling Data'!A642</f>
        <v>1103 CIN 11-C   (ED)</v>
      </c>
      <c r="C642" s="17">
        <f>'Sampling Data'!B642</f>
        <v>161</v>
      </c>
      <c r="D642" s="17">
        <f>'Sampling Data'!C642</f>
        <v>44</v>
      </c>
      <c r="E642" s="18">
        <f>'Sampling Data'!D642</f>
        <v>0</v>
      </c>
      <c r="F642" s="18">
        <f>'Sampling Data'!E642</f>
        <v>0</v>
      </c>
      <c r="G642" s="18">
        <f>'Sampling Data'!F642</f>
        <v>0</v>
      </c>
      <c r="H642" s="18">
        <f>'Sampling Data'!G642</f>
        <v>0</v>
      </c>
      <c r="I642" s="18">
        <f>'Sampling Data'!H642</f>
        <v>0</v>
      </c>
      <c r="J642" s="18">
        <f>'Sampling Data'!I642</f>
        <v>0</v>
      </c>
      <c r="K642" s="18">
        <f>'Sampling Data'!J642</f>
        <v>0</v>
      </c>
      <c r="L642" s="18">
        <f>'Sampling Data'!K642</f>
        <v>0</v>
      </c>
      <c r="M642" s="18">
        <f>'Sampling Data'!L642</f>
        <v>0</v>
      </c>
      <c r="N642" s="18">
        <f>'Sampling Data'!M642</f>
        <v>0</v>
      </c>
      <c r="O642" s="17">
        <f>'Sampling Data'!N642</f>
        <v>0</v>
      </c>
      <c r="P642" s="17">
        <f>'Sampling Data'!O642</f>
        <v>39</v>
      </c>
      <c r="Q642" s="17">
        <f>'Sampling Data'!P642</f>
        <v>244</v>
      </c>
      <c r="R642" s="17">
        <f>'Sampling Data'!AJ642</f>
        <v>0</v>
      </c>
      <c r="S642" s="111"/>
      <c r="T642" s="111"/>
      <c r="U642" s="112"/>
      <c r="V642" s="112"/>
      <c r="W642" s="111"/>
      <c r="X642" s="111"/>
      <c r="Y642" s="111"/>
      <c r="Z642" s="111"/>
      <c r="AA642" s="14"/>
      <c r="AB642" s="14"/>
      <c r="AC642" s="14"/>
      <c r="AD642" s="14"/>
      <c r="AE642" s="113" t="str">
        <f>IF(NOT(ISBLANK(Audit[[#This Row],[Audit Winning Candidate]])), Audit[[#This Row],[Audit Winning Candidate]]-Audit[[#This Row],[Winning Candidate]], "")</f>
        <v/>
      </c>
      <c r="AF642" s="17" t="str">
        <f>IF(NOT(ISBLANK(Audit[[#This Row],[Audit Losing Candidate]])), Audit[[#This Row],[Audit Losing Candidate]]-Audit[[#This Row],[Losing Candidate]], "")</f>
        <v/>
      </c>
      <c r="AG642" s="17" t="str">
        <f>IF(NOT(ISBLANK(Audit[[#This Row],[Audit Candidate 3]])), Audit[[#This Row],[Audit Candidate 3]]-Audit[[#This Row],[Candidate 3]], "")</f>
        <v/>
      </c>
      <c r="AH642" s="17" t="str">
        <f>IF(NOT(ISBLANK(Audit[[#This Row],[Audit Candidate 4]])),Audit[[#This Row],[Audit Candidate 4]]-Audit[[#This Row],[Candidate 4]], "")</f>
        <v/>
      </c>
      <c r="AI642" s="17" t="str">
        <f>IF(NOT(ISBLANK(Audit[[#This Row],[Audit Candidate 5]])), Audit[[#This Row],[Audit Candidate 5]]-Audit[[#This Row],[Candidate 5]], "")</f>
        <v/>
      </c>
      <c r="AJ642" s="17" t="str">
        <f>IF(NOT(ISBLANK(Audit[[#This Row],[Audit Candidate 6]])), Audit[[#This Row],[Audit Candidate 6]]-Audit[[#This Row],[Candidate 6]], "")</f>
        <v/>
      </c>
      <c r="AK642" s="17" t="str">
        <f>IF(NOT(ISBLANK(Audit[[#This Row],[Audit Candidate 7]])), Audit[[#This Row],[Audit Candidate 7]]-Audit[[#This Row],[Candidate 7]], "")</f>
        <v/>
      </c>
      <c r="AL642" s="17" t="str">
        <f>IF(NOT(ISBLANK(Audit[[#This Row],[Audit Candidate 8]])), Audit[[#This Row],[Audit Candidate 8]]-Audit[[#This Row],[Candidate 8]], "")</f>
        <v/>
      </c>
      <c r="AM642" s="17" t="str">
        <f>IF(NOT(ISBLANK(Audit[[#This Row],[Audit Candidate 9]])), Audit[[#This Row],[Audit Candidate 9]]-Audit[[#This Row],[Candidate 9]], "")</f>
        <v/>
      </c>
      <c r="AN642" s="17" t="str">
        <f>IF(NOT(ISBLANK(Audit[[#This Row],[Audit Candidate 10]])), Audit[[#This Row],[Audit Candidate 10]]-Audit[[#This Row],[Candidate 10]], "")</f>
        <v/>
      </c>
      <c r="AO642" s="17" t="str">
        <f>IF(NOT(ISBLANK(Audit[[#This Row],[Audit Candidate 11]])), Audit[[#This Row],[Audit Candidate 11]]-Audit[[#This Row],[Candidate 11]], "")</f>
        <v/>
      </c>
      <c r="AP642" s="17" t="str">
        <f>IF(NOT(ISBLANK(Audit[[#This Row],[Audit Candidate 12]])), Audit[[#This Row],[Audit Candidate 12]]-Audit[[#This Row],[Candidate 12]], "")</f>
        <v/>
      </c>
      <c r="AQ642" s="17">
        <f>SUMIF(Audit[[#This Row],[Difference Winner]:[Difference Candidate 12]], "&gt;0")</f>
        <v>0</v>
      </c>
      <c r="AR642" s="17">
        <f>SUM(Audit[[#This Row],[Difference Winner]:[Difference Candidate 12]])</f>
        <v>0</v>
      </c>
      <c r="AS642" s="17">
        <f>IF(Audit[[#This Row],[Times p Drawn - With Replacement]]&gt;0, IF(Audit[[#This Row],[Canceled Differences]]&lt;0, Audit[[#This Row],[Max Differences]]+ABS(Audit[[#This Row],[Canceled Differences]]), Audit[[#This Row],[Max Differences]]), 0)</f>
        <v>0</v>
      </c>
      <c r="AT642" s="17">
        <f>'Sampling Data'!AB642</f>
        <v>1.5319979629943982E-2</v>
      </c>
      <c r="AU642" s="17">
        <f>IF(
      SUM(Audit[[#This Row],[Audit Losing Candidate]:[Audit Candidate 12]])
      &lt;&gt;0,
      (Audit[[#This Row],[Winning Candidate]]-Audit[[#This Row],[Losing Candidate]]-(Audit[[#This Row],[Audit Winning Candidate]]-Audit[[#This Row],[Audit Losing Candidate]]))/(Audit[[#Totals],[Winning Candidate]]-Audit[[#Totals],[Losing Candidate]]),
      0
)</f>
        <v>0</v>
      </c>
      <c r="AV6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2" s="17">
        <f>IF(Audit[[#This Row],[Max Relative Error (ep)]] = 0, 0, Audit[[#This Row],[Max Relative Error (ep)]]/Audit[[#This Row],[Error Bound (up) - Max. possible relative overstatement]])</f>
        <v>0</v>
      </c>
      <c r="BH6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42" s="17">
        <f t="shared" si="10"/>
        <v>1</v>
      </c>
      <c r="BJ642" s="17">
        <f>PRODUCT($BI$5:BI642)</f>
        <v>0.2820605838008714</v>
      </c>
      <c r="BK642" s="19">
        <f>1 - Audit[[#This Row],[K-M P Value]]</f>
        <v>0.7179394161991286</v>
      </c>
      <c r="BL642" s="17" t="str">
        <f>IF(Audit[[#This Row],[K-M P Value]]&gt;1-'General Info'!$B$12,"Continue", "Stop")</f>
        <v>Continue</v>
      </c>
      <c r="BM642" s="22" t="b">
        <f>IF(Audit[[#This Row],[Status - Continue or stop audit]] = "Continue", TRUE, IF(BL641 = "Continue", TRUE, FALSE))</f>
        <v>1</v>
      </c>
      <c r="BN642" s="22"/>
    </row>
    <row r="643" spans="1:66" ht="15" hidden="1" customHeight="1" x14ac:dyDescent="0.35">
      <c r="A643" s="17" t="str">
        <f>'Sampling Data'!AI643</f>
        <v/>
      </c>
      <c r="B643" s="17" t="str">
        <f>'Sampling Data'!A643</f>
        <v>1104 CIN 11-D   (ED)</v>
      </c>
      <c r="C643" s="17">
        <f>'Sampling Data'!B643</f>
        <v>221</v>
      </c>
      <c r="D643" s="17">
        <f>'Sampling Data'!C643</f>
        <v>51</v>
      </c>
      <c r="E643" s="18">
        <f>'Sampling Data'!D643</f>
        <v>0</v>
      </c>
      <c r="F643" s="18">
        <f>'Sampling Data'!E643</f>
        <v>0</v>
      </c>
      <c r="G643" s="18">
        <f>'Sampling Data'!F643</f>
        <v>0</v>
      </c>
      <c r="H643" s="18">
        <f>'Sampling Data'!G643</f>
        <v>0</v>
      </c>
      <c r="I643" s="18">
        <f>'Sampling Data'!H643</f>
        <v>0</v>
      </c>
      <c r="J643" s="18">
        <f>'Sampling Data'!I643</f>
        <v>0</v>
      </c>
      <c r="K643" s="18">
        <f>'Sampling Data'!J643</f>
        <v>0</v>
      </c>
      <c r="L643" s="18">
        <f>'Sampling Data'!K643</f>
        <v>0</v>
      </c>
      <c r="M643" s="18">
        <f>'Sampling Data'!L643</f>
        <v>0</v>
      </c>
      <c r="N643" s="18">
        <f>'Sampling Data'!M643</f>
        <v>0</v>
      </c>
      <c r="O643" s="17">
        <f>'Sampling Data'!N643</f>
        <v>1</v>
      </c>
      <c r="P643" s="17">
        <f>'Sampling Data'!O643</f>
        <v>31</v>
      </c>
      <c r="Q643" s="17">
        <f>'Sampling Data'!P643</f>
        <v>304</v>
      </c>
      <c r="R643" s="17">
        <f>'Sampling Data'!AJ643</f>
        <v>0</v>
      </c>
      <c r="S643" s="111"/>
      <c r="T643" s="111"/>
      <c r="U643" s="112"/>
      <c r="V643" s="112"/>
      <c r="W643" s="111"/>
      <c r="X643" s="111"/>
      <c r="Y643" s="111"/>
      <c r="Z643" s="111"/>
      <c r="AA643" s="14"/>
      <c r="AB643" s="14"/>
      <c r="AC643" s="14"/>
      <c r="AD643" s="14"/>
      <c r="AE643" s="113" t="str">
        <f>IF(NOT(ISBLANK(Audit[[#This Row],[Audit Winning Candidate]])), Audit[[#This Row],[Audit Winning Candidate]]-Audit[[#This Row],[Winning Candidate]], "")</f>
        <v/>
      </c>
      <c r="AF643" s="17" t="str">
        <f>IF(NOT(ISBLANK(Audit[[#This Row],[Audit Losing Candidate]])), Audit[[#This Row],[Audit Losing Candidate]]-Audit[[#This Row],[Losing Candidate]], "")</f>
        <v/>
      </c>
      <c r="AG643" s="17" t="str">
        <f>IF(NOT(ISBLANK(Audit[[#This Row],[Audit Candidate 3]])), Audit[[#This Row],[Audit Candidate 3]]-Audit[[#This Row],[Candidate 3]], "")</f>
        <v/>
      </c>
      <c r="AH643" s="17" t="str">
        <f>IF(NOT(ISBLANK(Audit[[#This Row],[Audit Candidate 4]])),Audit[[#This Row],[Audit Candidate 4]]-Audit[[#This Row],[Candidate 4]], "")</f>
        <v/>
      </c>
      <c r="AI643" s="17" t="str">
        <f>IF(NOT(ISBLANK(Audit[[#This Row],[Audit Candidate 5]])), Audit[[#This Row],[Audit Candidate 5]]-Audit[[#This Row],[Candidate 5]], "")</f>
        <v/>
      </c>
      <c r="AJ643" s="17" t="str">
        <f>IF(NOT(ISBLANK(Audit[[#This Row],[Audit Candidate 6]])), Audit[[#This Row],[Audit Candidate 6]]-Audit[[#This Row],[Candidate 6]], "")</f>
        <v/>
      </c>
      <c r="AK643" s="17" t="str">
        <f>IF(NOT(ISBLANK(Audit[[#This Row],[Audit Candidate 7]])), Audit[[#This Row],[Audit Candidate 7]]-Audit[[#This Row],[Candidate 7]], "")</f>
        <v/>
      </c>
      <c r="AL643" s="17" t="str">
        <f>IF(NOT(ISBLANK(Audit[[#This Row],[Audit Candidate 8]])), Audit[[#This Row],[Audit Candidate 8]]-Audit[[#This Row],[Candidate 8]], "")</f>
        <v/>
      </c>
      <c r="AM643" s="17" t="str">
        <f>IF(NOT(ISBLANK(Audit[[#This Row],[Audit Candidate 9]])), Audit[[#This Row],[Audit Candidate 9]]-Audit[[#This Row],[Candidate 9]], "")</f>
        <v/>
      </c>
      <c r="AN643" s="17" t="str">
        <f>IF(NOT(ISBLANK(Audit[[#This Row],[Audit Candidate 10]])), Audit[[#This Row],[Audit Candidate 10]]-Audit[[#This Row],[Candidate 10]], "")</f>
        <v/>
      </c>
      <c r="AO643" s="17" t="str">
        <f>IF(NOT(ISBLANK(Audit[[#This Row],[Audit Candidate 11]])), Audit[[#This Row],[Audit Candidate 11]]-Audit[[#This Row],[Candidate 11]], "")</f>
        <v/>
      </c>
      <c r="AP643" s="17" t="str">
        <f>IF(NOT(ISBLANK(Audit[[#This Row],[Audit Candidate 12]])), Audit[[#This Row],[Audit Candidate 12]]-Audit[[#This Row],[Candidate 12]], "")</f>
        <v/>
      </c>
      <c r="AQ643" s="17">
        <f>SUMIF(Audit[[#This Row],[Difference Winner]:[Difference Candidate 12]], "&gt;0")</f>
        <v>0</v>
      </c>
      <c r="AR643" s="17">
        <f>SUM(Audit[[#This Row],[Difference Winner]:[Difference Candidate 12]])</f>
        <v>0</v>
      </c>
      <c r="AS643" s="17">
        <f>IF(Audit[[#This Row],[Times p Drawn - With Replacement]]&gt;0, IF(Audit[[#This Row],[Canceled Differences]]&lt;0, Audit[[#This Row],[Max Differences]]+ABS(Audit[[#This Row],[Canceled Differences]]), Audit[[#This Row],[Max Differences]]), 0)</f>
        <v>0</v>
      </c>
      <c r="AT643" s="17">
        <f>'Sampling Data'!AB643</f>
        <v>2.0115430317433371E-2</v>
      </c>
      <c r="AU643" s="17">
        <f>IF(
      SUM(Audit[[#This Row],[Audit Losing Candidate]:[Audit Candidate 12]])
      &lt;&gt;0,
      (Audit[[#This Row],[Winning Candidate]]-Audit[[#This Row],[Losing Candidate]]-(Audit[[#This Row],[Audit Winning Candidate]]-Audit[[#This Row],[Audit Losing Candidate]]))/(Audit[[#Totals],[Winning Candidate]]-Audit[[#Totals],[Losing Candidate]]),
      0
)</f>
        <v>0</v>
      </c>
      <c r="AV6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3" s="17">
        <f>IF(Audit[[#This Row],[Max Relative Error (ep)]] = 0, 0, Audit[[#This Row],[Max Relative Error (ep)]]/Audit[[#This Row],[Error Bound (up) - Max. possible relative overstatement]])</f>
        <v>0</v>
      </c>
      <c r="BH6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43" s="17">
        <f t="shared" si="10"/>
        <v>1</v>
      </c>
      <c r="BJ643" s="17">
        <f>PRODUCT($BI$5:BI643)</f>
        <v>0.2820605838008714</v>
      </c>
      <c r="BK643" s="19">
        <f>1 - Audit[[#This Row],[K-M P Value]]</f>
        <v>0.7179394161991286</v>
      </c>
      <c r="BL643" s="17" t="str">
        <f>IF(Audit[[#This Row],[K-M P Value]]&gt;1-'General Info'!$B$12,"Continue", "Stop")</f>
        <v>Continue</v>
      </c>
      <c r="BM643" s="22" t="b">
        <f>IF(Audit[[#This Row],[Status - Continue or stop audit]] = "Continue", TRUE, IF(BL642 = "Continue", TRUE, FALSE))</f>
        <v>1</v>
      </c>
      <c r="BN643" s="22"/>
    </row>
    <row r="644" spans="1:66" ht="15" customHeight="1" x14ac:dyDescent="0.35">
      <c r="A644" s="17">
        <f>'Sampling Data'!AI644</f>
        <v>2</v>
      </c>
      <c r="B644" s="17" t="str">
        <f>'Sampling Data'!A644</f>
        <v>1201 CIN 12-A   (ED)</v>
      </c>
      <c r="C644" s="17">
        <f>'Sampling Data'!B644</f>
        <v>169</v>
      </c>
      <c r="D644" s="17">
        <f>'Sampling Data'!C644</f>
        <v>48</v>
      </c>
      <c r="E644" s="18">
        <f>'Sampling Data'!D644</f>
        <v>0</v>
      </c>
      <c r="F644" s="18">
        <f>'Sampling Data'!E644</f>
        <v>0</v>
      </c>
      <c r="G644" s="18">
        <f>'Sampling Data'!F644</f>
        <v>0</v>
      </c>
      <c r="H644" s="18">
        <f>'Sampling Data'!G644</f>
        <v>0</v>
      </c>
      <c r="I644" s="18">
        <f>'Sampling Data'!H644</f>
        <v>0</v>
      </c>
      <c r="J644" s="18">
        <f>'Sampling Data'!I644</f>
        <v>0</v>
      </c>
      <c r="K644" s="18">
        <f>'Sampling Data'!J644</f>
        <v>0</v>
      </c>
      <c r="L644" s="18">
        <f>'Sampling Data'!K644</f>
        <v>0</v>
      </c>
      <c r="M644" s="18">
        <f>'Sampling Data'!L644</f>
        <v>0</v>
      </c>
      <c r="N644" s="18">
        <f>'Sampling Data'!M644</f>
        <v>0</v>
      </c>
      <c r="O644" s="17">
        <f>'Sampling Data'!N644</f>
        <v>0</v>
      </c>
      <c r="P644" s="17">
        <f>'Sampling Data'!O644</f>
        <v>40</v>
      </c>
      <c r="Q644" s="17">
        <f>'Sampling Data'!P644</f>
        <v>257</v>
      </c>
      <c r="R644" s="17">
        <f>'Sampling Data'!AJ644</f>
        <v>1</v>
      </c>
      <c r="S644" s="111">
        <v>169</v>
      </c>
      <c r="T644" s="111">
        <v>48</v>
      </c>
      <c r="U644" s="112"/>
      <c r="V644" s="112"/>
      <c r="W644" s="111"/>
      <c r="X644" s="111"/>
      <c r="Y644" s="111"/>
      <c r="Z644" s="111"/>
      <c r="AA644" s="14"/>
      <c r="AB644" s="14"/>
      <c r="AC644" s="14"/>
      <c r="AD644" s="14"/>
      <c r="AE644" s="113">
        <f>IF(NOT(ISBLANK(Audit[[#This Row],[Audit Winning Candidate]])), Audit[[#This Row],[Audit Winning Candidate]]-Audit[[#This Row],[Winning Candidate]], "")</f>
        <v>0</v>
      </c>
      <c r="AF644" s="17">
        <f>IF(NOT(ISBLANK(Audit[[#This Row],[Audit Losing Candidate]])), Audit[[#This Row],[Audit Losing Candidate]]-Audit[[#This Row],[Losing Candidate]], "")</f>
        <v>0</v>
      </c>
      <c r="AG644" s="17" t="str">
        <f>IF(NOT(ISBLANK(Audit[[#This Row],[Audit Candidate 3]])), Audit[[#This Row],[Audit Candidate 3]]-Audit[[#This Row],[Candidate 3]], "")</f>
        <v/>
      </c>
      <c r="AH644" s="17" t="str">
        <f>IF(NOT(ISBLANK(Audit[[#This Row],[Audit Candidate 4]])),Audit[[#This Row],[Audit Candidate 4]]-Audit[[#This Row],[Candidate 4]], "")</f>
        <v/>
      </c>
      <c r="AI644" s="17" t="str">
        <f>IF(NOT(ISBLANK(Audit[[#This Row],[Audit Candidate 5]])), Audit[[#This Row],[Audit Candidate 5]]-Audit[[#This Row],[Candidate 5]], "")</f>
        <v/>
      </c>
      <c r="AJ644" s="17" t="str">
        <f>IF(NOT(ISBLANK(Audit[[#This Row],[Audit Candidate 6]])), Audit[[#This Row],[Audit Candidate 6]]-Audit[[#This Row],[Candidate 6]], "")</f>
        <v/>
      </c>
      <c r="AK644" s="17" t="str">
        <f>IF(NOT(ISBLANK(Audit[[#This Row],[Audit Candidate 7]])), Audit[[#This Row],[Audit Candidate 7]]-Audit[[#This Row],[Candidate 7]], "")</f>
        <v/>
      </c>
      <c r="AL644" s="17" t="str">
        <f>IF(NOT(ISBLANK(Audit[[#This Row],[Audit Candidate 8]])), Audit[[#This Row],[Audit Candidate 8]]-Audit[[#This Row],[Candidate 8]], "")</f>
        <v/>
      </c>
      <c r="AM644" s="17" t="str">
        <f>IF(NOT(ISBLANK(Audit[[#This Row],[Audit Candidate 9]])), Audit[[#This Row],[Audit Candidate 9]]-Audit[[#This Row],[Candidate 9]], "")</f>
        <v/>
      </c>
      <c r="AN644" s="17" t="str">
        <f>IF(NOT(ISBLANK(Audit[[#This Row],[Audit Candidate 10]])), Audit[[#This Row],[Audit Candidate 10]]-Audit[[#This Row],[Candidate 10]], "")</f>
        <v/>
      </c>
      <c r="AO644" s="17" t="str">
        <f>IF(NOT(ISBLANK(Audit[[#This Row],[Audit Candidate 11]])), Audit[[#This Row],[Audit Candidate 11]]-Audit[[#This Row],[Candidate 11]], "")</f>
        <v/>
      </c>
      <c r="AP644" s="17" t="str">
        <f>IF(NOT(ISBLANK(Audit[[#This Row],[Audit Candidate 12]])), Audit[[#This Row],[Audit Candidate 12]]-Audit[[#This Row],[Candidate 12]], "")</f>
        <v/>
      </c>
      <c r="AQ644" s="17">
        <f>SUMIF(Audit[[#This Row],[Difference Winner]:[Difference Candidate 12]], "&gt;0")</f>
        <v>0</v>
      </c>
      <c r="AR644" s="17">
        <f>SUM(Audit[[#This Row],[Difference Winner]:[Difference Candidate 12]])</f>
        <v>0</v>
      </c>
      <c r="AS644" s="17">
        <f>IF(Audit[[#This Row],[Times p Drawn - With Replacement]]&gt;0, IF(Audit[[#This Row],[Canceled Differences]]&lt;0, Audit[[#This Row],[Max Differences]]+ABS(Audit[[#This Row],[Canceled Differences]]), Audit[[#This Row],[Max Differences]]), 0)</f>
        <v>0</v>
      </c>
      <c r="AT644" s="17">
        <f>'Sampling Data'!AB644</f>
        <v>1.6041419113902562E-2</v>
      </c>
      <c r="AU644" s="17">
        <f>IF(
      SUM(Audit[[#This Row],[Audit Losing Candidate]:[Audit Candidate 12]])
      &lt;&gt;0,
      (Audit[[#This Row],[Winning Candidate]]-Audit[[#This Row],[Losing Candidate]]-(Audit[[#This Row],[Audit Winning Candidate]]-Audit[[#This Row],[Audit Losing Candidate]]))/(Audit[[#Totals],[Winning Candidate]]-Audit[[#Totals],[Losing Candidate]]),
      0
)</f>
        <v>0</v>
      </c>
      <c r="AV6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4" s="17">
        <f>IF(Audit[[#This Row],[Max Relative Error (ep)]] = 0, 0, Audit[[#This Row],[Max Relative Error (ep)]]/Audit[[#This Row],[Error Bound (up) - Max. possible relative overstatement]])</f>
        <v>0</v>
      </c>
      <c r="BH6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44" s="17">
        <f t="shared" si="10"/>
        <v>0.94645908314247273</v>
      </c>
      <c r="BJ644" s="17">
        <f>PRODUCT($BI$5:BI644)</f>
        <v>0.26695880153480334</v>
      </c>
      <c r="BK644" s="19">
        <f>1 - Audit[[#This Row],[K-M P Value]]</f>
        <v>0.73304119846519666</v>
      </c>
      <c r="BL644" s="17" t="str">
        <f>IF(Audit[[#This Row],[K-M P Value]]&gt;1-'General Info'!$B$12,"Continue", "Stop")</f>
        <v>Continue</v>
      </c>
      <c r="BM644" s="22" t="b">
        <f>IF(Audit[[#This Row],[Status - Continue or stop audit]] = "Continue", TRUE, IF(BL643 = "Continue", TRUE, FALSE))</f>
        <v>1</v>
      </c>
      <c r="BN644" s="22"/>
    </row>
    <row r="645" spans="1:66" ht="15" hidden="1" customHeight="1" x14ac:dyDescent="0.35">
      <c r="A645" s="17" t="str">
        <f>'Sampling Data'!AI645</f>
        <v/>
      </c>
      <c r="B645" s="17" t="str">
        <f>'Sampling Data'!A645</f>
        <v>1202 CIN 12-B   (ED)</v>
      </c>
      <c r="C645" s="17">
        <f>'Sampling Data'!B645</f>
        <v>172</v>
      </c>
      <c r="D645" s="17">
        <f>'Sampling Data'!C645</f>
        <v>51</v>
      </c>
      <c r="E645" s="18">
        <f>'Sampling Data'!D645</f>
        <v>0</v>
      </c>
      <c r="F645" s="18">
        <f>'Sampling Data'!E645</f>
        <v>0</v>
      </c>
      <c r="G645" s="18">
        <f>'Sampling Data'!F645</f>
        <v>0</v>
      </c>
      <c r="H645" s="18">
        <f>'Sampling Data'!G645</f>
        <v>0</v>
      </c>
      <c r="I645" s="18">
        <f>'Sampling Data'!H645</f>
        <v>0</v>
      </c>
      <c r="J645" s="18">
        <f>'Sampling Data'!I645</f>
        <v>0</v>
      </c>
      <c r="K645" s="18">
        <f>'Sampling Data'!J645</f>
        <v>0</v>
      </c>
      <c r="L645" s="18">
        <f>'Sampling Data'!K645</f>
        <v>0</v>
      </c>
      <c r="M645" s="18">
        <f>'Sampling Data'!L645</f>
        <v>0</v>
      </c>
      <c r="N645" s="18">
        <f>'Sampling Data'!M645</f>
        <v>0</v>
      </c>
      <c r="O645" s="17">
        <f>'Sampling Data'!N645</f>
        <v>0</v>
      </c>
      <c r="P645" s="17">
        <f>'Sampling Data'!O645</f>
        <v>48</v>
      </c>
      <c r="Q645" s="17">
        <f>'Sampling Data'!P645</f>
        <v>271</v>
      </c>
      <c r="R645" s="17">
        <f>'Sampling Data'!AJ645</f>
        <v>0</v>
      </c>
      <c r="S645" s="111"/>
      <c r="T645" s="111"/>
      <c r="U645" s="112"/>
      <c r="V645" s="112"/>
      <c r="W645" s="111"/>
      <c r="X645" s="111"/>
      <c r="Y645" s="111"/>
      <c r="Z645" s="111"/>
      <c r="AA645" s="14"/>
      <c r="AB645" s="14"/>
      <c r="AC645" s="14"/>
      <c r="AD645" s="14"/>
      <c r="AE645" s="113" t="str">
        <f>IF(NOT(ISBLANK(Audit[[#This Row],[Audit Winning Candidate]])), Audit[[#This Row],[Audit Winning Candidate]]-Audit[[#This Row],[Winning Candidate]], "")</f>
        <v/>
      </c>
      <c r="AF645" s="17" t="str">
        <f>IF(NOT(ISBLANK(Audit[[#This Row],[Audit Losing Candidate]])), Audit[[#This Row],[Audit Losing Candidate]]-Audit[[#This Row],[Losing Candidate]], "")</f>
        <v/>
      </c>
      <c r="AG645" s="17" t="str">
        <f>IF(NOT(ISBLANK(Audit[[#This Row],[Audit Candidate 3]])), Audit[[#This Row],[Audit Candidate 3]]-Audit[[#This Row],[Candidate 3]], "")</f>
        <v/>
      </c>
      <c r="AH645" s="17" t="str">
        <f>IF(NOT(ISBLANK(Audit[[#This Row],[Audit Candidate 4]])),Audit[[#This Row],[Audit Candidate 4]]-Audit[[#This Row],[Candidate 4]], "")</f>
        <v/>
      </c>
      <c r="AI645" s="17" t="str">
        <f>IF(NOT(ISBLANK(Audit[[#This Row],[Audit Candidate 5]])), Audit[[#This Row],[Audit Candidate 5]]-Audit[[#This Row],[Candidate 5]], "")</f>
        <v/>
      </c>
      <c r="AJ645" s="17" t="str">
        <f>IF(NOT(ISBLANK(Audit[[#This Row],[Audit Candidate 6]])), Audit[[#This Row],[Audit Candidate 6]]-Audit[[#This Row],[Candidate 6]], "")</f>
        <v/>
      </c>
      <c r="AK645" s="17" t="str">
        <f>IF(NOT(ISBLANK(Audit[[#This Row],[Audit Candidate 7]])), Audit[[#This Row],[Audit Candidate 7]]-Audit[[#This Row],[Candidate 7]], "")</f>
        <v/>
      </c>
      <c r="AL645" s="17" t="str">
        <f>IF(NOT(ISBLANK(Audit[[#This Row],[Audit Candidate 8]])), Audit[[#This Row],[Audit Candidate 8]]-Audit[[#This Row],[Candidate 8]], "")</f>
        <v/>
      </c>
      <c r="AM645" s="17" t="str">
        <f>IF(NOT(ISBLANK(Audit[[#This Row],[Audit Candidate 9]])), Audit[[#This Row],[Audit Candidate 9]]-Audit[[#This Row],[Candidate 9]], "")</f>
        <v/>
      </c>
      <c r="AN645" s="17" t="str">
        <f>IF(NOT(ISBLANK(Audit[[#This Row],[Audit Candidate 10]])), Audit[[#This Row],[Audit Candidate 10]]-Audit[[#This Row],[Candidate 10]], "")</f>
        <v/>
      </c>
      <c r="AO645" s="17" t="str">
        <f>IF(NOT(ISBLANK(Audit[[#This Row],[Audit Candidate 11]])), Audit[[#This Row],[Audit Candidate 11]]-Audit[[#This Row],[Candidate 11]], "")</f>
        <v/>
      </c>
      <c r="AP645" s="17" t="str">
        <f>IF(NOT(ISBLANK(Audit[[#This Row],[Audit Candidate 12]])), Audit[[#This Row],[Audit Candidate 12]]-Audit[[#This Row],[Candidate 12]], "")</f>
        <v/>
      </c>
      <c r="AQ645" s="17">
        <f>SUMIF(Audit[[#This Row],[Difference Winner]:[Difference Candidate 12]], "&gt;0")</f>
        <v>0</v>
      </c>
      <c r="AR645" s="17">
        <f>SUM(Audit[[#This Row],[Difference Winner]:[Difference Candidate 12]])</f>
        <v>0</v>
      </c>
      <c r="AS645" s="17">
        <f>IF(Audit[[#This Row],[Times p Drawn - With Replacement]]&gt;0, IF(Audit[[#This Row],[Canceled Differences]]&lt;0, Audit[[#This Row],[Max Differences]]+ABS(Audit[[#This Row],[Canceled Differences]]), Audit[[#This Row],[Max Differences]]), 0)</f>
        <v>0</v>
      </c>
      <c r="AT645" s="17">
        <f>'Sampling Data'!AB645</f>
        <v>1.6635545747750807E-2</v>
      </c>
      <c r="AU645" s="17">
        <f>IF(
      SUM(Audit[[#This Row],[Audit Losing Candidate]:[Audit Candidate 12]])
      &lt;&gt;0,
      (Audit[[#This Row],[Winning Candidate]]-Audit[[#This Row],[Losing Candidate]]-(Audit[[#This Row],[Audit Winning Candidate]]-Audit[[#This Row],[Audit Losing Candidate]]))/(Audit[[#Totals],[Winning Candidate]]-Audit[[#Totals],[Losing Candidate]]),
      0
)</f>
        <v>0</v>
      </c>
      <c r="AV6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5" s="17">
        <f>IF(Audit[[#This Row],[Max Relative Error (ep)]] = 0, 0, Audit[[#This Row],[Max Relative Error (ep)]]/Audit[[#This Row],[Error Bound (up) - Max. possible relative overstatement]])</f>
        <v>0</v>
      </c>
      <c r="BH6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45" s="17">
        <f t="shared" si="10"/>
        <v>1</v>
      </c>
      <c r="BJ645" s="17">
        <f>PRODUCT($BI$5:BI645)</f>
        <v>0.26695880153480334</v>
      </c>
      <c r="BK645" s="19">
        <f>1 - Audit[[#This Row],[K-M P Value]]</f>
        <v>0.73304119846519666</v>
      </c>
      <c r="BL645" s="17" t="str">
        <f>IF(Audit[[#This Row],[K-M P Value]]&gt;1-'General Info'!$B$12,"Continue", "Stop")</f>
        <v>Continue</v>
      </c>
      <c r="BM645" s="22" t="b">
        <f>IF(Audit[[#This Row],[Status - Continue or stop audit]] = "Continue", TRUE, IF(BL644 = "Continue", TRUE, FALSE))</f>
        <v>1</v>
      </c>
      <c r="BN645" s="22"/>
    </row>
    <row r="646" spans="1:66" ht="15" hidden="1" customHeight="1" x14ac:dyDescent="0.35">
      <c r="A646" s="17" t="str">
        <f>'Sampling Data'!AI646</f>
        <v/>
      </c>
      <c r="B646" s="17" t="str">
        <f>'Sampling Data'!A646</f>
        <v>1203 CIN 12-C   (ED)</v>
      </c>
      <c r="C646" s="17">
        <f>'Sampling Data'!B646</f>
        <v>216</v>
      </c>
      <c r="D646" s="17">
        <f>'Sampling Data'!C646</f>
        <v>43</v>
      </c>
      <c r="E646" s="18">
        <f>'Sampling Data'!D646</f>
        <v>0</v>
      </c>
      <c r="F646" s="18">
        <f>'Sampling Data'!E646</f>
        <v>0</v>
      </c>
      <c r="G646" s="18">
        <f>'Sampling Data'!F646</f>
        <v>0</v>
      </c>
      <c r="H646" s="18">
        <f>'Sampling Data'!G646</f>
        <v>0</v>
      </c>
      <c r="I646" s="18">
        <f>'Sampling Data'!H646</f>
        <v>0</v>
      </c>
      <c r="J646" s="18">
        <f>'Sampling Data'!I646</f>
        <v>0</v>
      </c>
      <c r="K646" s="18">
        <f>'Sampling Data'!J646</f>
        <v>0</v>
      </c>
      <c r="L646" s="18">
        <f>'Sampling Data'!K646</f>
        <v>0</v>
      </c>
      <c r="M646" s="18">
        <f>'Sampling Data'!L646</f>
        <v>0</v>
      </c>
      <c r="N646" s="18">
        <f>'Sampling Data'!M646</f>
        <v>0</v>
      </c>
      <c r="O646" s="17">
        <f>'Sampling Data'!N646</f>
        <v>0</v>
      </c>
      <c r="P646" s="17">
        <f>'Sampling Data'!O646</f>
        <v>30</v>
      </c>
      <c r="Q646" s="17">
        <f>'Sampling Data'!P646</f>
        <v>289</v>
      </c>
      <c r="R646" s="17">
        <f>'Sampling Data'!AJ646</f>
        <v>0</v>
      </c>
      <c r="S646" s="111"/>
      <c r="T646" s="111"/>
      <c r="U646" s="112"/>
      <c r="V646" s="112"/>
      <c r="W646" s="111"/>
      <c r="X646" s="111"/>
      <c r="Y646" s="111"/>
      <c r="Z646" s="111"/>
      <c r="AA646" s="14"/>
      <c r="AB646" s="14"/>
      <c r="AC646" s="14"/>
      <c r="AD646" s="14"/>
      <c r="AE646" s="113" t="str">
        <f>IF(NOT(ISBLANK(Audit[[#This Row],[Audit Winning Candidate]])), Audit[[#This Row],[Audit Winning Candidate]]-Audit[[#This Row],[Winning Candidate]], "")</f>
        <v/>
      </c>
      <c r="AF646" s="17" t="str">
        <f>IF(NOT(ISBLANK(Audit[[#This Row],[Audit Losing Candidate]])), Audit[[#This Row],[Audit Losing Candidate]]-Audit[[#This Row],[Losing Candidate]], "")</f>
        <v/>
      </c>
      <c r="AG646" s="17" t="str">
        <f>IF(NOT(ISBLANK(Audit[[#This Row],[Audit Candidate 3]])), Audit[[#This Row],[Audit Candidate 3]]-Audit[[#This Row],[Candidate 3]], "")</f>
        <v/>
      </c>
      <c r="AH646" s="17" t="str">
        <f>IF(NOT(ISBLANK(Audit[[#This Row],[Audit Candidate 4]])),Audit[[#This Row],[Audit Candidate 4]]-Audit[[#This Row],[Candidate 4]], "")</f>
        <v/>
      </c>
      <c r="AI646" s="17" t="str">
        <f>IF(NOT(ISBLANK(Audit[[#This Row],[Audit Candidate 5]])), Audit[[#This Row],[Audit Candidate 5]]-Audit[[#This Row],[Candidate 5]], "")</f>
        <v/>
      </c>
      <c r="AJ646" s="17" t="str">
        <f>IF(NOT(ISBLANK(Audit[[#This Row],[Audit Candidate 6]])), Audit[[#This Row],[Audit Candidate 6]]-Audit[[#This Row],[Candidate 6]], "")</f>
        <v/>
      </c>
      <c r="AK646" s="17" t="str">
        <f>IF(NOT(ISBLANK(Audit[[#This Row],[Audit Candidate 7]])), Audit[[#This Row],[Audit Candidate 7]]-Audit[[#This Row],[Candidate 7]], "")</f>
        <v/>
      </c>
      <c r="AL646" s="17" t="str">
        <f>IF(NOT(ISBLANK(Audit[[#This Row],[Audit Candidate 8]])), Audit[[#This Row],[Audit Candidate 8]]-Audit[[#This Row],[Candidate 8]], "")</f>
        <v/>
      </c>
      <c r="AM646" s="17" t="str">
        <f>IF(NOT(ISBLANK(Audit[[#This Row],[Audit Candidate 9]])), Audit[[#This Row],[Audit Candidate 9]]-Audit[[#This Row],[Candidate 9]], "")</f>
        <v/>
      </c>
      <c r="AN646" s="17" t="str">
        <f>IF(NOT(ISBLANK(Audit[[#This Row],[Audit Candidate 10]])), Audit[[#This Row],[Audit Candidate 10]]-Audit[[#This Row],[Candidate 10]], "")</f>
        <v/>
      </c>
      <c r="AO646" s="17" t="str">
        <f>IF(NOT(ISBLANK(Audit[[#This Row],[Audit Candidate 11]])), Audit[[#This Row],[Audit Candidate 11]]-Audit[[#This Row],[Candidate 11]], "")</f>
        <v/>
      </c>
      <c r="AP646" s="17" t="str">
        <f>IF(NOT(ISBLANK(Audit[[#This Row],[Audit Candidate 12]])), Audit[[#This Row],[Audit Candidate 12]]-Audit[[#This Row],[Candidate 12]], "")</f>
        <v/>
      </c>
      <c r="AQ646" s="17">
        <f>SUMIF(Audit[[#This Row],[Difference Winner]:[Difference Candidate 12]], "&gt;0")</f>
        <v>0</v>
      </c>
      <c r="AR646" s="17">
        <f>SUM(Audit[[#This Row],[Difference Winner]:[Difference Candidate 12]])</f>
        <v>0</v>
      </c>
      <c r="AS646" s="17">
        <f>IF(Audit[[#This Row],[Times p Drawn - With Replacement]]&gt;0, IF(Audit[[#This Row],[Canceled Differences]]&lt;0, Audit[[#This Row],[Max Differences]]+ABS(Audit[[#This Row],[Canceled Differences]]), Audit[[#This Row],[Max Differences]]), 0)</f>
        <v>0</v>
      </c>
      <c r="AT646" s="17">
        <f>'Sampling Data'!AB646</f>
        <v>1.9606178916992022E-2</v>
      </c>
      <c r="AU646" s="17">
        <f>IF(
      SUM(Audit[[#This Row],[Audit Losing Candidate]:[Audit Candidate 12]])
      &lt;&gt;0,
      (Audit[[#This Row],[Winning Candidate]]-Audit[[#This Row],[Losing Candidate]]-(Audit[[#This Row],[Audit Winning Candidate]]-Audit[[#This Row],[Audit Losing Candidate]]))/(Audit[[#Totals],[Winning Candidate]]-Audit[[#Totals],[Losing Candidate]]),
      0
)</f>
        <v>0</v>
      </c>
      <c r="AV6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6" s="17">
        <f>IF(Audit[[#This Row],[Max Relative Error (ep)]] = 0, 0, Audit[[#This Row],[Max Relative Error (ep)]]/Audit[[#This Row],[Error Bound (up) - Max. possible relative overstatement]])</f>
        <v>0</v>
      </c>
      <c r="BH6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46" s="17">
        <f t="shared" si="10"/>
        <v>1</v>
      </c>
      <c r="BJ646" s="17">
        <f>PRODUCT($BI$5:BI646)</f>
        <v>0.26695880153480334</v>
      </c>
      <c r="BK646" s="19">
        <f>1 - Audit[[#This Row],[K-M P Value]]</f>
        <v>0.73304119846519666</v>
      </c>
      <c r="BL646" s="17" t="str">
        <f>IF(Audit[[#This Row],[K-M P Value]]&gt;1-'General Info'!$B$12,"Continue", "Stop")</f>
        <v>Continue</v>
      </c>
      <c r="BM646" s="22" t="b">
        <f>IF(Audit[[#This Row],[Status - Continue or stop audit]] = "Continue", TRUE, IF(BL645 = "Continue", TRUE, FALSE))</f>
        <v>1</v>
      </c>
      <c r="BN646" s="22"/>
    </row>
    <row r="647" spans="1:66" ht="15" hidden="1" customHeight="1" x14ac:dyDescent="0.35">
      <c r="A647" s="17" t="str">
        <f>'Sampling Data'!AI647</f>
        <v/>
      </c>
      <c r="B647" s="17" t="str">
        <f>'Sampling Data'!A647</f>
        <v>1204 CIN 12-D   (ED)</v>
      </c>
      <c r="C647" s="17">
        <f>'Sampling Data'!B647</f>
        <v>221</v>
      </c>
      <c r="D647" s="17">
        <f>'Sampling Data'!C647</f>
        <v>54</v>
      </c>
      <c r="E647" s="18">
        <f>'Sampling Data'!D647</f>
        <v>0</v>
      </c>
      <c r="F647" s="18">
        <f>'Sampling Data'!E647</f>
        <v>0</v>
      </c>
      <c r="G647" s="18">
        <f>'Sampling Data'!F647</f>
        <v>0</v>
      </c>
      <c r="H647" s="18">
        <f>'Sampling Data'!G647</f>
        <v>0</v>
      </c>
      <c r="I647" s="18">
        <f>'Sampling Data'!H647</f>
        <v>0</v>
      </c>
      <c r="J647" s="18">
        <f>'Sampling Data'!I647</f>
        <v>0</v>
      </c>
      <c r="K647" s="18">
        <f>'Sampling Data'!J647</f>
        <v>0</v>
      </c>
      <c r="L647" s="18">
        <f>'Sampling Data'!K647</f>
        <v>0</v>
      </c>
      <c r="M647" s="18">
        <f>'Sampling Data'!L647</f>
        <v>0</v>
      </c>
      <c r="N647" s="18">
        <f>'Sampling Data'!M647</f>
        <v>0</v>
      </c>
      <c r="O647" s="17">
        <f>'Sampling Data'!N647</f>
        <v>0</v>
      </c>
      <c r="P647" s="17">
        <f>'Sampling Data'!O647</f>
        <v>26</v>
      </c>
      <c r="Q647" s="17">
        <f>'Sampling Data'!P647</f>
        <v>301</v>
      </c>
      <c r="R647" s="17">
        <f>'Sampling Data'!AJ647</f>
        <v>0</v>
      </c>
      <c r="S647" s="111"/>
      <c r="T647" s="111"/>
      <c r="U647" s="112"/>
      <c r="V647" s="112"/>
      <c r="W647" s="111"/>
      <c r="X647" s="111"/>
      <c r="Y647" s="111"/>
      <c r="Z647" s="111"/>
      <c r="AA647" s="14"/>
      <c r="AB647" s="14"/>
      <c r="AC647" s="14"/>
      <c r="AD647" s="14"/>
      <c r="AE647" s="113" t="str">
        <f>IF(NOT(ISBLANK(Audit[[#This Row],[Audit Winning Candidate]])), Audit[[#This Row],[Audit Winning Candidate]]-Audit[[#This Row],[Winning Candidate]], "")</f>
        <v/>
      </c>
      <c r="AF647" s="17" t="str">
        <f>IF(NOT(ISBLANK(Audit[[#This Row],[Audit Losing Candidate]])), Audit[[#This Row],[Audit Losing Candidate]]-Audit[[#This Row],[Losing Candidate]], "")</f>
        <v/>
      </c>
      <c r="AG647" s="17" t="str">
        <f>IF(NOT(ISBLANK(Audit[[#This Row],[Audit Candidate 3]])), Audit[[#This Row],[Audit Candidate 3]]-Audit[[#This Row],[Candidate 3]], "")</f>
        <v/>
      </c>
      <c r="AH647" s="17" t="str">
        <f>IF(NOT(ISBLANK(Audit[[#This Row],[Audit Candidate 4]])),Audit[[#This Row],[Audit Candidate 4]]-Audit[[#This Row],[Candidate 4]], "")</f>
        <v/>
      </c>
      <c r="AI647" s="17" t="str">
        <f>IF(NOT(ISBLANK(Audit[[#This Row],[Audit Candidate 5]])), Audit[[#This Row],[Audit Candidate 5]]-Audit[[#This Row],[Candidate 5]], "")</f>
        <v/>
      </c>
      <c r="AJ647" s="17" t="str">
        <f>IF(NOT(ISBLANK(Audit[[#This Row],[Audit Candidate 6]])), Audit[[#This Row],[Audit Candidate 6]]-Audit[[#This Row],[Candidate 6]], "")</f>
        <v/>
      </c>
      <c r="AK647" s="17" t="str">
        <f>IF(NOT(ISBLANK(Audit[[#This Row],[Audit Candidate 7]])), Audit[[#This Row],[Audit Candidate 7]]-Audit[[#This Row],[Candidate 7]], "")</f>
        <v/>
      </c>
      <c r="AL647" s="17" t="str">
        <f>IF(NOT(ISBLANK(Audit[[#This Row],[Audit Candidate 8]])), Audit[[#This Row],[Audit Candidate 8]]-Audit[[#This Row],[Candidate 8]], "")</f>
        <v/>
      </c>
      <c r="AM647" s="17" t="str">
        <f>IF(NOT(ISBLANK(Audit[[#This Row],[Audit Candidate 9]])), Audit[[#This Row],[Audit Candidate 9]]-Audit[[#This Row],[Candidate 9]], "")</f>
        <v/>
      </c>
      <c r="AN647" s="17" t="str">
        <f>IF(NOT(ISBLANK(Audit[[#This Row],[Audit Candidate 10]])), Audit[[#This Row],[Audit Candidate 10]]-Audit[[#This Row],[Candidate 10]], "")</f>
        <v/>
      </c>
      <c r="AO647" s="17" t="str">
        <f>IF(NOT(ISBLANK(Audit[[#This Row],[Audit Candidate 11]])), Audit[[#This Row],[Audit Candidate 11]]-Audit[[#This Row],[Candidate 11]], "")</f>
        <v/>
      </c>
      <c r="AP647" s="17" t="str">
        <f>IF(NOT(ISBLANK(Audit[[#This Row],[Audit Candidate 12]])), Audit[[#This Row],[Audit Candidate 12]]-Audit[[#This Row],[Candidate 12]], "")</f>
        <v/>
      </c>
      <c r="AQ647" s="17">
        <f>SUMIF(Audit[[#This Row],[Difference Winner]:[Difference Candidate 12]], "&gt;0")</f>
        <v>0</v>
      </c>
      <c r="AR647" s="17">
        <f>SUM(Audit[[#This Row],[Difference Winner]:[Difference Candidate 12]])</f>
        <v>0</v>
      </c>
      <c r="AS647" s="17">
        <f>IF(Audit[[#This Row],[Times p Drawn - With Replacement]]&gt;0, IF(Audit[[#This Row],[Canceled Differences]]&lt;0, Audit[[#This Row],[Max Differences]]+ABS(Audit[[#This Row],[Canceled Differences]]), Audit[[#This Row],[Max Differences]]), 0)</f>
        <v>0</v>
      </c>
      <c r="AT647" s="17">
        <f>'Sampling Data'!AB647</f>
        <v>1.9860804617212697E-2</v>
      </c>
      <c r="AU647" s="17">
        <f>IF(
      SUM(Audit[[#This Row],[Audit Losing Candidate]:[Audit Candidate 12]])
      &lt;&gt;0,
      (Audit[[#This Row],[Winning Candidate]]-Audit[[#This Row],[Losing Candidate]]-(Audit[[#This Row],[Audit Winning Candidate]]-Audit[[#This Row],[Audit Losing Candidate]]))/(Audit[[#Totals],[Winning Candidate]]-Audit[[#Totals],[Losing Candidate]]),
      0
)</f>
        <v>0</v>
      </c>
      <c r="AV6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7" s="17">
        <f>IF(Audit[[#This Row],[Max Relative Error (ep)]] = 0, 0, Audit[[#This Row],[Max Relative Error (ep)]]/Audit[[#This Row],[Error Bound (up) - Max. possible relative overstatement]])</f>
        <v>0</v>
      </c>
      <c r="BH6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47" s="17">
        <f t="shared" si="10"/>
        <v>1</v>
      </c>
      <c r="BJ647" s="17">
        <f>PRODUCT($BI$5:BI647)</f>
        <v>0.26695880153480334</v>
      </c>
      <c r="BK647" s="19">
        <f>1 - Audit[[#This Row],[K-M P Value]]</f>
        <v>0.73304119846519666</v>
      </c>
      <c r="BL647" s="17" t="str">
        <f>IF(Audit[[#This Row],[K-M P Value]]&gt;1-'General Info'!$B$12,"Continue", "Stop")</f>
        <v>Continue</v>
      </c>
      <c r="BM647" s="22" t="b">
        <f>IF(Audit[[#This Row],[Status - Continue or stop audit]] = "Continue", TRUE, IF(BL646 = "Continue", TRUE, FALSE))</f>
        <v>1</v>
      </c>
      <c r="BN647" s="22"/>
    </row>
    <row r="648" spans="1:66" ht="15" hidden="1" customHeight="1" x14ac:dyDescent="0.35">
      <c r="A648" s="17" t="str">
        <f>'Sampling Data'!AI648</f>
        <v/>
      </c>
      <c r="B648" s="17" t="str">
        <f>'Sampling Data'!A648</f>
        <v>1205 CIN 12-E   (ED)</v>
      </c>
      <c r="C648" s="17">
        <f>'Sampling Data'!B648</f>
        <v>211</v>
      </c>
      <c r="D648" s="17">
        <f>'Sampling Data'!C648</f>
        <v>56</v>
      </c>
      <c r="E648" s="18">
        <f>'Sampling Data'!D648</f>
        <v>0</v>
      </c>
      <c r="F648" s="18">
        <f>'Sampling Data'!E648</f>
        <v>0</v>
      </c>
      <c r="G648" s="18">
        <f>'Sampling Data'!F648</f>
        <v>0</v>
      </c>
      <c r="H648" s="18">
        <f>'Sampling Data'!G648</f>
        <v>0</v>
      </c>
      <c r="I648" s="18">
        <f>'Sampling Data'!H648</f>
        <v>0</v>
      </c>
      <c r="J648" s="18">
        <f>'Sampling Data'!I648</f>
        <v>0</v>
      </c>
      <c r="K648" s="18">
        <f>'Sampling Data'!J648</f>
        <v>0</v>
      </c>
      <c r="L648" s="18">
        <f>'Sampling Data'!K648</f>
        <v>0</v>
      </c>
      <c r="M648" s="18">
        <f>'Sampling Data'!L648</f>
        <v>0</v>
      </c>
      <c r="N648" s="18">
        <f>'Sampling Data'!M648</f>
        <v>0</v>
      </c>
      <c r="O648" s="17">
        <f>'Sampling Data'!N648</f>
        <v>0</v>
      </c>
      <c r="P648" s="17">
        <f>'Sampling Data'!O648</f>
        <v>35</v>
      </c>
      <c r="Q648" s="17">
        <f>'Sampling Data'!P648</f>
        <v>302</v>
      </c>
      <c r="R648" s="17">
        <f>'Sampling Data'!AJ648</f>
        <v>0</v>
      </c>
      <c r="S648" s="111"/>
      <c r="T648" s="111"/>
      <c r="U648" s="112"/>
      <c r="V648" s="112"/>
      <c r="W648" s="111"/>
      <c r="X648" s="111"/>
      <c r="Y648" s="111"/>
      <c r="Z648" s="111"/>
      <c r="AA648" s="14"/>
      <c r="AB648" s="14"/>
      <c r="AC648" s="14"/>
      <c r="AD648" s="14"/>
      <c r="AE648" s="113" t="str">
        <f>IF(NOT(ISBLANK(Audit[[#This Row],[Audit Winning Candidate]])), Audit[[#This Row],[Audit Winning Candidate]]-Audit[[#This Row],[Winning Candidate]], "")</f>
        <v/>
      </c>
      <c r="AF648" s="17" t="str">
        <f>IF(NOT(ISBLANK(Audit[[#This Row],[Audit Losing Candidate]])), Audit[[#This Row],[Audit Losing Candidate]]-Audit[[#This Row],[Losing Candidate]], "")</f>
        <v/>
      </c>
      <c r="AG648" s="17" t="str">
        <f>IF(NOT(ISBLANK(Audit[[#This Row],[Audit Candidate 3]])), Audit[[#This Row],[Audit Candidate 3]]-Audit[[#This Row],[Candidate 3]], "")</f>
        <v/>
      </c>
      <c r="AH648" s="17" t="str">
        <f>IF(NOT(ISBLANK(Audit[[#This Row],[Audit Candidate 4]])),Audit[[#This Row],[Audit Candidate 4]]-Audit[[#This Row],[Candidate 4]], "")</f>
        <v/>
      </c>
      <c r="AI648" s="17" t="str">
        <f>IF(NOT(ISBLANK(Audit[[#This Row],[Audit Candidate 5]])), Audit[[#This Row],[Audit Candidate 5]]-Audit[[#This Row],[Candidate 5]], "")</f>
        <v/>
      </c>
      <c r="AJ648" s="17" t="str">
        <f>IF(NOT(ISBLANK(Audit[[#This Row],[Audit Candidate 6]])), Audit[[#This Row],[Audit Candidate 6]]-Audit[[#This Row],[Candidate 6]], "")</f>
        <v/>
      </c>
      <c r="AK648" s="17" t="str">
        <f>IF(NOT(ISBLANK(Audit[[#This Row],[Audit Candidate 7]])), Audit[[#This Row],[Audit Candidate 7]]-Audit[[#This Row],[Candidate 7]], "")</f>
        <v/>
      </c>
      <c r="AL648" s="17" t="str">
        <f>IF(NOT(ISBLANK(Audit[[#This Row],[Audit Candidate 8]])), Audit[[#This Row],[Audit Candidate 8]]-Audit[[#This Row],[Candidate 8]], "")</f>
        <v/>
      </c>
      <c r="AM648" s="17" t="str">
        <f>IF(NOT(ISBLANK(Audit[[#This Row],[Audit Candidate 9]])), Audit[[#This Row],[Audit Candidate 9]]-Audit[[#This Row],[Candidate 9]], "")</f>
        <v/>
      </c>
      <c r="AN648" s="17" t="str">
        <f>IF(NOT(ISBLANK(Audit[[#This Row],[Audit Candidate 10]])), Audit[[#This Row],[Audit Candidate 10]]-Audit[[#This Row],[Candidate 10]], "")</f>
        <v/>
      </c>
      <c r="AO648" s="17" t="str">
        <f>IF(NOT(ISBLANK(Audit[[#This Row],[Audit Candidate 11]])), Audit[[#This Row],[Audit Candidate 11]]-Audit[[#This Row],[Candidate 11]], "")</f>
        <v/>
      </c>
      <c r="AP648" s="17" t="str">
        <f>IF(NOT(ISBLANK(Audit[[#This Row],[Audit Candidate 12]])), Audit[[#This Row],[Audit Candidate 12]]-Audit[[#This Row],[Candidate 12]], "")</f>
        <v/>
      </c>
      <c r="AQ648" s="17">
        <f>SUMIF(Audit[[#This Row],[Difference Winner]:[Difference Candidate 12]], "&gt;0")</f>
        <v>0</v>
      </c>
      <c r="AR648" s="17">
        <f>SUM(Audit[[#This Row],[Difference Winner]:[Difference Candidate 12]])</f>
        <v>0</v>
      </c>
      <c r="AS648" s="17">
        <f>IF(Audit[[#This Row],[Times p Drawn - With Replacement]]&gt;0, IF(Audit[[#This Row],[Canceled Differences]]&lt;0, Audit[[#This Row],[Max Differences]]+ABS(Audit[[#This Row],[Canceled Differences]]), Audit[[#This Row],[Max Differences]]), 0)</f>
        <v>0</v>
      </c>
      <c r="AT648" s="17">
        <f>'Sampling Data'!AB648</f>
        <v>1.9393990833474792E-2</v>
      </c>
      <c r="AU648" s="17">
        <f>IF(
      SUM(Audit[[#This Row],[Audit Losing Candidate]:[Audit Candidate 12]])
      &lt;&gt;0,
      (Audit[[#This Row],[Winning Candidate]]-Audit[[#This Row],[Losing Candidate]]-(Audit[[#This Row],[Audit Winning Candidate]]-Audit[[#This Row],[Audit Losing Candidate]]))/(Audit[[#Totals],[Winning Candidate]]-Audit[[#Totals],[Losing Candidate]]),
      0
)</f>
        <v>0</v>
      </c>
      <c r="AV6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8" s="17">
        <f>IF(Audit[[#This Row],[Max Relative Error (ep)]] = 0, 0, Audit[[#This Row],[Max Relative Error (ep)]]/Audit[[#This Row],[Error Bound (up) - Max. possible relative overstatement]])</f>
        <v>0</v>
      </c>
      <c r="BH6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48" s="17">
        <f t="shared" si="10"/>
        <v>1</v>
      </c>
      <c r="BJ648" s="17">
        <f>PRODUCT($BI$5:BI648)</f>
        <v>0.26695880153480334</v>
      </c>
      <c r="BK648" s="19">
        <f>1 - Audit[[#This Row],[K-M P Value]]</f>
        <v>0.73304119846519666</v>
      </c>
      <c r="BL648" s="17" t="str">
        <f>IF(Audit[[#This Row],[K-M P Value]]&gt;1-'General Info'!$B$12,"Continue", "Stop")</f>
        <v>Continue</v>
      </c>
      <c r="BM648" s="22" t="b">
        <f>IF(Audit[[#This Row],[Status - Continue or stop audit]] = "Continue", TRUE, IF(BL647 = "Continue", TRUE, FALSE))</f>
        <v>1</v>
      </c>
      <c r="BN648" s="22"/>
    </row>
    <row r="649" spans="1:66" ht="15" hidden="1" customHeight="1" x14ac:dyDescent="0.35">
      <c r="A649" s="17" t="str">
        <f>'Sampling Data'!AI649</f>
        <v/>
      </c>
      <c r="B649" s="17" t="str">
        <f>'Sampling Data'!A649</f>
        <v>1301 CIN 13-A   (ED)</v>
      </c>
      <c r="C649" s="17">
        <f>'Sampling Data'!B649</f>
        <v>217</v>
      </c>
      <c r="D649" s="17">
        <f>'Sampling Data'!C649</f>
        <v>11</v>
      </c>
      <c r="E649" s="18">
        <f>'Sampling Data'!D649</f>
        <v>0</v>
      </c>
      <c r="F649" s="18">
        <f>'Sampling Data'!E649</f>
        <v>0</v>
      </c>
      <c r="G649" s="18">
        <f>'Sampling Data'!F649</f>
        <v>0</v>
      </c>
      <c r="H649" s="18">
        <f>'Sampling Data'!G649</f>
        <v>0</v>
      </c>
      <c r="I649" s="18">
        <f>'Sampling Data'!H649</f>
        <v>0</v>
      </c>
      <c r="J649" s="18">
        <f>'Sampling Data'!I649</f>
        <v>0</v>
      </c>
      <c r="K649" s="18">
        <f>'Sampling Data'!J649</f>
        <v>0</v>
      </c>
      <c r="L649" s="18">
        <f>'Sampling Data'!K649</f>
        <v>0</v>
      </c>
      <c r="M649" s="18">
        <f>'Sampling Data'!L649</f>
        <v>0</v>
      </c>
      <c r="N649" s="18">
        <f>'Sampling Data'!M649</f>
        <v>0</v>
      </c>
      <c r="O649" s="17">
        <f>'Sampling Data'!N649</f>
        <v>0</v>
      </c>
      <c r="P649" s="17">
        <f>'Sampling Data'!O649</f>
        <v>17</v>
      </c>
      <c r="Q649" s="17">
        <f>'Sampling Data'!P649</f>
        <v>245</v>
      </c>
      <c r="R649" s="17">
        <f>'Sampling Data'!AJ649</f>
        <v>0</v>
      </c>
      <c r="S649" s="111"/>
      <c r="T649" s="111"/>
      <c r="U649" s="112"/>
      <c r="V649" s="112"/>
      <c r="W649" s="111"/>
      <c r="X649" s="111"/>
      <c r="Y649" s="111"/>
      <c r="Z649" s="111"/>
      <c r="AA649" s="14"/>
      <c r="AB649" s="14"/>
      <c r="AC649" s="14"/>
      <c r="AD649" s="14"/>
      <c r="AE649" s="113" t="str">
        <f>IF(NOT(ISBLANK(Audit[[#This Row],[Audit Winning Candidate]])), Audit[[#This Row],[Audit Winning Candidate]]-Audit[[#This Row],[Winning Candidate]], "")</f>
        <v/>
      </c>
      <c r="AF649" s="17" t="str">
        <f>IF(NOT(ISBLANK(Audit[[#This Row],[Audit Losing Candidate]])), Audit[[#This Row],[Audit Losing Candidate]]-Audit[[#This Row],[Losing Candidate]], "")</f>
        <v/>
      </c>
      <c r="AG649" s="17" t="str">
        <f>IF(NOT(ISBLANK(Audit[[#This Row],[Audit Candidate 3]])), Audit[[#This Row],[Audit Candidate 3]]-Audit[[#This Row],[Candidate 3]], "")</f>
        <v/>
      </c>
      <c r="AH649" s="17" t="str">
        <f>IF(NOT(ISBLANK(Audit[[#This Row],[Audit Candidate 4]])),Audit[[#This Row],[Audit Candidate 4]]-Audit[[#This Row],[Candidate 4]], "")</f>
        <v/>
      </c>
      <c r="AI649" s="17" t="str">
        <f>IF(NOT(ISBLANK(Audit[[#This Row],[Audit Candidate 5]])), Audit[[#This Row],[Audit Candidate 5]]-Audit[[#This Row],[Candidate 5]], "")</f>
        <v/>
      </c>
      <c r="AJ649" s="17" t="str">
        <f>IF(NOT(ISBLANK(Audit[[#This Row],[Audit Candidate 6]])), Audit[[#This Row],[Audit Candidate 6]]-Audit[[#This Row],[Candidate 6]], "")</f>
        <v/>
      </c>
      <c r="AK649" s="17" t="str">
        <f>IF(NOT(ISBLANK(Audit[[#This Row],[Audit Candidate 7]])), Audit[[#This Row],[Audit Candidate 7]]-Audit[[#This Row],[Candidate 7]], "")</f>
        <v/>
      </c>
      <c r="AL649" s="17" t="str">
        <f>IF(NOT(ISBLANK(Audit[[#This Row],[Audit Candidate 8]])), Audit[[#This Row],[Audit Candidate 8]]-Audit[[#This Row],[Candidate 8]], "")</f>
        <v/>
      </c>
      <c r="AM649" s="17" t="str">
        <f>IF(NOT(ISBLANK(Audit[[#This Row],[Audit Candidate 9]])), Audit[[#This Row],[Audit Candidate 9]]-Audit[[#This Row],[Candidate 9]], "")</f>
        <v/>
      </c>
      <c r="AN649" s="17" t="str">
        <f>IF(NOT(ISBLANK(Audit[[#This Row],[Audit Candidate 10]])), Audit[[#This Row],[Audit Candidate 10]]-Audit[[#This Row],[Candidate 10]], "")</f>
        <v/>
      </c>
      <c r="AO649" s="17" t="str">
        <f>IF(NOT(ISBLANK(Audit[[#This Row],[Audit Candidate 11]])), Audit[[#This Row],[Audit Candidate 11]]-Audit[[#This Row],[Candidate 11]], "")</f>
        <v/>
      </c>
      <c r="AP649" s="17" t="str">
        <f>IF(NOT(ISBLANK(Audit[[#This Row],[Audit Candidate 12]])), Audit[[#This Row],[Audit Candidate 12]]-Audit[[#This Row],[Candidate 12]], "")</f>
        <v/>
      </c>
      <c r="AQ649" s="17">
        <f>SUMIF(Audit[[#This Row],[Difference Winner]:[Difference Candidate 12]], "&gt;0")</f>
        <v>0</v>
      </c>
      <c r="AR649" s="17">
        <f>SUM(Audit[[#This Row],[Difference Winner]:[Difference Candidate 12]])</f>
        <v>0</v>
      </c>
      <c r="AS649" s="17">
        <f>IF(Audit[[#This Row],[Times p Drawn - With Replacement]]&gt;0, IF(Audit[[#This Row],[Canceled Differences]]&lt;0, Audit[[#This Row],[Max Differences]]+ABS(Audit[[#This Row],[Canceled Differences]]), Audit[[#This Row],[Max Differences]]), 0)</f>
        <v>0</v>
      </c>
      <c r="AT649" s="17">
        <f>'Sampling Data'!AB649</f>
        <v>1.9139365133254118E-2</v>
      </c>
      <c r="AU649" s="17">
        <f>IF(
      SUM(Audit[[#This Row],[Audit Losing Candidate]:[Audit Candidate 12]])
      &lt;&gt;0,
      (Audit[[#This Row],[Winning Candidate]]-Audit[[#This Row],[Losing Candidate]]-(Audit[[#This Row],[Audit Winning Candidate]]-Audit[[#This Row],[Audit Losing Candidate]]))/(Audit[[#Totals],[Winning Candidate]]-Audit[[#Totals],[Losing Candidate]]),
      0
)</f>
        <v>0</v>
      </c>
      <c r="AV6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9" s="17">
        <f>IF(Audit[[#This Row],[Max Relative Error (ep)]] = 0, 0, Audit[[#This Row],[Max Relative Error (ep)]]/Audit[[#This Row],[Error Bound (up) - Max. possible relative overstatement]])</f>
        <v>0</v>
      </c>
      <c r="BH6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49" s="17">
        <f t="shared" si="10"/>
        <v>1</v>
      </c>
      <c r="BJ649" s="17">
        <f>PRODUCT($BI$5:BI649)</f>
        <v>0.26695880153480334</v>
      </c>
      <c r="BK649" s="19">
        <f>1 - Audit[[#This Row],[K-M P Value]]</f>
        <v>0.73304119846519666</v>
      </c>
      <c r="BL649" s="17" t="str">
        <f>IF(Audit[[#This Row],[K-M P Value]]&gt;1-'General Info'!$B$12,"Continue", "Stop")</f>
        <v>Continue</v>
      </c>
      <c r="BM649" s="22" t="b">
        <f>IF(Audit[[#This Row],[Status - Continue or stop audit]] = "Continue", TRUE, IF(BL648 = "Continue", TRUE, FALSE))</f>
        <v>1</v>
      </c>
      <c r="BN649" s="22"/>
    </row>
    <row r="650" spans="1:66" ht="15" hidden="1" customHeight="1" x14ac:dyDescent="0.35">
      <c r="A650" s="17" t="str">
        <f>'Sampling Data'!AI650</f>
        <v/>
      </c>
      <c r="B650" s="17" t="str">
        <f>'Sampling Data'!A650</f>
        <v>1302 CIN 13-B   (ED)</v>
      </c>
      <c r="C650" s="17">
        <f>'Sampling Data'!B650</f>
        <v>167</v>
      </c>
      <c r="D650" s="17">
        <f>'Sampling Data'!C650</f>
        <v>58</v>
      </c>
      <c r="E650" s="18">
        <f>'Sampling Data'!D650</f>
        <v>0</v>
      </c>
      <c r="F650" s="18">
        <f>'Sampling Data'!E650</f>
        <v>0</v>
      </c>
      <c r="G650" s="18">
        <f>'Sampling Data'!F650</f>
        <v>0</v>
      </c>
      <c r="H650" s="18">
        <f>'Sampling Data'!G650</f>
        <v>0</v>
      </c>
      <c r="I650" s="18">
        <f>'Sampling Data'!H650</f>
        <v>0</v>
      </c>
      <c r="J650" s="18">
        <f>'Sampling Data'!I650</f>
        <v>0</v>
      </c>
      <c r="K650" s="18">
        <f>'Sampling Data'!J650</f>
        <v>0</v>
      </c>
      <c r="L650" s="18">
        <f>'Sampling Data'!K650</f>
        <v>0</v>
      </c>
      <c r="M650" s="18">
        <f>'Sampling Data'!L650</f>
        <v>0</v>
      </c>
      <c r="N650" s="18">
        <f>'Sampling Data'!M650</f>
        <v>0</v>
      </c>
      <c r="O650" s="17">
        <f>'Sampling Data'!N650</f>
        <v>0</v>
      </c>
      <c r="P650" s="17">
        <f>'Sampling Data'!O650</f>
        <v>22</v>
      </c>
      <c r="Q650" s="17">
        <f>'Sampling Data'!P650</f>
        <v>247</v>
      </c>
      <c r="R650" s="17">
        <f>'Sampling Data'!AJ650</f>
        <v>0</v>
      </c>
      <c r="S650" s="111"/>
      <c r="T650" s="111"/>
      <c r="U650" s="112"/>
      <c r="V650" s="112"/>
      <c r="W650" s="111"/>
      <c r="X650" s="111"/>
      <c r="Y650" s="111"/>
      <c r="Z650" s="111"/>
      <c r="AA650" s="14"/>
      <c r="AB650" s="14"/>
      <c r="AC650" s="14"/>
      <c r="AD650" s="14"/>
      <c r="AE650" s="113" t="str">
        <f>IF(NOT(ISBLANK(Audit[[#This Row],[Audit Winning Candidate]])), Audit[[#This Row],[Audit Winning Candidate]]-Audit[[#This Row],[Winning Candidate]], "")</f>
        <v/>
      </c>
      <c r="AF650" s="17" t="str">
        <f>IF(NOT(ISBLANK(Audit[[#This Row],[Audit Losing Candidate]])), Audit[[#This Row],[Audit Losing Candidate]]-Audit[[#This Row],[Losing Candidate]], "")</f>
        <v/>
      </c>
      <c r="AG650" s="17" t="str">
        <f>IF(NOT(ISBLANK(Audit[[#This Row],[Audit Candidate 3]])), Audit[[#This Row],[Audit Candidate 3]]-Audit[[#This Row],[Candidate 3]], "")</f>
        <v/>
      </c>
      <c r="AH650" s="17" t="str">
        <f>IF(NOT(ISBLANK(Audit[[#This Row],[Audit Candidate 4]])),Audit[[#This Row],[Audit Candidate 4]]-Audit[[#This Row],[Candidate 4]], "")</f>
        <v/>
      </c>
      <c r="AI650" s="17" t="str">
        <f>IF(NOT(ISBLANK(Audit[[#This Row],[Audit Candidate 5]])), Audit[[#This Row],[Audit Candidate 5]]-Audit[[#This Row],[Candidate 5]], "")</f>
        <v/>
      </c>
      <c r="AJ650" s="17" t="str">
        <f>IF(NOT(ISBLANK(Audit[[#This Row],[Audit Candidate 6]])), Audit[[#This Row],[Audit Candidate 6]]-Audit[[#This Row],[Candidate 6]], "")</f>
        <v/>
      </c>
      <c r="AK650" s="17" t="str">
        <f>IF(NOT(ISBLANK(Audit[[#This Row],[Audit Candidate 7]])), Audit[[#This Row],[Audit Candidate 7]]-Audit[[#This Row],[Candidate 7]], "")</f>
        <v/>
      </c>
      <c r="AL650" s="17" t="str">
        <f>IF(NOT(ISBLANK(Audit[[#This Row],[Audit Candidate 8]])), Audit[[#This Row],[Audit Candidate 8]]-Audit[[#This Row],[Candidate 8]], "")</f>
        <v/>
      </c>
      <c r="AM650" s="17" t="str">
        <f>IF(NOT(ISBLANK(Audit[[#This Row],[Audit Candidate 9]])), Audit[[#This Row],[Audit Candidate 9]]-Audit[[#This Row],[Candidate 9]], "")</f>
        <v/>
      </c>
      <c r="AN650" s="17" t="str">
        <f>IF(NOT(ISBLANK(Audit[[#This Row],[Audit Candidate 10]])), Audit[[#This Row],[Audit Candidate 10]]-Audit[[#This Row],[Candidate 10]], "")</f>
        <v/>
      </c>
      <c r="AO650" s="17" t="str">
        <f>IF(NOT(ISBLANK(Audit[[#This Row],[Audit Candidate 11]])), Audit[[#This Row],[Audit Candidate 11]]-Audit[[#This Row],[Candidate 11]], "")</f>
        <v/>
      </c>
      <c r="AP650" s="17" t="str">
        <f>IF(NOT(ISBLANK(Audit[[#This Row],[Audit Candidate 12]])), Audit[[#This Row],[Audit Candidate 12]]-Audit[[#This Row],[Candidate 12]], "")</f>
        <v/>
      </c>
      <c r="AQ650" s="17">
        <f>SUMIF(Audit[[#This Row],[Difference Winner]:[Difference Candidate 12]], "&gt;0")</f>
        <v>0</v>
      </c>
      <c r="AR650" s="17">
        <f>SUM(Audit[[#This Row],[Difference Winner]:[Difference Candidate 12]])</f>
        <v>0</v>
      </c>
      <c r="AS650" s="17">
        <f>IF(Audit[[#This Row],[Times p Drawn - With Replacement]]&gt;0, IF(Audit[[#This Row],[Canceled Differences]]&lt;0, Audit[[#This Row],[Max Differences]]+ABS(Audit[[#This Row],[Canceled Differences]]), Audit[[#This Row],[Max Differences]]), 0)</f>
        <v>0</v>
      </c>
      <c r="AT650" s="17">
        <f>'Sampling Data'!AB650</f>
        <v>1.5107791546426753E-2</v>
      </c>
      <c r="AU650" s="17">
        <f>IF(
      SUM(Audit[[#This Row],[Audit Losing Candidate]:[Audit Candidate 12]])
      &lt;&gt;0,
      (Audit[[#This Row],[Winning Candidate]]-Audit[[#This Row],[Losing Candidate]]-(Audit[[#This Row],[Audit Winning Candidate]]-Audit[[#This Row],[Audit Losing Candidate]]))/(Audit[[#Totals],[Winning Candidate]]-Audit[[#Totals],[Losing Candidate]]),
      0
)</f>
        <v>0</v>
      </c>
      <c r="AV6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0" s="17">
        <f>IF(Audit[[#This Row],[Max Relative Error (ep)]] = 0, 0, Audit[[#This Row],[Max Relative Error (ep)]]/Audit[[#This Row],[Error Bound (up) - Max. possible relative overstatement]])</f>
        <v>0</v>
      </c>
      <c r="BH6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50" s="17">
        <f t="shared" si="10"/>
        <v>1</v>
      </c>
      <c r="BJ650" s="17">
        <f>PRODUCT($BI$5:BI650)</f>
        <v>0.26695880153480334</v>
      </c>
      <c r="BK650" s="19">
        <f>1 - Audit[[#This Row],[K-M P Value]]</f>
        <v>0.73304119846519666</v>
      </c>
      <c r="BL650" s="17" t="str">
        <f>IF(Audit[[#This Row],[K-M P Value]]&gt;1-'General Info'!$B$12,"Continue", "Stop")</f>
        <v>Continue</v>
      </c>
      <c r="BM650" s="22" t="b">
        <f>IF(Audit[[#This Row],[Status - Continue or stop audit]] = "Continue", TRUE, IF(BL649 = "Continue", TRUE, FALSE))</f>
        <v>1</v>
      </c>
      <c r="BN650" s="22"/>
    </row>
    <row r="651" spans="1:66" ht="15" hidden="1" customHeight="1" x14ac:dyDescent="0.35">
      <c r="A651" s="17" t="str">
        <f>'Sampling Data'!AI651</f>
        <v/>
      </c>
      <c r="B651" s="17" t="str">
        <f>'Sampling Data'!A651</f>
        <v>1303 CIN 13-C   (ED)</v>
      </c>
      <c r="C651" s="17">
        <f>'Sampling Data'!B651</f>
        <v>227</v>
      </c>
      <c r="D651" s="17">
        <f>'Sampling Data'!C651</f>
        <v>34</v>
      </c>
      <c r="E651" s="18">
        <f>'Sampling Data'!D651</f>
        <v>0</v>
      </c>
      <c r="F651" s="18">
        <f>'Sampling Data'!E651</f>
        <v>0</v>
      </c>
      <c r="G651" s="18">
        <f>'Sampling Data'!F651</f>
        <v>0</v>
      </c>
      <c r="H651" s="18">
        <f>'Sampling Data'!G651</f>
        <v>0</v>
      </c>
      <c r="I651" s="18">
        <f>'Sampling Data'!H651</f>
        <v>0</v>
      </c>
      <c r="J651" s="18">
        <f>'Sampling Data'!I651</f>
        <v>0</v>
      </c>
      <c r="K651" s="18">
        <f>'Sampling Data'!J651</f>
        <v>0</v>
      </c>
      <c r="L651" s="18">
        <f>'Sampling Data'!K651</f>
        <v>0</v>
      </c>
      <c r="M651" s="18">
        <f>'Sampling Data'!L651</f>
        <v>0</v>
      </c>
      <c r="N651" s="18">
        <f>'Sampling Data'!M651</f>
        <v>0</v>
      </c>
      <c r="O651" s="17">
        <f>'Sampling Data'!N651</f>
        <v>0</v>
      </c>
      <c r="P651" s="17">
        <f>'Sampling Data'!O651</f>
        <v>23</v>
      </c>
      <c r="Q651" s="17">
        <f>'Sampling Data'!P651</f>
        <v>284</v>
      </c>
      <c r="R651" s="17">
        <f>'Sampling Data'!AJ651</f>
        <v>0</v>
      </c>
      <c r="S651" s="111"/>
      <c r="T651" s="111"/>
      <c r="U651" s="112"/>
      <c r="V651" s="112"/>
      <c r="W651" s="111"/>
      <c r="X651" s="111"/>
      <c r="Y651" s="111"/>
      <c r="Z651" s="111"/>
      <c r="AA651" s="14"/>
      <c r="AB651" s="14"/>
      <c r="AC651" s="14"/>
      <c r="AD651" s="14"/>
      <c r="AE651" s="113" t="str">
        <f>IF(NOT(ISBLANK(Audit[[#This Row],[Audit Winning Candidate]])), Audit[[#This Row],[Audit Winning Candidate]]-Audit[[#This Row],[Winning Candidate]], "")</f>
        <v/>
      </c>
      <c r="AF651" s="17" t="str">
        <f>IF(NOT(ISBLANK(Audit[[#This Row],[Audit Losing Candidate]])), Audit[[#This Row],[Audit Losing Candidate]]-Audit[[#This Row],[Losing Candidate]], "")</f>
        <v/>
      </c>
      <c r="AG651" s="17" t="str">
        <f>IF(NOT(ISBLANK(Audit[[#This Row],[Audit Candidate 3]])), Audit[[#This Row],[Audit Candidate 3]]-Audit[[#This Row],[Candidate 3]], "")</f>
        <v/>
      </c>
      <c r="AH651" s="17" t="str">
        <f>IF(NOT(ISBLANK(Audit[[#This Row],[Audit Candidate 4]])),Audit[[#This Row],[Audit Candidate 4]]-Audit[[#This Row],[Candidate 4]], "")</f>
        <v/>
      </c>
      <c r="AI651" s="17" t="str">
        <f>IF(NOT(ISBLANK(Audit[[#This Row],[Audit Candidate 5]])), Audit[[#This Row],[Audit Candidate 5]]-Audit[[#This Row],[Candidate 5]], "")</f>
        <v/>
      </c>
      <c r="AJ651" s="17" t="str">
        <f>IF(NOT(ISBLANK(Audit[[#This Row],[Audit Candidate 6]])), Audit[[#This Row],[Audit Candidate 6]]-Audit[[#This Row],[Candidate 6]], "")</f>
        <v/>
      </c>
      <c r="AK651" s="17" t="str">
        <f>IF(NOT(ISBLANK(Audit[[#This Row],[Audit Candidate 7]])), Audit[[#This Row],[Audit Candidate 7]]-Audit[[#This Row],[Candidate 7]], "")</f>
        <v/>
      </c>
      <c r="AL651" s="17" t="str">
        <f>IF(NOT(ISBLANK(Audit[[#This Row],[Audit Candidate 8]])), Audit[[#This Row],[Audit Candidate 8]]-Audit[[#This Row],[Candidate 8]], "")</f>
        <v/>
      </c>
      <c r="AM651" s="17" t="str">
        <f>IF(NOT(ISBLANK(Audit[[#This Row],[Audit Candidate 9]])), Audit[[#This Row],[Audit Candidate 9]]-Audit[[#This Row],[Candidate 9]], "")</f>
        <v/>
      </c>
      <c r="AN651" s="17" t="str">
        <f>IF(NOT(ISBLANK(Audit[[#This Row],[Audit Candidate 10]])), Audit[[#This Row],[Audit Candidate 10]]-Audit[[#This Row],[Candidate 10]], "")</f>
        <v/>
      </c>
      <c r="AO651" s="17" t="str">
        <f>IF(NOT(ISBLANK(Audit[[#This Row],[Audit Candidate 11]])), Audit[[#This Row],[Audit Candidate 11]]-Audit[[#This Row],[Candidate 11]], "")</f>
        <v/>
      </c>
      <c r="AP651" s="17" t="str">
        <f>IF(NOT(ISBLANK(Audit[[#This Row],[Audit Candidate 12]])), Audit[[#This Row],[Audit Candidate 12]]-Audit[[#This Row],[Candidate 12]], "")</f>
        <v/>
      </c>
      <c r="AQ651" s="17">
        <f>SUMIF(Audit[[#This Row],[Difference Winner]:[Difference Candidate 12]], "&gt;0")</f>
        <v>0</v>
      </c>
      <c r="AR651" s="17">
        <f>SUM(Audit[[#This Row],[Difference Winner]:[Difference Candidate 12]])</f>
        <v>0</v>
      </c>
      <c r="AS651" s="17">
        <f>IF(Audit[[#This Row],[Times p Drawn - With Replacement]]&gt;0, IF(Audit[[#This Row],[Canceled Differences]]&lt;0, Audit[[#This Row],[Max Differences]]+ABS(Audit[[#This Row],[Canceled Differences]]), Audit[[#This Row],[Max Differences]]), 0)</f>
        <v>0</v>
      </c>
      <c r="AT651" s="17">
        <f>'Sampling Data'!AB651</f>
        <v>2.0242743167543712E-2</v>
      </c>
      <c r="AU651" s="17">
        <f>IF(
      SUM(Audit[[#This Row],[Audit Losing Candidate]:[Audit Candidate 12]])
      &lt;&gt;0,
      (Audit[[#This Row],[Winning Candidate]]-Audit[[#This Row],[Losing Candidate]]-(Audit[[#This Row],[Audit Winning Candidate]]-Audit[[#This Row],[Audit Losing Candidate]]))/(Audit[[#Totals],[Winning Candidate]]-Audit[[#Totals],[Losing Candidate]]),
      0
)</f>
        <v>0</v>
      </c>
      <c r="AV6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1" s="17">
        <f>IF(Audit[[#This Row],[Max Relative Error (ep)]] = 0, 0, Audit[[#This Row],[Max Relative Error (ep)]]/Audit[[#This Row],[Error Bound (up) - Max. possible relative overstatement]])</f>
        <v>0</v>
      </c>
      <c r="BH6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51" s="17">
        <f t="shared" si="10"/>
        <v>1</v>
      </c>
      <c r="BJ651" s="17">
        <f>PRODUCT($BI$5:BI651)</f>
        <v>0.26695880153480334</v>
      </c>
      <c r="BK651" s="19">
        <f>1 - Audit[[#This Row],[K-M P Value]]</f>
        <v>0.73304119846519666</v>
      </c>
      <c r="BL651" s="17" t="str">
        <f>IF(Audit[[#This Row],[K-M P Value]]&gt;1-'General Info'!$B$12,"Continue", "Stop")</f>
        <v>Continue</v>
      </c>
      <c r="BM651" s="22" t="b">
        <f>IF(Audit[[#This Row],[Status - Continue or stop audit]] = "Continue", TRUE, IF(BL650 = "Continue", TRUE, FALSE))</f>
        <v>1</v>
      </c>
      <c r="BN651" s="22"/>
    </row>
    <row r="652" spans="1:66" ht="15" hidden="1" customHeight="1" x14ac:dyDescent="0.35">
      <c r="A652" s="17" t="str">
        <f>'Sampling Data'!AI652</f>
        <v/>
      </c>
      <c r="B652" s="17" t="str">
        <f>'Sampling Data'!A652</f>
        <v>1304 CIN 13-D   (ED)</v>
      </c>
      <c r="C652" s="17">
        <f>'Sampling Data'!B652</f>
        <v>249</v>
      </c>
      <c r="D652" s="17">
        <f>'Sampling Data'!C652</f>
        <v>23</v>
      </c>
      <c r="E652" s="18">
        <f>'Sampling Data'!D652</f>
        <v>0</v>
      </c>
      <c r="F652" s="18">
        <f>'Sampling Data'!E652</f>
        <v>0</v>
      </c>
      <c r="G652" s="18">
        <f>'Sampling Data'!F652</f>
        <v>0</v>
      </c>
      <c r="H652" s="18">
        <f>'Sampling Data'!G652</f>
        <v>0</v>
      </c>
      <c r="I652" s="18">
        <f>'Sampling Data'!H652</f>
        <v>0</v>
      </c>
      <c r="J652" s="18">
        <f>'Sampling Data'!I652</f>
        <v>0</v>
      </c>
      <c r="K652" s="18">
        <f>'Sampling Data'!J652</f>
        <v>0</v>
      </c>
      <c r="L652" s="18">
        <f>'Sampling Data'!K652</f>
        <v>0</v>
      </c>
      <c r="M652" s="18">
        <f>'Sampling Data'!L652</f>
        <v>0</v>
      </c>
      <c r="N652" s="18">
        <f>'Sampling Data'!M652</f>
        <v>0</v>
      </c>
      <c r="O652" s="17">
        <f>'Sampling Data'!N652</f>
        <v>0</v>
      </c>
      <c r="P652" s="17">
        <f>'Sampling Data'!O652</f>
        <v>15</v>
      </c>
      <c r="Q652" s="17">
        <f>'Sampling Data'!P652</f>
        <v>287</v>
      </c>
      <c r="R652" s="17">
        <f>'Sampling Data'!AJ652</f>
        <v>0</v>
      </c>
      <c r="S652" s="111"/>
      <c r="T652" s="111"/>
      <c r="U652" s="112"/>
      <c r="V652" s="112"/>
      <c r="W652" s="111"/>
      <c r="X652" s="111"/>
      <c r="Y652" s="111"/>
      <c r="Z652" s="111"/>
      <c r="AA652" s="14"/>
      <c r="AB652" s="14"/>
      <c r="AC652" s="14"/>
      <c r="AD652" s="14"/>
      <c r="AE652" s="113" t="str">
        <f>IF(NOT(ISBLANK(Audit[[#This Row],[Audit Winning Candidate]])), Audit[[#This Row],[Audit Winning Candidate]]-Audit[[#This Row],[Winning Candidate]], "")</f>
        <v/>
      </c>
      <c r="AF652" s="17" t="str">
        <f>IF(NOT(ISBLANK(Audit[[#This Row],[Audit Losing Candidate]])), Audit[[#This Row],[Audit Losing Candidate]]-Audit[[#This Row],[Losing Candidate]], "")</f>
        <v/>
      </c>
      <c r="AG652" s="17" t="str">
        <f>IF(NOT(ISBLANK(Audit[[#This Row],[Audit Candidate 3]])), Audit[[#This Row],[Audit Candidate 3]]-Audit[[#This Row],[Candidate 3]], "")</f>
        <v/>
      </c>
      <c r="AH652" s="17" t="str">
        <f>IF(NOT(ISBLANK(Audit[[#This Row],[Audit Candidate 4]])),Audit[[#This Row],[Audit Candidate 4]]-Audit[[#This Row],[Candidate 4]], "")</f>
        <v/>
      </c>
      <c r="AI652" s="17" t="str">
        <f>IF(NOT(ISBLANK(Audit[[#This Row],[Audit Candidate 5]])), Audit[[#This Row],[Audit Candidate 5]]-Audit[[#This Row],[Candidate 5]], "")</f>
        <v/>
      </c>
      <c r="AJ652" s="17" t="str">
        <f>IF(NOT(ISBLANK(Audit[[#This Row],[Audit Candidate 6]])), Audit[[#This Row],[Audit Candidate 6]]-Audit[[#This Row],[Candidate 6]], "")</f>
        <v/>
      </c>
      <c r="AK652" s="17" t="str">
        <f>IF(NOT(ISBLANK(Audit[[#This Row],[Audit Candidate 7]])), Audit[[#This Row],[Audit Candidate 7]]-Audit[[#This Row],[Candidate 7]], "")</f>
        <v/>
      </c>
      <c r="AL652" s="17" t="str">
        <f>IF(NOT(ISBLANK(Audit[[#This Row],[Audit Candidate 8]])), Audit[[#This Row],[Audit Candidate 8]]-Audit[[#This Row],[Candidate 8]], "")</f>
        <v/>
      </c>
      <c r="AM652" s="17" t="str">
        <f>IF(NOT(ISBLANK(Audit[[#This Row],[Audit Candidate 9]])), Audit[[#This Row],[Audit Candidate 9]]-Audit[[#This Row],[Candidate 9]], "")</f>
        <v/>
      </c>
      <c r="AN652" s="17" t="str">
        <f>IF(NOT(ISBLANK(Audit[[#This Row],[Audit Candidate 10]])), Audit[[#This Row],[Audit Candidate 10]]-Audit[[#This Row],[Candidate 10]], "")</f>
        <v/>
      </c>
      <c r="AO652" s="17" t="str">
        <f>IF(NOT(ISBLANK(Audit[[#This Row],[Audit Candidate 11]])), Audit[[#This Row],[Audit Candidate 11]]-Audit[[#This Row],[Candidate 11]], "")</f>
        <v/>
      </c>
      <c r="AP652" s="17" t="str">
        <f>IF(NOT(ISBLANK(Audit[[#This Row],[Audit Candidate 12]])), Audit[[#This Row],[Audit Candidate 12]]-Audit[[#This Row],[Candidate 12]], "")</f>
        <v/>
      </c>
      <c r="AQ652" s="17">
        <f>SUMIF(Audit[[#This Row],[Difference Winner]:[Difference Candidate 12]], "&gt;0")</f>
        <v>0</v>
      </c>
      <c r="AR652" s="17">
        <f>SUM(Audit[[#This Row],[Difference Winner]:[Difference Candidate 12]])</f>
        <v>0</v>
      </c>
      <c r="AS652" s="17">
        <f>IF(Audit[[#This Row],[Times p Drawn - With Replacement]]&gt;0, IF(Audit[[#This Row],[Canceled Differences]]&lt;0, Audit[[#This Row],[Max Differences]]+ABS(Audit[[#This Row],[Canceled Differences]]), Audit[[#This Row],[Max Differences]]), 0)</f>
        <v>0</v>
      </c>
      <c r="AT652" s="17">
        <f>'Sampling Data'!AB652</f>
        <v>2.1770497368867766E-2</v>
      </c>
      <c r="AU652" s="17">
        <f>IF(
      SUM(Audit[[#This Row],[Audit Losing Candidate]:[Audit Candidate 12]])
      &lt;&gt;0,
      (Audit[[#This Row],[Winning Candidate]]-Audit[[#This Row],[Losing Candidate]]-(Audit[[#This Row],[Audit Winning Candidate]]-Audit[[#This Row],[Audit Losing Candidate]]))/(Audit[[#Totals],[Winning Candidate]]-Audit[[#Totals],[Losing Candidate]]),
      0
)</f>
        <v>0</v>
      </c>
      <c r="AV6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2" s="17">
        <f>IF(Audit[[#This Row],[Max Relative Error (ep)]] = 0, 0, Audit[[#This Row],[Max Relative Error (ep)]]/Audit[[#This Row],[Error Bound (up) - Max. possible relative overstatement]])</f>
        <v>0</v>
      </c>
      <c r="BH6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52" s="17">
        <f t="shared" si="10"/>
        <v>1</v>
      </c>
      <c r="BJ652" s="17">
        <f>PRODUCT($BI$5:BI652)</f>
        <v>0.26695880153480334</v>
      </c>
      <c r="BK652" s="19">
        <f>1 - Audit[[#This Row],[K-M P Value]]</f>
        <v>0.73304119846519666</v>
      </c>
      <c r="BL652" s="17" t="str">
        <f>IF(Audit[[#This Row],[K-M P Value]]&gt;1-'General Info'!$B$12,"Continue", "Stop")</f>
        <v>Continue</v>
      </c>
      <c r="BM652" s="22" t="b">
        <f>IF(Audit[[#This Row],[Status - Continue or stop audit]] = "Continue", TRUE, IF(BL651 = "Continue", TRUE, FALSE))</f>
        <v>1</v>
      </c>
      <c r="BN652" s="22"/>
    </row>
    <row r="653" spans="1:66" ht="15" hidden="1" customHeight="1" x14ac:dyDescent="0.35">
      <c r="A653" s="17" t="str">
        <f>'Sampling Data'!AI653</f>
        <v/>
      </c>
      <c r="B653" s="17" t="str">
        <f>'Sampling Data'!A653</f>
        <v>1305 CIN 13-E   (ED)</v>
      </c>
      <c r="C653" s="17">
        <f>'Sampling Data'!B653</f>
        <v>211</v>
      </c>
      <c r="D653" s="17">
        <f>'Sampling Data'!C653</f>
        <v>70</v>
      </c>
      <c r="E653" s="18">
        <f>'Sampling Data'!D653</f>
        <v>0</v>
      </c>
      <c r="F653" s="18">
        <f>'Sampling Data'!E653</f>
        <v>0</v>
      </c>
      <c r="G653" s="18">
        <f>'Sampling Data'!F653</f>
        <v>0</v>
      </c>
      <c r="H653" s="18">
        <f>'Sampling Data'!G653</f>
        <v>0</v>
      </c>
      <c r="I653" s="18">
        <f>'Sampling Data'!H653</f>
        <v>0</v>
      </c>
      <c r="J653" s="18">
        <f>'Sampling Data'!I653</f>
        <v>0</v>
      </c>
      <c r="K653" s="18">
        <f>'Sampling Data'!J653</f>
        <v>0</v>
      </c>
      <c r="L653" s="18">
        <f>'Sampling Data'!K653</f>
        <v>0</v>
      </c>
      <c r="M653" s="18">
        <f>'Sampling Data'!L653</f>
        <v>0</v>
      </c>
      <c r="N653" s="18">
        <f>'Sampling Data'!M653</f>
        <v>0</v>
      </c>
      <c r="O653" s="17">
        <f>'Sampling Data'!N653</f>
        <v>0</v>
      </c>
      <c r="P653" s="17">
        <f>'Sampling Data'!O653</f>
        <v>27</v>
      </c>
      <c r="Q653" s="17">
        <f>'Sampling Data'!P653</f>
        <v>308</v>
      </c>
      <c r="R653" s="17">
        <f>'Sampling Data'!AJ653</f>
        <v>0</v>
      </c>
      <c r="S653" s="111"/>
      <c r="T653" s="111"/>
      <c r="U653" s="112"/>
      <c r="V653" s="112"/>
      <c r="W653" s="111"/>
      <c r="X653" s="111"/>
      <c r="Y653" s="111"/>
      <c r="Z653" s="111"/>
      <c r="AA653" s="14"/>
      <c r="AB653" s="14"/>
      <c r="AC653" s="14"/>
      <c r="AD653" s="14"/>
      <c r="AE653" s="113" t="str">
        <f>IF(NOT(ISBLANK(Audit[[#This Row],[Audit Winning Candidate]])), Audit[[#This Row],[Audit Winning Candidate]]-Audit[[#This Row],[Winning Candidate]], "")</f>
        <v/>
      </c>
      <c r="AF653" s="17" t="str">
        <f>IF(NOT(ISBLANK(Audit[[#This Row],[Audit Losing Candidate]])), Audit[[#This Row],[Audit Losing Candidate]]-Audit[[#This Row],[Losing Candidate]], "")</f>
        <v/>
      </c>
      <c r="AG653" s="17" t="str">
        <f>IF(NOT(ISBLANK(Audit[[#This Row],[Audit Candidate 3]])), Audit[[#This Row],[Audit Candidate 3]]-Audit[[#This Row],[Candidate 3]], "")</f>
        <v/>
      </c>
      <c r="AH653" s="17" t="str">
        <f>IF(NOT(ISBLANK(Audit[[#This Row],[Audit Candidate 4]])),Audit[[#This Row],[Audit Candidate 4]]-Audit[[#This Row],[Candidate 4]], "")</f>
        <v/>
      </c>
      <c r="AI653" s="17" t="str">
        <f>IF(NOT(ISBLANK(Audit[[#This Row],[Audit Candidate 5]])), Audit[[#This Row],[Audit Candidate 5]]-Audit[[#This Row],[Candidate 5]], "")</f>
        <v/>
      </c>
      <c r="AJ653" s="17" t="str">
        <f>IF(NOT(ISBLANK(Audit[[#This Row],[Audit Candidate 6]])), Audit[[#This Row],[Audit Candidate 6]]-Audit[[#This Row],[Candidate 6]], "")</f>
        <v/>
      </c>
      <c r="AK653" s="17" t="str">
        <f>IF(NOT(ISBLANK(Audit[[#This Row],[Audit Candidate 7]])), Audit[[#This Row],[Audit Candidate 7]]-Audit[[#This Row],[Candidate 7]], "")</f>
        <v/>
      </c>
      <c r="AL653" s="17" t="str">
        <f>IF(NOT(ISBLANK(Audit[[#This Row],[Audit Candidate 8]])), Audit[[#This Row],[Audit Candidate 8]]-Audit[[#This Row],[Candidate 8]], "")</f>
        <v/>
      </c>
      <c r="AM653" s="17" t="str">
        <f>IF(NOT(ISBLANK(Audit[[#This Row],[Audit Candidate 9]])), Audit[[#This Row],[Audit Candidate 9]]-Audit[[#This Row],[Candidate 9]], "")</f>
        <v/>
      </c>
      <c r="AN653" s="17" t="str">
        <f>IF(NOT(ISBLANK(Audit[[#This Row],[Audit Candidate 10]])), Audit[[#This Row],[Audit Candidate 10]]-Audit[[#This Row],[Candidate 10]], "")</f>
        <v/>
      </c>
      <c r="AO653" s="17" t="str">
        <f>IF(NOT(ISBLANK(Audit[[#This Row],[Audit Candidate 11]])), Audit[[#This Row],[Audit Candidate 11]]-Audit[[#This Row],[Candidate 11]], "")</f>
        <v/>
      </c>
      <c r="AP653" s="17" t="str">
        <f>IF(NOT(ISBLANK(Audit[[#This Row],[Audit Candidate 12]])), Audit[[#This Row],[Audit Candidate 12]]-Audit[[#This Row],[Candidate 12]], "")</f>
        <v/>
      </c>
      <c r="AQ653" s="17">
        <f>SUMIF(Audit[[#This Row],[Difference Winner]:[Difference Candidate 12]], "&gt;0")</f>
        <v>0</v>
      </c>
      <c r="AR653" s="17">
        <f>SUM(Audit[[#This Row],[Difference Winner]:[Difference Candidate 12]])</f>
        <v>0</v>
      </c>
      <c r="AS653" s="17">
        <f>IF(Audit[[#This Row],[Times p Drawn - With Replacement]]&gt;0, IF(Audit[[#This Row],[Canceled Differences]]&lt;0, Audit[[#This Row],[Max Differences]]+ABS(Audit[[#This Row],[Canceled Differences]]), Audit[[#This Row],[Max Differences]]), 0)</f>
        <v>0</v>
      </c>
      <c r="AT653" s="17">
        <f>'Sampling Data'!AB653</f>
        <v>1.9054489899847225E-2</v>
      </c>
      <c r="AU653" s="17">
        <f>IF(
      SUM(Audit[[#This Row],[Audit Losing Candidate]:[Audit Candidate 12]])
      &lt;&gt;0,
      (Audit[[#This Row],[Winning Candidate]]-Audit[[#This Row],[Losing Candidate]]-(Audit[[#This Row],[Audit Winning Candidate]]-Audit[[#This Row],[Audit Losing Candidate]]))/(Audit[[#Totals],[Winning Candidate]]-Audit[[#Totals],[Losing Candidate]]),
      0
)</f>
        <v>0</v>
      </c>
      <c r="AV6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3" s="17">
        <f>IF(Audit[[#This Row],[Max Relative Error (ep)]] = 0, 0, Audit[[#This Row],[Max Relative Error (ep)]]/Audit[[#This Row],[Error Bound (up) - Max. possible relative overstatement]])</f>
        <v>0</v>
      </c>
      <c r="BH6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53" s="17">
        <f t="shared" si="10"/>
        <v>1</v>
      </c>
      <c r="BJ653" s="17">
        <f>PRODUCT($BI$5:BI653)</f>
        <v>0.26695880153480334</v>
      </c>
      <c r="BK653" s="19">
        <f>1 - Audit[[#This Row],[K-M P Value]]</f>
        <v>0.73304119846519666</v>
      </c>
      <c r="BL653" s="17" t="str">
        <f>IF(Audit[[#This Row],[K-M P Value]]&gt;1-'General Info'!$B$12,"Continue", "Stop")</f>
        <v>Continue</v>
      </c>
      <c r="BM653" s="22" t="b">
        <f>IF(Audit[[#This Row],[Status - Continue or stop audit]] = "Continue", TRUE, IF(BL652 = "Continue", TRUE, FALSE))</f>
        <v>1</v>
      </c>
      <c r="BN653" s="22"/>
    </row>
    <row r="654" spans="1:66" ht="15" hidden="1" customHeight="1" x14ac:dyDescent="0.35">
      <c r="A654" s="17" t="str">
        <f>'Sampling Data'!AI654</f>
        <v/>
      </c>
      <c r="B654" s="17" t="str">
        <f>'Sampling Data'!A654</f>
        <v>1306 CIN 13-F   (ED)</v>
      </c>
      <c r="C654" s="17">
        <f>'Sampling Data'!B654</f>
        <v>236</v>
      </c>
      <c r="D654" s="17">
        <f>'Sampling Data'!C654</f>
        <v>24</v>
      </c>
      <c r="E654" s="18">
        <f>'Sampling Data'!D654</f>
        <v>0</v>
      </c>
      <c r="F654" s="18">
        <f>'Sampling Data'!E654</f>
        <v>0</v>
      </c>
      <c r="G654" s="18">
        <f>'Sampling Data'!F654</f>
        <v>0</v>
      </c>
      <c r="H654" s="18">
        <f>'Sampling Data'!G654</f>
        <v>0</v>
      </c>
      <c r="I654" s="18">
        <f>'Sampling Data'!H654</f>
        <v>0</v>
      </c>
      <c r="J654" s="18">
        <f>'Sampling Data'!I654</f>
        <v>0</v>
      </c>
      <c r="K654" s="18">
        <f>'Sampling Data'!J654</f>
        <v>0</v>
      </c>
      <c r="L654" s="18">
        <f>'Sampling Data'!K654</f>
        <v>0</v>
      </c>
      <c r="M654" s="18">
        <f>'Sampling Data'!L654</f>
        <v>0</v>
      </c>
      <c r="N654" s="18">
        <f>'Sampling Data'!M654</f>
        <v>0</v>
      </c>
      <c r="O654" s="17">
        <f>'Sampling Data'!N654</f>
        <v>1</v>
      </c>
      <c r="P654" s="17">
        <f>'Sampling Data'!O654</f>
        <v>15</v>
      </c>
      <c r="Q654" s="17">
        <f>'Sampling Data'!P654</f>
        <v>276</v>
      </c>
      <c r="R654" s="17">
        <f>'Sampling Data'!AJ654</f>
        <v>0</v>
      </c>
      <c r="S654" s="111"/>
      <c r="T654" s="111"/>
      <c r="U654" s="112"/>
      <c r="V654" s="112"/>
      <c r="W654" s="111"/>
      <c r="X654" s="111"/>
      <c r="Y654" s="111"/>
      <c r="Z654" s="111"/>
      <c r="AA654" s="14"/>
      <c r="AB654" s="14"/>
      <c r="AC654" s="14"/>
      <c r="AD654" s="14"/>
      <c r="AE654" s="113" t="str">
        <f>IF(NOT(ISBLANK(Audit[[#This Row],[Audit Winning Candidate]])), Audit[[#This Row],[Audit Winning Candidate]]-Audit[[#This Row],[Winning Candidate]], "")</f>
        <v/>
      </c>
      <c r="AF654" s="17" t="str">
        <f>IF(NOT(ISBLANK(Audit[[#This Row],[Audit Losing Candidate]])), Audit[[#This Row],[Audit Losing Candidate]]-Audit[[#This Row],[Losing Candidate]], "")</f>
        <v/>
      </c>
      <c r="AG654" s="17" t="str">
        <f>IF(NOT(ISBLANK(Audit[[#This Row],[Audit Candidate 3]])), Audit[[#This Row],[Audit Candidate 3]]-Audit[[#This Row],[Candidate 3]], "")</f>
        <v/>
      </c>
      <c r="AH654" s="17" t="str">
        <f>IF(NOT(ISBLANK(Audit[[#This Row],[Audit Candidate 4]])),Audit[[#This Row],[Audit Candidate 4]]-Audit[[#This Row],[Candidate 4]], "")</f>
        <v/>
      </c>
      <c r="AI654" s="17" t="str">
        <f>IF(NOT(ISBLANK(Audit[[#This Row],[Audit Candidate 5]])), Audit[[#This Row],[Audit Candidate 5]]-Audit[[#This Row],[Candidate 5]], "")</f>
        <v/>
      </c>
      <c r="AJ654" s="17" t="str">
        <f>IF(NOT(ISBLANK(Audit[[#This Row],[Audit Candidate 6]])), Audit[[#This Row],[Audit Candidate 6]]-Audit[[#This Row],[Candidate 6]], "")</f>
        <v/>
      </c>
      <c r="AK654" s="17" t="str">
        <f>IF(NOT(ISBLANK(Audit[[#This Row],[Audit Candidate 7]])), Audit[[#This Row],[Audit Candidate 7]]-Audit[[#This Row],[Candidate 7]], "")</f>
        <v/>
      </c>
      <c r="AL654" s="17" t="str">
        <f>IF(NOT(ISBLANK(Audit[[#This Row],[Audit Candidate 8]])), Audit[[#This Row],[Audit Candidate 8]]-Audit[[#This Row],[Candidate 8]], "")</f>
        <v/>
      </c>
      <c r="AM654" s="17" t="str">
        <f>IF(NOT(ISBLANK(Audit[[#This Row],[Audit Candidate 9]])), Audit[[#This Row],[Audit Candidate 9]]-Audit[[#This Row],[Candidate 9]], "")</f>
        <v/>
      </c>
      <c r="AN654" s="17" t="str">
        <f>IF(NOT(ISBLANK(Audit[[#This Row],[Audit Candidate 10]])), Audit[[#This Row],[Audit Candidate 10]]-Audit[[#This Row],[Candidate 10]], "")</f>
        <v/>
      </c>
      <c r="AO654" s="17" t="str">
        <f>IF(NOT(ISBLANK(Audit[[#This Row],[Audit Candidate 11]])), Audit[[#This Row],[Audit Candidate 11]]-Audit[[#This Row],[Candidate 11]], "")</f>
        <v/>
      </c>
      <c r="AP654" s="17" t="str">
        <f>IF(NOT(ISBLANK(Audit[[#This Row],[Audit Candidate 12]])), Audit[[#This Row],[Audit Candidate 12]]-Audit[[#This Row],[Candidate 12]], "")</f>
        <v/>
      </c>
      <c r="AQ654" s="17">
        <f>SUMIF(Audit[[#This Row],[Difference Winner]:[Difference Candidate 12]], "&gt;0")</f>
        <v>0</v>
      </c>
      <c r="AR654" s="17">
        <f>SUM(Audit[[#This Row],[Difference Winner]:[Difference Candidate 12]])</f>
        <v>0</v>
      </c>
      <c r="AS654" s="17">
        <f>IF(Audit[[#This Row],[Times p Drawn - With Replacement]]&gt;0, IF(Audit[[#This Row],[Canceled Differences]]&lt;0, Audit[[#This Row],[Max Differences]]+ABS(Audit[[#This Row],[Canceled Differences]]), Audit[[#This Row],[Max Differences]]), 0)</f>
        <v>0</v>
      </c>
      <c r="AT654" s="17">
        <f>'Sampling Data'!AB654</f>
        <v>2.0709556951281616E-2</v>
      </c>
      <c r="AU654" s="17">
        <f>IF(
      SUM(Audit[[#This Row],[Audit Losing Candidate]:[Audit Candidate 12]])
      &lt;&gt;0,
      (Audit[[#This Row],[Winning Candidate]]-Audit[[#This Row],[Losing Candidate]]-(Audit[[#This Row],[Audit Winning Candidate]]-Audit[[#This Row],[Audit Losing Candidate]]))/(Audit[[#Totals],[Winning Candidate]]-Audit[[#Totals],[Losing Candidate]]),
      0
)</f>
        <v>0</v>
      </c>
      <c r="AV6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4" s="17">
        <f>IF(Audit[[#This Row],[Max Relative Error (ep)]] = 0, 0, Audit[[#This Row],[Max Relative Error (ep)]]/Audit[[#This Row],[Error Bound (up) - Max. possible relative overstatement]])</f>
        <v>0</v>
      </c>
      <c r="BH6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54" s="17">
        <f t="shared" si="10"/>
        <v>1</v>
      </c>
      <c r="BJ654" s="17">
        <f>PRODUCT($BI$5:BI654)</f>
        <v>0.26695880153480334</v>
      </c>
      <c r="BK654" s="19">
        <f>1 - Audit[[#This Row],[K-M P Value]]</f>
        <v>0.73304119846519666</v>
      </c>
      <c r="BL654" s="17" t="str">
        <f>IF(Audit[[#This Row],[K-M P Value]]&gt;1-'General Info'!$B$12,"Continue", "Stop")</f>
        <v>Continue</v>
      </c>
      <c r="BM654" s="22" t="b">
        <f>IF(Audit[[#This Row],[Status - Continue or stop audit]] = "Continue", TRUE, IF(BL653 = "Continue", TRUE, FALSE))</f>
        <v>1</v>
      </c>
      <c r="BN654" s="22"/>
    </row>
    <row r="655" spans="1:66" ht="15" hidden="1" customHeight="1" x14ac:dyDescent="0.35">
      <c r="A655" s="17" t="str">
        <f>'Sampling Data'!AI655</f>
        <v/>
      </c>
      <c r="B655" s="17" t="str">
        <f>'Sampling Data'!A655</f>
        <v>1307 CIN 13-G   (ED)</v>
      </c>
      <c r="C655" s="17">
        <f>'Sampling Data'!B655</f>
        <v>295</v>
      </c>
      <c r="D655" s="17">
        <f>'Sampling Data'!C655</f>
        <v>27</v>
      </c>
      <c r="E655" s="18">
        <f>'Sampling Data'!D655</f>
        <v>0</v>
      </c>
      <c r="F655" s="18">
        <f>'Sampling Data'!E655</f>
        <v>0</v>
      </c>
      <c r="G655" s="18">
        <f>'Sampling Data'!F655</f>
        <v>0</v>
      </c>
      <c r="H655" s="18">
        <f>'Sampling Data'!G655</f>
        <v>0</v>
      </c>
      <c r="I655" s="18">
        <f>'Sampling Data'!H655</f>
        <v>0</v>
      </c>
      <c r="J655" s="18">
        <f>'Sampling Data'!I655</f>
        <v>0</v>
      </c>
      <c r="K655" s="18">
        <f>'Sampling Data'!J655</f>
        <v>0</v>
      </c>
      <c r="L655" s="18">
        <f>'Sampling Data'!K655</f>
        <v>0</v>
      </c>
      <c r="M655" s="18">
        <f>'Sampling Data'!L655</f>
        <v>0</v>
      </c>
      <c r="N655" s="18">
        <f>'Sampling Data'!M655</f>
        <v>0</v>
      </c>
      <c r="O655" s="17">
        <f>'Sampling Data'!N655</f>
        <v>0</v>
      </c>
      <c r="P655" s="17">
        <f>'Sampling Data'!O655</f>
        <v>16</v>
      </c>
      <c r="Q655" s="17">
        <f>'Sampling Data'!P655</f>
        <v>338</v>
      </c>
      <c r="R655" s="17">
        <f>'Sampling Data'!AJ655</f>
        <v>0</v>
      </c>
      <c r="S655" s="111"/>
      <c r="T655" s="111"/>
      <c r="U655" s="112"/>
      <c r="V655" s="112"/>
      <c r="W655" s="111"/>
      <c r="X655" s="111"/>
      <c r="Y655" s="111"/>
      <c r="Z655" s="111"/>
      <c r="AA655" s="14"/>
      <c r="AB655" s="14"/>
      <c r="AC655" s="14"/>
      <c r="AD655" s="14"/>
      <c r="AE655" s="113" t="str">
        <f>IF(NOT(ISBLANK(Audit[[#This Row],[Audit Winning Candidate]])), Audit[[#This Row],[Audit Winning Candidate]]-Audit[[#This Row],[Winning Candidate]], "")</f>
        <v/>
      </c>
      <c r="AF655" s="17" t="str">
        <f>IF(NOT(ISBLANK(Audit[[#This Row],[Audit Losing Candidate]])), Audit[[#This Row],[Audit Losing Candidate]]-Audit[[#This Row],[Losing Candidate]], "")</f>
        <v/>
      </c>
      <c r="AG655" s="17" t="str">
        <f>IF(NOT(ISBLANK(Audit[[#This Row],[Audit Candidate 3]])), Audit[[#This Row],[Audit Candidate 3]]-Audit[[#This Row],[Candidate 3]], "")</f>
        <v/>
      </c>
      <c r="AH655" s="17" t="str">
        <f>IF(NOT(ISBLANK(Audit[[#This Row],[Audit Candidate 4]])),Audit[[#This Row],[Audit Candidate 4]]-Audit[[#This Row],[Candidate 4]], "")</f>
        <v/>
      </c>
      <c r="AI655" s="17" t="str">
        <f>IF(NOT(ISBLANK(Audit[[#This Row],[Audit Candidate 5]])), Audit[[#This Row],[Audit Candidate 5]]-Audit[[#This Row],[Candidate 5]], "")</f>
        <v/>
      </c>
      <c r="AJ655" s="17" t="str">
        <f>IF(NOT(ISBLANK(Audit[[#This Row],[Audit Candidate 6]])), Audit[[#This Row],[Audit Candidate 6]]-Audit[[#This Row],[Candidate 6]], "")</f>
        <v/>
      </c>
      <c r="AK655" s="17" t="str">
        <f>IF(NOT(ISBLANK(Audit[[#This Row],[Audit Candidate 7]])), Audit[[#This Row],[Audit Candidate 7]]-Audit[[#This Row],[Candidate 7]], "")</f>
        <v/>
      </c>
      <c r="AL655" s="17" t="str">
        <f>IF(NOT(ISBLANK(Audit[[#This Row],[Audit Candidate 8]])), Audit[[#This Row],[Audit Candidate 8]]-Audit[[#This Row],[Candidate 8]], "")</f>
        <v/>
      </c>
      <c r="AM655" s="17" t="str">
        <f>IF(NOT(ISBLANK(Audit[[#This Row],[Audit Candidate 9]])), Audit[[#This Row],[Audit Candidate 9]]-Audit[[#This Row],[Candidate 9]], "")</f>
        <v/>
      </c>
      <c r="AN655" s="17" t="str">
        <f>IF(NOT(ISBLANK(Audit[[#This Row],[Audit Candidate 10]])), Audit[[#This Row],[Audit Candidate 10]]-Audit[[#This Row],[Candidate 10]], "")</f>
        <v/>
      </c>
      <c r="AO655" s="17" t="str">
        <f>IF(NOT(ISBLANK(Audit[[#This Row],[Audit Candidate 11]])), Audit[[#This Row],[Audit Candidate 11]]-Audit[[#This Row],[Candidate 11]], "")</f>
        <v/>
      </c>
      <c r="AP655" s="17" t="str">
        <f>IF(NOT(ISBLANK(Audit[[#This Row],[Audit Candidate 12]])), Audit[[#This Row],[Audit Candidate 12]]-Audit[[#This Row],[Candidate 12]], "")</f>
        <v/>
      </c>
      <c r="AQ655" s="17">
        <f>SUMIF(Audit[[#This Row],[Difference Winner]:[Difference Candidate 12]], "&gt;0")</f>
        <v>0</v>
      </c>
      <c r="AR655" s="17">
        <f>SUM(Audit[[#This Row],[Difference Winner]:[Difference Candidate 12]])</f>
        <v>0</v>
      </c>
      <c r="AS655" s="17">
        <f>IF(Audit[[#This Row],[Times p Drawn - With Replacement]]&gt;0, IF(Audit[[#This Row],[Canceled Differences]]&lt;0, Audit[[#This Row],[Max Differences]]+ABS(Audit[[#This Row],[Canceled Differences]]), Audit[[#This Row],[Max Differences]]), 0)</f>
        <v>0</v>
      </c>
      <c r="AT655" s="17">
        <f>'Sampling Data'!AB655</f>
        <v>2.5717195722288238E-2</v>
      </c>
      <c r="AU655" s="17">
        <f>IF(
      SUM(Audit[[#This Row],[Audit Losing Candidate]:[Audit Candidate 12]])
      &lt;&gt;0,
      (Audit[[#This Row],[Winning Candidate]]-Audit[[#This Row],[Losing Candidate]]-(Audit[[#This Row],[Audit Winning Candidate]]-Audit[[#This Row],[Audit Losing Candidate]]))/(Audit[[#Totals],[Winning Candidate]]-Audit[[#Totals],[Losing Candidate]]),
      0
)</f>
        <v>0</v>
      </c>
      <c r="AV6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5" s="17">
        <f>IF(Audit[[#This Row],[Max Relative Error (ep)]] = 0, 0, Audit[[#This Row],[Max Relative Error (ep)]]/Audit[[#This Row],[Error Bound (up) - Max. possible relative overstatement]])</f>
        <v>0</v>
      </c>
      <c r="BH6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55" s="17">
        <f t="shared" ref="BI655:BI718" si="11">IF(ISERR(POWER(BH655,R655)), 0, POWER(BH655,R655))</f>
        <v>1</v>
      </c>
      <c r="BJ655" s="17">
        <f>PRODUCT($BI$5:BI655)</f>
        <v>0.26695880153480334</v>
      </c>
      <c r="BK655" s="19">
        <f>1 - Audit[[#This Row],[K-M P Value]]</f>
        <v>0.73304119846519666</v>
      </c>
      <c r="BL655" s="17" t="str">
        <f>IF(Audit[[#This Row],[K-M P Value]]&gt;1-'General Info'!$B$12,"Continue", "Stop")</f>
        <v>Continue</v>
      </c>
      <c r="BM655" s="22" t="b">
        <f>IF(Audit[[#This Row],[Status - Continue or stop audit]] = "Continue", TRUE, IF(BL654 = "Continue", TRUE, FALSE))</f>
        <v>1</v>
      </c>
      <c r="BN655" s="22"/>
    </row>
    <row r="656" spans="1:66" ht="15" hidden="1" customHeight="1" x14ac:dyDescent="0.35">
      <c r="A656" s="17" t="str">
        <f>'Sampling Data'!AI656</f>
        <v/>
      </c>
      <c r="B656" s="17" t="str">
        <f>'Sampling Data'!A656</f>
        <v>1308 CIN 13-H   (ED)</v>
      </c>
      <c r="C656" s="17">
        <f>'Sampling Data'!B656</f>
        <v>64</v>
      </c>
      <c r="D656" s="17">
        <f>'Sampling Data'!C656</f>
        <v>18</v>
      </c>
      <c r="E656" s="18">
        <f>'Sampling Data'!D656</f>
        <v>0</v>
      </c>
      <c r="F656" s="18">
        <f>'Sampling Data'!E656</f>
        <v>0</v>
      </c>
      <c r="G656" s="18">
        <f>'Sampling Data'!F656</f>
        <v>0</v>
      </c>
      <c r="H656" s="18">
        <f>'Sampling Data'!G656</f>
        <v>0</v>
      </c>
      <c r="I656" s="18">
        <f>'Sampling Data'!H656</f>
        <v>0</v>
      </c>
      <c r="J656" s="18">
        <f>'Sampling Data'!I656</f>
        <v>0</v>
      </c>
      <c r="K656" s="18">
        <f>'Sampling Data'!J656</f>
        <v>0</v>
      </c>
      <c r="L656" s="18">
        <f>'Sampling Data'!K656</f>
        <v>0</v>
      </c>
      <c r="M656" s="18">
        <f>'Sampling Data'!L656</f>
        <v>0</v>
      </c>
      <c r="N656" s="18">
        <f>'Sampling Data'!M656</f>
        <v>0</v>
      </c>
      <c r="O656" s="17">
        <f>'Sampling Data'!N656</f>
        <v>1</v>
      </c>
      <c r="P656" s="17">
        <f>'Sampling Data'!O656</f>
        <v>7</v>
      </c>
      <c r="Q656" s="17">
        <f>'Sampling Data'!P656</f>
        <v>90</v>
      </c>
      <c r="R656" s="17">
        <f>'Sampling Data'!AJ656</f>
        <v>0</v>
      </c>
      <c r="S656" s="111"/>
      <c r="T656" s="111"/>
      <c r="U656" s="112"/>
      <c r="V656" s="112"/>
      <c r="W656" s="111"/>
      <c r="X656" s="111"/>
      <c r="Y656" s="111"/>
      <c r="Z656" s="111"/>
      <c r="AA656" s="14"/>
      <c r="AB656" s="14"/>
      <c r="AC656" s="14"/>
      <c r="AD656" s="14"/>
      <c r="AE656" s="113" t="str">
        <f>IF(NOT(ISBLANK(Audit[[#This Row],[Audit Winning Candidate]])), Audit[[#This Row],[Audit Winning Candidate]]-Audit[[#This Row],[Winning Candidate]], "")</f>
        <v/>
      </c>
      <c r="AF656" s="17" t="str">
        <f>IF(NOT(ISBLANK(Audit[[#This Row],[Audit Losing Candidate]])), Audit[[#This Row],[Audit Losing Candidate]]-Audit[[#This Row],[Losing Candidate]], "")</f>
        <v/>
      </c>
      <c r="AG656" s="17" t="str">
        <f>IF(NOT(ISBLANK(Audit[[#This Row],[Audit Candidate 3]])), Audit[[#This Row],[Audit Candidate 3]]-Audit[[#This Row],[Candidate 3]], "")</f>
        <v/>
      </c>
      <c r="AH656" s="17" t="str">
        <f>IF(NOT(ISBLANK(Audit[[#This Row],[Audit Candidate 4]])),Audit[[#This Row],[Audit Candidate 4]]-Audit[[#This Row],[Candidate 4]], "")</f>
        <v/>
      </c>
      <c r="AI656" s="17" t="str">
        <f>IF(NOT(ISBLANK(Audit[[#This Row],[Audit Candidate 5]])), Audit[[#This Row],[Audit Candidate 5]]-Audit[[#This Row],[Candidate 5]], "")</f>
        <v/>
      </c>
      <c r="AJ656" s="17" t="str">
        <f>IF(NOT(ISBLANK(Audit[[#This Row],[Audit Candidate 6]])), Audit[[#This Row],[Audit Candidate 6]]-Audit[[#This Row],[Candidate 6]], "")</f>
        <v/>
      </c>
      <c r="AK656" s="17" t="str">
        <f>IF(NOT(ISBLANK(Audit[[#This Row],[Audit Candidate 7]])), Audit[[#This Row],[Audit Candidate 7]]-Audit[[#This Row],[Candidate 7]], "")</f>
        <v/>
      </c>
      <c r="AL656" s="17" t="str">
        <f>IF(NOT(ISBLANK(Audit[[#This Row],[Audit Candidate 8]])), Audit[[#This Row],[Audit Candidate 8]]-Audit[[#This Row],[Candidate 8]], "")</f>
        <v/>
      </c>
      <c r="AM656" s="17" t="str">
        <f>IF(NOT(ISBLANK(Audit[[#This Row],[Audit Candidate 9]])), Audit[[#This Row],[Audit Candidate 9]]-Audit[[#This Row],[Candidate 9]], "")</f>
        <v/>
      </c>
      <c r="AN656" s="17" t="str">
        <f>IF(NOT(ISBLANK(Audit[[#This Row],[Audit Candidate 10]])), Audit[[#This Row],[Audit Candidate 10]]-Audit[[#This Row],[Candidate 10]], "")</f>
        <v/>
      </c>
      <c r="AO656" s="17" t="str">
        <f>IF(NOT(ISBLANK(Audit[[#This Row],[Audit Candidate 11]])), Audit[[#This Row],[Audit Candidate 11]]-Audit[[#This Row],[Candidate 11]], "")</f>
        <v/>
      </c>
      <c r="AP656" s="17" t="str">
        <f>IF(NOT(ISBLANK(Audit[[#This Row],[Audit Candidate 12]])), Audit[[#This Row],[Audit Candidate 12]]-Audit[[#This Row],[Candidate 12]], "")</f>
        <v/>
      </c>
      <c r="AQ656" s="17">
        <f>SUMIF(Audit[[#This Row],[Difference Winner]:[Difference Candidate 12]], "&gt;0")</f>
        <v>0</v>
      </c>
      <c r="AR656" s="17">
        <f>SUM(Audit[[#This Row],[Difference Winner]:[Difference Candidate 12]])</f>
        <v>0</v>
      </c>
      <c r="AS656" s="17">
        <f>IF(Audit[[#This Row],[Times p Drawn - With Replacement]]&gt;0, IF(Audit[[#This Row],[Canceled Differences]]&lt;0, Audit[[#This Row],[Max Differences]]+ABS(Audit[[#This Row],[Canceled Differences]]), Audit[[#This Row],[Max Differences]]), 0)</f>
        <v>0</v>
      </c>
      <c r="AT656" s="17">
        <f>'Sampling Data'!AB656</f>
        <v>5.7715158716686475E-3</v>
      </c>
      <c r="AU656" s="17">
        <f>IF(
      SUM(Audit[[#This Row],[Audit Losing Candidate]:[Audit Candidate 12]])
      &lt;&gt;0,
      (Audit[[#This Row],[Winning Candidate]]-Audit[[#This Row],[Losing Candidate]]-(Audit[[#This Row],[Audit Winning Candidate]]-Audit[[#This Row],[Audit Losing Candidate]]))/(Audit[[#Totals],[Winning Candidate]]-Audit[[#Totals],[Losing Candidate]]),
      0
)</f>
        <v>0</v>
      </c>
      <c r="AV6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6" s="17">
        <f>IF(Audit[[#This Row],[Max Relative Error (ep)]] = 0, 0, Audit[[#This Row],[Max Relative Error (ep)]]/Audit[[#This Row],[Error Bound (up) - Max. possible relative overstatement]])</f>
        <v>0</v>
      </c>
      <c r="BH6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56" s="17">
        <f t="shared" si="11"/>
        <v>1</v>
      </c>
      <c r="BJ656" s="17">
        <f>PRODUCT($BI$5:BI656)</f>
        <v>0.26695880153480334</v>
      </c>
      <c r="BK656" s="19">
        <f>1 - Audit[[#This Row],[K-M P Value]]</f>
        <v>0.73304119846519666</v>
      </c>
      <c r="BL656" s="17" t="str">
        <f>IF(Audit[[#This Row],[K-M P Value]]&gt;1-'General Info'!$B$12,"Continue", "Stop")</f>
        <v>Continue</v>
      </c>
      <c r="BM656" s="22" t="b">
        <f>IF(Audit[[#This Row],[Status - Continue or stop audit]] = "Continue", TRUE, IF(BL655 = "Continue", TRUE, FALSE))</f>
        <v>1</v>
      </c>
      <c r="BN656" s="22"/>
    </row>
    <row r="657" spans="1:66" ht="15" hidden="1" customHeight="1" x14ac:dyDescent="0.35">
      <c r="A657" s="17" t="str">
        <f>'Sampling Data'!AI657</f>
        <v/>
      </c>
      <c r="B657" s="17" t="str">
        <f>'Sampling Data'!A657</f>
        <v>1401 CIN 14-A   (ED)</v>
      </c>
      <c r="C657" s="17">
        <f>'Sampling Data'!B657</f>
        <v>282</v>
      </c>
      <c r="D657" s="17">
        <f>'Sampling Data'!C657</f>
        <v>107</v>
      </c>
      <c r="E657" s="18">
        <f>'Sampling Data'!D657</f>
        <v>0</v>
      </c>
      <c r="F657" s="18">
        <f>'Sampling Data'!E657</f>
        <v>0</v>
      </c>
      <c r="G657" s="18">
        <f>'Sampling Data'!F657</f>
        <v>0</v>
      </c>
      <c r="H657" s="18">
        <f>'Sampling Data'!G657</f>
        <v>0</v>
      </c>
      <c r="I657" s="18">
        <f>'Sampling Data'!H657</f>
        <v>0</v>
      </c>
      <c r="J657" s="18">
        <f>'Sampling Data'!I657</f>
        <v>0</v>
      </c>
      <c r="K657" s="18">
        <f>'Sampling Data'!J657</f>
        <v>0</v>
      </c>
      <c r="L657" s="18">
        <f>'Sampling Data'!K657</f>
        <v>0</v>
      </c>
      <c r="M657" s="18">
        <f>'Sampling Data'!L657</f>
        <v>0</v>
      </c>
      <c r="N657" s="18">
        <f>'Sampling Data'!M657</f>
        <v>0</v>
      </c>
      <c r="O657" s="17">
        <f>'Sampling Data'!N657</f>
        <v>0</v>
      </c>
      <c r="P657" s="17">
        <f>'Sampling Data'!O657</f>
        <v>34</v>
      </c>
      <c r="Q657" s="17">
        <f>'Sampling Data'!P657</f>
        <v>423</v>
      </c>
      <c r="R657" s="17">
        <f>'Sampling Data'!AJ657</f>
        <v>0</v>
      </c>
      <c r="S657" s="111"/>
      <c r="T657" s="111"/>
      <c r="U657" s="112"/>
      <c r="V657" s="112"/>
      <c r="W657" s="111"/>
      <c r="X657" s="111"/>
      <c r="Y657" s="111"/>
      <c r="Z657" s="111"/>
      <c r="AA657" s="14"/>
      <c r="AB657" s="14"/>
      <c r="AC657" s="14"/>
      <c r="AD657" s="14"/>
      <c r="AE657" s="113" t="str">
        <f>IF(NOT(ISBLANK(Audit[[#This Row],[Audit Winning Candidate]])), Audit[[#This Row],[Audit Winning Candidate]]-Audit[[#This Row],[Winning Candidate]], "")</f>
        <v/>
      </c>
      <c r="AF657" s="17" t="str">
        <f>IF(NOT(ISBLANK(Audit[[#This Row],[Audit Losing Candidate]])), Audit[[#This Row],[Audit Losing Candidate]]-Audit[[#This Row],[Losing Candidate]], "")</f>
        <v/>
      </c>
      <c r="AG657" s="17" t="str">
        <f>IF(NOT(ISBLANK(Audit[[#This Row],[Audit Candidate 3]])), Audit[[#This Row],[Audit Candidate 3]]-Audit[[#This Row],[Candidate 3]], "")</f>
        <v/>
      </c>
      <c r="AH657" s="17" t="str">
        <f>IF(NOT(ISBLANK(Audit[[#This Row],[Audit Candidate 4]])),Audit[[#This Row],[Audit Candidate 4]]-Audit[[#This Row],[Candidate 4]], "")</f>
        <v/>
      </c>
      <c r="AI657" s="17" t="str">
        <f>IF(NOT(ISBLANK(Audit[[#This Row],[Audit Candidate 5]])), Audit[[#This Row],[Audit Candidate 5]]-Audit[[#This Row],[Candidate 5]], "")</f>
        <v/>
      </c>
      <c r="AJ657" s="17" t="str">
        <f>IF(NOT(ISBLANK(Audit[[#This Row],[Audit Candidate 6]])), Audit[[#This Row],[Audit Candidate 6]]-Audit[[#This Row],[Candidate 6]], "")</f>
        <v/>
      </c>
      <c r="AK657" s="17" t="str">
        <f>IF(NOT(ISBLANK(Audit[[#This Row],[Audit Candidate 7]])), Audit[[#This Row],[Audit Candidate 7]]-Audit[[#This Row],[Candidate 7]], "")</f>
        <v/>
      </c>
      <c r="AL657" s="17" t="str">
        <f>IF(NOT(ISBLANK(Audit[[#This Row],[Audit Candidate 8]])), Audit[[#This Row],[Audit Candidate 8]]-Audit[[#This Row],[Candidate 8]], "")</f>
        <v/>
      </c>
      <c r="AM657" s="17" t="str">
        <f>IF(NOT(ISBLANK(Audit[[#This Row],[Audit Candidate 9]])), Audit[[#This Row],[Audit Candidate 9]]-Audit[[#This Row],[Candidate 9]], "")</f>
        <v/>
      </c>
      <c r="AN657" s="17" t="str">
        <f>IF(NOT(ISBLANK(Audit[[#This Row],[Audit Candidate 10]])), Audit[[#This Row],[Audit Candidate 10]]-Audit[[#This Row],[Candidate 10]], "")</f>
        <v/>
      </c>
      <c r="AO657" s="17" t="str">
        <f>IF(NOT(ISBLANK(Audit[[#This Row],[Audit Candidate 11]])), Audit[[#This Row],[Audit Candidate 11]]-Audit[[#This Row],[Candidate 11]], "")</f>
        <v/>
      </c>
      <c r="AP657" s="17" t="str">
        <f>IF(NOT(ISBLANK(Audit[[#This Row],[Audit Candidate 12]])), Audit[[#This Row],[Audit Candidate 12]]-Audit[[#This Row],[Candidate 12]], "")</f>
        <v/>
      </c>
      <c r="AQ657" s="17">
        <f>SUMIF(Audit[[#This Row],[Difference Winner]:[Difference Candidate 12]], "&gt;0")</f>
        <v>0</v>
      </c>
      <c r="AR657" s="17">
        <f>SUM(Audit[[#This Row],[Difference Winner]:[Difference Candidate 12]])</f>
        <v>0</v>
      </c>
      <c r="AS657" s="17">
        <f>IF(Audit[[#This Row],[Times p Drawn - With Replacement]]&gt;0, IF(Audit[[#This Row],[Canceled Differences]]&lt;0, Audit[[#This Row],[Max Differences]]+ABS(Audit[[#This Row],[Canceled Differences]]), Audit[[#This Row],[Max Differences]]), 0)</f>
        <v>0</v>
      </c>
      <c r="AT657" s="17">
        <f>'Sampling Data'!AB657</f>
        <v>2.5377694788660667E-2</v>
      </c>
      <c r="AU657" s="17">
        <f>IF(
      SUM(Audit[[#This Row],[Audit Losing Candidate]:[Audit Candidate 12]])
      &lt;&gt;0,
      (Audit[[#This Row],[Winning Candidate]]-Audit[[#This Row],[Losing Candidate]]-(Audit[[#This Row],[Audit Winning Candidate]]-Audit[[#This Row],[Audit Losing Candidate]]))/(Audit[[#Totals],[Winning Candidate]]-Audit[[#Totals],[Losing Candidate]]),
      0
)</f>
        <v>0</v>
      </c>
      <c r="AV6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7" s="17">
        <f>IF(Audit[[#This Row],[Max Relative Error (ep)]] = 0, 0, Audit[[#This Row],[Max Relative Error (ep)]]/Audit[[#This Row],[Error Bound (up) - Max. possible relative overstatement]])</f>
        <v>0</v>
      </c>
      <c r="BH6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57" s="17">
        <f t="shared" si="11"/>
        <v>1</v>
      </c>
      <c r="BJ657" s="17">
        <f>PRODUCT($BI$5:BI657)</f>
        <v>0.26695880153480334</v>
      </c>
      <c r="BK657" s="19">
        <f>1 - Audit[[#This Row],[K-M P Value]]</f>
        <v>0.73304119846519666</v>
      </c>
      <c r="BL657" s="17" t="str">
        <f>IF(Audit[[#This Row],[K-M P Value]]&gt;1-'General Info'!$B$12,"Continue", "Stop")</f>
        <v>Continue</v>
      </c>
      <c r="BM657" s="22" t="b">
        <f>IF(Audit[[#This Row],[Status - Continue or stop audit]] = "Continue", TRUE, IF(BL656 = "Continue", TRUE, FALSE))</f>
        <v>1</v>
      </c>
      <c r="BN657" s="22"/>
    </row>
    <row r="658" spans="1:66" ht="15" hidden="1" customHeight="1" x14ac:dyDescent="0.35">
      <c r="A658" s="17" t="str">
        <f>'Sampling Data'!AI658</f>
        <v/>
      </c>
      <c r="B658" s="17" t="str">
        <f>'Sampling Data'!A658</f>
        <v>1402 CIN 14-B   (ED)</v>
      </c>
      <c r="C658" s="17">
        <f>'Sampling Data'!B658</f>
        <v>370</v>
      </c>
      <c r="D658" s="17">
        <f>'Sampling Data'!C658</f>
        <v>45</v>
      </c>
      <c r="E658" s="18">
        <f>'Sampling Data'!D658</f>
        <v>0</v>
      </c>
      <c r="F658" s="18">
        <f>'Sampling Data'!E658</f>
        <v>0</v>
      </c>
      <c r="G658" s="18">
        <f>'Sampling Data'!F658</f>
        <v>0</v>
      </c>
      <c r="H658" s="18">
        <f>'Sampling Data'!G658</f>
        <v>0</v>
      </c>
      <c r="I658" s="18">
        <f>'Sampling Data'!H658</f>
        <v>0</v>
      </c>
      <c r="J658" s="18">
        <f>'Sampling Data'!I658</f>
        <v>0</v>
      </c>
      <c r="K658" s="18">
        <f>'Sampling Data'!J658</f>
        <v>0</v>
      </c>
      <c r="L658" s="18">
        <f>'Sampling Data'!K658</f>
        <v>0</v>
      </c>
      <c r="M658" s="18">
        <f>'Sampling Data'!L658</f>
        <v>0</v>
      </c>
      <c r="N658" s="18">
        <f>'Sampling Data'!M658</f>
        <v>0</v>
      </c>
      <c r="O658" s="17">
        <f>'Sampling Data'!N658</f>
        <v>0</v>
      </c>
      <c r="P658" s="17">
        <f>'Sampling Data'!O658</f>
        <v>26</v>
      </c>
      <c r="Q658" s="17">
        <f>'Sampling Data'!P658</f>
        <v>441</v>
      </c>
      <c r="R658" s="17">
        <f>'Sampling Data'!AJ658</f>
        <v>0</v>
      </c>
      <c r="S658" s="111"/>
      <c r="T658" s="111"/>
      <c r="U658" s="112"/>
      <c r="V658" s="112"/>
      <c r="W658" s="111"/>
      <c r="X658" s="111"/>
      <c r="Y658" s="111"/>
      <c r="Z658" s="111"/>
      <c r="AA658" s="14"/>
      <c r="AB658" s="14"/>
      <c r="AC658" s="14"/>
      <c r="AD658" s="14"/>
      <c r="AE658" s="113" t="str">
        <f>IF(NOT(ISBLANK(Audit[[#This Row],[Audit Winning Candidate]])), Audit[[#This Row],[Audit Winning Candidate]]-Audit[[#This Row],[Winning Candidate]], "")</f>
        <v/>
      </c>
      <c r="AF658" s="17" t="str">
        <f>IF(NOT(ISBLANK(Audit[[#This Row],[Audit Losing Candidate]])), Audit[[#This Row],[Audit Losing Candidate]]-Audit[[#This Row],[Losing Candidate]], "")</f>
        <v/>
      </c>
      <c r="AG658" s="17" t="str">
        <f>IF(NOT(ISBLANK(Audit[[#This Row],[Audit Candidate 3]])), Audit[[#This Row],[Audit Candidate 3]]-Audit[[#This Row],[Candidate 3]], "")</f>
        <v/>
      </c>
      <c r="AH658" s="17" t="str">
        <f>IF(NOT(ISBLANK(Audit[[#This Row],[Audit Candidate 4]])),Audit[[#This Row],[Audit Candidate 4]]-Audit[[#This Row],[Candidate 4]], "")</f>
        <v/>
      </c>
      <c r="AI658" s="17" t="str">
        <f>IF(NOT(ISBLANK(Audit[[#This Row],[Audit Candidate 5]])), Audit[[#This Row],[Audit Candidate 5]]-Audit[[#This Row],[Candidate 5]], "")</f>
        <v/>
      </c>
      <c r="AJ658" s="17" t="str">
        <f>IF(NOT(ISBLANK(Audit[[#This Row],[Audit Candidate 6]])), Audit[[#This Row],[Audit Candidate 6]]-Audit[[#This Row],[Candidate 6]], "")</f>
        <v/>
      </c>
      <c r="AK658" s="17" t="str">
        <f>IF(NOT(ISBLANK(Audit[[#This Row],[Audit Candidate 7]])), Audit[[#This Row],[Audit Candidate 7]]-Audit[[#This Row],[Candidate 7]], "")</f>
        <v/>
      </c>
      <c r="AL658" s="17" t="str">
        <f>IF(NOT(ISBLANK(Audit[[#This Row],[Audit Candidate 8]])), Audit[[#This Row],[Audit Candidate 8]]-Audit[[#This Row],[Candidate 8]], "")</f>
        <v/>
      </c>
      <c r="AM658" s="17" t="str">
        <f>IF(NOT(ISBLANK(Audit[[#This Row],[Audit Candidate 9]])), Audit[[#This Row],[Audit Candidate 9]]-Audit[[#This Row],[Candidate 9]], "")</f>
        <v/>
      </c>
      <c r="AN658" s="17" t="str">
        <f>IF(NOT(ISBLANK(Audit[[#This Row],[Audit Candidate 10]])), Audit[[#This Row],[Audit Candidate 10]]-Audit[[#This Row],[Candidate 10]], "")</f>
        <v/>
      </c>
      <c r="AO658" s="17" t="str">
        <f>IF(NOT(ISBLANK(Audit[[#This Row],[Audit Candidate 11]])), Audit[[#This Row],[Audit Candidate 11]]-Audit[[#This Row],[Candidate 11]], "")</f>
        <v/>
      </c>
      <c r="AP658" s="17" t="str">
        <f>IF(NOT(ISBLANK(Audit[[#This Row],[Audit Candidate 12]])), Audit[[#This Row],[Audit Candidate 12]]-Audit[[#This Row],[Candidate 12]], "")</f>
        <v/>
      </c>
      <c r="AQ658" s="17">
        <f>SUMIF(Audit[[#This Row],[Difference Winner]:[Difference Candidate 12]], "&gt;0")</f>
        <v>0</v>
      </c>
      <c r="AR658" s="17">
        <f>SUM(Audit[[#This Row],[Difference Winner]:[Difference Candidate 12]])</f>
        <v>0</v>
      </c>
      <c r="AS658" s="17">
        <f>IF(Audit[[#This Row],[Times p Drawn - With Replacement]]&gt;0, IF(Audit[[#This Row],[Canceled Differences]]&lt;0, Audit[[#This Row],[Max Differences]]+ABS(Audit[[#This Row],[Canceled Differences]]), Audit[[#This Row],[Max Differences]]), 0)</f>
        <v>0</v>
      </c>
      <c r="AT658" s="17">
        <f>'Sampling Data'!AB658</f>
        <v>3.2507214394839584E-2</v>
      </c>
      <c r="AU658" s="17">
        <f>IF(
      SUM(Audit[[#This Row],[Audit Losing Candidate]:[Audit Candidate 12]])
      &lt;&gt;0,
      (Audit[[#This Row],[Winning Candidate]]-Audit[[#This Row],[Losing Candidate]]-(Audit[[#This Row],[Audit Winning Candidate]]-Audit[[#This Row],[Audit Losing Candidate]]))/(Audit[[#Totals],[Winning Candidate]]-Audit[[#Totals],[Losing Candidate]]),
      0
)</f>
        <v>0</v>
      </c>
      <c r="AV6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8" s="17">
        <f>IF(Audit[[#This Row],[Max Relative Error (ep)]] = 0, 0, Audit[[#This Row],[Max Relative Error (ep)]]/Audit[[#This Row],[Error Bound (up) - Max. possible relative overstatement]])</f>
        <v>0</v>
      </c>
      <c r="BH6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58" s="17">
        <f t="shared" si="11"/>
        <v>1</v>
      </c>
      <c r="BJ658" s="17">
        <f>PRODUCT($BI$5:BI658)</f>
        <v>0.26695880153480334</v>
      </c>
      <c r="BK658" s="19">
        <f>1 - Audit[[#This Row],[K-M P Value]]</f>
        <v>0.73304119846519666</v>
      </c>
      <c r="BL658" s="17" t="str">
        <f>IF(Audit[[#This Row],[K-M P Value]]&gt;1-'General Info'!$B$12,"Continue", "Stop")</f>
        <v>Continue</v>
      </c>
      <c r="BM658" s="22" t="b">
        <f>IF(Audit[[#This Row],[Status - Continue or stop audit]] = "Continue", TRUE, IF(BL657 = "Continue", TRUE, FALSE))</f>
        <v>1</v>
      </c>
      <c r="BN658" s="22"/>
    </row>
    <row r="659" spans="1:66" ht="15" hidden="1" customHeight="1" x14ac:dyDescent="0.35">
      <c r="A659" s="17" t="str">
        <f>'Sampling Data'!AI659</f>
        <v/>
      </c>
      <c r="B659" s="17" t="str">
        <f>'Sampling Data'!A659</f>
        <v>1403 CIN 14-C   (ED)</v>
      </c>
      <c r="C659" s="17">
        <f>'Sampling Data'!B659</f>
        <v>106</v>
      </c>
      <c r="D659" s="17">
        <f>'Sampling Data'!C659</f>
        <v>63</v>
      </c>
      <c r="E659" s="18">
        <f>'Sampling Data'!D659</f>
        <v>0</v>
      </c>
      <c r="F659" s="18">
        <f>'Sampling Data'!E659</f>
        <v>0</v>
      </c>
      <c r="G659" s="18">
        <f>'Sampling Data'!F659</f>
        <v>0</v>
      </c>
      <c r="H659" s="18">
        <f>'Sampling Data'!G659</f>
        <v>0</v>
      </c>
      <c r="I659" s="18">
        <f>'Sampling Data'!H659</f>
        <v>0</v>
      </c>
      <c r="J659" s="18">
        <f>'Sampling Data'!I659</f>
        <v>0</v>
      </c>
      <c r="K659" s="18">
        <f>'Sampling Data'!J659</f>
        <v>0</v>
      </c>
      <c r="L659" s="18">
        <f>'Sampling Data'!K659</f>
        <v>0</v>
      </c>
      <c r="M659" s="18">
        <f>'Sampling Data'!L659</f>
        <v>0</v>
      </c>
      <c r="N659" s="18">
        <f>'Sampling Data'!M659</f>
        <v>0</v>
      </c>
      <c r="O659" s="17">
        <f>'Sampling Data'!N659</f>
        <v>0</v>
      </c>
      <c r="P659" s="17">
        <f>'Sampling Data'!O659</f>
        <v>23</v>
      </c>
      <c r="Q659" s="17">
        <f>'Sampling Data'!P659</f>
        <v>192</v>
      </c>
      <c r="R659" s="17">
        <f>'Sampling Data'!AJ659</f>
        <v>0</v>
      </c>
      <c r="S659" s="111"/>
      <c r="T659" s="111"/>
      <c r="U659" s="112"/>
      <c r="V659" s="112"/>
      <c r="W659" s="111"/>
      <c r="X659" s="111"/>
      <c r="Y659" s="111"/>
      <c r="Z659" s="111"/>
      <c r="AA659" s="14"/>
      <c r="AB659" s="14"/>
      <c r="AC659" s="14"/>
      <c r="AD659" s="14"/>
      <c r="AE659" s="113" t="str">
        <f>IF(NOT(ISBLANK(Audit[[#This Row],[Audit Winning Candidate]])), Audit[[#This Row],[Audit Winning Candidate]]-Audit[[#This Row],[Winning Candidate]], "")</f>
        <v/>
      </c>
      <c r="AF659" s="17" t="str">
        <f>IF(NOT(ISBLANK(Audit[[#This Row],[Audit Losing Candidate]])), Audit[[#This Row],[Audit Losing Candidate]]-Audit[[#This Row],[Losing Candidate]], "")</f>
        <v/>
      </c>
      <c r="AG659" s="17" t="str">
        <f>IF(NOT(ISBLANK(Audit[[#This Row],[Audit Candidate 3]])), Audit[[#This Row],[Audit Candidate 3]]-Audit[[#This Row],[Candidate 3]], "")</f>
        <v/>
      </c>
      <c r="AH659" s="17" t="str">
        <f>IF(NOT(ISBLANK(Audit[[#This Row],[Audit Candidate 4]])),Audit[[#This Row],[Audit Candidate 4]]-Audit[[#This Row],[Candidate 4]], "")</f>
        <v/>
      </c>
      <c r="AI659" s="17" t="str">
        <f>IF(NOT(ISBLANK(Audit[[#This Row],[Audit Candidate 5]])), Audit[[#This Row],[Audit Candidate 5]]-Audit[[#This Row],[Candidate 5]], "")</f>
        <v/>
      </c>
      <c r="AJ659" s="17" t="str">
        <f>IF(NOT(ISBLANK(Audit[[#This Row],[Audit Candidate 6]])), Audit[[#This Row],[Audit Candidate 6]]-Audit[[#This Row],[Candidate 6]], "")</f>
        <v/>
      </c>
      <c r="AK659" s="17" t="str">
        <f>IF(NOT(ISBLANK(Audit[[#This Row],[Audit Candidate 7]])), Audit[[#This Row],[Audit Candidate 7]]-Audit[[#This Row],[Candidate 7]], "")</f>
        <v/>
      </c>
      <c r="AL659" s="17" t="str">
        <f>IF(NOT(ISBLANK(Audit[[#This Row],[Audit Candidate 8]])), Audit[[#This Row],[Audit Candidate 8]]-Audit[[#This Row],[Candidate 8]], "")</f>
        <v/>
      </c>
      <c r="AM659" s="17" t="str">
        <f>IF(NOT(ISBLANK(Audit[[#This Row],[Audit Candidate 9]])), Audit[[#This Row],[Audit Candidate 9]]-Audit[[#This Row],[Candidate 9]], "")</f>
        <v/>
      </c>
      <c r="AN659" s="17" t="str">
        <f>IF(NOT(ISBLANK(Audit[[#This Row],[Audit Candidate 10]])), Audit[[#This Row],[Audit Candidate 10]]-Audit[[#This Row],[Candidate 10]], "")</f>
        <v/>
      </c>
      <c r="AO659" s="17" t="str">
        <f>IF(NOT(ISBLANK(Audit[[#This Row],[Audit Candidate 11]])), Audit[[#This Row],[Audit Candidate 11]]-Audit[[#This Row],[Candidate 11]], "")</f>
        <v/>
      </c>
      <c r="AP659" s="17" t="str">
        <f>IF(NOT(ISBLANK(Audit[[#This Row],[Audit Candidate 12]])), Audit[[#This Row],[Audit Candidate 12]]-Audit[[#This Row],[Candidate 12]], "")</f>
        <v/>
      </c>
      <c r="AQ659" s="17">
        <f>SUMIF(Audit[[#This Row],[Difference Winner]:[Difference Candidate 12]], "&gt;0")</f>
        <v>0</v>
      </c>
      <c r="AR659" s="17">
        <f>SUM(Audit[[#This Row],[Difference Winner]:[Difference Candidate 12]])</f>
        <v>0</v>
      </c>
      <c r="AS659" s="17">
        <f>IF(Audit[[#This Row],[Times p Drawn - With Replacement]]&gt;0, IF(Audit[[#This Row],[Canceled Differences]]&lt;0, Audit[[#This Row],[Max Differences]]+ABS(Audit[[#This Row],[Canceled Differences]]), Audit[[#This Row],[Max Differences]]), 0)</f>
        <v>0</v>
      </c>
      <c r="AT659" s="17">
        <f>'Sampling Data'!AB659</f>
        <v>9.9728399253097948E-3</v>
      </c>
      <c r="AU659" s="17">
        <f>IF(
      SUM(Audit[[#This Row],[Audit Losing Candidate]:[Audit Candidate 12]])
      &lt;&gt;0,
      (Audit[[#This Row],[Winning Candidate]]-Audit[[#This Row],[Losing Candidate]]-(Audit[[#This Row],[Audit Winning Candidate]]-Audit[[#This Row],[Audit Losing Candidate]]))/(Audit[[#Totals],[Winning Candidate]]-Audit[[#Totals],[Losing Candidate]]),
      0
)</f>
        <v>0</v>
      </c>
      <c r="AV6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9" s="17">
        <f>IF(Audit[[#This Row],[Max Relative Error (ep)]] = 0, 0, Audit[[#This Row],[Max Relative Error (ep)]]/Audit[[#This Row],[Error Bound (up) - Max. possible relative overstatement]])</f>
        <v>0</v>
      </c>
      <c r="BH6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59" s="17">
        <f t="shared" si="11"/>
        <v>1</v>
      </c>
      <c r="BJ659" s="17">
        <f>PRODUCT($BI$5:BI659)</f>
        <v>0.26695880153480334</v>
      </c>
      <c r="BK659" s="19">
        <f>1 - Audit[[#This Row],[K-M P Value]]</f>
        <v>0.73304119846519666</v>
      </c>
      <c r="BL659" s="17" t="str">
        <f>IF(Audit[[#This Row],[K-M P Value]]&gt;1-'General Info'!$B$12,"Continue", "Stop")</f>
        <v>Continue</v>
      </c>
      <c r="BM659" s="22" t="b">
        <f>IF(Audit[[#This Row],[Status - Continue or stop audit]] = "Continue", TRUE, IF(BL658 = "Continue", TRUE, FALSE))</f>
        <v>1</v>
      </c>
      <c r="BN659" s="22"/>
    </row>
    <row r="660" spans="1:66" ht="15" hidden="1" customHeight="1" x14ac:dyDescent="0.35">
      <c r="A660" s="17" t="str">
        <f>'Sampling Data'!AI660</f>
        <v/>
      </c>
      <c r="B660" s="17" t="str">
        <f>'Sampling Data'!A660</f>
        <v>1404 CIN 14-D   (ED)</v>
      </c>
      <c r="C660" s="17">
        <f>'Sampling Data'!B660</f>
        <v>318</v>
      </c>
      <c r="D660" s="17">
        <f>'Sampling Data'!C660</f>
        <v>72</v>
      </c>
      <c r="E660" s="18">
        <f>'Sampling Data'!D660</f>
        <v>0</v>
      </c>
      <c r="F660" s="18">
        <f>'Sampling Data'!E660</f>
        <v>0</v>
      </c>
      <c r="G660" s="18">
        <f>'Sampling Data'!F660</f>
        <v>0</v>
      </c>
      <c r="H660" s="18">
        <f>'Sampling Data'!G660</f>
        <v>0</v>
      </c>
      <c r="I660" s="18">
        <f>'Sampling Data'!H660</f>
        <v>0</v>
      </c>
      <c r="J660" s="18">
        <f>'Sampling Data'!I660</f>
        <v>0</v>
      </c>
      <c r="K660" s="18">
        <f>'Sampling Data'!J660</f>
        <v>0</v>
      </c>
      <c r="L660" s="18">
        <f>'Sampling Data'!K660</f>
        <v>0</v>
      </c>
      <c r="M660" s="18">
        <f>'Sampling Data'!L660</f>
        <v>0</v>
      </c>
      <c r="N660" s="18">
        <f>'Sampling Data'!M660</f>
        <v>0</v>
      </c>
      <c r="O660" s="17">
        <f>'Sampling Data'!N660</f>
        <v>0</v>
      </c>
      <c r="P660" s="17">
        <f>'Sampling Data'!O660</f>
        <v>26</v>
      </c>
      <c r="Q660" s="17">
        <f>'Sampling Data'!P660</f>
        <v>416</v>
      </c>
      <c r="R660" s="17">
        <f>'Sampling Data'!AJ660</f>
        <v>0</v>
      </c>
      <c r="S660" s="111"/>
      <c r="T660" s="111"/>
      <c r="U660" s="112"/>
      <c r="V660" s="112"/>
      <c r="W660" s="111"/>
      <c r="X660" s="111"/>
      <c r="Y660" s="111"/>
      <c r="Z660" s="111"/>
      <c r="AA660" s="14"/>
      <c r="AB660" s="14"/>
      <c r="AC660" s="14"/>
      <c r="AD660" s="14"/>
      <c r="AE660" s="113" t="str">
        <f>IF(NOT(ISBLANK(Audit[[#This Row],[Audit Winning Candidate]])), Audit[[#This Row],[Audit Winning Candidate]]-Audit[[#This Row],[Winning Candidate]], "")</f>
        <v/>
      </c>
      <c r="AF660" s="17" t="str">
        <f>IF(NOT(ISBLANK(Audit[[#This Row],[Audit Losing Candidate]])), Audit[[#This Row],[Audit Losing Candidate]]-Audit[[#This Row],[Losing Candidate]], "")</f>
        <v/>
      </c>
      <c r="AG660" s="17" t="str">
        <f>IF(NOT(ISBLANK(Audit[[#This Row],[Audit Candidate 3]])), Audit[[#This Row],[Audit Candidate 3]]-Audit[[#This Row],[Candidate 3]], "")</f>
        <v/>
      </c>
      <c r="AH660" s="17" t="str">
        <f>IF(NOT(ISBLANK(Audit[[#This Row],[Audit Candidate 4]])),Audit[[#This Row],[Audit Candidate 4]]-Audit[[#This Row],[Candidate 4]], "")</f>
        <v/>
      </c>
      <c r="AI660" s="17" t="str">
        <f>IF(NOT(ISBLANK(Audit[[#This Row],[Audit Candidate 5]])), Audit[[#This Row],[Audit Candidate 5]]-Audit[[#This Row],[Candidate 5]], "")</f>
        <v/>
      </c>
      <c r="AJ660" s="17" t="str">
        <f>IF(NOT(ISBLANK(Audit[[#This Row],[Audit Candidate 6]])), Audit[[#This Row],[Audit Candidate 6]]-Audit[[#This Row],[Candidate 6]], "")</f>
        <v/>
      </c>
      <c r="AK660" s="17" t="str">
        <f>IF(NOT(ISBLANK(Audit[[#This Row],[Audit Candidate 7]])), Audit[[#This Row],[Audit Candidate 7]]-Audit[[#This Row],[Candidate 7]], "")</f>
        <v/>
      </c>
      <c r="AL660" s="17" t="str">
        <f>IF(NOT(ISBLANK(Audit[[#This Row],[Audit Candidate 8]])), Audit[[#This Row],[Audit Candidate 8]]-Audit[[#This Row],[Candidate 8]], "")</f>
        <v/>
      </c>
      <c r="AM660" s="17" t="str">
        <f>IF(NOT(ISBLANK(Audit[[#This Row],[Audit Candidate 9]])), Audit[[#This Row],[Audit Candidate 9]]-Audit[[#This Row],[Candidate 9]], "")</f>
        <v/>
      </c>
      <c r="AN660" s="17" t="str">
        <f>IF(NOT(ISBLANK(Audit[[#This Row],[Audit Candidate 10]])), Audit[[#This Row],[Audit Candidate 10]]-Audit[[#This Row],[Candidate 10]], "")</f>
        <v/>
      </c>
      <c r="AO660" s="17" t="str">
        <f>IF(NOT(ISBLANK(Audit[[#This Row],[Audit Candidate 11]])), Audit[[#This Row],[Audit Candidate 11]]-Audit[[#This Row],[Candidate 11]], "")</f>
        <v/>
      </c>
      <c r="AP660" s="17" t="str">
        <f>IF(NOT(ISBLANK(Audit[[#This Row],[Audit Candidate 12]])), Audit[[#This Row],[Audit Candidate 12]]-Audit[[#This Row],[Candidate 12]], "")</f>
        <v/>
      </c>
      <c r="AQ660" s="17">
        <f>SUMIF(Audit[[#This Row],[Difference Winner]:[Difference Candidate 12]], "&gt;0")</f>
        <v>0</v>
      </c>
      <c r="AR660" s="17">
        <f>SUM(Audit[[#This Row],[Difference Winner]:[Difference Candidate 12]])</f>
        <v>0</v>
      </c>
      <c r="AS660" s="17">
        <f>IF(Audit[[#This Row],[Times p Drawn - With Replacement]]&gt;0, IF(Audit[[#This Row],[Canceled Differences]]&lt;0, Audit[[#This Row],[Max Differences]]+ABS(Audit[[#This Row],[Canceled Differences]]), Audit[[#This Row],[Max Differences]]), 0)</f>
        <v>0</v>
      </c>
      <c r="AT660" s="17">
        <f>'Sampling Data'!AB660</f>
        <v>2.8093702257681208E-2</v>
      </c>
      <c r="AU660" s="17">
        <f>IF(
      SUM(Audit[[#This Row],[Audit Losing Candidate]:[Audit Candidate 12]])
      &lt;&gt;0,
      (Audit[[#This Row],[Winning Candidate]]-Audit[[#This Row],[Losing Candidate]]-(Audit[[#This Row],[Audit Winning Candidate]]-Audit[[#This Row],[Audit Losing Candidate]]))/(Audit[[#Totals],[Winning Candidate]]-Audit[[#Totals],[Losing Candidate]]),
      0
)</f>
        <v>0</v>
      </c>
      <c r="AV6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0" s="17">
        <f>IF(Audit[[#This Row],[Max Relative Error (ep)]] = 0, 0, Audit[[#This Row],[Max Relative Error (ep)]]/Audit[[#This Row],[Error Bound (up) - Max. possible relative overstatement]])</f>
        <v>0</v>
      </c>
      <c r="BH6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60" s="17">
        <f t="shared" si="11"/>
        <v>1</v>
      </c>
      <c r="BJ660" s="17">
        <f>PRODUCT($BI$5:BI660)</f>
        <v>0.26695880153480334</v>
      </c>
      <c r="BK660" s="19">
        <f>1 - Audit[[#This Row],[K-M P Value]]</f>
        <v>0.73304119846519666</v>
      </c>
      <c r="BL660" s="17" t="str">
        <f>IF(Audit[[#This Row],[K-M P Value]]&gt;1-'General Info'!$B$12,"Continue", "Stop")</f>
        <v>Continue</v>
      </c>
      <c r="BM660" s="22" t="b">
        <f>IF(Audit[[#This Row],[Status - Continue or stop audit]] = "Continue", TRUE, IF(BL659 = "Continue", TRUE, FALSE))</f>
        <v>1</v>
      </c>
      <c r="BN660" s="22"/>
    </row>
    <row r="661" spans="1:66" ht="15" hidden="1" customHeight="1" x14ac:dyDescent="0.35">
      <c r="A661" s="17" t="str">
        <f>'Sampling Data'!AI661</f>
        <v/>
      </c>
      <c r="B661" s="17" t="str">
        <f>'Sampling Data'!A661</f>
        <v>1405 CIN 14-E   (ED)</v>
      </c>
      <c r="C661" s="17">
        <f>'Sampling Data'!B661</f>
        <v>268</v>
      </c>
      <c r="D661" s="17">
        <f>'Sampling Data'!C661</f>
        <v>62</v>
      </c>
      <c r="E661" s="18">
        <f>'Sampling Data'!D661</f>
        <v>0</v>
      </c>
      <c r="F661" s="18">
        <f>'Sampling Data'!E661</f>
        <v>0</v>
      </c>
      <c r="G661" s="18">
        <f>'Sampling Data'!F661</f>
        <v>0</v>
      </c>
      <c r="H661" s="18">
        <f>'Sampling Data'!G661</f>
        <v>0</v>
      </c>
      <c r="I661" s="18">
        <f>'Sampling Data'!H661</f>
        <v>0</v>
      </c>
      <c r="J661" s="18">
        <f>'Sampling Data'!I661</f>
        <v>0</v>
      </c>
      <c r="K661" s="18">
        <f>'Sampling Data'!J661</f>
        <v>0</v>
      </c>
      <c r="L661" s="18">
        <f>'Sampling Data'!K661</f>
        <v>0</v>
      </c>
      <c r="M661" s="18">
        <f>'Sampling Data'!L661</f>
        <v>0</v>
      </c>
      <c r="N661" s="18">
        <f>'Sampling Data'!M661</f>
        <v>0</v>
      </c>
      <c r="O661" s="17">
        <f>'Sampling Data'!N661</f>
        <v>1</v>
      </c>
      <c r="P661" s="17">
        <f>'Sampling Data'!O661</f>
        <v>26</v>
      </c>
      <c r="Q661" s="17">
        <f>'Sampling Data'!P661</f>
        <v>357</v>
      </c>
      <c r="R661" s="17">
        <f>'Sampling Data'!AJ661</f>
        <v>0</v>
      </c>
      <c r="S661" s="111"/>
      <c r="T661" s="111"/>
      <c r="U661" s="112"/>
      <c r="V661" s="112"/>
      <c r="W661" s="111"/>
      <c r="X661" s="111"/>
      <c r="Y661" s="111"/>
      <c r="Z661" s="111"/>
      <c r="AA661" s="14"/>
      <c r="AB661" s="14"/>
      <c r="AC661" s="14"/>
      <c r="AD661" s="14"/>
      <c r="AE661" s="113" t="str">
        <f>IF(NOT(ISBLANK(Audit[[#This Row],[Audit Winning Candidate]])), Audit[[#This Row],[Audit Winning Candidate]]-Audit[[#This Row],[Winning Candidate]], "")</f>
        <v/>
      </c>
      <c r="AF661" s="17" t="str">
        <f>IF(NOT(ISBLANK(Audit[[#This Row],[Audit Losing Candidate]])), Audit[[#This Row],[Audit Losing Candidate]]-Audit[[#This Row],[Losing Candidate]], "")</f>
        <v/>
      </c>
      <c r="AG661" s="17" t="str">
        <f>IF(NOT(ISBLANK(Audit[[#This Row],[Audit Candidate 3]])), Audit[[#This Row],[Audit Candidate 3]]-Audit[[#This Row],[Candidate 3]], "")</f>
        <v/>
      </c>
      <c r="AH661" s="17" t="str">
        <f>IF(NOT(ISBLANK(Audit[[#This Row],[Audit Candidate 4]])),Audit[[#This Row],[Audit Candidate 4]]-Audit[[#This Row],[Candidate 4]], "")</f>
        <v/>
      </c>
      <c r="AI661" s="17" t="str">
        <f>IF(NOT(ISBLANK(Audit[[#This Row],[Audit Candidate 5]])), Audit[[#This Row],[Audit Candidate 5]]-Audit[[#This Row],[Candidate 5]], "")</f>
        <v/>
      </c>
      <c r="AJ661" s="17" t="str">
        <f>IF(NOT(ISBLANK(Audit[[#This Row],[Audit Candidate 6]])), Audit[[#This Row],[Audit Candidate 6]]-Audit[[#This Row],[Candidate 6]], "")</f>
        <v/>
      </c>
      <c r="AK661" s="17" t="str">
        <f>IF(NOT(ISBLANK(Audit[[#This Row],[Audit Candidate 7]])), Audit[[#This Row],[Audit Candidate 7]]-Audit[[#This Row],[Candidate 7]], "")</f>
        <v/>
      </c>
      <c r="AL661" s="17" t="str">
        <f>IF(NOT(ISBLANK(Audit[[#This Row],[Audit Candidate 8]])), Audit[[#This Row],[Audit Candidate 8]]-Audit[[#This Row],[Candidate 8]], "")</f>
        <v/>
      </c>
      <c r="AM661" s="17" t="str">
        <f>IF(NOT(ISBLANK(Audit[[#This Row],[Audit Candidate 9]])), Audit[[#This Row],[Audit Candidate 9]]-Audit[[#This Row],[Candidate 9]], "")</f>
        <v/>
      </c>
      <c r="AN661" s="17" t="str">
        <f>IF(NOT(ISBLANK(Audit[[#This Row],[Audit Candidate 10]])), Audit[[#This Row],[Audit Candidate 10]]-Audit[[#This Row],[Candidate 10]], "")</f>
        <v/>
      </c>
      <c r="AO661" s="17" t="str">
        <f>IF(NOT(ISBLANK(Audit[[#This Row],[Audit Candidate 11]])), Audit[[#This Row],[Audit Candidate 11]]-Audit[[#This Row],[Candidate 11]], "")</f>
        <v/>
      </c>
      <c r="AP661" s="17" t="str">
        <f>IF(NOT(ISBLANK(Audit[[#This Row],[Audit Candidate 12]])), Audit[[#This Row],[Audit Candidate 12]]-Audit[[#This Row],[Candidate 12]], "")</f>
        <v/>
      </c>
      <c r="AQ661" s="17">
        <f>SUMIF(Audit[[#This Row],[Difference Winner]:[Difference Candidate 12]], "&gt;0")</f>
        <v>0</v>
      </c>
      <c r="AR661" s="17">
        <f>SUM(Audit[[#This Row],[Difference Winner]:[Difference Candidate 12]])</f>
        <v>0</v>
      </c>
      <c r="AS661" s="17">
        <f>IF(Audit[[#This Row],[Times p Drawn - With Replacement]]&gt;0, IF(Audit[[#This Row],[Canceled Differences]]&lt;0, Audit[[#This Row],[Max Differences]]+ABS(Audit[[#This Row],[Canceled Differences]]), Audit[[#This Row],[Max Differences]]), 0)</f>
        <v>0</v>
      </c>
      <c r="AT661" s="17">
        <f>'Sampling Data'!AB661</f>
        <v>2.3892378204040061E-2</v>
      </c>
      <c r="AU661" s="17">
        <f>IF(
      SUM(Audit[[#This Row],[Audit Losing Candidate]:[Audit Candidate 12]])
      &lt;&gt;0,
      (Audit[[#This Row],[Winning Candidate]]-Audit[[#This Row],[Losing Candidate]]-(Audit[[#This Row],[Audit Winning Candidate]]-Audit[[#This Row],[Audit Losing Candidate]]))/(Audit[[#Totals],[Winning Candidate]]-Audit[[#Totals],[Losing Candidate]]),
      0
)</f>
        <v>0</v>
      </c>
      <c r="AV6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1" s="17">
        <f>IF(Audit[[#This Row],[Max Relative Error (ep)]] = 0, 0, Audit[[#This Row],[Max Relative Error (ep)]]/Audit[[#This Row],[Error Bound (up) - Max. possible relative overstatement]])</f>
        <v>0</v>
      </c>
      <c r="BH6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61" s="17">
        <f t="shared" si="11"/>
        <v>1</v>
      </c>
      <c r="BJ661" s="17">
        <f>PRODUCT($BI$5:BI661)</f>
        <v>0.26695880153480334</v>
      </c>
      <c r="BK661" s="19">
        <f>1 - Audit[[#This Row],[K-M P Value]]</f>
        <v>0.73304119846519666</v>
      </c>
      <c r="BL661" s="17" t="str">
        <f>IF(Audit[[#This Row],[K-M P Value]]&gt;1-'General Info'!$B$12,"Continue", "Stop")</f>
        <v>Continue</v>
      </c>
      <c r="BM661" s="22" t="b">
        <f>IF(Audit[[#This Row],[Status - Continue or stop audit]] = "Continue", TRUE, IF(BL660 = "Continue", TRUE, FALSE))</f>
        <v>1</v>
      </c>
      <c r="BN661" s="22"/>
    </row>
    <row r="662" spans="1:66" ht="15" hidden="1" customHeight="1" x14ac:dyDescent="0.35">
      <c r="A662" s="17" t="str">
        <f>'Sampling Data'!AI662</f>
        <v/>
      </c>
      <c r="B662" s="17" t="str">
        <f>'Sampling Data'!A662</f>
        <v>1406 CIN 14-F   (ED)</v>
      </c>
      <c r="C662" s="17">
        <f>'Sampling Data'!B662</f>
        <v>273</v>
      </c>
      <c r="D662" s="17">
        <f>'Sampling Data'!C662</f>
        <v>58</v>
      </c>
      <c r="E662" s="18">
        <f>'Sampling Data'!D662</f>
        <v>0</v>
      </c>
      <c r="F662" s="18">
        <f>'Sampling Data'!E662</f>
        <v>0</v>
      </c>
      <c r="G662" s="18">
        <f>'Sampling Data'!F662</f>
        <v>0</v>
      </c>
      <c r="H662" s="18">
        <f>'Sampling Data'!G662</f>
        <v>0</v>
      </c>
      <c r="I662" s="18">
        <f>'Sampling Data'!H662</f>
        <v>0</v>
      </c>
      <c r="J662" s="18">
        <f>'Sampling Data'!I662</f>
        <v>0</v>
      </c>
      <c r="K662" s="18">
        <f>'Sampling Data'!J662</f>
        <v>0</v>
      </c>
      <c r="L662" s="18">
        <f>'Sampling Data'!K662</f>
        <v>0</v>
      </c>
      <c r="M662" s="18">
        <f>'Sampling Data'!L662</f>
        <v>0</v>
      </c>
      <c r="N662" s="18">
        <f>'Sampling Data'!M662</f>
        <v>0</v>
      </c>
      <c r="O662" s="17">
        <f>'Sampling Data'!N662</f>
        <v>0</v>
      </c>
      <c r="P662" s="17">
        <f>'Sampling Data'!O662</f>
        <v>25</v>
      </c>
      <c r="Q662" s="17">
        <f>'Sampling Data'!P662</f>
        <v>356</v>
      </c>
      <c r="R662" s="17">
        <f>'Sampling Data'!AJ662</f>
        <v>0</v>
      </c>
      <c r="S662" s="111"/>
      <c r="T662" s="111"/>
      <c r="U662" s="112"/>
      <c r="V662" s="112"/>
      <c r="W662" s="111"/>
      <c r="X662" s="111"/>
      <c r="Y662" s="111"/>
      <c r="Z662" s="111"/>
      <c r="AA662" s="14"/>
      <c r="AB662" s="14"/>
      <c r="AC662" s="14"/>
      <c r="AD662" s="14"/>
      <c r="AE662" s="113" t="str">
        <f>IF(NOT(ISBLANK(Audit[[#This Row],[Audit Winning Candidate]])), Audit[[#This Row],[Audit Winning Candidate]]-Audit[[#This Row],[Winning Candidate]], "")</f>
        <v/>
      </c>
      <c r="AF662" s="17" t="str">
        <f>IF(NOT(ISBLANK(Audit[[#This Row],[Audit Losing Candidate]])), Audit[[#This Row],[Audit Losing Candidate]]-Audit[[#This Row],[Losing Candidate]], "")</f>
        <v/>
      </c>
      <c r="AG662" s="17" t="str">
        <f>IF(NOT(ISBLANK(Audit[[#This Row],[Audit Candidate 3]])), Audit[[#This Row],[Audit Candidate 3]]-Audit[[#This Row],[Candidate 3]], "")</f>
        <v/>
      </c>
      <c r="AH662" s="17" t="str">
        <f>IF(NOT(ISBLANK(Audit[[#This Row],[Audit Candidate 4]])),Audit[[#This Row],[Audit Candidate 4]]-Audit[[#This Row],[Candidate 4]], "")</f>
        <v/>
      </c>
      <c r="AI662" s="17" t="str">
        <f>IF(NOT(ISBLANK(Audit[[#This Row],[Audit Candidate 5]])), Audit[[#This Row],[Audit Candidate 5]]-Audit[[#This Row],[Candidate 5]], "")</f>
        <v/>
      </c>
      <c r="AJ662" s="17" t="str">
        <f>IF(NOT(ISBLANK(Audit[[#This Row],[Audit Candidate 6]])), Audit[[#This Row],[Audit Candidate 6]]-Audit[[#This Row],[Candidate 6]], "")</f>
        <v/>
      </c>
      <c r="AK662" s="17" t="str">
        <f>IF(NOT(ISBLANK(Audit[[#This Row],[Audit Candidate 7]])), Audit[[#This Row],[Audit Candidate 7]]-Audit[[#This Row],[Candidate 7]], "")</f>
        <v/>
      </c>
      <c r="AL662" s="17" t="str">
        <f>IF(NOT(ISBLANK(Audit[[#This Row],[Audit Candidate 8]])), Audit[[#This Row],[Audit Candidate 8]]-Audit[[#This Row],[Candidate 8]], "")</f>
        <v/>
      </c>
      <c r="AM662" s="17" t="str">
        <f>IF(NOT(ISBLANK(Audit[[#This Row],[Audit Candidate 9]])), Audit[[#This Row],[Audit Candidate 9]]-Audit[[#This Row],[Candidate 9]], "")</f>
        <v/>
      </c>
      <c r="AN662" s="17" t="str">
        <f>IF(NOT(ISBLANK(Audit[[#This Row],[Audit Candidate 10]])), Audit[[#This Row],[Audit Candidate 10]]-Audit[[#This Row],[Candidate 10]], "")</f>
        <v/>
      </c>
      <c r="AO662" s="17" t="str">
        <f>IF(NOT(ISBLANK(Audit[[#This Row],[Audit Candidate 11]])), Audit[[#This Row],[Audit Candidate 11]]-Audit[[#This Row],[Candidate 11]], "")</f>
        <v/>
      </c>
      <c r="AP662" s="17" t="str">
        <f>IF(NOT(ISBLANK(Audit[[#This Row],[Audit Candidate 12]])), Audit[[#This Row],[Audit Candidate 12]]-Audit[[#This Row],[Candidate 12]], "")</f>
        <v/>
      </c>
      <c r="AQ662" s="17">
        <f>SUMIF(Audit[[#This Row],[Difference Winner]:[Difference Candidate 12]], "&gt;0")</f>
        <v>0</v>
      </c>
      <c r="AR662" s="17">
        <f>SUM(Audit[[#This Row],[Difference Winner]:[Difference Candidate 12]])</f>
        <v>0</v>
      </c>
      <c r="AS662" s="17">
        <f>IF(Audit[[#This Row],[Times p Drawn - With Replacement]]&gt;0, IF(Audit[[#This Row],[Canceled Differences]]&lt;0, Audit[[#This Row],[Max Differences]]+ABS(Audit[[#This Row],[Canceled Differences]]), Audit[[#This Row],[Max Differences]]), 0)</f>
        <v>0</v>
      </c>
      <c r="AT662" s="17">
        <f>'Sampling Data'!AB662</f>
        <v>2.4231879137667629E-2</v>
      </c>
      <c r="AU662" s="17">
        <f>IF(
      SUM(Audit[[#This Row],[Audit Losing Candidate]:[Audit Candidate 12]])
      &lt;&gt;0,
      (Audit[[#This Row],[Winning Candidate]]-Audit[[#This Row],[Losing Candidate]]-(Audit[[#This Row],[Audit Winning Candidate]]-Audit[[#This Row],[Audit Losing Candidate]]))/(Audit[[#Totals],[Winning Candidate]]-Audit[[#Totals],[Losing Candidate]]),
      0
)</f>
        <v>0</v>
      </c>
      <c r="AV6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2" s="17">
        <f>IF(Audit[[#This Row],[Max Relative Error (ep)]] = 0, 0, Audit[[#This Row],[Max Relative Error (ep)]]/Audit[[#This Row],[Error Bound (up) - Max. possible relative overstatement]])</f>
        <v>0</v>
      </c>
      <c r="BH6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62" s="17">
        <f t="shared" si="11"/>
        <v>1</v>
      </c>
      <c r="BJ662" s="17">
        <f>PRODUCT($BI$5:BI662)</f>
        <v>0.26695880153480334</v>
      </c>
      <c r="BK662" s="19">
        <f>1 - Audit[[#This Row],[K-M P Value]]</f>
        <v>0.73304119846519666</v>
      </c>
      <c r="BL662" s="17" t="str">
        <f>IF(Audit[[#This Row],[K-M P Value]]&gt;1-'General Info'!$B$12,"Continue", "Stop")</f>
        <v>Continue</v>
      </c>
      <c r="BM662" s="22" t="b">
        <f>IF(Audit[[#This Row],[Status - Continue or stop audit]] = "Continue", TRUE, IF(BL661 = "Continue", TRUE, FALSE))</f>
        <v>1</v>
      </c>
      <c r="BN662" s="22"/>
    </row>
    <row r="663" spans="1:66" ht="15" hidden="1" customHeight="1" x14ac:dyDescent="0.35">
      <c r="A663" s="17" t="str">
        <f>'Sampling Data'!AI663</f>
        <v/>
      </c>
      <c r="B663" s="17" t="str">
        <f>'Sampling Data'!A663</f>
        <v>1407 CIN 14-G   (ED)</v>
      </c>
      <c r="C663" s="17">
        <f>'Sampling Data'!B663</f>
        <v>294</v>
      </c>
      <c r="D663" s="17">
        <f>'Sampling Data'!C663</f>
        <v>121</v>
      </c>
      <c r="E663" s="18">
        <f>'Sampling Data'!D663</f>
        <v>0</v>
      </c>
      <c r="F663" s="18">
        <f>'Sampling Data'!E663</f>
        <v>0</v>
      </c>
      <c r="G663" s="18">
        <f>'Sampling Data'!F663</f>
        <v>0</v>
      </c>
      <c r="H663" s="18">
        <f>'Sampling Data'!G663</f>
        <v>0</v>
      </c>
      <c r="I663" s="18">
        <f>'Sampling Data'!H663</f>
        <v>0</v>
      </c>
      <c r="J663" s="18">
        <f>'Sampling Data'!I663</f>
        <v>0</v>
      </c>
      <c r="K663" s="18">
        <f>'Sampling Data'!J663</f>
        <v>0</v>
      </c>
      <c r="L663" s="18">
        <f>'Sampling Data'!K663</f>
        <v>0</v>
      </c>
      <c r="M663" s="18">
        <f>'Sampling Data'!L663</f>
        <v>0</v>
      </c>
      <c r="N663" s="18">
        <f>'Sampling Data'!M663</f>
        <v>0</v>
      </c>
      <c r="O663" s="17">
        <f>'Sampling Data'!N663</f>
        <v>0</v>
      </c>
      <c r="P663" s="17">
        <f>'Sampling Data'!O663</f>
        <v>31</v>
      </c>
      <c r="Q663" s="17">
        <f>'Sampling Data'!P663</f>
        <v>446</v>
      </c>
      <c r="R663" s="17">
        <f>'Sampling Data'!AJ663</f>
        <v>0</v>
      </c>
      <c r="S663" s="111"/>
      <c r="T663" s="111"/>
      <c r="U663" s="112"/>
      <c r="V663" s="112"/>
      <c r="W663" s="111"/>
      <c r="X663" s="111"/>
      <c r="Y663" s="111"/>
      <c r="Z663" s="111"/>
      <c r="AA663" s="14"/>
      <c r="AB663" s="14"/>
      <c r="AC663" s="14"/>
      <c r="AD663" s="14"/>
      <c r="AE663" s="113" t="str">
        <f>IF(NOT(ISBLANK(Audit[[#This Row],[Audit Winning Candidate]])), Audit[[#This Row],[Audit Winning Candidate]]-Audit[[#This Row],[Winning Candidate]], "")</f>
        <v/>
      </c>
      <c r="AF663" s="17" t="str">
        <f>IF(NOT(ISBLANK(Audit[[#This Row],[Audit Losing Candidate]])), Audit[[#This Row],[Audit Losing Candidate]]-Audit[[#This Row],[Losing Candidate]], "")</f>
        <v/>
      </c>
      <c r="AG663" s="17" t="str">
        <f>IF(NOT(ISBLANK(Audit[[#This Row],[Audit Candidate 3]])), Audit[[#This Row],[Audit Candidate 3]]-Audit[[#This Row],[Candidate 3]], "")</f>
        <v/>
      </c>
      <c r="AH663" s="17" t="str">
        <f>IF(NOT(ISBLANK(Audit[[#This Row],[Audit Candidate 4]])),Audit[[#This Row],[Audit Candidate 4]]-Audit[[#This Row],[Candidate 4]], "")</f>
        <v/>
      </c>
      <c r="AI663" s="17" t="str">
        <f>IF(NOT(ISBLANK(Audit[[#This Row],[Audit Candidate 5]])), Audit[[#This Row],[Audit Candidate 5]]-Audit[[#This Row],[Candidate 5]], "")</f>
        <v/>
      </c>
      <c r="AJ663" s="17" t="str">
        <f>IF(NOT(ISBLANK(Audit[[#This Row],[Audit Candidate 6]])), Audit[[#This Row],[Audit Candidate 6]]-Audit[[#This Row],[Candidate 6]], "")</f>
        <v/>
      </c>
      <c r="AK663" s="17" t="str">
        <f>IF(NOT(ISBLANK(Audit[[#This Row],[Audit Candidate 7]])), Audit[[#This Row],[Audit Candidate 7]]-Audit[[#This Row],[Candidate 7]], "")</f>
        <v/>
      </c>
      <c r="AL663" s="17" t="str">
        <f>IF(NOT(ISBLANK(Audit[[#This Row],[Audit Candidate 8]])), Audit[[#This Row],[Audit Candidate 8]]-Audit[[#This Row],[Candidate 8]], "")</f>
        <v/>
      </c>
      <c r="AM663" s="17" t="str">
        <f>IF(NOT(ISBLANK(Audit[[#This Row],[Audit Candidate 9]])), Audit[[#This Row],[Audit Candidate 9]]-Audit[[#This Row],[Candidate 9]], "")</f>
        <v/>
      </c>
      <c r="AN663" s="17" t="str">
        <f>IF(NOT(ISBLANK(Audit[[#This Row],[Audit Candidate 10]])), Audit[[#This Row],[Audit Candidate 10]]-Audit[[#This Row],[Candidate 10]], "")</f>
        <v/>
      </c>
      <c r="AO663" s="17" t="str">
        <f>IF(NOT(ISBLANK(Audit[[#This Row],[Audit Candidate 11]])), Audit[[#This Row],[Audit Candidate 11]]-Audit[[#This Row],[Candidate 11]], "")</f>
        <v/>
      </c>
      <c r="AP663" s="17" t="str">
        <f>IF(NOT(ISBLANK(Audit[[#This Row],[Audit Candidate 12]])), Audit[[#This Row],[Audit Candidate 12]]-Audit[[#This Row],[Candidate 12]], "")</f>
        <v/>
      </c>
      <c r="AQ663" s="17">
        <f>SUMIF(Audit[[#This Row],[Difference Winner]:[Difference Candidate 12]], "&gt;0")</f>
        <v>0</v>
      </c>
      <c r="AR663" s="17">
        <f>SUM(Audit[[#This Row],[Difference Winner]:[Difference Candidate 12]])</f>
        <v>0</v>
      </c>
      <c r="AS663" s="17">
        <f>IF(Audit[[#This Row],[Times p Drawn - With Replacement]]&gt;0, IF(Audit[[#This Row],[Canceled Differences]]&lt;0, Audit[[#This Row],[Max Differences]]+ABS(Audit[[#This Row],[Canceled Differences]]), Audit[[#This Row],[Max Differences]]), 0)</f>
        <v>0</v>
      </c>
      <c r="AT663" s="17">
        <f>'Sampling Data'!AB663</f>
        <v>2.6268884739433035E-2</v>
      </c>
      <c r="AU663" s="17">
        <f>IF(
      SUM(Audit[[#This Row],[Audit Losing Candidate]:[Audit Candidate 12]])
      &lt;&gt;0,
      (Audit[[#This Row],[Winning Candidate]]-Audit[[#This Row],[Losing Candidate]]-(Audit[[#This Row],[Audit Winning Candidate]]-Audit[[#This Row],[Audit Losing Candidate]]))/(Audit[[#Totals],[Winning Candidate]]-Audit[[#Totals],[Losing Candidate]]),
      0
)</f>
        <v>0</v>
      </c>
      <c r="AV6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3" s="17">
        <f>IF(Audit[[#This Row],[Max Relative Error (ep)]] = 0, 0, Audit[[#This Row],[Max Relative Error (ep)]]/Audit[[#This Row],[Error Bound (up) - Max. possible relative overstatement]])</f>
        <v>0</v>
      </c>
      <c r="BH6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63" s="17">
        <f t="shared" si="11"/>
        <v>1</v>
      </c>
      <c r="BJ663" s="17">
        <f>PRODUCT($BI$5:BI663)</f>
        <v>0.26695880153480334</v>
      </c>
      <c r="BK663" s="19">
        <f>1 - Audit[[#This Row],[K-M P Value]]</f>
        <v>0.73304119846519666</v>
      </c>
      <c r="BL663" s="17" t="str">
        <f>IF(Audit[[#This Row],[K-M P Value]]&gt;1-'General Info'!$B$12,"Continue", "Stop")</f>
        <v>Continue</v>
      </c>
      <c r="BM663" s="22" t="b">
        <f>IF(Audit[[#This Row],[Status - Continue or stop audit]] = "Continue", TRUE, IF(BL662 = "Continue", TRUE, FALSE))</f>
        <v>1</v>
      </c>
      <c r="BN663" s="22"/>
    </row>
    <row r="664" spans="1:66" ht="15" hidden="1" customHeight="1" x14ac:dyDescent="0.35">
      <c r="A664" s="17" t="str">
        <f>'Sampling Data'!AI664</f>
        <v/>
      </c>
      <c r="B664" s="17" t="str">
        <f>'Sampling Data'!A664</f>
        <v>1408 CIN 14-H   (ED)</v>
      </c>
      <c r="C664" s="17">
        <f>'Sampling Data'!B664</f>
        <v>265</v>
      </c>
      <c r="D664" s="17">
        <f>'Sampling Data'!C664</f>
        <v>91</v>
      </c>
      <c r="E664" s="18">
        <f>'Sampling Data'!D664</f>
        <v>0</v>
      </c>
      <c r="F664" s="18">
        <f>'Sampling Data'!E664</f>
        <v>0</v>
      </c>
      <c r="G664" s="18">
        <f>'Sampling Data'!F664</f>
        <v>0</v>
      </c>
      <c r="H664" s="18">
        <f>'Sampling Data'!G664</f>
        <v>0</v>
      </c>
      <c r="I664" s="18">
        <f>'Sampling Data'!H664</f>
        <v>0</v>
      </c>
      <c r="J664" s="18">
        <f>'Sampling Data'!I664</f>
        <v>0</v>
      </c>
      <c r="K664" s="18">
        <f>'Sampling Data'!J664</f>
        <v>0</v>
      </c>
      <c r="L664" s="18">
        <f>'Sampling Data'!K664</f>
        <v>0</v>
      </c>
      <c r="M664" s="18">
        <f>'Sampling Data'!L664</f>
        <v>0</v>
      </c>
      <c r="N664" s="18">
        <f>'Sampling Data'!M664</f>
        <v>0</v>
      </c>
      <c r="O664" s="17">
        <f>'Sampling Data'!N664</f>
        <v>0</v>
      </c>
      <c r="P664" s="17">
        <f>'Sampling Data'!O664</f>
        <v>32</v>
      </c>
      <c r="Q664" s="17">
        <f>'Sampling Data'!P664</f>
        <v>388</v>
      </c>
      <c r="R664" s="17">
        <f>'Sampling Data'!AJ664</f>
        <v>0</v>
      </c>
      <c r="S664" s="111"/>
      <c r="T664" s="111"/>
      <c r="U664" s="112"/>
      <c r="V664" s="112"/>
      <c r="W664" s="111"/>
      <c r="X664" s="111"/>
      <c r="Y664" s="111"/>
      <c r="Z664" s="111"/>
      <c r="AA664" s="14"/>
      <c r="AB664" s="14"/>
      <c r="AC664" s="14"/>
      <c r="AD664" s="14"/>
      <c r="AE664" s="113" t="str">
        <f>IF(NOT(ISBLANK(Audit[[#This Row],[Audit Winning Candidate]])), Audit[[#This Row],[Audit Winning Candidate]]-Audit[[#This Row],[Winning Candidate]], "")</f>
        <v/>
      </c>
      <c r="AF664" s="17" t="str">
        <f>IF(NOT(ISBLANK(Audit[[#This Row],[Audit Losing Candidate]])), Audit[[#This Row],[Audit Losing Candidate]]-Audit[[#This Row],[Losing Candidate]], "")</f>
        <v/>
      </c>
      <c r="AG664" s="17" t="str">
        <f>IF(NOT(ISBLANK(Audit[[#This Row],[Audit Candidate 3]])), Audit[[#This Row],[Audit Candidate 3]]-Audit[[#This Row],[Candidate 3]], "")</f>
        <v/>
      </c>
      <c r="AH664" s="17" t="str">
        <f>IF(NOT(ISBLANK(Audit[[#This Row],[Audit Candidate 4]])),Audit[[#This Row],[Audit Candidate 4]]-Audit[[#This Row],[Candidate 4]], "")</f>
        <v/>
      </c>
      <c r="AI664" s="17" t="str">
        <f>IF(NOT(ISBLANK(Audit[[#This Row],[Audit Candidate 5]])), Audit[[#This Row],[Audit Candidate 5]]-Audit[[#This Row],[Candidate 5]], "")</f>
        <v/>
      </c>
      <c r="AJ664" s="17" t="str">
        <f>IF(NOT(ISBLANK(Audit[[#This Row],[Audit Candidate 6]])), Audit[[#This Row],[Audit Candidate 6]]-Audit[[#This Row],[Candidate 6]], "")</f>
        <v/>
      </c>
      <c r="AK664" s="17" t="str">
        <f>IF(NOT(ISBLANK(Audit[[#This Row],[Audit Candidate 7]])), Audit[[#This Row],[Audit Candidate 7]]-Audit[[#This Row],[Candidate 7]], "")</f>
        <v/>
      </c>
      <c r="AL664" s="17" t="str">
        <f>IF(NOT(ISBLANK(Audit[[#This Row],[Audit Candidate 8]])), Audit[[#This Row],[Audit Candidate 8]]-Audit[[#This Row],[Candidate 8]], "")</f>
        <v/>
      </c>
      <c r="AM664" s="17" t="str">
        <f>IF(NOT(ISBLANK(Audit[[#This Row],[Audit Candidate 9]])), Audit[[#This Row],[Audit Candidate 9]]-Audit[[#This Row],[Candidate 9]], "")</f>
        <v/>
      </c>
      <c r="AN664" s="17" t="str">
        <f>IF(NOT(ISBLANK(Audit[[#This Row],[Audit Candidate 10]])), Audit[[#This Row],[Audit Candidate 10]]-Audit[[#This Row],[Candidate 10]], "")</f>
        <v/>
      </c>
      <c r="AO664" s="17" t="str">
        <f>IF(NOT(ISBLANK(Audit[[#This Row],[Audit Candidate 11]])), Audit[[#This Row],[Audit Candidate 11]]-Audit[[#This Row],[Candidate 11]], "")</f>
        <v/>
      </c>
      <c r="AP664" s="17" t="str">
        <f>IF(NOT(ISBLANK(Audit[[#This Row],[Audit Candidate 12]])), Audit[[#This Row],[Audit Candidate 12]]-Audit[[#This Row],[Candidate 12]], "")</f>
        <v/>
      </c>
      <c r="AQ664" s="17">
        <f>SUMIF(Audit[[#This Row],[Difference Winner]:[Difference Candidate 12]], "&gt;0")</f>
        <v>0</v>
      </c>
      <c r="AR664" s="17">
        <f>SUM(Audit[[#This Row],[Difference Winner]:[Difference Candidate 12]])</f>
        <v>0</v>
      </c>
      <c r="AS664" s="17">
        <f>IF(Audit[[#This Row],[Times p Drawn - With Replacement]]&gt;0, IF(Audit[[#This Row],[Canceled Differences]]&lt;0, Audit[[#This Row],[Max Differences]]+ABS(Audit[[#This Row],[Canceled Differences]]), Audit[[#This Row],[Max Differences]]), 0)</f>
        <v>0</v>
      </c>
      <c r="AT664" s="17">
        <f>'Sampling Data'!AB664</f>
        <v>2.3849940587336617E-2</v>
      </c>
      <c r="AU664" s="17">
        <f>IF(
      SUM(Audit[[#This Row],[Audit Losing Candidate]:[Audit Candidate 12]])
      &lt;&gt;0,
      (Audit[[#This Row],[Winning Candidate]]-Audit[[#This Row],[Losing Candidate]]-(Audit[[#This Row],[Audit Winning Candidate]]-Audit[[#This Row],[Audit Losing Candidate]]))/(Audit[[#Totals],[Winning Candidate]]-Audit[[#Totals],[Losing Candidate]]),
      0
)</f>
        <v>0</v>
      </c>
      <c r="AV6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4" s="17">
        <f>IF(Audit[[#This Row],[Max Relative Error (ep)]] = 0, 0, Audit[[#This Row],[Max Relative Error (ep)]]/Audit[[#This Row],[Error Bound (up) - Max. possible relative overstatement]])</f>
        <v>0</v>
      </c>
      <c r="BH6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64" s="17">
        <f t="shared" si="11"/>
        <v>1</v>
      </c>
      <c r="BJ664" s="17">
        <f>PRODUCT($BI$5:BI664)</f>
        <v>0.26695880153480334</v>
      </c>
      <c r="BK664" s="19">
        <f>1 - Audit[[#This Row],[K-M P Value]]</f>
        <v>0.73304119846519666</v>
      </c>
      <c r="BL664" s="17" t="str">
        <f>IF(Audit[[#This Row],[K-M P Value]]&gt;1-'General Info'!$B$12,"Continue", "Stop")</f>
        <v>Continue</v>
      </c>
      <c r="BM664" s="22" t="b">
        <f>IF(Audit[[#This Row],[Status - Continue or stop audit]] = "Continue", TRUE, IF(BL663 = "Continue", TRUE, FALSE))</f>
        <v>1</v>
      </c>
      <c r="BN664" s="22"/>
    </row>
    <row r="665" spans="1:66" ht="15" hidden="1" customHeight="1" x14ac:dyDescent="0.35">
      <c r="A665" s="17" t="str">
        <f>'Sampling Data'!AI665</f>
        <v/>
      </c>
      <c r="B665" s="17" t="str">
        <f>'Sampling Data'!A665</f>
        <v>1409 CIN 14-I   (ED)</v>
      </c>
      <c r="C665" s="17">
        <f>'Sampling Data'!B665</f>
        <v>262</v>
      </c>
      <c r="D665" s="17">
        <f>'Sampling Data'!C665</f>
        <v>89</v>
      </c>
      <c r="E665" s="18">
        <f>'Sampling Data'!D665</f>
        <v>0</v>
      </c>
      <c r="F665" s="18">
        <f>'Sampling Data'!E665</f>
        <v>0</v>
      </c>
      <c r="G665" s="18">
        <f>'Sampling Data'!F665</f>
        <v>0</v>
      </c>
      <c r="H665" s="18">
        <f>'Sampling Data'!G665</f>
        <v>0</v>
      </c>
      <c r="I665" s="18">
        <f>'Sampling Data'!H665</f>
        <v>0</v>
      </c>
      <c r="J665" s="18">
        <f>'Sampling Data'!I665</f>
        <v>0</v>
      </c>
      <c r="K665" s="18">
        <f>'Sampling Data'!J665</f>
        <v>0</v>
      </c>
      <c r="L665" s="18">
        <f>'Sampling Data'!K665</f>
        <v>0</v>
      </c>
      <c r="M665" s="18">
        <f>'Sampling Data'!L665</f>
        <v>0</v>
      </c>
      <c r="N665" s="18">
        <f>'Sampling Data'!M665</f>
        <v>0</v>
      </c>
      <c r="O665" s="17">
        <f>'Sampling Data'!N665</f>
        <v>0</v>
      </c>
      <c r="P665" s="17">
        <f>'Sampling Data'!O665</f>
        <v>26</v>
      </c>
      <c r="Q665" s="17">
        <f>'Sampling Data'!P665</f>
        <v>377</v>
      </c>
      <c r="R665" s="17">
        <f>'Sampling Data'!AJ665</f>
        <v>0</v>
      </c>
      <c r="S665" s="111"/>
      <c r="T665" s="111"/>
      <c r="U665" s="112"/>
      <c r="V665" s="112"/>
      <c r="W665" s="111"/>
      <c r="X665" s="111"/>
      <c r="Y665" s="111"/>
      <c r="Z665" s="111"/>
      <c r="AA665" s="14"/>
      <c r="AB665" s="14"/>
      <c r="AC665" s="14"/>
      <c r="AD665" s="14"/>
      <c r="AE665" s="113" t="str">
        <f>IF(NOT(ISBLANK(Audit[[#This Row],[Audit Winning Candidate]])), Audit[[#This Row],[Audit Winning Candidate]]-Audit[[#This Row],[Winning Candidate]], "")</f>
        <v/>
      </c>
      <c r="AF665" s="17" t="str">
        <f>IF(NOT(ISBLANK(Audit[[#This Row],[Audit Losing Candidate]])), Audit[[#This Row],[Audit Losing Candidate]]-Audit[[#This Row],[Losing Candidate]], "")</f>
        <v/>
      </c>
      <c r="AG665" s="17" t="str">
        <f>IF(NOT(ISBLANK(Audit[[#This Row],[Audit Candidate 3]])), Audit[[#This Row],[Audit Candidate 3]]-Audit[[#This Row],[Candidate 3]], "")</f>
        <v/>
      </c>
      <c r="AH665" s="17" t="str">
        <f>IF(NOT(ISBLANK(Audit[[#This Row],[Audit Candidate 4]])),Audit[[#This Row],[Audit Candidate 4]]-Audit[[#This Row],[Candidate 4]], "")</f>
        <v/>
      </c>
      <c r="AI665" s="17" t="str">
        <f>IF(NOT(ISBLANK(Audit[[#This Row],[Audit Candidate 5]])), Audit[[#This Row],[Audit Candidate 5]]-Audit[[#This Row],[Candidate 5]], "")</f>
        <v/>
      </c>
      <c r="AJ665" s="17" t="str">
        <f>IF(NOT(ISBLANK(Audit[[#This Row],[Audit Candidate 6]])), Audit[[#This Row],[Audit Candidate 6]]-Audit[[#This Row],[Candidate 6]], "")</f>
        <v/>
      </c>
      <c r="AK665" s="17" t="str">
        <f>IF(NOT(ISBLANK(Audit[[#This Row],[Audit Candidate 7]])), Audit[[#This Row],[Audit Candidate 7]]-Audit[[#This Row],[Candidate 7]], "")</f>
        <v/>
      </c>
      <c r="AL665" s="17" t="str">
        <f>IF(NOT(ISBLANK(Audit[[#This Row],[Audit Candidate 8]])), Audit[[#This Row],[Audit Candidate 8]]-Audit[[#This Row],[Candidate 8]], "")</f>
        <v/>
      </c>
      <c r="AM665" s="17" t="str">
        <f>IF(NOT(ISBLANK(Audit[[#This Row],[Audit Candidate 9]])), Audit[[#This Row],[Audit Candidate 9]]-Audit[[#This Row],[Candidate 9]], "")</f>
        <v/>
      </c>
      <c r="AN665" s="17" t="str">
        <f>IF(NOT(ISBLANK(Audit[[#This Row],[Audit Candidate 10]])), Audit[[#This Row],[Audit Candidate 10]]-Audit[[#This Row],[Candidate 10]], "")</f>
        <v/>
      </c>
      <c r="AO665" s="17" t="str">
        <f>IF(NOT(ISBLANK(Audit[[#This Row],[Audit Candidate 11]])), Audit[[#This Row],[Audit Candidate 11]]-Audit[[#This Row],[Candidate 11]], "")</f>
        <v/>
      </c>
      <c r="AP665" s="17" t="str">
        <f>IF(NOT(ISBLANK(Audit[[#This Row],[Audit Candidate 12]])), Audit[[#This Row],[Audit Candidate 12]]-Audit[[#This Row],[Candidate 12]], "")</f>
        <v/>
      </c>
      <c r="AQ665" s="17">
        <f>SUMIF(Audit[[#This Row],[Difference Winner]:[Difference Candidate 12]], "&gt;0")</f>
        <v>0</v>
      </c>
      <c r="AR665" s="17">
        <f>SUM(Audit[[#This Row],[Difference Winner]:[Difference Candidate 12]])</f>
        <v>0</v>
      </c>
      <c r="AS665" s="17">
        <f>IF(Audit[[#This Row],[Times p Drawn - With Replacement]]&gt;0, IF(Audit[[#This Row],[Canceled Differences]]&lt;0, Audit[[#This Row],[Max Differences]]+ABS(Audit[[#This Row],[Canceled Differences]]), Audit[[#This Row],[Max Differences]]), 0)</f>
        <v>0</v>
      </c>
      <c r="AT665" s="17">
        <f>'Sampling Data'!AB665</f>
        <v>2.3340689186895264E-2</v>
      </c>
      <c r="AU665" s="17">
        <f>IF(
      SUM(Audit[[#This Row],[Audit Losing Candidate]:[Audit Candidate 12]])
      &lt;&gt;0,
      (Audit[[#This Row],[Winning Candidate]]-Audit[[#This Row],[Losing Candidate]]-(Audit[[#This Row],[Audit Winning Candidate]]-Audit[[#This Row],[Audit Losing Candidate]]))/(Audit[[#Totals],[Winning Candidate]]-Audit[[#Totals],[Losing Candidate]]),
      0
)</f>
        <v>0</v>
      </c>
      <c r="AV6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5" s="17">
        <f>IF(Audit[[#This Row],[Max Relative Error (ep)]] = 0, 0, Audit[[#This Row],[Max Relative Error (ep)]]/Audit[[#This Row],[Error Bound (up) - Max. possible relative overstatement]])</f>
        <v>0</v>
      </c>
      <c r="BH6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65" s="17">
        <f t="shared" si="11"/>
        <v>1</v>
      </c>
      <c r="BJ665" s="17">
        <f>PRODUCT($BI$5:BI665)</f>
        <v>0.26695880153480334</v>
      </c>
      <c r="BK665" s="19">
        <f>1 - Audit[[#This Row],[K-M P Value]]</f>
        <v>0.73304119846519666</v>
      </c>
      <c r="BL665" s="17" t="str">
        <f>IF(Audit[[#This Row],[K-M P Value]]&gt;1-'General Info'!$B$12,"Continue", "Stop")</f>
        <v>Continue</v>
      </c>
      <c r="BM665" s="22" t="b">
        <f>IF(Audit[[#This Row],[Status - Continue or stop audit]] = "Continue", TRUE, IF(BL664 = "Continue", TRUE, FALSE))</f>
        <v>1</v>
      </c>
      <c r="BN665" s="22"/>
    </row>
    <row r="666" spans="1:66" ht="15" hidden="1" customHeight="1" x14ac:dyDescent="0.35">
      <c r="A666" s="17" t="str">
        <f>'Sampling Data'!AI666</f>
        <v/>
      </c>
      <c r="B666" s="17" t="str">
        <f>'Sampling Data'!A666</f>
        <v>1501 CIN 15-A   (ED)</v>
      </c>
      <c r="C666" s="17">
        <f>'Sampling Data'!B666</f>
        <v>431</v>
      </c>
      <c r="D666" s="17">
        <f>'Sampling Data'!C666</f>
        <v>55</v>
      </c>
      <c r="E666" s="18">
        <f>'Sampling Data'!D666</f>
        <v>0</v>
      </c>
      <c r="F666" s="18">
        <f>'Sampling Data'!E666</f>
        <v>0</v>
      </c>
      <c r="G666" s="18">
        <f>'Sampling Data'!F666</f>
        <v>0</v>
      </c>
      <c r="H666" s="18">
        <f>'Sampling Data'!G666</f>
        <v>0</v>
      </c>
      <c r="I666" s="18">
        <f>'Sampling Data'!H666</f>
        <v>0</v>
      </c>
      <c r="J666" s="18">
        <f>'Sampling Data'!I666</f>
        <v>0</v>
      </c>
      <c r="K666" s="18">
        <f>'Sampling Data'!J666</f>
        <v>0</v>
      </c>
      <c r="L666" s="18">
        <f>'Sampling Data'!K666</f>
        <v>0</v>
      </c>
      <c r="M666" s="18">
        <f>'Sampling Data'!L666</f>
        <v>0</v>
      </c>
      <c r="N666" s="18">
        <f>'Sampling Data'!M666</f>
        <v>0</v>
      </c>
      <c r="O666" s="17">
        <f>'Sampling Data'!N666</f>
        <v>0</v>
      </c>
      <c r="P666" s="17">
        <f>'Sampling Data'!O666</f>
        <v>37</v>
      </c>
      <c r="Q666" s="17">
        <f>'Sampling Data'!P666</f>
        <v>523</v>
      </c>
      <c r="R666" s="17">
        <f>'Sampling Data'!AJ666</f>
        <v>0</v>
      </c>
      <c r="S666" s="111"/>
      <c r="T666" s="111"/>
      <c r="U666" s="112"/>
      <c r="V666" s="112"/>
      <c r="W666" s="111"/>
      <c r="X666" s="111"/>
      <c r="Y666" s="111"/>
      <c r="Z666" s="111"/>
      <c r="AA666" s="14"/>
      <c r="AB666" s="14"/>
      <c r="AC666" s="14"/>
      <c r="AD666" s="14"/>
      <c r="AE666" s="113" t="str">
        <f>IF(NOT(ISBLANK(Audit[[#This Row],[Audit Winning Candidate]])), Audit[[#This Row],[Audit Winning Candidate]]-Audit[[#This Row],[Winning Candidate]], "")</f>
        <v/>
      </c>
      <c r="AF666" s="17" t="str">
        <f>IF(NOT(ISBLANK(Audit[[#This Row],[Audit Losing Candidate]])), Audit[[#This Row],[Audit Losing Candidate]]-Audit[[#This Row],[Losing Candidate]], "")</f>
        <v/>
      </c>
      <c r="AG666" s="17" t="str">
        <f>IF(NOT(ISBLANK(Audit[[#This Row],[Audit Candidate 3]])), Audit[[#This Row],[Audit Candidate 3]]-Audit[[#This Row],[Candidate 3]], "")</f>
        <v/>
      </c>
      <c r="AH666" s="17" t="str">
        <f>IF(NOT(ISBLANK(Audit[[#This Row],[Audit Candidate 4]])),Audit[[#This Row],[Audit Candidate 4]]-Audit[[#This Row],[Candidate 4]], "")</f>
        <v/>
      </c>
      <c r="AI666" s="17" t="str">
        <f>IF(NOT(ISBLANK(Audit[[#This Row],[Audit Candidate 5]])), Audit[[#This Row],[Audit Candidate 5]]-Audit[[#This Row],[Candidate 5]], "")</f>
        <v/>
      </c>
      <c r="AJ666" s="17" t="str">
        <f>IF(NOT(ISBLANK(Audit[[#This Row],[Audit Candidate 6]])), Audit[[#This Row],[Audit Candidate 6]]-Audit[[#This Row],[Candidate 6]], "")</f>
        <v/>
      </c>
      <c r="AK666" s="17" t="str">
        <f>IF(NOT(ISBLANK(Audit[[#This Row],[Audit Candidate 7]])), Audit[[#This Row],[Audit Candidate 7]]-Audit[[#This Row],[Candidate 7]], "")</f>
        <v/>
      </c>
      <c r="AL666" s="17" t="str">
        <f>IF(NOT(ISBLANK(Audit[[#This Row],[Audit Candidate 8]])), Audit[[#This Row],[Audit Candidate 8]]-Audit[[#This Row],[Candidate 8]], "")</f>
        <v/>
      </c>
      <c r="AM666" s="17" t="str">
        <f>IF(NOT(ISBLANK(Audit[[#This Row],[Audit Candidate 9]])), Audit[[#This Row],[Audit Candidate 9]]-Audit[[#This Row],[Candidate 9]], "")</f>
        <v/>
      </c>
      <c r="AN666" s="17" t="str">
        <f>IF(NOT(ISBLANK(Audit[[#This Row],[Audit Candidate 10]])), Audit[[#This Row],[Audit Candidate 10]]-Audit[[#This Row],[Candidate 10]], "")</f>
        <v/>
      </c>
      <c r="AO666" s="17" t="str">
        <f>IF(NOT(ISBLANK(Audit[[#This Row],[Audit Candidate 11]])), Audit[[#This Row],[Audit Candidate 11]]-Audit[[#This Row],[Candidate 11]], "")</f>
        <v/>
      </c>
      <c r="AP666" s="17" t="str">
        <f>IF(NOT(ISBLANK(Audit[[#This Row],[Audit Candidate 12]])), Audit[[#This Row],[Audit Candidate 12]]-Audit[[#This Row],[Candidate 12]], "")</f>
        <v/>
      </c>
      <c r="AQ666" s="17">
        <f>SUMIF(Audit[[#This Row],[Difference Winner]:[Difference Candidate 12]], "&gt;0")</f>
        <v>0</v>
      </c>
      <c r="AR666" s="17">
        <f>SUM(Audit[[#This Row],[Difference Winner]:[Difference Candidate 12]])</f>
        <v>0</v>
      </c>
      <c r="AS666" s="17">
        <f>IF(Audit[[#This Row],[Times p Drawn - With Replacement]]&gt;0, IF(Audit[[#This Row],[Canceled Differences]]&lt;0, Audit[[#This Row],[Max Differences]]+ABS(Audit[[#This Row],[Canceled Differences]]), Audit[[#This Row],[Max Differences]]), 0)</f>
        <v>0</v>
      </c>
      <c r="AT666" s="17">
        <f>'Sampling Data'!AB666</f>
        <v>3.8151417416397895E-2</v>
      </c>
      <c r="AU666" s="17">
        <f>IF(
      SUM(Audit[[#This Row],[Audit Losing Candidate]:[Audit Candidate 12]])
      &lt;&gt;0,
      (Audit[[#This Row],[Winning Candidate]]-Audit[[#This Row],[Losing Candidate]]-(Audit[[#This Row],[Audit Winning Candidate]]-Audit[[#This Row],[Audit Losing Candidate]]))/(Audit[[#Totals],[Winning Candidate]]-Audit[[#Totals],[Losing Candidate]]),
      0
)</f>
        <v>0</v>
      </c>
      <c r="AV6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6" s="17">
        <f>IF(Audit[[#This Row],[Max Relative Error (ep)]] = 0, 0, Audit[[#This Row],[Max Relative Error (ep)]]/Audit[[#This Row],[Error Bound (up) - Max. possible relative overstatement]])</f>
        <v>0</v>
      </c>
      <c r="BH6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66" s="17">
        <f t="shared" si="11"/>
        <v>1</v>
      </c>
      <c r="BJ666" s="17">
        <f>PRODUCT($BI$5:BI666)</f>
        <v>0.26695880153480334</v>
      </c>
      <c r="BK666" s="19">
        <f>1 - Audit[[#This Row],[K-M P Value]]</f>
        <v>0.73304119846519666</v>
      </c>
      <c r="BL666" s="17" t="str">
        <f>IF(Audit[[#This Row],[K-M P Value]]&gt;1-'General Info'!$B$12,"Continue", "Stop")</f>
        <v>Continue</v>
      </c>
      <c r="BM666" s="22" t="b">
        <f>IF(Audit[[#This Row],[Status - Continue or stop audit]] = "Continue", TRUE, IF(BL665 = "Continue", TRUE, FALSE))</f>
        <v>1</v>
      </c>
      <c r="BN666" s="22"/>
    </row>
    <row r="667" spans="1:66" ht="15" hidden="1" customHeight="1" x14ac:dyDescent="0.35">
      <c r="A667" s="17" t="str">
        <f>'Sampling Data'!AI667</f>
        <v/>
      </c>
      <c r="B667" s="17" t="str">
        <f>'Sampling Data'!A667</f>
        <v>1502 CIN 15-B   (ED)</v>
      </c>
      <c r="C667" s="17">
        <f>'Sampling Data'!B667</f>
        <v>347</v>
      </c>
      <c r="D667" s="17">
        <f>'Sampling Data'!C667</f>
        <v>71</v>
      </c>
      <c r="E667" s="18">
        <f>'Sampling Data'!D667</f>
        <v>0</v>
      </c>
      <c r="F667" s="18">
        <f>'Sampling Data'!E667</f>
        <v>0</v>
      </c>
      <c r="G667" s="18">
        <f>'Sampling Data'!F667</f>
        <v>0</v>
      </c>
      <c r="H667" s="18">
        <f>'Sampling Data'!G667</f>
        <v>0</v>
      </c>
      <c r="I667" s="18">
        <f>'Sampling Data'!H667</f>
        <v>0</v>
      </c>
      <c r="J667" s="18">
        <f>'Sampling Data'!I667</f>
        <v>0</v>
      </c>
      <c r="K667" s="18">
        <f>'Sampling Data'!J667</f>
        <v>0</v>
      </c>
      <c r="L667" s="18">
        <f>'Sampling Data'!K667</f>
        <v>0</v>
      </c>
      <c r="M667" s="18">
        <f>'Sampling Data'!L667</f>
        <v>0</v>
      </c>
      <c r="N667" s="18">
        <f>'Sampling Data'!M667</f>
        <v>0</v>
      </c>
      <c r="O667" s="17">
        <f>'Sampling Data'!N667</f>
        <v>1</v>
      </c>
      <c r="P667" s="17">
        <f>'Sampling Data'!O667</f>
        <v>24</v>
      </c>
      <c r="Q667" s="17">
        <f>'Sampling Data'!P667</f>
        <v>443</v>
      </c>
      <c r="R667" s="17">
        <f>'Sampling Data'!AJ667</f>
        <v>0</v>
      </c>
      <c r="S667" s="111"/>
      <c r="T667" s="111"/>
      <c r="U667" s="112"/>
      <c r="V667" s="112"/>
      <c r="W667" s="111"/>
      <c r="X667" s="111"/>
      <c r="Y667" s="111"/>
      <c r="Z667" s="111"/>
      <c r="AA667" s="14"/>
      <c r="AB667" s="14"/>
      <c r="AC667" s="14"/>
      <c r="AD667" s="14"/>
      <c r="AE667" s="113" t="str">
        <f>IF(NOT(ISBLANK(Audit[[#This Row],[Audit Winning Candidate]])), Audit[[#This Row],[Audit Winning Candidate]]-Audit[[#This Row],[Winning Candidate]], "")</f>
        <v/>
      </c>
      <c r="AF667" s="17" t="str">
        <f>IF(NOT(ISBLANK(Audit[[#This Row],[Audit Losing Candidate]])), Audit[[#This Row],[Audit Losing Candidate]]-Audit[[#This Row],[Losing Candidate]], "")</f>
        <v/>
      </c>
      <c r="AG667" s="17" t="str">
        <f>IF(NOT(ISBLANK(Audit[[#This Row],[Audit Candidate 3]])), Audit[[#This Row],[Audit Candidate 3]]-Audit[[#This Row],[Candidate 3]], "")</f>
        <v/>
      </c>
      <c r="AH667" s="17" t="str">
        <f>IF(NOT(ISBLANK(Audit[[#This Row],[Audit Candidate 4]])),Audit[[#This Row],[Audit Candidate 4]]-Audit[[#This Row],[Candidate 4]], "")</f>
        <v/>
      </c>
      <c r="AI667" s="17" t="str">
        <f>IF(NOT(ISBLANK(Audit[[#This Row],[Audit Candidate 5]])), Audit[[#This Row],[Audit Candidate 5]]-Audit[[#This Row],[Candidate 5]], "")</f>
        <v/>
      </c>
      <c r="AJ667" s="17" t="str">
        <f>IF(NOT(ISBLANK(Audit[[#This Row],[Audit Candidate 6]])), Audit[[#This Row],[Audit Candidate 6]]-Audit[[#This Row],[Candidate 6]], "")</f>
        <v/>
      </c>
      <c r="AK667" s="17" t="str">
        <f>IF(NOT(ISBLANK(Audit[[#This Row],[Audit Candidate 7]])), Audit[[#This Row],[Audit Candidate 7]]-Audit[[#This Row],[Candidate 7]], "")</f>
        <v/>
      </c>
      <c r="AL667" s="17" t="str">
        <f>IF(NOT(ISBLANK(Audit[[#This Row],[Audit Candidate 8]])), Audit[[#This Row],[Audit Candidate 8]]-Audit[[#This Row],[Candidate 8]], "")</f>
        <v/>
      </c>
      <c r="AM667" s="17" t="str">
        <f>IF(NOT(ISBLANK(Audit[[#This Row],[Audit Candidate 9]])), Audit[[#This Row],[Audit Candidate 9]]-Audit[[#This Row],[Candidate 9]], "")</f>
        <v/>
      </c>
      <c r="AN667" s="17" t="str">
        <f>IF(NOT(ISBLANK(Audit[[#This Row],[Audit Candidate 10]])), Audit[[#This Row],[Audit Candidate 10]]-Audit[[#This Row],[Candidate 10]], "")</f>
        <v/>
      </c>
      <c r="AO667" s="17" t="str">
        <f>IF(NOT(ISBLANK(Audit[[#This Row],[Audit Candidate 11]])), Audit[[#This Row],[Audit Candidate 11]]-Audit[[#This Row],[Candidate 11]], "")</f>
        <v/>
      </c>
      <c r="AP667" s="17" t="str">
        <f>IF(NOT(ISBLANK(Audit[[#This Row],[Audit Candidate 12]])), Audit[[#This Row],[Audit Candidate 12]]-Audit[[#This Row],[Candidate 12]], "")</f>
        <v/>
      </c>
      <c r="AQ667" s="17">
        <f>SUMIF(Audit[[#This Row],[Difference Winner]:[Difference Candidate 12]], "&gt;0")</f>
        <v>0</v>
      </c>
      <c r="AR667" s="17">
        <f>SUM(Audit[[#This Row],[Difference Winner]:[Difference Candidate 12]])</f>
        <v>0</v>
      </c>
      <c r="AS667" s="17">
        <f>IF(Audit[[#This Row],[Times p Drawn - With Replacement]]&gt;0, IF(Audit[[#This Row],[Canceled Differences]]&lt;0, Audit[[#This Row],[Max Differences]]+ABS(Audit[[#This Row],[Canceled Differences]]), Audit[[#This Row],[Max Differences]]), 0)</f>
        <v>0</v>
      </c>
      <c r="AT667" s="17">
        <f>'Sampling Data'!AB667</f>
        <v>3.0512646409777626E-2</v>
      </c>
      <c r="AU667" s="17">
        <f>IF(
      SUM(Audit[[#This Row],[Audit Losing Candidate]:[Audit Candidate 12]])
      &lt;&gt;0,
      (Audit[[#This Row],[Winning Candidate]]-Audit[[#This Row],[Losing Candidate]]-(Audit[[#This Row],[Audit Winning Candidate]]-Audit[[#This Row],[Audit Losing Candidate]]))/(Audit[[#Totals],[Winning Candidate]]-Audit[[#Totals],[Losing Candidate]]),
      0
)</f>
        <v>0</v>
      </c>
      <c r="AV6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7" s="17">
        <f>IF(Audit[[#This Row],[Max Relative Error (ep)]] = 0, 0, Audit[[#This Row],[Max Relative Error (ep)]]/Audit[[#This Row],[Error Bound (up) - Max. possible relative overstatement]])</f>
        <v>0</v>
      </c>
      <c r="BH6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67" s="17">
        <f t="shared" si="11"/>
        <v>1</v>
      </c>
      <c r="BJ667" s="17">
        <f>PRODUCT($BI$5:BI667)</f>
        <v>0.26695880153480334</v>
      </c>
      <c r="BK667" s="19">
        <f>1 - Audit[[#This Row],[K-M P Value]]</f>
        <v>0.73304119846519666</v>
      </c>
      <c r="BL667" s="17" t="str">
        <f>IF(Audit[[#This Row],[K-M P Value]]&gt;1-'General Info'!$B$12,"Continue", "Stop")</f>
        <v>Continue</v>
      </c>
      <c r="BM667" s="22" t="b">
        <f>IF(Audit[[#This Row],[Status - Continue or stop audit]] = "Continue", TRUE, IF(BL666 = "Continue", TRUE, FALSE))</f>
        <v>1</v>
      </c>
      <c r="BN667" s="22"/>
    </row>
    <row r="668" spans="1:66" ht="15" hidden="1" customHeight="1" x14ac:dyDescent="0.35">
      <c r="A668" s="17" t="str">
        <f>'Sampling Data'!AI668</f>
        <v/>
      </c>
      <c r="B668" s="17" t="str">
        <f>'Sampling Data'!A668</f>
        <v>1503 CIN 15-C   (ED)</v>
      </c>
      <c r="C668" s="17">
        <f>'Sampling Data'!B668</f>
        <v>211</v>
      </c>
      <c r="D668" s="17">
        <f>'Sampling Data'!C668</f>
        <v>31</v>
      </c>
      <c r="E668" s="18">
        <f>'Sampling Data'!D668</f>
        <v>0</v>
      </c>
      <c r="F668" s="18">
        <f>'Sampling Data'!E668</f>
        <v>0</v>
      </c>
      <c r="G668" s="18">
        <f>'Sampling Data'!F668</f>
        <v>0</v>
      </c>
      <c r="H668" s="18">
        <f>'Sampling Data'!G668</f>
        <v>0</v>
      </c>
      <c r="I668" s="18">
        <f>'Sampling Data'!H668</f>
        <v>0</v>
      </c>
      <c r="J668" s="18">
        <f>'Sampling Data'!I668</f>
        <v>0</v>
      </c>
      <c r="K668" s="18">
        <f>'Sampling Data'!J668</f>
        <v>0</v>
      </c>
      <c r="L668" s="18">
        <f>'Sampling Data'!K668</f>
        <v>0</v>
      </c>
      <c r="M668" s="18">
        <f>'Sampling Data'!L668</f>
        <v>0</v>
      </c>
      <c r="N668" s="18">
        <f>'Sampling Data'!M668</f>
        <v>0</v>
      </c>
      <c r="O668" s="17">
        <f>'Sampling Data'!N668</f>
        <v>0</v>
      </c>
      <c r="P668" s="17">
        <f>'Sampling Data'!O668</f>
        <v>23</v>
      </c>
      <c r="Q668" s="17">
        <f>'Sampling Data'!P668</f>
        <v>265</v>
      </c>
      <c r="R668" s="17">
        <f>'Sampling Data'!AJ668</f>
        <v>0</v>
      </c>
      <c r="S668" s="111"/>
      <c r="T668" s="111"/>
      <c r="U668" s="112"/>
      <c r="V668" s="112"/>
      <c r="W668" s="111"/>
      <c r="X668" s="111"/>
      <c r="Y668" s="111"/>
      <c r="Z668" s="111"/>
      <c r="AA668" s="14"/>
      <c r="AB668" s="14"/>
      <c r="AC668" s="14"/>
      <c r="AD668" s="14"/>
      <c r="AE668" s="113" t="str">
        <f>IF(NOT(ISBLANK(Audit[[#This Row],[Audit Winning Candidate]])), Audit[[#This Row],[Audit Winning Candidate]]-Audit[[#This Row],[Winning Candidate]], "")</f>
        <v/>
      </c>
      <c r="AF668" s="17" t="str">
        <f>IF(NOT(ISBLANK(Audit[[#This Row],[Audit Losing Candidate]])), Audit[[#This Row],[Audit Losing Candidate]]-Audit[[#This Row],[Losing Candidate]], "")</f>
        <v/>
      </c>
      <c r="AG668" s="17" t="str">
        <f>IF(NOT(ISBLANK(Audit[[#This Row],[Audit Candidate 3]])), Audit[[#This Row],[Audit Candidate 3]]-Audit[[#This Row],[Candidate 3]], "")</f>
        <v/>
      </c>
      <c r="AH668" s="17" t="str">
        <f>IF(NOT(ISBLANK(Audit[[#This Row],[Audit Candidate 4]])),Audit[[#This Row],[Audit Candidate 4]]-Audit[[#This Row],[Candidate 4]], "")</f>
        <v/>
      </c>
      <c r="AI668" s="17" t="str">
        <f>IF(NOT(ISBLANK(Audit[[#This Row],[Audit Candidate 5]])), Audit[[#This Row],[Audit Candidate 5]]-Audit[[#This Row],[Candidate 5]], "")</f>
        <v/>
      </c>
      <c r="AJ668" s="17" t="str">
        <f>IF(NOT(ISBLANK(Audit[[#This Row],[Audit Candidate 6]])), Audit[[#This Row],[Audit Candidate 6]]-Audit[[#This Row],[Candidate 6]], "")</f>
        <v/>
      </c>
      <c r="AK668" s="17" t="str">
        <f>IF(NOT(ISBLANK(Audit[[#This Row],[Audit Candidate 7]])), Audit[[#This Row],[Audit Candidate 7]]-Audit[[#This Row],[Candidate 7]], "")</f>
        <v/>
      </c>
      <c r="AL668" s="17" t="str">
        <f>IF(NOT(ISBLANK(Audit[[#This Row],[Audit Candidate 8]])), Audit[[#This Row],[Audit Candidate 8]]-Audit[[#This Row],[Candidate 8]], "")</f>
        <v/>
      </c>
      <c r="AM668" s="17" t="str">
        <f>IF(NOT(ISBLANK(Audit[[#This Row],[Audit Candidate 9]])), Audit[[#This Row],[Audit Candidate 9]]-Audit[[#This Row],[Candidate 9]], "")</f>
        <v/>
      </c>
      <c r="AN668" s="17" t="str">
        <f>IF(NOT(ISBLANK(Audit[[#This Row],[Audit Candidate 10]])), Audit[[#This Row],[Audit Candidate 10]]-Audit[[#This Row],[Candidate 10]], "")</f>
        <v/>
      </c>
      <c r="AO668" s="17" t="str">
        <f>IF(NOT(ISBLANK(Audit[[#This Row],[Audit Candidate 11]])), Audit[[#This Row],[Audit Candidate 11]]-Audit[[#This Row],[Candidate 11]], "")</f>
        <v/>
      </c>
      <c r="AP668" s="17" t="str">
        <f>IF(NOT(ISBLANK(Audit[[#This Row],[Audit Candidate 12]])), Audit[[#This Row],[Audit Candidate 12]]-Audit[[#This Row],[Candidate 12]], "")</f>
        <v/>
      </c>
      <c r="AQ668" s="17">
        <f>SUMIF(Audit[[#This Row],[Difference Winner]:[Difference Candidate 12]], "&gt;0")</f>
        <v>0</v>
      </c>
      <c r="AR668" s="17">
        <f>SUM(Audit[[#This Row],[Difference Winner]:[Difference Candidate 12]])</f>
        <v>0</v>
      </c>
      <c r="AS668" s="17">
        <f>IF(Audit[[#This Row],[Times p Drawn - With Replacement]]&gt;0, IF(Audit[[#This Row],[Canceled Differences]]&lt;0, Audit[[#This Row],[Max Differences]]+ABS(Audit[[#This Row],[Canceled Differences]]), Audit[[#This Row],[Max Differences]]), 0)</f>
        <v>0</v>
      </c>
      <c r="AT668" s="17">
        <f>'Sampling Data'!AB668</f>
        <v>1.888473943303344E-2</v>
      </c>
      <c r="AU668" s="17">
        <f>IF(
      SUM(Audit[[#This Row],[Audit Losing Candidate]:[Audit Candidate 12]])
      &lt;&gt;0,
      (Audit[[#This Row],[Winning Candidate]]-Audit[[#This Row],[Losing Candidate]]-(Audit[[#This Row],[Audit Winning Candidate]]-Audit[[#This Row],[Audit Losing Candidate]]))/(Audit[[#Totals],[Winning Candidate]]-Audit[[#Totals],[Losing Candidate]]),
      0
)</f>
        <v>0</v>
      </c>
      <c r="AV6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8" s="17">
        <f>IF(Audit[[#This Row],[Max Relative Error (ep)]] = 0, 0, Audit[[#This Row],[Max Relative Error (ep)]]/Audit[[#This Row],[Error Bound (up) - Max. possible relative overstatement]])</f>
        <v>0</v>
      </c>
      <c r="BH6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68" s="17">
        <f t="shared" si="11"/>
        <v>1</v>
      </c>
      <c r="BJ668" s="17">
        <f>PRODUCT($BI$5:BI668)</f>
        <v>0.26695880153480334</v>
      </c>
      <c r="BK668" s="19">
        <f>1 - Audit[[#This Row],[K-M P Value]]</f>
        <v>0.73304119846519666</v>
      </c>
      <c r="BL668" s="17" t="str">
        <f>IF(Audit[[#This Row],[K-M P Value]]&gt;1-'General Info'!$B$12,"Continue", "Stop")</f>
        <v>Continue</v>
      </c>
      <c r="BM668" s="22" t="b">
        <f>IF(Audit[[#This Row],[Status - Continue or stop audit]] = "Continue", TRUE, IF(BL667 = "Continue", TRUE, FALSE))</f>
        <v>1</v>
      </c>
      <c r="BN668" s="22"/>
    </row>
    <row r="669" spans="1:66" ht="15" hidden="1" customHeight="1" x14ac:dyDescent="0.35">
      <c r="A669" s="17" t="str">
        <f>'Sampling Data'!AI669</f>
        <v/>
      </c>
      <c r="B669" s="17" t="str">
        <f>'Sampling Data'!A669</f>
        <v>1504 CIN 15-D   (ED)</v>
      </c>
      <c r="C669" s="17">
        <f>'Sampling Data'!B669</f>
        <v>176</v>
      </c>
      <c r="D669" s="17">
        <f>'Sampling Data'!C669</f>
        <v>19</v>
      </c>
      <c r="E669" s="18">
        <f>'Sampling Data'!D669</f>
        <v>0</v>
      </c>
      <c r="F669" s="18">
        <f>'Sampling Data'!E669</f>
        <v>0</v>
      </c>
      <c r="G669" s="18">
        <f>'Sampling Data'!F669</f>
        <v>0</v>
      </c>
      <c r="H669" s="18">
        <f>'Sampling Data'!G669</f>
        <v>0</v>
      </c>
      <c r="I669" s="18">
        <f>'Sampling Data'!H669</f>
        <v>0</v>
      </c>
      <c r="J669" s="18">
        <f>'Sampling Data'!I669</f>
        <v>0</v>
      </c>
      <c r="K669" s="18">
        <f>'Sampling Data'!J669</f>
        <v>0</v>
      </c>
      <c r="L669" s="18">
        <f>'Sampling Data'!K669</f>
        <v>0</v>
      </c>
      <c r="M669" s="18">
        <f>'Sampling Data'!L669</f>
        <v>0</v>
      </c>
      <c r="N669" s="18">
        <f>'Sampling Data'!M669</f>
        <v>0</v>
      </c>
      <c r="O669" s="17">
        <f>'Sampling Data'!N669</f>
        <v>0</v>
      </c>
      <c r="P669" s="17">
        <f>'Sampling Data'!O669</f>
        <v>17</v>
      </c>
      <c r="Q669" s="17">
        <f>'Sampling Data'!P669</f>
        <v>212</v>
      </c>
      <c r="R669" s="17">
        <f>'Sampling Data'!AJ669</f>
        <v>0</v>
      </c>
      <c r="S669" s="111"/>
      <c r="T669" s="111"/>
      <c r="U669" s="112"/>
      <c r="V669" s="112"/>
      <c r="W669" s="111"/>
      <c r="X669" s="111"/>
      <c r="Y669" s="111"/>
      <c r="Z669" s="111"/>
      <c r="AA669" s="14"/>
      <c r="AB669" s="14"/>
      <c r="AC669" s="14"/>
      <c r="AD669" s="14"/>
      <c r="AE669" s="113" t="str">
        <f>IF(NOT(ISBLANK(Audit[[#This Row],[Audit Winning Candidate]])), Audit[[#This Row],[Audit Winning Candidate]]-Audit[[#This Row],[Winning Candidate]], "")</f>
        <v/>
      </c>
      <c r="AF669" s="17" t="str">
        <f>IF(NOT(ISBLANK(Audit[[#This Row],[Audit Losing Candidate]])), Audit[[#This Row],[Audit Losing Candidate]]-Audit[[#This Row],[Losing Candidate]], "")</f>
        <v/>
      </c>
      <c r="AG669" s="17" t="str">
        <f>IF(NOT(ISBLANK(Audit[[#This Row],[Audit Candidate 3]])), Audit[[#This Row],[Audit Candidate 3]]-Audit[[#This Row],[Candidate 3]], "")</f>
        <v/>
      </c>
      <c r="AH669" s="17" t="str">
        <f>IF(NOT(ISBLANK(Audit[[#This Row],[Audit Candidate 4]])),Audit[[#This Row],[Audit Candidate 4]]-Audit[[#This Row],[Candidate 4]], "")</f>
        <v/>
      </c>
      <c r="AI669" s="17" t="str">
        <f>IF(NOT(ISBLANK(Audit[[#This Row],[Audit Candidate 5]])), Audit[[#This Row],[Audit Candidate 5]]-Audit[[#This Row],[Candidate 5]], "")</f>
        <v/>
      </c>
      <c r="AJ669" s="17" t="str">
        <f>IF(NOT(ISBLANK(Audit[[#This Row],[Audit Candidate 6]])), Audit[[#This Row],[Audit Candidate 6]]-Audit[[#This Row],[Candidate 6]], "")</f>
        <v/>
      </c>
      <c r="AK669" s="17" t="str">
        <f>IF(NOT(ISBLANK(Audit[[#This Row],[Audit Candidate 7]])), Audit[[#This Row],[Audit Candidate 7]]-Audit[[#This Row],[Candidate 7]], "")</f>
        <v/>
      </c>
      <c r="AL669" s="17" t="str">
        <f>IF(NOT(ISBLANK(Audit[[#This Row],[Audit Candidate 8]])), Audit[[#This Row],[Audit Candidate 8]]-Audit[[#This Row],[Candidate 8]], "")</f>
        <v/>
      </c>
      <c r="AM669" s="17" t="str">
        <f>IF(NOT(ISBLANK(Audit[[#This Row],[Audit Candidate 9]])), Audit[[#This Row],[Audit Candidate 9]]-Audit[[#This Row],[Candidate 9]], "")</f>
        <v/>
      </c>
      <c r="AN669" s="17" t="str">
        <f>IF(NOT(ISBLANK(Audit[[#This Row],[Audit Candidate 10]])), Audit[[#This Row],[Audit Candidate 10]]-Audit[[#This Row],[Candidate 10]], "")</f>
        <v/>
      </c>
      <c r="AO669" s="17" t="str">
        <f>IF(NOT(ISBLANK(Audit[[#This Row],[Audit Candidate 11]])), Audit[[#This Row],[Audit Candidate 11]]-Audit[[#This Row],[Candidate 11]], "")</f>
        <v/>
      </c>
      <c r="AP669" s="17" t="str">
        <f>IF(NOT(ISBLANK(Audit[[#This Row],[Audit Candidate 12]])), Audit[[#This Row],[Audit Candidate 12]]-Audit[[#This Row],[Candidate 12]], "")</f>
        <v/>
      </c>
      <c r="AQ669" s="17">
        <f>SUMIF(Audit[[#This Row],[Difference Winner]:[Difference Candidate 12]], "&gt;0")</f>
        <v>0</v>
      </c>
      <c r="AR669" s="17">
        <f>SUM(Audit[[#This Row],[Difference Winner]:[Difference Candidate 12]])</f>
        <v>0</v>
      </c>
      <c r="AS669" s="17">
        <f>IF(Audit[[#This Row],[Times p Drawn - With Replacement]]&gt;0, IF(Audit[[#This Row],[Canceled Differences]]&lt;0, Audit[[#This Row],[Max Differences]]+ABS(Audit[[#This Row],[Canceled Differences]]), Audit[[#This Row],[Max Differences]]), 0)</f>
        <v>0</v>
      </c>
      <c r="AT669" s="17">
        <f>'Sampling Data'!AB669</f>
        <v>1.565948056357155E-2</v>
      </c>
      <c r="AU669" s="17">
        <f>IF(
      SUM(Audit[[#This Row],[Audit Losing Candidate]:[Audit Candidate 12]])
      &lt;&gt;0,
      (Audit[[#This Row],[Winning Candidate]]-Audit[[#This Row],[Losing Candidate]]-(Audit[[#This Row],[Audit Winning Candidate]]-Audit[[#This Row],[Audit Losing Candidate]]))/(Audit[[#Totals],[Winning Candidate]]-Audit[[#Totals],[Losing Candidate]]),
      0
)</f>
        <v>0</v>
      </c>
      <c r="AV6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9" s="17">
        <f>IF(Audit[[#This Row],[Max Relative Error (ep)]] = 0, 0, Audit[[#This Row],[Max Relative Error (ep)]]/Audit[[#This Row],[Error Bound (up) - Max. possible relative overstatement]])</f>
        <v>0</v>
      </c>
      <c r="BH6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69" s="17">
        <f t="shared" si="11"/>
        <v>1</v>
      </c>
      <c r="BJ669" s="17">
        <f>PRODUCT($BI$5:BI669)</f>
        <v>0.26695880153480334</v>
      </c>
      <c r="BK669" s="19">
        <f>1 - Audit[[#This Row],[K-M P Value]]</f>
        <v>0.73304119846519666</v>
      </c>
      <c r="BL669" s="17" t="str">
        <f>IF(Audit[[#This Row],[K-M P Value]]&gt;1-'General Info'!$B$12,"Continue", "Stop")</f>
        <v>Continue</v>
      </c>
      <c r="BM669" s="22" t="b">
        <f>IF(Audit[[#This Row],[Status - Continue or stop audit]] = "Continue", TRUE, IF(BL668 = "Continue", TRUE, FALSE))</f>
        <v>1</v>
      </c>
      <c r="BN669" s="22"/>
    </row>
    <row r="670" spans="1:66" ht="15" hidden="1" customHeight="1" x14ac:dyDescent="0.35">
      <c r="A670" s="17" t="str">
        <f>'Sampling Data'!AI670</f>
        <v/>
      </c>
      <c r="B670" s="17" t="str">
        <f>'Sampling Data'!A670</f>
        <v>1505 CIN 15-E   (ED)</v>
      </c>
      <c r="C670" s="17">
        <f>'Sampling Data'!B670</f>
        <v>344</v>
      </c>
      <c r="D670" s="17">
        <f>'Sampling Data'!C670</f>
        <v>54</v>
      </c>
      <c r="E670" s="18">
        <f>'Sampling Data'!D670</f>
        <v>0</v>
      </c>
      <c r="F670" s="18">
        <f>'Sampling Data'!E670</f>
        <v>0</v>
      </c>
      <c r="G670" s="18">
        <f>'Sampling Data'!F670</f>
        <v>0</v>
      </c>
      <c r="H670" s="18">
        <f>'Sampling Data'!G670</f>
        <v>0</v>
      </c>
      <c r="I670" s="18">
        <f>'Sampling Data'!H670</f>
        <v>0</v>
      </c>
      <c r="J670" s="18">
        <f>'Sampling Data'!I670</f>
        <v>0</v>
      </c>
      <c r="K670" s="18">
        <f>'Sampling Data'!J670</f>
        <v>0</v>
      </c>
      <c r="L670" s="18">
        <f>'Sampling Data'!K670</f>
        <v>0</v>
      </c>
      <c r="M670" s="18">
        <f>'Sampling Data'!L670</f>
        <v>0</v>
      </c>
      <c r="N670" s="18">
        <f>'Sampling Data'!M670</f>
        <v>0</v>
      </c>
      <c r="O670" s="17">
        <f>'Sampling Data'!N670</f>
        <v>0</v>
      </c>
      <c r="P670" s="17">
        <f>'Sampling Data'!O670</f>
        <v>35</v>
      </c>
      <c r="Q670" s="17">
        <f>'Sampling Data'!P670</f>
        <v>433</v>
      </c>
      <c r="R670" s="17">
        <f>'Sampling Data'!AJ670</f>
        <v>0</v>
      </c>
      <c r="S670" s="111"/>
      <c r="T670" s="111"/>
      <c r="U670" s="112"/>
      <c r="V670" s="112"/>
      <c r="W670" s="111"/>
      <c r="X670" s="111"/>
      <c r="Y670" s="111"/>
      <c r="Z670" s="111"/>
      <c r="AA670" s="14"/>
      <c r="AB670" s="14"/>
      <c r="AC670" s="14"/>
      <c r="AD670" s="14"/>
      <c r="AE670" s="113" t="str">
        <f>IF(NOT(ISBLANK(Audit[[#This Row],[Audit Winning Candidate]])), Audit[[#This Row],[Audit Winning Candidate]]-Audit[[#This Row],[Winning Candidate]], "")</f>
        <v/>
      </c>
      <c r="AF670" s="17" t="str">
        <f>IF(NOT(ISBLANK(Audit[[#This Row],[Audit Losing Candidate]])), Audit[[#This Row],[Audit Losing Candidate]]-Audit[[#This Row],[Losing Candidate]], "")</f>
        <v/>
      </c>
      <c r="AG670" s="17" t="str">
        <f>IF(NOT(ISBLANK(Audit[[#This Row],[Audit Candidate 3]])), Audit[[#This Row],[Audit Candidate 3]]-Audit[[#This Row],[Candidate 3]], "")</f>
        <v/>
      </c>
      <c r="AH670" s="17" t="str">
        <f>IF(NOT(ISBLANK(Audit[[#This Row],[Audit Candidate 4]])),Audit[[#This Row],[Audit Candidate 4]]-Audit[[#This Row],[Candidate 4]], "")</f>
        <v/>
      </c>
      <c r="AI670" s="17" t="str">
        <f>IF(NOT(ISBLANK(Audit[[#This Row],[Audit Candidate 5]])), Audit[[#This Row],[Audit Candidate 5]]-Audit[[#This Row],[Candidate 5]], "")</f>
        <v/>
      </c>
      <c r="AJ670" s="17" t="str">
        <f>IF(NOT(ISBLANK(Audit[[#This Row],[Audit Candidate 6]])), Audit[[#This Row],[Audit Candidate 6]]-Audit[[#This Row],[Candidate 6]], "")</f>
        <v/>
      </c>
      <c r="AK670" s="17" t="str">
        <f>IF(NOT(ISBLANK(Audit[[#This Row],[Audit Candidate 7]])), Audit[[#This Row],[Audit Candidate 7]]-Audit[[#This Row],[Candidate 7]], "")</f>
        <v/>
      </c>
      <c r="AL670" s="17" t="str">
        <f>IF(NOT(ISBLANK(Audit[[#This Row],[Audit Candidate 8]])), Audit[[#This Row],[Audit Candidate 8]]-Audit[[#This Row],[Candidate 8]], "")</f>
        <v/>
      </c>
      <c r="AM670" s="17" t="str">
        <f>IF(NOT(ISBLANK(Audit[[#This Row],[Audit Candidate 9]])), Audit[[#This Row],[Audit Candidate 9]]-Audit[[#This Row],[Candidate 9]], "")</f>
        <v/>
      </c>
      <c r="AN670" s="17" t="str">
        <f>IF(NOT(ISBLANK(Audit[[#This Row],[Audit Candidate 10]])), Audit[[#This Row],[Audit Candidate 10]]-Audit[[#This Row],[Candidate 10]], "")</f>
        <v/>
      </c>
      <c r="AO670" s="17" t="str">
        <f>IF(NOT(ISBLANK(Audit[[#This Row],[Audit Candidate 11]])), Audit[[#This Row],[Audit Candidate 11]]-Audit[[#This Row],[Candidate 11]], "")</f>
        <v/>
      </c>
      <c r="AP670" s="17" t="str">
        <f>IF(NOT(ISBLANK(Audit[[#This Row],[Audit Candidate 12]])), Audit[[#This Row],[Audit Candidate 12]]-Audit[[#This Row],[Candidate 12]], "")</f>
        <v/>
      </c>
      <c r="AQ670" s="17">
        <f>SUMIF(Audit[[#This Row],[Difference Winner]:[Difference Candidate 12]], "&gt;0")</f>
        <v>0</v>
      </c>
      <c r="AR670" s="17">
        <f>SUM(Audit[[#This Row],[Difference Winner]:[Difference Candidate 12]])</f>
        <v>0</v>
      </c>
      <c r="AS670" s="17">
        <f>IF(Audit[[#This Row],[Times p Drawn - With Replacement]]&gt;0, IF(Audit[[#This Row],[Canceled Differences]]&lt;0, Audit[[#This Row],[Max Differences]]+ABS(Audit[[#This Row],[Canceled Differences]]), Audit[[#This Row],[Max Differences]]), 0)</f>
        <v>0</v>
      </c>
      <c r="AT670" s="17">
        <f>'Sampling Data'!AB670</f>
        <v>3.0682396876591411E-2</v>
      </c>
      <c r="AU670" s="17">
        <f>IF(
      SUM(Audit[[#This Row],[Audit Losing Candidate]:[Audit Candidate 12]])
      &lt;&gt;0,
      (Audit[[#This Row],[Winning Candidate]]-Audit[[#This Row],[Losing Candidate]]-(Audit[[#This Row],[Audit Winning Candidate]]-Audit[[#This Row],[Audit Losing Candidate]]))/(Audit[[#Totals],[Winning Candidate]]-Audit[[#Totals],[Losing Candidate]]),
      0
)</f>
        <v>0</v>
      </c>
      <c r="AV6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0" s="17">
        <f>IF(Audit[[#This Row],[Max Relative Error (ep)]] = 0, 0, Audit[[#This Row],[Max Relative Error (ep)]]/Audit[[#This Row],[Error Bound (up) - Max. possible relative overstatement]])</f>
        <v>0</v>
      </c>
      <c r="BH6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70" s="17">
        <f t="shared" si="11"/>
        <v>1</v>
      </c>
      <c r="BJ670" s="17">
        <f>PRODUCT($BI$5:BI670)</f>
        <v>0.26695880153480334</v>
      </c>
      <c r="BK670" s="19">
        <f>1 - Audit[[#This Row],[K-M P Value]]</f>
        <v>0.73304119846519666</v>
      </c>
      <c r="BL670" s="17" t="str">
        <f>IF(Audit[[#This Row],[K-M P Value]]&gt;1-'General Info'!$B$12,"Continue", "Stop")</f>
        <v>Continue</v>
      </c>
      <c r="BM670" s="22" t="b">
        <f>IF(Audit[[#This Row],[Status - Continue or stop audit]] = "Continue", TRUE, IF(BL669 = "Continue", TRUE, FALSE))</f>
        <v>1</v>
      </c>
      <c r="BN670" s="22"/>
    </row>
    <row r="671" spans="1:66" ht="15" hidden="1" customHeight="1" x14ac:dyDescent="0.35">
      <c r="A671" s="17" t="str">
        <f>'Sampling Data'!AI671</f>
        <v/>
      </c>
      <c r="B671" s="17" t="str">
        <f>'Sampling Data'!A671</f>
        <v>1506 CIN 15-F   (ED)</v>
      </c>
      <c r="C671" s="17">
        <f>'Sampling Data'!B671</f>
        <v>196</v>
      </c>
      <c r="D671" s="17">
        <f>'Sampling Data'!C671</f>
        <v>40</v>
      </c>
      <c r="E671" s="18">
        <f>'Sampling Data'!D671</f>
        <v>0</v>
      </c>
      <c r="F671" s="18">
        <f>'Sampling Data'!E671</f>
        <v>0</v>
      </c>
      <c r="G671" s="18">
        <f>'Sampling Data'!F671</f>
        <v>0</v>
      </c>
      <c r="H671" s="18">
        <f>'Sampling Data'!G671</f>
        <v>0</v>
      </c>
      <c r="I671" s="18">
        <f>'Sampling Data'!H671</f>
        <v>0</v>
      </c>
      <c r="J671" s="18">
        <f>'Sampling Data'!I671</f>
        <v>0</v>
      </c>
      <c r="K671" s="18">
        <f>'Sampling Data'!J671</f>
        <v>0</v>
      </c>
      <c r="L671" s="18">
        <f>'Sampling Data'!K671</f>
        <v>0</v>
      </c>
      <c r="M671" s="18">
        <f>'Sampling Data'!L671</f>
        <v>0</v>
      </c>
      <c r="N671" s="18">
        <f>'Sampling Data'!M671</f>
        <v>0</v>
      </c>
      <c r="O671" s="17">
        <f>'Sampling Data'!N671</f>
        <v>0</v>
      </c>
      <c r="P671" s="17">
        <f>'Sampling Data'!O671</f>
        <v>16</v>
      </c>
      <c r="Q671" s="17">
        <f>'Sampling Data'!P671</f>
        <v>252</v>
      </c>
      <c r="R671" s="17">
        <f>'Sampling Data'!AJ671</f>
        <v>0</v>
      </c>
      <c r="S671" s="111"/>
      <c r="T671" s="111"/>
      <c r="U671" s="112"/>
      <c r="V671" s="112"/>
      <c r="W671" s="111"/>
      <c r="X671" s="111"/>
      <c r="Y671" s="111"/>
      <c r="Z671" s="111"/>
      <c r="AA671" s="14"/>
      <c r="AB671" s="14"/>
      <c r="AC671" s="14"/>
      <c r="AD671" s="14"/>
      <c r="AE671" s="113" t="str">
        <f>IF(NOT(ISBLANK(Audit[[#This Row],[Audit Winning Candidate]])), Audit[[#This Row],[Audit Winning Candidate]]-Audit[[#This Row],[Winning Candidate]], "")</f>
        <v/>
      </c>
      <c r="AF671" s="17" t="str">
        <f>IF(NOT(ISBLANK(Audit[[#This Row],[Audit Losing Candidate]])), Audit[[#This Row],[Audit Losing Candidate]]-Audit[[#This Row],[Losing Candidate]], "")</f>
        <v/>
      </c>
      <c r="AG671" s="17" t="str">
        <f>IF(NOT(ISBLANK(Audit[[#This Row],[Audit Candidate 3]])), Audit[[#This Row],[Audit Candidate 3]]-Audit[[#This Row],[Candidate 3]], "")</f>
        <v/>
      </c>
      <c r="AH671" s="17" t="str">
        <f>IF(NOT(ISBLANK(Audit[[#This Row],[Audit Candidate 4]])),Audit[[#This Row],[Audit Candidate 4]]-Audit[[#This Row],[Candidate 4]], "")</f>
        <v/>
      </c>
      <c r="AI671" s="17" t="str">
        <f>IF(NOT(ISBLANK(Audit[[#This Row],[Audit Candidate 5]])), Audit[[#This Row],[Audit Candidate 5]]-Audit[[#This Row],[Candidate 5]], "")</f>
        <v/>
      </c>
      <c r="AJ671" s="17" t="str">
        <f>IF(NOT(ISBLANK(Audit[[#This Row],[Audit Candidate 6]])), Audit[[#This Row],[Audit Candidate 6]]-Audit[[#This Row],[Candidate 6]], "")</f>
        <v/>
      </c>
      <c r="AK671" s="17" t="str">
        <f>IF(NOT(ISBLANK(Audit[[#This Row],[Audit Candidate 7]])), Audit[[#This Row],[Audit Candidate 7]]-Audit[[#This Row],[Candidate 7]], "")</f>
        <v/>
      </c>
      <c r="AL671" s="17" t="str">
        <f>IF(NOT(ISBLANK(Audit[[#This Row],[Audit Candidate 8]])), Audit[[#This Row],[Audit Candidate 8]]-Audit[[#This Row],[Candidate 8]], "")</f>
        <v/>
      </c>
      <c r="AM671" s="17" t="str">
        <f>IF(NOT(ISBLANK(Audit[[#This Row],[Audit Candidate 9]])), Audit[[#This Row],[Audit Candidate 9]]-Audit[[#This Row],[Candidate 9]], "")</f>
        <v/>
      </c>
      <c r="AN671" s="17" t="str">
        <f>IF(NOT(ISBLANK(Audit[[#This Row],[Audit Candidate 10]])), Audit[[#This Row],[Audit Candidate 10]]-Audit[[#This Row],[Candidate 10]], "")</f>
        <v/>
      </c>
      <c r="AO671" s="17" t="str">
        <f>IF(NOT(ISBLANK(Audit[[#This Row],[Audit Candidate 11]])), Audit[[#This Row],[Audit Candidate 11]]-Audit[[#This Row],[Candidate 11]], "")</f>
        <v/>
      </c>
      <c r="AP671" s="17" t="str">
        <f>IF(NOT(ISBLANK(Audit[[#This Row],[Audit Candidate 12]])), Audit[[#This Row],[Audit Candidate 12]]-Audit[[#This Row],[Candidate 12]], "")</f>
        <v/>
      </c>
      <c r="AQ671" s="17">
        <f>SUMIF(Audit[[#This Row],[Difference Winner]:[Difference Candidate 12]], "&gt;0")</f>
        <v>0</v>
      </c>
      <c r="AR671" s="17">
        <f>SUM(Audit[[#This Row],[Difference Winner]:[Difference Candidate 12]])</f>
        <v>0</v>
      </c>
      <c r="AS671" s="17">
        <f>IF(Audit[[#This Row],[Times p Drawn - With Replacement]]&gt;0, IF(Audit[[#This Row],[Canceled Differences]]&lt;0, Audit[[#This Row],[Max Differences]]+ABS(Audit[[#This Row],[Canceled Differences]]), Audit[[#This Row],[Max Differences]]), 0)</f>
        <v>0</v>
      </c>
      <c r="AT671" s="17">
        <f>'Sampling Data'!AB671</f>
        <v>1.7314547615005942E-2</v>
      </c>
      <c r="AU671" s="17">
        <f>IF(
      SUM(Audit[[#This Row],[Audit Losing Candidate]:[Audit Candidate 12]])
      &lt;&gt;0,
      (Audit[[#This Row],[Winning Candidate]]-Audit[[#This Row],[Losing Candidate]]-(Audit[[#This Row],[Audit Winning Candidate]]-Audit[[#This Row],[Audit Losing Candidate]]))/(Audit[[#Totals],[Winning Candidate]]-Audit[[#Totals],[Losing Candidate]]),
      0
)</f>
        <v>0</v>
      </c>
      <c r="AV6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1" s="17">
        <f>IF(Audit[[#This Row],[Max Relative Error (ep)]] = 0, 0, Audit[[#This Row],[Max Relative Error (ep)]]/Audit[[#This Row],[Error Bound (up) - Max. possible relative overstatement]])</f>
        <v>0</v>
      </c>
      <c r="BH6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71" s="17">
        <f t="shared" si="11"/>
        <v>1</v>
      </c>
      <c r="BJ671" s="17">
        <f>PRODUCT($BI$5:BI671)</f>
        <v>0.26695880153480334</v>
      </c>
      <c r="BK671" s="19">
        <f>1 - Audit[[#This Row],[K-M P Value]]</f>
        <v>0.73304119846519666</v>
      </c>
      <c r="BL671" s="17" t="str">
        <f>IF(Audit[[#This Row],[K-M P Value]]&gt;1-'General Info'!$B$12,"Continue", "Stop")</f>
        <v>Continue</v>
      </c>
      <c r="BM671" s="22" t="b">
        <f>IF(Audit[[#This Row],[Status - Continue or stop audit]] = "Continue", TRUE, IF(BL670 = "Continue", TRUE, FALSE))</f>
        <v>1</v>
      </c>
      <c r="BN671" s="22"/>
    </row>
    <row r="672" spans="1:66" ht="15" hidden="1" customHeight="1" x14ac:dyDescent="0.35">
      <c r="A672" s="17" t="str">
        <f>'Sampling Data'!AI672</f>
        <v/>
      </c>
      <c r="B672" s="17" t="str">
        <f>'Sampling Data'!A672</f>
        <v>1507 CIN 15-G   (ED)</v>
      </c>
      <c r="C672" s="17">
        <f>'Sampling Data'!B672</f>
        <v>165</v>
      </c>
      <c r="D672" s="17">
        <f>'Sampling Data'!C672</f>
        <v>44</v>
      </c>
      <c r="E672" s="18">
        <f>'Sampling Data'!D672</f>
        <v>0</v>
      </c>
      <c r="F672" s="18">
        <f>'Sampling Data'!E672</f>
        <v>0</v>
      </c>
      <c r="G672" s="18">
        <f>'Sampling Data'!F672</f>
        <v>0</v>
      </c>
      <c r="H672" s="18">
        <f>'Sampling Data'!G672</f>
        <v>0</v>
      </c>
      <c r="I672" s="18">
        <f>'Sampling Data'!H672</f>
        <v>0</v>
      </c>
      <c r="J672" s="18">
        <f>'Sampling Data'!I672</f>
        <v>0</v>
      </c>
      <c r="K672" s="18">
        <f>'Sampling Data'!J672</f>
        <v>0</v>
      </c>
      <c r="L672" s="18">
        <f>'Sampling Data'!K672</f>
        <v>0</v>
      </c>
      <c r="M672" s="18">
        <f>'Sampling Data'!L672</f>
        <v>0</v>
      </c>
      <c r="N672" s="18">
        <f>'Sampling Data'!M672</f>
        <v>0</v>
      </c>
      <c r="O672" s="17">
        <f>'Sampling Data'!N672</f>
        <v>0</v>
      </c>
      <c r="P672" s="17">
        <f>'Sampling Data'!O672</f>
        <v>10</v>
      </c>
      <c r="Q672" s="17">
        <f>'Sampling Data'!P672</f>
        <v>219</v>
      </c>
      <c r="R672" s="17">
        <f>'Sampling Data'!AJ672</f>
        <v>0</v>
      </c>
      <c r="S672" s="111"/>
      <c r="T672" s="111"/>
      <c r="U672" s="112"/>
      <c r="V672" s="112"/>
      <c r="W672" s="111"/>
      <c r="X672" s="111"/>
      <c r="Y672" s="111"/>
      <c r="Z672" s="111"/>
      <c r="AA672" s="14"/>
      <c r="AB672" s="14"/>
      <c r="AC672" s="14"/>
      <c r="AD672" s="14"/>
      <c r="AE672" s="113" t="str">
        <f>IF(NOT(ISBLANK(Audit[[#This Row],[Audit Winning Candidate]])), Audit[[#This Row],[Audit Winning Candidate]]-Audit[[#This Row],[Winning Candidate]], "")</f>
        <v/>
      </c>
      <c r="AF672" s="17" t="str">
        <f>IF(NOT(ISBLANK(Audit[[#This Row],[Audit Losing Candidate]])), Audit[[#This Row],[Audit Losing Candidate]]-Audit[[#This Row],[Losing Candidate]], "")</f>
        <v/>
      </c>
      <c r="AG672" s="17" t="str">
        <f>IF(NOT(ISBLANK(Audit[[#This Row],[Audit Candidate 3]])), Audit[[#This Row],[Audit Candidate 3]]-Audit[[#This Row],[Candidate 3]], "")</f>
        <v/>
      </c>
      <c r="AH672" s="17" t="str">
        <f>IF(NOT(ISBLANK(Audit[[#This Row],[Audit Candidate 4]])),Audit[[#This Row],[Audit Candidate 4]]-Audit[[#This Row],[Candidate 4]], "")</f>
        <v/>
      </c>
      <c r="AI672" s="17" t="str">
        <f>IF(NOT(ISBLANK(Audit[[#This Row],[Audit Candidate 5]])), Audit[[#This Row],[Audit Candidate 5]]-Audit[[#This Row],[Candidate 5]], "")</f>
        <v/>
      </c>
      <c r="AJ672" s="17" t="str">
        <f>IF(NOT(ISBLANK(Audit[[#This Row],[Audit Candidate 6]])), Audit[[#This Row],[Audit Candidate 6]]-Audit[[#This Row],[Candidate 6]], "")</f>
        <v/>
      </c>
      <c r="AK672" s="17" t="str">
        <f>IF(NOT(ISBLANK(Audit[[#This Row],[Audit Candidate 7]])), Audit[[#This Row],[Audit Candidate 7]]-Audit[[#This Row],[Candidate 7]], "")</f>
        <v/>
      </c>
      <c r="AL672" s="17" t="str">
        <f>IF(NOT(ISBLANK(Audit[[#This Row],[Audit Candidate 8]])), Audit[[#This Row],[Audit Candidate 8]]-Audit[[#This Row],[Candidate 8]], "")</f>
        <v/>
      </c>
      <c r="AM672" s="17" t="str">
        <f>IF(NOT(ISBLANK(Audit[[#This Row],[Audit Candidate 9]])), Audit[[#This Row],[Audit Candidate 9]]-Audit[[#This Row],[Candidate 9]], "")</f>
        <v/>
      </c>
      <c r="AN672" s="17" t="str">
        <f>IF(NOT(ISBLANK(Audit[[#This Row],[Audit Candidate 10]])), Audit[[#This Row],[Audit Candidate 10]]-Audit[[#This Row],[Candidate 10]], "")</f>
        <v/>
      </c>
      <c r="AO672" s="17" t="str">
        <f>IF(NOT(ISBLANK(Audit[[#This Row],[Audit Candidate 11]])), Audit[[#This Row],[Audit Candidate 11]]-Audit[[#This Row],[Candidate 11]], "")</f>
        <v/>
      </c>
      <c r="AP672" s="17" t="str">
        <f>IF(NOT(ISBLANK(Audit[[#This Row],[Audit Candidate 12]])), Audit[[#This Row],[Audit Candidate 12]]-Audit[[#This Row],[Candidate 12]], "")</f>
        <v/>
      </c>
      <c r="AQ672" s="17">
        <f>SUMIF(Audit[[#This Row],[Difference Winner]:[Difference Candidate 12]], "&gt;0")</f>
        <v>0</v>
      </c>
      <c r="AR672" s="17">
        <f>SUM(Audit[[#This Row],[Difference Winner]:[Difference Candidate 12]])</f>
        <v>0</v>
      </c>
      <c r="AS672" s="17">
        <f>IF(Audit[[#This Row],[Times p Drawn - With Replacement]]&gt;0, IF(Audit[[#This Row],[Canceled Differences]]&lt;0, Audit[[#This Row],[Max Differences]]+ABS(Audit[[#This Row],[Canceled Differences]]), Audit[[#This Row],[Max Differences]]), 0)</f>
        <v>0</v>
      </c>
      <c r="AT672" s="17">
        <f>'Sampling Data'!AB672</f>
        <v>1.4428789679171617E-2</v>
      </c>
      <c r="AU672" s="17">
        <f>IF(
      SUM(Audit[[#This Row],[Audit Losing Candidate]:[Audit Candidate 12]])
      &lt;&gt;0,
      (Audit[[#This Row],[Winning Candidate]]-Audit[[#This Row],[Losing Candidate]]-(Audit[[#This Row],[Audit Winning Candidate]]-Audit[[#This Row],[Audit Losing Candidate]]))/(Audit[[#Totals],[Winning Candidate]]-Audit[[#Totals],[Losing Candidate]]),
      0
)</f>
        <v>0</v>
      </c>
      <c r="AV6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2" s="17">
        <f>IF(Audit[[#This Row],[Max Relative Error (ep)]] = 0, 0, Audit[[#This Row],[Max Relative Error (ep)]]/Audit[[#This Row],[Error Bound (up) - Max. possible relative overstatement]])</f>
        <v>0</v>
      </c>
      <c r="BH6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72" s="17">
        <f t="shared" si="11"/>
        <v>1</v>
      </c>
      <c r="BJ672" s="17">
        <f>PRODUCT($BI$5:BI672)</f>
        <v>0.26695880153480334</v>
      </c>
      <c r="BK672" s="19">
        <f>1 - Audit[[#This Row],[K-M P Value]]</f>
        <v>0.73304119846519666</v>
      </c>
      <c r="BL672" s="17" t="str">
        <f>IF(Audit[[#This Row],[K-M P Value]]&gt;1-'General Info'!$B$12,"Continue", "Stop")</f>
        <v>Continue</v>
      </c>
      <c r="BM672" s="22" t="b">
        <f>IF(Audit[[#This Row],[Status - Continue or stop audit]] = "Continue", TRUE, IF(BL671 = "Continue", TRUE, FALSE))</f>
        <v>1</v>
      </c>
      <c r="BN672" s="22"/>
    </row>
    <row r="673" spans="1:66" ht="15" customHeight="1" x14ac:dyDescent="0.35">
      <c r="A673" s="17">
        <f>'Sampling Data'!AI673</f>
        <v>36</v>
      </c>
      <c r="B673" s="17" t="str">
        <f>'Sampling Data'!A673</f>
        <v>1508 CIN 15-H   (ED)</v>
      </c>
      <c r="C673" s="17">
        <f>'Sampling Data'!B673</f>
        <v>306</v>
      </c>
      <c r="D673" s="17">
        <f>'Sampling Data'!C673</f>
        <v>113</v>
      </c>
      <c r="E673" s="18">
        <f>'Sampling Data'!D673</f>
        <v>0</v>
      </c>
      <c r="F673" s="18">
        <f>'Sampling Data'!E673</f>
        <v>0</v>
      </c>
      <c r="G673" s="18">
        <f>'Sampling Data'!F673</f>
        <v>0</v>
      </c>
      <c r="H673" s="18">
        <f>'Sampling Data'!G673</f>
        <v>0</v>
      </c>
      <c r="I673" s="18">
        <f>'Sampling Data'!H673</f>
        <v>0</v>
      </c>
      <c r="J673" s="18">
        <f>'Sampling Data'!I673</f>
        <v>0</v>
      </c>
      <c r="K673" s="18">
        <f>'Sampling Data'!J673</f>
        <v>0</v>
      </c>
      <c r="L673" s="18">
        <f>'Sampling Data'!K673</f>
        <v>0</v>
      </c>
      <c r="M673" s="18">
        <f>'Sampling Data'!L673</f>
        <v>0</v>
      </c>
      <c r="N673" s="18">
        <f>'Sampling Data'!M673</f>
        <v>0</v>
      </c>
      <c r="O673" s="17">
        <f>'Sampling Data'!N673</f>
        <v>1</v>
      </c>
      <c r="P673" s="17">
        <f>'Sampling Data'!O673</f>
        <v>20</v>
      </c>
      <c r="Q673" s="17">
        <f>'Sampling Data'!P673</f>
        <v>440</v>
      </c>
      <c r="R673" s="17">
        <f>'Sampling Data'!AJ673</f>
        <v>1</v>
      </c>
      <c r="S673" s="111">
        <v>306</v>
      </c>
      <c r="T673" s="111">
        <v>113</v>
      </c>
      <c r="U673" s="112"/>
      <c r="V673" s="112"/>
      <c r="W673" s="111"/>
      <c r="X673" s="111"/>
      <c r="Y673" s="111"/>
      <c r="Z673" s="111"/>
      <c r="AA673" s="14"/>
      <c r="AB673" s="14"/>
      <c r="AC673" s="14"/>
      <c r="AD673" s="14"/>
      <c r="AE673" s="113">
        <f>IF(NOT(ISBLANK(Audit[[#This Row],[Audit Winning Candidate]])), Audit[[#This Row],[Audit Winning Candidate]]-Audit[[#This Row],[Winning Candidate]], "")</f>
        <v>0</v>
      </c>
      <c r="AF673" s="17">
        <f>IF(NOT(ISBLANK(Audit[[#This Row],[Audit Losing Candidate]])), Audit[[#This Row],[Audit Losing Candidate]]-Audit[[#This Row],[Losing Candidate]], "")</f>
        <v>0</v>
      </c>
      <c r="AG673" s="17" t="str">
        <f>IF(NOT(ISBLANK(Audit[[#This Row],[Audit Candidate 3]])), Audit[[#This Row],[Audit Candidate 3]]-Audit[[#This Row],[Candidate 3]], "")</f>
        <v/>
      </c>
      <c r="AH673" s="17" t="str">
        <f>IF(NOT(ISBLANK(Audit[[#This Row],[Audit Candidate 4]])),Audit[[#This Row],[Audit Candidate 4]]-Audit[[#This Row],[Candidate 4]], "")</f>
        <v/>
      </c>
      <c r="AI673" s="17" t="str">
        <f>IF(NOT(ISBLANK(Audit[[#This Row],[Audit Candidate 5]])), Audit[[#This Row],[Audit Candidate 5]]-Audit[[#This Row],[Candidate 5]], "")</f>
        <v/>
      </c>
      <c r="AJ673" s="17" t="str">
        <f>IF(NOT(ISBLANK(Audit[[#This Row],[Audit Candidate 6]])), Audit[[#This Row],[Audit Candidate 6]]-Audit[[#This Row],[Candidate 6]], "")</f>
        <v/>
      </c>
      <c r="AK673" s="17" t="str">
        <f>IF(NOT(ISBLANK(Audit[[#This Row],[Audit Candidate 7]])), Audit[[#This Row],[Audit Candidate 7]]-Audit[[#This Row],[Candidate 7]], "")</f>
        <v/>
      </c>
      <c r="AL673" s="17" t="str">
        <f>IF(NOT(ISBLANK(Audit[[#This Row],[Audit Candidate 8]])), Audit[[#This Row],[Audit Candidate 8]]-Audit[[#This Row],[Candidate 8]], "")</f>
        <v/>
      </c>
      <c r="AM673" s="17" t="str">
        <f>IF(NOT(ISBLANK(Audit[[#This Row],[Audit Candidate 9]])), Audit[[#This Row],[Audit Candidate 9]]-Audit[[#This Row],[Candidate 9]], "")</f>
        <v/>
      </c>
      <c r="AN673" s="17" t="str">
        <f>IF(NOT(ISBLANK(Audit[[#This Row],[Audit Candidate 10]])), Audit[[#This Row],[Audit Candidate 10]]-Audit[[#This Row],[Candidate 10]], "")</f>
        <v/>
      </c>
      <c r="AO673" s="17" t="str">
        <f>IF(NOT(ISBLANK(Audit[[#This Row],[Audit Candidate 11]])), Audit[[#This Row],[Audit Candidate 11]]-Audit[[#This Row],[Candidate 11]], "")</f>
        <v/>
      </c>
      <c r="AP673" s="17" t="str">
        <f>IF(NOT(ISBLANK(Audit[[#This Row],[Audit Candidate 12]])), Audit[[#This Row],[Audit Candidate 12]]-Audit[[#This Row],[Candidate 12]], "")</f>
        <v/>
      </c>
      <c r="AQ673" s="17">
        <f>SUMIF(Audit[[#This Row],[Difference Winner]:[Difference Candidate 12]], "&gt;0")</f>
        <v>0</v>
      </c>
      <c r="AR673" s="17">
        <f>SUM(Audit[[#This Row],[Difference Winner]:[Difference Candidate 12]])</f>
        <v>0</v>
      </c>
      <c r="AS673" s="17">
        <f>IF(Audit[[#This Row],[Times p Drawn - With Replacement]]&gt;0, IF(Audit[[#This Row],[Canceled Differences]]&lt;0, Audit[[#This Row],[Max Differences]]+ABS(Audit[[#This Row],[Canceled Differences]]), Audit[[#This Row],[Max Differences]]), 0)</f>
        <v>0</v>
      </c>
      <c r="AT673" s="17">
        <f>'Sampling Data'!AB673</f>
        <v>2.6863011373281277E-2</v>
      </c>
      <c r="AU673" s="17">
        <f>IF(
      SUM(Audit[[#This Row],[Audit Losing Candidate]:[Audit Candidate 12]])
      &lt;&gt;0,
      (Audit[[#This Row],[Winning Candidate]]-Audit[[#This Row],[Losing Candidate]]-(Audit[[#This Row],[Audit Winning Candidate]]-Audit[[#This Row],[Audit Losing Candidate]]))/(Audit[[#Totals],[Winning Candidate]]-Audit[[#Totals],[Losing Candidate]]),
      0
)</f>
        <v>0</v>
      </c>
      <c r="AV6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3" s="17">
        <f>IF(Audit[[#This Row],[Max Relative Error (ep)]] = 0, 0, Audit[[#This Row],[Max Relative Error (ep)]]/Audit[[#This Row],[Error Bound (up) - Max. possible relative overstatement]])</f>
        <v>0</v>
      </c>
      <c r="BH6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73" s="17">
        <f t="shared" si="11"/>
        <v>0.94645908314247273</v>
      </c>
      <c r="BJ673" s="17">
        <f>PRODUCT($BI$5:BI673)</f>
        <v>0.25266558253744331</v>
      </c>
      <c r="BK673" s="19">
        <f>1 - Audit[[#This Row],[K-M P Value]]</f>
        <v>0.74733441746255669</v>
      </c>
      <c r="BL673" s="17" t="str">
        <f>IF(Audit[[#This Row],[K-M P Value]]&gt;1-'General Info'!$B$12,"Continue", "Stop")</f>
        <v>Continue</v>
      </c>
      <c r="BM673" s="22" t="b">
        <f>IF(Audit[[#This Row],[Status - Continue or stop audit]] = "Continue", TRUE, IF(BL672 = "Continue", TRUE, FALSE))</f>
        <v>1</v>
      </c>
      <c r="BN673" s="22"/>
    </row>
    <row r="674" spans="1:66" ht="15" hidden="1" customHeight="1" x14ac:dyDescent="0.35">
      <c r="A674" s="17" t="str">
        <f>'Sampling Data'!AI674</f>
        <v/>
      </c>
      <c r="B674" s="17" t="str">
        <f>'Sampling Data'!A674</f>
        <v>1509 CIN 15-I   (ED)</v>
      </c>
      <c r="C674" s="17">
        <f>'Sampling Data'!B674</f>
        <v>203</v>
      </c>
      <c r="D674" s="17">
        <f>'Sampling Data'!C674</f>
        <v>52</v>
      </c>
      <c r="E674" s="18">
        <f>'Sampling Data'!D674</f>
        <v>0</v>
      </c>
      <c r="F674" s="18">
        <f>'Sampling Data'!E674</f>
        <v>0</v>
      </c>
      <c r="G674" s="18">
        <f>'Sampling Data'!F674</f>
        <v>0</v>
      </c>
      <c r="H674" s="18">
        <f>'Sampling Data'!G674</f>
        <v>0</v>
      </c>
      <c r="I674" s="18">
        <f>'Sampling Data'!H674</f>
        <v>0</v>
      </c>
      <c r="J674" s="18">
        <f>'Sampling Data'!I674</f>
        <v>0</v>
      </c>
      <c r="K674" s="18">
        <f>'Sampling Data'!J674</f>
        <v>0</v>
      </c>
      <c r="L674" s="18">
        <f>'Sampling Data'!K674</f>
        <v>0</v>
      </c>
      <c r="M674" s="18">
        <f>'Sampling Data'!L674</f>
        <v>0</v>
      </c>
      <c r="N674" s="18">
        <f>'Sampling Data'!M674</f>
        <v>0</v>
      </c>
      <c r="O674" s="17">
        <f>'Sampling Data'!N674</f>
        <v>2</v>
      </c>
      <c r="P674" s="17">
        <f>'Sampling Data'!O674</f>
        <v>17</v>
      </c>
      <c r="Q674" s="17">
        <f>'Sampling Data'!P674</f>
        <v>274</v>
      </c>
      <c r="R674" s="17">
        <f>'Sampling Data'!AJ674</f>
        <v>0</v>
      </c>
      <c r="S674" s="111"/>
      <c r="T674" s="111"/>
      <c r="U674" s="112"/>
      <c r="V674" s="112"/>
      <c r="W674" s="111"/>
      <c r="X674" s="111"/>
      <c r="Y674" s="111"/>
      <c r="Z674" s="111"/>
      <c r="AA674" s="14"/>
      <c r="AB674" s="14"/>
      <c r="AC674" s="14"/>
      <c r="AD674" s="14"/>
      <c r="AE674" s="113" t="str">
        <f>IF(NOT(ISBLANK(Audit[[#This Row],[Audit Winning Candidate]])), Audit[[#This Row],[Audit Winning Candidate]]-Audit[[#This Row],[Winning Candidate]], "")</f>
        <v/>
      </c>
      <c r="AF674" s="17" t="str">
        <f>IF(NOT(ISBLANK(Audit[[#This Row],[Audit Losing Candidate]])), Audit[[#This Row],[Audit Losing Candidate]]-Audit[[#This Row],[Losing Candidate]], "")</f>
        <v/>
      </c>
      <c r="AG674" s="17" t="str">
        <f>IF(NOT(ISBLANK(Audit[[#This Row],[Audit Candidate 3]])), Audit[[#This Row],[Audit Candidate 3]]-Audit[[#This Row],[Candidate 3]], "")</f>
        <v/>
      </c>
      <c r="AH674" s="17" t="str">
        <f>IF(NOT(ISBLANK(Audit[[#This Row],[Audit Candidate 4]])),Audit[[#This Row],[Audit Candidate 4]]-Audit[[#This Row],[Candidate 4]], "")</f>
        <v/>
      </c>
      <c r="AI674" s="17" t="str">
        <f>IF(NOT(ISBLANK(Audit[[#This Row],[Audit Candidate 5]])), Audit[[#This Row],[Audit Candidate 5]]-Audit[[#This Row],[Candidate 5]], "")</f>
        <v/>
      </c>
      <c r="AJ674" s="17" t="str">
        <f>IF(NOT(ISBLANK(Audit[[#This Row],[Audit Candidate 6]])), Audit[[#This Row],[Audit Candidate 6]]-Audit[[#This Row],[Candidate 6]], "")</f>
        <v/>
      </c>
      <c r="AK674" s="17" t="str">
        <f>IF(NOT(ISBLANK(Audit[[#This Row],[Audit Candidate 7]])), Audit[[#This Row],[Audit Candidate 7]]-Audit[[#This Row],[Candidate 7]], "")</f>
        <v/>
      </c>
      <c r="AL674" s="17" t="str">
        <f>IF(NOT(ISBLANK(Audit[[#This Row],[Audit Candidate 8]])), Audit[[#This Row],[Audit Candidate 8]]-Audit[[#This Row],[Candidate 8]], "")</f>
        <v/>
      </c>
      <c r="AM674" s="17" t="str">
        <f>IF(NOT(ISBLANK(Audit[[#This Row],[Audit Candidate 9]])), Audit[[#This Row],[Audit Candidate 9]]-Audit[[#This Row],[Candidate 9]], "")</f>
        <v/>
      </c>
      <c r="AN674" s="17" t="str">
        <f>IF(NOT(ISBLANK(Audit[[#This Row],[Audit Candidate 10]])), Audit[[#This Row],[Audit Candidate 10]]-Audit[[#This Row],[Candidate 10]], "")</f>
        <v/>
      </c>
      <c r="AO674" s="17" t="str">
        <f>IF(NOT(ISBLANK(Audit[[#This Row],[Audit Candidate 11]])), Audit[[#This Row],[Audit Candidate 11]]-Audit[[#This Row],[Candidate 11]], "")</f>
        <v/>
      </c>
      <c r="AP674" s="17" t="str">
        <f>IF(NOT(ISBLANK(Audit[[#This Row],[Audit Candidate 12]])), Audit[[#This Row],[Audit Candidate 12]]-Audit[[#This Row],[Candidate 12]], "")</f>
        <v/>
      </c>
      <c r="AQ674" s="17">
        <f>SUMIF(Audit[[#This Row],[Difference Winner]:[Difference Candidate 12]], "&gt;0")</f>
        <v>0</v>
      </c>
      <c r="AR674" s="17">
        <f>SUM(Audit[[#This Row],[Difference Winner]:[Difference Candidate 12]])</f>
        <v>0</v>
      </c>
      <c r="AS674" s="17">
        <f>IF(Audit[[#This Row],[Times p Drawn - With Replacement]]&gt;0, IF(Audit[[#This Row],[Canceled Differences]]&lt;0, Audit[[#This Row],[Max Differences]]+ABS(Audit[[#This Row],[Canceled Differences]]), Audit[[#This Row],[Max Differences]]), 0)</f>
        <v>0</v>
      </c>
      <c r="AT674" s="17">
        <f>'Sampling Data'!AB674</f>
        <v>1.803598709896452E-2</v>
      </c>
      <c r="AU674" s="17">
        <f>IF(
      SUM(Audit[[#This Row],[Audit Losing Candidate]:[Audit Candidate 12]])
      &lt;&gt;0,
      (Audit[[#This Row],[Winning Candidate]]-Audit[[#This Row],[Losing Candidate]]-(Audit[[#This Row],[Audit Winning Candidate]]-Audit[[#This Row],[Audit Losing Candidate]]))/(Audit[[#Totals],[Winning Candidate]]-Audit[[#Totals],[Losing Candidate]]),
      0
)</f>
        <v>0</v>
      </c>
      <c r="AV6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4" s="17">
        <f>IF(Audit[[#This Row],[Max Relative Error (ep)]] = 0, 0, Audit[[#This Row],[Max Relative Error (ep)]]/Audit[[#This Row],[Error Bound (up) - Max. possible relative overstatement]])</f>
        <v>0</v>
      </c>
      <c r="BH6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74" s="17">
        <f t="shared" si="11"/>
        <v>1</v>
      </c>
      <c r="BJ674" s="17">
        <f>PRODUCT($BI$5:BI674)</f>
        <v>0.25266558253744331</v>
      </c>
      <c r="BK674" s="19">
        <f>1 - Audit[[#This Row],[K-M P Value]]</f>
        <v>0.74733441746255669</v>
      </c>
      <c r="BL674" s="17" t="str">
        <f>IF(Audit[[#This Row],[K-M P Value]]&gt;1-'General Info'!$B$12,"Continue", "Stop")</f>
        <v>Continue</v>
      </c>
      <c r="BM674" s="22" t="b">
        <f>IF(Audit[[#This Row],[Status - Continue or stop audit]] = "Continue", TRUE, IF(BL673 = "Continue", TRUE, FALSE))</f>
        <v>1</v>
      </c>
      <c r="BN674" s="22"/>
    </row>
    <row r="675" spans="1:66" ht="15" hidden="1" customHeight="1" x14ac:dyDescent="0.35">
      <c r="A675" s="17" t="str">
        <f>'Sampling Data'!AI675</f>
        <v/>
      </c>
      <c r="B675" s="17" t="str">
        <f>'Sampling Data'!A675</f>
        <v>1510 CIN 15-J   (ED)</v>
      </c>
      <c r="C675" s="17">
        <f>'Sampling Data'!B675</f>
        <v>171</v>
      </c>
      <c r="D675" s="17">
        <f>'Sampling Data'!C675</f>
        <v>18</v>
      </c>
      <c r="E675" s="18">
        <f>'Sampling Data'!D675</f>
        <v>0</v>
      </c>
      <c r="F675" s="18">
        <f>'Sampling Data'!E675</f>
        <v>0</v>
      </c>
      <c r="G675" s="18">
        <f>'Sampling Data'!F675</f>
        <v>0</v>
      </c>
      <c r="H675" s="18">
        <f>'Sampling Data'!G675</f>
        <v>0</v>
      </c>
      <c r="I675" s="18">
        <f>'Sampling Data'!H675</f>
        <v>0</v>
      </c>
      <c r="J675" s="18">
        <f>'Sampling Data'!I675</f>
        <v>0</v>
      </c>
      <c r="K675" s="18">
        <f>'Sampling Data'!J675</f>
        <v>0</v>
      </c>
      <c r="L675" s="18">
        <f>'Sampling Data'!K675</f>
        <v>0</v>
      </c>
      <c r="M675" s="18">
        <f>'Sampling Data'!L675</f>
        <v>0</v>
      </c>
      <c r="N675" s="18">
        <f>'Sampling Data'!M675</f>
        <v>0</v>
      </c>
      <c r="O675" s="17">
        <f>'Sampling Data'!N675</f>
        <v>0</v>
      </c>
      <c r="P675" s="17">
        <f>'Sampling Data'!O675</f>
        <v>22</v>
      </c>
      <c r="Q675" s="17">
        <f>'Sampling Data'!P675</f>
        <v>211</v>
      </c>
      <c r="R675" s="17">
        <f>'Sampling Data'!AJ675</f>
        <v>0</v>
      </c>
      <c r="S675" s="111"/>
      <c r="T675" s="111"/>
      <c r="U675" s="112"/>
      <c r="V675" s="112"/>
      <c r="W675" s="111"/>
      <c r="X675" s="111"/>
      <c r="Y675" s="111"/>
      <c r="Z675" s="111"/>
      <c r="AA675" s="14"/>
      <c r="AB675" s="14"/>
      <c r="AC675" s="14"/>
      <c r="AD675" s="14"/>
      <c r="AE675" s="113" t="str">
        <f>IF(NOT(ISBLANK(Audit[[#This Row],[Audit Winning Candidate]])), Audit[[#This Row],[Audit Winning Candidate]]-Audit[[#This Row],[Winning Candidate]], "")</f>
        <v/>
      </c>
      <c r="AF675" s="17" t="str">
        <f>IF(NOT(ISBLANK(Audit[[#This Row],[Audit Losing Candidate]])), Audit[[#This Row],[Audit Losing Candidate]]-Audit[[#This Row],[Losing Candidate]], "")</f>
        <v/>
      </c>
      <c r="AG675" s="17" t="str">
        <f>IF(NOT(ISBLANK(Audit[[#This Row],[Audit Candidate 3]])), Audit[[#This Row],[Audit Candidate 3]]-Audit[[#This Row],[Candidate 3]], "")</f>
        <v/>
      </c>
      <c r="AH675" s="17" t="str">
        <f>IF(NOT(ISBLANK(Audit[[#This Row],[Audit Candidate 4]])),Audit[[#This Row],[Audit Candidate 4]]-Audit[[#This Row],[Candidate 4]], "")</f>
        <v/>
      </c>
      <c r="AI675" s="17" t="str">
        <f>IF(NOT(ISBLANK(Audit[[#This Row],[Audit Candidate 5]])), Audit[[#This Row],[Audit Candidate 5]]-Audit[[#This Row],[Candidate 5]], "")</f>
        <v/>
      </c>
      <c r="AJ675" s="17" t="str">
        <f>IF(NOT(ISBLANK(Audit[[#This Row],[Audit Candidate 6]])), Audit[[#This Row],[Audit Candidate 6]]-Audit[[#This Row],[Candidate 6]], "")</f>
        <v/>
      </c>
      <c r="AK675" s="17" t="str">
        <f>IF(NOT(ISBLANK(Audit[[#This Row],[Audit Candidate 7]])), Audit[[#This Row],[Audit Candidate 7]]-Audit[[#This Row],[Candidate 7]], "")</f>
        <v/>
      </c>
      <c r="AL675" s="17" t="str">
        <f>IF(NOT(ISBLANK(Audit[[#This Row],[Audit Candidate 8]])), Audit[[#This Row],[Audit Candidate 8]]-Audit[[#This Row],[Candidate 8]], "")</f>
        <v/>
      </c>
      <c r="AM675" s="17" t="str">
        <f>IF(NOT(ISBLANK(Audit[[#This Row],[Audit Candidate 9]])), Audit[[#This Row],[Audit Candidate 9]]-Audit[[#This Row],[Candidate 9]], "")</f>
        <v/>
      </c>
      <c r="AN675" s="17" t="str">
        <f>IF(NOT(ISBLANK(Audit[[#This Row],[Audit Candidate 10]])), Audit[[#This Row],[Audit Candidate 10]]-Audit[[#This Row],[Candidate 10]], "")</f>
        <v/>
      </c>
      <c r="AO675" s="17" t="str">
        <f>IF(NOT(ISBLANK(Audit[[#This Row],[Audit Candidate 11]])), Audit[[#This Row],[Audit Candidate 11]]-Audit[[#This Row],[Candidate 11]], "")</f>
        <v/>
      </c>
      <c r="AP675" s="17" t="str">
        <f>IF(NOT(ISBLANK(Audit[[#This Row],[Audit Candidate 12]])), Audit[[#This Row],[Audit Candidate 12]]-Audit[[#This Row],[Candidate 12]], "")</f>
        <v/>
      </c>
      <c r="AQ675" s="17">
        <f>SUMIF(Audit[[#This Row],[Difference Winner]:[Difference Candidate 12]], "&gt;0")</f>
        <v>0</v>
      </c>
      <c r="AR675" s="17">
        <f>SUM(Audit[[#This Row],[Difference Winner]:[Difference Candidate 12]])</f>
        <v>0</v>
      </c>
      <c r="AS675" s="17">
        <f>IF(Audit[[#This Row],[Times p Drawn - With Replacement]]&gt;0, IF(Audit[[#This Row],[Canceled Differences]]&lt;0, Audit[[#This Row],[Max Differences]]+ABS(Audit[[#This Row],[Canceled Differences]]), Audit[[#This Row],[Max Differences]]), 0)</f>
        <v>0</v>
      </c>
      <c r="AT675" s="17">
        <f>'Sampling Data'!AB675</f>
        <v>1.5447292480054321E-2</v>
      </c>
      <c r="AU675" s="17">
        <f>IF(
      SUM(Audit[[#This Row],[Audit Losing Candidate]:[Audit Candidate 12]])
      &lt;&gt;0,
      (Audit[[#This Row],[Winning Candidate]]-Audit[[#This Row],[Losing Candidate]]-(Audit[[#This Row],[Audit Winning Candidate]]-Audit[[#This Row],[Audit Losing Candidate]]))/(Audit[[#Totals],[Winning Candidate]]-Audit[[#Totals],[Losing Candidate]]),
      0
)</f>
        <v>0</v>
      </c>
      <c r="AV6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5" s="17">
        <f>IF(Audit[[#This Row],[Max Relative Error (ep)]] = 0, 0, Audit[[#This Row],[Max Relative Error (ep)]]/Audit[[#This Row],[Error Bound (up) - Max. possible relative overstatement]])</f>
        <v>0</v>
      </c>
      <c r="BH6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75" s="17">
        <f t="shared" si="11"/>
        <v>1</v>
      </c>
      <c r="BJ675" s="17">
        <f>PRODUCT($BI$5:BI675)</f>
        <v>0.25266558253744331</v>
      </c>
      <c r="BK675" s="19">
        <f>1 - Audit[[#This Row],[K-M P Value]]</f>
        <v>0.74733441746255669</v>
      </c>
      <c r="BL675" s="17" t="str">
        <f>IF(Audit[[#This Row],[K-M P Value]]&gt;1-'General Info'!$B$12,"Continue", "Stop")</f>
        <v>Continue</v>
      </c>
      <c r="BM675" s="22" t="b">
        <f>IF(Audit[[#This Row],[Status - Continue or stop audit]] = "Continue", TRUE, IF(BL674 = "Continue", TRUE, FALSE))</f>
        <v>1</v>
      </c>
      <c r="BN675" s="22"/>
    </row>
    <row r="676" spans="1:66" ht="15" hidden="1" customHeight="1" x14ac:dyDescent="0.35">
      <c r="A676" s="17" t="str">
        <f>'Sampling Data'!AI676</f>
        <v/>
      </c>
      <c r="B676" s="17" t="str">
        <f>'Sampling Data'!A676</f>
        <v>1601 CIN 16-A   (ED)</v>
      </c>
      <c r="C676" s="17">
        <f>'Sampling Data'!B676</f>
        <v>215</v>
      </c>
      <c r="D676" s="17">
        <f>'Sampling Data'!C676</f>
        <v>64</v>
      </c>
      <c r="E676" s="18">
        <f>'Sampling Data'!D676</f>
        <v>0</v>
      </c>
      <c r="F676" s="18">
        <f>'Sampling Data'!E676</f>
        <v>0</v>
      </c>
      <c r="G676" s="18">
        <f>'Sampling Data'!F676</f>
        <v>0</v>
      </c>
      <c r="H676" s="18">
        <f>'Sampling Data'!G676</f>
        <v>0</v>
      </c>
      <c r="I676" s="18">
        <f>'Sampling Data'!H676</f>
        <v>0</v>
      </c>
      <c r="J676" s="18">
        <f>'Sampling Data'!I676</f>
        <v>0</v>
      </c>
      <c r="K676" s="18">
        <f>'Sampling Data'!J676</f>
        <v>0</v>
      </c>
      <c r="L676" s="18">
        <f>'Sampling Data'!K676</f>
        <v>0</v>
      </c>
      <c r="M676" s="18">
        <f>'Sampling Data'!L676</f>
        <v>0</v>
      </c>
      <c r="N676" s="18">
        <f>'Sampling Data'!M676</f>
        <v>0</v>
      </c>
      <c r="O676" s="17">
        <f>'Sampling Data'!N676</f>
        <v>1</v>
      </c>
      <c r="P676" s="17">
        <f>'Sampling Data'!O676</f>
        <v>22</v>
      </c>
      <c r="Q676" s="17">
        <f>'Sampling Data'!P676</f>
        <v>302</v>
      </c>
      <c r="R676" s="17">
        <f>'Sampling Data'!AJ676</f>
        <v>0</v>
      </c>
      <c r="S676" s="111"/>
      <c r="T676" s="111"/>
      <c r="U676" s="112"/>
      <c r="V676" s="112"/>
      <c r="W676" s="111"/>
      <c r="X676" s="111"/>
      <c r="Y676" s="111"/>
      <c r="Z676" s="111"/>
      <c r="AA676" s="14"/>
      <c r="AB676" s="14"/>
      <c r="AC676" s="14"/>
      <c r="AD676" s="14"/>
      <c r="AE676" s="113" t="str">
        <f>IF(NOT(ISBLANK(Audit[[#This Row],[Audit Winning Candidate]])), Audit[[#This Row],[Audit Winning Candidate]]-Audit[[#This Row],[Winning Candidate]], "")</f>
        <v/>
      </c>
      <c r="AF676" s="17" t="str">
        <f>IF(NOT(ISBLANK(Audit[[#This Row],[Audit Losing Candidate]])), Audit[[#This Row],[Audit Losing Candidate]]-Audit[[#This Row],[Losing Candidate]], "")</f>
        <v/>
      </c>
      <c r="AG676" s="17" t="str">
        <f>IF(NOT(ISBLANK(Audit[[#This Row],[Audit Candidate 3]])), Audit[[#This Row],[Audit Candidate 3]]-Audit[[#This Row],[Candidate 3]], "")</f>
        <v/>
      </c>
      <c r="AH676" s="17" t="str">
        <f>IF(NOT(ISBLANK(Audit[[#This Row],[Audit Candidate 4]])),Audit[[#This Row],[Audit Candidate 4]]-Audit[[#This Row],[Candidate 4]], "")</f>
        <v/>
      </c>
      <c r="AI676" s="17" t="str">
        <f>IF(NOT(ISBLANK(Audit[[#This Row],[Audit Candidate 5]])), Audit[[#This Row],[Audit Candidate 5]]-Audit[[#This Row],[Candidate 5]], "")</f>
        <v/>
      </c>
      <c r="AJ676" s="17" t="str">
        <f>IF(NOT(ISBLANK(Audit[[#This Row],[Audit Candidate 6]])), Audit[[#This Row],[Audit Candidate 6]]-Audit[[#This Row],[Candidate 6]], "")</f>
        <v/>
      </c>
      <c r="AK676" s="17" t="str">
        <f>IF(NOT(ISBLANK(Audit[[#This Row],[Audit Candidate 7]])), Audit[[#This Row],[Audit Candidate 7]]-Audit[[#This Row],[Candidate 7]], "")</f>
        <v/>
      </c>
      <c r="AL676" s="17" t="str">
        <f>IF(NOT(ISBLANK(Audit[[#This Row],[Audit Candidate 8]])), Audit[[#This Row],[Audit Candidate 8]]-Audit[[#This Row],[Candidate 8]], "")</f>
        <v/>
      </c>
      <c r="AM676" s="17" t="str">
        <f>IF(NOT(ISBLANK(Audit[[#This Row],[Audit Candidate 9]])), Audit[[#This Row],[Audit Candidate 9]]-Audit[[#This Row],[Candidate 9]], "")</f>
        <v/>
      </c>
      <c r="AN676" s="17" t="str">
        <f>IF(NOT(ISBLANK(Audit[[#This Row],[Audit Candidate 10]])), Audit[[#This Row],[Audit Candidate 10]]-Audit[[#This Row],[Candidate 10]], "")</f>
        <v/>
      </c>
      <c r="AO676" s="17" t="str">
        <f>IF(NOT(ISBLANK(Audit[[#This Row],[Audit Candidate 11]])), Audit[[#This Row],[Audit Candidate 11]]-Audit[[#This Row],[Candidate 11]], "")</f>
        <v/>
      </c>
      <c r="AP676" s="17" t="str">
        <f>IF(NOT(ISBLANK(Audit[[#This Row],[Audit Candidate 12]])), Audit[[#This Row],[Audit Candidate 12]]-Audit[[#This Row],[Candidate 12]], "")</f>
        <v/>
      </c>
      <c r="AQ676" s="17">
        <f>SUMIF(Audit[[#This Row],[Difference Winner]:[Difference Candidate 12]], "&gt;0")</f>
        <v>0</v>
      </c>
      <c r="AR676" s="17">
        <f>SUM(Audit[[#This Row],[Difference Winner]:[Difference Candidate 12]])</f>
        <v>0</v>
      </c>
      <c r="AS676" s="17">
        <f>IF(Audit[[#This Row],[Times p Drawn - With Replacement]]&gt;0, IF(Audit[[#This Row],[Canceled Differences]]&lt;0, Audit[[#This Row],[Max Differences]]+ABS(Audit[[#This Row],[Canceled Differences]]), Audit[[#This Row],[Max Differences]]), 0)</f>
        <v>0</v>
      </c>
      <c r="AT676" s="17">
        <f>'Sampling Data'!AB676</f>
        <v>1.9224240366661007E-2</v>
      </c>
      <c r="AU676" s="17">
        <f>IF(
      SUM(Audit[[#This Row],[Audit Losing Candidate]:[Audit Candidate 12]])
      &lt;&gt;0,
      (Audit[[#This Row],[Winning Candidate]]-Audit[[#This Row],[Losing Candidate]]-(Audit[[#This Row],[Audit Winning Candidate]]-Audit[[#This Row],[Audit Losing Candidate]]))/(Audit[[#Totals],[Winning Candidate]]-Audit[[#Totals],[Losing Candidate]]),
      0
)</f>
        <v>0</v>
      </c>
      <c r="AV6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6" s="17">
        <f>IF(Audit[[#This Row],[Max Relative Error (ep)]] = 0, 0, Audit[[#This Row],[Max Relative Error (ep)]]/Audit[[#This Row],[Error Bound (up) - Max. possible relative overstatement]])</f>
        <v>0</v>
      </c>
      <c r="BH6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76" s="17">
        <f t="shared" si="11"/>
        <v>1</v>
      </c>
      <c r="BJ676" s="17">
        <f>PRODUCT($BI$5:BI676)</f>
        <v>0.25266558253744331</v>
      </c>
      <c r="BK676" s="19">
        <f>1 - Audit[[#This Row],[K-M P Value]]</f>
        <v>0.74733441746255669</v>
      </c>
      <c r="BL676" s="17" t="str">
        <f>IF(Audit[[#This Row],[K-M P Value]]&gt;1-'General Info'!$B$12,"Continue", "Stop")</f>
        <v>Continue</v>
      </c>
      <c r="BM676" s="22" t="b">
        <f>IF(Audit[[#This Row],[Status - Continue or stop audit]] = "Continue", TRUE, IF(BL675 = "Continue", TRUE, FALSE))</f>
        <v>1</v>
      </c>
      <c r="BN676" s="22"/>
    </row>
    <row r="677" spans="1:66" ht="15" hidden="1" customHeight="1" x14ac:dyDescent="0.35">
      <c r="A677" s="17" t="str">
        <f>'Sampling Data'!AI677</f>
        <v/>
      </c>
      <c r="B677" s="17" t="str">
        <f>'Sampling Data'!A677</f>
        <v>1701 CIN 17-A   (ED)</v>
      </c>
      <c r="C677" s="17">
        <f>'Sampling Data'!B677</f>
        <v>406</v>
      </c>
      <c r="D677" s="17">
        <f>'Sampling Data'!C677</f>
        <v>37</v>
      </c>
      <c r="E677" s="18">
        <f>'Sampling Data'!D677</f>
        <v>0</v>
      </c>
      <c r="F677" s="18">
        <f>'Sampling Data'!E677</f>
        <v>0</v>
      </c>
      <c r="G677" s="18">
        <f>'Sampling Data'!F677</f>
        <v>0</v>
      </c>
      <c r="H677" s="18">
        <f>'Sampling Data'!G677</f>
        <v>0</v>
      </c>
      <c r="I677" s="18">
        <f>'Sampling Data'!H677</f>
        <v>0</v>
      </c>
      <c r="J677" s="18">
        <f>'Sampling Data'!I677</f>
        <v>0</v>
      </c>
      <c r="K677" s="18">
        <f>'Sampling Data'!J677</f>
        <v>0</v>
      </c>
      <c r="L677" s="18">
        <f>'Sampling Data'!K677</f>
        <v>0</v>
      </c>
      <c r="M677" s="18">
        <f>'Sampling Data'!L677</f>
        <v>0</v>
      </c>
      <c r="N677" s="18">
        <f>'Sampling Data'!M677</f>
        <v>0</v>
      </c>
      <c r="O677" s="17">
        <f>'Sampling Data'!N677</f>
        <v>0</v>
      </c>
      <c r="P677" s="17">
        <f>'Sampling Data'!O677</f>
        <v>63</v>
      </c>
      <c r="Q677" s="17">
        <f>'Sampling Data'!P677</f>
        <v>506</v>
      </c>
      <c r="R677" s="17">
        <f>'Sampling Data'!AJ677</f>
        <v>0</v>
      </c>
      <c r="S677" s="111"/>
      <c r="T677" s="111"/>
      <c r="U677" s="112"/>
      <c r="V677" s="112"/>
      <c r="W677" s="111"/>
      <c r="X677" s="111"/>
      <c r="Y677" s="111"/>
      <c r="Z677" s="111"/>
      <c r="AA677" s="14"/>
      <c r="AB677" s="14"/>
      <c r="AC677" s="14"/>
      <c r="AD677" s="14"/>
      <c r="AE677" s="113" t="str">
        <f>IF(NOT(ISBLANK(Audit[[#This Row],[Audit Winning Candidate]])), Audit[[#This Row],[Audit Winning Candidate]]-Audit[[#This Row],[Winning Candidate]], "")</f>
        <v/>
      </c>
      <c r="AF677" s="17" t="str">
        <f>IF(NOT(ISBLANK(Audit[[#This Row],[Audit Losing Candidate]])), Audit[[#This Row],[Audit Losing Candidate]]-Audit[[#This Row],[Losing Candidate]], "")</f>
        <v/>
      </c>
      <c r="AG677" s="17" t="str">
        <f>IF(NOT(ISBLANK(Audit[[#This Row],[Audit Candidate 3]])), Audit[[#This Row],[Audit Candidate 3]]-Audit[[#This Row],[Candidate 3]], "")</f>
        <v/>
      </c>
      <c r="AH677" s="17" t="str">
        <f>IF(NOT(ISBLANK(Audit[[#This Row],[Audit Candidate 4]])),Audit[[#This Row],[Audit Candidate 4]]-Audit[[#This Row],[Candidate 4]], "")</f>
        <v/>
      </c>
      <c r="AI677" s="17" t="str">
        <f>IF(NOT(ISBLANK(Audit[[#This Row],[Audit Candidate 5]])), Audit[[#This Row],[Audit Candidate 5]]-Audit[[#This Row],[Candidate 5]], "")</f>
        <v/>
      </c>
      <c r="AJ677" s="17" t="str">
        <f>IF(NOT(ISBLANK(Audit[[#This Row],[Audit Candidate 6]])), Audit[[#This Row],[Audit Candidate 6]]-Audit[[#This Row],[Candidate 6]], "")</f>
        <v/>
      </c>
      <c r="AK677" s="17" t="str">
        <f>IF(NOT(ISBLANK(Audit[[#This Row],[Audit Candidate 7]])), Audit[[#This Row],[Audit Candidate 7]]-Audit[[#This Row],[Candidate 7]], "")</f>
        <v/>
      </c>
      <c r="AL677" s="17" t="str">
        <f>IF(NOT(ISBLANK(Audit[[#This Row],[Audit Candidate 8]])), Audit[[#This Row],[Audit Candidate 8]]-Audit[[#This Row],[Candidate 8]], "")</f>
        <v/>
      </c>
      <c r="AM677" s="17" t="str">
        <f>IF(NOT(ISBLANK(Audit[[#This Row],[Audit Candidate 9]])), Audit[[#This Row],[Audit Candidate 9]]-Audit[[#This Row],[Candidate 9]], "")</f>
        <v/>
      </c>
      <c r="AN677" s="17" t="str">
        <f>IF(NOT(ISBLANK(Audit[[#This Row],[Audit Candidate 10]])), Audit[[#This Row],[Audit Candidate 10]]-Audit[[#This Row],[Candidate 10]], "")</f>
        <v/>
      </c>
      <c r="AO677" s="17" t="str">
        <f>IF(NOT(ISBLANK(Audit[[#This Row],[Audit Candidate 11]])), Audit[[#This Row],[Audit Candidate 11]]-Audit[[#This Row],[Candidate 11]], "")</f>
        <v/>
      </c>
      <c r="AP677" s="17" t="str">
        <f>IF(NOT(ISBLANK(Audit[[#This Row],[Audit Candidate 12]])), Audit[[#This Row],[Audit Candidate 12]]-Audit[[#This Row],[Candidate 12]], "")</f>
        <v/>
      </c>
      <c r="AQ677" s="17">
        <f>SUMIF(Audit[[#This Row],[Difference Winner]:[Difference Candidate 12]], "&gt;0")</f>
        <v>0</v>
      </c>
      <c r="AR677" s="17">
        <f>SUM(Audit[[#This Row],[Difference Winner]:[Difference Candidate 12]])</f>
        <v>0</v>
      </c>
      <c r="AS677" s="17">
        <f>IF(Audit[[#This Row],[Times p Drawn - With Replacement]]&gt;0, IF(Audit[[#This Row],[Canceled Differences]]&lt;0, Audit[[#This Row],[Max Differences]]+ABS(Audit[[#This Row],[Canceled Differences]]), Audit[[#This Row],[Max Differences]]), 0)</f>
        <v>0</v>
      </c>
      <c r="AT677" s="17">
        <f>'Sampling Data'!AB677</f>
        <v>3.713291461551519E-2</v>
      </c>
      <c r="AU677" s="17">
        <f>IF(
      SUM(Audit[[#This Row],[Audit Losing Candidate]:[Audit Candidate 12]])
      &lt;&gt;0,
      (Audit[[#This Row],[Winning Candidate]]-Audit[[#This Row],[Losing Candidate]]-(Audit[[#This Row],[Audit Winning Candidate]]-Audit[[#This Row],[Audit Losing Candidate]]))/(Audit[[#Totals],[Winning Candidate]]-Audit[[#Totals],[Losing Candidate]]),
      0
)</f>
        <v>0</v>
      </c>
      <c r="AV6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7" s="17">
        <f>IF(Audit[[#This Row],[Max Relative Error (ep)]] = 0, 0, Audit[[#This Row],[Max Relative Error (ep)]]/Audit[[#This Row],[Error Bound (up) - Max. possible relative overstatement]])</f>
        <v>0</v>
      </c>
      <c r="BH6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77" s="17">
        <f t="shared" si="11"/>
        <v>1</v>
      </c>
      <c r="BJ677" s="17">
        <f>PRODUCT($BI$5:BI677)</f>
        <v>0.25266558253744331</v>
      </c>
      <c r="BK677" s="19">
        <f>1 - Audit[[#This Row],[K-M P Value]]</f>
        <v>0.74733441746255669</v>
      </c>
      <c r="BL677" s="17" t="str">
        <f>IF(Audit[[#This Row],[K-M P Value]]&gt;1-'General Info'!$B$12,"Continue", "Stop")</f>
        <v>Continue</v>
      </c>
      <c r="BM677" s="22" t="b">
        <f>IF(Audit[[#This Row],[Status - Continue or stop audit]] = "Continue", TRUE, IF(BL676 = "Continue", TRUE, FALSE))</f>
        <v>1</v>
      </c>
      <c r="BN677" s="22"/>
    </row>
    <row r="678" spans="1:66" ht="15" hidden="1" customHeight="1" x14ac:dyDescent="0.35">
      <c r="A678" s="17" t="str">
        <f>'Sampling Data'!AI678</f>
        <v/>
      </c>
      <c r="B678" s="17" t="str">
        <f>'Sampling Data'!A678</f>
        <v>1702 CIN 17-B   (ED)</v>
      </c>
      <c r="C678" s="17">
        <f>'Sampling Data'!B678</f>
        <v>270</v>
      </c>
      <c r="D678" s="17">
        <f>'Sampling Data'!C678</f>
        <v>69</v>
      </c>
      <c r="E678" s="18">
        <f>'Sampling Data'!D678</f>
        <v>0</v>
      </c>
      <c r="F678" s="18">
        <f>'Sampling Data'!E678</f>
        <v>0</v>
      </c>
      <c r="G678" s="18">
        <f>'Sampling Data'!F678</f>
        <v>0</v>
      </c>
      <c r="H678" s="18">
        <f>'Sampling Data'!G678</f>
        <v>0</v>
      </c>
      <c r="I678" s="18">
        <f>'Sampling Data'!H678</f>
        <v>0</v>
      </c>
      <c r="J678" s="18">
        <f>'Sampling Data'!I678</f>
        <v>0</v>
      </c>
      <c r="K678" s="18">
        <f>'Sampling Data'!J678</f>
        <v>0</v>
      </c>
      <c r="L678" s="18">
        <f>'Sampling Data'!K678</f>
        <v>0</v>
      </c>
      <c r="M678" s="18">
        <f>'Sampling Data'!L678</f>
        <v>0</v>
      </c>
      <c r="N678" s="18">
        <f>'Sampling Data'!M678</f>
        <v>0</v>
      </c>
      <c r="O678" s="17">
        <f>'Sampling Data'!N678</f>
        <v>1</v>
      </c>
      <c r="P678" s="17">
        <f>'Sampling Data'!O678</f>
        <v>42</v>
      </c>
      <c r="Q678" s="17">
        <f>'Sampling Data'!P678</f>
        <v>382</v>
      </c>
      <c r="R678" s="17">
        <f>'Sampling Data'!AJ678</f>
        <v>0</v>
      </c>
      <c r="S678" s="111"/>
      <c r="T678" s="111"/>
      <c r="U678" s="112"/>
      <c r="V678" s="112"/>
      <c r="W678" s="111"/>
      <c r="X678" s="111"/>
      <c r="Y678" s="111"/>
      <c r="Z678" s="111"/>
      <c r="AA678" s="14"/>
      <c r="AB678" s="14"/>
      <c r="AC678" s="14"/>
      <c r="AD678" s="14"/>
      <c r="AE678" s="113" t="str">
        <f>IF(NOT(ISBLANK(Audit[[#This Row],[Audit Winning Candidate]])), Audit[[#This Row],[Audit Winning Candidate]]-Audit[[#This Row],[Winning Candidate]], "")</f>
        <v/>
      </c>
      <c r="AF678" s="17" t="str">
        <f>IF(NOT(ISBLANK(Audit[[#This Row],[Audit Losing Candidate]])), Audit[[#This Row],[Audit Losing Candidate]]-Audit[[#This Row],[Losing Candidate]], "")</f>
        <v/>
      </c>
      <c r="AG678" s="17" t="str">
        <f>IF(NOT(ISBLANK(Audit[[#This Row],[Audit Candidate 3]])), Audit[[#This Row],[Audit Candidate 3]]-Audit[[#This Row],[Candidate 3]], "")</f>
        <v/>
      </c>
      <c r="AH678" s="17" t="str">
        <f>IF(NOT(ISBLANK(Audit[[#This Row],[Audit Candidate 4]])),Audit[[#This Row],[Audit Candidate 4]]-Audit[[#This Row],[Candidate 4]], "")</f>
        <v/>
      </c>
      <c r="AI678" s="17" t="str">
        <f>IF(NOT(ISBLANK(Audit[[#This Row],[Audit Candidate 5]])), Audit[[#This Row],[Audit Candidate 5]]-Audit[[#This Row],[Candidate 5]], "")</f>
        <v/>
      </c>
      <c r="AJ678" s="17" t="str">
        <f>IF(NOT(ISBLANK(Audit[[#This Row],[Audit Candidate 6]])), Audit[[#This Row],[Audit Candidate 6]]-Audit[[#This Row],[Candidate 6]], "")</f>
        <v/>
      </c>
      <c r="AK678" s="17" t="str">
        <f>IF(NOT(ISBLANK(Audit[[#This Row],[Audit Candidate 7]])), Audit[[#This Row],[Audit Candidate 7]]-Audit[[#This Row],[Candidate 7]], "")</f>
        <v/>
      </c>
      <c r="AL678" s="17" t="str">
        <f>IF(NOT(ISBLANK(Audit[[#This Row],[Audit Candidate 8]])), Audit[[#This Row],[Audit Candidate 8]]-Audit[[#This Row],[Candidate 8]], "")</f>
        <v/>
      </c>
      <c r="AM678" s="17" t="str">
        <f>IF(NOT(ISBLANK(Audit[[#This Row],[Audit Candidate 9]])), Audit[[#This Row],[Audit Candidate 9]]-Audit[[#This Row],[Candidate 9]], "")</f>
        <v/>
      </c>
      <c r="AN678" s="17" t="str">
        <f>IF(NOT(ISBLANK(Audit[[#This Row],[Audit Candidate 10]])), Audit[[#This Row],[Audit Candidate 10]]-Audit[[#This Row],[Candidate 10]], "")</f>
        <v/>
      </c>
      <c r="AO678" s="17" t="str">
        <f>IF(NOT(ISBLANK(Audit[[#This Row],[Audit Candidate 11]])), Audit[[#This Row],[Audit Candidate 11]]-Audit[[#This Row],[Candidate 11]], "")</f>
        <v/>
      </c>
      <c r="AP678" s="17" t="str">
        <f>IF(NOT(ISBLANK(Audit[[#This Row],[Audit Candidate 12]])), Audit[[#This Row],[Audit Candidate 12]]-Audit[[#This Row],[Candidate 12]], "")</f>
        <v/>
      </c>
      <c r="AQ678" s="17">
        <f>SUMIF(Audit[[#This Row],[Difference Winner]:[Difference Candidate 12]], "&gt;0")</f>
        <v>0</v>
      </c>
      <c r="AR678" s="17">
        <f>SUM(Audit[[#This Row],[Difference Winner]:[Difference Candidate 12]])</f>
        <v>0</v>
      </c>
      <c r="AS678" s="17">
        <f>IF(Audit[[#This Row],[Times p Drawn - With Replacement]]&gt;0, IF(Audit[[#This Row],[Canceled Differences]]&lt;0, Audit[[#This Row],[Max Differences]]+ABS(Audit[[#This Row],[Canceled Differences]]), Audit[[#This Row],[Max Differences]]), 0)</f>
        <v>0</v>
      </c>
      <c r="AT678" s="17">
        <f>'Sampling Data'!AB678</f>
        <v>2.4741130538108981E-2</v>
      </c>
      <c r="AU678" s="17">
        <f>IF(
      SUM(Audit[[#This Row],[Audit Losing Candidate]:[Audit Candidate 12]])
      &lt;&gt;0,
      (Audit[[#This Row],[Winning Candidate]]-Audit[[#This Row],[Losing Candidate]]-(Audit[[#This Row],[Audit Winning Candidate]]-Audit[[#This Row],[Audit Losing Candidate]]))/(Audit[[#Totals],[Winning Candidate]]-Audit[[#Totals],[Losing Candidate]]),
      0
)</f>
        <v>0</v>
      </c>
      <c r="AV6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8" s="17">
        <f>IF(Audit[[#This Row],[Max Relative Error (ep)]] = 0, 0, Audit[[#This Row],[Max Relative Error (ep)]]/Audit[[#This Row],[Error Bound (up) - Max. possible relative overstatement]])</f>
        <v>0</v>
      </c>
      <c r="BH6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78" s="17">
        <f t="shared" si="11"/>
        <v>1</v>
      </c>
      <c r="BJ678" s="17">
        <f>PRODUCT($BI$5:BI678)</f>
        <v>0.25266558253744331</v>
      </c>
      <c r="BK678" s="19">
        <f>1 - Audit[[#This Row],[K-M P Value]]</f>
        <v>0.74733441746255669</v>
      </c>
      <c r="BL678" s="17" t="str">
        <f>IF(Audit[[#This Row],[K-M P Value]]&gt;1-'General Info'!$B$12,"Continue", "Stop")</f>
        <v>Continue</v>
      </c>
      <c r="BM678" s="22" t="b">
        <f>IF(Audit[[#This Row],[Status - Continue or stop audit]] = "Continue", TRUE, IF(BL677 = "Continue", TRUE, FALSE))</f>
        <v>1</v>
      </c>
      <c r="BN678" s="22"/>
    </row>
    <row r="679" spans="1:66" ht="15" hidden="1" customHeight="1" x14ac:dyDescent="0.35">
      <c r="A679" s="17" t="str">
        <f>'Sampling Data'!AI679</f>
        <v/>
      </c>
      <c r="B679" s="17" t="str">
        <f>'Sampling Data'!A679</f>
        <v>1703 CIN 17-C   (ED)</v>
      </c>
      <c r="C679" s="17">
        <f>'Sampling Data'!B679</f>
        <v>308</v>
      </c>
      <c r="D679" s="17">
        <f>'Sampling Data'!C679</f>
        <v>41</v>
      </c>
      <c r="E679" s="18">
        <f>'Sampling Data'!D679</f>
        <v>0</v>
      </c>
      <c r="F679" s="18">
        <f>'Sampling Data'!E679</f>
        <v>0</v>
      </c>
      <c r="G679" s="18">
        <f>'Sampling Data'!F679</f>
        <v>0</v>
      </c>
      <c r="H679" s="18">
        <f>'Sampling Data'!G679</f>
        <v>0</v>
      </c>
      <c r="I679" s="18">
        <f>'Sampling Data'!H679</f>
        <v>0</v>
      </c>
      <c r="J679" s="18">
        <f>'Sampling Data'!I679</f>
        <v>0</v>
      </c>
      <c r="K679" s="18">
        <f>'Sampling Data'!J679</f>
        <v>0</v>
      </c>
      <c r="L679" s="18">
        <f>'Sampling Data'!K679</f>
        <v>0</v>
      </c>
      <c r="M679" s="18">
        <f>'Sampling Data'!L679</f>
        <v>0</v>
      </c>
      <c r="N679" s="18">
        <f>'Sampling Data'!M679</f>
        <v>0</v>
      </c>
      <c r="O679" s="17">
        <f>'Sampling Data'!N679</f>
        <v>1</v>
      </c>
      <c r="P679" s="17">
        <f>'Sampling Data'!O679</f>
        <v>21</v>
      </c>
      <c r="Q679" s="17">
        <f>'Sampling Data'!P679</f>
        <v>371</v>
      </c>
      <c r="R679" s="17">
        <f>'Sampling Data'!AJ679</f>
        <v>0</v>
      </c>
      <c r="S679" s="111"/>
      <c r="T679" s="111"/>
      <c r="U679" s="112"/>
      <c r="V679" s="112"/>
      <c r="W679" s="111"/>
      <c r="X679" s="111"/>
      <c r="Y679" s="111"/>
      <c r="Z679" s="111"/>
      <c r="AA679" s="14"/>
      <c r="AB679" s="14"/>
      <c r="AC679" s="14"/>
      <c r="AD679" s="14"/>
      <c r="AE679" s="113" t="str">
        <f>IF(NOT(ISBLANK(Audit[[#This Row],[Audit Winning Candidate]])), Audit[[#This Row],[Audit Winning Candidate]]-Audit[[#This Row],[Winning Candidate]], "")</f>
        <v/>
      </c>
      <c r="AF679" s="17" t="str">
        <f>IF(NOT(ISBLANK(Audit[[#This Row],[Audit Losing Candidate]])), Audit[[#This Row],[Audit Losing Candidate]]-Audit[[#This Row],[Losing Candidate]], "")</f>
        <v/>
      </c>
      <c r="AG679" s="17" t="str">
        <f>IF(NOT(ISBLANK(Audit[[#This Row],[Audit Candidate 3]])), Audit[[#This Row],[Audit Candidate 3]]-Audit[[#This Row],[Candidate 3]], "")</f>
        <v/>
      </c>
      <c r="AH679" s="17" t="str">
        <f>IF(NOT(ISBLANK(Audit[[#This Row],[Audit Candidate 4]])),Audit[[#This Row],[Audit Candidate 4]]-Audit[[#This Row],[Candidate 4]], "")</f>
        <v/>
      </c>
      <c r="AI679" s="17" t="str">
        <f>IF(NOT(ISBLANK(Audit[[#This Row],[Audit Candidate 5]])), Audit[[#This Row],[Audit Candidate 5]]-Audit[[#This Row],[Candidate 5]], "")</f>
        <v/>
      </c>
      <c r="AJ679" s="17" t="str">
        <f>IF(NOT(ISBLANK(Audit[[#This Row],[Audit Candidate 6]])), Audit[[#This Row],[Audit Candidate 6]]-Audit[[#This Row],[Candidate 6]], "")</f>
        <v/>
      </c>
      <c r="AK679" s="17" t="str">
        <f>IF(NOT(ISBLANK(Audit[[#This Row],[Audit Candidate 7]])), Audit[[#This Row],[Audit Candidate 7]]-Audit[[#This Row],[Candidate 7]], "")</f>
        <v/>
      </c>
      <c r="AL679" s="17" t="str">
        <f>IF(NOT(ISBLANK(Audit[[#This Row],[Audit Candidate 8]])), Audit[[#This Row],[Audit Candidate 8]]-Audit[[#This Row],[Candidate 8]], "")</f>
        <v/>
      </c>
      <c r="AM679" s="17" t="str">
        <f>IF(NOT(ISBLANK(Audit[[#This Row],[Audit Candidate 9]])), Audit[[#This Row],[Audit Candidate 9]]-Audit[[#This Row],[Candidate 9]], "")</f>
        <v/>
      </c>
      <c r="AN679" s="17" t="str">
        <f>IF(NOT(ISBLANK(Audit[[#This Row],[Audit Candidate 10]])), Audit[[#This Row],[Audit Candidate 10]]-Audit[[#This Row],[Candidate 10]], "")</f>
        <v/>
      </c>
      <c r="AO679" s="17" t="str">
        <f>IF(NOT(ISBLANK(Audit[[#This Row],[Audit Candidate 11]])), Audit[[#This Row],[Audit Candidate 11]]-Audit[[#This Row],[Candidate 11]], "")</f>
        <v/>
      </c>
      <c r="AP679" s="17" t="str">
        <f>IF(NOT(ISBLANK(Audit[[#This Row],[Audit Candidate 12]])), Audit[[#This Row],[Audit Candidate 12]]-Audit[[#This Row],[Candidate 12]], "")</f>
        <v/>
      </c>
      <c r="AQ679" s="17">
        <f>SUMIF(Audit[[#This Row],[Difference Winner]:[Difference Candidate 12]], "&gt;0")</f>
        <v>0</v>
      </c>
      <c r="AR679" s="17">
        <f>SUM(Audit[[#This Row],[Difference Winner]:[Difference Candidate 12]])</f>
        <v>0</v>
      </c>
      <c r="AS679" s="17">
        <f>IF(Audit[[#This Row],[Times p Drawn - With Replacement]]&gt;0, IF(Audit[[#This Row],[Canceled Differences]]&lt;0, Audit[[#This Row],[Max Differences]]+ABS(Audit[[#This Row],[Canceled Differences]]), Audit[[#This Row],[Max Differences]]), 0)</f>
        <v>0</v>
      </c>
      <c r="AT679" s="17">
        <f>'Sampling Data'!AB679</f>
        <v>2.7075199456798506E-2</v>
      </c>
      <c r="AU679" s="17">
        <f>IF(
      SUM(Audit[[#This Row],[Audit Losing Candidate]:[Audit Candidate 12]])
      &lt;&gt;0,
      (Audit[[#This Row],[Winning Candidate]]-Audit[[#This Row],[Losing Candidate]]-(Audit[[#This Row],[Audit Winning Candidate]]-Audit[[#This Row],[Audit Losing Candidate]]))/(Audit[[#Totals],[Winning Candidate]]-Audit[[#Totals],[Losing Candidate]]),
      0
)</f>
        <v>0</v>
      </c>
      <c r="AV6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9" s="17">
        <f>IF(Audit[[#This Row],[Max Relative Error (ep)]] = 0, 0, Audit[[#This Row],[Max Relative Error (ep)]]/Audit[[#This Row],[Error Bound (up) - Max. possible relative overstatement]])</f>
        <v>0</v>
      </c>
      <c r="BH6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79" s="17">
        <f t="shared" si="11"/>
        <v>1</v>
      </c>
      <c r="BJ679" s="17">
        <f>PRODUCT($BI$5:BI679)</f>
        <v>0.25266558253744331</v>
      </c>
      <c r="BK679" s="19">
        <f>1 - Audit[[#This Row],[K-M P Value]]</f>
        <v>0.74733441746255669</v>
      </c>
      <c r="BL679" s="17" t="str">
        <f>IF(Audit[[#This Row],[K-M P Value]]&gt;1-'General Info'!$B$12,"Continue", "Stop")</f>
        <v>Continue</v>
      </c>
      <c r="BM679" s="22" t="b">
        <f>IF(Audit[[#This Row],[Status - Continue or stop audit]] = "Continue", TRUE, IF(BL678 = "Continue", TRUE, FALSE))</f>
        <v>1</v>
      </c>
      <c r="BN679" s="22"/>
    </row>
    <row r="680" spans="1:66" ht="15" hidden="1" customHeight="1" x14ac:dyDescent="0.35">
      <c r="A680" s="17" t="str">
        <f>'Sampling Data'!AI680</f>
        <v/>
      </c>
      <c r="B680" s="17" t="str">
        <f>'Sampling Data'!A680</f>
        <v>1801 CIN 18-A   (ED)</v>
      </c>
      <c r="C680" s="17">
        <f>'Sampling Data'!B680</f>
        <v>248</v>
      </c>
      <c r="D680" s="17">
        <f>'Sampling Data'!C680</f>
        <v>32</v>
      </c>
      <c r="E680" s="18">
        <f>'Sampling Data'!D680</f>
        <v>0</v>
      </c>
      <c r="F680" s="18">
        <f>'Sampling Data'!E680</f>
        <v>0</v>
      </c>
      <c r="G680" s="18">
        <f>'Sampling Data'!F680</f>
        <v>0</v>
      </c>
      <c r="H680" s="18">
        <f>'Sampling Data'!G680</f>
        <v>0</v>
      </c>
      <c r="I680" s="18">
        <f>'Sampling Data'!H680</f>
        <v>0</v>
      </c>
      <c r="J680" s="18">
        <f>'Sampling Data'!I680</f>
        <v>0</v>
      </c>
      <c r="K680" s="18">
        <f>'Sampling Data'!J680</f>
        <v>0</v>
      </c>
      <c r="L680" s="18">
        <f>'Sampling Data'!K680</f>
        <v>0</v>
      </c>
      <c r="M680" s="18">
        <f>'Sampling Data'!L680</f>
        <v>0</v>
      </c>
      <c r="N680" s="18">
        <f>'Sampling Data'!M680</f>
        <v>0</v>
      </c>
      <c r="O680" s="17">
        <f>'Sampling Data'!N680</f>
        <v>0</v>
      </c>
      <c r="P680" s="17">
        <f>'Sampling Data'!O680</f>
        <v>20</v>
      </c>
      <c r="Q680" s="17">
        <f>'Sampling Data'!P680</f>
        <v>300</v>
      </c>
      <c r="R680" s="17">
        <f>'Sampling Data'!AJ680</f>
        <v>0</v>
      </c>
      <c r="S680" s="111"/>
      <c r="T680" s="111"/>
      <c r="U680" s="112"/>
      <c r="V680" s="112"/>
      <c r="W680" s="111"/>
      <c r="X680" s="111"/>
      <c r="Y680" s="111"/>
      <c r="Z680" s="111"/>
      <c r="AA680" s="14"/>
      <c r="AB680" s="14"/>
      <c r="AC680" s="14"/>
      <c r="AD680" s="14"/>
      <c r="AE680" s="113" t="str">
        <f>IF(NOT(ISBLANK(Audit[[#This Row],[Audit Winning Candidate]])), Audit[[#This Row],[Audit Winning Candidate]]-Audit[[#This Row],[Winning Candidate]], "")</f>
        <v/>
      </c>
      <c r="AF680" s="17" t="str">
        <f>IF(NOT(ISBLANK(Audit[[#This Row],[Audit Losing Candidate]])), Audit[[#This Row],[Audit Losing Candidate]]-Audit[[#This Row],[Losing Candidate]], "")</f>
        <v/>
      </c>
      <c r="AG680" s="17" t="str">
        <f>IF(NOT(ISBLANK(Audit[[#This Row],[Audit Candidate 3]])), Audit[[#This Row],[Audit Candidate 3]]-Audit[[#This Row],[Candidate 3]], "")</f>
        <v/>
      </c>
      <c r="AH680" s="17" t="str">
        <f>IF(NOT(ISBLANK(Audit[[#This Row],[Audit Candidate 4]])),Audit[[#This Row],[Audit Candidate 4]]-Audit[[#This Row],[Candidate 4]], "")</f>
        <v/>
      </c>
      <c r="AI680" s="17" t="str">
        <f>IF(NOT(ISBLANK(Audit[[#This Row],[Audit Candidate 5]])), Audit[[#This Row],[Audit Candidate 5]]-Audit[[#This Row],[Candidate 5]], "")</f>
        <v/>
      </c>
      <c r="AJ680" s="17" t="str">
        <f>IF(NOT(ISBLANK(Audit[[#This Row],[Audit Candidate 6]])), Audit[[#This Row],[Audit Candidate 6]]-Audit[[#This Row],[Candidate 6]], "")</f>
        <v/>
      </c>
      <c r="AK680" s="17" t="str">
        <f>IF(NOT(ISBLANK(Audit[[#This Row],[Audit Candidate 7]])), Audit[[#This Row],[Audit Candidate 7]]-Audit[[#This Row],[Candidate 7]], "")</f>
        <v/>
      </c>
      <c r="AL680" s="17" t="str">
        <f>IF(NOT(ISBLANK(Audit[[#This Row],[Audit Candidate 8]])), Audit[[#This Row],[Audit Candidate 8]]-Audit[[#This Row],[Candidate 8]], "")</f>
        <v/>
      </c>
      <c r="AM680" s="17" t="str">
        <f>IF(NOT(ISBLANK(Audit[[#This Row],[Audit Candidate 9]])), Audit[[#This Row],[Audit Candidate 9]]-Audit[[#This Row],[Candidate 9]], "")</f>
        <v/>
      </c>
      <c r="AN680" s="17" t="str">
        <f>IF(NOT(ISBLANK(Audit[[#This Row],[Audit Candidate 10]])), Audit[[#This Row],[Audit Candidate 10]]-Audit[[#This Row],[Candidate 10]], "")</f>
        <v/>
      </c>
      <c r="AO680" s="17" t="str">
        <f>IF(NOT(ISBLANK(Audit[[#This Row],[Audit Candidate 11]])), Audit[[#This Row],[Audit Candidate 11]]-Audit[[#This Row],[Candidate 11]], "")</f>
        <v/>
      </c>
      <c r="AP680" s="17" t="str">
        <f>IF(NOT(ISBLANK(Audit[[#This Row],[Audit Candidate 12]])), Audit[[#This Row],[Audit Candidate 12]]-Audit[[#This Row],[Candidate 12]], "")</f>
        <v/>
      </c>
      <c r="AQ680" s="17">
        <f>SUMIF(Audit[[#This Row],[Difference Winner]:[Difference Candidate 12]], "&gt;0")</f>
        <v>0</v>
      </c>
      <c r="AR680" s="17">
        <f>SUM(Audit[[#This Row],[Difference Winner]:[Difference Candidate 12]])</f>
        <v>0</v>
      </c>
      <c r="AS680" s="17">
        <f>IF(Audit[[#This Row],[Times p Drawn - With Replacement]]&gt;0, IF(Audit[[#This Row],[Canceled Differences]]&lt;0, Audit[[#This Row],[Max Differences]]+ABS(Audit[[#This Row],[Canceled Differences]]), Audit[[#This Row],[Max Differences]]), 0)</f>
        <v>0</v>
      </c>
      <c r="AT680" s="17">
        <f>'Sampling Data'!AB680</f>
        <v>2.1897810218978103E-2</v>
      </c>
      <c r="AU680" s="17">
        <f>IF(
      SUM(Audit[[#This Row],[Audit Losing Candidate]:[Audit Candidate 12]])
      &lt;&gt;0,
      (Audit[[#This Row],[Winning Candidate]]-Audit[[#This Row],[Losing Candidate]]-(Audit[[#This Row],[Audit Winning Candidate]]-Audit[[#This Row],[Audit Losing Candidate]]))/(Audit[[#Totals],[Winning Candidate]]-Audit[[#Totals],[Losing Candidate]]),
      0
)</f>
        <v>0</v>
      </c>
      <c r="AV6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0" s="17">
        <f>IF(Audit[[#This Row],[Max Relative Error (ep)]] = 0, 0, Audit[[#This Row],[Max Relative Error (ep)]]/Audit[[#This Row],[Error Bound (up) - Max. possible relative overstatement]])</f>
        <v>0</v>
      </c>
      <c r="BH6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80" s="17">
        <f t="shared" si="11"/>
        <v>1</v>
      </c>
      <c r="BJ680" s="17">
        <f>PRODUCT($BI$5:BI680)</f>
        <v>0.25266558253744331</v>
      </c>
      <c r="BK680" s="19">
        <f>1 - Audit[[#This Row],[K-M P Value]]</f>
        <v>0.74733441746255669</v>
      </c>
      <c r="BL680" s="17" t="str">
        <f>IF(Audit[[#This Row],[K-M P Value]]&gt;1-'General Info'!$B$12,"Continue", "Stop")</f>
        <v>Continue</v>
      </c>
      <c r="BM680" s="22" t="b">
        <f>IF(Audit[[#This Row],[Status - Continue or stop audit]] = "Continue", TRUE, IF(BL679 = "Continue", TRUE, FALSE))</f>
        <v>1</v>
      </c>
      <c r="BN680" s="22"/>
    </row>
    <row r="681" spans="1:66" ht="15" hidden="1" customHeight="1" x14ac:dyDescent="0.35">
      <c r="A681" s="17" t="str">
        <f>'Sampling Data'!AI681</f>
        <v/>
      </c>
      <c r="B681" s="17" t="str">
        <f>'Sampling Data'!A681</f>
        <v>1802 CIN 18-B   (ED)</v>
      </c>
      <c r="C681" s="17">
        <f>'Sampling Data'!B681</f>
        <v>136</v>
      </c>
      <c r="D681" s="17">
        <f>'Sampling Data'!C681</f>
        <v>17</v>
      </c>
      <c r="E681" s="18">
        <f>'Sampling Data'!D681</f>
        <v>0</v>
      </c>
      <c r="F681" s="18">
        <f>'Sampling Data'!E681</f>
        <v>0</v>
      </c>
      <c r="G681" s="18">
        <f>'Sampling Data'!F681</f>
        <v>0</v>
      </c>
      <c r="H681" s="18">
        <f>'Sampling Data'!G681</f>
        <v>0</v>
      </c>
      <c r="I681" s="18">
        <f>'Sampling Data'!H681</f>
        <v>0</v>
      </c>
      <c r="J681" s="18">
        <f>'Sampling Data'!I681</f>
        <v>0</v>
      </c>
      <c r="K681" s="18">
        <f>'Sampling Data'!J681</f>
        <v>0</v>
      </c>
      <c r="L681" s="18">
        <f>'Sampling Data'!K681</f>
        <v>0</v>
      </c>
      <c r="M681" s="18">
        <f>'Sampling Data'!L681</f>
        <v>0</v>
      </c>
      <c r="N681" s="18">
        <f>'Sampling Data'!M681</f>
        <v>0</v>
      </c>
      <c r="O681" s="17">
        <f>'Sampling Data'!N681</f>
        <v>0</v>
      </c>
      <c r="P681" s="17">
        <f>'Sampling Data'!O681</f>
        <v>23</v>
      </c>
      <c r="Q681" s="17">
        <f>'Sampling Data'!P681</f>
        <v>176</v>
      </c>
      <c r="R681" s="17">
        <f>'Sampling Data'!AJ681</f>
        <v>0</v>
      </c>
      <c r="S681" s="111"/>
      <c r="T681" s="111"/>
      <c r="U681" s="112"/>
      <c r="V681" s="112"/>
      <c r="W681" s="111"/>
      <c r="X681" s="111"/>
      <c r="Y681" s="111"/>
      <c r="Z681" s="111"/>
      <c r="AA681" s="14"/>
      <c r="AB681" s="14"/>
      <c r="AC681" s="14"/>
      <c r="AD681" s="14"/>
      <c r="AE681" s="113" t="str">
        <f>IF(NOT(ISBLANK(Audit[[#This Row],[Audit Winning Candidate]])), Audit[[#This Row],[Audit Winning Candidate]]-Audit[[#This Row],[Winning Candidate]], "")</f>
        <v/>
      </c>
      <c r="AF681" s="17" t="str">
        <f>IF(NOT(ISBLANK(Audit[[#This Row],[Audit Losing Candidate]])), Audit[[#This Row],[Audit Losing Candidate]]-Audit[[#This Row],[Losing Candidate]], "")</f>
        <v/>
      </c>
      <c r="AG681" s="17" t="str">
        <f>IF(NOT(ISBLANK(Audit[[#This Row],[Audit Candidate 3]])), Audit[[#This Row],[Audit Candidate 3]]-Audit[[#This Row],[Candidate 3]], "")</f>
        <v/>
      </c>
      <c r="AH681" s="17" t="str">
        <f>IF(NOT(ISBLANK(Audit[[#This Row],[Audit Candidate 4]])),Audit[[#This Row],[Audit Candidate 4]]-Audit[[#This Row],[Candidate 4]], "")</f>
        <v/>
      </c>
      <c r="AI681" s="17" t="str">
        <f>IF(NOT(ISBLANK(Audit[[#This Row],[Audit Candidate 5]])), Audit[[#This Row],[Audit Candidate 5]]-Audit[[#This Row],[Candidate 5]], "")</f>
        <v/>
      </c>
      <c r="AJ681" s="17" t="str">
        <f>IF(NOT(ISBLANK(Audit[[#This Row],[Audit Candidate 6]])), Audit[[#This Row],[Audit Candidate 6]]-Audit[[#This Row],[Candidate 6]], "")</f>
        <v/>
      </c>
      <c r="AK681" s="17" t="str">
        <f>IF(NOT(ISBLANK(Audit[[#This Row],[Audit Candidate 7]])), Audit[[#This Row],[Audit Candidate 7]]-Audit[[#This Row],[Candidate 7]], "")</f>
        <v/>
      </c>
      <c r="AL681" s="17" t="str">
        <f>IF(NOT(ISBLANK(Audit[[#This Row],[Audit Candidate 8]])), Audit[[#This Row],[Audit Candidate 8]]-Audit[[#This Row],[Candidate 8]], "")</f>
        <v/>
      </c>
      <c r="AM681" s="17" t="str">
        <f>IF(NOT(ISBLANK(Audit[[#This Row],[Audit Candidate 9]])), Audit[[#This Row],[Audit Candidate 9]]-Audit[[#This Row],[Candidate 9]], "")</f>
        <v/>
      </c>
      <c r="AN681" s="17" t="str">
        <f>IF(NOT(ISBLANK(Audit[[#This Row],[Audit Candidate 10]])), Audit[[#This Row],[Audit Candidate 10]]-Audit[[#This Row],[Candidate 10]], "")</f>
        <v/>
      </c>
      <c r="AO681" s="17" t="str">
        <f>IF(NOT(ISBLANK(Audit[[#This Row],[Audit Candidate 11]])), Audit[[#This Row],[Audit Candidate 11]]-Audit[[#This Row],[Candidate 11]], "")</f>
        <v/>
      </c>
      <c r="AP681" s="17" t="str">
        <f>IF(NOT(ISBLANK(Audit[[#This Row],[Audit Candidate 12]])), Audit[[#This Row],[Audit Candidate 12]]-Audit[[#This Row],[Candidate 12]], "")</f>
        <v/>
      </c>
      <c r="AQ681" s="17">
        <f>SUMIF(Audit[[#This Row],[Difference Winner]:[Difference Candidate 12]], "&gt;0")</f>
        <v>0</v>
      </c>
      <c r="AR681" s="17">
        <f>SUM(Audit[[#This Row],[Difference Winner]:[Difference Candidate 12]])</f>
        <v>0</v>
      </c>
      <c r="AS681" s="17">
        <f>IF(Audit[[#This Row],[Times p Drawn - With Replacement]]&gt;0, IF(Audit[[#This Row],[Canceled Differences]]&lt;0, Audit[[#This Row],[Max Differences]]+ABS(Audit[[#This Row],[Canceled Differences]]), Audit[[#This Row],[Max Differences]]), 0)</f>
        <v>0</v>
      </c>
      <c r="AT681" s="17">
        <f>'Sampling Data'!AB681</f>
        <v>1.251909692751655E-2</v>
      </c>
      <c r="AU681" s="17">
        <f>IF(
      SUM(Audit[[#This Row],[Audit Losing Candidate]:[Audit Candidate 12]])
      &lt;&gt;0,
      (Audit[[#This Row],[Winning Candidate]]-Audit[[#This Row],[Losing Candidate]]-(Audit[[#This Row],[Audit Winning Candidate]]-Audit[[#This Row],[Audit Losing Candidate]]))/(Audit[[#Totals],[Winning Candidate]]-Audit[[#Totals],[Losing Candidate]]),
      0
)</f>
        <v>0</v>
      </c>
      <c r="AV6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1" s="17">
        <f>IF(Audit[[#This Row],[Max Relative Error (ep)]] = 0, 0, Audit[[#This Row],[Max Relative Error (ep)]]/Audit[[#This Row],[Error Bound (up) - Max. possible relative overstatement]])</f>
        <v>0</v>
      </c>
      <c r="BH6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81" s="17">
        <f t="shared" si="11"/>
        <v>1</v>
      </c>
      <c r="BJ681" s="17">
        <f>PRODUCT($BI$5:BI681)</f>
        <v>0.25266558253744331</v>
      </c>
      <c r="BK681" s="19">
        <f>1 - Audit[[#This Row],[K-M P Value]]</f>
        <v>0.74733441746255669</v>
      </c>
      <c r="BL681" s="17" t="str">
        <f>IF(Audit[[#This Row],[K-M P Value]]&gt;1-'General Info'!$B$12,"Continue", "Stop")</f>
        <v>Continue</v>
      </c>
      <c r="BM681" s="22" t="b">
        <f>IF(Audit[[#This Row],[Status - Continue or stop audit]] = "Continue", TRUE, IF(BL680 = "Continue", TRUE, FALSE))</f>
        <v>1</v>
      </c>
      <c r="BN681" s="22"/>
    </row>
    <row r="682" spans="1:66" ht="15" hidden="1" customHeight="1" x14ac:dyDescent="0.35">
      <c r="A682" s="17" t="str">
        <f>'Sampling Data'!AI682</f>
        <v/>
      </c>
      <c r="B682" s="17" t="str">
        <f>'Sampling Data'!A682</f>
        <v>1901 CIN 19-A   (ED)</v>
      </c>
      <c r="C682" s="17">
        <f>'Sampling Data'!B682</f>
        <v>146</v>
      </c>
      <c r="D682" s="17">
        <f>'Sampling Data'!C682</f>
        <v>314</v>
      </c>
      <c r="E682" s="18">
        <f>'Sampling Data'!D682</f>
        <v>0</v>
      </c>
      <c r="F682" s="18">
        <f>'Sampling Data'!E682</f>
        <v>0</v>
      </c>
      <c r="G682" s="18">
        <f>'Sampling Data'!F682</f>
        <v>0</v>
      </c>
      <c r="H682" s="18">
        <f>'Sampling Data'!G682</f>
        <v>0</v>
      </c>
      <c r="I682" s="18">
        <f>'Sampling Data'!H682</f>
        <v>0</v>
      </c>
      <c r="J682" s="18">
        <f>'Sampling Data'!I682</f>
        <v>0</v>
      </c>
      <c r="K682" s="18">
        <f>'Sampling Data'!J682</f>
        <v>0</v>
      </c>
      <c r="L682" s="18">
        <f>'Sampling Data'!K682</f>
        <v>0</v>
      </c>
      <c r="M682" s="18">
        <f>'Sampling Data'!L682</f>
        <v>0</v>
      </c>
      <c r="N682" s="18">
        <f>'Sampling Data'!M682</f>
        <v>0</v>
      </c>
      <c r="O682" s="17">
        <f>'Sampling Data'!N682</f>
        <v>1</v>
      </c>
      <c r="P682" s="17">
        <f>'Sampling Data'!O682</f>
        <v>48</v>
      </c>
      <c r="Q682" s="17">
        <f>'Sampling Data'!P682</f>
        <v>509</v>
      </c>
      <c r="R682" s="17">
        <f>'Sampling Data'!AJ682</f>
        <v>0</v>
      </c>
      <c r="S682" s="111"/>
      <c r="T682" s="111"/>
      <c r="U682" s="112"/>
      <c r="V682" s="112"/>
      <c r="W682" s="111"/>
      <c r="X682" s="111"/>
      <c r="Y682" s="111"/>
      <c r="Z682" s="111"/>
      <c r="AA682" s="14"/>
      <c r="AB682" s="14"/>
      <c r="AC682" s="14"/>
      <c r="AD682" s="14"/>
      <c r="AE682" s="113" t="str">
        <f>IF(NOT(ISBLANK(Audit[[#This Row],[Audit Winning Candidate]])), Audit[[#This Row],[Audit Winning Candidate]]-Audit[[#This Row],[Winning Candidate]], "")</f>
        <v/>
      </c>
      <c r="AF682" s="17" t="str">
        <f>IF(NOT(ISBLANK(Audit[[#This Row],[Audit Losing Candidate]])), Audit[[#This Row],[Audit Losing Candidate]]-Audit[[#This Row],[Losing Candidate]], "")</f>
        <v/>
      </c>
      <c r="AG682" s="17" t="str">
        <f>IF(NOT(ISBLANK(Audit[[#This Row],[Audit Candidate 3]])), Audit[[#This Row],[Audit Candidate 3]]-Audit[[#This Row],[Candidate 3]], "")</f>
        <v/>
      </c>
      <c r="AH682" s="17" t="str">
        <f>IF(NOT(ISBLANK(Audit[[#This Row],[Audit Candidate 4]])),Audit[[#This Row],[Audit Candidate 4]]-Audit[[#This Row],[Candidate 4]], "")</f>
        <v/>
      </c>
      <c r="AI682" s="17" t="str">
        <f>IF(NOT(ISBLANK(Audit[[#This Row],[Audit Candidate 5]])), Audit[[#This Row],[Audit Candidate 5]]-Audit[[#This Row],[Candidate 5]], "")</f>
        <v/>
      </c>
      <c r="AJ682" s="17" t="str">
        <f>IF(NOT(ISBLANK(Audit[[#This Row],[Audit Candidate 6]])), Audit[[#This Row],[Audit Candidate 6]]-Audit[[#This Row],[Candidate 6]], "")</f>
        <v/>
      </c>
      <c r="AK682" s="17" t="str">
        <f>IF(NOT(ISBLANK(Audit[[#This Row],[Audit Candidate 7]])), Audit[[#This Row],[Audit Candidate 7]]-Audit[[#This Row],[Candidate 7]], "")</f>
        <v/>
      </c>
      <c r="AL682" s="17" t="str">
        <f>IF(NOT(ISBLANK(Audit[[#This Row],[Audit Candidate 8]])), Audit[[#This Row],[Audit Candidate 8]]-Audit[[#This Row],[Candidate 8]], "")</f>
        <v/>
      </c>
      <c r="AM682" s="17" t="str">
        <f>IF(NOT(ISBLANK(Audit[[#This Row],[Audit Candidate 9]])), Audit[[#This Row],[Audit Candidate 9]]-Audit[[#This Row],[Candidate 9]], "")</f>
        <v/>
      </c>
      <c r="AN682" s="17" t="str">
        <f>IF(NOT(ISBLANK(Audit[[#This Row],[Audit Candidate 10]])), Audit[[#This Row],[Audit Candidate 10]]-Audit[[#This Row],[Candidate 10]], "")</f>
        <v/>
      </c>
      <c r="AO682" s="17" t="str">
        <f>IF(NOT(ISBLANK(Audit[[#This Row],[Audit Candidate 11]])), Audit[[#This Row],[Audit Candidate 11]]-Audit[[#This Row],[Candidate 11]], "")</f>
        <v/>
      </c>
      <c r="AP682" s="17" t="str">
        <f>IF(NOT(ISBLANK(Audit[[#This Row],[Audit Candidate 12]])), Audit[[#This Row],[Audit Candidate 12]]-Audit[[#This Row],[Candidate 12]], "")</f>
        <v/>
      </c>
      <c r="AQ682" s="17">
        <f>SUMIF(Audit[[#This Row],[Difference Winner]:[Difference Candidate 12]], "&gt;0")</f>
        <v>0</v>
      </c>
      <c r="AR682" s="17">
        <f>SUM(Audit[[#This Row],[Difference Winner]:[Difference Candidate 12]])</f>
        <v>0</v>
      </c>
      <c r="AS682" s="17">
        <f>IF(Audit[[#This Row],[Times p Drawn - With Replacement]]&gt;0, IF(Audit[[#This Row],[Canceled Differences]]&lt;0, Audit[[#This Row],[Max Differences]]+ABS(Audit[[#This Row],[Canceled Differences]]), Audit[[#This Row],[Max Differences]]), 0)</f>
        <v>0</v>
      </c>
      <c r="AT682" s="17">
        <f>'Sampling Data'!AB682</f>
        <v>1.4471227295875064E-2</v>
      </c>
      <c r="AU682" s="17">
        <f>IF(
      SUM(Audit[[#This Row],[Audit Losing Candidate]:[Audit Candidate 12]])
      &lt;&gt;0,
      (Audit[[#This Row],[Winning Candidate]]-Audit[[#This Row],[Losing Candidate]]-(Audit[[#This Row],[Audit Winning Candidate]]-Audit[[#This Row],[Audit Losing Candidate]]))/(Audit[[#Totals],[Winning Candidate]]-Audit[[#Totals],[Losing Candidate]]),
      0
)</f>
        <v>0</v>
      </c>
      <c r="AV6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2" s="17">
        <f>IF(Audit[[#This Row],[Max Relative Error (ep)]] = 0, 0, Audit[[#This Row],[Max Relative Error (ep)]]/Audit[[#This Row],[Error Bound (up) - Max. possible relative overstatement]])</f>
        <v>0</v>
      </c>
      <c r="BH6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82" s="17">
        <f t="shared" si="11"/>
        <v>1</v>
      </c>
      <c r="BJ682" s="17">
        <f>PRODUCT($BI$5:BI682)</f>
        <v>0.25266558253744331</v>
      </c>
      <c r="BK682" s="19">
        <f>1 - Audit[[#This Row],[K-M P Value]]</f>
        <v>0.74733441746255669</v>
      </c>
      <c r="BL682" s="17" t="str">
        <f>IF(Audit[[#This Row],[K-M P Value]]&gt;1-'General Info'!$B$12,"Continue", "Stop")</f>
        <v>Continue</v>
      </c>
      <c r="BM682" s="22" t="b">
        <f>IF(Audit[[#This Row],[Status - Continue or stop audit]] = "Continue", TRUE, IF(BL681 = "Continue", TRUE, FALSE))</f>
        <v>1</v>
      </c>
      <c r="BN682" s="22"/>
    </row>
    <row r="683" spans="1:66" ht="15" hidden="1" customHeight="1" x14ac:dyDescent="0.35">
      <c r="A683" s="17" t="str">
        <f>'Sampling Data'!AI683</f>
        <v/>
      </c>
      <c r="B683" s="17" t="str">
        <f>'Sampling Data'!A683</f>
        <v>1902 CIN 19-B   (ED)</v>
      </c>
      <c r="C683" s="17">
        <f>'Sampling Data'!B683</f>
        <v>212</v>
      </c>
      <c r="D683" s="17">
        <f>'Sampling Data'!C683</f>
        <v>474</v>
      </c>
      <c r="E683" s="18">
        <f>'Sampling Data'!D683</f>
        <v>0</v>
      </c>
      <c r="F683" s="18">
        <f>'Sampling Data'!E683</f>
        <v>0</v>
      </c>
      <c r="G683" s="18">
        <f>'Sampling Data'!F683</f>
        <v>0</v>
      </c>
      <c r="H683" s="18">
        <f>'Sampling Data'!G683</f>
        <v>0</v>
      </c>
      <c r="I683" s="18">
        <f>'Sampling Data'!H683</f>
        <v>0</v>
      </c>
      <c r="J683" s="18">
        <f>'Sampling Data'!I683</f>
        <v>0</v>
      </c>
      <c r="K683" s="18">
        <f>'Sampling Data'!J683</f>
        <v>0</v>
      </c>
      <c r="L683" s="18">
        <f>'Sampling Data'!K683</f>
        <v>0</v>
      </c>
      <c r="M683" s="18">
        <f>'Sampling Data'!L683</f>
        <v>0</v>
      </c>
      <c r="N683" s="18">
        <f>'Sampling Data'!M683</f>
        <v>0</v>
      </c>
      <c r="O683" s="17">
        <f>'Sampling Data'!N683</f>
        <v>1</v>
      </c>
      <c r="P683" s="17">
        <f>'Sampling Data'!O683</f>
        <v>55</v>
      </c>
      <c r="Q683" s="17">
        <f>'Sampling Data'!P683</f>
        <v>742</v>
      </c>
      <c r="R683" s="17">
        <f>'Sampling Data'!AJ683</f>
        <v>0</v>
      </c>
      <c r="S683" s="111"/>
      <c r="T683" s="111"/>
      <c r="U683" s="112"/>
      <c r="V683" s="112"/>
      <c r="W683" s="111"/>
      <c r="X683" s="111"/>
      <c r="Y683" s="111"/>
      <c r="Z683" s="111"/>
      <c r="AA683" s="14"/>
      <c r="AB683" s="14"/>
      <c r="AC683" s="14"/>
      <c r="AD683" s="14"/>
      <c r="AE683" s="113" t="str">
        <f>IF(NOT(ISBLANK(Audit[[#This Row],[Audit Winning Candidate]])), Audit[[#This Row],[Audit Winning Candidate]]-Audit[[#This Row],[Winning Candidate]], "")</f>
        <v/>
      </c>
      <c r="AF683" s="17" t="str">
        <f>IF(NOT(ISBLANK(Audit[[#This Row],[Audit Losing Candidate]])), Audit[[#This Row],[Audit Losing Candidate]]-Audit[[#This Row],[Losing Candidate]], "")</f>
        <v/>
      </c>
      <c r="AG683" s="17" t="str">
        <f>IF(NOT(ISBLANK(Audit[[#This Row],[Audit Candidate 3]])), Audit[[#This Row],[Audit Candidate 3]]-Audit[[#This Row],[Candidate 3]], "")</f>
        <v/>
      </c>
      <c r="AH683" s="17" t="str">
        <f>IF(NOT(ISBLANK(Audit[[#This Row],[Audit Candidate 4]])),Audit[[#This Row],[Audit Candidate 4]]-Audit[[#This Row],[Candidate 4]], "")</f>
        <v/>
      </c>
      <c r="AI683" s="17" t="str">
        <f>IF(NOT(ISBLANK(Audit[[#This Row],[Audit Candidate 5]])), Audit[[#This Row],[Audit Candidate 5]]-Audit[[#This Row],[Candidate 5]], "")</f>
        <v/>
      </c>
      <c r="AJ683" s="17" t="str">
        <f>IF(NOT(ISBLANK(Audit[[#This Row],[Audit Candidate 6]])), Audit[[#This Row],[Audit Candidate 6]]-Audit[[#This Row],[Candidate 6]], "")</f>
        <v/>
      </c>
      <c r="AK683" s="17" t="str">
        <f>IF(NOT(ISBLANK(Audit[[#This Row],[Audit Candidate 7]])), Audit[[#This Row],[Audit Candidate 7]]-Audit[[#This Row],[Candidate 7]], "")</f>
        <v/>
      </c>
      <c r="AL683" s="17" t="str">
        <f>IF(NOT(ISBLANK(Audit[[#This Row],[Audit Candidate 8]])), Audit[[#This Row],[Audit Candidate 8]]-Audit[[#This Row],[Candidate 8]], "")</f>
        <v/>
      </c>
      <c r="AM683" s="17" t="str">
        <f>IF(NOT(ISBLANK(Audit[[#This Row],[Audit Candidate 9]])), Audit[[#This Row],[Audit Candidate 9]]-Audit[[#This Row],[Candidate 9]], "")</f>
        <v/>
      </c>
      <c r="AN683" s="17" t="str">
        <f>IF(NOT(ISBLANK(Audit[[#This Row],[Audit Candidate 10]])), Audit[[#This Row],[Audit Candidate 10]]-Audit[[#This Row],[Candidate 10]], "")</f>
        <v/>
      </c>
      <c r="AO683" s="17" t="str">
        <f>IF(NOT(ISBLANK(Audit[[#This Row],[Audit Candidate 11]])), Audit[[#This Row],[Audit Candidate 11]]-Audit[[#This Row],[Candidate 11]], "")</f>
        <v/>
      </c>
      <c r="AP683" s="17" t="str">
        <f>IF(NOT(ISBLANK(Audit[[#This Row],[Audit Candidate 12]])), Audit[[#This Row],[Audit Candidate 12]]-Audit[[#This Row],[Candidate 12]], "")</f>
        <v/>
      </c>
      <c r="AQ683" s="17">
        <f>SUMIF(Audit[[#This Row],[Difference Winner]:[Difference Candidate 12]], "&gt;0")</f>
        <v>0</v>
      </c>
      <c r="AR683" s="17">
        <f>SUM(Audit[[#This Row],[Difference Winner]:[Difference Candidate 12]])</f>
        <v>0</v>
      </c>
      <c r="AS683" s="17">
        <f>IF(Audit[[#This Row],[Times p Drawn - With Replacement]]&gt;0, IF(Audit[[#This Row],[Canceled Differences]]&lt;0, Audit[[#This Row],[Max Differences]]+ABS(Audit[[#This Row],[Canceled Differences]]), Audit[[#This Row],[Max Differences]]), 0)</f>
        <v>0</v>
      </c>
      <c r="AT683" s="17">
        <f>'Sampling Data'!AB683</f>
        <v>2.0370056017654049E-2</v>
      </c>
      <c r="AU683" s="17">
        <f>IF(
      SUM(Audit[[#This Row],[Audit Losing Candidate]:[Audit Candidate 12]])
      &lt;&gt;0,
      (Audit[[#This Row],[Winning Candidate]]-Audit[[#This Row],[Losing Candidate]]-(Audit[[#This Row],[Audit Winning Candidate]]-Audit[[#This Row],[Audit Losing Candidate]]))/(Audit[[#Totals],[Winning Candidate]]-Audit[[#Totals],[Losing Candidate]]),
      0
)</f>
        <v>0</v>
      </c>
      <c r="AV6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3" s="17">
        <f>IF(Audit[[#This Row],[Max Relative Error (ep)]] = 0, 0, Audit[[#This Row],[Max Relative Error (ep)]]/Audit[[#This Row],[Error Bound (up) - Max. possible relative overstatement]])</f>
        <v>0</v>
      </c>
      <c r="BH6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83" s="17">
        <f t="shared" si="11"/>
        <v>1</v>
      </c>
      <c r="BJ683" s="17">
        <f>PRODUCT($BI$5:BI683)</f>
        <v>0.25266558253744331</v>
      </c>
      <c r="BK683" s="19">
        <f>1 - Audit[[#This Row],[K-M P Value]]</f>
        <v>0.74733441746255669</v>
      </c>
      <c r="BL683" s="17" t="str">
        <f>IF(Audit[[#This Row],[K-M P Value]]&gt;1-'General Info'!$B$12,"Continue", "Stop")</f>
        <v>Continue</v>
      </c>
      <c r="BM683" s="22" t="b">
        <f>IF(Audit[[#This Row],[Status - Continue or stop audit]] = "Continue", TRUE, IF(BL682 = "Continue", TRUE, FALSE))</f>
        <v>1</v>
      </c>
      <c r="BN683" s="22"/>
    </row>
    <row r="684" spans="1:66" ht="15" hidden="1" customHeight="1" x14ac:dyDescent="0.35">
      <c r="A684" s="17" t="str">
        <f>'Sampling Data'!AI684</f>
        <v/>
      </c>
      <c r="B684" s="17" t="str">
        <f>'Sampling Data'!A684</f>
        <v>1903 CIN 19-C   (ED)</v>
      </c>
      <c r="C684" s="17">
        <f>'Sampling Data'!B684</f>
        <v>153</v>
      </c>
      <c r="D684" s="17">
        <f>'Sampling Data'!C684</f>
        <v>253</v>
      </c>
      <c r="E684" s="18">
        <f>'Sampling Data'!D684</f>
        <v>0</v>
      </c>
      <c r="F684" s="18">
        <f>'Sampling Data'!E684</f>
        <v>0</v>
      </c>
      <c r="G684" s="18">
        <f>'Sampling Data'!F684</f>
        <v>0</v>
      </c>
      <c r="H684" s="18">
        <f>'Sampling Data'!G684</f>
        <v>0</v>
      </c>
      <c r="I684" s="18">
        <f>'Sampling Data'!H684</f>
        <v>0</v>
      </c>
      <c r="J684" s="18">
        <f>'Sampling Data'!I684</f>
        <v>0</v>
      </c>
      <c r="K684" s="18">
        <f>'Sampling Data'!J684</f>
        <v>0</v>
      </c>
      <c r="L684" s="18">
        <f>'Sampling Data'!K684</f>
        <v>0</v>
      </c>
      <c r="M684" s="18">
        <f>'Sampling Data'!L684</f>
        <v>0</v>
      </c>
      <c r="N684" s="18">
        <f>'Sampling Data'!M684</f>
        <v>0</v>
      </c>
      <c r="O684" s="17">
        <f>'Sampling Data'!N684</f>
        <v>0</v>
      </c>
      <c r="P684" s="17">
        <f>'Sampling Data'!O684</f>
        <v>33</v>
      </c>
      <c r="Q684" s="17">
        <f>'Sampling Data'!P684</f>
        <v>439</v>
      </c>
      <c r="R684" s="17">
        <f>'Sampling Data'!AJ684</f>
        <v>0</v>
      </c>
      <c r="S684" s="111"/>
      <c r="T684" s="111"/>
      <c r="U684" s="112"/>
      <c r="V684" s="112"/>
      <c r="W684" s="111"/>
      <c r="X684" s="111"/>
      <c r="Y684" s="111"/>
      <c r="Z684" s="111"/>
      <c r="AA684" s="14"/>
      <c r="AB684" s="14"/>
      <c r="AC684" s="14"/>
      <c r="AD684" s="14"/>
      <c r="AE684" s="113" t="str">
        <f>IF(NOT(ISBLANK(Audit[[#This Row],[Audit Winning Candidate]])), Audit[[#This Row],[Audit Winning Candidate]]-Audit[[#This Row],[Winning Candidate]], "")</f>
        <v/>
      </c>
      <c r="AF684" s="17" t="str">
        <f>IF(NOT(ISBLANK(Audit[[#This Row],[Audit Losing Candidate]])), Audit[[#This Row],[Audit Losing Candidate]]-Audit[[#This Row],[Losing Candidate]], "")</f>
        <v/>
      </c>
      <c r="AG684" s="17" t="str">
        <f>IF(NOT(ISBLANK(Audit[[#This Row],[Audit Candidate 3]])), Audit[[#This Row],[Audit Candidate 3]]-Audit[[#This Row],[Candidate 3]], "")</f>
        <v/>
      </c>
      <c r="AH684" s="17" t="str">
        <f>IF(NOT(ISBLANK(Audit[[#This Row],[Audit Candidate 4]])),Audit[[#This Row],[Audit Candidate 4]]-Audit[[#This Row],[Candidate 4]], "")</f>
        <v/>
      </c>
      <c r="AI684" s="17" t="str">
        <f>IF(NOT(ISBLANK(Audit[[#This Row],[Audit Candidate 5]])), Audit[[#This Row],[Audit Candidate 5]]-Audit[[#This Row],[Candidate 5]], "")</f>
        <v/>
      </c>
      <c r="AJ684" s="17" t="str">
        <f>IF(NOT(ISBLANK(Audit[[#This Row],[Audit Candidate 6]])), Audit[[#This Row],[Audit Candidate 6]]-Audit[[#This Row],[Candidate 6]], "")</f>
        <v/>
      </c>
      <c r="AK684" s="17" t="str">
        <f>IF(NOT(ISBLANK(Audit[[#This Row],[Audit Candidate 7]])), Audit[[#This Row],[Audit Candidate 7]]-Audit[[#This Row],[Candidate 7]], "")</f>
        <v/>
      </c>
      <c r="AL684" s="17" t="str">
        <f>IF(NOT(ISBLANK(Audit[[#This Row],[Audit Candidate 8]])), Audit[[#This Row],[Audit Candidate 8]]-Audit[[#This Row],[Candidate 8]], "")</f>
        <v/>
      </c>
      <c r="AM684" s="17" t="str">
        <f>IF(NOT(ISBLANK(Audit[[#This Row],[Audit Candidate 9]])), Audit[[#This Row],[Audit Candidate 9]]-Audit[[#This Row],[Candidate 9]], "")</f>
        <v/>
      </c>
      <c r="AN684" s="17" t="str">
        <f>IF(NOT(ISBLANK(Audit[[#This Row],[Audit Candidate 10]])), Audit[[#This Row],[Audit Candidate 10]]-Audit[[#This Row],[Candidate 10]], "")</f>
        <v/>
      </c>
      <c r="AO684" s="17" t="str">
        <f>IF(NOT(ISBLANK(Audit[[#This Row],[Audit Candidate 11]])), Audit[[#This Row],[Audit Candidate 11]]-Audit[[#This Row],[Candidate 11]], "")</f>
        <v/>
      </c>
      <c r="AP684" s="17" t="str">
        <f>IF(NOT(ISBLANK(Audit[[#This Row],[Audit Candidate 12]])), Audit[[#This Row],[Audit Candidate 12]]-Audit[[#This Row],[Candidate 12]], "")</f>
        <v/>
      </c>
      <c r="AQ684" s="17">
        <f>SUMIF(Audit[[#This Row],[Difference Winner]:[Difference Candidate 12]], "&gt;0")</f>
        <v>0</v>
      </c>
      <c r="AR684" s="17">
        <f>SUM(Audit[[#This Row],[Difference Winner]:[Difference Candidate 12]])</f>
        <v>0</v>
      </c>
      <c r="AS684" s="17">
        <f>IF(Audit[[#This Row],[Times p Drawn - With Replacement]]&gt;0, IF(Audit[[#This Row],[Canceled Differences]]&lt;0, Audit[[#This Row],[Max Differences]]+ABS(Audit[[#This Row],[Canceled Differences]]), Audit[[#This Row],[Max Differences]]), 0)</f>
        <v>0</v>
      </c>
      <c r="AT684" s="17">
        <f>'Sampling Data'!AB684</f>
        <v>1.4386352062468171E-2</v>
      </c>
      <c r="AU684" s="17">
        <f>IF(
      SUM(Audit[[#This Row],[Audit Losing Candidate]:[Audit Candidate 12]])
      &lt;&gt;0,
      (Audit[[#This Row],[Winning Candidate]]-Audit[[#This Row],[Losing Candidate]]-(Audit[[#This Row],[Audit Winning Candidate]]-Audit[[#This Row],[Audit Losing Candidate]]))/(Audit[[#Totals],[Winning Candidate]]-Audit[[#Totals],[Losing Candidate]]),
      0
)</f>
        <v>0</v>
      </c>
      <c r="AV6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4" s="17">
        <f>IF(Audit[[#This Row],[Max Relative Error (ep)]] = 0, 0, Audit[[#This Row],[Max Relative Error (ep)]]/Audit[[#This Row],[Error Bound (up) - Max. possible relative overstatement]])</f>
        <v>0</v>
      </c>
      <c r="BH6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84" s="17">
        <f t="shared" si="11"/>
        <v>1</v>
      </c>
      <c r="BJ684" s="17">
        <f>PRODUCT($BI$5:BI684)</f>
        <v>0.25266558253744331</v>
      </c>
      <c r="BK684" s="19">
        <f>1 - Audit[[#This Row],[K-M P Value]]</f>
        <v>0.74733441746255669</v>
      </c>
      <c r="BL684" s="17" t="str">
        <f>IF(Audit[[#This Row],[K-M P Value]]&gt;1-'General Info'!$B$12,"Continue", "Stop")</f>
        <v>Continue</v>
      </c>
      <c r="BM684" s="22" t="b">
        <f>IF(Audit[[#This Row],[Status - Continue or stop audit]] = "Continue", TRUE, IF(BL683 = "Continue", TRUE, FALSE))</f>
        <v>1</v>
      </c>
      <c r="BN684" s="22"/>
    </row>
    <row r="685" spans="1:66" ht="15" hidden="1" customHeight="1" x14ac:dyDescent="0.35">
      <c r="A685" s="17" t="str">
        <f>'Sampling Data'!AI685</f>
        <v/>
      </c>
      <c r="B685" s="17" t="str">
        <f>'Sampling Data'!A685</f>
        <v>1904 CIN 19-D   (ED)</v>
      </c>
      <c r="C685" s="17">
        <f>'Sampling Data'!B685</f>
        <v>51</v>
      </c>
      <c r="D685" s="17">
        <f>'Sampling Data'!C685</f>
        <v>41</v>
      </c>
      <c r="E685" s="18">
        <f>'Sampling Data'!D685</f>
        <v>0</v>
      </c>
      <c r="F685" s="18">
        <f>'Sampling Data'!E685</f>
        <v>0</v>
      </c>
      <c r="G685" s="18">
        <f>'Sampling Data'!F685</f>
        <v>0</v>
      </c>
      <c r="H685" s="18">
        <f>'Sampling Data'!G685</f>
        <v>0</v>
      </c>
      <c r="I685" s="18">
        <f>'Sampling Data'!H685</f>
        <v>0</v>
      </c>
      <c r="J685" s="18">
        <f>'Sampling Data'!I685</f>
        <v>0</v>
      </c>
      <c r="K685" s="18">
        <f>'Sampling Data'!J685</f>
        <v>0</v>
      </c>
      <c r="L685" s="18">
        <f>'Sampling Data'!K685</f>
        <v>0</v>
      </c>
      <c r="M685" s="18">
        <f>'Sampling Data'!L685</f>
        <v>0</v>
      </c>
      <c r="N685" s="18">
        <f>'Sampling Data'!M685</f>
        <v>0</v>
      </c>
      <c r="O685" s="17">
        <f>'Sampling Data'!N685</f>
        <v>0</v>
      </c>
      <c r="P685" s="17">
        <f>'Sampling Data'!O685</f>
        <v>10</v>
      </c>
      <c r="Q685" s="17">
        <f>'Sampling Data'!P685</f>
        <v>102</v>
      </c>
      <c r="R685" s="17">
        <f>'Sampling Data'!AJ685</f>
        <v>0</v>
      </c>
      <c r="S685" s="111"/>
      <c r="T685" s="111"/>
      <c r="U685" s="112"/>
      <c r="V685" s="112"/>
      <c r="W685" s="111"/>
      <c r="X685" s="111"/>
      <c r="Y685" s="111"/>
      <c r="Z685" s="111"/>
      <c r="AA685" s="14"/>
      <c r="AB685" s="14"/>
      <c r="AC685" s="14"/>
      <c r="AD685" s="14"/>
      <c r="AE685" s="113" t="str">
        <f>IF(NOT(ISBLANK(Audit[[#This Row],[Audit Winning Candidate]])), Audit[[#This Row],[Audit Winning Candidate]]-Audit[[#This Row],[Winning Candidate]], "")</f>
        <v/>
      </c>
      <c r="AF685" s="17" t="str">
        <f>IF(NOT(ISBLANK(Audit[[#This Row],[Audit Losing Candidate]])), Audit[[#This Row],[Audit Losing Candidate]]-Audit[[#This Row],[Losing Candidate]], "")</f>
        <v/>
      </c>
      <c r="AG685" s="17" t="str">
        <f>IF(NOT(ISBLANK(Audit[[#This Row],[Audit Candidate 3]])), Audit[[#This Row],[Audit Candidate 3]]-Audit[[#This Row],[Candidate 3]], "")</f>
        <v/>
      </c>
      <c r="AH685" s="17" t="str">
        <f>IF(NOT(ISBLANK(Audit[[#This Row],[Audit Candidate 4]])),Audit[[#This Row],[Audit Candidate 4]]-Audit[[#This Row],[Candidate 4]], "")</f>
        <v/>
      </c>
      <c r="AI685" s="17" t="str">
        <f>IF(NOT(ISBLANK(Audit[[#This Row],[Audit Candidate 5]])), Audit[[#This Row],[Audit Candidate 5]]-Audit[[#This Row],[Candidate 5]], "")</f>
        <v/>
      </c>
      <c r="AJ685" s="17" t="str">
        <f>IF(NOT(ISBLANK(Audit[[#This Row],[Audit Candidate 6]])), Audit[[#This Row],[Audit Candidate 6]]-Audit[[#This Row],[Candidate 6]], "")</f>
        <v/>
      </c>
      <c r="AK685" s="17" t="str">
        <f>IF(NOT(ISBLANK(Audit[[#This Row],[Audit Candidate 7]])), Audit[[#This Row],[Audit Candidate 7]]-Audit[[#This Row],[Candidate 7]], "")</f>
        <v/>
      </c>
      <c r="AL685" s="17" t="str">
        <f>IF(NOT(ISBLANK(Audit[[#This Row],[Audit Candidate 8]])), Audit[[#This Row],[Audit Candidate 8]]-Audit[[#This Row],[Candidate 8]], "")</f>
        <v/>
      </c>
      <c r="AM685" s="17" t="str">
        <f>IF(NOT(ISBLANK(Audit[[#This Row],[Audit Candidate 9]])), Audit[[#This Row],[Audit Candidate 9]]-Audit[[#This Row],[Candidate 9]], "")</f>
        <v/>
      </c>
      <c r="AN685" s="17" t="str">
        <f>IF(NOT(ISBLANK(Audit[[#This Row],[Audit Candidate 10]])), Audit[[#This Row],[Audit Candidate 10]]-Audit[[#This Row],[Candidate 10]], "")</f>
        <v/>
      </c>
      <c r="AO685" s="17" t="str">
        <f>IF(NOT(ISBLANK(Audit[[#This Row],[Audit Candidate 11]])), Audit[[#This Row],[Audit Candidate 11]]-Audit[[#This Row],[Candidate 11]], "")</f>
        <v/>
      </c>
      <c r="AP685" s="17" t="str">
        <f>IF(NOT(ISBLANK(Audit[[#This Row],[Audit Candidate 12]])), Audit[[#This Row],[Audit Candidate 12]]-Audit[[#This Row],[Candidate 12]], "")</f>
        <v/>
      </c>
      <c r="AQ685" s="17">
        <f>SUMIF(Audit[[#This Row],[Difference Winner]:[Difference Candidate 12]], "&gt;0")</f>
        <v>0</v>
      </c>
      <c r="AR685" s="17">
        <f>SUM(Audit[[#This Row],[Difference Winner]:[Difference Candidate 12]])</f>
        <v>0</v>
      </c>
      <c r="AS685" s="17">
        <f>IF(Audit[[#This Row],[Times p Drawn - With Replacement]]&gt;0, IF(Audit[[#This Row],[Canceled Differences]]&lt;0, Audit[[#This Row],[Max Differences]]+ABS(Audit[[#This Row],[Canceled Differences]]), Audit[[#This Row],[Max Differences]]), 0)</f>
        <v>0</v>
      </c>
      <c r="AT685" s="17">
        <f>'Sampling Data'!AB685</f>
        <v>4.7530130707859443E-3</v>
      </c>
      <c r="AU685" s="17">
        <f>IF(
      SUM(Audit[[#This Row],[Audit Losing Candidate]:[Audit Candidate 12]])
      &lt;&gt;0,
      (Audit[[#This Row],[Winning Candidate]]-Audit[[#This Row],[Losing Candidate]]-(Audit[[#This Row],[Audit Winning Candidate]]-Audit[[#This Row],[Audit Losing Candidate]]))/(Audit[[#Totals],[Winning Candidate]]-Audit[[#Totals],[Losing Candidate]]),
      0
)</f>
        <v>0</v>
      </c>
      <c r="AV6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5" s="17">
        <f>IF(Audit[[#This Row],[Max Relative Error (ep)]] = 0, 0, Audit[[#This Row],[Max Relative Error (ep)]]/Audit[[#This Row],[Error Bound (up) - Max. possible relative overstatement]])</f>
        <v>0</v>
      </c>
      <c r="BH6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85" s="17">
        <f t="shared" si="11"/>
        <v>1</v>
      </c>
      <c r="BJ685" s="17">
        <f>PRODUCT($BI$5:BI685)</f>
        <v>0.25266558253744331</v>
      </c>
      <c r="BK685" s="19">
        <f>1 - Audit[[#This Row],[K-M P Value]]</f>
        <v>0.74733441746255669</v>
      </c>
      <c r="BL685" s="17" t="str">
        <f>IF(Audit[[#This Row],[K-M P Value]]&gt;1-'General Info'!$B$12,"Continue", "Stop")</f>
        <v>Continue</v>
      </c>
      <c r="BM685" s="22" t="b">
        <f>IF(Audit[[#This Row],[Status - Continue or stop audit]] = "Continue", TRUE, IF(BL684 = "Continue", TRUE, FALSE))</f>
        <v>1</v>
      </c>
      <c r="BN685" s="22"/>
    </row>
    <row r="686" spans="1:66" ht="15" hidden="1" customHeight="1" x14ac:dyDescent="0.35">
      <c r="A686" s="17" t="str">
        <f>'Sampling Data'!AI686</f>
        <v/>
      </c>
      <c r="B686" s="17" t="str">
        <f>'Sampling Data'!A686</f>
        <v>2001 CIN 20-A   (ED)</v>
      </c>
      <c r="C686" s="17">
        <f>'Sampling Data'!B686</f>
        <v>211</v>
      </c>
      <c r="D686" s="17">
        <f>'Sampling Data'!C686</f>
        <v>107</v>
      </c>
      <c r="E686" s="18">
        <f>'Sampling Data'!D686</f>
        <v>0</v>
      </c>
      <c r="F686" s="18">
        <f>'Sampling Data'!E686</f>
        <v>0</v>
      </c>
      <c r="G686" s="18">
        <f>'Sampling Data'!F686</f>
        <v>0</v>
      </c>
      <c r="H686" s="18">
        <f>'Sampling Data'!G686</f>
        <v>0</v>
      </c>
      <c r="I686" s="18">
        <f>'Sampling Data'!H686</f>
        <v>0</v>
      </c>
      <c r="J686" s="18">
        <f>'Sampling Data'!I686</f>
        <v>0</v>
      </c>
      <c r="K686" s="18">
        <f>'Sampling Data'!J686</f>
        <v>0</v>
      </c>
      <c r="L686" s="18">
        <f>'Sampling Data'!K686</f>
        <v>0</v>
      </c>
      <c r="M686" s="18">
        <f>'Sampling Data'!L686</f>
        <v>0</v>
      </c>
      <c r="N686" s="18">
        <f>'Sampling Data'!M686</f>
        <v>0</v>
      </c>
      <c r="O686" s="17">
        <f>'Sampling Data'!N686</f>
        <v>0</v>
      </c>
      <c r="P686" s="17">
        <f>'Sampling Data'!O686</f>
        <v>20</v>
      </c>
      <c r="Q686" s="17">
        <f>'Sampling Data'!P686</f>
        <v>338</v>
      </c>
      <c r="R686" s="17">
        <f>'Sampling Data'!AJ686</f>
        <v>0</v>
      </c>
      <c r="S686" s="111"/>
      <c r="T686" s="111"/>
      <c r="U686" s="112"/>
      <c r="V686" s="112"/>
      <c r="W686" s="111"/>
      <c r="X686" s="111"/>
      <c r="Y686" s="111"/>
      <c r="Z686" s="111"/>
      <c r="AA686" s="14"/>
      <c r="AB686" s="14"/>
      <c r="AC686" s="14"/>
      <c r="AD686" s="14"/>
      <c r="AE686" s="113" t="str">
        <f>IF(NOT(ISBLANK(Audit[[#This Row],[Audit Winning Candidate]])), Audit[[#This Row],[Audit Winning Candidate]]-Audit[[#This Row],[Winning Candidate]], "")</f>
        <v/>
      </c>
      <c r="AF686" s="17" t="str">
        <f>IF(NOT(ISBLANK(Audit[[#This Row],[Audit Losing Candidate]])), Audit[[#This Row],[Audit Losing Candidate]]-Audit[[#This Row],[Losing Candidate]], "")</f>
        <v/>
      </c>
      <c r="AG686" s="17" t="str">
        <f>IF(NOT(ISBLANK(Audit[[#This Row],[Audit Candidate 3]])), Audit[[#This Row],[Audit Candidate 3]]-Audit[[#This Row],[Candidate 3]], "")</f>
        <v/>
      </c>
      <c r="AH686" s="17" t="str">
        <f>IF(NOT(ISBLANK(Audit[[#This Row],[Audit Candidate 4]])),Audit[[#This Row],[Audit Candidate 4]]-Audit[[#This Row],[Candidate 4]], "")</f>
        <v/>
      </c>
      <c r="AI686" s="17" t="str">
        <f>IF(NOT(ISBLANK(Audit[[#This Row],[Audit Candidate 5]])), Audit[[#This Row],[Audit Candidate 5]]-Audit[[#This Row],[Candidate 5]], "")</f>
        <v/>
      </c>
      <c r="AJ686" s="17" t="str">
        <f>IF(NOT(ISBLANK(Audit[[#This Row],[Audit Candidate 6]])), Audit[[#This Row],[Audit Candidate 6]]-Audit[[#This Row],[Candidate 6]], "")</f>
        <v/>
      </c>
      <c r="AK686" s="17" t="str">
        <f>IF(NOT(ISBLANK(Audit[[#This Row],[Audit Candidate 7]])), Audit[[#This Row],[Audit Candidate 7]]-Audit[[#This Row],[Candidate 7]], "")</f>
        <v/>
      </c>
      <c r="AL686" s="17" t="str">
        <f>IF(NOT(ISBLANK(Audit[[#This Row],[Audit Candidate 8]])), Audit[[#This Row],[Audit Candidate 8]]-Audit[[#This Row],[Candidate 8]], "")</f>
        <v/>
      </c>
      <c r="AM686" s="17" t="str">
        <f>IF(NOT(ISBLANK(Audit[[#This Row],[Audit Candidate 9]])), Audit[[#This Row],[Audit Candidate 9]]-Audit[[#This Row],[Candidate 9]], "")</f>
        <v/>
      </c>
      <c r="AN686" s="17" t="str">
        <f>IF(NOT(ISBLANK(Audit[[#This Row],[Audit Candidate 10]])), Audit[[#This Row],[Audit Candidate 10]]-Audit[[#This Row],[Candidate 10]], "")</f>
        <v/>
      </c>
      <c r="AO686" s="17" t="str">
        <f>IF(NOT(ISBLANK(Audit[[#This Row],[Audit Candidate 11]])), Audit[[#This Row],[Audit Candidate 11]]-Audit[[#This Row],[Candidate 11]], "")</f>
        <v/>
      </c>
      <c r="AP686" s="17" t="str">
        <f>IF(NOT(ISBLANK(Audit[[#This Row],[Audit Candidate 12]])), Audit[[#This Row],[Audit Candidate 12]]-Audit[[#This Row],[Candidate 12]], "")</f>
        <v/>
      </c>
      <c r="AQ686" s="17">
        <f>SUMIF(Audit[[#This Row],[Difference Winner]:[Difference Candidate 12]], "&gt;0")</f>
        <v>0</v>
      </c>
      <c r="AR686" s="17">
        <f>SUM(Audit[[#This Row],[Difference Winner]:[Difference Candidate 12]])</f>
        <v>0</v>
      </c>
      <c r="AS686" s="17">
        <f>IF(Audit[[#This Row],[Times p Drawn - With Replacement]]&gt;0, IF(Audit[[#This Row],[Canceled Differences]]&lt;0, Audit[[#This Row],[Max Differences]]+ABS(Audit[[#This Row],[Canceled Differences]]), Audit[[#This Row],[Max Differences]]), 0)</f>
        <v>0</v>
      </c>
      <c r="AT686" s="17">
        <f>'Sampling Data'!AB686</f>
        <v>1.8757426582923103E-2</v>
      </c>
      <c r="AU686" s="17">
        <f>IF(
      SUM(Audit[[#This Row],[Audit Losing Candidate]:[Audit Candidate 12]])
      &lt;&gt;0,
      (Audit[[#This Row],[Winning Candidate]]-Audit[[#This Row],[Losing Candidate]]-(Audit[[#This Row],[Audit Winning Candidate]]-Audit[[#This Row],[Audit Losing Candidate]]))/(Audit[[#Totals],[Winning Candidate]]-Audit[[#Totals],[Losing Candidate]]),
      0
)</f>
        <v>0</v>
      </c>
      <c r="AV6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6" s="17">
        <f>IF(Audit[[#This Row],[Max Relative Error (ep)]] = 0, 0, Audit[[#This Row],[Max Relative Error (ep)]]/Audit[[#This Row],[Error Bound (up) - Max. possible relative overstatement]])</f>
        <v>0</v>
      </c>
      <c r="BH6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86" s="17">
        <f t="shared" si="11"/>
        <v>1</v>
      </c>
      <c r="BJ686" s="17">
        <f>PRODUCT($BI$5:BI686)</f>
        <v>0.25266558253744331</v>
      </c>
      <c r="BK686" s="19">
        <f>1 - Audit[[#This Row],[K-M P Value]]</f>
        <v>0.74733441746255669</v>
      </c>
      <c r="BL686" s="17" t="str">
        <f>IF(Audit[[#This Row],[K-M P Value]]&gt;1-'General Info'!$B$12,"Continue", "Stop")</f>
        <v>Continue</v>
      </c>
      <c r="BM686" s="22" t="b">
        <f>IF(Audit[[#This Row],[Status - Continue or stop audit]] = "Continue", TRUE, IF(BL685 = "Continue", TRUE, FALSE))</f>
        <v>1</v>
      </c>
      <c r="BN686" s="22"/>
    </row>
    <row r="687" spans="1:66" ht="15" hidden="1" customHeight="1" x14ac:dyDescent="0.35">
      <c r="A687" s="17" t="str">
        <f>'Sampling Data'!AI687</f>
        <v/>
      </c>
      <c r="B687" s="17" t="str">
        <f>'Sampling Data'!A687</f>
        <v>2002 CIN 20-B   (ED)</v>
      </c>
      <c r="C687" s="17">
        <f>'Sampling Data'!B687</f>
        <v>192</v>
      </c>
      <c r="D687" s="17">
        <f>'Sampling Data'!C687</f>
        <v>117</v>
      </c>
      <c r="E687" s="18">
        <f>'Sampling Data'!D687</f>
        <v>0</v>
      </c>
      <c r="F687" s="18">
        <f>'Sampling Data'!E687</f>
        <v>0</v>
      </c>
      <c r="G687" s="18">
        <f>'Sampling Data'!F687</f>
        <v>0</v>
      </c>
      <c r="H687" s="18">
        <f>'Sampling Data'!G687</f>
        <v>0</v>
      </c>
      <c r="I687" s="18">
        <f>'Sampling Data'!H687</f>
        <v>0</v>
      </c>
      <c r="J687" s="18">
        <f>'Sampling Data'!I687</f>
        <v>0</v>
      </c>
      <c r="K687" s="18">
        <f>'Sampling Data'!J687</f>
        <v>0</v>
      </c>
      <c r="L687" s="18">
        <f>'Sampling Data'!K687</f>
        <v>0</v>
      </c>
      <c r="M687" s="18">
        <f>'Sampling Data'!L687</f>
        <v>0</v>
      </c>
      <c r="N687" s="18">
        <f>'Sampling Data'!M687</f>
        <v>0</v>
      </c>
      <c r="O687" s="17">
        <f>'Sampling Data'!N687</f>
        <v>0</v>
      </c>
      <c r="P687" s="17">
        <f>'Sampling Data'!O687</f>
        <v>24</v>
      </c>
      <c r="Q687" s="17">
        <f>'Sampling Data'!P687</f>
        <v>333</v>
      </c>
      <c r="R687" s="17">
        <f>'Sampling Data'!AJ687</f>
        <v>0</v>
      </c>
      <c r="S687" s="111"/>
      <c r="T687" s="111"/>
      <c r="U687" s="112"/>
      <c r="V687" s="112"/>
      <c r="W687" s="111"/>
      <c r="X687" s="111"/>
      <c r="Y687" s="111"/>
      <c r="Z687" s="111"/>
      <c r="AA687" s="14"/>
      <c r="AB687" s="14"/>
      <c r="AC687" s="14"/>
      <c r="AD687" s="14"/>
      <c r="AE687" s="113" t="str">
        <f>IF(NOT(ISBLANK(Audit[[#This Row],[Audit Winning Candidate]])), Audit[[#This Row],[Audit Winning Candidate]]-Audit[[#This Row],[Winning Candidate]], "")</f>
        <v/>
      </c>
      <c r="AF687" s="17" t="str">
        <f>IF(NOT(ISBLANK(Audit[[#This Row],[Audit Losing Candidate]])), Audit[[#This Row],[Audit Losing Candidate]]-Audit[[#This Row],[Losing Candidate]], "")</f>
        <v/>
      </c>
      <c r="AG687" s="17" t="str">
        <f>IF(NOT(ISBLANK(Audit[[#This Row],[Audit Candidate 3]])), Audit[[#This Row],[Audit Candidate 3]]-Audit[[#This Row],[Candidate 3]], "")</f>
        <v/>
      </c>
      <c r="AH687" s="17" t="str">
        <f>IF(NOT(ISBLANK(Audit[[#This Row],[Audit Candidate 4]])),Audit[[#This Row],[Audit Candidate 4]]-Audit[[#This Row],[Candidate 4]], "")</f>
        <v/>
      </c>
      <c r="AI687" s="17" t="str">
        <f>IF(NOT(ISBLANK(Audit[[#This Row],[Audit Candidate 5]])), Audit[[#This Row],[Audit Candidate 5]]-Audit[[#This Row],[Candidate 5]], "")</f>
        <v/>
      </c>
      <c r="AJ687" s="17" t="str">
        <f>IF(NOT(ISBLANK(Audit[[#This Row],[Audit Candidate 6]])), Audit[[#This Row],[Audit Candidate 6]]-Audit[[#This Row],[Candidate 6]], "")</f>
        <v/>
      </c>
      <c r="AK687" s="17" t="str">
        <f>IF(NOT(ISBLANK(Audit[[#This Row],[Audit Candidate 7]])), Audit[[#This Row],[Audit Candidate 7]]-Audit[[#This Row],[Candidate 7]], "")</f>
        <v/>
      </c>
      <c r="AL687" s="17" t="str">
        <f>IF(NOT(ISBLANK(Audit[[#This Row],[Audit Candidate 8]])), Audit[[#This Row],[Audit Candidate 8]]-Audit[[#This Row],[Candidate 8]], "")</f>
        <v/>
      </c>
      <c r="AM687" s="17" t="str">
        <f>IF(NOT(ISBLANK(Audit[[#This Row],[Audit Candidate 9]])), Audit[[#This Row],[Audit Candidate 9]]-Audit[[#This Row],[Candidate 9]], "")</f>
        <v/>
      </c>
      <c r="AN687" s="17" t="str">
        <f>IF(NOT(ISBLANK(Audit[[#This Row],[Audit Candidate 10]])), Audit[[#This Row],[Audit Candidate 10]]-Audit[[#This Row],[Candidate 10]], "")</f>
        <v/>
      </c>
      <c r="AO687" s="17" t="str">
        <f>IF(NOT(ISBLANK(Audit[[#This Row],[Audit Candidate 11]])), Audit[[#This Row],[Audit Candidate 11]]-Audit[[#This Row],[Candidate 11]], "")</f>
        <v/>
      </c>
      <c r="AP687" s="17" t="str">
        <f>IF(NOT(ISBLANK(Audit[[#This Row],[Audit Candidate 12]])), Audit[[#This Row],[Audit Candidate 12]]-Audit[[#This Row],[Candidate 12]], "")</f>
        <v/>
      </c>
      <c r="AQ687" s="17">
        <f>SUMIF(Audit[[#This Row],[Difference Winner]:[Difference Candidate 12]], "&gt;0")</f>
        <v>0</v>
      </c>
      <c r="AR687" s="17">
        <f>SUM(Audit[[#This Row],[Difference Winner]:[Difference Candidate 12]])</f>
        <v>0</v>
      </c>
      <c r="AS687" s="17">
        <f>IF(Audit[[#This Row],[Times p Drawn - With Replacement]]&gt;0, IF(Audit[[#This Row],[Canceled Differences]]&lt;0, Audit[[#This Row],[Max Differences]]+ABS(Audit[[#This Row],[Canceled Differences]]), Audit[[#This Row],[Max Differences]]), 0)</f>
        <v>0</v>
      </c>
      <c r="AT687" s="17">
        <f>'Sampling Data'!AB687</f>
        <v>1.7314547615005942E-2</v>
      </c>
      <c r="AU687" s="17">
        <f>IF(
      SUM(Audit[[#This Row],[Audit Losing Candidate]:[Audit Candidate 12]])
      &lt;&gt;0,
      (Audit[[#This Row],[Winning Candidate]]-Audit[[#This Row],[Losing Candidate]]-(Audit[[#This Row],[Audit Winning Candidate]]-Audit[[#This Row],[Audit Losing Candidate]]))/(Audit[[#Totals],[Winning Candidate]]-Audit[[#Totals],[Losing Candidate]]),
      0
)</f>
        <v>0</v>
      </c>
      <c r="AV6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7" s="17">
        <f>IF(Audit[[#This Row],[Max Relative Error (ep)]] = 0, 0, Audit[[#This Row],[Max Relative Error (ep)]]/Audit[[#This Row],[Error Bound (up) - Max. possible relative overstatement]])</f>
        <v>0</v>
      </c>
      <c r="BH6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87" s="17">
        <f t="shared" si="11"/>
        <v>1</v>
      </c>
      <c r="BJ687" s="17">
        <f>PRODUCT($BI$5:BI687)</f>
        <v>0.25266558253744331</v>
      </c>
      <c r="BK687" s="19">
        <f>1 - Audit[[#This Row],[K-M P Value]]</f>
        <v>0.74733441746255669</v>
      </c>
      <c r="BL687" s="17" t="str">
        <f>IF(Audit[[#This Row],[K-M P Value]]&gt;1-'General Info'!$B$12,"Continue", "Stop")</f>
        <v>Continue</v>
      </c>
      <c r="BM687" s="22" t="b">
        <f>IF(Audit[[#This Row],[Status - Continue or stop audit]] = "Continue", TRUE, IF(BL686 = "Continue", TRUE, FALSE))</f>
        <v>1</v>
      </c>
      <c r="BN687" s="22"/>
    </row>
    <row r="688" spans="1:66" ht="15" hidden="1" customHeight="1" x14ac:dyDescent="0.35">
      <c r="A688" s="17" t="str">
        <f>'Sampling Data'!AI688</f>
        <v/>
      </c>
      <c r="B688" s="17" t="str">
        <f>'Sampling Data'!A688</f>
        <v>2003 CIN 20-C   (ED)</v>
      </c>
      <c r="C688" s="17">
        <f>'Sampling Data'!B688</f>
        <v>275</v>
      </c>
      <c r="D688" s="17">
        <f>'Sampling Data'!C688</f>
        <v>192</v>
      </c>
      <c r="E688" s="18">
        <f>'Sampling Data'!D688</f>
        <v>0</v>
      </c>
      <c r="F688" s="18">
        <f>'Sampling Data'!E688</f>
        <v>0</v>
      </c>
      <c r="G688" s="18">
        <f>'Sampling Data'!F688</f>
        <v>0</v>
      </c>
      <c r="H688" s="18">
        <f>'Sampling Data'!G688</f>
        <v>0</v>
      </c>
      <c r="I688" s="18">
        <f>'Sampling Data'!H688</f>
        <v>0</v>
      </c>
      <c r="J688" s="18">
        <f>'Sampling Data'!I688</f>
        <v>0</v>
      </c>
      <c r="K688" s="18">
        <f>'Sampling Data'!J688</f>
        <v>0</v>
      </c>
      <c r="L688" s="18">
        <f>'Sampling Data'!K688</f>
        <v>0</v>
      </c>
      <c r="M688" s="18">
        <f>'Sampling Data'!L688</f>
        <v>0</v>
      </c>
      <c r="N688" s="18">
        <f>'Sampling Data'!M688</f>
        <v>0</v>
      </c>
      <c r="O688" s="17">
        <f>'Sampling Data'!N688</f>
        <v>1</v>
      </c>
      <c r="P688" s="17">
        <f>'Sampling Data'!O688</f>
        <v>35</v>
      </c>
      <c r="Q688" s="17">
        <f>'Sampling Data'!P688</f>
        <v>503</v>
      </c>
      <c r="R688" s="17">
        <f>'Sampling Data'!AJ688</f>
        <v>0</v>
      </c>
      <c r="S688" s="111"/>
      <c r="T688" s="111"/>
      <c r="U688" s="112"/>
      <c r="V688" s="112"/>
      <c r="W688" s="111"/>
      <c r="X688" s="111"/>
      <c r="Y688" s="111"/>
      <c r="Z688" s="111"/>
      <c r="AA688" s="14"/>
      <c r="AB688" s="14"/>
      <c r="AC688" s="14"/>
      <c r="AD688" s="14"/>
      <c r="AE688" s="113" t="str">
        <f>IF(NOT(ISBLANK(Audit[[#This Row],[Audit Winning Candidate]])), Audit[[#This Row],[Audit Winning Candidate]]-Audit[[#This Row],[Winning Candidate]], "")</f>
        <v/>
      </c>
      <c r="AF688" s="17" t="str">
        <f>IF(NOT(ISBLANK(Audit[[#This Row],[Audit Losing Candidate]])), Audit[[#This Row],[Audit Losing Candidate]]-Audit[[#This Row],[Losing Candidate]], "")</f>
        <v/>
      </c>
      <c r="AG688" s="17" t="str">
        <f>IF(NOT(ISBLANK(Audit[[#This Row],[Audit Candidate 3]])), Audit[[#This Row],[Audit Candidate 3]]-Audit[[#This Row],[Candidate 3]], "")</f>
        <v/>
      </c>
      <c r="AH688" s="17" t="str">
        <f>IF(NOT(ISBLANK(Audit[[#This Row],[Audit Candidate 4]])),Audit[[#This Row],[Audit Candidate 4]]-Audit[[#This Row],[Candidate 4]], "")</f>
        <v/>
      </c>
      <c r="AI688" s="17" t="str">
        <f>IF(NOT(ISBLANK(Audit[[#This Row],[Audit Candidate 5]])), Audit[[#This Row],[Audit Candidate 5]]-Audit[[#This Row],[Candidate 5]], "")</f>
        <v/>
      </c>
      <c r="AJ688" s="17" t="str">
        <f>IF(NOT(ISBLANK(Audit[[#This Row],[Audit Candidate 6]])), Audit[[#This Row],[Audit Candidate 6]]-Audit[[#This Row],[Candidate 6]], "")</f>
        <v/>
      </c>
      <c r="AK688" s="17" t="str">
        <f>IF(NOT(ISBLANK(Audit[[#This Row],[Audit Candidate 7]])), Audit[[#This Row],[Audit Candidate 7]]-Audit[[#This Row],[Candidate 7]], "")</f>
        <v/>
      </c>
      <c r="AL688" s="17" t="str">
        <f>IF(NOT(ISBLANK(Audit[[#This Row],[Audit Candidate 8]])), Audit[[#This Row],[Audit Candidate 8]]-Audit[[#This Row],[Candidate 8]], "")</f>
        <v/>
      </c>
      <c r="AM688" s="17" t="str">
        <f>IF(NOT(ISBLANK(Audit[[#This Row],[Audit Candidate 9]])), Audit[[#This Row],[Audit Candidate 9]]-Audit[[#This Row],[Candidate 9]], "")</f>
        <v/>
      </c>
      <c r="AN688" s="17" t="str">
        <f>IF(NOT(ISBLANK(Audit[[#This Row],[Audit Candidate 10]])), Audit[[#This Row],[Audit Candidate 10]]-Audit[[#This Row],[Candidate 10]], "")</f>
        <v/>
      </c>
      <c r="AO688" s="17" t="str">
        <f>IF(NOT(ISBLANK(Audit[[#This Row],[Audit Candidate 11]])), Audit[[#This Row],[Audit Candidate 11]]-Audit[[#This Row],[Candidate 11]], "")</f>
        <v/>
      </c>
      <c r="AP688" s="17" t="str">
        <f>IF(NOT(ISBLANK(Audit[[#This Row],[Audit Candidate 12]])), Audit[[#This Row],[Audit Candidate 12]]-Audit[[#This Row],[Candidate 12]], "")</f>
        <v/>
      </c>
      <c r="AQ688" s="17">
        <f>SUMIF(Audit[[#This Row],[Difference Winner]:[Difference Candidate 12]], "&gt;0")</f>
        <v>0</v>
      </c>
      <c r="AR688" s="17">
        <f>SUM(Audit[[#This Row],[Difference Winner]:[Difference Candidate 12]])</f>
        <v>0</v>
      </c>
      <c r="AS688" s="17">
        <f>IF(Audit[[#This Row],[Times p Drawn - With Replacement]]&gt;0, IF(Audit[[#This Row],[Canceled Differences]]&lt;0, Audit[[#This Row],[Max Differences]]+ABS(Audit[[#This Row],[Canceled Differences]]), Audit[[#This Row],[Max Differences]]), 0)</f>
        <v>0</v>
      </c>
      <c r="AT688" s="17">
        <f>'Sampling Data'!AB688</f>
        <v>2.4868443388219318E-2</v>
      </c>
      <c r="AU688" s="17">
        <f>IF(
      SUM(Audit[[#This Row],[Audit Losing Candidate]:[Audit Candidate 12]])
      &lt;&gt;0,
      (Audit[[#This Row],[Winning Candidate]]-Audit[[#This Row],[Losing Candidate]]-(Audit[[#This Row],[Audit Winning Candidate]]-Audit[[#This Row],[Audit Losing Candidate]]))/(Audit[[#Totals],[Winning Candidate]]-Audit[[#Totals],[Losing Candidate]]),
      0
)</f>
        <v>0</v>
      </c>
      <c r="AV6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8" s="17">
        <f>IF(Audit[[#This Row],[Max Relative Error (ep)]] = 0, 0, Audit[[#This Row],[Max Relative Error (ep)]]/Audit[[#This Row],[Error Bound (up) - Max. possible relative overstatement]])</f>
        <v>0</v>
      </c>
      <c r="BH6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88" s="17">
        <f t="shared" si="11"/>
        <v>1</v>
      </c>
      <c r="BJ688" s="17">
        <f>PRODUCT($BI$5:BI688)</f>
        <v>0.25266558253744331</v>
      </c>
      <c r="BK688" s="19">
        <f>1 - Audit[[#This Row],[K-M P Value]]</f>
        <v>0.74733441746255669</v>
      </c>
      <c r="BL688" s="17" t="str">
        <f>IF(Audit[[#This Row],[K-M P Value]]&gt;1-'General Info'!$B$12,"Continue", "Stop")</f>
        <v>Continue</v>
      </c>
      <c r="BM688" s="22" t="b">
        <f>IF(Audit[[#This Row],[Status - Continue or stop audit]] = "Continue", TRUE, IF(BL687 = "Continue", TRUE, FALSE))</f>
        <v>1</v>
      </c>
      <c r="BN688" s="22"/>
    </row>
    <row r="689" spans="1:66" ht="15" hidden="1" customHeight="1" x14ac:dyDescent="0.35">
      <c r="A689" s="17" t="str">
        <f>'Sampling Data'!AI689</f>
        <v/>
      </c>
      <c r="B689" s="17" t="str">
        <f>'Sampling Data'!A689</f>
        <v>2004 CIN 20-D   (ED)</v>
      </c>
      <c r="C689" s="17">
        <f>'Sampling Data'!B689</f>
        <v>294</v>
      </c>
      <c r="D689" s="17">
        <f>'Sampling Data'!C689</f>
        <v>141</v>
      </c>
      <c r="E689" s="18">
        <f>'Sampling Data'!D689</f>
        <v>0</v>
      </c>
      <c r="F689" s="18">
        <f>'Sampling Data'!E689</f>
        <v>0</v>
      </c>
      <c r="G689" s="18">
        <f>'Sampling Data'!F689</f>
        <v>0</v>
      </c>
      <c r="H689" s="18">
        <f>'Sampling Data'!G689</f>
        <v>0</v>
      </c>
      <c r="I689" s="18">
        <f>'Sampling Data'!H689</f>
        <v>0</v>
      </c>
      <c r="J689" s="18">
        <f>'Sampling Data'!I689</f>
        <v>0</v>
      </c>
      <c r="K689" s="18">
        <f>'Sampling Data'!J689</f>
        <v>0</v>
      </c>
      <c r="L689" s="18">
        <f>'Sampling Data'!K689</f>
        <v>0</v>
      </c>
      <c r="M689" s="18">
        <f>'Sampling Data'!L689</f>
        <v>0</v>
      </c>
      <c r="N689" s="18">
        <f>'Sampling Data'!M689</f>
        <v>0</v>
      </c>
      <c r="O689" s="17">
        <f>'Sampling Data'!N689</f>
        <v>0</v>
      </c>
      <c r="P689" s="17">
        <f>'Sampling Data'!O689</f>
        <v>30</v>
      </c>
      <c r="Q689" s="17">
        <f>'Sampling Data'!P689</f>
        <v>465</v>
      </c>
      <c r="R689" s="17">
        <f>'Sampling Data'!AJ689</f>
        <v>0</v>
      </c>
      <c r="S689" s="111"/>
      <c r="T689" s="111"/>
      <c r="U689" s="112"/>
      <c r="V689" s="112"/>
      <c r="W689" s="111"/>
      <c r="X689" s="111"/>
      <c r="Y689" s="111"/>
      <c r="Z689" s="111"/>
      <c r="AA689" s="14"/>
      <c r="AB689" s="14"/>
      <c r="AC689" s="14"/>
      <c r="AD689" s="14"/>
      <c r="AE689" s="113" t="str">
        <f>IF(NOT(ISBLANK(Audit[[#This Row],[Audit Winning Candidate]])), Audit[[#This Row],[Audit Winning Candidate]]-Audit[[#This Row],[Winning Candidate]], "")</f>
        <v/>
      </c>
      <c r="AF689" s="17" t="str">
        <f>IF(NOT(ISBLANK(Audit[[#This Row],[Audit Losing Candidate]])), Audit[[#This Row],[Audit Losing Candidate]]-Audit[[#This Row],[Losing Candidate]], "")</f>
        <v/>
      </c>
      <c r="AG689" s="17" t="str">
        <f>IF(NOT(ISBLANK(Audit[[#This Row],[Audit Candidate 3]])), Audit[[#This Row],[Audit Candidate 3]]-Audit[[#This Row],[Candidate 3]], "")</f>
        <v/>
      </c>
      <c r="AH689" s="17" t="str">
        <f>IF(NOT(ISBLANK(Audit[[#This Row],[Audit Candidate 4]])),Audit[[#This Row],[Audit Candidate 4]]-Audit[[#This Row],[Candidate 4]], "")</f>
        <v/>
      </c>
      <c r="AI689" s="17" t="str">
        <f>IF(NOT(ISBLANK(Audit[[#This Row],[Audit Candidate 5]])), Audit[[#This Row],[Audit Candidate 5]]-Audit[[#This Row],[Candidate 5]], "")</f>
        <v/>
      </c>
      <c r="AJ689" s="17" t="str">
        <f>IF(NOT(ISBLANK(Audit[[#This Row],[Audit Candidate 6]])), Audit[[#This Row],[Audit Candidate 6]]-Audit[[#This Row],[Candidate 6]], "")</f>
        <v/>
      </c>
      <c r="AK689" s="17" t="str">
        <f>IF(NOT(ISBLANK(Audit[[#This Row],[Audit Candidate 7]])), Audit[[#This Row],[Audit Candidate 7]]-Audit[[#This Row],[Candidate 7]], "")</f>
        <v/>
      </c>
      <c r="AL689" s="17" t="str">
        <f>IF(NOT(ISBLANK(Audit[[#This Row],[Audit Candidate 8]])), Audit[[#This Row],[Audit Candidate 8]]-Audit[[#This Row],[Candidate 8]], "")</f>
        <v/>
      </c>
      <c r="AM689" s="17" t="str">
        <f>IF(NOT(ISBLANK(Audit[[#This Row],[Audit Candidate 9]])), Audit[[#This Row],[Audit Candidate 9]]-Audit[[#This Row],[Candidate 9]], "")</f>
        <v/>
      </c>
      <c r="AN689" s="17" t="str">
        <f>IF(NOT(ISBLANK(Audit[[#This Row],[Audit Candidate 10]])), Audit[[#This Row],[Audit Candidate 10]]-Audit[[#This Row],[Candidate 10]], "")</f>
        <v/>
      </c>
      <c r="AO689" s="17" t="str">
        <f>IF(NOT(ISBLANK(Audit[[#This Row],[Audit Candidate 11]])), Audit[[#This Row],[Audit Candidate 11]]-Audit[[#This Row],[Candidate 11]], "")</f>
        <v/>
      </c>
      <c r="AP689" s="17" t="str">
        <f>IF(NOT(ISBLANK(Audit[[#This Row],[Audit Candidate 12]])), Audit[[#This Row],[Audit Candidate 12]]-Audit[[#This Row],[Candidate 12]], "")</f>
        <v/>
      </c>
      <c r="AQ689" s="17">
        <f>SUMIF(Audit[[#This Row],[Difference Winner]:[Difference Candidate 12]], "&gt;0")</f>
        <v>0</v>
      </c>
      <c r="AR689" s="17">
        <f>SUM(Audit[[#This Row],[Difference Winner]:[Difference Candidate 12]])</f>
        <v>0</v>
      </c>
      <c r="AS689" s="17">
        <f>IF(Audit[[#This Row],[Times p Drawn - With Replacement]]&gt;0, IF(Audit[[#This Row],[Canceled Differences]]&lt;0, Audit[[#This Row],[Max Differences]]+ABS(Audit[[#This Row],[Canceled Differences]]), Audit[[#This Row],[Max Differences]]), 0)</f>
        <v>0</v>
      </c>
      <c r="AT689" s="17">
        <f>'Sampling Data'!AB689</f>
        <v>2.6226447122729587E-2</v>
      </c>
      <c r="AU689" s="17">
        <f>IF(
      SUM(Audit[[#This Row],[Audit Losing Candidate]:[Audit Candidate 12]])
      &lt;&gt;0,
      (Audit[[#This Row],[Winning Candidate]]-Audit[[#This Row],[Losing Candidate]]-(Audit[[#This Row],[Audit Winning Candidate]]-Audit[[#This Row],[Audit Losing Candidate]]))/(Audit[[#Totals],[Winning Candidate]]-Audit[[#Totals],[Losing Candidate]]),
      0
)</f>
        <v>0</v>
      </c>
      <c r="AV6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9" s="17">
        <f>IF(Audit[[#This Row],[Max Relative Error (ep)]] = 0, 0, Audit[[#This Row],[Max Relative Error (ep)]]/Audit[[#This Row],[Error Bound (up) - Max. possible relative overstatement]])</f>
        <v>0</v>
      </c>
      <c r="BH6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89" s="17">
        <f t="shared" si="11"/>
        <v>1</v>
      </c>
      <c r="BJ689" s="17">
        <f>PRODUCT($BI$5:BI689)</f>
        <v>0.25266558253744331</v>
      </c>
      <c r="BK689" s="19">
        <f>1 - Audit[[#This Row],[K-M P Value]]</f>
        <v>0.74733441746255669</v>
      </c>
      <c r="BL689" s="17" t="str">
        <f>IF(Audit[[#This Row],[K-M P Value]]&gt;1-'General Info'!$B$12,"Continue", "Stop")</f>
        <v>Continue</v>
      </c>
      <c r="BM689" s="22" t="b">
        <f>IF(Audit[[#This Row],[Status - Continue or stop audit]] = "Continue", TRUE, IF(BL688 = "Continue", TRUE, FALSE))</f>
        <v>1</v>
      </c>
      <c r="BN689" s="22"/>
    </row>
    <row r="690" spans="1:66" ht="15" hidden="1" customHeight="1" x14ac:dyDescent="0.35">
      <c r="A690" s="17" t="str">
        <f>'Sampling Data'!AI690</f>
        <v/>
      </c>
      <c r="B690" s="17" t="str">
        <f>'Sampling Data'!A690</f>
        <v>2005 CIN 20-E   (ED)</v>
      </c>
      <c r="C690" s="17">
        <f>'Sampling Data'!B690</f>
        <v>158</v>
      </c>
      <c r="D690" s="17">
        <f>'Sampling Data'!C690</f>
        <v>72</v>
      </c>
      <c r="E690" s="18">
        <f>'Sampling Data'!D690</f>
        <v>0</v>
      </c>
      <c r="F690" s="18">
        <f>'Sampling Data'!E690</f>
        <v>0</v>
      </c>
      <c r="G690" s="18">
        <f>'Sampling Data'!F690</f>
        <v>0</v>
      </c>
      <c r="H690" s="18">
        <f>'Sampling Data'!G690</f>
        <v>0</v>
      </c>
      <c r="I690" s="18">
        <f>'Sampling Data'!H690</f>
        <v>0</v>
      </c>
      <c r="J690" s="18">
        <f>'Sampling Data'!I690</f>
        <v>0</v>
      </c>
      <c r="K690" s="18">
        <f>'Sampling Data'!J690</f>
        <v>0</v>
      </c>
      <c r="L690" s="18">
        <f>'Sampling Data'!K690</f>
        <v>0</v>
      </c>
      <c r="M690" s="18">
        <f>'Sampling Data'!L690</f>
        <v>0</v>
      </c>
      <c r="N690" s="18">
        <f>'Sampling Data'!M690</f>
        <v>0</v>
      </c>
      <c r="O690" s="17">
        <f>'Sampling Data'!N690</f>
        <v>0</v>
      </c>
      <c r="P690" s="17">
        <f>'Sampling Data'!O690</f>
        <v>33</v>
      </c>
      <c r="Q690" s="17">
        <f>'Sampling Data'!P690</f>
        <v>263</v>
      </c>
      <c r="R690" s="17">
        <f>'Sampling Data'!AJ690</f>
        <v>0</v>
      </c>
      <c r="S690" s="111"/>
      <c r="T690" s="111"/>
      <c r="U690" s="112"/>
      <c r="V690" s="112"/>
      <c r="W690" s="111"/>
      <c r="X690" s="111"/>
      <c r="Y690" s="111"/>
      <c r="Z690" s="111"/>
      <c r="AA690" s="14"/>
      <c r="AB690" s="14"/>
      <c r="AC690" s="14"/>
      <c r="AD690" s="14"/>
      <c r="AE690" s="113" t="str">
        <f>IF(NOT(ISBLANK(Audit[[#This Row],[Audit Winning Candidate]])), Audit[[#This Row],[Audit Winning Candidate]]-Audit[[#This Row],[Winning Candidate]], "")</f>
        <v/>
      </c>
      <c r="AF690" s="17" t="str">
        <f>IF(NOT(ISBLANK(Audit[[#This Row],[Audit Losing Candidate]])), Audit[[#This Row],[Audit Losing Candidate]]-Audit[[#This Row],[Losing Candidate]], "")</f>
        <v/>
      </c>
      <c r="AG690" s="17" t="str">
        <f>IF(NOT(ISBLANK(Audit[[#This Row],[Audit Candidate 3]])), Audit[[#This Row],[Audit Candidate 3]]-Audit[[#This Row],[Candidate 3]], "")</f>
        <v/>
      </c>
      <c r="AH690" s="17" t="str">
        <f>IF(NOT(ISBLANK(Audit[[#This Row],[Audit Candidate 4]])),Audit[[#This Row],[Audit Candidate 4]]-Audit[[#This Row],[Candidate 4]], "")</f>
        <v/>
      </c>
      <c r="AI690" s="17" t="str">
        <f>IF(NOT(ISBLANK(Audit[[#This Row],[Audit Candidate 5]])), Audit[[#This Row],[Audit Candidate 5]]-Audit[[#This Row],[Candidate 5]], "")</f>
        <v/>
      </c>
      <c r="AJ690" s="17" t="str">
        <f>IF(NOT(ISBLANK(Audit[[#This Row],[Audit Candidate 6]])), Audit[[#This Row],[Audit Candidate 6]]-Audit[[#This Row],[Candidate 6]], "")</f>
        <v/>
      </c>
      <c r="AK690" s="17" t="str">
        <f>IF(NOT(ISBLANK(Audit[[#This Row],[Audit Candidate 7]])), Audit[[#This Row],[Audit Candidate 7]]-Audit[[#This Row],[Candidate 7]], "")</f>
        <v/>
      </c>
      <c r="AL690" s="17" t="str">
        <f>IF(NOT(ISBLANK(Audit[[#This Row],[Audit Candidate 8]])), Audit[[#This Row],[Audit Candidate 8]]-Audit[[#This Row],[Candidate 8]], "")</f>
        <v/>
      </c>
      <c r="AM690" s="17" t="str">
        <f>IF(NOT(ISBLANK(Audit[[#This Row],[Audit Candidate 9]])), Audit[[#This Row],[Audit Candidate 9]]-Audit[[#This Row],[Candidate 9]], "")</f>
        <v/>
      </c>
      <c r="AN690" s="17" t="str">
        <f>IF(NOT(ISBLANK(Audit[[#This Row],[Audit Candidate 10]])), Audit[[#This Row],[Audit Candidate 10]]-Audit[[#This Row],[Candidate 10]], "")</f>
        <v/>
      </c>
      <c r="AO690" s="17" t="str">
        <f>IF(NOT(ISBLANK(Audit[[#This Row],[Audit Candidate 11]])), Audit[[#This Row],[Audit Candidate 11]]-Audit[[#This Row],[Candidate 11]], "")</f>
        <v/>
      </c>
      <c r="AP690" s="17" t="str">
        <f>IF(NOT(ISBLANK(Audit[[#This Row],[Audit Candidate 12]])), Audit[[#This Row],[Audit Candidate 12]]-Audit[[#This Row],[Candidate 12]], "")</f>
        <v/>
      </c>
      <c r="AQ690" s="17">
        <f>SUMIF(Audit[[#This Row],[Difference Winner]:[Difference Candidate 12]], "&gt;0")</f>
        <v>0</v>
      </c>
      <c r="AR690" s="17">
        <f>SUM(Audit[[#This Row],[Difference Winner]:[Difference Candidate 12]])</f>
        <v>0</v>
      </c>
      <c r="AS690" s="17">
        <f>IF(Audit[[#This Row],[Times p Drawn - With Replacement]]&gt;0, IF(Audit[[#This Row],[Canceled Differences]]&lt;0, Audit[[#This Row],[Max Differences]]+ABS(Audit[[#This Row],[Canceled Differences]]), Audit[[#This Row],[Max Differences]]), 0)</f>
        <v>0</v>
      </c>
      <c r="AT690" s="17">
        <f>'Sampling Data'!AB690</f>
        <v>1.4810728229502631E-2</v>
      </c>
      <c r="AU690" s="17">
        <f>IF(
      SUM(Audit[[#This Row],[Audit Losing Candidate]:[Audit Candidate 12]])
      &lt;&gt;0,
      (Audit[[#This Row],[Winning Candidate]]-Audit[[#This Row],[Losing Candidate]]-(Audit[[#This Row],[Audit Winning Candidate]]-Audit[[#This Row],[Audit Losing Candidate]]))/(Audit[[#Totals],[Winning Candidate]]-Audit[[#Totals],[Losing Candidate]]),
      0
)</f>
        <v>0</v>
      </c>
      <c r="AV6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0" s="17">
        <f>IF(Audit[[#This Row],[Max Relative Error (ep)]] = 0, 0, Audit[[#This Row],[Max Relative Error (ep)]]/Audit[[#This Row],[Error Bound (up) - Max. possible relative overstatement]])</f>
        <v>0</v>
      </c>
      <c r="BH6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90" s="17">
        <f t="shared" si="11"/>
        <v>1</v>
      </c>
      <c r="BJ690" s="17">
        <f>PRODUCT($BI$5:BI690)</f>
        <v>0.25266558253744331</v>
      </c>
      <c r="BK690" s="19">
        <f>1 - Audit[[#This Row],[K-M P Value]]</f>
        <v>0.74733441746255669</v>
      </c>
      <c r="BL690" s="17" t="str">
        <f>IF(Audit[[#This Row],[K-M P Value]]&gt;1-'General Info'!$B$12,"Continue", "Stop")</f>
        <v>Continue</v>
      </c>
      <c r="BM690" s="22" t="b">
        <f>IF(Audit[[#This Row],[Status - Continue or stop audit]] = "Continue", TRUE, IF(BL689 = "Continue", TRUE, FALSE))</f>
        <v>1</v>
      </c>
      <c r="BN690" s="22"/>
    </row>
    <row r="691" spans="1:66" ht="15" hidden="1" customHeight="1" x14ac:dyDescent="0.35">
      <c r="A691" s="17" t="str">
        <f>'Sampling Data'!AI691</f>
        <v/>
      </c>
      <c r="B691" s="17" t="str">
        <f>'Sampling Data'!A691</f>
        <v>2101 CIN 21-A   (ED)</v>
      </c>
      <c r="C691" s="17">
        <f>'Sampling Data'!B691</f>
        <v>111</v>
      </c>
      <c r="D691" s="17">
        <f>'Sampling Data'!C691</f>
        <v>41</v>
      </c>
      <c r="E691" s="18">
        <f>'Sampling Data'!D691</f>
        <v>0</v>
      </c>
      <c r="F691" s="18">
        <f>'Sampling Data'!E691</f>
        <v>0</v>
      </c>
      <c r="G691" s="18">
        <f>'Sampling Data'!F691</f>
        <v>0</v>
      </c>
      <c r="H691" s="18">
        <f>'Sampling Data'!G691</f>
        <v>0</v>
      </c>
      <c r="I691" s="18">
        <f>'Sampling Data'!H691</f>
        <v>0</v>
      </c>
      <c r="J691" s="18">
        <f>'Sampling Data'!I691</f>
        <v>0</v>
      </c>
      <c r="K691" s="18">
        <f>'Sampling Data'!J691</f>
        <v>0</v>
      </c>
      <c r="L691" s="18">
        <f>'Sampling Data'!K691</f>
        <v>0</v>
      </c>
      <c r="M691" s="18">
        <f>'Sampling Data'!L691</f>
        <v>0</v>
      </c>
      <c r="N691" s="18">
        <f>'Sampling Data'!M691</f>
        <v>0</v>
      </c>
      <c r="O691" s="17">
        <f>'Sampling Data'!N691</f>
        <v>0</v>
      </c>
      <c r="P691" s="17">
        <f>'Sampling Data'!O691</f>
        <v>17</v>
      </c>
      <c r="Q691" s="17">
        <f>'Sampling Data'!P691</f>
        <v>169</v>
      </c>
      <c r="R691" s="17">
        <f>'Sampling Data'!AJ691</f>
        <v>0</v>
      </c>
      <c r="S691" s="111"/>
      <c r="T691" s="111"/>
      <c r="U691" s="112"/>
      <c r="V691" s="112"/>
      <c r="W691" s="111"/>
      <c r="X691" s="111"/>
      <c r="Y691" s="111"/>
      <c r="Z691" s="111"/>
      <c r="AA691" s="14"/>
      <c r="AB691" s="14"/>
      <c r="AC691" s="14"/>
      <c r="AD691" s="14"/>
      <c r="AE691" s="113" t="str">
        <f>IF(NOT(ISBLANK(Audit[[#This Row],[Audit Winning Candidate]])), Audit[[#This Row],[Audit Winning Candidate]]-Audit[[#This Row],[Winning Candidate]], "")</f>
        <v/>
      </c>
      <c r="AF691" s="17" t="str">
        <f>IF(NOT(ISBLANK(Audit[[#This Row],[Audit Losing Candidate]])), Audit[[#This Row],[Audit Losing Candidate]]-Audit[[#This Row],[Losing Candidate]], "")</f>
        <v/>
      </c>
      <c r="AG691" s="17" t="str">
        <f>IF(NOT(ISBLANK(Audit[[#This Row],[Audit Candidate 3]])), Audit[[#This Row],[Audit Candidate 3]]-Audit[[#This Row],[Candidate 3]], "")</f>
        <v/>
      </c>
      <c r="AH691" s="17" t="str">
        <f>IF(NOT(ISBLANK(Audit[[#This Row],[Audit Candidate 4]])),Audit[[#This Row],[Audit Candidate 4]]-Audit[[#This Row],[Candidate 4]], "")</f>
        <v/>
      </c>
      <c r="AI691" s="17" t="str">
        <f>IF(NOT(ISBLANK(Audit[[#This Row],[Audit Candidate 5]])), Audit[[#This Row],[Audit Candidate 5]]-Audit[[#This Row],[Candidate 5]], "")</f>
        <v/>
      </c>
      <c r="AJ691" s="17" t="str">
        <f>IF(NOT(ISBLANK(Audit[[#This Row],[Audit Candidate 6]])), Audit[[#This Row],[Audit Candidate 6]]-Audit[[#This Row],[Candidate 6]], "")</f>
        <v/>
      </c>
      <c r="AK691" s="17" t="str">
        <f>IF(NOT(ISBLANK(Audit[[#This Row],[Audit Candidate 7]])), Audit[[#This Row],[Audit Candidate 7]]-Audit[[#This Row],[Candidate 7]], "")</f>
        <v/>
      </c>
      <c r="AL691" s="17" t="str">
        <f>IF(NOT(ISBLANK(Audit[[#This Row],[Audit Candidate 8]])), Audit[[#This Row],[Audit Candidate 8]]-Audit[[#This Row],[Candidate 8]], "")</f>
        <v/>
      </c>
      <c r="AM691" s="17" t="str">
        <f>IF(NOT(ISBLANK(Audit[[#This Row],[Audit Candidate 9]])), Audit[[#This Row],[Audit Candidate 9]]-Audit[[#This Row],[Candidate 9]], "")</f>
        <v/>
      </c>
      <c r="AN691" s="17" t="str">
        <f>IF(NOT(ISBLANK(Audit[[#This Row],[Audit Candidate 10]])), Audit[[#This Row],[Audit Candidate 10]]-Audit[[#This Row],[Candidate 10]], "")</f>
        <v/>
      </c>
      <c r="AO691" s="17" t="str">
        <f>IF(NOT(ISBLANK(Audit[[#This Row],[Audit Candidate 11]])), Audit[[#This Row],[Audit Candidate 11]]-Audit[[#This Row],[Candidate 11]], "")</f>
        <v/>
      </c>
      <c r="AP691" s="17" t="str">
        <f>IF(NOT(ISBLANK(Audit[[#This Row],[Audit Candidate 12]])), Audit[[#This Row],[Audit Candidate 12]]-Audit[[#This Row],[Candidate 12]], "")</f>
        <v/>
      </c>
      <c r="AQ691" s="17">
        <f>SUMIF(Audit[[#This Row],[Difference Winner]:[Difference Candidate 12]], "&gt;0")</f>
        <v>0</v>
      </c>
      <c r="AR691" s="17">
        <f>SUM(Audit[[#This Row],[Difference Winner]:[Difference Candidate 12]])</f>
        <v>0</v>
      </c>
      <c r="AS691" s="17">
        <f>IF(Audit[[#This Row],[Times p Drawn - With Replacement]]&gt;0, IF(Audit[[#This Row],[Canceled Differences]]&lt;0, Audit[[#This Row],[Max Differences]]+ABS(Audit[[#This Row],[Canceled Differences]]), Audit[[#This Row],[Max Differences]]), 0)</f>
        <v>0</v>
      </c>
      <c r="AT691" s="17">
        <f>'Sampling Data'!AB691</f>
        <v>1.0142590392123578E-2</v>
      </c>
      <c r="AU691" s="17">
        <f>IF(
      SUM(Audit[[#This Row],[Audit Losing Candidate]:[Audit Candidate 12]])
      &lt;&gt;0,
      (Audit[[#This Row],[Winning Candidate]]-Audit[[#This Row],[Losing Candidate]]-(Audit[[#This Row],[Audit Winning Candidate]]-Audit[[#This Row],[Audit Losing Candidate]]))/(Audit[[#Totals],[Winning Candidate]]-Audit[[#Totals],[Losing Candidate]]),
      0
)</f>
        <v>0</v>
      </c>
      <c r="AV6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1" s="17">
        <f>IF(Audit[[#This Row],[Max Relative Error (ep)]] = 0, 0, Audit[[#This Row],[Max Relative Error (ep)]]/Audit[[#This Row],[Error Bound (up) - Max. possible relative overstatement]])</f>
        <v>0</v>
      </c>
      <c r="BH6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91" s="17">
        <f t="shared" si="11"/>
        <v>1</v>
      </c>
      <c r="BJ691" s="17">
        <f>PRODUCT($BI$5:BI691)</f>
        <v>0.25266558253744331</v>
      </c>
      <c r="BK691" s="19">
        <f>1 - Audit[[#This Row],[K-M P Value]]</f>
        <v>0.74733441746255669</v>
      </c>
      <c r="BL691" s="17" t="str">
        <f>IF(Audit[[#This Row],[K-M P Value]]&gt;1-'General Info'!$B$12,"Continue", "Stop")</f>
        <v>Continue</v>
      </c>
      <c r="BM691" s="22" t="b">
        <f>IF(Audit[[#This Row],[Status - Continue or stop audit]] = "Continue", TRUE, IF(BL690 = "Continue", TRUE, FALSE))</f>
        <v>1</v>
      </c>
      <c r="BN691" s="22"/>
    </row>
    <row r="692" spans="1:66" ht="15" hidden="1" customHeight="1" x14ac:dyDescent="0.35">
      <c r="A692" s="17" t="str">
        <f>'Sampling Data'!AI692</f>
        <v/>
      </c>
      <c r="B692" s="17" t="str">
        <f>'Sampling Data'!A692</f>
        <v>2102 CIN 21-B   (ED)</v>
      </c>
      <c r="C692" s="17">
        <f>'Sampling Data'!B692</f>
        <v>120</v>
      </c>
      <c r="D692" s="17">
        <f>'Sampling Data'!C692</f>
        <v>39</v>
      </c>
      <c r="E692" s="18">
        <f>'Sampling Data'!D692</f>
        <v>0</v>
      </c>
      <c r="F692" s="18">
        <f>'Sampling Data'!E692</f>
        <v>0</v>
      </c>
      <c r="G692" s="18">
        <f>'Sampling Data'!F692</f>
        <v>0</v>
      </c>
      <c r="H692" s="18">
        <f>'Sampling Data'!G692</f>
        <v>0</v>
      </c>
      <c r="I692" s="18">
        <f>'Sampling Data'!H692</f>
        <v>0</v>
      </c>
      <c r="J692" s="18">
        <f>'Sampling Data'!I692</f>
        <v>0</v>
      </c>
      <c r="K692" s="18">
        <f>'Sampling Data'!J692</f>
        <v>0</v>
      </c>
      <c r="L692" s="18">
        <f>'Sampling Data'!K692</f>
        <v>0</v>
      </c>
      <c r="M692" s="18">
        <f>'Sampling Data'!L692</f>
        <v>0</v>
      </c>
      <c r="N692" s="18">
        <f>'Sampling Data'!M692</f>
        <v>0</v>
      </c>
      <c r="O692" s="17">
        <f>'Sampling Data'!N692</f>
        <v>0</v>
      </c>
      <c r="P692" s="17">
        <f>'Sampling Data'!O692</f>
        <v>19</v>
      </c>
      <c r="Q692" s="17">
        <f>'Sampling Data'!P692</f>
        <v>178</v>
      </c>
      <c r="R692" s="17">
        <f>'Sampling Data'!AJ692</f>
        <v>0</v>
      </c>
      <c r="S692" s="111"/>
      <c r="T692" s="111"/>
      <c r="U692" s="112"/>
      <c r="V692" s="112"/>
      <c r="W692" s="111"/>
      <c r="X692" s="111"/>
      <c r="Y692" s="111"/>
      <c r="Z692" s="111"/>
      <c r="AA692" s="14"/>
      <c r="AB692" s="14"/>
      <c r="AC692" s="14"/>
      <c r="AD692" s="14"/>
      <c r="AE692" s="113" t="str">
        <f>IF(NOT(ISBLANK(Audit[[#This Row],[Audit Winning Candidate]])), Audit[[#This Row],[Audit Winning Candidate]]-Audit[[#This Row],[Winning Candidate]], "")</f>
        <v/>
      </c>
      <c r="AF692" s="17" t="str">
        <f>IF(NOT(ISBLANK(Audit[[#This Row],[Audit Losing Candidate]])), Audit[[#This Row],[Audit Losing Candidate]]-Audit[[#This Row],[Losing Candidate]], "")</f>
        <v/>
      </c>
      <c r="AG692" s="17" t="str">
        <f>IF(NOT(ISBLANK(Audit[[#This Row],[Audit Candidate 3]])), Audit[[#This Row],[Audit Candidate 3]]-Audit[[#This Row],[Candidate 3]], "")</f>
        <v/>
      </c>
      <c r="AH692" s="17" t="str">
        <f>IF(NOT(ISBLANK(Audit[[#This Row],[Audit Candidate 4]])),Audit[[#This Row],[Audit Candidate 4]]-Audit[[#This Row],[Candidate 4]], "")</f>
        <v/>
      </c>
      <c r="AI692" s="17" t="str">
        <f>IF(NOT(ISBLANK(Audit[[#This Row],[Audit Candidate 5]])), Audit[[#This Row],[Audit Candidate 5]]-Audit[[#This Row],[Candidate 5]], "")</f>
        <v/>
      </c>
      <c r="AJ692" s="17" t="str">
        <f>IF(NOT(ISBLANK(Audit[[#This Row],[Audit Candidate 6]])), Audit[[#This Row],[Audit Candidate 6]]-Audit[[#This Row],[Candidate 6]], "")</f>
        <v/>
      </c>
      <c r="AK692" s="17" t="str">
        <f>IF(NOT(ISBLANK(Audit[[#This Row],[Audit Candidate 7]])), Audit[[#This Row],[Audit Candidate 7]]-Audit[[#This Row],[Candidate 7]], "")</f>
        <v/>
      </c>
      <c r="AL692" s="17" t="str">
        <f>IF(NOT(ISBLANK(Audit[[#This Row],[Audit Candidate 8]])), Audit[[#This Row],[Audit Candidate 8]]-Audit[[#This Row],[Candidate 8]], "")</f>
        <v/>
      </c>
      <c r="AM692" s="17" t="str">
        <f>IF(NOT(ISBLANK(Audit[[#This Row],[Audit Candidate 9]])), Audit[[#This Row],[Audit Candidate 9]]-Audit[[#This Row],[Candidate 9]], "")</f>
        <v/>
      </c>
      <c r="AN692" s="17" t="str">
        <f>IF(NOT(ISBLANK(Audit[[#This Row],[Audit Candidate 10]])), Audit[[#This Row],[Audit Candidate 10]]-Audit[[#This Row],[Candidate 10]], "")</f>
        <v/>
      </c>
      <c r="AO692" s="17" t="str">
        <f>IF(NOT(ISBLANK(Audit[[#This Row],[Audit Candidate 11]])), Audit[[#This Row],[Audit Candidate 11]]-Audit[[#This Row],[Candidate 11]], "")</f>
        <v/>
      </c>
      <c r="AP692" s="17" t="str">
        <f>IF(NOT(ISBLANK(Audit[[#This Row],[Audit Candidate 12]])), Audit[[#This Row],[Audit Candidate 12]]-Audit[[#This Row],[Candidate 12]], "")</f>
        <v/>
      </c>
      <c r="AQ692" s="17">
        <f>SUMIF(Audit[[#This Row],[Difference Winner]:[Difference Candidate 12]], "&gt;0")</f>
        <v>0</v>
      </c>
      <c r="AR692" s="17">
        <f>SUM(Audit[[#This Row],[Difference Winner]:[Difference Candidate 12]])</f>
        <v>0</v>
      </c>
      <c r="AS692" s="17">
        <f>IF(Audit[[#This Row],[Times p Drawn - With Replacement]]&gt;0, IF(Audit[[#This Row],[Canceled Differences]]&lt;0, Audit[[#This Row],[Max Differences]]+ABS(Audit[[#This Row],[Canceled Differences]]), Audit[[#This Row],[Max Differences]]), 0)</f>
        <v>0</v>
      </c>
      <c r="AT692" s="17">
        <f>'Sampling Data'!AB692</f>
        <v>1.0991342726192496E-2</v>
      </c>
      <c r="AU692" s="17">
        <f>IF(
      SUM(Audit[[#This Row],[Audit Losing Candidate]:[Audit Candidate 12]])
      &lt;&gt;0,
      (Audit[[#This Row],[Winning Candidate]]-Audit[[#This Row],[Losing Candidate]]-(Audit[[#This Row],[Audit Winning Candidate]]-Audit[[#This Row],[Audit Losing Candidate]]))/(Audit[[#Totals],[Winning Candidate]]-Audit[[#Totals],[Losing Candidate]]),
      0
)</f>
        <v>0</v>
      </c>
      <c r="AV6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2" s="17">
        <f>IF(Audit[[#This Row],[Max Relative Error (ep)]] = 0, 0, Audit[[#This Row],[Max Relative Error (ep)]]/Audit[[#This Row],[Error Bound (up) - Max. possible relative overstatement]])</f>
        <v>0</v>
      </c>
      <c r="BH6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92" s="17">
        <f t="shared" si="11"/>
        <v>1</v>
      </c>
      <c r="BJ692" s="17">
        <f>PRODUCT($BI$5:BI692)</f>
        <v>0.25266558253744331</v>
      </c>
      <c r="BK692" s="19">
        <f>1 - Audit[[#This Row],[K-M P Value]]</f>
        <v>0.74733441746255669</v>
      </c>
      <c r="BL692" s="17" t="str">
        <f>IF(Audit[[#This Row],[K-M P Value]]&gt;1-'General Info'!$B$12,"Continue", "Stop")</f>
        <v>Continue</v>
      </c>
      <c r="BM692" s="22" t="b">
        <f>IF(Audit[[#This Row],[Status - Continue or stop audit]] = "Continue", TRUE, IF(BL691 = "Continue", TRUE, FALSE))</f>
        <v>1</v>
      </c>
      <c r="BN692" s="22"/>
    </row>
    <row r="693" spans="1:66" ht="15" hidden="1" customHeight="1" x14ac:dyDescent="0.35">
      <c r="A693" s="17" t="str">
        <f>'Sampling Data'!AI693</f>
        <v/>
      </c>
      <c r="B693" s="17" t="str">
        <f>'Sampling Data'!A693</f>
        <v>2103 CIN 21-C   (ED)</v>
      </c>
      <c r="C693" s="17">
        <f>'Sampling Data'!B693</f>
        <v>197</v>
      </c>
      <c r="D693" s="17">
        <f>'Sampling Data'!C693</f>
        <v>84</v>
      </c>
      <c r="E693" s="18">
        <f>'Sampling Data'!D693</f>
        <v>0</v>
      </c>
      <c r="F693" s="18">
        <f>'Sampling Data'!E693</f>
        <v>0</v>
      </c>
      <c r="G693" s="18">
        <f>'Sampling Data'!F693</f>
        <v>0</v>
      </c>
      <c r="H693" s="18">
        <f>'Sampling Data'!G693</f>
        <v>0</v>
      </c>
      <c r="I693" s="18">
        <f>'Sampling Data'!H693</f>
        <v>0</v>
      </c>
      <c r="J693" s="18">
        <f>'Sampling Data'!I693</f>
        <v>0</v>
      </c>
      <c r="K693" s="18">
        <f>'Sampling Data'!J693</f>
        <v>0</v>
      </c>
      <c r="L693" s="18">
        <f>'Sampling Data'!K693</f>
        <v>0</v>
      </c>
      <c r="M693" s="18">
        <f>'Sampling Data'!L693</f>
        <v>0</v>
      </c>
      <c r="N693" s="18">
        <f>'Sampling Data'!M693</f>
        <v>0</v>
      </c>
      <c r="O693" s="17">
        <f>'Sampling Data'!N693</f>
        <v>0</v>
      </c>
      <c r="P693" s="17">
        <f>'Sampling Data'!O693</f>
        <v>16</v>
      </c>
      <c r="Q693" s="17">
        <f>'Sampling Data'!P693</f>
        <v>297</v>
      </c>
      <c r="R693" s="17">
        <f>'Sampling Data'!AJ693</f>
        <v>0</v>
      </c>
      <c r="S693" s="111"/>
      <c r="T693" s="111"/>
      <c r="U693" s="112"/>
      <c r="V693" s="112"/>
      <c r="W693" s="111"/>
      <c r="X693" s="111"/>
      <c r="Y693" s="111"/>
      <c r="Z693" s="111"/>
      <c r="AA693" s="14"/>
      <c r="AB693" s="14"/>
      <c r="AC693" s="14"/>
      <c r="AD693" s="14"/>
      <c r="AE693" s="113" t="str">
        <f>IF(NOT(ISBLANK(Audit[[#This Row],[Audit Winning Candidate]])), Audit[[#This Row],[Audit Winning Candidate]]-Audit[[#This Row],[Winning Candidate]], "")</f>
        <v/>
      </c>
      <c r="AF693" s="17" t="str">
        <f>IF(NOT(ISBLANK(Audit[[#This Row],[Audit Losing Candidate]])), Audit[[#This Row],[Audit Losing Candidate]]-Audit[[#This Row],[Losing Candidate]], "")</f>
        <v/>
      </c>
      <c r="AG693" s="17" t="str">
        <f>IF(NOT(ISBLANK(Audit[[#This Row],[Audit Candidate 3]])), Audit[[#This Row],[Audit Candidate 3]]-Audit[[#This Row],[Candidate 3]], "")</f>
        <v/>
      </c>
      <c r="AH693" s="17" t="str">
        <f>IF(NOT(ISBLANK(Audit[[#This Row],[Audit Candidate 4]])),Audit[[#This Row],[Audit Candidate 4]]-Audit[[#This Row],[Candidate 4]], "")</f>
        <v/>
      </c>
      <c r="AI693" s="17" t="str">
        <f>IF(NOT(ISBLANK(Audit[[#This Row],[Audit Candidate 5]])), Audit[[#This Row],[Audit Candidate 5]]-Audit[[#This Row],[Candidate 5]], "")</f>
        <v/>
      </c>
      <c r="AJ693" s="17" t="str">
        <f>IF(NOT(ISBLANK(Audit[[#This Row],[Audit Candidate 6]])), Audit[[#This Row],[Audit Candidate 6]]-Audit[[#This Row],[Candidate 6]], "")</f>
        <v/>
      </c>
      <c r="AK693" s="17" t="str">
        <f>IF(NOT(ISBLANK(Audit[[#This Row],[Audit Candidate 7]])), Audit[[#This Row],[Audit Candidate 7]]-Audit[[#This Row],[Candidate 7]], "")</f>
        <v/>
      </c>
      <c r="AL693" s="17" t="str">
        <f>IF(NOT(ISBLANK(Audit[[#This Row],[Audit Candidate 8]])), Audit[[#This Row],[Audit Candidate 8]]-Audit[[#This Row],[Candidate 8]], "")</f>
        <v/>
      </c>
      <c r="AM693" s="17" t="str">
        <f>IF(NOT(ISBLANK(Audit[[#This Row],[Audit Candidate 9]])), Audit[[#This Row],[Audit Candidate 9]]-Audit[[#This Row],[Candidate 9]], "")</f>
        <v/>
      </c>
      <c r="AN693" s="17" t="str">
        <f>IF(NOT(ISBLANK(Audit[[#This Row],[Audit Candidate 10]])), Audit[[#This Row],[Audit Candidate 10]]-Audit[[#This Row],[Candidate 10]], "")</f>
        <v/>
      </c>
      <c r="AO693" s="17" t="str">
        <f>IF(NOT(ISBLANK(Audit[[#This Row],[Audit Candidate 11]])), Audit[[#This Row],[Audit Candidate 11]]-Audit[[#This Row],[Candidate 11]], "")</f>
        <v/>
      </c>
      <c r="AP693" s="17" t="str">
        <f>IF(NOT(ISBLANK(Audit[[#This Row],[Audit Candidate 12]])), Audit[[#This Row],[Audit Candidate 12]]-Audit[[#This Row],[Candidate 12]], "")</f>
        <v/>
      </c>
      <c r="AQ693" s="17">
        <f>SUMIF(Audit[[#This Row],[Difference Winner]:[Difference Candidate 12]], "&gt;0")</f>
        <v>0</v>
      </c>
      <c r="AR693" s="17">
        <f>SUM(Audit[[#This Row],[Difference Winner]:[Difference Candidate 12]])</f>
        <v>0</v>
      </c>
      <c r="AS693" s="17">
        <f>IF(Audit[[#This Row],[Times p Drawn - With Replacement]]&gt;0, IF(Audit[[#This Row],[Canceled Differences]]&lt;0, Audit[[#This Row],[Max Differences]]+ABS(Audit[[#This Row],[Canceled Differences]]), Audit[[#This Row],[Max Differences]]), 0)</f>
        <v>0</v>
      </c>
      <c r="AT693" s="17">
        <f>'Sampling Data'!AB693</f>
        <v>1.7399422848412834E-2</v>
      </c>
      <c r="AU693" s="17">
        <f>IF(
      SUM(Audit[[#This Row],[Audit Losing Candidate]:[Audit Candidate 12]])
      &lt;&gt;0,
      (Audit[[#This Row],[Winning Candidate]]-Audit[[#This Row],[Losing Candidate]]-(Audit[[#This Row],[Audit Winning Candidate]]-Audit[[#This Row],[Audit Losing Candidate]]))/(Audit[[#Totals],[Winning Candidate]]-Audit[[#Totals],[Losing Candidate]]),
      0
)</f>
        <v>0</v>
      </c>
      <c r="AV6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3" s="17">
        <f>IF(Audit[[#This Row],[Max Relative Error (ep)]] = 0, 0, Audit[[#This Row],[Max Relative Error (ep)]]/Audit[[#This Row],[Error Bound (up) - Max. possible relative overstatement]])</f>
        <v>0</v>
      </c>
      <c r="BH6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93" s="17">
        <f t="shared" si="11"/>
        <v>1</v>
      </c>
      <c r="BJ693" s="17">
        <f>PRODUCT($BI$5:BI693)</f>
        <v>0.25266558253744331</v>
      </c>
      <c r="BK693" s="19">
        <f>1 - Audit[[#This Row],[K-M P Value]]</f>
        <v>0.74733441746255669</v>
      </c>
      <c r="BL693" s="17" t="str">
        <f>IF(Audit[[#This Row],[K-M P Value]]&gt;1-'General Info'!$B$12,"Continue", "Stop")</f>
        <v>Continue</v>
      </c>
      <c r="BM693" s="22" t="b">
        <f>IF(Audit[[#This Row],[Status - Continue or stop audit]] = "Continue", TRUE, IF(BL692 = "Continue", TRUE, FALSE))</f>
        <v>1</v>
      </c>
      <c r="BN693" s="22"/>
    </row>
    <row r="694" spans="1:66" ht="15" hidden="1" customHeight="1" x14ac:dyDescent="0.35">
      <c r="A694" s="17" t="str">
        <f>'Sampling Data'!AI694</f>
        <v/>
      </c>
      <c r="B694" s="17" t="str">
        <f>'Sampling Data'!A694</f>
        <v>2104 CIN 21-D   (ED)</v>
      </c>
      <c r="C694" s="17">
        <f>'Sampling Data'!B694</f>
        <v>129</v>
      </c>
      <c r="D694" s="17">
        <f>'Sampling Data'!C694</f>
        <v>79</v>
      </c>
      <c r="E694" s="18">
        <f>'Sampling Data'!D694</f>
        <v>0</v>
      </c>
      <c r="F694" s="18">
        <f>'Sampling Data'!E694</f>
        <v>0</v>
      </c>
      <c r="G694" s="18">
        <f>'Sampling Data'!F694</f>
        <v>0</v>
      </c>
      <c r="H694" s="18">
        <f>'Sampling Data'!G694</f>
        <v>0</v>
      </c>
      <c r="I694" s="18">
        <f>'Sampling Data'!H694</f>
        <v>0</v>
      </c>
      <c r="J694" s="18">
        <f>'Sampling Data'!I694</f>
        <v>0</v>
      </c>
      <c r="K694" s="18">
        <f>'Sampling Data'!J694</f>
        <v>0</v>
      </c>
      <c r="L694" s="18">
        <f>'Sampling Data'!K694</f>
        <v>0</v>
      </c>
      <c r="M694" s="18">
        <f>'Sampling Data'!L694</f>
        <v>0</v>
      </c>
      <c r="N694" s="18">
        <f>'Sampling Data'!M694</f>
        <v>0</v>
      </c>
      <c r="O694" s="17">
        <f>'Sampling Data'!N694</f>
        <v>0</v>
      </c>
      <c r="P694" s="17">
        <f>'Sampling Data'!O694</f>
        <v>15</v>
      </c>
      <c r="Q694" s="17">
        <f>'Sampling Data'!P694</f>
        <v>223</v>
      </c>
      <c r="R694" s="17">
        <f>'Sampling Data'!AJ694</f>
        <v>0</v>
      </c>
      <c r="S694" s="111"/>
      <c r="T694" s="111"/>
      <c r="U694" s="112"/>
      <c r="V694" s="112"/>
      <c r="W694" s="111"/>
      <c r="X694" s="111"/>
      <c r="Y694" s="111"/>
      <c r="Z694" s="111"/>
      <c r="AA694" s="14"/>
      <c r="AB694" s="14"/>
      <c r="AC694" s="14"/>
      <c r="AD694" s="14"/>
      <c r="AE694" s="113" t="str">
        <f>IF(NOT(ISBLANK(Audit[[#This Row],[Audit Winning Candidate]])), Audit[[#This Row],[Audit Winning Candidate]]-Audit[[#This Row],[Winning Candidate]], "")</f>
        <v/>
      </c>
      <c r="AF694" s="17" t="str">
        <f>IF(NOT(ISBLANK(Audit[[#This Row],[Audit Losing Candidate]])), Audit[[#This Row],[Audit Losing Candidate]]-Audit[[#This Row],[Losing Candidate]], "")</f>
        <v/>
      </c>
      <c r="AG694" s="17" t="str">
        <f>IF(NOT(ISBLANK(Audit[[#This Row],[Audit Candidate 3]])), Audit[[#This Row],[Audit Candidate 3]]-Audit[[#This Row],[Candidate 3]], "")</f>
        <v/>
      </c>
      <c r="AH694" s="17" t="str">
        <f>IF(NOT(ISBLANK(Audit[[#This Row],[Audit Candidate 4]])),Audit[[#This Row],[Audit Candidate 4]]-Audit[[#This Row],[Candidate 4]], "")</f>
        <v/>
      </c>
      <c r="AI694" s="17" t="str">
        <f>IF(NOT(ISBLANK(Audit[[#This Row],[Audit Candidate 5]])), Audit[[#This Row],[Audit Candidate 5]]-Audit[[#This Row],[Candidate 5]], "")</f>
        <v/>
      </c>
      <c r="AJ694" s="17" t="str">
        <f>IF(NOT(ISBLANK(Audit[[#This Row],[Audit Candidate 6]])), Audit[[#This Row],[Audit Candidate 6]]-Audit[[#This Row],[Candidate 6]], "")</f>
        <v/>
      </c>
      <c r="AK694" s="17" t="str">
        <f>IF(NOT(ISBLANK(Audit[[#This Row],[Audit Candidate 7]])), Audit[[#This Row],[Audit Candidate 7]]-Audit[[#This Row],[Candidate 7]], "")</f>
        <v/>
      </c>
      <c r="AL694" s="17" t="str">
        <f>IF(NOT(ISBLANK(Audit[[#This Row],[Audit Candidate 8]])), Audit[[#This Row],[Audit Candidate 8]]-Audit[[#This Row],[Candidate 8]], "")</f>
        <v/>
      </c>
      <c r="AM694" s="17" t="str">
        <f>IF(NOT(ISBLANK(Audit[[#This Row],[Audit Candidate 9]])), Audit[[#This Row],[Audit Candidate 9]]-Audit[[#This Row],[Candidate 9]], "")</f>
        <v/>
      </c>
      <c r="AN694" s="17" t="str">
        <f>IF(NOT(ISBLANK(Audit[[#This Row],[Audit Candidate 10]])), Audit[[#This Row],[Audit Candidate 10]]-Audit[[#This Row],[Candidate 10]], "")</f>
        <v/>
      </c>
      <c r="AO694" s="17" t="str">
        <f>IF(NOT(ISBLANK(Audit[[#This Row],[Audit Candidate 11]])), Audit[[#This Row],[Audit Candidate 11]]-Audit[[#This Row],[Candidate 11]], "")</f>
        <v/>
      </c>
      <c r="AP694" s="17" t="str">
        <f>IF(NOT(ISBLANK(Audit[[#This Row],[Audit Candidate 12]])), Audit[[#This Row],[Audit Candidate 12]]-Audit[[#This Row],[Candidate 12]], "")</f>
        <v/>
      </c>
      <c r="AQ694" s="17">
        <f>SUMIF(Audit[[#This Row],[Difference Winner]:[Difference Candidate 12]], "&gt;0")</f>
        <v>0</v>
      </c>
      <c r="AR694" s="17">
        <f>SUM(Audit[[#This Row],[Difference Winner]:[Difference Candidate 12]])</f>
        <v>0</v>
      </c>
      <c r="AS694" s="17">
        <f>IF(Audit[[#This Row],[Times p Drawn - With Replacement]]&gt;0, IF(Audit[[#This Row],[Canceled Differences]]&lt;0, Audit[[#This Row],[Max Differences]]+ABS(Audit[[#This Row],[Canceled Differences]]), Audit[[#This Row],[Max Differences]]), 0)</f>
        <v>0</v>
      </c>
      <c r="AT694" s="17">
        <f>'Sampling Data'!AB694</f>
        <v>1.158546936004074E-2</v>
      </c>
      <c r="AU694" s="17">
        <f>IF(
      SUM(Audit[[#This Row],[Audit Losing Candidate]:[Audit Candidate 12]])
      &lt;&gt;0,
      (Audit[[#This Row],[Winning Candidate]]-Audit[[#This Row],[Losing Candidate]]-(Audit[[#This Row],[Audit Winning Candidate]]-Audit[[#This Row],[Audit Losing Candidate]]))/(Audit[[#Totals],[Winning Candidate]]-Audit[[#Totals],[Losing Candidate]]),
      0
)</f>
        <v>0</v>
      </c>
      <c r="AV6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4" s="17">
        <f>IF(Audit[[#This Row],[Max Relative Error (ep)]] = 0, 0, Audit[[#This Row],[Max Relative Error (ep)]]/Audit[[#This Row],[Error Bound (up) - Max. possible relative overstatement]])</f>
        <v>0</v>
      </c>
      <c r="BH6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94" s="17">
        <f t="shared" si="11"/>
        <v>1</v>
      </c>
      <c r="BJ694" s="17">
        <f>PRODUCT($BI$5:BI694)</f>
        <v>0.25266558253744331</v>
      </c>
      <c r="BK694" s="19">
        <f>1 - Audit[[#This Row],[K-M P Value]]</f>
        <v>0.74733441746255669</v>
      </c>
      <c r="BL694" s="17" t="str">
        <f>IF(Audit[[#This Row],[K-M P Value]]&gt;1-'General Info'!$B$12,"Continue", "Stop")</f>
        <v>Continue</v>
      </c>
      <c r="BM694" s="22" t="b">
        <f>IF(Audit[[#This Row],[Status - Continue or stop audit]] = "Continue", TRUE, IF(BL693 = "Continue", TRUE, FALSE))</f>
        <v>1</v>
      </c>
      <c r="BN694" s="22"/>
    </row>
    <row r="695" spans="1:66" ht="15" hidden="1" customHeight="1" x14ac:dyDescent="0.35">
      <c r="A695" s="17" t="str">
        <f>'Sampling Data'!AI695</f>
        <v/>
      </c>
      <c r="B695" s="17" t="str">
        <f>'Sampling Data'!A695</f>
        <v>2105 CIN 21-E   (ED)</v>
      </c>
      <c r="C695" s="17">
        <f>'Sampling Data'!B695</f>
        <v>174</v>
      </c>
      <c r="D695" s="17">
        <f>'Sampling Data'!C695</f>
        <v>14</v>
      </c>
      <c r="E695" s="18">
        <f>'Sampling Data'!D695</f>
        <v>0</v>
      </c>
      <c r="F695" s="18">
        <f>'Sampling Data'!E695</f>
        <v>0</v>
      </c>
      <c r="G695" s="18">
        <f>'Sampling Data'!F695</f>
        <v>0</v>
      </c>
      <c r="H695" s="18">
        <f>'Sampling Data'!G695</f>
        <v>0</v>
      </c>
      <c r="I695" s="18">
        <f>'Sampling Data'!H695</f>
        <v>0</v>
      </c>
      <c r="J695" s="18">
        <f>'Sampling Data'!I695</f>
        <v>0</v>
      </c>
      <c r="K695" s="18">
        <f>'Sampling Data'!J695</f>
        <v>0</v>
      </c>
      <c r="L695" s="18">
        <f>'Sampling Data'!K695</f>
        <v>0</v>
      </c>
      <c r="M695" s="18">
        <f>'Sampling Data'!L695</f>
        <v>0</v>
      </c>
      <c r="N695" s="18">
        <f>'Sampling Data'!M695</f>
        <v>0</v>
      </c>
      <c r="O695" s="17">
        <f>'Sampling Data'!N695</f>
        <v>0</v>
      </c>
      <c r="P695" s="17">
        <f>'Sampling Data'!O695</f>
        <v>18</v>
      </c>
      <c r="Q695" s="17">
        <f>'Sampling Data'!P695</f>
        <v>206</v>
      </c>
      <c r="R695" s="17">
        <f>'Sampling Data'!AJ695</f>
        <v>0</v>
      </c>
      <c r="S695" s="111"/>
      <c r="T695" s="111"/>
      <c r="U695" s="112"/>
      <c r="V695" s="112"/>
      <c r="W695" s="111"/>
      <c r="X695" s="111"/>
      <c r="Y695" s="111"/>
      <c r="Z695" s="111"/>
      <c r="AA695" s="14"/>
      <c r="AB695" s="14"/>
      <c r="AC695" s="14"/>
      <c r="AD695" s="14"/>
      <c r="AE695" s="113" t="str">
        <f>IF(NOT(ISBLANK(Audit[[#This Row],[Audit Winning Candidate]])), Audit[[#This Row],[Audit Winning Candidate]]-Audit[[#This Row],[Winning Candidate]], "")</f>
        <v/>
      </c>
      <c r="AF695" s="17" t="str">
        <f>IF(NOT(ISBLANK(Audit[[#This Row],[Audit Losing Candidate]])), Audit[[#This Row],[Audit Losing Candidate]]-Audit[[#This Row],[Losing Candidate]], "")</f>
        <v/>
      </c>
      <c r="AG695" s="17" t="str">
        <f>IF(NOT(ISBLANK(Audit[[#This Row],[Audit Candidate 3]])), Audit[[#This Row],[Audit Candidate 3]]-Audit[[#This Row],[Candidate 3]], "")</f>
        <v/>
      </c>
      <c r="AH695" s="17" t="str">
        <f>IF(NOT(ISBLANK(Audit[[#This Row],[Audit Candidate 4]])),Audit[[#This Row],[Audit Candidate 4]]-Audit[[#This Row],[Candidate 4]], "")</f>
        <v/>
      </c>
      <c r="AI695" s="17" t="str">
        <f>IF(NOT(ISBLANK(Audit[[#This Row],[Audit Candidate 5]])), Audit[[#This Row],[Audit Candidate 5]]-Audit[[#This Row],[Candidate 5]], "")</f>
        <v/>
      </c>
      <c r="AJ695" s="17" t="str">
        <f>IF(NOT(ISBLANK(Audit[[#This Row],[Audit Candidate 6]])), Audit[[#This Row],[Audit Candidate 6]]-Audit[[#This Row],[Candidate 6]], "")</f>
        <v/>
      </c>
      <c r="AK695" s="17" t="str">
        <f>IF(NOT(ISBLANK(Audit[[#This Row],[Audit Candidate 7]])), Audit[[#This Row],[Audit Candidate 7]]-Audit[[#This Row],[Candidate 7]], "")</f>
        <v/>
      </c>
      <c r="AL695" s="17" t="str">
        <f>IF(NOT(ISBLANK(Audit[[#This Row],[Audit Candidate 8]])), Audit[[#This Row],[Audit Candidate 8]]-Audit[[#This Row],[Candidate 8]], "")</f>
        <v/>
      </c>
      <c r="AM695" s="17" t="str">
        <f>IF(NOT(ISBLANK(Audit[[#This Row],[Audit Candidate 9]])), Audit[[#This Row],[Audit Candidate 9]]-Audit[[#This Row],[Candidate 9]], "")</f>
        <v/>
      </c>
      <c r="AN695" s="17" t="str">
        <f>IF(NOT(ISBLANK(Audit[[#This Row],[Audit Candidate 10]])), Audit[[#This Row],[Audit Candidate 10]]-Audit[[#This Row],[Candidate 10]], "")</f>
        <v/>
      </c>
      <c r="AO695" s="17" t="str">
        <f>IF(NOT(ISBLANK(Audit[[#This Row],[Audit Candidate 11]])), Audit[[#This Row],[Audit Candidate 11]]-Audit[[#This Row],[Candidate 11]], "")</f>
        <v/>
      </c>
      <c r="AP695" s="17" t="str">
        <f>IF(NOT(ISBLANK(Audit[[#This Row],[Audit Candidate 12]])), Audit[[#This Row],[Audit Candidate 12]]-Audit[[#This Row],[Candidate 12]], "")</f>
        <v/>
      </c>
      <c r="AQ695" s="17">
        <f>SUMIF(Audit[[#This Row],[Difference Winner]:[Difference Candidate 12]], "&gt;0")</f>
        <v>0</v>
      </c>
      <c r="AR695" s="17">
        <f>SUM(Audit[[#This Row],[Difference Winner]:[Difference Candidate 12]])</f>
        <v>0</v>
      </c>
      <c r="AS695" s="17">
        <f>IF(Audit[[#This Row],[Times p Drawn - With Replacement]]&gt;0, IF(Audit[[#This Row],[Canceled Differences]]&lt;0, Audit[[#This Row],[Max Differences]]+ABS(Audit[[#This Row],[Canceled Differences]]), Audit[[#This Row],[Max Differences]]), 0)</f>
        <v>0</v>
      </c>
      <c r="AT695" s="17">
        <f>'Sampling Data'!AB695</f>
        <v>1.5532167713461211E-2</v>
      </c>
      <c r="AU695" s="17">
        <f>IF(
      SUM(Audit[[#This Row],[Audit Losing Candidate]:[Audit Candidate 12]])
      &lt;&gt;0,
      (Audit[[#This Row],[Winning Candidate]]-Audit[[#This Row],[Losing Candidate]]-(Audit[[#This Row],[Audit Winning Candidate]]-Audit[[#This Row],[Audit Losing Candidate]]))/(Audit[[#Totals],[Winning Candidate]]-Audit[[#Totals],[Losing Candidate]]),
      0
)</f>
        <v>0</v>
      </c>
      <c r="AV6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5" s="17">
        <f>IF(Audit[[#This Row],[Max Relative Error (ep)]] = 0, 0, Audit[[#This Row],[Max Relative Error (ep)]]/Audit[[#This Row],[Error Bound (up) - Max. possible relative overstatement]])</f>
        <v>0</v>
      </c>
      <c r="BH6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95" s="17">
        <f t="shared" si="11"/>
        <v>1</v>
      </c>
      <c r="BJ695" s="17">
        <f>PRODUCT($BI$5:BI695)</f>
        <v>0.25266558253744331</v>
      </c>
      <c r="BK695" s="19">
        <f>1 - Audit[[#This Row],[K-M P Value]]</f>
        <v>0.74733441746255669</v>
      </c>
      <c r="BL695" s="17" t="str">
        <f>IF(Audit[[#This Row],[K-M P Value]]&gt;1-'General Info'!$B$12,"Continue", "Stop")</f>
        <v>Continue</v>
      </c>
      <c r="BM695" s="22" t="b">
        <f>IF(Audit[[#This Row],[Status - Continue or stop audit]] = "Continue", TRUE, IF(BL694 = "Continue", TRUE, FALSE))</f>
        <v>1</v>
      </c>
      <c r="BN695" s="22"/>
    </row>
    <row r="696" spans="1:66" ht="15" hidden="1" customHeight="1" x14ac:dyDescent="0.35">
      <c r="A696" s="17" t="str">
        <f>'Sampling Data'!AI696</f>
        <v/>
      </c>
      <c r="B696" s="17" t="str">
        <f>'Sampling Data'!A696</f>
        <v>2201 CIN 22-A   (ED)</v>
      </c>
      <c r="C696" s="17">
        <f>'Sampling Data'!B696</f>
        <v>494</v>
      </c>
      <c r="D696" s="17">
        <f>'Sampling Data'!C696</f>
        <v>77</v>
      </c>
      <c r="E696" s="18">
        <f>'Sampling Data'!D696</f>
        <v>0</v>
      </c>
      <c r="F696" s="18">
        <f>'Sampling Data'!E696</f>
        <v>0</v>
      </c>
      <c r="G696" s="18">
        <f>'Sampling Data'!F696</f>
        <v>0</v>
      </c>
      <c r="H696" s="18">
        <f>'Sampling Data'!G696</f>
        <v>0</v>
      </c>
      <c r="I696" s="18">
        <f>'Sampling Data'!H696</f>
        <v>0</v>
      </c>
      <c r="J696" s="18">
        <f>'Sampling Data'!I696</f>
        <v>0</v>
      </c>
      <c r="K696" s="18">
        <f>'Sampling Data'!J696</f>
        <v>0</v>
      </c>
      <c r="L696" s="18">
        <f>'Sampling Data'!K696</f>
        <v>0</v>
      </c>
      <c r="M696" s="18">
        <f>'Sampling Data'!L696</f>
        <v>0</v>
      </c>
      <c r="N696" s="18">
        <f>'Sampling Data'!M696</f>
        <v>0</v>
      </c>
      <c r="O696" s="17">
        <f>'Sampling Data'!N696</f>
        <v>0</v>
      </c>
      <c r="P696" s="17">
        <f>'Sampling Data'!O696</f>
        <v>41</v>
      </c>
      <c r="Q696" s="17">
        <f>'Sampling Data'!P696</f>
        <v>612</v>
      </c>
      <c r="R696" s="17">
        <f>'Sampling Data'!AJ696</f>
        <v>0</v>
      </c>
      <c r="S696" s="111"/>
      <c r="T696" s="111"/>
      <c r="U696" s="112"/>
      <c r="V696" s="112"/>
      <c r="W696" s="111"/>
      <c r="X696" s="111"/>
      <c r="Y696" s="111"/>
      <c r="Z696" s="111"/>
      <c r="AA696" s="14"/>
      <c r="AB696" s="14"/>
      <c r="AC696" s="14"/>
      <c r="AD696" s="14"/>
      <c r="AE696" s="113" t="str">
        <f>IF(NOT(ISBLANK(Audit[[#This Row],[Audit Winning Candidate]])), Audit[[#This Row],[Audit Winning Candidate]]-Audit[[#This Row],[Winning Candidate]], "")</f>
        <v/>
      </c>
      <c r="AF696" s="17" t="str">
        <f>IF(NOT(ISBLANK(Audit[[#This Row],[Audit Losing Candidate]])), Audit[[#This Row],[Audit Losing Candidate]]-Audit[[#This Row],[Losing Candidate]], "")</f>
        <v/>
      </c>
      <c r="AG696" s="17" t="str">
        <f>IF(NOT(ISBLANK(Audit[[#This Row],[Audit Candidate 3]])), Audit[[#This Row],[Audit Candidate 3]]-Audit[[#This Row],[Candidate 3]], "")</f>
        <v/>
      </c>
      <c r="AH696" s="17" t="str">
        <f>IF(NOT(ISBLANK(Audit[[#This Row],[Audit Candidate 4]])),Audit[[#This Row],[Audit Candidate 4]]-Audit[[#This Row],[Candidate 4]], "")</f>
        <v/>
      </c>
      <c r="AI696" s="17" t="str">
        <f>IF(NOT(ISBLANK(Audit[[#This Row],[Audit Candidate 5]])), Audit[[#This Row],[Audit Candidate 5]]-Audit[[#This Row],[Candidate 5]], "")</f>
        <v/>
      </c>
      <c r="AJ696" s="17" t="str">
        <f>IF(NOT(ISBLANK(Audit[[#This Row],[Audit Candidate 6]])), Audit[[#This Row],[Audit Candidate 6]]-Audit[[#This Row],[Candidate 6]], "")</f>
        <v/>
      </c>
      <c r="AK696" s="17" t="str">
        <f>IF(NOT(ISBLANK(Audit[[#This Row],[Audit Candidate 7]])), Audit[[#This Row],[Audit Candidate 7]]-Audit[[#This Row],[Candidate 7]], "")</f>
        <v/>
      </c>
      <c r="AL696" s="17" t="str">
        <f>IF(NOT(ISBLANK(Audit[[#This Row],[Audit Candidate 8]])), Audit[[#This Row],[Audit Candidate 8]]-Audit[[#This Row],[Candidate 8]], "")</f>
        <v/>
      </c>
      <c r="AM696" s="17" t="str">
        <f>IF(NOT(ISBLANK(Audit[[#This Row],[Audit Candidate 9]])), Audit[[#This Row],[Audit Candidate 9]]-Audit[[#This Row],[Candidate 9]], "")</f>
        <v/>
      </c>
      <c r="AN696" s="17" t="str">
        <f>IF(NOT(ISBLANK(Audit[[#This Row],[Audit Candidate 10]])), Audit[[#This Row],[Audit Candidate 10]]-Audit[[#This Row],[Candidate 10]], "")</f>
        <v/>
      </c>
      <c r="AO696" s="17" t="str">
        <f>IF(NOT(ISBLANK(Audit[[#This Row],[Audit Candidate 11]])), Audit[[#This Row],[Audit Candidate 11]]-Audit[[#This Row],[Candidate 11]], "")</f>
        <v/>
      </c>
      <c r="AP696" s="17" t="str">
        <f>IF(NOT(ISBLANK(Audit[[#This Row],[Audit Candidate 12]])), Audit[[#This Row],[Audit Candidate 12]]-Audit[[#This Row],[Candidate 12]], "")</f>
        <v/>
      </c>
      <c r="AQ696" s="17">
        <f>SUMIF(Audit[[#This Row],[Difference Winner]:[Difference Candidate 12]], "&gt;0")</f>
        <v>0</v>
      </c>
      <c r="AR696" s="17">
        <f>SUM(Audit[[#This Row],[Difference Winner]:[Difference Candidate 12]])</f>
        <v>0</v>
      </c>
      <c r="AS696" s="17">
        <f>IF(Audit[[#This Row],[Times p Drawn - With Replacement]]&gt;0, IF(Audit[[#This Row],[Canceled Differences]]&lt;0, Audit[[#This Row],[Max Differences]]+ABS(Audit[[#This Row],[Canceled Differences]]), Audit[[#This Row],[Max Differences]]), 0)</f>
        <v>0</v>
      </c>
      <c r="AT696" s="17">
        <f>'Sampling Data'!AB696</f>
        <v>4.3668307587845866E-2</v>
      </c>
      <c r="AU696" s="17">
        <f>IF(
      SUM(Audit[[#This Row],[Audit Losing Candidate]:[Audit Candidate 12]])
      &lt;&gt;0,
      (Audit[[#This Row],[Winning Candidate]]-Audit[[#This Row],[Losing Candidate]]-(Audit[[#This Row],[Audit Winning Candidate]]-Audit[[#This Row],[Audit Losing Candidate]]))/(Audit[[#Totals],[Winning Candidate]]-Audit[[#Totals],[Losing Candidate]]),
      0
)</f>
        <v>0</v>
      </c>
      <c r="AV6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6" s="17">
        <f>IF(Audit[[#This Row],[Max Relative Error (ep)]] = 0, 0, Audit[[#This Row],[Max Relative Error (ep)]]/Audit[[#This Row],[Error Bound (up) - Max. possible relative overstatement]])</f>
        <v>0</v>
      </c>
      <c r="BH6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96" s="17">
        <f t="shared" si="11"/>
        <v>1</v>
      </c>
      <c r="BJ696" s="17">
        <f>PRODUCT($BI$5:BI696)</f>
        <v>0.25266558253744331</v>
      </c>
      <c r="BK696" s="19">
        <f>1 - Audit[[#This Row],[K-M P Value]]</f>
        <v>0.74733441746255669</v>
      </c>
      <c r="BL696" s="17" t="str">
        <f>IF(Audit[[#This Row],[K-M P Value]]&gt;1-'General Info'!$B$12,"Continue", "Stop")</f>
        <v>Continue</v>
      </c>
      <c r="BM696" s="22" t="b">
        <f>IF(Audit[[#This Row],[Status - Continue or stop audit]] = "Continue", TRUE, IF(BL695 = "Continue", TRUE, FALSE))</f>
        <v>1</v>
      </c>
      <c r="BN696" s="22"/>
    </row>
    <row r="697" spans="1:66" ht="15" hidden="1" customHeight="1" x14ac:dyDescent="0.35">
      <c r="A697" s="17" t="str">
        <f>'Sampling Data'!AI697</f>
        <v/>
      </c>
      <c r="B697" s="17" t="str">
        <f>'Sampling Data'!A697</f>
        <v>2202 CIN 22-B   (ED)</v>
      </c>
      <c r="C697" s="17">
        <f>'Sampling Data'!B697</f>
        <v>250</v>
      </c>
      <c r="D697" s="17">
        <f>'Sampling Data'!C697</f>
        <v>64</v>
      </c>
      <c r="E697" s="18">
        <f>'Sampling Data'!D697</f>
        <v>0</v>
      </c>
      <c r="F697" s="18">
        <f>'Sampling Data'!E697</f>
        <v>0</v>
      </c>
      <c r="G697" s="18">
        <f>'Sampling Data'!F697</f>
        <v>0</v>
      </c>
      <c r="H697" s="18">
        <f>'Sampling Data'!G697</f>
        <v>0</v>
      </c>
      <c r="I697" s="18">
        <f>'Sampling Data'!H697</f>
        <v>0</v>
      </c>
      <c r="J697" s="18">
        <f>'Sampling Data'!I697</f>
        <v>0</v>
      </c>
      <c r="K697" s="18">
        <f>'Sampling Data'!J697</f>
        <v>0</v>
      </c>
      <c r="L697" s="18">
        <f>'Sampling Data'!K697</f>
        <v>0</v>
      </c>
      <c r="M697" s="18">
        <f>'Sampling Data'!L697</f>
        <v>0</v>
      </c>
      <c r="N697" s="18">
        <f>'Sampling Data'!M697</f>
        <v>0</v>
      </c>
      <c r="O697" s="17">
        <f>'Sampling Data'!N697</f>
        <v>0</v>
      </c>
      <c r="P697" s="17">
        <f>'Sampling Data'!O697</f>
        <v>21</v>
      </c>
      <c r="Q697" s="17">
        <f>'Sampling Data'!P697</f>
        <v>335</v>
      </c>
      <c r="R697" s="17">
        <f>'Sampling Data'!AJ697</f>
        <v>0</v>
      </c>
      <c r="S697" s="111"/>
      <c r="T697" s="111"/>
      <c r="U697" s="112"/>
      <c r="V697" s="112"/>
      <c r="W697" s="111"/>
      <c r="X697" s="111"/>
      <c r="Y697" s="111"/>
      <c r="Z697" s="111"/>
      <c r="AA697" s="14"/>
      <c r="AB697" s="14"/>
      <c r="AC697" s="14"/>
      <c r="AD697" s="14"/>
      <c r="AE697" s="113" t="str">
        <f>IF(NOT(ISBLANK(Audit[[#This Row],[Audit Winning Candidate]])), Audit[[#This Row],[Audit Winning Candidate]]-Audit[[#This Row],[Winning Candidate]], "")</f>
        <v/>
      </c>
      <c r="AF697" s="17" t="str">
        <f>IF(NOT(ISBLANK(Audit[[#This Row],[Audit Losing Candidate]])), Audit[[#This Row],[Audit Losing Candidate]]-Audit[[#This Row],[Losing Candidate]], "")</f>
        <v/>
      </c>
      <c r="AG697" s="17" t="str">
        <f>IF(NOT(ISBLANK(Audit[[#This Row],[Audit Candidate 3]])), Audit[[#This Row],[Audit Candidate 3]]-Audit[[#This Row],[Candidate 3]], "")</f>
        <v/>
      </c>
      <c r="AH697" s="17" t="str">
        <f>IF(NOT(ISBLANK(Audit[[#This Row],[Audit Candidate 4]])),Audit[[#This Row],[Audit Candidate 4]]-Audit[[#This Row],[Candidate 4]], "")</f>
        <v/>
      </c>
      <c r="AI697" s="17" t="str">
        <f>IF(NOT(ISBLANK(Audit[[#This Row],[Audit Candidate 5]])), Audit[[#This Row],[Audit Candidate 5]]-Audit[[#This Row],[Candidate 5]], "")</f>
        <v/>
      </c>
      <c r="AJ697" s="17" t="str">
        <f>IF(NOT(ISBLANK(Audit[[#This Row],[Audit Candidate 6]])), Audit[[#This Row],[Audit Candidate 6]]-Audit[[#This Row],[Candidate 6]], "")</f>
        <v/>
      </c>
      <c r="AK697" s="17" t="str">
        <f>IF(NOT(ISBLANK(Audit[[#This Row],[Audit Candidate 7]])), Audit[[#This Row],[Audit Candidate 7]]-Audit[[#This Row],[Candidate 7]], "")</f>
        <v/>
      </c>
      <c r="AL697" s="17" t="str">
        <f>IF(NOT(ISBLANK(Audit[[#This Row],[Audit Candidate 8]])), Audit[[#This Row],[Audit Candidate 8]]-Audit[[#This Row],[Candidate 8]], "")</f>
        <v/>
      </c>
      <c r="AM697" s="17" t="str">
        <f>IF(NOT(ISBLANK(Audit[[#This Row],[Audit Candidate 9]])), Audit[[#This Row],[Audit Candidate 9]]-Audit[[#This Row],[Candidate 9]], "")</f>
        <v/>
      </c>
      <c r="AN697" s="17" t="str">
        <f>IF(NOT(ISBLANK(Audit[[#This Row],[Audit Candidate 10]])), Audit[[#This Row],[Audit Candidate 10]]-Audit[[#This Row],[Candidate 10]], "")</f>
        <v/>
      </c>
      <c r="AO697" s="17" t="str">
        <f>IF(NOT(ISBLANK(Audit[[#This Row],[Audit Candidate 11]])), Audit[[#This Row],[Audit Candidate 11]]-Audit[[#This Row],[Candidate 11]], "")</f>
        <v/>
      </c>
      <c r="AP697" s="17" t="str">
        <f>IF(NOT(ISBLANK(Audit[[#This Row],[Audit Candidate 12]])), Audit[[#This Row],[Audit Candidate 12]]-Audit[[#This Row],[Candidate 12]], "")</f>
        <v/>
      </c>
      <c r="AQ697" s="17">
        <f>SUMIF(Audit[[#This Row],[Difference Winner]:[Difference Candidate 12]], "&gt;0")</f>
        <v>0</v>
      </c>
      <c r="AR697" s="17">
        <f>SUM(Audit[[#This Row],[Difference Winner]:[Difference Candidate 12]])</f>
        <v>0</v>
      </c>
      <c r="AS697" s="17">
        <f>IF(Audit[[#This Row],[Times p Drawn - With Replacement]]&gt;0, IF(Audit[[#This Row],[Canceled Differences]]&lt;0, Audit[[#This Row],[Max Differences]]+ABS(Audit[[#This Row],[Canceled Differences]]), Audit[[#This Row],[Max Differences]]), 0)</f>
        <v>0</v>
      </c>
      <c r="AT697" s="17">
        <f>'Sampling Data'!AB697</f>
        <v>2.2109998302495333E-2</v>
      </c>
      <c r="AU697" s="17">
        <f>IF(
      SUM(Audit[[#This Row],[Audit Losing Candidate]:[Audit Candidate 12]])
      &lt;&gt;0,
      (Audit[[#This Row],[Winning Candidate]]-Audit[[#This Row],[Losing Candidate]]-(Audit[[#This Row],[Audit Winning Candidate]]-Audit[[#This Row],[Audit Losing Candidate]]))/(Audit[[#Totals],[Winning Candidate]]-Audit[[#Totals],[Losing Candidate]]),
      0
)</f>
        <v>0</v>
      </c>
      <c r="AV6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7" s="17">
        <f>IF(Audit[[#This Row],[Max Relative Error (ep)]] = 0, 0, Audit[[#This Row],[Max Relative Error (ep)]]/Audit[[#This Row],[Error Bound (up) - Max. possible relative overstatement]])</f>
        <v>0</v>
      </c>
      <c r="BH6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97" s="17">
        <f t="shared" si="11"/>
        <v>1</v>
      </c>
      <c r="BJ697" s="17">
        <f>PRODUCT($BI$5:BI697)</f>
        <v>0.25266558253744331</v>
      </c>
      <c r="BK697" s="19">
        <f>1 - Audit[[#This Row],[K-M P Value]]</f>
        <v>0.74733441746255669</v>
      </c>
      <c r="BL697" s="17" t="str">
        <f>IF(Audit[[#This Row],[K-M P Value]]&gt;1-'General Info'!$B$12,"Continue", "Stop")</f>
        <v>Continue</v>
      </c>
      <c r="BM697" s="22" t="b">
        <f>IF(Audit[[#This Row],[Status - Continue or stop audit]] = "Continue", TRUE, IF(BL696 = "Continue", TRUE, FALSE))</f>
        <v>1</v>
      </c>
      <c r="BN697" s="22"/>
    </row>
    <row r="698" spans="1:66" ht="15" hidden="1" customHeight="1" x14ac:dyDescent="0.35">
      <c r="A698" s="17" t="str">
        <f>'Sampling Data'!AI698</f>
        <v/>
      </c>
      <c r="B698" s="17" t="str">
        <f>'Sampling Data'!A698</f>
        <v>2203 CIN 22-C   (ED)</v>
      </c>
      <c r="C698" s="17">
        <f>'Sampling Data'!B698</f>
        <v>260</v>
      </c>
      <c r="D698" s="17">
        <f>'Sampling Data'!C698</f>
        <v>24</v>
      </c>
      <c r="E698" s="18">
        <f>'Sampling Data'!D698</f>
        <v>0</v>
      </c>
      <c r="F698" s="18">
        <f>'Sampling Data'!E698</f>
        <v>0</v>
      </c>
      <c r="G698" s="18">
        <f>'Sampling Data'!F698</f>
        <v>0</v>
      </c>
      <c r="H698" s="18">
        <f>'Sampling Data'!G698</f>
        <v>0</v>
      </c>
      <c r="I698" s="18">
        <f>'Sampling Data'!H698</f>
        <v>0</v>
      </c>
      <c r="J698" s="18">
        <f>'Sampling Data'!I698</f>
        <v>0</v>
      </c>
      <c r="K698" s="18">
        <f>'Sampling Data'!J698</f>
        <v>0</v>
      </c>
      <c r="L698" s="18">
        <f>'Sampling Data'!K698</f>
        <v>0</v>
      </c>
      <c r="M698" s="18">
        <f>'Sampling Data'!L698</f>
        <v>0</v>
      </c>
      <c r="N698" s="18">
        <f>'Sampling Data'!M698</f>
        <v>0</v>
      </c>
      <c r="O698" s="17">
        <f>'Sampling Data'!N698</f>
        <v>0</v>
      </c>
      <c r="P698" s="17">
        <f>'Sampling Data'!O698</f>
        <v>23</v>
      </c>
      <c r="Q698" s="17">
        <f>'Sampling Data'!P698</f>
        <v>307</v>
      </c>
      <c r="R698" s="17">
        <f>'Sampling Data'!AJ698</f>
        <v>0</v>
      </c>
      <c r="S698" s="111"/>
      <c r="T698" s="111"/>
      <c r="U698" s="112"/>
      <c r="V698" s="112"/>
      <c r="W698" s="111"/>
      <c r="X698" s="111"/>
      <c r="Y698" s="111"/>
      <c r="Z698" s="111"/>
      <c r="AA698" s="14"/>
      <c r="AB698" s="14"/>
      <c r="AC698" s="14"/>
      <c r="AD698" s="14"/>
      <c r="AE698" s="113" t="str">
        <f>IF(NOT(ISBLANK(Audit[[#This Row],[Audit Winning Candidate]])), Audit[[#This Row],[Audit Winning Candidate]]-Audit[[#This Row],[Winning Candidate]], "")</f>
        <v/>
      </c>
      <c r="AF698" s="17" t="str">
        <f>IF(NOT(ISBLANK(Audit[[#This Row],[Audit Losing Candidate]])), Audit[[#This Row],[Audit Losing Candidate]]-Audit[[#This Row],[Losing Candidate]], "")</f>
        <v/>
      </c>
      <c r="AG698" s="17" t="str">
        <f>IF(NOT(ISBLANK(Audit[[#This Row],[Audit Candidate 3]])), Audit[[#This Row],[Audit Candidate 3]]-Audit[[#This Row],[Candidate 3]], "")</f>
        <v/>
      </c>
      <c r="AH698" s="17" t="str">
        <f>IF(NOT(ISBLANK(Audit[[#This Row],[Audit Candidate 4]])),Audit[[#This Row],[Audit Candidate 4]]-Audit[[#This Row],[Candidate 4]], "")</f>
        <v/>
      </c>
      <c r="AI698" s="17" t="str">
        <f>IF(NOT(ISBLANK(Audit[[#This Row],[Audit Candidate 5]])), Audit[[#This Row],[Audit Candidate 5]]-Audit[[#This Row],[Candidate 5]], "")</f>
        <v/>
      </c>
      <c r="AJ698" s="17" t="str">
        <f>IF(NOT(ISBLANK(Audit[[#This Row],[Audit Candidate 6]])), Audit[[#This Row],[Audit Candidate 6]]-Audit[[#This Row],[Candidate 6]], "")</f>
        <v/>
      </c>
      <c r="AK698" s="17" t="str">
        <f>IF(NOT(ISBLANK(Audit[[#This Row],[Audit Candidate 7]])), Audit[[#This Row],[Audit Candidate 7]]-Audit[[#This Row],[Candidate 7]], "")</f>
        <v/>
      </c>
      <c r="AL698" s="17" t="str">
        <f>IF(NOT(ISBLANK(Audit[[#This Row],[Audit Candidate 8]])), Audit[[#This Row],[Audit Candidate 8]]-Audit[[#This Row],[Candidate 8]], "")</f>
        <v/>
      </c>
      <c r="AM698" s="17" t="str">
        <f>IF(NOT(ISBLANK(Audit[[#This Row],[Audit Candidate 9]])), Audit[[#This Row],[Audit Candidate 9]]-Audit[[#This Row],[Candidate 9]], "")</f>
        <v/>
      </c>
      <c r="AN698" s="17" t="str">
        <f>IF(NOT(ISBLANK(Audit[[#This Row],[Audit Candidate 10]])), Audit[[#This Row],[Audit Candidate 10]]-Audit[[#This Row],[Candidate 10]], "")</f>
        <v/>
      </c>
      <c r="AO698" s="17" t="str">
        <f>IF(NOT(ISBLANK(Audit[[#This Row],[Audit Candidate 11]])), Audit[[#This Row],[Audit Candidate 11]]-Audit[[#This Row],[Candidate 11]], "")</f>
        <v/>
      </c>
      <c r="AP698" s="17" t="str">
        <f>IF(NOT(ISBLANK(Audit[[#This Row],[Audit Candidate 12]])), Audit[[#This Row],[Audit Candidate 12]]-Audit[[#This Row],[Candidate 12]], "")</f>
        <v/>
      </c>
      <c r="AQ698" s="17">
        <f>SUMIF(Audit[[#This Row],[Difference Winner]:[Difference Candidate 12]], "&gt;0")</f>
        <v>0</v>
      </c>
      <c r="AR698" s="17">
        <f>SUM(Audit[[#This Row],[Difference Winner]:[Difference Candidate 12]])</f>
        <v>0</v>
      </c>
      <c r="AS698" s="17">
        <f>IF(Audit[[#This Row],[Times p Drawn - With Replacement]]&gt;0, IF(Audit[[#This Row],[Canceled Differences]]&lt;0, Audit[[#This Row],[Max Differences]]+ABS(Audit[[#This Row],[Canceled Differences]]), Audit[[#This Row],[Max Differences]]), 0)</f>
        <v>0</v>
      </c>
      <c r="AT698" s="17">
        <f>'Sampling Data'!AB698</f>
        <v>2.3043625869971142E-2</v>
      </c>
      <c r="AU698" s="17">
        <f>IF(
      SUM(Audit[[#This Row],[Audit Losing Candidate]:[Audit Candidate 12]])
      &lt;&gt;0,
      (Audit[[#This Row],[Winning Candidate]]-Audit[[#This Row],[Losing Candidate]]-(Audit[[#This Row],[Audit Winning Candidate]]-Audit[[#This Row],[Audit Losing Candidate]]))/(Audit[[#Totals],[Winning Candidate]]-Audit[[#Totals],[Losing Candidate]]),
      0
)</f>
        <v>0</v>
      </c>
      <c r="AV6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8" s="17">
        <f>IF(Audit[[#This Row],[Max Relative Error (ep)]] = 0, 0, Audit[[#This Row],[Max Relative Error (ep)]]/Audit[[#This Row],[Error Bound (up) - Max. possible relative overstatement]])</f>
        <v>0</v>
      </c>
      <c r="BH6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98" s="17">
        <f t="shared" si="11"/>
        <v>1</v>
      </c>
      <c r="BJ698" s="17">
        <f>PRODUCT($BI$5:BI698)</f>
        <v>0.25266558253744331</v>
      </c>
      <c r="BK698" s="19">
        <f>1 - Audit[[#This Row],[K-M P Value]]</f>
        <v>0.74733441746255669</v>
      </c>
      <c r="BL698" s="17" t="str">
        <f>IF(Audit[[#This Row],[K-M P Value]]&gt;1-'General Info'!$B$12,"Continue", "Stop")</f>
        <v>Continue</v>
      </c>
      <c r="BM698" s="22" t="b">
        <f>IF(Audit[[#This Row],[Status - Continue or stop audit]] = "Continue", TRUE, IF(BL697 = "Continue", TRUE, FALSE))</f>
        <v>1</v>
      </c>
      <c r="BN698" s="22"/>
    </row>
    <row r="699" spans="1:66" ht="15" hidden="1" customHeight="1" x14ac:dyDescent="0.35">
      <c r="A699" s="17" t="str">
        <f>'Sampling Data'!AI699</f>
        <v/>
      </c>
      <c r="B699" s="17" t="str">
        <f>'Sampling Data'!A699</f>
        <v>2301 CIN 23-A   (ED)</v>
      </c>
      <c r="C699" s="17">
        <f>'Sampling Data'!B699</f>
        <v>343</v>
      </c>
      <c r="D699" s="17">
        <f>'Sampling Data'!C699</f>
        <v>80</v>
      </c>
      <c r="E699" s="18">
        <f>'Sampling Data'!D699</f>
        <v>0</v>
      </c>
      <c r="F699" s="18">
        <f>'Sampling Data'!E699</f>
        <v>0</v>
      </c>
      <c r="G699" s="18">
        <f>'Sampling Data'!F699</f>
        <v>0</v>
      </c>
      <c r="H699" s="18">
        <f>'Sampling Data'!G699</f>
        <v>0</v>
      </c>
      <c r="I699" s="18">
        <f>'Sampling Data'!H699</f>
        <v>0</v>
      </c>
      <c r="J699" s="18">
        <f>'Sampling Data'!I699</f>
        <v>0</v>
      </c>
      <c r="K699" s="18">
        <f>'Sampling Data'!J699</f>
        <v>0</v>
      </c>
      <c r="L699" s="18">
        <f>'Sampling Data'!K699</f>
        <v>0</v>
      </c>
      <c r="M699" s="18">
        <f>'Sampling Data'!L699</f>
        <v>0</v>
      </c>
      <c r="N699" s="18">
        <f>'Sampling Data'!M699</f>
        <v>0</v>
      </c>
      <c r="O699" s="17">
        <f>'Sampling Data'!N699</f>
        <v>0</v>
      </c>
      <c r="P699" s="17">
        <f>'Sampling Data'!O699</f>
        <v>23</v>
      </c>
      <c r="Q699" s="17">
        <f>'Sampling Data'!P699</f>
        <v>446</v>
      </c>
      <c r="R699" s="17">
        <f>'Sampling Data'!AJ699</f>
        <v>0</v>
      </c>
      <c r="S699" s="111"/>
      <c r="T699" s="111"/>
      <c r="U699" s="112"/>
      <c r="V699" s="112"/>
      <c r="W699" s="111"/>
      <c r="X699" s="111"/>
      <c r="Y699" s="111"/>
      <c r="Z699" s="111"/>
      <c r="AA699" s="14"/>
      <c r="AB699" s="14"/>
      <c r="AC699" s="14"/>
      <c r="AD699" s="14"/>
      <c r="AE699" s="113" t="str">
        <f>IF(NOT(ISBLANK(Audit[[#This Row],[Audit Winning Candidate]])), Audit[[#This Row],[Audit Winning Candidate]]-Audit[[#This Row],[Winning Candidate]], "")</f>
        <v/>
      </c>
      <c r="AF699" s="17" t="str">
        <f>IF(NOT(ISBLANK(Audit[[#This Row],[Audit Losing Candidate]])), Audit[[#This Row],[Audit Losing Candidate]]-Audit[[#This Row],[Losing Candidate]], "")</f>
        <v/>
      </c>
      <c r="AG699" s="17" t="str">
        <f>IF(NOT(ISBLANK(Audit[[#This Row],[Audit Candidate 3]])), Audit[[#This Row],[Audit Candidate 3]]-Audit[[#This Row],[Candidate 3]], "")</f>
        <v/>
      </c>
      <c r="AH699" s="17" t="str">
        <f>IF(NOT(ISBLANK(Audit[[#This Row],[Audit Candidate 4]])),Audit[[#This Row],[Audit Candidate 4]]-Audit[[#This Row],[Candidate 4]], "")</f>
        <v/>
      </c>
      <c r="AI699" s="17" t="str">
        <f>IF(NOT(ISBLANK(Audit[[#This Row],[Audit Candidate 5]])), Audit[[#This Row],[Audit Candidate 5]]-Audit[[#This Row],[Candidate 5]], "")</f>
        <v/>
      </c>
      <c r="AJ699" s="17" t="str">
        <f>IF(NOT(ISBLANK(Audit[[#This Row],[Audit Candidate 6]])), Audit[[#This Row],[Audit Candidate 6]]-Audit[[#This Row],[Candidate 6]], "")</f>
        <v/>
      </c>
      <c r="AK699" s="17" t="str">
        <f>IF(NOT(ISBLANK(Audit[[#This Row],[Audit Candidate 7]])), Audit[[#This Row],[Audit Candidate 7]]-Audit[[#This Row],[Candidate 7]], "")</f>
        <v/>
      </c>
      <c r="AL699" s="17" t="str">
        <f>IF(NOT(ISBLANK(Audit[[#This Row],[Audit Candidate 8]])), Audit[[#This Row],[Audit Candidate 8]]-Audit[[#This Row],[Candidate 8]], "")</f>
        <v/>
      </c>
      <c r="AM699" s="17" t="str">
        <f>IF(NOT(ISBLANK(Audit[[#This Row],[Audit Candidate 9]])), Audit[[#This Row],[Audit Candidate 9]]-Audit[[#This Row],[Candidate 9]], "")</f>
        <v/>
      </c>
      <c r="AN699" s="17" t="str">
        <f>IF(NOT(ISBLANK(Audit[[#This Row],[Audit Candidate 10]])), Audit[[#This Row],[Audit Candidate 10]]-Audit[[#This Row],[Candidate 10]], "")</f>
        <v/>
      </c>
      <c r="AO699" s="17" t="str">
        <f>IF(NOT(ISBLANK(Audit[[#This Row],[Audit Candidate 11]])), Audit[[#This Row],[Audit Candidate 11]]-Audit[[#This Row],[Candidate 11]], "")</f>
        <v/>
      </c>
      <c r="AP699" s="17" t="str">
        <f>IF(NOT(ISBLANK(Audit[[#This Row],[Audit Candidate 12]])), Audit[[#This Row],[Audit Candidate 12]]-Audit[[#This Row],[Candidate 12]], "")</f>
        <v/>
      </c>
      <c r="AQ699" s="17">
        <f>SUMIF(Audit[[#This Row],[Difference Winner]:[Difference Candidate 12]], "&gt;0")</f>
        <v>0</v>
      </c>
      <c r="AR699" s="17">
        <f>SUM(Audit[[#This Row],[Difference Winner]:[Difference Candidate 12]])</f>
        <v>0</v>
      </c>
      <c r="AS699" s="17">
        <f>IF(Audit[[#This Row],[Times p Drawn - With Replacement]]&gt;0, IF(Audit[[#This Row],[Canceled Differences]]&lt;0, Audit[[#This Row],[Max Differences]]+ABS(Audit[[#This Row],[Canceled Differences]]), Audit[[#This Row],[Max Differences]]), 0)</f>
        <v>0</v>
      </c>
      <c r="AT699" s="17">
        <f>'Sampling Data'!AB699</f>
        <v>3.0088270242743166E-2</v>
      </c>
      <c r="AU699" s="17">
        <f>IF(
      SUM(Audit[[#This Row],[Audit Losing Candidate]:[Audit Candidate 12]])
      &lt;&gt;0,
      (Audit[[#This Row],[Winning Candidate]]-Audit[[#This Row],[Losing Candidate]]-(Audit[[#This Row],[Audit Winning Candidate]]-Audit[[#This Row],[Audit Losing Candidate]]))/(Audit[[#Totals],[Winning Candidate]]-Audit[[#Totals],[Losing Candidate]]),
      0
)</f>
        <v>0</v>
      </c>
      <c r="AV6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9" s="17">
        <f>IF(Audit[[#This Row],[Max Relative Error (ep)]] = 0, 0, Audit[[#This Row],[Max Relative Error (ep)]]/Audit[[#This Row],[Error Bound (up) - Max. possible relative overstatement]])</f>
        <v>0</v>
      </c>
      <c r="BH6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699" s="17">
        <f t="shared" si="11"/>
        <v>1</v>
      </c>
      <c r="BJ699" s="17">
        <f>PRODUCT($BI$5:BI699)</f>
        <v>0.25266558253744331</v>
      </c>
      <c r="BK699" s="19">
        <f>1 - Audit[[#This Row],[K-M P Value]]</f>
        <v>0.74733441746255669</v>
      </c>
      <c r="BL699" s="17" t="str">
        <f>IF(Audit[[#This Row],[K-M P Value]]&gt;1-'General Info'!$B$12,"Continue", "Stop")</f>
        <v>Continue</v>
      </c>
      <c r="BM699" s="22" t="b">
        <f>IF(Audit[[#This Row],[Status - Continue or stop audit]] = "Continue", TRUE, IF(BL698 = "Continue", TRUE, FALSE))</f>
        <v>1</v>
      </c>
      <c r="BN699" s="22"/>
    </row>
    <row r="700" spans="1:66" ht="15" hidden="1" customHeight="1" x14ac:dyDescent="0.35">
      <c r="A700" s="17" t="str">
        <f>'Sampling Data'!AI700</f>
        <v/>
      </c>
      <c r="B700" s="17" t="str">
        <f>'Sampling Data'!A700</f>
        <v>2302 CIN 23-B   (ED)</v>
      </c>
      <c r="C700" s="17">
        <f>'Sampling Data'!B700</f>
        <v>258</v>
      </c>
      <c r="D700" s="17">
        <f>'Sampling Data'!C700</f>
        <v>35</v>
      </c>
      <c r="E700" s="18">
        <f>'Sampling Data'!D700</f>
        <v>0</v>
      </c>
      <c r="F700" s="18">
        <f>'Sampling Data'!E700</f>
        <v>0</v>
      </c>
      <c r="G700" s="18">
        <f>'Sampling Data'!F700</f>
        <v>0</v>
      </c>
      <c r="H700" s="18">
        <f>'Sampling Data'!G700</f>
        <v>0</v>
      </c>
      <c r="I700" s="18">
        <f>'Sampling Data'!H700</f>
        <v>0</v>
      </c>
      <c r="J700" s="18">
        <f>'Sampling Data'!I700</f>
        <v>0</v>
      </c>
      <c r="K700" s="18">
        <f>'Sampling Data'!J700</f>
        <v>0</v>
      </c>
      <c r="L700" s="18">
        <f>'Sampling Data'!K700</f>
        <v>0</v>
      </c>
      <c r="M700" s="18">
        <f>'Sampling Data'!L700</f>
        <v>0</v>
      </c>
      <c r="N700" s="18">
        <f>'Sampling Data'!M700</f>
        <v>0</v>
      </c>
      <c r="O700" s="17">
        <f>'Sampling Data'!N700</f>
        <v>1</v>
      </c>
      <c r="P700" s="17">
        <f>'Sampling Data'!O700</f>
        <v>15</v>
      </c>
      <c r="Q700" s="17">
        <f>'Sampling Data'!P700</f>
        <v>309</v>
      </c>
      <c r="R700" s="17">
        <f>'Sampling Data'!AJ700</f>
        <v>0</v>
      </c>
      <c r="S700" s="111"/>
      <c r="T700" s="111"/>
      <c r="U700" s="112"/>
      <c r="V700" s="112"/>
      <c r="W700" s="111"/>
      <c r="X700" s="111"/>
      <c r="Y700" s="111"/>
      <c r="Z700" s="111"/>
      <c r="AA700" s="14"/>
      <c r="AB700" s="14"/>
      <c r="AC700" s="14"/>
      <c r="AD700" s="14"/>
      <c r="AE700" s="113" t="str">
        <f>IF(NOT(ISBLANK(Audit[[#This Row],[Audit Winning Candidate]])), Audit[[#This Row],[Audit Winning Candidate]]-Audit[[#This Row],[Winning Candidate]], "")</f>
        <v/>
      </c>
      <c r="AF700" s="17" t="str">
        <f>IF(NOT(ISBLANK(Audit[[#This Row],[Audit Losing Candidate]])), Audit[[#This Row],[Audit Losing Candidate]]-Audit[[#This Row],[Losing Candidate]], "")</f>
        <v/>
      </c>
      <c r="AG700" s="17" t="str">
        <f>IF(NOT(ISBLANK(Audit[[#This Row],[Audit Candidate 3]])), Audit[[#This Row],[Audit Candidate 3]]-Audit[[#This Row],[Candidate 3]], "")</f>
        <v/>
      </c>
      <c r="AH700" s="17" t="str">
        <f>IF(NOT(ISBLANK(Audit[[#This Row],[Audit Candidate 4]])),Audit[[#This Row],[Audit Candidate 4]]-Audit[[#This Row],[Candidate 4]], "")</f>
        <v/>
      </c>
      <c r="AI700" s="17" t="str">
        <f>IF(NOT(ISBLANK(Audit[[#This Row],[Audit Candidate 5]])), Audit[[#This Row],[Audit Candidate 5]]-Audit[[#This Row],[Candidate 5]], "")</f>
        <v/>
      </c>
      <c r="AJ700" s="17" t="str">
        <f>IF(NOT(ISBLANK(Audit[[#This Row],[Audit Candidate 6]])), Audit[[#This Row],[Audit Candidate 6]]-Audit[[#This Row],[Candidate 6]], "")</f>
        <v/>
      </c>
      <c r="AK700" s="17" t="str">
        <f>IF(NOT(ISBLANK(Audit[[#This Row],[Audit Candidate 7]])), Audit[[#This Row],[Audit Candidate 7]]-Audit[[#This Row],[Candidate 7]], "")</f>
        <v/>
      </c>
      <c r="AL700" s="17" t="str">
        <f>IF(NOT(ISBLANK(Audit[[#This Row],[Audit Candidate 8]])), Audit[[#This Row],[Audit Candidate 8]]-Audit[[#This Row],[Candidate 8]], "")</f>
        <v/>
      </c>
      <c r="AM700" s="17" t="str">
        <f>IF(NOT(ISBLANK(Audit[[#This Row],[Audit Candidate 9]])), Audit[[#This Row],[Audit Candidate 9]]-Audit[[#This Row],[Candidate 9]], "")</f>
        <v/>
      </c>
      <c r="AN700" s="17" t="str">
        <f>IF(NOT(ISBLANK(Audit[[#This Row],[Audit Candidate 10]])), Audit[[#This Row],[Audit Candidate 10]]-Audit[[#This Row],[Candidate 10]], "")</f>
        <v/>
      </c>
      <c r="AO700" s="17" t="str">
        <f>IF(NOT(ISBLANK(Audit[[#This Row],[Audit Candidate 11]])), Audit[[#This Row],[Audit Candidate 11]]-Audit[[#This Row],[Candidate 11]], "")</f>
        <v/>
      </c>
      <c r="AP700" s="17" t="str">
        <f>IF(NOT(ISBLANK(Audit[[#This Row],[Audit Candidate 12]])), Audit[[#This Row],[Audit Candidate 12]]-Audit[[#This Row],[Candidate 12]], "")</f>
        <v/>
      </c>
      <c r="AQ700" s="17">
        <f>SUMIF(Audit[[#This Row],[Difference Winner]:[Difference Candidate 12]], "&gt;0")</f>
        <v>0</v>
      </c>
      <c r="AR700" s="17">
        <f>SUM(Audit[[#This Row],[Difference Winner]:[Difference Candidate 12]])</f>
        <v>0</v>
      </c>
      <c r="AS700" s="17">
        <f>IF(Audit[[#This Row],[Times p Drawn - With Replacement]]&gt;0, IF(Audit[[#This Row],[Canceled Differences]]&lt;0, Audit[[#This Row],[Max Differences]]+ABS(Audit[[#This Row],[Canceled Differences]]), Audit[[#This Row],[Max Differences]]), 0)</f>
        <v>0</v>
      </c>
      <c r="AT700" s="17">
        <f>'Sampling Data'!AB700</f>
        <v>2.2576812086233237E-2</v>
      </c>
      <c r="AU700" s="17">
        <f>IF(
      SUM(Audit[[#This Row],[Audit Losing Candidate]:[Audit Candidate 12]])
      &lt;&gt;0,
      (Audit[[#This Row],[Winning Candidate]]-Audit[[#This Row],[Losing Candidate]]-(Audit[[#This Row],[Audit Winning Candidate]]-Audit[[#This Row],[Audit Losing Candidate]]))/(Audit[[#Totals],[Winning Candidate]]-Audit[[#Totals],[Losing Candidate]]),
      0
)</f>
        <v>0</v>
      </c>
      <c r="AV7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0" s="17">
        <f>IF(Audit[[#This Row],[Max Relative Error (ep)]] = 0, 0, Audit[[#This Row],[Max Relative Error (ep)]]/Audit[[#This Row],[Error Bound (up) - Max. possible relative overstatement]])</f>
        <v>0</v>
      </c>
      <c r="BH7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00" s="17">
        <f t="shared" si="11"/>
        <v>1</v>
      </c>
      <c r="BJ700" s="17">
        <f>PRODUCT($BI$5:BI700)</f>
        <v>0.25266558253744331</v>
      </c>
      <c r="BK700" s="19">
        <f>1 - Audit[[#This Row],[K-M P Value]]</f>
        <v>0.74733441746255669</v>
      </c>
      <c r="BL700" s="17" t="str">
        <f>IF(Audit[[#This Row],[K-M P Value]]&gt;1-'General Info'!$B$12,"Continue", "Stop")</f>
        <v>Continue</v>
      </c>
      <c r="BM700" s="22" t="b">
        <f>IF(Audit[[#This Row],[Status - Continue or stop audit]] = "Continue", TRUE, IF(BL699 = "Continue", TRUE, FALSE))</f>
        <v>1</v>
      </c>
      <c r="BN700" s="22"/>
    </row>
    <row r="701" spans="1:66" ht="15" hidden="1" customHeight="1" x14ac:dyDescent="0.35">
      <c r="A701" s="17" t="str">
        <f>'Sampling Data'!AI701</f>
        <v/>
      </c>
      <c r="B701" s="17" t="str">
        <f>'Sampling Data'!A701</f>
        <v>2303 CIN 23-C   (ED)</v>
      </c>
      <c r="C701" s="17">
        <f>'Sampling Data'!B701</f>
        <v>306</v>
      </c>
      <c r="D701" s="17">
        <f>'Sampling Data'!C701</f>
        <v>42</v>
      </c>
      <c r="E701" s="18">
        <f>'Sampling Data'!D701</f>
        <v>0</v>
      </c>
      <c r="F701" s="18">
        <f>'Sampling Data'!E701</f>
        <v>0</v>
      </c>
      <c r="G701" s="18">
        <f>'Sampling Data'!F701</f>
        <v>0</v>
      </c>
      <c r="H701" s="18">
        <f>'Sampling Data'!G701</f>
        <v>0</v>
      </c>
      <c r="I701" s="18">
        <f>'Sampling Data'!H701</f>
        <v>0</v>
      </c>
      <c r="J701" s="18">
        <f>'Sampling Data'!I701</f>
        <v>0</v>
      </c>
      <c r="K701" s="18">
        <f>'Sampling Data'!J701</f>
        <v>0</v>
      </c>
      <c r="L701" s="18">
        <f>'Sampling Data'!K701</f>
        <v>0</v>
      </c>
      <c r="M701" s="18">
        <f>'Sampling Data'!L701</f>
        <v>0</v>
      </c>
      <c r="N701" s="18">
        <f>'Sampling Data'!M701</f>
        <v>0</v>
      </c>
      <c r="O701" s="17">
        <f>'Sampling Data'!N701</f>
        <v>1</v>
      </c>
      <c r="P701" s="17">
        <f>'Sampling Data'!O701</f>
        <v>13</v>
      </c>
      <c r="Q701" s="17">
        <f>'Sampling Data'!P701</f>
        <v>362</v>
      </c>
      <c r="R701" s="17">
        <f>'Sampling Data'!AJ701</f>
        <v>0</v>
      </c>
      <c r="S701" s="111"/>
      <c r="T701" s="111"/>
      <c r="U701" s="112"/>
      <c r="V701" s="112"/>
      <c r="W701" s="111"/>
      <c r="X701" s="111"/>
      <c r="Y701" s="111"/>
      <c r="Z701" s="111"/>
      <c r="AA701" s="14"/>
      <c r="AB701" s="14"/>
      <c r="AC701" s="14"/>
      <c r="AD701" s="14"/>
      <c r="AE701" s="113" t="str">
        <f>IF(NOT(ISBLANK(Audit[[#This Row],[Audit Winning Candidate]])), Audit[[#This Row],[Audit Winning Candidate]]-Audit[[#This Row],[Winning Candidate]], "")</f>
        <v/>
      </c>
      <c r="AF701" s="17" t="str">
        <f>IF(NOT(ISBLANK(Audit[[#This Row],[Audit Losing Candidate]])), Audit[[#This Row],[Audit Losing Candidate]]-Audit[[#This Row],[Losing Candidate]], "")</f>
        <v/>
      </c>
      <c r="AG701" s="17" t="str">
        <f>IF(NOT(ISBLANK(Audit[[#This Row],[Audit Candidate 3]])), Audit[[#This Row],[Audit Candidate 3]]-Audit[[#This Row],[Candidate 3]], "")</f>
        <v/>
      </c>
      <c r="AH701" s="17" t="str">
        <f>IF(NOT(ISBLANK(Audit[[#This Row],[Audit Candidate 4]])),Audit[[#This Row],[Audit Candidate 4]]-Audit[[#This Row],[Candidate 4]], "")</f>
        <v/>
      </c>
      <c r="AI701" s="17" t="str">
        <f>IF(NOT(ISBLANK(Audit[[#This Row],[Audit Candidate 5]])), Audit[[#This Row],[Audit Candidate 5]]-Audit[[#This Row],[Candidate 5]], "")</f>
        <v/>
      </c>
      <c r="AJ701" s="17" t="str">
        <f>IF(NOT(ISBLANK(Audit[[#This Row],[Audit Candidate 6]])), Audit[[#This Row],[Audit Candidate 6]]-Audit[[#This Row],[Candidate 6]], "")</f>
        <v/>
      </c>
      <c r="AK701" s="17" t="str">
        <f>IF(NOT(ISBLANK(Audit[[#This Row],[Audit Candidate 7]])), Audit[[#This Row],[Audit Candidate 7]]-Audit[[#This Row],[Candidate 7]], "")</f>
        <v/>
      </c>
      <c r="AL701" s="17" t="str">
        <f>IF(NOT(ISBLANK(Audit[[#This Row],[Audit Candidate 8]])), Audit[[#This Row],[Audit Candidate 8]]-Audit[[#This Row],[Candidate 8]], "")</f>
        <v/>
      </c>
      <c r="AM701" s="17" t="str">
        <f>IF(NOT(ISBLANK(Audit[[#This Row],[Audit Candidate 9]])), Audit[[#This Row],[Audit Candidate 9]]-Audit[[#This Row],[Candidate 9]], "")</f>
        <v/>
      </c>
      <c r="AN701" s="17" t="str">
        <f>IF(NOT(ISBLANK(Audit[[#This Row],[Audit Candidate 10]])), Audit[[#This Row],[Audit Candidate 10]]-Audit[[#This Row],[Candidate 10]], "")</f>
        <v/>
      </c>
      <c r="AO701" s="17" t="str">
        <f>IF(NOT(ISBLANK(Audit[[#This Row],[Audit Candidate 11]])), Audit[[#This Row],[Audit Candidate 11]]-Audit[[#This Row],[Candidate 11]], "")</f>
        <v/>
      </c>
      <c r="AP701" s="17" t="str">
        <f>IF(NOT(ISBLANK(Audit[[#This Row],[Audit Candidate 12]])), Audit[[#This Row],[Audit Candidate 12]]-Audit[[#This Row],[Candidate 12]], "")</f>
        <v/>
      </c>
      <c r="AQ701" s="17">
        <f>SUMIF(Audit[[#This Row],[Difference Winner]:[Difference Candidate 12]], "&gt;0")</f>
        <v>0</v>
      </c>
      <c r="AR701" s="17">
        <f>SUM(Audit[[#This Row],[Difference Winner]:[Difference Candidate 12]])</f>
        <v>0</v>
      </c>
      <c r="AS701" s="17">
        <f>IF(Audit[[#This Row],[Times p Drawn - With Replacement]]&gt;0, IF(Audit[[#This Row],[Canceled Differences]]&lt;0, Audit[[#This Row],[Max Differences]]+ABS(Audit[[#This Row],[Canceled Differences]]), Audit[[#This Row],[Max Differences]]), 0)</f>
        <v>0</v>
      </c>
      <c r="AT701" s="17">
        <f>'Sampling Data'!AB701</f>
        <v>2.6565948056357154E-2</v>
      </c>
      <c r="AU701" s="17">
        <f>IF(
      SUM(Audit[[#This Row],[Audit Losing Candidate]:[Audit Candidate 12]])
      &lt;&gt;0,
      (Audit[[#This Row],[Winning Candidate]]-Audit[[#This Row],[Losing Candidate]]-(Audit[[#This Row],[Audit Winning Candidate]]-Audit[[#This Row],[Audit Losing Candidate]]))/(Audit[[#Totals],[Winning Candidate]]-Audit[[#Totals],[Losing Candidate]]),
      0
)</f>
        <v>0</v>
      </c>
      <c r="AV7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1" s="17">
        <f>IF(Audit[[#This Row],[Max Relative Error (ep)]] = 0, 0, Audit[[#This Row],[Max Relative Error (ep)]]/Audit[[#This Row],[Error Bound (up) - Max. possible relative overstatement]])</f>
        <v>0</v>
      </c>
      <c r="BH7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01" s="17">
        <f t="shared" si="11"/>
        <v>1</v>
      </c>
      <c r="BJ701" s="17">
        <f>PRODUCT($BI$5:BI701)</f>
        <v>0.25266558253744331</v>
      </c>
      <c r="BK701" s="19">
        <f>1 - Audit[[#This Row],[K-M P Value]]</f>
        <v>0.74733441746255669</v>
      </c>
      <c r="BL701" s="17" t="str">
        <f>IF(Audit[[#This Row],[K-M P Value]]&gt;1-'General Info'!$B$12,"Continue", "Stop")</f>
        <v>Continue</v>
      </c>
      <c r="BM701" s="22" t="b">
        <f>IF(Audit[[#This Row],[Status - Continue or stop audit]] = "Continue", TRUE, IF(BL700 = "Continue", TRUE, FALSE))</f>
        <v>1</v>
      </c>
      <c r="BN701" s="22"/>
    </row>
    <row r="702" spans="1:66" ht="15" customHeight="1" x14ac:dyDescent="0.35">
      <c r="A702" s="17">
        <f>'Sampling Data'!AI702</f>
        <v>19</v>
      </c>
      <c r="B702" s="17" t="str">
        <f>'Sampling Data'!A702</f>
        <v>2304 CIN 23-D   (ED)</v>
      </c>
      <c r="C702" s="17">
        <f>'Sampling Data'!B702</f>
        <v>412</v>
      </c>
      <c r="D702" s="17">
        <f>'Sampling Data'!C702</f>
        <v>58</v>
      </c>
      <c r="E702" s="18">
        <f>'Sampling Data'!D702</f>
        <v>0</v>
      </c>
      <c r="F702" s="18">
        <f>'Sampling Data'!E702</f>
        <v>0</v>
      </c>
      <c r="G702" s="18">
        <f>'Sampling Data'!F702</f>
        <v>0</v>
      </c>
      <c r="H702" s="18">
        <f>'Sampling Data'!G702</f>
        <v>0</v>
      </c>
      <c r="I702" s="18">
        <f>'Sampling Data'!H702</f>
        <v>0</v>
      </c>
      <c r="J702" s="18">
        <f>'Sampling Data'!I702</f>
        <v>0</v>
      </c>
      <c r="K702" s="18">
        <f>'Sampling Data'!J702</f>
        <v>0</v>
      </c>
      <c r="L702" s="18">
        <f>'Sampling Data'!K702</f>
        <v>0</v>
      </c>
      <c r="M702" s="18">
        <f>'Sampling Data'!L702</f>
        <v>0</v>
      </c>
      <c r="N702" s="18">
        <f>'Sampling Data'!M702</f>
        <v>0</v>
      </c>
      <c r="O702" s="17">
        <f>'Sampling Data'!N702</f>
        <v>1</v>
      </c>
      <c r="P702" s="17">
        <f>'Sampling Data'!O702</f>
        <v>14</v>
      </c>
      <c r="Q702" s="17">
        <f>'Sampling Data'!P702</f>
        <v>485</v>
      </c>
      <c r="R702" s="17">
        <f>'Sampling Data'!AJ702</f>
        <v>1</v>
      </c>
      <c r="S702" s="111">
        <v>412</v>
      </c>
      <c r="T702" s="111">
        <v>58</v>
      </c>
      <c r="U702" s="112"/>
      <c r="V702" s="112"/>
      <c r="W702" s="111"/>
      <c r="X702" s="111"/>
      <c r="Y702" s="111"/>
      <c r="Z702" s="111"/>
      <c r="AA702" s="14"/>
      <c r="AB702" s="14"/>
      <c r="AC702" s="14"/>
      <c r="AD702" s="14"/>
      <c r="AE702" s="113">
        <f>IF(NOT(ISBLANK(Audit[[#This Row],[Audit Winning Candidate]])), Audit[[#This Row],[Audit Winning Candidate]]-Audit[[#This Row],[Winning Candidate]], "")</f>
        <v>0</v>
      </c>
      <c r="AF702" s="17">
        <f>IF(NOT(ISBLANK(Audit[[#This Row],[Audit Losing Candidate]])), Audit[[#This Row],[Audit Losing Candidate]]-Audit[[#This Row],[Losing Candidate]], "")</f>
        <v>0</v>
      </c>
      <c r="AG702" s="17" t="str">
        <f>IF(NOT(ISBLANK(Audit[[#This Row],[Audit Candidate 3]])), Audit[[#This Row],[Audit Candidate 3]]-Audit[[#This Row],[Candidate 3]], "")</f>
        <v/>
      </c>
      <c r="AH702" s="17" t="str">
        <f>IF(NOT(ISBLANK(Audit[[#This Row],[Audit Candidate 4]])),Audit[[#This Row],[Audit Candidate 4]]-Audit[[#This Row],[Candidate 4]], "")</f>
        <v/>
      </c>
      <c r="AI702" s="17" t="str">
        <f>IF(NOT(ISBLANK(Audit[[#This Row],[Audit Candidate 5]])), Audit[[#This Row],[Audit Candidate 5]]-Audit[[#This Row],[Candidate 5]], "")</f>
        <v/>
      </c>
      <c r="AJ702" s="17" t="str">
        <f>IF(NOT(ISBLANK(Audit[[#This Row],[Audit Candidate 6]])), Audit[[#This Row],[Audit Candidate 6]]-Audit[[#This Row],[Candidate 6]], "")</f>
        <v/>
      </c>
      <c r="AK702" s="17" t="str">
        <f>IF(NOT(ISBLANK(Audit[[#This Row],[Audit Candidate 7]])), Audit[[#This Row],[Audit Candidate 7]]-Audit[[#This Row],[Candidate 7]], "")</f>
        <v/>
      </c>
      <c r="AL702" s="17" t="str">
        <f>IF(NOT(ISBLANK(Audit[[#This Row],[Audit Candidate 8]])), Audit[[#This Row],[Audit Candidate 8]]-Audit[[#This Row],[Candidate 8]], "")</f>
        <v/>
      </c>
      <c r="AM702" s="17" t="str">
        <f>IF(NOT(ISBLANK(Audit[[#This Row],[Audit Candidate 9]])), Audit[[#This Row],[Audit Candidate 9]]-Audit[[#This Row],[Candidate 9]], "")</f>
        <v/>
      </c>
      <c r="AN702" s="17" t="str">
        <f>IF(NOT(ISBLANK(Audit[[#This Row],[Audit Candidate 10]])), Audit[[#This Row],[Audit Candidate 10]]-Audit[[#This Row],[Candidate 10]], "")</f>
        <v/>
      </c>
      <c r="AO702" s="17" t="str">
        <f>IF(NOT(ISBLANK(Audit[[#This Row],[Audit Candidate 11]])), Audit[[#This Row],[Audit Candidate 11]]-Audit[[#This Row],[Candidate 11]], "")</f>
        <v/>
      </c>
      <c r="AP702" s="17" t="str">
        <f>IF(NOT(ISBLANK(Audit[[#This Row],[Audit Candidate 12]])), Audit[[#This Row],[Audit Candidate 12]]-Audit[[#This Row],[Candidate 12]], "")</f>
        <v/>
      </c>
      <c r="AQ702" s="17">
        <f>SUMIF(Audit[[#This Row],[Difference Winner]:[Difference Candidate 12]], "&gt;0")</f>
        <v>0</v>
      </c>
      <c r="AR702" s="17">
        <f>SUM(Audit[[#This Row],[Difference Winner]:[Difference Candidate 12]])</f>
        <v>0</v>
      </c>
      <c r="AS702" s="17">
        <f>IF(Audit[[#This Row],[Times p Drawn - With Replacement]]&gt;0, IF(Audit[[#This Row],[Canceled Differences]]&lt;0, Audit[[#This Row],[Max Differences]]+ABS(Audit[[#This Row],[Canceled Differences]]), Audit[[#This Row],[Max Differences]]), 0)</f>
        <v>0</v>
      </c>
      <c r="AT702" s="17">
        <f>'Sampling Data'!AB702</f>
        <v>3.5605160414191137E-2</v>
      </c>
      <c r="AU702" s="17">
        <f>IF(
      SUM(Audit[[#This Row],[Audit Losing Candidate]:[Audit Candidate 12]])
      &lt;&gt;0,
      (Audit[[#This Row],[Winning Candidate]]-Audit[[#This Row],[Losing Candidate]]-(Audit[[#This Row],[Audit Winning Candidate]]-Audit[[#This Row],[Audit Losing Candidate]]))/(Audit[[#Totals],[Winning Candidate]]-Audit[[#Totals],[Losing Candidate]]),
      0
)</f>
        <v>0</v>
      </c>
      <c r="AV7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2" s="17">
        <f>IF(Audit[[#This Row],[Max Relative Error (ep)]] = 0, 0, Audit[[#This Row],[Max Relative Error (ep)]]/Audit[[#This Row],[Error Bound (up) - Max. possible relative overstatement]])</f>
        <v>0</v>
      </c>
      <c r="BH7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02" s="17">
        <f t="shared" si="11"/>
        <v>0.94645908314247273</v>
      </c>
      <c r="BJ702" s="17">
        <f>PRODUCT($BI$5:BI702)</f>
        <v>0.23913763559004736</v>
      </c>
      <c r="BK702" s="19">
        <f>1 - Audit[[#This Row],[K-M P Value]]</f>
        <v>0.76086236440995259</v>
      </c>
      <c r="BL702" s="17" t="str">
        <f>IF(Audit[[#This Row],[K-M P Value]]&gt;1-'General Info'!$B$12,"Continue", "Stop")</f>
        <v>Continue</v>
      </c>
      <c r="BM702" s="22" t="b">
        <f>IF(Audit[[#This Row],[Status - Continue or stop audit]] = "Continue", TRUE, IF(BL701 = "Continue", TRUE, FALSE))</f>
        <v>1</v>
      </c>
      <c r="BN702" s="22"/>
    </row>
    <row r="703" spans="1:66" ht="15" hidden="1" customHeight="1" x14ac:dyDescent="0.35">
      <c r="A703" s="17" t="str">
        <f>'Sampling Data'!AI703</f>
        <v/>
      </c>
      <c r="B703" s="17" t="str">
        <f>'Sampling Data'!A703</f>
        <v>2305 CIN 23-E   (ED)</v>
      </c>
      <c r="C703" s="17">
        <f>'Sampling Data'!B703</f>
        <v>306</v>
      </c>
      <c r="D703" s="17">
        <f>'Sampling Data'!C703</f>
        <v>36</v>
      </c>
      <c r="E703" s="18">
        <f>'Sampling Data'!D703</f>
        <v>0</v>
      </c>
      <c r="F703" s="18">
        <f>'Sampling Data'!E703</f>
        <v>0</v>
      </c>
      <c r="G703" s="18">
        <f>'Sampling Data'!F703</f>
        <v>0</v>
      </c>
      <c r="H703" s="18">
        <f>'Sampling Data'!G703</f>
        <v>0</v>
      </c>
      <c r="I703" s="18">
        <f>'Sampling Data'!H703</f>
        <v>0</v>
      </c>
      <c r="J703" s="18">
        <f>'Sampling Data'!I703</f>
        <v>0</v>
      </c>
      <c r="K703" s="18">
        <f>'Sampling Data'!J703</f>
        <v>0</v>
      </c>
      <c r="L703" s="18">
        <f>'Sampling Data'!K703</f>
        <v>0</v>
      </c>
      <c r="M703" s="18">
        <f>'Sampling Data'!L703</f>
        <v>0</v>
      </c>
      <c r="N703" s="18">
        <f>'Sampling Data'!M703</f>
        <v>0</v>
      </c>
      <c r="O703" s="17">
        <f>'Sampling Data'!N703</f>
        <v>0</v>
      </c>
      <c r="P703" s="17">
        <f>'Sampling Data'!O703</f>
        <v>23</v>
      </c>
      <c r="Q703" s="17">
        <f>'Sampling Data'!P703</f>
        <v>365</v>
      </c>
      <c r="R703" s="17">
        <f>'Sampling Data'!AJ703</f>
        <v>0</v>
      </c>
      <c r="S703" s="111"/>
      <c r="T703" s="111"/>
      <c r="U703" s="112"/>
      <c r="V703" s="112"/>
      <c r="W703" s="111"/>
      <c r="X703" s="111"/>
      <c r="Y703" s="111"/>
      <c r="Z703" s="111"/>
      <c r="AA703" s="14"/>
      <c r="AB703" s="14"/>
      <c r="AC703" s="14"/>
      <c r="AD703" s="14"/>
      <c r="AE703" s="113" t="str">
        <f>IF(NOT(ISBLANK(Audit[[#This Row],[Audit Winning Candidate]])), Audit[[#This Row],[Audit Winning Candidate]]-Audit[[#This Row],[Winning Candidate]], "")</f>
        <v/>
      </c>
      <c r="AF703" s="17" t="str">
        <f>IF(NOT(ISBLANK(Audit[[#This Row],[Audit Losing Candidate]])), Audit[[#This Row],[Audit Losing Candidate]]-Audit[[#This Row],[Losing Candidate]], "")</f>
        <v/>
      </c>
      <c r="AG703" s="17" t="str">
        <f>IF(NOT(ISBLANK(Audit[[#This Row],[Audit Candidate 3]])), Audit[[#This Row],[Audit Candidate 3]]-Audit[[#This Row],[Candidate 3]], "")</f>
        <v/>
      </c>
      <c r="AH703" s="17" t="str">
        <f>IF(NOT(ISBLANK(Audit[[#This Row],[Audit Candidate 4]])),Audit[[#This Row],[Audit Candidate 4]]-Audit[[#This Row],[Candidate 4]], "")</f>
        <v/>
      </c>
      <c r="AI703" s="17" t="str">
        <f>IF(NOT(ISBLANK(Audit[[#This Row],[Audit Candidate 5]])), Audit[[#This Row],[Audit Candidate 5]]-Audit[[#This Row],[Candidate 5]], "")</f>
        <v/>
      </c>
      <c r="AJ703" s="17" t="str">
        <f>IF(NOT(ISBLANK(Audit[[#This Row],[Audit Candidate 6]])), Audit[[#This Row],[Audit Candidate 6]]-Audit[[#This Row],[Candidate 6]], "")</f>
        <v/>
      </c>
      <c r="AK703" s="17" t="str">
        <f>IF(NOT(ISBLANK(Audit[[#This Row],[Audit Candidate 7]])), Audit[[#This Row],[Audit Candidate 7]]-Audit[[#This Row],[Candidate 7]], "")</f>
        <v/>
      </c>
      <c r="AL703" s="17" t="str">
        <f>IF(NOT(ISBLANK(Audit[[#This Row],[Audit Candidate 8]])), Audit[[#This Row],[Audit Candidate 8]]-Audit[[#This Row],[Candidate 8]], "")</f>
        <v/>
      </c>
      <c r="AM703" s="17" t="str">
        <f>IF(NOT(ISBLANK(Audit[[#This Row],[Audit Candidate 9]])), Audit[[#This Row],[Audit Candidate 9]]-Audit[[#This Row],[Candidate 9]], "")</f>
        <v/>
      </c>
      <c r="AN703" s="17" t="str">
        <f>IF(NOT(ISBLANK(Audit[[#This Row],[Audit Candidate 10]])), Audit[[#This Row],[Audit Candidate 10]]-Audit[[#This Row],[Candidate 10]], "")</f>
        <v/>
      </c>
      <c r="AO703" s="17" t="str">
        <f>IF(NOT(ISBLANK(Audit[[#This Row],[Audit Candidate 11]])), Audit[[#This Row],[Audit Candidate 11]]-Audit[[#This Row],[Candidate 11]], "")</f>
        <v/>
      </c>
      <c r="AP703" s="17" t="str">
        <f>IF(NOT(ISBLANK(Audit[[#This Row],[Audit Candidate 12]])), Audit[[#This Row],[Audit Candidate 12]]-Audit[[#This Row],[Candidate 12]], "")</f>
        <v/>
      </c>
      <c r="AQ703" s="17">
        <f>SUMIF(Audit[[#This Row],[Difference Winner]:[Difference Candidate 12]], "&gt;0")</f>
        <v>0</v>
      </c>
      <c r="AR703" s="17">
        <f>SUM(Audit[[#This Row],[Difference Winner]:[Difference Candidate 12]])</f>
        <v>0</v>
      </c>
      <c r="AS703" s="17">
        <f>IF(Audit[[#This Row],[Times p Drawn - With Replacement]]&gt;0, IF(Audit[[#This Row],[Canceled Differences]]&lt;0, Audit[[#This Row],[Max Differences]]+ABS(Audit[[#This Row],[Canceled Differences]]), Audit[[#This Row],[Max Differences]]), 0)</f>
        <v>0</v>
      </c>
      <c r="AT703" s="17">
        <f>'Sampling Data'!AB703</f>
        <v>2.6947886606688169E-2</v>
      </c>
      <c r="AU703" s="17">
        <f>IF(
      SUM(Audit[[#This Row],[Audit Losing Candidate]:[Audit Candidate 12]])
      &lt;&gt;0,
      (Audit[[#This Row],[Winning Candidate]]-Audit[[#This Row],[Losing Candidate]]-(Audit[[#This Row],[Audit Winning Candidate]]-Audit[[#This Row],[Audit Losing Candidate]]))/(Audit[[#Totals],[Winning Candidate]]-Audit[[#Totals],[Losing Candidate]]),
      0
)</f>
        <v>0</v>
      </c>
      <c r="AV7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3" s="17">
        <f>IF(Audit[[#This Row],[Max Relative Error (ep)]] = 0, 0, Audit[[#This Row],[Max Relative Error (ep)]]/Audit[[#This Row],[Error Bound (up) - Max. possible relative overstatement]])</f>
        <v>0</v>
      </c>
      <c r="BH7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03" s="17">
        <f t="shared" si="11"/>
        <v>1</v>
      </c>
      <c r="BJ703" s="17">
        <f>PRODUCT($BI$5:BI703)</f>
        <v>0.23913763559004736</v>
      </c>
      <c r="BK703" s="19">
        <f>1 - Audit[[#This Row],[K-M P Value]]</f>
        <v>0.76086236440995259</v>
      </c>
      <c r="BL703" s="17" t="str">
        <f>IF(Audit[[#This Row],[K-M P Value]]&gt;1-'General Info'!$B$12,"Continue", "Stop")</f>
        <v>Continue</v>
      </c>
      <c r="BM703" s="22" t="b">
        <f>IF(Audit[[#This Row],[Status - Continue or stop audit]] = "Continue", TRUE, IF(BL702 = "Continue", TRUE, FALSE))</f>
        <v>1</v>
      </c>
      <c r="BN703" s="22"/>
    </row>
    <row r="704" spans="1:66" ht="15" hidden="1" customHeight="1" x14ac:dyDescent="0.35">
      <c r="A704" s="17" t="str">
        <f>'Sampling Data'!AI704</f>
        <v/>
      </c>
      <c r="B704" s="17" t="str">
        <f>'Sampling Data'!A704</f>
        <v>2306 CIN 23-F   (ED)</v>
      </c>
      <c r="C704" s="17">
        <f>'Sampling Data'!B704</f>
        <v>370</v>
      </c>
      <c r="D704" s="17">
        <f>'Sampling Data'!C704</f>
        <v>89</v>
      </c>
      <c r="E704" s="18">
        <f>'Sampling Data'!D704</f>
        <v>0</v>
      </c>
      <c r="F704" s="18">
        <f>'Sampling Data'!E704</f>
        <v>0</v>
      </c>
      <c r="G704" s="18">
        <f>'Sampling Data'!F704</f>
        <v>0</v>
      </c>
      <c r="H704" s="18">
        <f>'Sampling Data'!G704</f>
        <v>0</v>
      </c>
      <c r="I704" s="18">
        <f>'Sampling Data'!H704</f>
        <v>0</v>
      </c>
      <c r="J704" s="18">
        <f>'Sampling Data'!I704</f>
        <v>0</v>
      </c>
      <c r="K704" s="18">
        <f>'Sampling Data'!J704</f>
        <v>0</v>
      </c>
      <c r="L704" s="18">
        <f>'Sampling Data'!K704</f>
        <v>0</v>
      </c>
      <c r="M704" s="18">
        <f>'Sampling Data'!L704</f>
        <v>0</v>
      </c>
      <c r="N704" s="18">
        <f>'Sampling Data'!M704</f>
        <v>0</v>
      </c>
      <c r="O704" s="17">
        <f>'Sampling Data'!N704</f>
        <v>1</v>
      </c>
      <c r="P704" s="17">
        <f>'Sampling Data'!O704</f>
        <v>38</v>
      </c>
      <c r="Q704" s="17">
        <f>'Sampling Data'!P704</f>
        <v>498</v>
      </c>
      <c r="R704" s="17">
        <f>'Sampling Data'!AJ704</f>
        <v>0</v>
      </c>
      <c r="S704" s="111"/>
      <c r="T704" s="111"/>
      <c r="U704" s="112"/>
      <c r="V704" s="112"/>
      <c r="W704" s="111"/>
      <c r="X704" s="111"/>
      <c r="Y704" s="111"/>
      <c r="Z704" s="111"/>
      <c r="AA704" s="14"/>
      <c r="AB704" s="14"/>
      <c r="AC704" s="14"/>
      <c r="AD704" s="14"/>
      <c r="AE704" s="113" t="str">
        <f>IF(NOT(ISBLANK(Audit[[#This Row],[Audit Winning Candidate]])), Audit[[#This Row],[Audit Winning Candidate]]-Audit[[#This Row],[Winning Candidate]], "")</f>
        <v/>
      </c>
      <c r="AF704" s="17" t="str">
        <f>IF(NOT(ISBLANK(Audit[[#This Row],[Audit Losing Candidate]])), Audit[[#This Row],[Audit Losing Candidate]]-Audit[[#This Row],[Losing Candidate]], "")</f>
        <v/>
      </c>
      <c r="AG704" s="17" t="str">
        <f>IF(NOT(ISBLANK(Audit[[#This Row],[Audit Candidate 3]])), Audit[[#This Row],[Audit Candidate 3]]-Audit[[#This Row],[Candidate 3]], "")</f>
        <v/>
      </c>
      <c r="AH704" s="17" t="str">
        <f>IF(NOT(ISBLANK(Audit[[#This Row],[Audit Candidate 4]])),Audit[[#This Row],[Audit Candidate 4]]-Audit[[#This Row],[Candidate 4]], "")</f>
        <v/>
      </c>
      <c r="AI704" s="17" t="str">
        <f>IF(NOT(ISBLANK(Audit[[#This Row],[Audit Candidate 5]])), Audit[[#This Row],[Audit Candidate 5]]-Audit[[#This Row],[Candidate 5]], "")</f>
        <v/>
      </c>
      <c r="AJ704" s="17" t="str">
        <f>IF(NOT(ISBLANK(Audit[[#This Row],[Audit Candidate 6]])), Audit[[#This Row],[Audit Candidate 6]]-Audit[[#This Row],[Candidate 6]], "")</f>
        <v/>
      </c>
      <c r="AK704" s="17" t="str">
        <f>IF(NOT(ISBLANK(Audit[[#This Row],[Audit Candidate 7]])), Audit[[#This Row],[Audit Candidate 7]]-Audit[[#This Row],[Candidate 7]], "")</f>
        <v/>
      </c>
      <c r="AL704" s="17" t="str">
        <f>IF(NOT(ISBLANK(Audit[[#This Row],[Audit Candidate 8]])), Audit[[#This Row],[Audit Candidate 8]]-Audit[[#This Row],[Candidate 8]], "")</f>
        <v/>
      </c>
      <c r="AM704" s="17" t="str">
        <f>IF(NOT(ISBLANK(Audit[[#This Row],[Audit Candidate 9]])), Audit[[#This Row],[Audit Candidate 9]]-Audit[[#This Row],[Candidate 9]], "")</f>
        <v/>
      </c>
      <c r="AN704" s="17" t="str">
        <f>IF(NOT(ISBLANK(Audit[[#This Row],[Audit Candidate 10]])), Audit[[#This Row],[Audit Candidate 10]]-Audit[[#This Row],[Candidate 10]], "")</f>
        <v/>
      </c>
      <c r="AO704" s="17" t="str">
        <f>IF(NOT(ISBLANK(Audit[[#This Row],[Audit Candidate 11]])), Audit[[#This Row],[Audit Candidate 11]]-Audit[[#This Row],[Candidate 11]], "")</f>
        <v/>
      </c>
      <c r="AP704" s="17" t="str">
        <f>IF(NOT(ISBLANK(Audit[[#This Row],[Audit Candidate 12]])), Audit[[#This Row],[Audit Candidate 12]]-Audit[[#This Row],[Candidate 12]], "")</f>
        <v/>
      </c>
      <c r="AQ704" s="17">
        <f>SUMIF(Audit[[#This Row],[Difference Winner]:[Difference Candidate 12]], "&gt;0")</f>
        <v>0</v>
      </c>
      <c r="AR704" s="17">
        <f>SUM(Audit[[#This Row],[Difference Winner]:[Difference Candidate 12]])</f>
        <v>0</v>
      </c>
      <c r="AS704" s="17">
        <f>IF(Audit[[#This Row],[Times p Drawn - With Replacement]]&gt;0, IF(Audit[[#This Row],[Canceled Differences]]&lt;0, Audit[[#This Row],[Max Differences]]+ABS(Audit[[#This Row],[Canceled Differences]]), Audit[[#This Row],[Max Differences]]), 0)</f>
        <v>0</v>
      </c>
      <c r="AT704" s="17">
        <f>'Sampling Data'!AB704</f>
        <v>3.3058903411984385E-2</v>
      </c>
      <c r="AU704" s="17">
        <f>IF(
      SUM(Audit[[#This Row],[Audit Losing Candidate]:[Audit Candidate 12]])
      &lt;&gt;0,
      (Audit[[#This Row],[Winning Candidate]]-Audit[[#This Row],[Losing Candidate]]-(Audit[[#This Row],[Audit Winning Candidate]]-Audit[[#This Row],[Audit Losing Candidate]]))/(Audit[[#Totals],[Winning Candidate]]-Audit[[#Totals],[Losing Candidate]]),
      0
)</f>
        <v>0</v>
      </c>
      <c r="AV7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4" s="17">
        <f>IF(Audit[[#This Row],[Max Relative Error (ep)]] = 0, 0, Audit[[#This Row],[Max Relative Error (ep)]]/Audit[[#This Row],[Error Bound (up) - Max. possible relative overstatement]])</f>
        <v>0</v>
      </c>
      <c r="BH7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04" s="17">
        <f t="shared" si="11"/>
        <v>1</v>
      </c>
      <c r="BJ704" s="17">
        <f>PRODUCT($BI$5:BI704)</f>
        <v>0.23913763559004736</v>
      </c>
      <c r="BK704" s="19">
        <f>1 - Audit[[#This Row],[K-M P Value]]</f>
        <v>0.76086236440995259</v>
      </c>
      <c r="BL704" s="17" t="str">
        <f>IF(Audit[[#This Row],[K-M P Value]]&gt;1-'General Info'!$B$12,"Continue", "Stop")</f>
        <v>Continue</v>
      </c>
      <c r="BM704" s="22" t="b">
        <f>IF(Audit[[#This Row],[Status - Continue or stop audit]] = "Continue", TRUE, IF(BL703 = "Continue", TRUE, FALSE))</f>
        <v>1</v>
      </c>
      <c r="BN704" s="22"/>
    </row>
    <row r="705" spans="1:66" ht="15" hidden="1" customHeight="1" x14ac:dyDescent="0.35">
      <c r="A705" s="17" t="str">
        <f>'Sampling Data'!AI705</f>
        <v/>
      </c>
      <c r="B705" s="17" t="str">
        <f>'Sampling Data'!A705</f>
        <v>2307 CIN 23-G   (ED)</v>
      </c>
      <c r="C705" s="17">
        <f>'Sampling Data'!B705</f>
        <v>158</v>
      </c>
      <c r="D705" s="17">
        <f>'Sampling Data'!C705</f>
        <v>23</v>
      </c>
      <c r="E705" s="18">
        <f>'Sampling Data'!D705</f>
        <v>0</v>
      </c>
      <c r="F705" s="18">
        <f>'Sampling Data'!E705</f>
        <v>0</v>
      </c>
      <c r="G705" s="18">
        <f>'Sampling Data'!F705</f>
        <v>0</v>
      </c>
      <c r="H705" s="18">
        <f>'Sampling Data'!G705</f>
        <v>0</v>
      </c>
      <c r="I705" s="18">
        <f>'Sampling Data'!H705</f>
        <v>0</v>
      </c>
      <c r="J705" s="18">
        <f>'Sampling Data'!I705</f>
        <v>0</v>
      </c>
      <c r="K705" s="18">
        <f>'Sampling Data'!J705</f>
        <v>0</v>
      </c>
      <c r="L705" s="18">
        <f>'Sampling Data'!K705</f>
        <v>0</v>
      </c>
      <c r="M705" s="18">
        <f>'Sampling Data'!L705</f>
        <v>0</v>
      </c>
      <c r="N705" s="18">
        <f>'Sampling Data'!M705</f>
        <v>0</v>
      </c>
      <c r="O705" s="17">
        <f>'Sampling Data'!N705</f>
        <v>0</v>
      </c>
      <c r="P705" s="17">
        <f>'Sampling Data'!O705</f>
        <v>11</v>
      </c>
      <c r="Q705" s="17">
        <f>'Sampling Data'!P705</f>
        <v>192</v>
      </c>
      <c r="R705" s="17">
        <f>'Sampling Data'!AJ705</f>
        <v>0</v>
      </c>
      <c r="S705" s="111"/>
      <c r="T705" s="111"/>
      <c r="U705" s="112"/>
      <c r="V705" s="112"/>
      <c r="W705" s="111"/>
      <c r="X705" s="111"/>
      <c r="Y705" s="111"/>
      <c r="Z705" s="111"/>
      <c r="AA705" s="14"/>
      <c r="AB705" s="14"/>
      <c r="AC705" s="14"/>
      <c r="AD705" s="14"/>
      <c r="AE705" s="113" t="str">
        <f>IF(NOT(ISBLANK(Audit[[#This Row],[Audit Winning Candidate]])), Audit[[#This Row],[Audit Winning Candidate]]-Audit[[#This Row],[Winning Candidate]], "")</f>
        <v/>
      </c>
      <c r="AF705" s="17" t="str">
        <f>IF(NOT(ISBLANK(Audit[[#This Row],[Audit Losing Candidate]])), Audit[[#This Row],[Audit Losing Candidate]]-Audit[[#This Row],[Losing Candidate]], "")</f>
        <v/>
      </c>
      <c r="AG705" s="17" t="str">
        <f>IF(NOT(ISBLANK(Audit[[#This Row],[Audit Candidate 3]])), Audit[[#This Row],[Audit Candidate 3]]-Audit[[#This Row],[Candidate 3]], "")</f>
        <v/>
      </c>
      <c r="AH705" s="17" t="str">
        <f>IF(NOT(ISBLANK(Audit[[#This Row],[Audit Candidate 4]])),Audit[[#This Row],[Audit Candidate 4]]-Audit[[#This Row],[Candidate 4]], "")</f>
        <v/>
      </c>
      <c r="AI705" s="17" t="str">
        <f>IF(NOT(ISBLANK(Audit[[#This Row],[Audit Candidate 5]])), Audit[[#This Row],[Audit Candidate 5]]-Audit[[#This Row],[Candidate 5]], "")</f>
        <v/>
      </c>
      <c r="AJ705" s="17" t="str">
        <f>IF(NOT(ISBLANK(Audit[[#This Row],[Audit Candidate 6]])), Audit[[#This Row],[Audit Candidate 6]]-Audit[[#This Row],[Candidate 6]], "")</f>
        <v/>
      </c>
      <c r="AK705" s="17" t="str">
        <f>IF(NOT(ISBLANK(Audit[[#This Row],[Audit Candidate 7]])), Audit[[#This Row],[Audit Candidate 7]]-Audit[[#This Row],[Candidate 7]], "")</f>
        <v/>
      </c>
      <c r="AL705" s="17" t="str">
        <f>IF(NOT(ISBLANK(Audit[[#This Row],[Audit Candidate 8]])), Audit[[#This Row],[Audit Candidate 8]]-Audit[[#This Row],[Candidate 8]], "")</f>
        <v/>
      </c>
      <c r="AM705" s="17" t="str">
        <f>IF(NOT(ISBLANK(Audit[[#This Row],[Audit Candidate 9]])), Audit[[#This Row],[Audit Candidate 9]]-Audit[[#This Row],[Candidate 9]], "")</f>
        <v/>
      </c>
      <c r="AN705" s="17" t="str">
        <f>IF(NOT(ISBLANK(Audit[[#This Row],[Audit Candidate 10]])), Audit[[#This Row],[Audit Candidate 10]]-Audit[[#This Row],[Candidate 10]], "")</f>
        <v/>
      </c>
      <c r="AO705" s="17" t="str">
        <f>IF(NOT(ISBLANK(Audit[[#This Row],[Audit Candidate 11]])), Audit[[#This Row],[Audit Candidate 11]]-Audit[[#This Row],[Candidate 11]], "")</f>
        <v/>
      </c>
      <c r="AP705" s="17" t="str">
        <f>IF(NOT(ISBLANK(Audit[[#This Row],[Audit Candidate 12]])), Audit[[#This Row],[Audit Candidate 12]]-Audit[[#This Row],[Candidate 12]], "")</f>
        <v/>
      </c>
      <c r="AQ705" s="17">
        <f>SUMIF(Audit[[#This Row],[Difference Winner]:[Difference Candidate 12]], "&gt;0")</f>
        <v>0</v>
      </c>
      <c r="AR705" s="17">
        <f>SUM(Audit[[#This Row],[Difference Winner]:[Difference Candidate 12]])</f>
        <v>0</v>
      </c>
      <c r="AS705" s="17">
        <f>IF(Audit[[#This Row],[Times p Drawn - With Replacement]]&gt;0, IF(Audit[[#This Row],[Canceled Differences]]&lt;0, Audit[[#This Row],[Max Differences]]+ABS(Audit[[#This Row],[Canceled Differences]]), Audit[[#This Row],[Max Differences]]), 0)</f>
        <v>0</v>
      </c>
      <c r="AT705" s="17">
        <f>'Sampling Data'!AB705</f>
        <v>1.387710066202682E-2</v>
      </c>
      <c r="AU705" s="17">
        <f>IF(
      SUM(Audit[[#This Row],[Audit Losing Candidate]:[Audit Candidate 12]])
      &lt;&gt;0,
      (Audit[[#This Row],[Winning Candidate]]-Audit[[#This Row],[Losing Candidate]]-(Audit[[#This Row],[Audit Winning Candidate]]-Audit[[#This Row],[Audit Losing Candidate]]))/(Audit[[#Totals],[Winning Candidate]]-Audit[[#Totals],[Losing Candidate]]),
      0
)</f>
        <v>0</v>
      </c>
      <c r="AV7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5" s="17">
        <f>IF(Audit[[#This Row],[Max Relative Error (ep)]] = 0, 0, Audit[[#This Row],[Max Relative Error (ep)]]/Audit[[#This Row],[Error Bound (up) - Max. possible relative overstatement]])</f>
        <v>0</v>
      </c>
      <c r="BH7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05" s="17">
        <f t="shared" si="11"/>
        <v>1</v>
      </c>
      <c r="BJ705" s="17">
        <f>PRODUCT($BI$5:BI705)</f>
        <v>0.23913763559004736</v>
      </c>
      <c r="BK705" s="19">
        <f>1 - Audit[[#This Row],[K-M P Value]]</f>
        <v>0.76086236440995259</v>
      </c>
      <c r="BL705" s="17" t="str">
        <f>IF(Audit[[#This Row],[K-M P Value]]&gt;1-'General Info'!$B$12,"Continue", "Stop")</f>
        <v>Continue</v>
      </c>
      <c r="BM705" s="22" t="b">
        <f>IF(Audit[[#This Row],[Status - Continue or stop audit]] = "Continue", TRUE, IF(BL704 = "Continue", TRUE, FALSE))</f>
        <v>1</v>
      </c>
      <c r="BN705" s="22"/>
    </row>
    <row r="706" spans="1:66" ht="15" hidden="1" customHeight="1" x14ac:dyDescent="0.35">
      <c r="A706" s="17" t="str">
        <f>'Sampling Data'!AI706</f>
        <v/>
      </c>
      <c r="B706" s="17" t="str">
        <f>'Sampling Data'!A706</f>
        <v>2308 CIN 23-H   (ED)</v>
      </c>
      <c r="C706" s="17">
        <f>'Sampling Data'!B706</f>
        <v>248</v>
      </c>
      <c r="D706" s="17">
        <f>'Sampling Data'!C706</f>
        <v>122</v>
      </c>
      <c r="E706" s="18">
        <f>'Sampling Data'!D706</f>
        <v>0</v>
      </c>
      <c r="F706" s="18">
        <f>'Sampling Data'!E706</f>
        <v>0</v>
      </c>
      <c r="G706" s="18">
        <f>'Sampling Data'!F706</f>
        <v>0</v>
      </c>
      <c r="H706" s="18">
        <f>'Sampling Data'!G706</f>
        <v>0</v>
      </c>
      <c r="I706" s="18">
        <f>'Sampling Data'!H706</f>
        <v>0</v>
      </c>
      <c r="J706" s="18">
        <f>'Sampling Data'!I706</f>
        <v>0</v>
      </c>
      <c r="K706" s="18">
        <f>'Sampling Data'!J706</f>
        <v>0</v>
      </c>
      <c r="L706" s="18">
        <f>'Sampling Data'!K706</f>
        <v>0</v>
      </c>
      <c r="M706" s="18">
        <f>'Sampling Data'!L706</f>
        <v>0</v>
      </c>
      <c r="N706" s="18">
        <f>'Sampling Data'!M706</f>
        <v>0</v>
      </c>
      <c r="O706" s="17">
        <f>'Sampling Data'!N706</f>
        <v>0</v>
      </c>
      <c r="P706" s="17">
        <f>'Sampling Data'!O706</f>
        <v>23</v>
      </c>
      <c r="Q706" s="17">
        <f>'Sampling Data'!P706</f>
        <v>393</v>
      </c>
      <c r="R706" s="17">
        <f>'Sampling Data'!AJ706</f>
        <v>0</v>
      </c>
      <c r="S706" s="111"/>
      <c r="T706" s="111"/>
      <c r="U706" s="112"/>
      <c r="V706" s="112"/>
      <c r="W706" s="111"/>
      <c r="X706" s="111"/>
      <c r="Y706" s="111"/>
      <c r="Z706" s="111"/>
      <c r="AA706" s="14"/>
      <c r="AB706" s="14"/>
      <c r="AC706" s="14"/>
      <c r="AD706" s="14"/>
      <c r="AE706" s="113" t="str">
        <f>IF(NOT(ISBLANK(Audit[[#This Row],[Audit Winning Candidate]])), Audit[[#This Row],[Audit Winning Candidate]]-Audit[[#This Row],[Winning Candidate]], "")</f>
        <v/>
      </c>
      <c r="AF706" s="17" t="str">
        <f>IF(NOT(ISBLANK(Audit[[#This Row],[Audit Losing Candidate]])), Audit[[#This Row],[Audit Losing Candidate]]-Audit[[#This Row],[Losing Candidate]], "")</f>
        <v/>
      </c>
      <c r="AG706" s="17" t="str">
        <f>IF(NOT(ISBLANK(Audit[[#This Row],[Audit Candidate 3]])), Audit[[#This Row],[Audit Candidate 3]]-Audit[[#This Row],[Candidate 3]], "")</f>
        <v/>
      </c>
      <c r="AH706" s="17" t="str">
        <f>IF(NOT(ISBLANK(Audit[[#This Row],[Audit Candidate 4]])),Audit[[#This Row],[Audit Candidate 4]]-Audit[[#This Row],[Candidate 4]], "")</f>
        <v/>
      </c>
      <c r="AI706" s="17" t="str">
        <f>IF(NOT(ISBLANK(Audit[[#This Row],[Audit Candidate 5]])), Audit[[#This Row],[Audit Candidate 5]]-Audit[[#This Row],[Candidate 5]], "")</f>
        <v/>
      </c>
      <c r="AJ706" s="17" t="str">
        <f>IF(NOT(ISBLANK(Audit[[#This Row],[Audit Candidate 6]])), Audit[[#This Row],[Audit Candidate 6]]-Audit[[#This Row],[Candidate 6]], "")</f>
        <v/>
      </c>
      <c r="AK706" s="17" t="str">
        <f>IF(NOT(ISBLANK(Audit[[#This Row],[Audit Candidate 7]])), Audit[[#This Row],[Audit Candidate 7]]-Audit[[#This Row],[Candidate 7]], "")</f>
        <v/>
      </c>
      <c r="AL706" s="17" t="str">
        <f>IF(NOT(ISBLANK(Audit[[#This Row],[Audit Candidate 8]])), Audit[[#This Row],[Audit Candidate 8]]-Audit[[#This Row],[Candidate 8]], "")</f>
        <v/>
      </c>
      <c r="AM706" s="17" t="str">
        <f>IF(NOT(ISBLANK(Audit[[#This Row],[Audit Candidate 9]])), Audit[[#This Row],[Audit Candidate 9]]-Audit[[#This Row],[Candidate 9]], "")</f>
        <v/>
      </c>
      <c r="AN706" s="17" t="str">
        <f>IF(NOT(ISBLANK(Audit[[#This Row],[Audit Candidate 10]])), Audit[[#This Row],[Audit Candidate 10]]-Audit[[#This Row],[Candidate 10]], "")</f>
        <v/>
      </c>
      <c r="AO706" s="17" t="str">
        <f>IF(NOT(ISBLANK(Audit[[#This Row],[Audit Candidate 11]])), Audit[[#This Row],[Audit Candidate 11]]-Audit[[#This Row],[Candidate 11]], "")</f>
        <v/>
      </c>
      <c r="AP706" s="17" t="str">
        <f>IF(NOT(ISBLANK(Audit[[#This Row],[Audit Candidate 12]])), Audit[[#This Row],[Audit Candidate 12]]-Audit[[#This Row],[Candidate 12]], "")</f>
        <v/>
      </c>
      <c r="AQ706" s="17">
        <f>SUMIF(Audit[[#This Row],[Difference Winner]:[Difference Candidate 12]], "&gt;0")</f>
        <v>0</v>
      </c>
      <c r="AR706" s="17">
        <f>SUM(Audit[[#This Row],[Difference Winner]:[Difference Candidate 12]])</f>
        <v>0</v>
      </c>
      <c r="AS706" s="17">
        <f>IF(Audit[[#This Row],[Times p Drawn - With Replacement]]&gt;0, IF(Audit[[#This Row],[Canceled Differences]]&lt;0, Audit[[#This Row],[Max Differences]]+ABS(Audit[[#This Row],[Canceled Differences]]), Audit[[#This Row],[Max Differences]]), 0)</f>
        <v>0</v>
      </c>
      <c r="AT706" s="17">
        <f>'Sampling Data'!AB706</f>
        <v>2.202512306908844E-2</v>
      </c>
      <c r="AU706" s="17">
        <f>IF(
      SUM(Audit[[#This Row],[Audit Losing Candidate]:[Audit Candidate 12]])
      &lt;&gt;0,
      (Audit[[#This Row],[Winning Candidate]]-Audit[[#This Row],[Losing Candidate]]-(Audit[[#This Row],[Audit Winning Candidate]]-Audit[[#This Row],[Audit Losing Candidate]]))/(Audit[[#Totals],[Winning Candidate]]-Audit[[#Totals],[Losing Candidate]]),
      0
)</f>
        <v>0</v>
      </c>
      <c r="AV7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6" s="17">
        <f>IF(Audit[[#This Row],[Max Relative Error (ep)]] = 0, 0, Audit[[#This Row],[Max Relative Error (ep)]]/Audit[[#This Row],[Error Bound (up) - Max. possible relative overstatement]])</f>
        <v>0</v>
      </c>
      <c r="BH7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06" s="17">
        <f t="shared" si="11"/>
        <v>1</v>
      </c>
      <c r="BJ706" s="17">
        <f>PRODUCT($BI$5:BI706)</f>
        <v>0.23913763559004736</v>
      </c>
      <c r="BK706" s="19">
        <f>1 - Audit[[#This Row],[K-M P Value]]</f>
        <v>0.76086236440995259</v>
      </c>
      <c r="BL706" s="17" t="str">
        <f>IF(Audit[[#This Row],[K-M P Value]]&gt;1-'General Info'!$B$12,"Continue", "Stop")</f>
        <v>Continue</v>
      </c>
      <c r="BM706" s="22" t="b">
        <f>IF(Audit[[#This Row],[Status - Continue or stop audit]] = "Continue", TRUE, IF(BL705 = "Continue", TRUE, FALSE))</f>
        <v>1</v>
      </c>
      <c r="BN706" s="22"/>
    </row>
    <row r="707" spans="1:66" ht="15" hidden="1" customHeight="1" x14ac:dyDescent="0.35">
      <c r="A707" s="17" t="str">
        <f>'Sampling Data'!AI707</f>
        <v/>
      </c>
      <c r="B707" s="17" t="str">
        <f>'Sampling Data'!A707</f>
        <v>2309 CIN 23-I   (ED)</v>
      </c>
      <c r="C707" s="17">
        <f>'Sampling Data'!B707</f>
        <v>281</v>
      </c>
      <c r="D707" s="17">
        <f>'Sampling Data'!C707</f>
        <v>93</v>
      </c>
      <c r="E707" s="18">
        <f>'Sampling Data'!D707</f>
        <v>0</v>
      </c>
      <c r="F707" s="18">
        <f>'Sampling Data'!E707</f>
        <v>0</v>
      </c>
      <c r="G707" s="18">
        <f>'Sampling Data'!F707</f>
        <v>0</v>
      </c>
      <c r="H707" s="18">
        <f>'Sampling Data'!G707</f>
        <v>0</v>
      </c>
      <c r="I707" s="18">
        <f>'Sampling Data'!H707</f>
        <v>0</v>
      </c>
      <c r="J707" s="18">
        <f>'Sampling Data'!I707</f>
        <v>0</v>
      </c>
      <c r="K707" s="18">
        <f>'Sampling Data'!J707</f>
        <v>0</v>
      </c>
      <c r="L707" s="18">
        <f>'Sampling Data'!K707</f>
        <v>0</v>
      </c>
      <c r="M707" s="18">
        <f>'Sampling Data'!L707</f>
        <v>0</v>
      </c>
      <c r="N707" s="18">
        <f>'Sampling Data'!M707</f>
        <v>0</v>
      </c>
      <c r="O707" s="17">
        <f>'Sampling Data'!N707</f>
        <v>0</v>
      </c>
      <c r="P707" s="17">
        <f>'Sampling Data'!O707</f>
        <v>17</v>
      </c>
      <c r="Q707" s="17">
        <f>'Sampling Data'!P707</f>
        <v>391</v>
      </c>
      <c r="R707" s="17">
        <f>'Sampling Data'!AJ707</f>
        <v>0</v>
      </c>
      <c r="S707" s="111"/>
      <c r="T707" s="111"/>
      <c r="U707" s="112"/>
      <c r="V707" s="112"/>
      <c r="W707" s="111"/>
      <c r="X707" s="111"/>
      <c r="Y707" s="111"/>
      <c r="Z707" s="111"/>
      <c r="AA707" s="14"/>
      <c r="AB707" s="14"/>
      <c r="AC707" s="14"/>
      <c r="AD707" s="14"/>
      <c r="AE707" s="113" t="str">
        <f>IF(NOT(ISBLANK(Audit[[#This Row],[Audit Winning Candidate]])), Audit[[#This Row],[Audit Winning Candidate]]-Audit[[#This Row],[Winning Candidate]], "")</f>
        <v/>
      </c>
      <c r="AF707" s="17" t="str">
        <f>IF(NOT(ISBLANK(Audit[[#This Row],[Audit Losing Candidate]])), Audit[[#This Row],[Audit Losing Candidate]]-Audit[[#This Row],[Losing Candidate]], "")</f>
        <v/>
      </c>
      <c r="AG707" s="17" t="str">
        <f>IF(NOT(ISBLANK(Audit[[#This Row],[Audit Candidate 3]])), Audit[[#This Row],[Audit Candidate 3]]-Audit[[#This Row],[Candidate 3]], "")</f>
        <v/>
      </c>
      <c r="AH707" s="17" t="str">
        <f>IF(NOT(ISBLANK(Audit[[#This Row],[Audit Candidate 4]])),Audit[[#This Row],[Audit Candidate 4]]-Audit[[#This Row],[Candidate 4]], "")</f>
        <v/>
      </c>
      <c r="AI707" s="17" t="str">
        <f>IF(NOT(ISBLANK(Audit[[#This Row],[Audit Candidate 5]])), Audit[[#This Row],[Audit Candidate 5]]-Audit[[#This Row],[Candidate 5]], "")</f>
        <v/>
      </c>
      <c r="AJ707" s="17" t="str">
        <f>IF(NOT(ISBLANK(Audit[[#This Row],[Audit Candidate 6]])), Audit[[#This Row],[Audit Candidate 6]]-Audit[[#This Row],[Candidate 6]], "")</f>
        <v/>
      </c>
      <c r="AK707" s="17" t="str">
        <f>IF(NOT(ISBLANK(Audit[[#This Row],[Audit Candidate 7]])), Audit[[#This Row],[Audit Candidate 7]]-Audit[[#This Row],[Candidate 7]], "")</f>
        <v/>
      </c>
      <c r="AL707" s="17" t="str">
        <f>IF(NOT(ISBLANK(Audit[[#This Row],[Audit Candidate 8]])), Audit[[#This Row],[Audit Candidate 8]]-Audit[[#This Row],[Candidate 8]], "")</f>
        <v/>
      </c>
      <c r="AM707" s="17" t="str">
        <f>IF(NOT(ISBLANK(Audit[[#This Row],[Audit Candidate 9]])), Audit[[#This Row],[Audit Candidate 9]]-Audit[[#This Row],[Candidate 9]], "")</f>
        <v/>
      </c>
      <c r="AN707" s="17" t="str">
        <f>IF(NOT(ISBLANK(Audit[[#This Row],[Audit Candidate 10]])), Audit[[#This Row],[Audit Candidate 10]]-Audit[[#This Row],[Candidate 10]], "")</f>
        <v/>
      </c>
      <c r="AO707" s="17" t="str">
        <f>IF(NOT(ISBLANK(Audit[[#This Row],[Audit Candidate 11]])), Audit[[#This Row],[Audit Candidate 11]]-Audit[[#This Row],[Candidate 11]], "")</f>
        <v/>
      </c>
      <c r="AP707" s="17" t="str">
        <f>IF(NOT(ISBLANK(Audit[[#This Row],[Audit Candidate 12]])), Audit[[#This Row],[Audit Candidate 12]]-Audit[[#This Row],[Candidate 12]], "")</f>
        <v/>
      </c>
      <c r="AQ707" s="17">
        <f>SUMIF(Audit[[#This Row],[Difference Winner]:[Difference Candidate 12]], "&gt;0")</f>
        <v>0</v>
      </c>
      <c r="AR707" s="17">
        <f>SUM(Audit[[#This Row],[Difference Winner]:[Difference Candidate 12]])</f>
        <v>0</v>
      </c>
      <c r="AS707" s="17">
        <f>IF(Audit[[#This Row],[Times p Drawn - With Replacement]]&gt;0, IF(Audit[[#This Row],[Canceled Differences]]&lt;0, Audit[[#This Row],[Max Differences]]+ABS(Audit[[#This Row],[Canceled Differences]]), Audit[[#This Row],[Max Differences]]), 0)</f>
        <v>0</v>
      </c>
      <c r="AT707" s="17">
        <f>'Sampling Data'!AB707</f>
        <v>2.4571380071295196E-2</v>
      </c>
      <c r="AU707" s="17">
        <f>IF(
      SUM(Audit[[#This Row],[Audit Losing Candidate]:[Audit Candidate 12]])
      &lt;&gt;0,
      (Audit[[#This Row],[Winning Candidate]]-Audit[[#This Row],[Losing Candidate]]-(Audit[[#This Row],[Audit Winning Candidate]]-Audit[[#This Row],[Audit Losing Candidate]]))/(Audit[[#Totals],[Winning Candidate]]-Audit[[#Totals],[Losing Candidate]]),
      0
)</f>
        <v>0</v>
      </c>
      <c r="AV7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7" s="17">
        <f>IF(Audit[[#This Row],[Max Relative Error (ep)]] = 0, 0, Audit[[#This Row],[Max Relative Error (ep)]]/Audit[[#This Row],[Error Bound (up) - Max. possible relative overstatement]])</f>
        <v>0</v>
      </c>
      <c r="BH7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07" s="17">
        <f t="shared" si="11"/>
        <v>1</v>
      </c>
      <c r="BJ707" s="17">
        <f>PRODUCT($BI$5:BI707)</f>
        <v>0.23913763559004736</v>
      </c>
      <c r="BK707" s="19">
        <f>1 - Audit[[#This Row],[K-M P Value]]</f>
        <v>0.76086236440995259</v>
      </c>
      <c r="BL707" s="17" t="str">
        <f>IF(Audit[[#This Row],[K-M P Value]]&gt;1-'General Info'!$B$12,"Continue", "Stop")</f>
        <v>Continue</v>
      </c>
      <c r="BM707" s="22" t="b">
        <f>IF(Audit[[#This Row],[Status - Continue or stop audit]] = "Continue", TRUE, IF(BL706 = "Continue", TRUE, FALSE))</f>
        <v>1</v>
      </c>
      <c r="BN707" s="22"/>
    </row>
    <row r="708" spans="1:66" ht="15" hidden="1" customHeight="1" x14ac:dyDescent="0.35">
      <c r="A708" s="17" t="str">
        <f>'Sampling Data'!AI708</f>
        <v/>
      </c>
      <c r="B708" s="17" t="str">
        <f>'Sampling Data'!A708</f>
        <v>2310 CIN 23-J   (ED)</v>
      </c>
      <c r="C708" s="17">
        <f>'Sampling Data'!B708</f>
        <v>341</v>
      </c>
      <c r="D708" s="17">
        <f>'Sampling Data'!C708</f>
        <v>123</v>
      </c>
      <c r="E708" s="18">
        <f>'Sampling Data'!D708</f>
        <v>0</v>
      </c>
      <c r="F708" s="18">
        <f>'Sampling Data'!E708</f>
        <v>0</v>
      </c>
      <c r="G708" s="18">
        <f>'Sampling Data'!F708</f>
        <v>0</v>
      </c>
      <c r="H708" s="18">
        <f>'Sampling Data'!G708</f>
        <v>0</v>
      </c>
      <c r="I708" s="18">
        <f>'Sampling Data'!H708</f>
        <v>0</v>
      </c>
      <c r="J708" s="18">
        <f>'Sampling Data'!I708</f>
        <v>0</v>
      </c>
      <c r="K708" s="18">
        <f>'Sampling Data'!J708</f>
        <v>0</v>
      </c>
      <c r="L708" s="18">
        <f>'Sampling Data'!K708</f>
        <v>0</v>
      </c>
      <c r="M708" s="18">
        <f>'Sampling Data'!L708</f>
        <v>0</v>
      </c>
      <c r="N708" s="18">
        <f>'Sampling Data'!M708</f>
        <v>0</v>
      </c>
      <c r="O708" s="17">
        <f>'Sampling Data'!N708</f>
        <v>1</v>
      </c>
      <c r="P708" s="17">
        <f>'Sampling Data'!O708</f>
        <v>30</v>
      </c>
      <c r="Q708" s="17">
        <f>'Sampling Data'!P708</f>
        <v>495</v>
      </c>
      <c r="R708" s="17">
        <f>'Sampling Data'!AJ708</f>
        <v>0</v>
      </c>
      <c r="S708" s="111"/>
      <c r="T708" s="111"/>
      <c r="U708" s="112"/>
      <c r="V708" s="112"/>
      <c r="W708" s="111"/>
      <c r="X708" s="111"/>
      <c r="Y708" s="111"/>
      <c r="Z708" s="111"/>
      <c r="AA708" s="14"/>
      <c r="AB708" s="14"/>
      <c r="AC708" s="14"/>
      <c r="AD708" s="14"/>
      <c r="AE708" s="113" t="str">
        <f>IF(NOT(ISBLANK(Audit[[#This Row],[Audit Winning Candidate]])), Audit[[#This Row],[Audit Winning Candidate]]-Audit[[#This Row],[Winning Candidate]], "")</f>
        <v/>
      </c>
      <c r="AF708" s="17" t="str">
        <f>IF(NOT(ISBLANK(Audit[[#This Row],[Audit Losing Candidate]])), Audit[[#This Row],[Audit Losing Candidate]]-Audit[[#This Row],[Losing Candidate]], "")</f>
        <v/>
      </c>
      <c r="AG708" s="17" t="str">
        <f>IF(NOT(ISBLANK(Audit[[#This Row],[Audit Candidate 3]])), Audit[[#This Row],[Audit Candidate 3]]-Audit[[#This Row],[Candidate 3]], "")</f>
        <v/>
      </c>
      <c r="AH708" s="17" t="str">
        <f>IF(NOT(ISBLANK(Audit[[#This Row],[Audit Candidate 4]])),Audit[[#This Row],[Audit Candidate 4]]-Audit[[#This Row],[Candidate 4]], "")</f>
        <v/>
      </c>
      <c r="AI708" s="17" t="str">
        <f>IF(NOT(ISBLANK(Audit[[#This Row],[Audit Candidate 5]])), Audit[[#This Row],[Audit Candidate 5]]-Audit[[#This Row],[Candidate 5]], "")</f>
        <v/>
      </c>
      <c r="AJ708" s="17" t="str">
        <f>IF(NOT(ISBLANK(Audit[[#This Row],[Audit Candidate 6]])), Audit[[#This Row],[Audit Candidate 6]]-Audit[[#This Row],[Candidate 6]], "")</f>
        <v/>
      </c>
      <c r="AK708" s="17" t="str">
        <f>IF(NOT(ISBLANK(Audit[[#This Row],[Audit Candidate 7]])), Audit[[#This Row],[Audit Candidate 7]]-Audit[[#This Row],[Candidate 7]], "")</f>
        <v/>
      </c>
      <c r="AL708" s="17" t="str">
        <f>IF(NOT(ISBLANK(Audit[[#This Row],[Audit Candidate 8]])), Audit[[#This Row],[Audit Candidate 8]]-Audit[[#This Row],[Candidate 8]], "")</f>
        <v/>
      </c>
      <c r="AM708" s="17" t="str">
        <f>IF(NOT(ISBLANK(Audit[[#This Row],[Audit Candidate 9]])), Audit[[#This Row],[Audit Candidate 9]]-Audit[[#This Row],[Candidate 9]], "")</f>
        <v/>
      </c>
      <c r="AN708" s="17" t="str">
        <f>IF(NOT(ISBLANK(Audit[[#This Row],[Audit Candidate 10]])), Audit[[#This Row],[Audit Candidate 10]]-Audit[[#This Row],[Candidate 10]], "")</f>
        <v/>
      </c>
      <c r="AO708" s="17" t="str">
        <f>IF(NOT(ISBLANK(Audit[[#This Row],[Audit Candidate 11]])), Audit[[#This Row],[Audit Candidate 11]]-Audit[[#This Row],[Candidate 11]], "")</f>
        <v/>
      </c>
      <c r="AP708" s="17" t="str">
        <f>IF(NOT(ISBLANK(Audit[[#This Row],[Audit Candidate 12]])), Audit[[#This Row],[Audit Candidate 12]]-Audit[[#This Row],[Candidate 12]], "")</f>
        <v/>
      </c>
      <c r="AQ708" s="17">
        <f>SUMIF(Audit[[#This Row],[Difference Winner]:[Difference Candidate 12]], "&gt;0")</f>
        <v>0</v>
      </c>
      <c r="AR708" s="17">
        <f>SUM(Audit[[#This Row],[Difference Winner]:[Difference Candidate 12]])</f>
        <v>0</v>
      </c>
      <c r="AS708" s="17">
        <f>IF(Audit[[#This Row],[Times p Drawn - With Replacement]]&gt;0, IF(Audit[[#This Row],[Canceled Differences]]&lt;0, Audit[[#This Row],[Max Differences]]+ABS(Audit[[#This Row],[Canceled Differences]]), Audit[[#This Row],[Max Differences]]), 0)</f>
        <v>0</v>
      </c>
      <c r="AT708" s="17">
        <f>'Sampling Data'!AB708</f>
        <v>3.0258020709556951E-2</v>
      </c>
      <c r="AU708" s="17">
        <f>IF(
      SUM(Audit[[#This Row],[Audit Losing Candidate]:[Audit Candidate 12]])
      &lt;&gt;0,
      (Audit[[#This Row],[Winning Candidate]]-Audit[[#This Row],[Losing Candidate]]-(Audit[[#This Row],[Audit Winning Candidate]]-Audit[[#This Row],[Audit Losing Candidate]]))/(Audit[[#Totals],[Winning Candidate]]-Audit[[#Totals],[Losing Candidate]]),
      0
)</f>
        <v>0</v>
      </c>
      <c r="AV7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8" s="17">
        <f>IF(Audit[[#This Row],[Max Relative Error (ep)]] = 0, 0, Audit[[#This Row],[Max Relative Error (ep)]]/Audit[[#This Row],[Error Bound (up) - Max. possible relative overstatement]])</f>
        <v>0</v>
      </c>
      <c r="BH7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08" s="17">
        <f t="shared" si="11"/>
        <v>1</v>
      </c>
      <c r="BJ708" s="17">
        <f>PRODUCT($BI$5:BI708)</f>
        <v>0.23913763559004736</v>
      </c>
      <c r="BK708" s="19">
        <f>1 - Audit[[#This Row],[K-M P Value]]</f>
        <v>0.76086236440995259</v>
      </c>
      <c r="BL708" s="17" t="str">
        <f>IF(Audit[[#This Row],[K-M P Value]]&gt;1-'General Info'!$B$12,"Continue", "Stop")</f>
        <v>Continue</v>
      </c>
      <c r="BM708" s="22" t="b">
        <f>IF(Audit[[#This Row],[Status - Continue or stop audit]] = "Continue", TRUE, IF(BL707 = "Continue", TRUE, FALSE))</f>
        <v>1</v>
      </c>
      <c r="BN708" s="22"/>
    </row>
    <row r="709" spans="1:66" ht="15" hidden="1" customHeight="1" x14ac:dyDescent="0.35">
      <c r="A709" s="17" t="str">
        <f>'Sampling Data'!AI709</f>
        <v/>
      </c>
      <c r="B709" s="17" t="str">
        <f>'Sampling Data'!A709</f>
        <v>2311 CIN 23-K   (ED)</v>
      </c>
      <c r="C709" s="17">
        <f>'Sampling Data'!B709</f>
        <v>302</v>
      </c>
      <c r="D709" s="17">
        <f>'Sampling Data'!C709</f>
        <v>57</v>
      </c>
      <c r="E709" s="18">
        <f>'Sampling Data'!D709</f>
        <v>0</v>
      </c>
      <c r="F709" s="18">
        <f>'Sampling Data'!E709</f>
        <v>0</v>
      </c>
      <c r="G709" s="18">
        <f>'Sampling Data'!F709</f>
        <v>0</v>
      </c>
      <c r="H709" s="18">
        <f>'Sampling Data'!G709</f>
        <v>0</v>
      </c>
      <c r="I709" s="18">
        <f>'Sampling Data'!H709</f>
        <v>0</v>
      </c>
      <c r="J709" s="18">
        <f>'Sampling Data'!I709</f>
        <v>0</v>
      </c>
      <c r="K709" s="18">
        <f>'Sampling Data'!J709</f>
        <v>0</v>
      </c>
      <c r="L709" s="18">
        <f>'Sampling Data'!K709</f>
        <v>0</v>
      </c>
      <c r="M709" s="18">
        <f>'Sampling Data'!L709</f>
        <v>0</v>
      </c>
      <c r="N709" s="18">
        <f>'Sampling Data'!M709</f>
        <v>0</v>
      </c>
      <c r="O709" s="17">
        <f>'Sampling Data'!N709</f>
        <v>0</v>
      </c>
      <c r="P709" s="17">
        <f>'Sampling Data'!O709</f>
        <v>33</v>
      </c>
      <c r="Q709" s="17">
        <f>'Sampling Data'!P709</f>
        <v>392</v>
      </c>
      <c r="R709" s="17">
        <f>'Sampling Data'!AJ709</f>
        <v>0</v>
      </c>
      <c r="S709" s="111"/>
      <c r="T709" s="111"/>
      <c r="U709" s="112"/>
      <c r="V709" s="112"/>
      <c r="W709" s="111"/>
      <c r="X709" s="111"/>
      <c r="Y709" s="111"/>
      <c r="Z709" s="111"/>
      <c r="AA709" s="14"/>
      <c r="AB709" s="14"/>
      <c r="AC709" s="14"/>
      <c r="AD709" s="14"/>
      <c r="AE709" s="113" t="str">
        <f>IF(NOT(ISBLANK(Audit[[#This Row],[Audit Winning Candidate]])), Audit[[#This Row],[Audit Winning Candidate]]-Audit[[#This Row],[Winning Candidate]], "")</f>
        <v/>
      </c>
      <c r="AF709" s="17" t="str">
        <f>IF(NOT(ISBLANK(Audit[[#This Row],[Audit Losing Candidate]])), Audit[[#This Row],[Audit Losing Candidate]]-Audit[[#This Row],[Losing Candidate]], "")</f>
        <v/>
      </c>
      <c r="AG709" s="17" t="str">
        <f>IF(NOT(ISBLANK(Audit[[#This Row],[Audit Candidate 3]])), Audit[[#This Row],[Audit Candidate 3]]-Audit[[#This Row],[Candidate 3]], "")</f>
        <v/>
      </c>
      <c r="AH709" s="17" t="str">
        <f>IF(NOT(ISBLANK(Audit[[#This Row],[Audit Candidate 4]])),Audit[[#This Row],[Audit Candidate 4]]-Audit[[#This Row],[Candidate 4]], "")</f>
        <v/>
      </c>
      <c r="AI709" s="17" t="str">
        <f>IF(NOT(ISBLANK(Audit[[#This Row],[Audit Candidate 5]])), Audit[[#This Row],[Audit Candidate 5]]-Audit[[#This Row],[Candidate 5]], "")</f>
        <v/>
      </c>
      <c r="AJ709" s="17" t="str">
        <f>IF(NOT(ISBLANK(Audit[[#This Row],[Audit Candidate 6]])), Audit[[#This Row],[Audit Candidate 6]]-Audit[[#This Row],[Candidate 6]], "")</f>
        <v/>
      </c>
      <c r="AK709" s="17" t="str">
        <f>IF(NOT(ISBLANK(Audit[[#This Row],[Audit Candidate 7]])), Audit[[#This Row],[Audit Candidate 7]]-Audit[[#This Row],[Candidate 7]], "")</f>
        <v/>
      </c>
      <c r="AL709" s="17" t="str">
        <f>IF(NOT(ISBLANK(Audit[[#This Row],[Audit Candidate 8]])), Audit[[#This Row],[Audit Candidate 8]]-Audit[[#This Row],[Candidate 8]], "")</f>
        <v/>
      </c>
      <c r="AM709" s="17" t="str">
        <f>IF(NOT(ISBLANK(Audit[[#This Row],[Audit Candidate 9]])), Audit[[#This Row],[Audit Candidate 9]]-Audit[[#This Row],[Candidate 9]], "")</f>
        <v/>
      </c>
      <c r="AN709" s="17" t="str">
        <f>IF(NOT(ISBLANK(Audit[[#This Row],[Audit Candidate 10]])), Audit[[#This Row],[Audit Candidate 10]]-Audit[[#This Row],[Candidate 10]], "")</f>
        <v/>
      </c>
      <c r="AO709" s="17" t="str">
        <f>IF(NOT(ISBLANK(Audit[[#This Row],[Audit Candidate 11]])), Audit[[#This Row],[Audit Candidate 11]]-Audit[[#This Row],[Candidate 11]], "")</f>
        <v/>
      </c>
      <c r="AP709" s="17" t="str">
        <f>IF(NOT(ISBLANK(Audit[[#This Row],[Audit Candidate 12]])), Audit[[#This Row],[Audit Candidate 12]]-Audit[[#This Row],[Candidate 12]], "")</f>
        <v/>
      </c>
      <c r="AQ709" s="17">
        <f>SUMIF(Audit[[#This Row],[Difference Winner]:[Difference Candidate 12]], "&gt;0")</f>
        <v>0</v>
      </c>
      <c r="AR709" s="17">
        <f>SUM(Audit[[#This Row],[Difference Winner]:[Difference Candidate 12]])</f>
        <v>0</v>
      </c>
      <c r="AS709" s="17">
        <f>IF(Audit[[#This Row],[Times p Drawn - With Replacement]]&gt;0, IF(Audit[[#This Row],[Canceled Differences]]&lt;0, Audit[[#This Row],[Max Differences]]+ABS(Audit[[#This Row],[Canceled Differences]]), Audit[[#This Row],[Max Differences]]), 0)</f>
        <v>0</v>
      </c>
      <c r="AT709" s="17">
        <f>'Sampling Data'!AB709</f>
        <v>2.7032761840095062E-2</v>
      </c>
      <c r="AU709" s="17">
        <f>IF(
      SUM(Audit[[#This Row],[Audit Losing Candidate]:[Audit Candidate 12]])
      &lt;&gt;0,
      (Audit[[#This Row],[Winning Candidate]]-Audit[[#This Row],[Losing Candidate]]-(Audit[[#This Row],[Audit Winning Candidate]]-Audit[[#This Row],[Audit Losing Candidate]]))/(Audit[[#Totals],[Winning Candidate]]-Audit[[#Totals],[Losing Candidate]]),
      0
)</f>
        <v>0</v>
      </c>
      <c r="AV7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9" s="17">
        <f>IF(Audit[[#This Row],[Max Relative Error (ep)]] = 0, 0, Audit[[#This Row],[Max Relative Error (ep)]]/Audit[[#This Row],[Error Bound (up) - Max. possible relative overstatement]])</f>
        <v>0</v>
      </c>
      <c r="BH7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09" s="17">
        <f t="shared" si="11"/>
        <v>1</v>
      </c>
      <c r="BJ709" s="17">
        <f>PRODUCT($BI$5:BI709)</f>
        <v>0.23913763559004736</v>
      </c>
      <c r="BK709" s="19">
        <f>1 - Audit[[#This Row],[K-M P Value]]</f>
        <v>0.76086236440995259</v>
      </c>
      <c r="BL709" s="17" t="str">
        <f>IF(Audit[[#This Row],[K-M P Value]]&gt;1-'General Info'!$B$12,"Continue", "Stop")</f>
        <v>Continue</v>
      </c>
      <c r="BM709" s="22" t="b">
        <f>IF(Audit[[#This Row],[Status - Continue or stop audit]] = "Continue", TRUE, IF(BL708 = "Continue", TRUE, FALSE))</f>
        <v>1</v>
      </c>
      <c r="BN709" s="22"/>
    </row>
    <row r="710" spans="1:66" ht="15" hidden="1" customHeight="1" x14ac:dyDescent="0.35">
      <c r="A710" s="17" t="str">
        <f>'Sampling Data'!AI710</f>
        <v/>
      </c>
      <c r="B710" s="17" t="str">
        <f>'Sampling Data'!A710</f>
        <v>2312 CIN 23-L   (ED)</v>
      </c>
      <c r="C710" s="17">
        <f>'Sampling Data'!B710</f>
        <v>144</v>
      </c>
      <c r="D710" s="17">
        <f>'Sampling Data'!C710</f>
        <v>38</v>
      </c>
      <c r="E710" s="18">
        <f>'Sampling Data'!D710</f>
        <v>0</v>
      </c>
      <c r="F710" s="18">
        <f>'Sampling Data'!E710</f>
        <v>0</v>
      </c>
      <c r="G710" s="18">
        <f>'Sampling Data'!F710</f>
        <v>0</v>
      </c>
      <c r="H710" s="18">
        <f>'Sampling Data'!G710</f>
        <v>0</v>
      </c>
      <c r="I710" s="18">
        <f>'Sampling Data'!H710</f>
        <v>0</v>
      </c>
      <c r="J710" s="18">
        <f>'Sampling Data'!I710</f>
        <v>0</v>
      </c>
      <c r="K710" s="18">
        <f>'Sampling Data'!J710</f>
        <v>0</v>
      </c>
      <c r="L710" s="18">
        <f>'Sampling Data'!K710</f>
        <v>0</v>
      </c>
      <c r="M710" s="18">
        <f>'Sampling Data'!L710</f>
        <v>0</v>
      </c>
      <c r="N710" s="18">
        <f>'Sampling Data'!M710</f>
        <v>0</v>
      </c>
      <c r="O710" s="17">
        <f>'Sampling Data'!N710</f>
        <v>0</v>
      </c>
      <c r="P710" s="17">
        <f>'Sampling Data'!O710</f>
        <v>12</v>
      </c>
      <c r="Q710" s="17">
        <f>'Sampling Data'!P710</f>
        <v>194</v>
      </c>
      <c r="R710" s="17">
        <f>'Sampling Data'!AJ710</f>
        <v>0</v>
      </c>
      <c r="S710" s="111"/>
      <c r="T710" s="111"/>
      <c r="U710" s="112"/>
      <c r="V710" s="112"/>
      <c r="W710" s="111"/>
      <c r="X710" s="111"/>
      <c r="Y710" s="111"/>
      <c r="Z710" s="111"/>
      <c r="AA710" s="14"/>
      <c r="AB710" s="14"/>
      <c r="AC710" s="14"/>
      <c r="AD710" s="14"/>
      <c r="AE710" s="113" t="str">
        <f>IF(NOT(ISBLANK(Audit[[#This Row],[Audit Winning Candidate]])), Audit[[#This Row],[Audit Winning Candidate]]-Audit[[#This Row],[Winning Candidate]], "")</f>
        <v/>
      </c>
      <c r="AF710" s="17" t="str">
        <f>IF(NOT(ISBLANK(Audit[[#This Row],[Audit Losing Candidate]])), Audit[[#This Row],[Audit Losing Candidate]]-Audit[[#This Row],[Losing Candidate]], "")</f>
        <v/>
      </c>
      <c r="AG710" s="17" t="str">
        <f>IF(NOT(ISBLANK(Audit[[#This Row],[Audit Candidate 3]])), Audit[[#This Row],[Audit Candidate 3]]-Audit[[#This Row],[Candidate 3]], "")</f>
        <v/>
      </c>
      <c r="AH710" s="17" t="str">
        <f>IF(NOT(ISBLANK(Audit[[#This Row],[Audit Candidate 4]])),Audit[[#This Row],[Audit Candidate 4]]-Audit[[#This Row],[Candidate 4]], "")</f>
        <v/>
      </c>
      <c r="AI710" s="17" t="str">
        <f>IF(NOT(ISBLANK(Audit[[#This Row],[Audit Candidate 5]])), Audit[[#This Row],[Audit Candidate 5]]-Audit[[#This Row],[Candidate 5]], "")</f>
        <v/>
      </c>
      <c r="AJ710" s="17" t="str">
        <f>IF(NOT(ISBLANK(Audit[[#This Row],[Audit Candidate 6]])), Audit[[#This Row],[Audit Candidate 6]]-Audit[[#This Row],[Candidate 6]], "")</f>
        <v/>
      </c>
      <c r="AK710" s="17" t="str">
        <f>IF(NOT(ISBLANK(Audit[[#This Row],[Audit Candidate 7]])), Audit[[#This Row],[Audit Candidate 7]]-Audit[[#This Row],[Candidate 7]], "")</f>
        <v/>
      </c>
      <c r="AL710" s="17" t="str">
        <f>IF(NOT(ISBLANK(Audit[[#This Row],[Audit Candidate 8]])), Audit[[#This Row],[Audit Candidate 8]]-Audit[[#This Row],[Candidate 8]], "")</f>
        <v/>
      </c>
      <c r="AM710" s="17" t="str">
        <f>IF(NOT(ISBLANK(Audit[[#This Row],[Audit Candidate 9]])), Audit[[#This Row],[Audit Candidate 9]]-Audit[[#This Row],[Candidate 9]], "")</f>
        <v/>
      </c>
      <c r="AN710" s="17" t="str">
        <f>IF(NOT(ISBLANK(Audit[[#This Row],[Audit Candidate 10]])), Audit[[#This Row],[Audit Candidate 10]]-Audit[[#This Row],[Candidate 10]], "")</f>
        <v/>
      </c>
      <c r="AO710" s="17" t="str">
        <f>IF(NOT(ISBLANK(Audit[[#This Row],[Audit Candidate 11]])), Audit[[#This Row],[Audit Candidate 11]]-Audit[[#This Row],[Candidate 11]], "")</f>
        <v/>
      </c>
      <c r="AP710" s="17" t="str">
        <f>IF(NOT(ISBLANK(Audit[[#This Row],[Audit Candidate 12]])), Audit[[#This Row],[Audit Candidate 12]]-Audit[[#This Row],[Candidate 12]], "")</f>
        <v/>
      </c>
      <c r="AQ710" s="17">
        <f>SUMIF(Audit[[#This Row],[Difference Winner]:[Difference Candidate 12]], "&gt;0")</f>
        <v>0</v>
      </c>
      <c r="AR710" s="17">
        <f>SUM(Audit[[#This Row],[Difference Winner]:[Difference Candidate 12]])</f>
        <v>0</v>
      </c>
      <c r="AS710" s="17">
        <f>IF(Audit[[#This Row],[Times p Drawn - With Replacement]]&gt;0, IF(Audit[[#This Row],[Canceled Differences]]&lt;0, Audit[[#This Row],[Max Differences]]+ABS(Audit[[#This Row],[Canceled Differences]]), Audit[[#This Row],[Max Differences]]), 0)</f>
        <v>0</v>
      </c>
      <c r="AT710" s="17">
        <f>'Sampling Data'!AB710</f>
        <v>1.273128501103378E-2</v>
      </c>
      <c r="AU710" s="17">
        <f>IF(
      SUM(Audit[[#This Row],[Audit Losing Candidate]:[Audit Candidate 12]])
      &lt;&gt;0,
      (Audit[[#This Row],[Winning Candidate]]-Audit[[#This Row],[Losing Candidate]]-(Audit[[#This Row],[Audit Winning Candidate]]-Audit[[#This Row],[Audit Losing Candidate]]))/(Audit[[#Totals],[Winning Candidate]]-Audit[[#Totals],[Losing Candidate]]),
      0
)</f>
        <v>0</v>
      </c>
      <c r="AV7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0" s="17">
        <f>IF(Audit[[#This Row],[Max Relative Error (ep)]] = 0, 0, Audit[[#This Row],[Max Relative Error (ep)]]/Audit[[#This Row],[Error Bound (up) - Max. possible relative overstatement]])</f>
        <v>0</v>
      </c>
      <c r="BH7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10" s="17">
        <f t="shared" si="11"/>
        <v>1</v>
      </c>
      <c r="BJ710" s="17">
        <f>PRODUCT($BI$5:BI710)</f>
        <v>0.23913763559004736</v>
      </c>
      <c r="BK710" s="19">
        <f>1 - Audit[[#This Row],[K-M P Value]]</f>
        <v>0.76086236440995259</v>
      </c>
      <c r="BL710" s="17" t="str">
        <f>IF(Audit[[#This Row],[K-M P Value]]&gt;1-'General Info'!$B$12,"Continue", "Stop")</f>
        <v>Continue</v>
      </c>
      <c r="BM710" s="22" t="b">
        <f>IF(Audit[[#This Row],[Status - Continue or stop audit]] = "Continue", TRUE, IF(BL709 = "Continue", TRUE, FALSE))</f>
        <v>1</v>
      </c>
      <c r="BN710" s="22"/>
    </row>
    <row r="711" spans="1:66" ht="15" hidden="1" customHeight="1" x14ac:dyDescent="0.35">
      <c r="A711" s="17" t="str">
        <f>'Sampling Data'!AI711</f>
        <v/>
      </c>
      <c r="B711" s="17" t="str">
        <f>'Sampling Data'!A711</f>
        <v>2313 CIN 23-M   (ED)</v>
      </c>
      <c r="C711" s="17">
        <f>'Sampling Data'!B711</f>
        <v>232</v>
      </c>
      <c r="D711" s="17">
        <f>'Sampling Data'!C711</f>
        <v>64</v>
      </c>
      <c r="E711" s="18">
        <f>'Sampling Data'!D711</f>
        <v>0</v>
      </c>
      <c r="F711" s="18">
        <f>'Sampling Data'!E711</f>
        <v>0</v>
      </c>
      <c r="G711" s="18">
        <f>'Sampling Data'!F711</f>
        <v>0</v>
      </c>
      <c r="H711" s="18">
        <f>'Sampling Data'!G711</f>
        <v>0</v>
      </c>
      <c r="I711" s="18">
        <f>'Sampling Data'!H711</f>
        <v>0</v>
      </c>
      <c r="J711" s="18">
        <f>'Sampling Data'!I711</f>
        <v>0</v>
      </c>
      <c r="K711" s="18">
        <f>'Sampling Data'!J711</f>
        <v>0</v>
      </c>
      <c r="L711" s="18">
        <f>'Sampling Data'!K711</f>
        <v>0</v>
      </c>
      <c r="M711" s="18">
        <f>'Sampling Data'!L711</f>
        <v>0</v>
      </c>
      <c r="N711" s="18">
        <f>'Sampling Data'!M711</f>
        <v>0</v>
      </c>
      <c r="O711" s="17">
        <f>'Sampling Data'!N711</f>
        <v>0</v>
      </c>
      <c r="P711" s="17">
        <f>'Sampling Data'!O711</f>
        <v>25</v>
      </c>
      <c r="Q711" s="17">
        <f>'Sampling Data'!P711</f>
        <v>321</v>
      </c>
      <c r="R711" s="17">
        <f>'Sampling Data'!AJ711</f>
        <v>0</v>
      </c>
      <c r="S711" s="111"/>
      <c r="T711" s="111"/>
      <c r="U711" s="112"/>
      <c r="V711" s="112"/>
      <c r="W711" s="111"/>
      <c r="X711" s="111"/>
      <c r="Y711" s="111"/>
      <c r="Z711" s="111"/>
      <c r="AA711" s="14"/>
      <c r="AB711" s="14"/>
      <c r="AC711" s="14"/>
      <c r="AD711" s="14"/>
      <c r="AE711" s="113" t="str">
        <f>IF(NOT(ISBLANK(Audit[[#This Row],[Audit Winning Candidate]])), Audit[[#This Row],[Audit Winning Candidate]]-Audit[[#This Row],[Winning Candidate]], "")</f>
        <v/>
      </c>
      <c r="AF711" s="17" t="str">
        <f>IF(NOT(ISBLANK(Audit[[#This Row],[Audit Losing Candidate]])), Audit[[#This Row],[Audit Losing Candidate]]-Audit[[#This Row],[Losing Candidate]], "")</f>
        <v/>
      </c>
      <c r="AG711" s="17" t="str">
        <f>IF(NOT(ISBLANK(Audit[[#This Row],[Audit Candidate 3]])), Audit[[#This Row],[Audit Candidate 3]]-Audit[[#This Row],[Candidate 3]], "")</f>
        <v/>
      </c>
      <c r="AH711" s="17" t="str">
        <f>IF(NOT(ISBLANK(Audit[[#This Row],[Audit Candidate 4]])),Audit[[#This Row],[Audit Candidate 4]]-Audit[[#This Row],[Candidate 4]], "")</f>
        <v/>
      </c>
      <c r="AI711" s="17" t="str">
        <f>IF(NOT(ISBLANK(Audit[[#This Row],[Audit Candidate 5]])), Audit[[#This Row],[Audit Candidate 5]]-Audit[[#This Row],[Candidate 5]], "")</f>
        <v/>
      </c>
      <c r="AJ711" s="17" t="str">
        <f>IF(NOT(ISBLANK(Audit[[#This Row],[Audit Candidate 6]])), Audit[[#This Row],[Audit Candidate 6]]-Audit[[#This Row],[Candidate 6]], "")</f>
        <v/>
      </c>
      <c r="AK711" s="17" t="str">
        <f>IF(NOT(ISBLANK(Audit[[#This Row],[Audit Candidate 7]])), Audit[[#This Row],[Audit Candidate 7]]-Audit[[#This Row],[Candidate 7]], "")</f>
        <v/>
      </c>
      <c r="AL711" s="17" t="str">
        <f>IF(NOT(ISBLANK(Audit[[#This Row],[Audit Candidate 8]])), Audit[[#This Row],[Audit Candidate 8]]-Audit[[#This Row],[Candidate 8]], "")</f>
        <v/>
      </c>
      <c r="AM711" s="17" t="str">
        <f>IF(NOT(ISBLANK(Audit[[#This Row],[Audit Candidate 9]])), Audit[[#This Row],[Audit Candidate 9]]-Audit[[#This Row],[Candidate 9]], "")</f>
        <v/>
      </c>
      <c r="AN711" s="17" t="str">
        <f>IF(NOT(ISBLANK(Audit[[#This Row],[Audit Candidate 10]])), Audit[[#This Row],[Audit Candidate 10]]-Audit[[#This Row],[Candidate 10]], "")</f>
        <v/>
      </c>
      <c r="AO711" s="17" t="str">
        <f>IF(NOT(ISBLANK(Audit[[#This Row],[Audit Candidate 11]])), Audit[[#This Row],[Audit Candidate 11]]-Audit[[#This Row],[Candidate 11]], "")</f>
        <v/>
      </c>
      <c r="AP711" s="17" t="str">
        <f>IF(NOT(ISBLANK(Audit[[#This Row],[Audit Candidate 12]])), Audit[[#This Row],[Audit Candidate 12]]-Audit[[#This Row],[Candidate 12]], "")</f>
        <v/>
      </c>
      <c r="AQ711" s="17">
        <f>SUMIF(Audit[[#This Row],[Difference Winner]:[Difference Candidate 12]], "&gt;0")</f>
        <v>0</v>
      </c>
      <c r="AR711" s="17">
        <f>SUM(Audit[[#This Row],[Difference Winner]:[Difference Candidate 12]])</f>
        <v>0</v>
      </c>
      <c r="AS711" s="17">
        <f>IF(Audit[[#This Row],[Times p Drawn - With Replacement]]&gt;0, IF(Audit[[#This Row],[Canceled Differences]]&lt;0, Audit[[#This Row],[Max Differences]]+ABS(Audit[[#This Row],[Canceled Differences]]), Audit[[#This Row],[Max Differences]]), 0)</f>
        <v>0</v>
      </c>
      <c r="AT711" s="17">
        <f>'Sampling Data'!AB711</f>
        <v>2.0751994567985061E-2</v>
      </c>
      <c r="AU711" s="17">
        <f>IF(
      SUM(Audit[[#This Row],[Audit Losing Candidate]:[Audit Candidate 12]])
      &lt;&gt;0,
      (Audit[[#This Row],[Winning Candidate]]-Audit[[#This Row],[Losing Candidate]]-(Audit[[#This Row],[Audit Winning Candidate]]-Audit[[#This Row],[Audit Losing Candidate]]))/(Audit[[#Totals],[Winning Candidate]]-Audit[[#Totals],[Losing Candidate]]),
      0
)</f>
        <v>0</v>
      </c>
      <c r="AV7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1" s="17">
        <f>IF(Audit[[#This Row],[Max Relative Error (ep)]] = 0, 0, Audit[[#This Row],[Max Relative Error (ep)]]/Audit[[#This Row],[Error Bound (up) - Max. possible relative overstatement]])</f>
        <v>0</v>
      </c>
      <c r="BH7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11" s="17">
        <f t="shared" si="11"/>
        <v>1</v>
      </c>
      <c r="BJ711" s="17">
        <f>PRODUCT($BI$5:BI711)</f>
        <v>0.23913763559004736</v>
      </c>
      <c r="BK711" s="19">
        <f>1 - Audit[[#This Row],[K-M P Value]]</f>
        <v>0.76086236440995259</v>
      </c>
      <c r="BL711" s="17" t="str">
        <f>IF(Audit[[#This Row],[K-M P Value]]&gt;1-'General Info'!$B$12,"Continue", "Stop")</f>
        <v>Continue</v>
      </c>
      <c r="BM711" s="22" t="b">
        <f>IF(Audit[[#This Row],[Status - Continue or stop audit]] = "Continue", TRUE, IF(BL710 = "Continue", TRUE, FALSE))</f>
        <v>1</v>
      </c>
      <c r="BN711" s="22"/>
    </row>
    <row r="712" spans="1:66" ht="15" hidden="1" customHeight="1" x14ac:dyDescent="0.35">
      <c r="A712" s="17" t="str">
        <f>'Sampling Data'!AI712</f>
        <v/>
      </c>
      <c r="B712" s="17" t="str">
        <f>'Sampling Data'!A712</f>
        <v>2314 CIN 23-N   (ED)</v>
      </c>
      <c r="C712" s="17">
        <f>'Sampling Data'!B712</f>
        <v>320</v>
      </c>
      <c r="D712" s="17">
        <f>'Sampling Data'!C712</f>
        <v>101</v>
      </c>
      <c r="E712" s="18">
        <f>'Sampling Data'!D712</f>
        <v>0</v>
      </c>
      <c r="F712" s="18">
        <f>'Sampling Data'!E712</f>
        <v>0</v>
      </c>
      <c r="G712" s="18">
        <f>'Sampling Data'!F712</f>
        <v>0</v>
      </c>
      <c r="H712" s="18">
        <f>'Sampling Data'!G712</f>
        <v>0</v>
      </c>
      <c r="I712" s="18">
        <f>'Sampling Data'!H712</f>
        <v>0</v>
      </c>
      <c r="J712" s="18">
        <f>'Sampling Data'!I712</f>
        <v>0</v>
      </c>
      <c r="K712" s="18">
        <f>'Sampling Data'!J712</f>
        <v>0</v>
      </c>
      <c r="L712" s="18">
        <f>'Sampling Data'!K712</f>
        <v>0</v>
      </c>
      <c r="M712" s="18">
        <f>'Sampling Data'!L712</f>
        <v>0</v>
      </c>
      <c r="N712" s="18">
        <f>'Sampling Data'!M712</f>
        <v>0</v>
      </c>
      <c r="O712" s="17">
        <f>'Sampling Data'!N712</f>
        <v>0</v>
      </c>
      <c r="P712" s="17">
        <f>'Sampling Data'!O712</f>
        <v>34</v>
      </c>
      <c r="Q712" s="17">
        <f>'Sampling Data'!P712</f>
        <v>455</v>
      </c>
      <c r="R712" s="17">
        <f>'Sampling Data'!AJ712</f>
        <v>0</v>
      </c>
      <c r="S712" s="111"/>
      <c r="T712" s="111"/>
      <c r="U712" s="112"/>
      <c r="V712" s="112"/>
      <c r="W712" s="111"/>
      <c r="X712" s="111"/>
      <c r="Y712" s="111"/>
      <c r="Z712" s="111"/>
      <c r="AA712" s="14"/>
      <c r="AB712" s="14"/>
      <c r="AC712" s="14"/>
      <c r="AD712" s="14"/>
      <c r="AE712" s="113" t="str">
        <f>IF(NOT(ISBLANK(Audit[[#This Row],[Audit Winning Candidate]])), Audit[[#This Row],[Audit Winning Candidate]]-Audit[[#This Row],[Winning Candidate]], "")</f>
        <v/>
      </c>
      <c r="AF712" s="17" t="str">
        <f>IF(NOT(ISBLANK(Audit[[#This Row],[Audit Losing Candidate]])), Audit[[#This Row],[Audit Losing Candidate]]-Audit[[#This Row],[Losing Candidate]], "")</f>
        <v/>
      </c>
      <c r="AG712" s="17" t="str">
        <f>IF(NOT(ISBLANK(Audit[[#This Row],[Audit Candidate 3]])), Audit[[#This Row],[Audit Candidate 3]]-Audit[[#This Row],[Candidate 3]], "")</f>
        <v/>
      </c>
      <c r="AH712" s="17" t="str">
        <f>IF(NOT(ISBLANK(Audit[[#This Row],[Audit Candidate 4]])),Audit[[#This Row],[Audit Candidate 4]]-Audit[[#This Row],[Candidate 4]], "")</f>
        <v/>
      </c>
      <c r="AI712" s="17" t="str">
        <f>IF(NOT(ISBLANK(Audit[[#This Row],[Audit Candidate 5]])), Audit[[#This Row],[Audit Candidate 5]]-Audit[[#This Row],[Candidate 5]], "")</f>
        <v/>
      </c>
      <c r="AJ712" s="17" t="str">
        <f>IF(NOT(ISBLANK(Audit[[#This Row],[Audit Candidate 6]])), Audit[[#This Row],[Audit Candidate 6]]-Audit[[#This Row],[Candidate 6]], "")</f>
        <v/>
      </c>
      <c r="AK712" s="17" t="str">
        <f>IF(NOT(ISBLANK(Audit[[#This Row],[Audit Candidate 7]])), Audit[[#This Row],[Audit Candidate 7]]-Audit[[#This Row],[Candidate 7]], "")</f>
        <v/>
      </c>
      <c r="AL712" s="17" t="str">
        <f>IF(NOT(ISBLANK(Audit[[#This Row],[Audit Candidate 8]])), Audit[[#This Row],[Audit Candidate 8]]-Audit[[#This Row],[Candidate 8]], "")</f>
        <v/>
      </c>
      <c r="AM712" s="17" t="str">
        <f>IF(NOT(ISBLANK(Audit[[#This Row],[Audit Candidate 9]])), Audit[[#This Row],[Audit Candidate 9]]-Audit[[#This Row],[Candidate 9]], "")</f>
        <v/>
      </c>
      <c r="AN712" s="17" t="str">
        <f>IF(NOT(ISBLANK(Audit[[#This Row],[Audit Candidate 10]])), Audit[[#This Row],[Audit Candidate 10]]-Audit[[#This Row],[Candidate 10]], "")</f>
        <v/>
      </c>
      <c r="AO712" s="17" t="str">
        <f>IF(NOT(ISBLANK(Audit[[#This Row],[Audit Candidate 11]])), Audit[[#This Row],[Audit Candidate 11]]-Audit[[#This Row],[Candidate 11]], "")</f>
        <v/>
      </c>
      <c r="AP712" s="17" t="str">
        <f>IF(NOT(ISBLANK(Audit[[#This Row],[Audit Candidate 12]])), Audit[[#This Row],[Audit Candidate 12]]-Audit[[#This Row],[Candidate 12]], "")</f>
        <v/>
      </c>
      <c r="AQ712" s="17">
        <f>SUMIF(Audit[[#This Row],[Difference Winner]:[Difference Candidate 12]], "&gt;0")</f>
        <v>0</v>
      </c>
      <c r="AR712" s="17">
        <f>SUM(Audit[[#This Row],[Difference Winner]:[Difference Candidate 12]])</f>
        <v>0</v>
      </c>
      <c r="AS712" s="17">
        <f>IF(Audit[[#This Row],[Times p Drawn - With Replacement]]&gt;0, IF(Audit[[#This Row],[Canceled Differences]]&lt;0, Audit[[#This Row],[Max Differences]]+ABS(Audit[[#This Row],[Canceled Differences]]), Audit[[#This Row],[Max Differences]]), 0)</f>
        <v>0</v>
      </c>
      <c r="AT712" s="17">
        <f>'Sampling Data'!AB712</f>
        <v>2.860295365812256E-2</v>
      </c>
      <c r="AU712" s="17">
        <f>IF(
      SUM(Audit[[#This Row],[Audit Losing Candidate]:[Audit Candidate 12]])
      &lt;&gt;0,
      (Audit[[#This Row],[Winning Candidate]]-Audit[[#This Row],[Losing Candidate]]-(Audit[[#This Row],[Audit Winning Candidate]]-Audit[[#This Row],[Audit Losing Candidate]]))/(Audit[[#Totals],[Winning Candidate]]-Audit[[#Totals],[Losing Candidate]]),
      0
)</f>
        <v>0</v>
      </c>
      <c r="AV7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2" s="17">
        <f>IF(Audit[[#This Row],[Max Relative Error (ep)]] = 0, 0, Audit[[#This Row],[Max Relative Error (ep)]]/Audit[[#This Row],[Error Bound (up) - Max. possible relative overstatement]])</f>
        <v>0</v>
      </c>
      <c r="BH7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12" s="17">
        <f t="shared" si="11"/>
        <v>1</v>
      </c>
      <c r="BJ712" s="17">
        <f>PRODUCT($BI$5:BI712)</f>
        <v>0.23913763559004736</v>
      </c>
      <c r="BK712" s="19">
        <f>1 - Audit[[#This Row],[K-M P Value]]</f>
        <v>0.76086236440995259</v>
      </c>
      <c r="BL712" s="17" t="str">
        <f>IF(Audit[[#This Row],[K-M P Value]]&gt;1-'General Info'!$B$12,"Continue", "Stop")</f>
        <v>Continue</v>
      </c>
      <c r="BM712" s="22" t="b">
        <f>IF(Audit[[#This Row],[Status - Continue or stop audit]] = "Continue", TRUE, IF(BL711 = "Continue", TRUE, FALSE))</f>
        <v>1</v>
      </c>
      <c r="BN712" s="22"/>
    </row>
    <row r="713" spans="1:66" ht="15" hidden="1" customHeight="1" x14ac:dyDescent="0.35">
      <c r="A713" s="17" t="str">
        <f>'Sampling Data'!AI713</f>
        <v/>
      </c>
      <c r="B713" s="17" t="str">
        <f>'Sampling Data'!A713</f>
        <v>2315 CIN 23-O   (ED)</v>
      </c>
      <c r="C713" s="17">
        <f>'Sampling Data'!B713</f>
        <v>316</v>
      </c>
      <c r="D713" s="17">
        <f>'Sampling Data'!C713</f>
        <v>69</v>
      </c>
      <c r="E713" s="18">
        <f>'Sampling Data'!D713</f>
        <v>0</v>
      </c>
      <c r="F713" s="18">
        <f>'Sampling Data'!E713</f>
        <v>0</v>
      </c>
      <c r="G713" s="18">
        <f>'Sampling Data'!F713</f>
        <v>0</v>
      </c>
      <c r="H713" s="18">
        <f>'Sampling Data'!G713</f>
        <v>0</v>
      </c>
      <c r="I713" s="18">
        <f>'Sampling Data'!H713</f>
        <v>0</v>
      </c>
      <c r="J713" s="18">
        <f>'Sampling Data'!I713</f>
        <v>0</v>
      </c>
      <c r="K713" s="18">
        <f>'Sampling Data'!J713</f>
        <v>0</v>
      </c>
      <c r="L713" s="18">
        <f>'Sampling Data'!K713</f>
        <v>0</v>
      </c>
      <c r="M713" s="18">
        <f>'Sampling Data'!L713</f>
        <v>0</v>
      </c>
      <c r="N713" s="18">
        <f>'Sampling Data'!M713</f>
        <v>0</v>
      </c>
      <c r="O713" s="17">
        <f>'Sampling Data'!N713</f>
        <v>0</v>
      </c>
      <c r="P713" s="17">
        <f>'Sampling Data'!O713</f>
        <v>13</v>
      </c>
      <c r="Q713" s="17">
        <f>'Sampling Data'!P713</f>
        <v>398</v>
      </c>
      <c r="R713" s="17">
        <f>'Sampling Data'!AJ713</f>
        <v>0</v>
      </c>
      <c r="S713" s="111"/>
      <c r="T713" s="111"/>
      <c r="U713" s="112"/>
      <c r="V713" s="112"/>
      <c r="W713" s="111"/>
      <c r="X713" s="111"/>
      <c r="Y713" s="111"/>
      <c r="Z713" s="111"/>
      <c r="AA713" s="14"/>
      <c r="AB713" s="14"/>
      <c r="AC713" s="14"/>
      <c r="AD713" s="14"/>
      <c r="AE713" s="113" t="str">
        <f>IF(NOT(ISBLANK(Audit[[#This Row],[Audit Winning Candidate]])), Audit[[#This Row],[Audit Winning Candidate]]-Audit[[#This Row],[Winning Candidate]], "")</f>
        <v/>
      </c>
      <c r="AF713" s="17" t="str">
        <f>IF(NOT(ISBLANK(Audit[[#This Row],[Audit Losing Candidate]])), Audit[[#This Row],[Audit Losing Candidate]]-Audit[[#This Row],[Losing Candidate]], "")</f>
        <v/>
      </c>
      <c r="AG713" s="17" t="str">
        <f>IF(NOT(ISBLANK(Audit[[#This Row],[Audit Candidate 3]])), Audit[[#This Row],[Audit Candidate 3]]-Audit[[#This Row],[Candidate 3]], "")</f>
        <v/>
      </c>
      <c r="AH713" s="17" t="str">
        <f>IF(NOT(ISBLANK(Audit[[#This Row],[Audit Candidate 4]])),Audit[[#This Row],[Audit Candidate 4]]-Audit[[#This Row],[Candidate 4]], "")</f>
        <v/>
      </c>
      <c r="AI713" s="17" t="str">
        <f>IF(NOT(ISBLANK(Audit[[#This Row],[Audit Candidate 5]])), Audit[[#This Row],[Audit Candidate 5]]-Audit[[#This Row],[Candidate 5]], "")</f>
        <v/>
      </c>
      <c r="AJ713" s="17" t="str">
        <f>IF(NOT(ISBLANK(Audit[[#This Row],[Audit Candidate 6]])), Audit[[#This Row],[Audit Candidate 6]]-Audit[[#This Row],[Candidate 6]], "")</f>
        <v/>
      </c>
      <c r="AK713" s="17" t="str">
        <f>IF(NOT(ISBLANK(Audit[[#This Row],[Audit Candidate 7]])), Audit[[#This Row],[Audit Candidate 7]]-Audit[[#This Row],[Candidate 7]], "")</f>
        <v/>
      </c>
      <c r="AL713" s="17" t="str">
        <f>IF(NOT(ISBLANK(Audit[[#This Row],[Audit Candidate 8]])), Audit[[#This Row],[Audit Candidate 8]]-Audit[[#This Row],[Candidate 8]], "")</f>
        <v/>
      </c>
      <c r="AM713" s="17" t="str">
        <f>IF(NOT(ISBLANK(Audit[[#This Row],[Audit Candidate 9]])), Audit[[#This Row],[Audit Candidate 9]]-Audit[[#This Row],[Candidate 9]], "")</f>
        <v/>
      </c>
      <c r="AN713" s="17" t="str">
        <f>IF(NOT(ISBLANK(Audit[[#This Row],[Audit Candidate 10]])), Audit[[#This Row],[Audit Candidate 10]]-Audit[[#This Row],[Candidate 10]], "")</f>
        <v/>
      </c>
      <c r="AO713" s="17" t="str">
        <f>IF(NOT(ISBLANK(Audit[[#This Row],[Audit Candidate 11]])), Audit[[#This Row],[Audit Candidate 11]]-Audit[[#This Row],[Candidate 11]], "")</f>
        <v/>
      </c>
      <c r="AP713" s="17" t="str">
        <f>IF(NOT(ISBLANK(Audit[[#This Row],[Audit Candidate 12]])), Audit[[#This Row],[Audit Candidate 12]]-Audit[[#This Row],[Candidate 12]], "")</f>
        <v/>
      </c>
      <c r="AQ713" s="17">
        <f>SUMIF(Audit[[#This Row],[Difference Winner]:[Difference Candidate 12]], "&gt;0")</f>
        <v>0</v>
      </c>
      <c r="AR713" s="17">
        <f>SUM(Audit[[#This Row],[Difference Winner]:[Difference Candidate 12]])</f>
        <v>0</v>
      </c>
      <c r="AS713" s="17">
        <f>IF(Audit[[#This Row],[Times p Drawn - With Replacement]]&gt;0, IF(Audit[[#This Row],[Canceled Differences]]&lt;0, Audit[[#This Row],[Max Differences]]+ABS(Audit[[#This Row],[Canceled Differences]]), Audit[[#This Row],[Max Differences]]), 0)</f>
        <v>0</v>
      </c>
      <c r="AT713" s="17">
        <f>'Sampling Data'!AB713</f>
        <v>2.7372262773722629E-2</v>
      </c>
      <c r="AU713" s="17">
        <f>IF(
      SUM(Audit[[#This Row],[Audit Losing Candidate]:[Audit Candidate 12]])
      &lt;&gt;0,
      (Audit[[#This Row],[Winning Candidate]]-Audit[[#This Row],[Losing Candidate]]-(Audit[[#This Row],[Audit Winning Candidate]]-Audit[[#This Row],[Audit Losing Candidate]]))/(Audit[[#Totals],[Winning Candidate]]-Audit[[#Totals],[Losing Candidate]]),
      0
)</f>
        <v>0</v>
      </c>
      <c r="AV7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3" s="17">
        <f>IF(Audit[[#This Row],[Max Relative Error (ep)]] = 0, 0, Audit[[#This Row],[Max Relative Error (ep)]]/Audit[[#This Row],[Error Bound (up) - Max. possible relative overstatement]])</f>
        <v>0</v>
      </c>
      <c r="BH7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13" s="17">
        <f t="shared" si="11"/>
        <v>1</v>
      </c>
      <c r="BJ713" s="17">
        <f>PRODUCT($BI$5:BI713)</f>
        <v>0.23913763559004736</v>
      </c>
      <c r="BK713" s="19">
        <f>1 - Audit[[#This Row],[K-M P Value]]</f>
        <v>0.76086236440995259</v>
      </c>
      <c r="BL713" s="17" t="str">
        <f>IF(Audit[[#This Row],[K-M P Value]]&gt;1-'General Info'!$B$12,"Continue", "Stop")</f>
        <v>Continue</v>
      </c>
      <c r="BM713" s="22" t="b">
        <f>IF(Audit[[#This Row],[Status - Continue or stop audit]] = "Continue", TRUE, IF(BL712 = "Continue", TRUE, FALSE))</f>
        <v>1</v>
      </c>
      <c r="BN713" s="22"/>
    </row>
    <row r="714" spans="1:66" ht="15" hidden="1" customHeight="1" x14ac:dyDescent="0.35">
      <c r="A714" s="17" t="str">
        <f>'Sampling Data'!AI714</f>
        <v/>
      </c>
      <c r="B714" s="17" t="str">
        <f>'Sampling Data'!A714</f>
        <v>2316 CIN 23-P   (ED)</v>
      </c>
      <c r="C714" s="17">
        <f>'Sampling Data'!B714</f>
        <v>348</v>
      </c>
      <c r="D714" s="17">
        <f>'Sampling Data'!C714</f>
        <v>90</v>
      </c>
      <c r="E714" s="18">
        <f>'Sampling Data'!D714</f>
        <v>0</v>
      </c>
      <c r="F714" s="18">
        <f>'Sampling Data'!E714</f>
        <v>0</v>
      </c>
      <c r="G714" s="18">
        <f>'Sampling Data'!F714</f>
        <v>0</v>
      </c>
      <c r="H714" s="18">
        <f>'Sampling Data'!G714</f>
        <v>0</v>
      </c>
      <c r="I714" s="18">
        <f>'Sampling Data'!H714</f>
        <v>0</v>
      </c>
      <c r="J714" s="18">
        <f>'Sampling Data'!I714</f>
        <v>0</v>
      </c>
      <c r="K714" s="18">
        <f>'Sampling Data'!J714</f>
        <v>0</v>
      </c>
      <c r="L714" s="18">
        <f>'Sampling Data'!K714</f>
        <v>0</v>
      </c>
      <c r="M714" s="18">
        <f>'Sampling Data'!L714</f>
        <v>0</v>
      </c>
      <c r="N714" s="18">
        <f>'Sampling Data'!M714</f>
        <v>0</v>
      </c>
      <c r="O714" s="17">
        <f>'Sampling Data'!N714</f>
        <v>0</v>
      </c>
      <c r="P714" s="17">
        <f>'Sampling Data'!O714</f>
        <v>37</v>
      </c>
      <c r="Q714" s="17">
        <f>'Sampling Data'!P714</f>
        <v>475</v>
      </c>
      <c r="R714" s="17">
        <f>'Sampling Data'!AJ714</f>
        <v>0</v>
      </c>
      <c r="S714" s="111"/>
      <c r="T714" s="111"/>
      <c r="U714" s="112"/>
      <c r="V714" s="112"/>
      <c r="W714" s="111"/>
      <c r="X714" s="111"/>
      <c r="Y714" s="111"/>
      <c r="Z714" s="111"/>
      <c r="AA714" s="14"/>
      <c r="AB714" s="14"/>
      <c r="AC714" s="14"/>
      <c r="AD714" s="14"/>
      <c r="AE714" s="113" t="str">
        <f>IF(NOT(ISBLANK(Audit[[#This Row],[Audit Winning Candidate]])), Audit[[#This Row],[Audit Winning Candidate]]-Audit[[#This Row],[Winning Candidate]], "")</f>
        <v/>
      </c>
      <c r="AF714" s="17" t="str">
        <f>IF(NOT(ISBLANK(Audit[[#This Row],[Audit Losing Candidate]])), Audit[[#This Row],[Audit Losing Candidate]]-Audit[[#This Row],[Losing Candidate]], "")</f>
        <v/>
      </c>
      <c r="AG714" s="17" t="str">
        <f>IF(NOT(ISBLANK(Audit[[#This Row],[Audit Candidate 3]])), Audit[[#This Row],[Audit Candidate 3]]-Audit[[#This Row],[Candidate 3]], "")</f>
        <v/>
      </c>
      <c r="AH714" s="17" t="str">
        <f>IF(NOT(ISBLANK(Audit[[#This Row],[Audit Candidate 4]])),Audit[[#This Row],[Audit Candidate 4]]-Audit[[#This Row],[Candidate 4]], "")</f>
        <v/>
      </c>
      <c r="AI714" s="17" t="str">
        <f>IF(NOT(ISBLANK(Audit[[#This Row],[Audit Candidate 5]])), Audit[[#This Row],[Audit Candidate 5]]-Audit[[#This Row],[Candidate 5]], "")</f>
        <v/>
      </c>
      <c r="AJ714" s="17" t="str">
        <f>IF(NOT(ISBLANK(Audit[[#This Row],[Audit Candidate 6]])), Audit[[#This Row],[Audit Candidate 6]]-Audit[[#This Row],[Candidate 6]], "")</f>
        <v/>
      </c>
      <c r="AK714" s="17" t="str">
        <f>IF(NOT(ISBLANK(Audit[[#This Row],[Audit Candidate 7]])), Audit[[#This Row],[Audit Candidate 7]]-Audit[[#This Row],[Candidate 7]], "")</f>
        <v/>
      </c>
      <c r="AL714" s="17" t="str">
        <f>IF(NOT(ISBLANK(Audit[[#This Row],[Audit Candidate 8]])), Audit[[#This Row],[Audit Candidate 8]]-Audit[[#This Row],[Candidate 8]], "")</f>
        <v/>
      </c>
      <c r="AM714" s="17" t="str">
        <f>IF(NOT(ISBLANK(Audit[[#This Row],[Audit Candidate 9]])), Audit[[#This Row],[Audit Candidate 9]]-Audit[[#This Row],[Candidate 9]], "")</f>
        <v/>
      </c>
      <c r="AN714" s="17" t="str">
        <f>IF(NOT(ISBLANK(Audit[[#This Row],[Audit Candidate 10]])), Audit[[#This Row],[Audit Candidate 10]]-Audit[[#This Row],[Candidate 10]], "")</f>
        <v/>
      </c>
      <c r="AO714" s="17" t="str">
        <f>IF(NOT(ISBLANK(Audit[[#This Row],[Audit Candidate 11]])), Audit[[#This Row],[Audit Candidate 11]]-Audit[[#This Row],[Candidate 11]], "")</f>
        <v/>
      </c>
      <c r="AP714" s="17" t="str">
        <f>IF(NOT(ISBLANK(Audit[[#This Row],[Audit Candidate 12]])), Audit[[#This Row],[Audit Candidate 12]]-Audit[[#This Row],[Candidate 12]], "")</f>
        <v/>
      </c>
      <c r="AQ714" s="17">
        <f>SUMIF(Audit[[#This Row],[Difference Winner]:[Difference Candidate 12]], "&gt;0")</f>
        <v>0</v>
      </c>
      <c r="AR714" s="17">
        <f>SUM(Audit[[#This Row],[Difference Winner]:[Difference Candidate 12]])</f>
        <v>0</v>
      </c>
      <c r="AS714" s="17">
        <f>IF(Audit[[#This Row],[Times p Drawn - With Replacement]]&gt;0, IF(Audit[[#This Row],[Canceled Differences]]&lt;0, Audit[[#This Row],[Max Differences]]+ABS(Audit[[#This Row],[Canceled Differences]]), Audit[[#This Row],[Max Differences]]), 0)</f>
        <v>0</v>
      </c>
      <c r="AT714" s="17">
        <f>'Sampling Data'!AB714</f>
        <v>3.1106773043625871E-2</v>
      </c>
      <c r="AU714" s="17">
        <f>IF(
      SUM(Audit[[#This Row],[Audit Losing Candidate]:[Audit Candidate 12]])
      &lt;&gt;0,
      (Audit[[#This Row],[Winning Candidate]]-Audit[[#This Row],[Losing Candidate]]-(Audit[[#This Row],[Audit Winning Candidate]]-Audit[[#This Row],[Audit Losing Candidate]]))/(Audit[[#Totals],[Winning Candidate]]-Audit[[#Totals],[Losing Candidate]]),
      0
)</f>
        <v>0</v>
      </c>
      <c r="AV7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4" s="17">
        <f>IF(Audit[[#This Row],[Max Relative Error (ep)]] = 0, 0, Audit[[#This Row],[Max Relative Error (ep)]]/Audit[[#This Row],[Error Bound (up) - Max. possible relative overstatement]])</f>
        <v>0</v>
      </c>
      <c r="BH7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14" s="17">
        <f t="shared" si="11"/>
        <v>1</v>
      </c>
      <c r="BJ714" s="17">
        <f>PRODUCT($BI$5:BI714)</f>
        <v>0.23913763559004736</v>
      </c>
      <c r="BK714" s="19">
        <f>1 - Audit[[#This Row],[K-M P Value]]</f>
        <v>0.76086236440995259</v>
      </c>
      <c r="BL714" s="17" t="str">
        <f>IF(Audit[[#This Row],[K-M P Value]]&gt;1-'General Info'!$B$12,"Continue", "Stop")</f>
        <v>Continue</v>
      </c>
      <c r="BM714" s="22" t="b">
        <f>IF(Audit[[#This Row],[Status - Continue or stop audit]] = "Continue", TRUE, IF(BL713 = "Continue", TRUE, FALSE))</f>
        <v>1</v>
      </c>
      <c r="BN714" s="22"/>
    </row>
    <row r="715" spans="1:66" ht="15" hidden="1" customHeight="1" x14ac:dyDescent="0.35">
      <c r="A715" s="17" t="str">
        <f>'Sampling Data'!AI715</f>
        <v/>
      </c>
      <c r="B715" s="17" t="str">
        <f>'Sampling Data'!A715</f>
        <v>2317 CIN 23-Q   (ED)</v>
      </c>
      <c r="C715" s="17">
        <f>'Sampling Data'!B715</f>
        <v>123</v>
      </c>
      <c r="D715" s="17">
        <f>'Sampling Data'!C715</f>
        <v>42</v>
      </c>
      <c r="E715" s="18">
        <f>'Sampling Data'!D715</f>
        <v>0</v>
      </c>
      <c r="F715" s="18">
        <f>'Sampling Data'!E715</f>
        <v>0</v>
      </c>
      <c r="G715" s="18">
        <f>'Sampling Data'!F715</f>
        <v>0</v>
      </c>
      <c r="H715" s="18">
        <f>'Sampling Data'!G715</f>
        <v>0</v>
      </c>
      <c r="I715" s="18">
        <f>'Sampling Data'!H715</f>
        <v>0</v>
      </c>
      <c r="J715" s="18">
        <f>'Sampling Data'!I715</f>
        <v>0</v>
      </c>
      <c r="K715" s="18">
        <f>'Sampling Data'!J715</f>
        <v>0</v>
      </c>
      <c r="L715" s="18">
        <f>'Sampling Data'!K715</f>
        <v>0</v>
      </c>
      <c r="M715" s="18">
        <f>'Sampling Data'!L715</f>
        <v>0</v>
      </c>
      <c r="N715" s="18">
        <f>'Sampling Data'!M715</f>
        <v>0</v>
      </c>
      <c r="O715" s="17">
        <f>'Sampling Data'!N715</f>
        <v>0</v>
      </c>
      <c r="P715" s="17">
        <f>'Sampling Data'!O715</f>
        <v>12</v>
      </c>
      <c r="Q715" s="17">
        <f>'Sampling Data'!P715</f>
        <v>177</v>
      </c>
      <c r="R715" s="17">
        <f>'Sampling Data'!AJ715</f>
        <v>0</v>
      </c>
      <c r="S715" s="111"/>
      <c r="T715" s="111"/>
      <c r="U715" s="112"/>
      <c r="V715" s="112"/>
      <c r="W715" s="111"/>
      <c r="X715" s="111"/>
      <c r="Y715" s="111"/>
      <c r="Z715" s="111"/>
      <c r="AA715" s="14"/>
      <c r="AB715" s="14"/>
      <c r="AC715" s="14"/>
      <c r="AD715" s="14"/>
      <c r="AE715" s="113" t="str">
        <f>IF(NOT(ISBLANK(Audit[[#This Row],[Audit Winning Candidate]])), Audit[[#This Row],[Audit Winning Candidate]]-Audit[[#This Row],[Winning Candidate]], "")</f>
        <v/>
      </c>
      <c r="AF715" s="17" t="str">
        <f>IF(NOT(ISBLANK(Audit[[#This Row],[Audit Losing Candidate]])), Audit[[#This Row],[Audit Losing Candidate]]-Audit[[#This Row],[Losing Candidate]], "")</f>
        <v/>
      </c>
      <c r="AG715" s="17" t="str">
        <f>IF(NOT(ISBLANK(Audit[[#This Row],[Audit Candidate 3]])), Audit[[#This Row],[Audit Candidate 3]]-Audit[[#This Row],[Candidate 3]], "")</f>
        <v/>
      </c>
      <c r="AH715" s="17" t="str">
        <f>IF(NOT(ISBLANK(Audit[[#This Row],[Audit Candidate 4]])),Audit[[#This Row],[Audit Candidate 4]]-Audit[[#This Row],[Candidate 4]], "")</f>
        <v/>
      </c>
      <c r="AI715" s="17" t="str">
        <f>IF(NOT(ISBLANK(Audit[[#This Row],[Audit Candidate 5]])), Audit[[#This Row],[Audit Candidate 5]]-Audit[[#This Row],[Candidate 5]], "")</f>
        <v/>
      </c>
      <c r="AJ715" s="17" t="str">
        <f>IF(NOT(ISBLANK(Audit[[#This Row],[Audit Candidate 6]])), Audit[[#This Row],[Audit Candidate 6]]-Audit[[#This Row],[Candidate 6]], "")</f>
        <v/>
      </c>
      <c r="AK715" s="17" t="str">
        <f>IF(NOT(ISBLANK(Audit[[#This Row],[Audit Candidate 7]])), Audit[[#This Row],[Audit Candidate 7]]-Audit[[#This Row],[Candidate 7]], "")</f>
        <v/>
      </c>
      <c r="AL715" s="17" t="str">
        <f>IF(NOT(ISBLANK(Audit[[#This Row],[Audit Candidate 8]])), Audit[[#This Row],[Audit Candidate 8]]-Audit[[#This Row],[Candidate 8]], "")</f>
        <v/>
      </c>
      <c r="AM715" s="17" t="str">
        <f>IF(NOT(ISBLANK(Audit[[#This Row],[Audit Candidate 9]])), Audit[[#This Row],[Audit Candidate 9]]-Audit[[#This Row],[Candidate 9]], "")</f>
        <v/>
      </c>
      <c r="AN715" s="17" t="str">
        <f>IF(NOT(ISBLANK(Audit[[#This Row],[Audit Candidate 10]])), Audit[[#This Row],[Audit Candidate 10]]-Audit[[#This Row],[Candidate 10]], "")</f>
        <v/>
      </c>
      <c r="AO715" s="17" t="str">
        <f>IF(NOT(ISBLANK(Audit[[#This Row],[Audit Candidate 11]])), Audit[[#This Row],[Audit Candidate 11]]-Audit[[#This Row],[Candidate 11]], "")</f>
        <v/>
      </c>
      <c r="AP715" s="17" t="str">
        <f>IF(NOT(ISBLANK(Audit[[#This Row],[Audit Candidate 12]])), Audit[[#This Row],[Audit Candidate 12]]-Audit[[#This Row],[Candidate 12]], "")</f>
        <v/>
      </c>
      <c r="AQ715" s="17">
        <f>SUMIF(Audit[[#This Row],[Difference Winner]:[Difference Candidate 12]], "&gt;0")</f>
        <v>0</v>
      </c>
      <c r="AR715" s="17">
        <f>SUM(Audit[[#This Row],[Difference Winner]:[Difference Candidate 12]])</f>
        <v>0</v>
      </c>
      <c r="AS715" s="17">
        <f>IF(Audit[[#This Row],[Times p Drawn - With Replacement]]&gt;0, IF(Audit[[#This Row],[Canceled Differences]]&lt;0, Audit[[#This Row],[Max Differences]]+ABS(Audit[[#This Row],[Canceled Differences]]), Audit[[#This Row],[Max Differences]]), 0)</f>
        <v>0</v>
      </c>
      <c r="AT715" s="17">
        <f>'Sampling Data'!AB715</f>
        <v>1.0948905109489052E-2</v>
      </c>
      <c r="AU715" s="17">
        <f>IF(
      SUM(Audit[[#This Row],[Audit Losing Candidate]:[Audit Candidate 12]])
      &lt;&gt;0,
      (Audit[[#This Row],[Winning Candidate]]-Audit[[#This Row],[Losing Candidate]]-(Audit[[#This Row],[Audit Winning Candidate]]-Audit[[#This Row],[Audit Losing Candidate]]))/(Audit[[#Totals],[Winning Candidate]]-Audit[[#Totals],[Losing Candidate]]),
      0
)</f>
        <v>0</v>
      </c>
      <c r="AV7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5" s="17">
        <f>IF(Audit[[#This Row],[Max Relative Error (ep)]] = 0, 0, Audit[[#This Row],[Max Relative Error (ep)]]/Audit[[#This Row],[Error Bound (up) - Max. possible relative overstatement]])</f>
        <v>0</v>
      </c>
      <c r="BH7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15" s="17">
        <f t="shared" si="11"/>
        <v>1</v>
      </c>
      <c r="BJ715" s="17">
        <f>PRODUCT($BI$5:BI715)</f>
        <v>0.23913763559004736</v>
      </c>
      <c r="BK715" s="19">
        <f>1 - Audit[[#This Row],[K-M P Value]]</f>
        <v>0.76086236440995259</v>
      </c>
      <c r="BL715" s="17" t="str">
        <f>IF(Audit[[#This Row],[K-M P Value]]&gt;1-'General Info'!$B$12,"Continue", "Stop")</f>
        <v>Continue</v>
      </c>
      <c r="BM715" s="22" t="b">
        <f>IF(Audit[[#This Row],[Status - Continue or stop audit]] = "Continue", TRUE, IF(BL714 = "Continue", TRUE, FALSE))</f>
        <v>1</v>
      </c>
      <c r="BN715" s="22"/>
    </row>
    <row r="716" spans="1:66" ht="15" hidden="1" customHeight="1" x14ac:dyDescent="0.35">
      <c r="A716" s="17" t="str">
        <f>'Sampling Data'!AI716</f>
        <v/>
      </c>
      <c r="B716" s="17" t="str">
        <f>'Sampling Data'!A716</f>
        <v>2318 CIN 23-R   (ED)</v>
      </c>
      <c r="C716" s="17">
        <f>'Sampling Data'!B716</f>
        <v>189</v>
      </c>
      <c r="D716" s="17">
        <f>'Sampling Data'!C716</f>
        <v>52</v>
      </c>
      <c r="E716" s="18">
        <f>'Sampling Data'!D716</f>
        <v>0</v>
      </c>
      <c r="F716" s="18">
        <f>'Sampling Data'!E716</f>
        <v>0</v>
      </c>
      <c r="G716" s="18">
        <f>'Sampling Data'!F716</f>
        <v>0</v>
      </c>
      <c r="H716" s="18">
        <f>'Sampling Data'!G716</f>
        <v>0</v>
      </c>
      <c r="I716" s="18">
        <f>'Sampling Data'!H716</f>
        <v>0</v>
      </c>
      <c r="J716" s="18">
        <f>'Sampling Data'!I716</f>
        <v>0</v>
      </c>
      <c r="K716" s="18">
        <f>'Sampling Data'!J716</f>
        <v>0</v>
      </c>
      <c r="L716" s="18">
        <f>'Sampling Data'!K716</f>
        <v>0</v>
      </c>
      <c r="M716" s="18">
        <f>'Sampling Data'!L716</f>
        <v>0</v>
      </c>
      <c r="N716" s="18">
        <f>'Sampling Data'!M716</f>
        <v>0</v>
      </c>
      <c r="O716" s="17">
        <f>'Sampling Data'!N716</f>
        <v>0</v>
      </c>
      <c r="P716" s="17">
        <f>'Sampling Data'!O716</f>
        <v>10</v>
      </c>
      <c r="Q716" s="17">
        <f>'Sampling Data'!P716</f>
        <v>251</v>
      </c>
      <c r="R716" s="17">
        <f>'Sampling Data'!AJ716</f>
        <v>0</v>
      </c>
      <c r="S716" s="111"/>
      <c r="T716" s="111"/>
      <c r="U716" s="112"/>
      <c r="V716" s="112"/>
      <c r="W716" s="111"/>
      <c r="X716" s="111"/>
      <c r="Y716" s="111"/>
      <c r="Z716" s="111"/>
      <c r="AA716" s="14"/>
      <c r="AB716" s="14"/>
      <c r="AC716" s="14"/>
      <c r="AD716" s="14"/>
      <c r="AE716" s="113" t="str">
        <f>IF(NOT(ISBLANK(Audit[[#This Row],[Audit Winning Candidate]])), Audit[[#This Row],[Audit Winning Candidate]]-Audit[[#This Row],[Winning Candidate]], "")</f>
        <v/>
      </c>
      <c r="AF716" s="17" t="str">
        <f>IF(NOT(ISBLANK(Audit[[#This Row],[Audit Losing Candidate]])), Audit[[#This Row],[Audit Losing Candidate]]-Audit[[#This Row],[Losing Candidate]], "")</f>
        <v/>
      </c>
      <c r="AG716" s="17" t="str">
        <f>IF(NOT(ISBLANK(Audit[[#This Row],[Audit Candidate 3]])), Audit[[#This Row],[Audit Candidate 3]]-Audit[[#This Row],[Candidate 3]], "")</f>
        <v/>
      </c>
      <c r="AH716" s="17" t="str">
        <f>IF(NOT(ISBLANK(Audit[[#This Row],[Audit Candidate 4]])),Audit[[#This Row],[Audit Candidate 4]]-Audit[[#This Row],[Candidate 4]], "")</f>
        <v/>
      </c>
      <c r="AI716" s="17" t="str">
        <f>IF(NOT(ISBLANK(Audit[[#This Row],[Audit Candidate 5]])), Audit[[#This Row],[Audit Candidate 5]]-Audit[[#This Row],[Candidate 5]], "")</f>
        <v/>
      </c>
      <c r="AJ716" s="17" t="str">
        <f>IF(NOT(ISBLANK(Audit[[#This Row],[Audit Candidate 6]])), Audit[[#This Row],[Audit Candidate 6]]-Audit[[#This Row],[Candidate 6]], "")</f>
        <v/>
      </c>
      <c r="AK716" s="17" t="str">
        <f>IF(NOT(ISBLANK(Audit[[#This Row],[Audit Candidate 7]])), Audit[[#This Row],[Audit Candidate 7]]-Audit[[#This Row],[Candidate 7]], "")</f>
        <v/>
      </c>
      <c r="AL716" s="17" t="str">
        <f>IF(NOT(ISBLANK(Audit[[#This Row],[Audit Candidate 8]])), Audit[[#This Row],[Audit Candidate 8]]-Audit[[#This Row],[Candidate 8]], "")</f>
        <v/>
      </c>
      <c r="AM716" s="17" t="str">
        <f>IF(NOT(ISBLANK(Audit[[#This Row],[Audit Candidate 9]])), Audit[[#This Row],[Audit Candidate 9]]-Audit[[#This Row],[Candidate 9]], "")</f>
        <v/>
      </c>
      <c r="AN716" s="17" t="str">
        <f>IF(NOT(ISBLANK(Audit[[#This Row],[Audit Candidate 10]])), Audit[[#This Row],[Audit Candidate 10]]-Audit[[#This Row],[Candidate 10]], "")</f>
        <v/>
      </c>
      <c r="AO716" s="17" t="str">
        <f>IF(NOT(ISBLANK(Audit[[#This Row],[Audit Candidate 11]])), Audit[[#This Row],[Audit Candidate 11]]-Audit[[#This Row],[Candidate 11]], "")</f>
        <v/>
      </c>
      <c r="AP716" s="17" t="str">
        <f>IF(NOT(ISBLANK(Audit[[#This Row],[Audit Candidate 12]])), Audit[[#This Row],[Audit Candidate 12]]-Audit[[#This Row],[Candidate 12]], "")</f>
        <v/>
      </c>
      <c r="AQ716" s="17">
        <f>SUMIF(Audit[[#This Row],[Difference Winner]:[Difference Candidate 12]], "&gt;0")</f>
        <v>0</v>
      </c>
      <c r="AR716" s="17">
        <f>SUM(Audit[[#This Row],[Difference Winner]:[Difference Candidate 12]])</f>
        <v>0</v>
      </c>
      <c r="AS716" s="17">
        <f>IF(Audit[[#This Row],[Times p Drawn - With Replacement]]&gt;0, IF(Audit[[#This Row],[Canceled Differences]]&lt;0, Audit[[#This Row],[Max Differences]]+ABS(Audit[[#This Row],[Canceled Differences]]), Audit[[#This Row],[Max Differences]]), 0)</f>
        <v>0</v>
      </c>
      <c r="AT716" s="17">
        <f>'Sampling Data'!AB716</f>
        <v>1.6465795280937022E-2</v>
      </c>
      <c r="AU716" s="17">
        <f>IF(
      SUM(Audit[[#This Row],[Audit Losing Candidate]:[Audit Candidate 12]])
      &lt;&gt;0,
      (Audit[[#This Row],[Winning Candidate]]-Audit[[#This Row],[Losing Candidate]]-(Audit[[#This Row],[Audit Winning Candidate]]-Audit[[#This Row],[Audit Losing Candidate]]))/(Audit[[#Totals],[Winning Candidate]]-Audit[[#Totals],[Losing Candidate]]),
      0
)</f>
        <v>0</v>
      </c>
      <c r="AV7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6" s="17">
        <f>IF(Audit[[#This Row],[Max Relative Error (ep)]] = 0, 0, Audit[[#This Row],[Max Relative Error (ep)]]/Audit[[#This Row],[Error Bound (up) - Max. possible relative overstatement]])</f>
        <v>0</v>
      </c>
      <c r="BH7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16" s="17">
        <f t="shared" si="11"/>
        <v>1</v>
      </c>
      <c r="BJ716" s="17">
        <f>PRODUCT($BI$5:BI716)</f>
        <v>0.23913763559004736</v>
      </c>
      <c r="BK716" s="19">
        <f>1 - Audit[[#This Row],[K-M P Value]]</f>
        <v>0.76086236440995259</v>
      </c>
      <c r="BL716" s="17" t="str">
        <f>IF(Audit[[#This Row],[K-M P Value]]&gt;1-'General Info'!$B$12,"Continue", "Stop")</f>
        <v>Continue</v>
      </c>
      <c r="BM716" s="22" t="b">
        <f>IF(Audit[[#This Row],[Status - Continue or stop audit]] = "Continue", TRUE, IF(BL715 = "Continue", TRUE, FALSE))</f>
        <v>1</v>
      </c>
      <c r="BN716" s="22"/>
    </row>
    <row r="717" spans="1:66" ht="15" hidden="1" customHeight="1" x14ac:dyDescent="0.35">
      <c r="A717" s="17" t="str">
        <f>'Sampling Data'!AI717</f>
        <v/>
      </c>
      <c r="B717" s="17" t="str">
        <f>'Sampling Data'!A717</f>
        <v>2401 CIN 24-A   (ED)</v>
      </c>
      <c r="C717" s="17">
        <f>'Sampling Data'!B717</f>
        <v>382</v>
      </c>
      <c r="D717" s="17">
        <f>'Sampling Data'!C717</f>
        <v>41</v>
      </c>
      <c r="E717" s="18">
        <f>'Sampling Data'!D717</f>
        <v>0</v>
      </c>
      <c r="F717" s="18">
        <f>'Sampling Data'!E717</f>
        <v>0</v>
      </c>
      <c r="G717" s="18">
        <f>'Sampling Data'!F717</f>
        <v>0</v>
      </c>
      <c r="H717" s="18">
        <f>'Sampling Data'!G717</f>
        <v>0</v>
      </c>
      <c r="I717" s="18">
        <f>'Sampling Data'!H717</f>
        <v>0</v>
      </c>
      <c r="J717" s="18">
        <f>'Sampling Data'!I717</f>
        <v>0</v>
      </c>
      <c r="K717" s="18">
        <f>'Sampling Data'!J717</f>
        <v>0</v>
      </c>
      <c r="L717" s="18">
        <f>'Sampling Data'!K717</f>
        <v>0</v>
      </c>
      <c r="M717" s="18">
        <f>'Sampling Data'!L717</f>
        <v>0</v>
      </c>
      <c r="N717" s="18">
        <f>'Sampling Data'!M717</f>
        <v>0</v>
      </c>
      <c r="O717" s="17">
        <f>'Sampling Data'!N717</f>
        <v>1</v>
      </c>
      <c r="P717" s="17">
        <f>'Sampling Data'!O717</f>
        <v>14</v>
      </c>
      <c r="Q717" s="17">
        <f>'Sampling Data'!P717</f>
        <v>438</v>
      </c>
      <c r="R717" s="17">
        <f>'Sampling Data'!AJ717</f>
        <v>0</v>
      </c>
      <c r="S717" s="111"/>
      <c r="T717" s="111"/>
      <c r="U717" s="112"/>
      <c r="V717" s="112"/>
      <c r="W717" s="111"/>
      <c r="X717" s="111"/>
      <c r="Y717" s="111"/>
      <c r="Z717" s="111"/>
      <c r="AA717" s="14"/>
      <c r="AB717" s="14"/>
      <c r="AC717" s="14"/>
      <c r="AD717" s="14"/>
      <c r="AE717" s="113" t="str">
        <f>IF(NOT(ISBLANK(Audit[[#This Row],[Audit Winning Candidate]])), Audit[[#This Row],[Audit Winning Candidate]]-Audit[[#This Row],[Winning Candidate]], "")</f>
        <v/>
      </c>
      <c r="AF717" s="17" t="str">
        <f>IF(NOT(ISBLANK(Audit[[#This Row],[Audit Losing Candidate]])), Audit[[#This Row],[Audit Losing Candidate]]-Audit[[#This Row],[Losing Candidate]], "")</f>
        <v/>
      </c>
      <c r="AG717" s="17" t="str">
        <f>IF(NOT(ISBLANK(Audit[[#This Row],[Audit Candidate 3]])), Audit[[#This Row],[Audit Candidate 3]]-Audit[[#This Row],[Candidate 3]], "")</f>
        <v/>
      </c>
      <c r="AH717" s="17" t="str">
        <f>IF(NOT(ISBLANK(Audit[[#This Row],[Audit Candidate 4]])),Audit[[#This Row],[Audit Candidate 4]]-Audit[[#This Row],[Candidate 4]], "")</f>
        <v/>
      </c>
      <c r="AI717" s="17" t="str">
        <f>IF(NOT(ISBLANK(Audit[[#This Row],[Audit Candidate 5]])), Audit[[#This Row],[Audit Candidate 5]]-Audit[[#This Row],[Candidate 5]], "")</f>
        <v/>
      </c>
      <c r="AJ717" s="17" t="str">
        <f>IF(NOT(ISBLANK(Audit[[#This Row],[Audit Candidate 6]])), Audit[[#This Row],[Audit Candidate 6]]-Audit[[#This Row],[Candidate 6]], "")</f>
        <v/>
      </c>
      <c r="AK717" s="17" t="str">
        <f>IF(NOT(ISBLANK(Audit[[#This Row],[Audit Candidate 7]])), Audit[[#This Row],[Audit Candidate 7]]-Audit[[#This Row],[Candidate 7]], "")</f>
        <v/>
      </c>
      <c r="AL717" s="17" t="str">
        <f>IF(NOT(ISBLANK(Audit[[#This Row],[Audit Candidate 8]])), Audit[[#This Row],[Audit Candidate 8]]-Audit[[#This Row],[Candidate 8]], "")</f>
        <v/>
      </c>
      <c r="AM717" s="17" t="str">
        <f>IF(NOT(ISBLANK(Audit[[#This Row],[Audit Candidate 9]])), Audit[[#This Row],[Audit Candidate 9]]-Audit[[#This Row],[Candidate 9]], "")</f>
        <v/>
      </c>
      <c r="AN717" s="17" t="str">
        <f>IF(NOT(ISBLANK(Audit[[#This Row],[Audit Candidate 10]])), Audit[[#This Row],[Audit Candidate 10]]-Audit[[#This Row],[Candidate 10]], "")</f>
        <v/>
      </c>
      <c r="AO717" s="17" t="str">
        <f>IF(NOT(ISBLANK(Audit[[#This Row],[Audit Candidate 11]])), Audit[[#This Row],[Audit Candidate 11]]-Audit[[#This Row],[Candidate 11]], "")</f>
        <v/>
      </c>
      <c r="AP717" s="17" t="str">
        <f>IF(NOT(ISBLANK(Audit[[#This Row],[Audit Candidate 12]])), Audit[[#This Row],[Audit Candidate 12]]-Audit[[#This Row],[Candidate 12]], "")</f>
        <v/>
      </c>
      <c r="AQ717" s="17">
        <f>SUMIF(Audit[[#This Row],[Difference Winner]:[Difference Candidate 12]], "&gt;0")</f>
        <v>0</v>
      </c>
      <c r="AR717" s="17">
        <f>SUM(Audit[[#This Row],[Difference Winner]:[Difference Candidate 12]])</f>
        <v>0</v>
      </c>
      <c r="AS717" s="17">
        <f>IF(Audit[[#This Row],[Times p Drawn - With Replacement]]&gt;0, IF(Audit[[#This Row],[Canceled Differences]]&lt;0, Audit[[#This Row],[Max Differences]]+ABS(Audit[[#This Row],[Canceled Differences]]), Audit[[#This Row],[Max Differences]]), 0)</f>
        <v>0</v>
      </c>
      <c r="AT717" s="17">
        <f>'Sampling Data'!AB717</f>
        <v>3.3058903411984385E-2</v>
      </c>
      <c r="AU717" s="17">
        <f>IF(
      SUM(Audit[[#This Row],[Audit Losing Candidate]:[Audit Candidate 12]])
      &lt;&gt;0,
      (Audit[[#This Row],[Winning Candidate]]-Audit[[#This Row],[Losing Candidate]]-(Audit[[#This Row],[Audit Winning Candidate]]-Audit[[#This Row],[Audit Losing Candidate]]))/(Audit[[#Totals],[Winning Candidate]]-Audit[[#Totals],[Losing Candidate]]),
      0
)</f>
        <v>0</v>
      </c>
      <c r="AV7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7" s="17">
        <f>IF(Audit[[#This Row],[Max Relative Error (ep)]] = 0, 0, Audit[[#This Row],[Max Relative Error (ep)]]/Audit[[#This Row],[Error Bound (up) - Max. possible relative overstatement]])</f>
        <v>0</v>
      </c>
      <c r="BH7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17" s="17">
        <f t="shared" si="11"/>
        <v>1</v>
      </c>
      <c r="BJ717" s="17">
        <f>PRODUCT($BI$5:BI717)</f>
        <v>0.23913763559004736</v>
      </c>
      <c r="BK717" s="19">
        <f>1 - Audit[[#This Row],[K-M P Value]]</f>
        <v>0.76086236440995259</v>
      </c>
      <c r="BL717" s="17" t="str">
        <f>IF(Audit[[#This Row],[K-M P Value]]&gt;1-'General Info'!$B$12,"Continue", "Stop")</f>
        <v>Continue</v>
      </c>
      <c r="BM717" s="22" t="b">
        <f>IF(Audit[[#This Row],[Status - Continue or stop audit]] = "Continue", TRUE, IF(BL716 = "Continue", TRUE, FALSE))</f>
        <v>1</v>
      </c>
      <c r="BN717" s="22"/>
    </row>
    <row r="718" spans="1:66" ht="15" hidden="1" customHeight="1" x14ac:dyDescent="0.35">
      <c r="A718" s="17" t="str">
        <f>'Sampling Data'!AI718</f>
        <v/>
      </c>
      <c r="B718" s="17" t="str">
        <f>'Sampling Data'!A718</f>
        <v>2402 CIN 24-B   (ED)</v>
      </c>
      <c r="C718" s="17">
        <f>'Sampling Data'!B718</f>
        <v>397</v>
      </c>
      <c r="D718" s="17">
        <f>'Sampling Data'!C718</f>
        <v>113</v>
      </c>
      <c r="E718" s="18">
        <f>'Sampling Data'!D718</f>
        <v>0</v>
      </c>
      <c r="F718" s="18">
        <f>'Sampling Data'!E718</f>
        <v>0</v>
      </c>
      <c r="G718" s="18">
        <f>'Sampling Data'!F718</f>
        <v>0</v>
      </c>
      <c r="H718" s="18">
        <f>'Sampling Data'!G718</f>
        <v>0</v>
      </c>
      <c r="I718" s="18">
        <f>'Sampling Data'!H718</f>
        <v>0</v>
      </c>
      <c r="J718" s="18">
        <f>'Sampling Data'!I718</f>
        <v>0</v>
      </c>
      <c r="K718" s="18">
        <f>'Sampling Data'!J718</f>
        <v>0</v>
      </c>
      <c r="L718" s="18">
        <f>'Sampling Data'!K718</f>
        <v>0</v>
      </c>
      <c r="M718" s="18">
        <f>'Sampling Data'!L718</f>
        <v>0</v>
      </c>
      <c r="N718" s="18">
        <f>'Sampling Data'!M718</f>
        <v>0</v>
      </c>
      <c r="O718" s="17">
        <f>'Sampling Data'!N718</f>
        <v>1</v>
      </c>
      <c r="P718" s="17">
        <f>'Sampling Data'!O718</f>
        <v>33</v>
      </c>
      <c r="Q718" s="17">
        <f>'Sampling Data'!P718</f>
        <v>544</v>
      </c>
      <c r="R718" s="17">
        <f>'Sampling Data'!AJ718</f>
        <v>0</v>
      </c>
      <c r="S718" s="111"/>
      <c r="T718" s="111"/>
      <c r="U718" s="112"/>
      <c r="V718" s="112"/>
      <c r="W718" s="111"/>
      <c r="X718" s="111"/>
      <c r="Y718" s="111"/>
      <c r="Z718" s="111"/>
      <c r="AA718" s="14"/>
      <c r="AB718" s="14"/>
      <c r="AC718" s="14"/>
      <c r="AD718" s="14"/>
      <c r="AE718" s="113" t="str">
        <f>IF(NOT(ISBLANK(Audit[[#This Row],[Audit Winning Candidate]])), Audit[[#This Row],[Audit Winning Candidate]]-Audit[[#This Row],[Winning Candidate]], "")</f>
        <v/>
      </c>
      <c r="AF718" s="17" t="str">
        <f>IF(NOT(ISBLANK(Audit[[#This Row],[Audit Losing Candidate]])), Audit[[#This Row],[Audit Losing Candidate]]-Audit[[#This Row],[Losing Candidate]], "")</f>
        <v/>
      </c>
      <c r="AG718" s="17" t="str">
        <f>IF(NOT(ISBLANK(Audit[[#This Row],[Audit Candidate 3]])), Audit[[#This Row],[Audit Candidate 3]]-Audit[[#This Row],[Candidate 3]], "")</f>
        <v/>
      </c>
      <c r="AH718" s="17" t="str">
        <f>IF(NOT(ISBLANK(Audit[[#This Row],[Audit Candidate 4]])),Audit[[#This Row],[Audit Candidate 4]]-Audit[[#This Row],[Candidate 4]], "")</f>
        <v/>
      </c>
      <c r="AI718" s="17" t="str">
        <f>IF(NOT(ISBLANK(Audit[[#This Row],[Audit Candidate 5]])), Audit[[#This Row],[Audit Candidate 5]]-Audit[[#This Row],[Candidate 5]], "")</f>
        <v/>
      </c>
      <c r="AJ718" s="17" t="str">
        <f>IF(NOT(ISBLANK(Audit[[#This Row],[Audit Candidate 6]])), Audit[[#This Row],[Audit Candidate 6]]-Audit[[#This Row],[Candidate 6]], "")</f>
        <v/>
      </c>
      <c r="AK718" s="17" t="str">
        <f>IF(NOT(ISBLANK(Audit[[#This Row],[Audit Candidate 7]])), Audit[[#This Row],[Audit Candidate 7]]-Audit[[#This Row],[Candidate 7]], "")</f>
        <v/>
      </c>
      <c r="AL718" s="17" t="str">
        <f>IF(NOT(ISBLANK(Audit[[#This Row],[Audit Candidate 8]])), Audit[[#This Row],[Audit Candidate 8]]-Audit[[#This Row],[Candidate 8]], "")</f>
        <v/>
      </c>
      <c r="AM718" s="17" t="str">
        <f>IF(NOT(ISBLANK(Audit[[#This Row],[Audit Candidate 9]])), Audit[[#This Row],[Audit Candidate 9]]-Audit[[#This Row],[Candidate 9]], "")</f>
        <v/>
      </c>
      <c r="AN718" s="17" t="str">
        <f>IF(NOT(ISBLANK(Audit[[#This Row],[Audit Candidate 10]])), Audit[[#This Row],[Audit Candidate 10]]-Audit[[#This Row],[Candidate 10]], "")</f>
        <v/>
      </c>
      <c r="AO718" s="17" t="str">
        <f>IF(NOT(ISBLANK(Audit[[#This Row],[Audit Candidate 11]])), Audit[[#This Row],[Audit Candidate 11]]-Audit[[#This Row],[Candidate 11]], "")</f>
        <v/>
      </c>
      <c r="AP718" s="17" t="str">
        <f>IF(NOT(ISBLANK(Audit[[#This Row],[Audit Candidate 12]])), Audit[[#This Row],[Audit Candidate 12]]-Audit[[#This Row],[Candidate 12]], "")</f>
        <v/>
      </c>
      <c r="AQ718" s="17">
        <f>SUMIF(Audit[[#This Row],[Difference Winner]:[Difference Candidate 12]], "&gt;0")</f>
        <v>0</v>
      </c>
      <c r="AR718" s="17">
        <f>SUM(Audit[[#This Row],[Difference Winner]:[Difference Candidate 12]])</f>
        <v>0</v>
      </c>
      <c r="AS718" s="17">
        <f>IF(Audit[[#This Row],[Times p Drawn - With Replacement]]&gt;0, IF(Audit[[#This Row],[Canceled Differences]]&lt;0, Audit[[#This Row],[Max Differences]]+ABS(Audit[[#This Row],[Canceled Differences]]), Audit[[#This Row],[Max Differences]]), 0)</f>
        <v>0</v>
      </c>
      <c r="AT718" s="17">
        <f>'Sampling Data'!AB718</f>
        <v>3.5138346630453232E-2</v>
      </c>
      <c r="AU718" s="17">
        <f>IF(
      SUM(Audit[[#This Row],[Audit Losing Candidate]:[Audit Candidate 12]])
      &lt;&gt;0,
      (Audit[[#This Row],[Winning Candidate]]-Audit[[#This Row],[Losing Candidate]]-(Audit[[#This Row],[Audit Winning Candidate]]-Audit[[#This Row],[Audit Losing Candidate]]))/(Audit[[#Totals],[Winning Candidate]]-Audit[[#Totals],[Losing Candidate]]),
      0
)</f>
        <v>0</v>
      </c>
      <c r="AV7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8" s="17">
        <f>IF(Audit[[#This Row],[Max Relative Error (ep)]] = 0, 0, Audit[[#This Row],[Max Relative Error (ep)]]/Audit[[#This Row],[Error Bound (up) - Max. possible relative overstatement]])</f>
        <v>0</v>
      </c>
      <c r="BH7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18" s="17">
        <f t="shared" si="11"/>
        <v>1</v>
      </c>
      <c r="BJ718" s="17">
        <f>PRODUCT($BI$5:BI718)</f>
        <v>0.23913763559004736</v>
      </c>
      <c r="BK718" s="19">
        <f>1 - Audit[[#This Row],[K-M P Value]]</f>
        <v>0.76086236440995259</v>
      </c>
      <c r="BL718" s="17" t="str">
        <f>IF(Audit[[#This Row],[K-M P Value]]&gt;1-'General Info'!$B$12,"Continue", "Stop")</f>
        <v>Continue</v>
      </c>
      <c r="BM718" s="22" t="b">
        <f>IF(Audit[[#This Row],[Status - Continue or stop audit]] = "Continue", TRUE, IF(BL717 = "Continue", TRUE, FALSE))</f>
        <v>1</v>
      </c>
      <c r="BN718" s="22"/>
    </row>
    <row r="719" spans="1:66" ht="15" hidden="1" customHeight="1" x14ac:dyDescent="0.35">
      <c r="A719" s="17" t="str">
        <f>'Sampling Data'!AI719</f>
        <v/>
      </c>
      <c r="B719" s="17" t="str">
        <f>'Sampling Data'!A719</f>
        <v>2403 CIN 24-C   (ED)</v>
      </c>
      <c r="C719" s="17">
        <f>'Sampling Data'!B719</f>
        <v>219</v>
      </c>
      <c r="D719" s="17">
        <f>'Sampling Data'!C719</f>
        <v>42</v>
      </c>
      <c r="E719" s="18">
        <f>'Sampling Data'!D719</f>
        <v>0</v>
      </c>
      <c r="F719" s="18">
        <f>'Sampling Data'!E719</f>
        <v>0</v>
      </c>
      <c r="G719" s="18">
        <f>'Sampling Data'!F719</f>
        <v>0</v>
      </c>
      <c r="H719" s="18">
        <f>'Sampling Data'!G719</f>
        <v>0</v>
      </c>
      <c r="I719" s="18">
        <f>'Sampling Data'!H719</f>
        <v>0</v>
      </c>
      <c r="J719" s="18">
        <f>'Sampling Data'!I719</f>
        <v>0</v>
      </c>
      <c r="K719" s="18">
        <f>'Sampling Data'!J719</f>
        <v>0</v>
      </c>
      <c r="L719" s="18">
        <f>'Sampling Data'!K719</f>
        <v>0</v>
      </c>
      <c r="M719" s="18">
        <f>'Sampling Data'!L719</f>
        <v>0</v>
      </c>
      <c r="N719" s="18">
        <f>'Sampling Data'!M719</f>
        <v>0</v>
      </c>
      <c r="O719" s="17">
        <f>'Sampling Data'!N719</f>
        <v>0</v>
      </c>
      <c r="P719" s="17">
        <f>'Sampling Data'!O719</f>
        <v>23</v>
      </c>
      <c r="Q719" s="17">
        <f>'Sampling Data'!P719</f>
        <v>284</v>
      </c>
      <c r="R719" s="17">
        <f>'Sampling Data'!AJ719</f>
        <v>0</v>
      </c>
      <c r="S719" s="111"/>
      <c r="T719" s="111"/>
      <c r="U719" s="112"/>
      <c r="V719" s="112"/>
      <c r="W719" s="111"/>
      <c r="X719" s="111"/>
      <c r="Y719" s="111"/>
      <c r="Z719" s="111"/>
      <c r="AA719" s="14"/>
      <c r="AB719" s="14"/>
      <c r="AC719" s="14"/>
      <c r="AD719" s="14"/>
      <c r="AE719" s="113" t="str">
        <f>IF(NOT(ISBLANK(Audit[[#This Row],[Audit Winning Candidate]])), Audit[[#This Row],[Audit Winning Candidate]]-Audit[[#This Row],[Winning Candidate]], "")</f>
        <v/>
      </c>
      <c r="AF719" s="17" t="str">
        <f>IF(NOT(ISBLANK(Audit[[#This Row],[Audit Losing Candidate]])), Audit[[#This Row],[Audit Losing Candidate]]-Audit[[#This Row],[Losing Candidate]], "")</f>
        <v/>
      </c>
      <c r="AG719" s="17" t="str">
        <f>IF(NOT(ISBLANK(Audit[[#This Row],[Audit Candidate 3]])), Audit[[#This Row],[Audit Candidate 3]]-Audit[[#This Row],[Candidate 3]], "")</f>
        <v/>
      </c>
      <c r="AH719" s="17" t="str">
        <f>IF(NOT(ISBLANK(Audit[[#This Row],[Audit Candidate 4]])),Audit[[#This Row],[Audit Candidate 4]]-Audit[[#This Row],[Candidate 4]], "")</f>
        <v/>
      </c>
      <c r="AI719" s="17" t="str">
        <f>IF(NOT(ISBLANK(Audit[[#This Row],[Audit Candidate 5]])), Audit[[#This Row],[Audit Candidate 5]]-Audit[[#This Row],[Candidate 5]], "")</f>
        <v/>
      </c>
      <c r="AJ719" s="17" t="str">
        <f>IF(NOT(ISBLANK(Audit[[#This Row],[Audit Candidate 6]])), Audit[[#This Row],[Audit Candidate 6]]-Audit[[#This Row],[Candidate 6]], "")</f>
        <v/>
      </c>
      <c r="AK719" s="17" t="str">
        <f>IF(NOT(ISBLANK(Audit[[#This Row],[Audit Candidate 7]])), Audit[[#This Row],[Audit Candidate 7]]-Audit[[#This Row],[Candidate 7]], "")</f>
        <v/>
      </c>
      <c r="AL719" s="17" t="str">
        <f>IF(NOT(ISBLANK(Audit[[#This Row],[Audit Candidate 8]])), Audit[[#This Row],[Audit Candidate 8]]-Audit[[#This Row],[Candidate 8]], "")</f>
        <v/>
      </c>
      <c r="AM719" s="17" t="str">
        <f>IF(NOT(ISBLANK(Audit[[#This Row],[Audit Candidate 9]])), Audit[[#This Row],[Audit Candidate 9]]-Audit[[#This Row],[Candidate 9]], "")</f>
        <v/>
      </c>
      <c r="AN719" s="17" t="str">
        <f>IF(NOT(ISBLANK(Audit[[#This Row],[Audit Candidate 10]])), Audit[[#This Row],[Audit Candidate 10]]-Audit[[#This Row],[Candidate 10]], "")</f>
        <v/>
      </c>
      <c r="AO719" s="17" t="str">
        <f>IF(NOT(ISBLANK(Audit[[#This Row],[Audit Candidate 11]])), Audit[[#This Row],[Audit Candidate 11]]-Audit[[#This Row],[Candidate 11]], "")</f>
        <v/>
      </c>
      <c r="AP719" s="17" t="str">
        <f>IF(NOT(ISBLANK(Audit[[#This Row],[Audit Candidate 12]])), Audit[[#This Row],[Audit Candidate 12]]-Audit[[#This Row],[Candidate 12]], "")</f>
        <v/>
      </c>
      <c r="AQ719" s="17">
        <f>SUMIF(Audit[[#This Row],[Difference Winner]:[Difference Candidate 12]], "&gt;0")</f>
        <v>0</v>
      </c>
      <c r="AR719" s="17">
        <f>SUM(Audit[[#This Row],[Difference Winner]:[Difference Candidate 12]])</f>
        <v>0</v>
      </c>
      <c r="AS719" s="17">
        <f>IF(Audit[[#This Row],[Times p Drawn - With Replacement]]&gt;0, IF(Audit[[#This Row],[Canceled Differences]]&lt;0, Audit[[#This Row],[Max Differences]]+ABS(Audit[[#This Row],[Canceled Differences]]), Audit[[#This Row],[Max Differences]]), 0)</f>
        <v>0</v>
      </c>
      <c r="AT719" s="17">
        <f>'Sampling Data'!AB719</f>
        <v>1.9563741300288574E-2</v>
      </c>
      <c r="AU719" s="17">
        <f>IF(
      SUM(Audit[[#This Row],[Audit Losing Candidate]:[Audit Candidate 12]])
      &lt;&gt;0,
      (Audit[[#This Row],[Winning Candidate]]-Audit[[#This Row],[Losing Candidate]]-(Audit[[#This Row],[Audit Winning Candidate]]-Audit[[#This Row],[Audit Losing Candidate]]))/(Audit[[#Totals],[Winning Candidate]]-Audit[[#Totals],[Losing Candidate]]),
      0
)</f>
        <v>0</v>
      </c>
      <c r="AV7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9" s="17">
        <f>IF(Audit[[#This Row],[Max Relative Error (ep)]] = 0, 0, Audit[[#This Row],[Max Relative Error (ep)]]/Audit[[#This Row],[Error Bound (up) - Max. possible relative overstatement]])</f>
        <v>0</v>
      </c>
      <c r="BH7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19" s="17">
        <f t="shared" ref="BI719:BI782" si="12">IF(ISERR(POWER(BH719,R719)), 0, POWER(BH719,R719))</f>
        <v>1</v>
      </c>
      <c r="BJ719" s="17">
        <f>PRODUCT($BI$5:BI719)</f>
        <v>0.23913763559004736</v>
      </c>
      <c r="BK719" s="19">
        <f>1 - Audit[[#This Row],[K-M P Value]]</f>
        <v>0.76086236440995259</v>
      </c>
      <c r="BL719" s="17" t="str">
        <f>IF(Audit[[#This Row],[K-M P Value]]&gt;1-'General Info'!$B$12,"Continue", "Stop")</f>
        <v>Continue</v>
      </c>
      <c r="BM719" s="22" t="b">
        <f>IF(Audit[[#This Row],[Status - Continue or stop audit]] = "Continue", TRUE, IF(BL718 = "Continue", TRUE, FALSE))</f>
        <v>1</v>
      </c>
      <c r="BN719" s="22"/>
    </row>
    <row r="720" spans="1:66" ht="15" hidden="1" customHeight="1" x14ac:dyDescent="0.35">
      <c r="A720" s="17" t="str">
        <f>'Sampling Data'!AI720</f>
        <v/>
      </c>
      <c r="B720" s="17" t="str">
        <f>'Sampling Data'!A720</f>
        <v>2404 CIN 24-D   (ED)</v>
      </c>
      <c r="C720" s="17">
        <f>'Sampling Data'!B720</f>
        <v>300</v>
      </c>
      <c r="D720" s="17">
        <f>'Sampling Data'!C720</f>
        <v>196</v>
      </c>
      <c r="E720" s="18">
        <f>'Sampling Data'!D720</f>
        <v>0</v>
      </c>
      <c r="F720" s="18">
        <f>'Sampling Data'!E720</f>
        <v>0</v>
      </c>
      <c r="G720" s="18">
        <f>'Sampling Data'!F720</f>
        <v>0</v>
      </c>
      <c r="H720" s="18">
        <f>'Sampling Data'!G720</f>
        <v>0</v>
      </c>
      <c r="I720" s="18">
        <f>'Sampling Data'!H720</f>
        <v>0</v>
      </c>
      <c r="J720" s="18">
        <f>'Sampling Data'!I720</f>
        <v>0</v>
      </c>
      <c r="K720" s="18">
        <f>'Sampling Data'!J720</f>
        <v>0</v>
      </c>
      <c r="L720" s="18">
        <f>'Sampling Data'!K720</f>
        <v>0</v>
      </c>
      <c r="M720" s="18">
        <f>'Sampling Data'!L720</f>
        <v>0</v>
      </c>
      <c r="N720" s="18">
        <f>'Sampling Data'!M720</f>
        <v>0</v>
      </c>
      <c r="O720" s="17">
        <f>'Sampling Data'!N720</f>
        <v>0</v>
      </c>
      <c r="P720" s="17">
        <f>'Sampling Data'!O720</f>
        <v>33</v>
      </c>
      <c r="Q720" s="17">
        <f>'Sampling Data'!P720</f>
        <v>529</v>
      </c>
      <c r="R720" s="17">
        <f>'Sampling Data'!AJ720</f>
        <v>0</v>
      </c>
      <c r="S720" s="111"/>
      <c r="T720" s="111"/>
      <c r="U720" s="112"/>
      <c r="V720" s="112"/>
      <c r="W720" s="111"/>
      <c r="X720" s="111"/>
      <c r="Y720" s="111"/>
      <c r="Z720" s="111"/>
      <c r="AA720" s="14"/>
      <c r="AB720" s="14"/>
      <c r="AC720" s="14"/>
      <c r="AD720" s="14"/>
      <c r="AE720" s="113" t="str">
        <f>IF(NOT(ISBLANK(Audit[[#This Row],[Audit Winning Candidate]])), Audit[[#This Row],[Audit Winning Candidate]]-Audit[[#This Row],[Winning Candidate]], "")</f>
        <v/>
      </c>
      <c r="AF720" s="17" t="str">
        <f>IF(NOT(ISBLANK(Audit[[#This Row],[Audit Losing Candidate]])), Audit[[#This Row],[Audit Losing Candidate]]-Audit[[#This Row],[Losing Candidate]], "")</f>
        <v/>
      </c>
      <c r="AG720" s="17" t="str">
        <f>IF(NOT(ISBLANK(Audit[[#This Row],[Audit Candidate 3]])), Audit[[#This Row],[Audit Candidate 3]]-Audit[[#This Row],[Candidate 3]], "")</f>
        <v/>
      </c>
      <c r="AH720" s="17" t="str">
        <f>IF(NOT(ISBLANK(Audit[[#This Row],[Audit Candidate 4]])),Audit[[#This Row],[Audit Candidate 4]]-Audit[[#This Row],[Candidate 4]], "")</f>
        <v/>
      </c>
      <c r="AI720" s="17" t="str">
        <f>IF(NOT(ISBLANK(Audit[[#This Row],[Audit Candidate 5]])), Audit[[#This Row],[Audit Candidate 5]]-Audit[[#This Row],[Candidate 5]], "")</f>
        <v/>
      </c>
      <c r="AJ720" s="17" t="str">
        <f>IF(NOT(ISBLANK(Audit[[#This Row],[Audit Candidate 6]])), Audit[[#This Row],[Audit Candidate 6]]-Audit[[#This Row],[Candidate 6]], "")</f>
        <v/>
      </c>
      <c r="AK720" s="17" t="str">
        <f>IF(NOT(ISBLANK(Audit[[#This Row],[Audit Candidate 7]])), Audit[[#This Row],[Audit Candidate 7]]-Audit[[#This Row],[Candidate 7]], "")</f>
        <v/>
      </c>
      <c r="AL720" s="17" t="str">
        <f>IF(NOT(ISBLANK(Audit[[#This Row],[Audit Candidate 8]])), Audit[[#This Row],[Audit Candidate 8]]-Audit[[#This Row],[Candidate 8]], "")</f>
        <v/>
      </c>
      <c r="AM720" s="17" t="str">
        <f>IF(NOT(ISBLANK(Audit[[#This Row],[Audit Candidate 9]])), Audit[[#This Row],[Audit Candidate 9]]-Audit[[#This Row],[Candidate 9]], "")</f>
        <v/>
      </c>
      <c r="AN720" s="17" t="str">
        <f>IF(NOT(ISBLANK(Audit[[#This Row],[Audit Candidate 10]])), Audit[[#This Row],[Audit Candidate 10]]-Audit[[#This Row],[Candidate 10]], "")</f>
        <v/>
      </c>
      <c r="AO720" s="17" t="str">
        <f>IF(NOT(ISBLANK(Audit[[#This Row],[Audit Candidate 11]])), Audit[[#This Row],[Audit Candidate 11]]-Audit[[#This Row],[Candidate 11]], "")</f>
        <v/>
      </c>
      <c r="AP720" s="17" t="str">
        <f>IF(NOT(ISBLANK(Audit[[#This Row],[Audit Candidate 12]])), Audit[[#This Row],[Audit Candidate 12]]-Audit[[#This Row],[Candidate 12]], "")</f>
        <v/>
      </c>
      <c r="AQ720" s="17">
        <f>SUMIF(Audit[[#This Row],[Difference Winner]:[Difference Candidate 12]], "&gt;0")</f>
        <v>0</v>
      </c>
      <c r="AR720" s="17">
        <f>SUM(Audit[[#This Row],[Difference Winner]:[Difference Candidate 12]])</f>
        <v>0</v>
      </c>
      <c r="AS720" s="17">
        <f>IF(Audit[[#This Row],[Times p Drawn - With Replacement]]&gt;0, IF(Audit[[#This Row],[Canceled Differences]]&lt;0, Audit[[#This Row],[Max Differences]]+ABS(Audit[[#This Row],[Canceled Differences]]), Audit[[#This Row],[Max Differences]]), 0)</f>
        <v>0</v>
      </c>
      <c r="AT720" s="17">
        <f>'Sampling Data'!AB720</f>
        <v>2.6863011373281277E-2</v>
      </c>
      <c r="AU720" s="17">
        <f>IF(
      SUM(Audit[[#This Row],[Audit Losing Candidate]:[Audit Candidate 12]])
      &lt;&gt;0,
      (Audit[[#This Row],[Winning Candidate]]-Audit[[#This Row],[Losing Candidate]]-(Audit[[#This Row],[Audit Winning Candidate]]-Audit[[#This Row],[Audit Losing Candidate]]))/(Audit[[#Totals],[Winning Candidate]]-Audit[[#Totals],[Losing Candidate]]),
      0
)</f>
        <v>0</v>
      </c>
      <c r="AV7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0" s="17">
        <f>IF(Audit[[#This Row],[Max Relative Error (ep)]] = 0, 0, Audit[[#This Row],[Max Relative Error (ep)]]/Audit[[#This Row],[Error Bound (up) - Max. possible relative overstatement]])</f>
        <v>0</v>
      </c>
      <c r="BH7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20" s="17">
        <f t="shared" si="12"/>
        <v>1</v>
      </c>
      <c r="BJ720" s="17">
        <f>PRODUCT($BI$5:BI720)</f>
        <v>0.23913763559004736</v>
      </c>
      <c r="BK720" s="19">
        <f>1 - Audit[[#This Row],[K-M P Value]]</f>
        <v>0.76086236440995259</v>
      </c>
      <c r="BL720" s="17" t="str">
        <f>IF(Audit[[#This Row],[K-M P Value]]&gt;1-'General Info'!$B$12,"Continue", "Stop")</f>
        <v>Continue</v>
      </c>
      <c r="BM720" s="22" t="b">
        <f>IF(Audit[[#This Row],[Status - Continue or stop audit]] = "Continue", TRUE, IF(BL719 = "Continue", TRUE, FALSE))</f>
        <v>1</v>
      </c>
      <c r="BN720" s="22"/>
    </row>
    <row r="721" spans="1:66" ht="15" hidden="1" customHeight="1" x14ac:dyDescent="0.35">
      <c r="A721" s="17" t="str">
        <f>'Sampling Data'!AI721</f>
        <v/>
      </c>
      <c r="B721" s="17" t="str">
        <f>'Sampling Data'!A721</f>
        <v>2405 CIN 24-E   (ED)</v>
      </c>
      <c r="C721" s="17">
        <f>'Sampling Data'!B721</f>
        <v>175</v>
      </c>
      <c r="D721" s="17">
        <f>'Sampling Data'!C721</f>
        <v>20</v>
      </c>
      <c r="E721" s="18">
        <f>'Sampling Data'!D721</f>
        <v>0</v>
      </c>
      <c r="F721" s="18">
        <f>'Sampling Data'!E721</f>
        <v>0</v>
      </c>
      <c r="G721" s="18">
        <f>'Sampling Data'!F721</f>
        <v>0</v>
      </c>
      <c r="H721" s="18">
        <f>'Sampling Data'!G721</f>
        <v>0</v>
      </c>
      <c r="I721" s="18">
        <f>'Sampling Data'!H721</f>
        <v>0</v>
      </c>
      <c r="J721" s="18">
        <f>'Sampling Data'!I721</f>
        <v>0</v>
      </c>
      <c r="K721" s="18">
        <f>'Sampling Data'!J721</f>
        <v>0</v>
      </c>
      <c r="L721" s="18">
        <f>'Sampling Data'!K721</f>
        <v>0</v>
      </c>
      <c r="M721" s="18">
        <f>'Sampling Data'!L721</f>
        <v>0</v>
      </c>
      <c r="N721" s="18">
        <f>'Sampling Data'!M721</f>
        <v>0</v>
      </c>
      <c r="O721" s="17">
        <f>'Sampling Data'!N721</f>
        <v>0</v>
      </c>
      <c r="P721" s="17">
        <f>'Sampling Data'!O721</f>
        <v>9</v>
      </c>
      <c r="Q721" s="17">
        <f>'Sampling Data'!P721</f>
        <v>204</v>
      </c>
      <c r="R721" s="17">
        <f>'Sampling Data'!AJ721</f>
        <v>0</v>
      </c>
      <c r="S721" s="111"/>
      <c r="T721" s="111"/>
      <c r="U721" s="112"/>
      <c r="V721" s="112"/>
      <c r="W721" s="111"/>
      <c r="X721" s="111"/>
      <c r="Y721" s="111"/>
      <c r="Z721" s="111"/>
      <c r="AA721" s="14"/>
      <c r="AB721" s="14"/>
      <c r="AC721" s="14"/>
      <c r="AD721" s="14"/>
      <c r="AE721" s="113" t="str">
        <f>IF(NOT(ISBLANK(Audit[[#This Row],[Audit Winning Candidate]])), Audit[[#This Row],[Audit Winning Candidate]]-Audit[[#This Row],[Winning Candidate]], "")</f>
        <v/>
      </c>
      <c r="AF721" s="17" t="str">
        <f>IF(NOT(ISBLANK(Audit[[#This Row],[Audit Losing Candidate]])), Audit[[#This Row],[Audit Losing Candidate]]-Audit[[#This Row],[Losing Candidate]], "")</f>
        <v/>
      </c>
      <c r="AG721" s="17" t="str">
        <f>IF(NOT(ISBLANK(Audit[[#This Row],[Audit Candidate 3]])), Audit[[#This Row],[Audit Candidate 3]]-Audit[[#This Row],[Candidate 3]], "")</f>
        <v/>
      </c>
      <c r="AH721" s="17" t="str">
        <f>IF(NOT(ISBLANK(Audit[[#This Row],[Audit Candidate 4]])),Audit[[#This Row],[Audit Candidate 4]]-Audit[[#This Row],[Candidate 4]], "")</f>
        <v/>
      </c>
      <c r="AI721" s="17" t="str">
        <f>IF(NOT(ISBLANK(Audit[[#This Row],[Audit Candidate 5]])), Audit[[#This Row],[Audit Candidate 5]]-Audit[[#This Row],[Candidate 5]], "")</f>
        <v/>
      </c>
      <c r="AJ721" s="17" t="str">
        <f>IF(NOT(ISBLANK(Audit[[#This Row],[Audit Candidate 6]])), Audit[[#This Row],[Audit Candidate 6]]-Audit[[#This Row],[Candidate 6]], "")</f>
        <v/>
      </c>
      <c r="AK721" s="17" t="str">
        <f>IF(NOT(ISBLANK(Audit[[#This Row],[Audit Candidate 7]])), Audit[[#This Row],[Audit Candidate 7]]-Audit[[#This Row],[Candidate 7]], "")</f>
        <v/>
      </c>
      <c r="AL721" s="17" t="str">
        <f>IF(NOT(ISBLANK(Audit[[#This Row],[Audit Candidate 8]])), Audit[[#This Row],[Audit Candidate 8]]-Audit[[#This Row],[Candidate 8]], "")</f>
        <v/>
      </c>
      <c r="AM721" s="17" t="str">
        <f>IF(NOT(ISBLANK(Audit[[#This Row],[Audit Candidate 9]])), Audit[[#This Row],[Audit Candidate 9]]-Audit[[#This Row],[Candidate 9]], "")</f>
        <v/>
      </c>
      <c r="AN721" s="17" t="str">
        <f>IF(NOT(ISBLANK(Audit[[#This Row],[Audit Candidate 10]])), Audit[[#This Row],[Audit Candidate 10]]-Audit[[#This Row],[Candidate 10]], "")</f>
        <v/>
      </c>
      <c r="AO721" s="17" t="str">
        <f>IF(NOT(ISBLANK(Audit[[#This Row],[Audit Candidate 11]])), Audit[[#This Row],[Audit Candidate 11]]-Audit[[#This Row],[Candidate 11]], "")</f>
        <v/>
      </c>
      <c r="AP721" s="17" t="str">
        <f>IF(NOT(ISBLANK(Audit[[#This Row],[Audit Candidate 12]])), Audit[[#This Row],[Audit Candidate 12]]-Audit[[#This Row],[Candidate 12]], "")</f>
        <v/>
      </c>
      <c r="AQ721" s="17">
        <f>SUMIF(Audit[[#This Row],[Difference Winner]:[Difference Candidate 12]], "&gt;0")</f>
        <v>0</v>
      </c>
      <c r="AR721" s="17">
        <f>SUM(Audit[[#This Row],[Difference Winner]:[Difference Candidate 12]])</f>
        <v>0</v>
      </c>
      <c r="AS721" s="17">
        <f>IF(Audit[[#This Row],[Times p Drawn - With Replacement]]&gt;0, IF(Audit[[#This Row],[Canceled Differences]]&lt;0, Audit[[#This Row],[Max Differences]]+ABS(Audit[[#This Row],[Canceled Differences]]), Audit[[#This Row],[Max Differences]]), 0)</f>
        <v>0</v>
      </c>
      <c r="AT721" s="17">
        <f>'Sampling Data'!AB721</f>
        <v>1.5235104396537091E-2</v>
      </c>
      <c r="AU721" s="17">
        <f>IF(
      SUM(Audit[[#This Row],[Audit Losing Candidate]:[Audit Candidate 12]])
      &lt;&gt;0,
      (Audit[[#This Row],[Winning Candidate]]-Audit[[#This Row],[Losing Candidate]]-(Audit[[#This Row],[Audit Winning Candidate]]-Audit[[#This Row],[Audit Losing Candidate]]))/(Audit[[#Totals],[Winning Candidate]]-Audit[[#Totals],[Losing Candidate]]),
      0
)</f>
        <v>0</v>
      </c>
      <c r="AV7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1" s="17">
        <f>IF(Audit[[#This Row],[Max Relative Error (ep)]] = 0, 0, Audit[[#This Row],[Max Relative Error (ep)]]/Audit[[#This Row],[Error Bound (up) - Max. possible relative overstatement]])</f>
        <v>0</v>
      </c>
      <c r="BH7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21" s="17">
        <f t="shared" si="12"/>
        <v>1</v>
      </c>
      <c r="BJ721" s="17">
        <f>PRODUCT($BI$5:BI721)</f>
        <v>0.23913763559004736</v>
      </c>
      <c r="BK721" s="19">
        <f>1 - Audit[[#This Row],[K-M P Value]]</f>
        <v>0.76086236440995259</v>
      </c>
      <c r="BL721" s="17" t="str">
        <f>IF(Audit[[#This Row],[K-M P Value]]&gt;1-'General Info'!$B$12,"Continue", "Stop")</f>
        <v>Continue</v>
      </c>
      <c r="BM721" s="22" t="b">
        <f>IF(Audit[[#This Row],[Status - Continue or stop audit]] = "Continue", TRUE, IF(BL720 = "Continue", TRUE, FALSE))</f>
        <v>1</v>
      </c>
      <c r="BN721" s="22"/>
    </row>
    <row r="722" spans="1:66" ht="15" hidden="1" customHeight="1" x14ac:dyDescent="0.35">
      <c r="A722" s="17" t="str">
        <f>'Sampling Data'!AI722</f>
        <v/>
      </c>
      <c r="B722" s="17" t="str">
        <f>'Sampling Data'!A722</f>
        <v>2406 CIN 24-F   (ED)</v>
      </c>
      <c r="C722" s="17">
        <f>'Sampling Data'!B722</f>
        <v>185</v>
      </c>
      <c r="D722" s="17">
        <f>'Sampling Data'!C722</f>
        <v>32</v>
      </c>
      <c r="E722" s="18">
        <f>'Sampling Data'!D722</f>
        <v>0</v>
      </c>
      <c r="F722" s="18">
        <f>'Sampling Data'!E722</f>
        <v>0</v>
      </c>
      <c r="G722" s="18">
        <f>'Sampling Data'!F722</f>
        <v>0</v>
      </c>
      <c r="H722" s="18">
        <f>'Sampling Data'!G722</f>
        <v>0</v>
      </c>
      <c r="I722" s="18">
        <f>'Sampling Data'!H722</f>
        <v>0</v>
      </c>
      <c r="J722" s="18">
        <f>'Sampling Data'!I722</f>
        <v>0</v>
      </c>
      <c r="K722" s="18">
        <f>'Sampling Data'!J722</f>
        <v>0</v>
      </c>
      <c r="L722" s="18">
        <f>'Sampling Data'!K722</f>
        <v>0</v>
      </c>
      <c r="M722" s="18">
        <f>'Sampling Data'!L722</f>
        <v>0</v>
      </c>
      <c r="N722" s="18">
        <f>'Sampling Data'!M722</f>
        <v>0</v>
      </c>
      <c r="O722" s="17">
        <f>'Sampling Data'!N722</f>
        <v>1</v>
      </c>
      <c r="P722" s="17">
        <f>'Sampling Data'!O722</f>
        <v>10</v>
      </c>
      <c r="Q722" s="17">
        <f>'Sampling Data'!P722</f>
        <v>228</v>
      </c>
      <c r="R722" s="17">
        <f>'Sampling Data'!AJ722</f>
        <v>0</v>
      </c>
      <c r="S722" s="111"/>
      <c r="T722" s="111"/>
      <c r="U722" s="112"/>
      <c r="V722" s="112"/>
      <c r="W722" s="111"/>
      <c r="X722" s="111"/>
      <c r="Y722" s="111"/>
      <c r="Z722" s="111"/>
      <c r="AA722" s="14"/>
      <c r="AB722" s="14"/>
      <c r="AC722" s="14"/>
      <c r="AD722" s="14"/>
      <c r="AE722" s="113" t="str">
        <f>IF(NOT(ISBLANK(Audit[[#This Row],[Audit Winning Candidate]])), Audit[[#This Row],[Audit Winning Candidate]]-Audit[[#This Row],[Winning Candidate]], "")</f>
        <v/>
      </c>
      <c r="AF722" s="17" t="str">
        <f>IF(NOT(ISBLANK(Audit[[#This Row],[Audit Losing Candidate]])), Audit[[#This Row],[Audit Losing Candidate]]-Audit[[#This Row],[Losing Candidate]], "")</f>
        <v/>
      </c>
      <c r="AG722" s="17" t="str">
        <f>IF(NOT(ISBLANK(Audit[[#This Row],[Audit Candidate 3]])), Audit[[#This Row],[Audit Candidate 3]]-Audit[[#This Row],[Candidate 3]], "")</f>
        <v/>
      </c>
      <c r="AH722" s="17" t="str">
        <f>IF(NOT(ISBLANK(Audit[[#This Row],[Audit Candidate 4]])),Audit[[#This Row],[Audit Candidate 4]]-Audit[[#This Row],[Candidate 4]], "")</f>
        <v/>
      </c>
      <c r="AI722" s="17" t="str">
        <f>IF(NOT(ISBLANK(Audit[[#This Row],[Audit Candidate 5]])), Audit[[#This Row],[Audit Candidate 5]]-Audit[[#This Row],[Candidate 5]], "")</f>
        <v/>
      </c>
      <c r="AJ722" s="17" t="str">
        <f>IF(NOT(ISBLANK(Audit[[#This Row],[Audit Candidate 6]])), Audit[[#This Row],[Audit Candidate 6]]-Audit[[#This Row],[Candidate 6]], "")</f>
        <v/>
      </c>
      <c r="AK722" s="17" t="str">
        <f>IF(NOT(ISBLANK(Audit[[#This Row],[Audit Candidate 7]])), Audit[[#This Row],[Audit Candidate 7]]-Audit[[#This Row],[Candidate 7]], "")</f>
        <v/>
      </c>
      <c r="AL722" s="17" t="str">
        <f>IF(NOT(ISBLANK(Audit[[#This Row],[Audit Candidate 8]])), Audit[[#This Row],[Audit Candidate 8]]-Audit[[#This Row],[Candidate 8]], "")</f>
        <v/>
      </c>
      <c r="AM722" s="17" t="str">
        <f>IF(NOT(ISBLANK(Audit[[#This Row],[Audit Candidate 9]])), Audit[[#This Row],[Audit Candidate 9]]-Audit[[#This Row],[Candidate 9]], "")</f>
        <v/>
      </c>
      <c r="AN722" s="17" t="str">
        <f>IF(NOT(ISBLANK(Audit[[#This Row],[Audit Candidate 10]])), Audit[[#This Row],[Audit Candidate 10]]-Audit[[#This Row],[Candidate 10]], "")</f>
        <v/>
      </c>
      <c r="AO722" s="17" t="str">
        <f>IF(NOT(ISBLANK(Audit[[#This Row],[Audit Candidate 11]])), Audit[[#This Row],[Audit Candidate 11]]-Audit[[#This Row],[Candidate 11]], "")</f>
        <v/>
      </c>
      <c r="AP722" s="17" t="str">
        <f>IF(NOT(ISBLANK(Audit[[#This Row],[Audit Candidate 12]])), Audit[[#This Row],[Audit Candidate 12]]-Audit[[#This Row],[Candidate 12]], "")</f>
        <v/>
      </c>
      <c r="AQ722" s="17">
        <f>SUMIF(Audit[[#This Row],[Difference Winner]:[Difference Candidate 12]], "&gt;0")</f>
        <v>0</v>
      </c>
      <c r="AR722" s="17">
        <f>SUM(Audit[[#This Row],[Difference Winner]:[Difference Candidate 12]])</f>
        <v>0</v>
      </c>
      <c r="AS722" s="17">
        <f>IF(Audit[[#This Row],[Times p Drawn - With Replacement]]&gt;0, IF(Audit[[#This Row],[Canceled Differences]]&lt;0, Audit[[#This Row],[Max Differences]]+ABS(Audit[[#This Row],[Canceled Differences]]), Audit[[#This Row],[Max Differences]]), 0)</f>
        <v>0</v>
      </c>
      <c r="AT722" s="17">
        <f>'Sampling Data'!AB722</f>
        <v>1.6168731964012899E-2</v>
      </c>
      <c r="AU722" s="17">
        <f>IF(
      SUM(Audit[[#This Row],[Audit Losing Candidate]:[Audit Candidate 12]])
      &lt;&gt;0,
      (Audit[[#This Row],[Winning Candidate]]-Audit[[#This Row],[Losing Candidate]]-(Audit[[#This Row],[Audit Winning Candidate]]-Audit[[#This Row],[Audit Losing Candidate]]))/(Audit[[#Totals],[Winning Candidate]]-Audit[[#Totals],[Losing Candidate]]),
      0
)</f>
        <v>0</v>
      </c>
      <c r="AV7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2" s="17">
        <f>IF(Audit[[#This Row],[Max Relative Error (ep)]] = 0, 0, Audit[[#This Row],[Max Relative Error (ep)]]/Audit[[#This Row],[Error Bound (up) - Max. possible relative overstatement]])</f>
        <v>0</v>
      </c>
      <c r="BH7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22" s="17">
        <f t="shared" si="12"/>
        <v>1</v>
      </c>
      <c r="BJ722" s="17">
        <f>PRODUCT($BI$5:BI722)</f>
        <v>0.23913763559004736</v>
      </c>
      <c r="BK722" s="19">
        <f>1 - Audit[[#This Row],[K-M P Value]]</f>
        <v>0.76086236440995259</v>
      </c>
      <c r="BL722" s="17" t="str">
        <f>IF(Audit[[#This Row],[K-M P Value]]&gt;1-'General Info'!$B$12,"Continue", "Stop")</f>
        <v>Continue</v>
      </c>
      <c r="BM722" s="22" t="b">
        <f>IF(Audit[[#This Row],[Status - Continue or stop audit]] = "Continue", TRUE, IF(BL721 = "Continue", TRUE, FALSE))</f>
        <v>1</v>
      </c>
      <c r="BN722" s="22"/>
    </row>
    <row r="723" spans="1:66" ht="15" hidden="1" customHeight="1" x14ac:dyDescent="0.35">
      <c r="A723" s="17" t="str">
        <f>'Sampling Data'!AI723</f>
        <v/>
      </c>
      <c r="B723" s="17" t="str">
        <f>'Sampling Data'!A723</f>
        <v>2407 CIN 24-G   (ED)</v>
      </c>
      <c r="C723" s="17">
        <f>'Sampling Data'!B723</f>
        <v>286</v>
      </c>
      <c r="D723" s="17">
        <f>'Sampling Data'!C723</f>
        <v>225</v>
      </c>
      <c r="E723" s="18">
        <f>'Sampling Data'!D723</f>
        <v>0</v>
      </c>
      <c r="F723" s="18">
        <f>'Sampling Data'!E723</f>
        <v>0</v>
      </c>
      <c r="G723" s="18">
        <f>'Sampling Data'!F723</f>
        <v>0</v>
      </c>
      <c r="H723" s="18">
        <f>'Sampling Data'!G723</f>
        <v>0</v>
      </c>
      <c r="I723" s="18">
        <f>'Sampling Data'!H723</f>
        <v>0</v>
      </c>
      <c r="J723" s="18">
        <f>'Sampling Data'!I723</f>
        <v>0</v>
      </c>
      <c r="K723" s="18">
        <f>'Sampling Data'!J723</f>
        <v>0</v>
      </c>
      <c r="L723" s="18">
        <f>'Sampling Data'!K723</f>
        <v>0</v>
      </c>
      <c r="M723" s="18">
        <f>'Sampling Data'!L723</f>
        <v>0</v>
      </c>
      <c r="N723" s="18">
        <f>'Sampling Data'!M723</f>
        <v>0</v>
      </c>
      <c r="O723" s="17">
        <f>'Sampling Data'!N723</f>
        <v>0</v>
      </c>
      <c r="P723" s="17">
        <f>'Sampling Data'!O723</f>
        <v>39</v>
      </c>
      <c r="Q723" s="17">
        <f>'Sampling Data'!P723</f>
        <v>550</v>
      </c>
      <c r="R723" s="17">
        <f>'Sampling Data'!AJ723</f>
        <v>0</v>
      </c>
      <c r="S723" s="111"/>
      <c r="T723" s="111"/>
      <c r="U723" s="112"/>
      <c r="V723" s="112"/>
      <c r="W723" s="111"/>
      <c r="X723" s="111"/>
      <c r="Y723" s="111"/>
      <c r="Z723" s="111"/>
      <c r="AA723" s="14"/>
      <c r="AB723" s="14"/>
      <c r="AC723" s="14"/>
      <c r="AD723" s="14"/>
      <c r="AE723" s="113" t="str">
        <f>IF(NOT(ISBLANK(Audit[[#This Row],[Audit Winning Candidate]])), Audit[[#This Row],[Audit Winning Candidate]]-Audit[[#This Row],[Winning Candidate]], "")</f>
        <v/>
      </c>
      <c r="AF723" s="17" t="str">
        <f>IF(NOT(ISBLANK(Audit[[#This Row],[Audit Losing Candidate]])), Audit[[#This Row],[Audit Losing Candidate]]-Audit[[#This Row],[Losing Candidate]], "")</f>
        <v/>
      </c>
      <c r="AG723" s="17" t="str">
        <f>IF(NOT(ISBLANK(Audit[[#This Row],[Audit Candidate 3]])), Audit[[#This Row],[Audit Candidate 3]]-Audit[[#This Row],[Candidate 3]], "")</f>
        <v/>
      </c>
      <c r="AH723" s="17" t="str">
        <f>IF(NOT(ISBLANK(Audit[[#This Row],[Audit Candidate 4]])),Audit[[#This Row],[Audit Candidate 4]]-Audit[[#This Row],[Candidate 4]], "")</f>
        <v/>
      </c>
      <c r="AI723" s="17" t="str">
        <f>IF(NOT(ISBLANK(Audit[[#This Row],[Audit Candidate 5]])), Audit[[#This Row],[Audit Candidate 5]]-Audit[[#This Row],[Candidate 5]], "")</f>
        <v/>
      </c>
      <c r="AJ723" s="17" t="str">
        <f>IF(NOT(ISBLANK(Audit[[#This Row],[Audit Candidate 6]])), Audit[[#This Row],[Audit Candidate 6]]-Audit[[#This Row],[Candidate 6]], "")</f>
        <v/>
      </c>
      <c r="AK723" s="17" t="str">
        <f>IF(NOT(ISBLANK(Audit[[#This Row],[Audit Candidate 7]])), Audit[[#This Row],[Audit Candidate 7]]-Audit[[#This Row],[Candidate 7]], "")</f>
        <v/>
      </c>
      <c r="AL723" s="17" t="str">
        <f>IF(NOT(ISBLANK(Audit[[#This Row],[Audit Candidate 8]])), Audit[[#This Row],[Audit Candidate 8]]-Audit[[#This Row],[Candidate 8]], "")</f>
        <v/>
      </c>
      <c r="AM723" s="17" t="str">
        <f>IF(NOT(ISBLANK(Audit[[#This Row],[Audit Candidate 9]])), Audit[[#This Row],[Audit Candidate 9]]-Audit[[#This Row],[Candidate 9]], "")</f>
        <v/>
      </c>
      <c r="AN723" s="17" t="str">
        <f>IF(NOT(ISBLANK(Audit[[#This Row],[Audit Candidate 10]])), Audit[[#This Row],[Audit Candidate 10]]-Audit[[#This Row],[Candidate 10]], "")</f>
        <v/>
      </c>
      <c r="AO723" s="17" t="str">
        <f>IF(NOT(ISBLANK(Audit[[#This Row],[Audit Candidate 11]])), Audit[[#This Row],[Audit Candidate 11]]-Audit[[#This Row],[Candidate 11]], "")</f>
        <v/>
      </c>
      <c r="AP723" s="17" t="str">
        <f>IF(NOT(ISBLANK(Audit[[#This Row],[Audit Candidate 12]])), Audit[[#This Row],[Audit Candidate 12]]-Audit[[#This Row],[Candidate 12]], "")</f>
        <v/>
      </c>
      <c r="AQ723" s="17">
        <f>SUMIF(Audit[[#This Row],[Difference Winner]:[Difference Candidate 12]], "&gt;0")</f>
        <v>0</v>
      </c>
      <c r="AR723" s="17">
        <f>SUM(Audit[[#This Row],[Difference Winner]:[Difference Candidate 12]])</f>
        <v>0</v>
      </c>
      <c r="AS723" s="17">
        <f>IF(Audit[[#This Row],[Times p Drawn - With Replacement]]&gt;0, IF(Audit[[#This Row],[Canceled Differences]]&lt;0, Audit[[#This Row],[Max Differences]]+ABS(Audit[[#This Row],[Canceled Differences]]), Audit[[#This Row],[Max Differences]]), 0)</f>
        <v>0</v>
      </c>
      <c r="AT723" s="17">
        <f>'Sampling Data'!AB723</f>
        <v>2.5929383805805464E-2</v>
      </c>
      <c r="AU723" s="17">
        <f>IF(
      SUM(Audit[[#This Row],[Audit Losing Candidate]:[Audit Candidate 12]])
      &lt;&gt;0,
      (Audit[[#This Row],[Winning Candidate]]-Audit[[#This Row],[Losing Candidate]]-(Audit[[#This Row],[Audit Winning Candidate]]-Audit[[#This Row],[Audit Losing Candidate]]))/(Audit[[#Totals],[Winning Candidate]]-Audit[[#Totals],[Losing Candidate]]),
      0
)</f>
        <v>0</v>
      </c>
      <c r="AV7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3" s="17">
        <f>IF(Audit[[#This Row],[Max Relative Error (ep)]] = 0, 0, Audit[[#This Row],[Max Relative Error (ep)]]/Audit[[#This Row],[Error Bound (up) - Max. possible relative overstatement]])</f>
        <v>0</v>
      </c>
      <c r="BH7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23" s="17">
        <f t="shared" si="12"/>
        <v>1</v>
      </c>
      <c r="BJ723" s="17">
        <f>PRODUCT($BI$5:BI723)</f>
        <v>0.23913763559004736</v>
      </c>
      <c r="BK723" s="19">
        <f>1 - Audit[[#This Row],[K-M P Value]]</f>
        <v>0.76086236440995259</v>
      </c>
      <c r="BL723" s="17" t="str">
        <f>IF(Audit[[#This Row],[K-M P Value]]&gt;1-'General Info'!$B$12,"Continue", "Stop")</f>
        <v>Continue</v>
      </c>
      <c r="BM723" s="22" t="b">
        <f>IF(Audit[[#This Row],[Status - Continue or stop audit]] = "Continue", TRUE, IF(BL722 = "Continue", TRUE, FALSE))</f>
        <v>1</v>
      </c>
      <c r="BN723" s="22"/>
    </row>
    <row r="724" spans="1:66" ht="15" hidden="1" customHeight="1" x14ac:dyDescent="0.35">
      <c r="A724" s="17" t="str">
        <f>'Sampling Data'!AI724</f>
        <v/>
      </c>
      <c r="B724" s="17" t="str">
        <f>'Sampling Data'!A724</f>
        <v>2408 CIN 24-H   (ED)</v>
      </c>
      <c r="C724" s="17">
        <f>'Sampling Data'!B724</f>
        <v>80</v>
      </c>
      <c r="D724" s="17">
        <f>'Sampling Data'!C724</f>
        <v>5</v>
      </c>
      <c r="E724" s="18">
        <f>'Sampling Data'!D724</f>
        <v>0</v>
      </c>
      <c r="F724" s="18">
        <f>'Sampling Data'!E724</f>
        <v>0</v>
      </c>
      <c r="G724" s="18">
        <f>'Sampling Data'!F724</f>
        <v>0</v>
      </c>
      <c r="H724" s="18">
        <f>'Sampling Data'!G724</f>
        <v>0</v>
      </c>
      <c r="I724" s="18">
        <f>'Sampling Data'!H724</f>
        <v>0</v>
      </c>
      <c r="J724" s="18">
        <f>'Sampling Data'!I724</f>
        <v>0</v>
      </c>
      <c r="K724" s="18">
        <f>'Sampling Data'!J724</f>
        <v>0</v>
      </c>
      <c r="L724" s="18">
        <f>'Sampling Data'!K724</f>
        <v>0</v>
      </c>
      <c r="M724" s="18">
        <f>'Sampling Data'!L724</f>
        <v>0</v>
      </c>
      <c r="N724" s="18">
        <f>'Sampling Data'!M724</f>
        <v>0</v>
      </c>
      <c r="O724" s="17">
        <f>'Sampling Data'!N724</f>
        <v>0</v>
      </c>
      <c r="P724" s="17">
        <f>'Sampling Data'!O724</f>
        <v>8</v>
      </c>
      <c r="Q724" s="17">
        <f>'Sampling Data'!P724</f>
        <v>93</v>
      </c>
      <c r="R724" s="17">
        <f>'Sampling Data'!AJ724</f>
        <v>0</v>
      </c>
      <c r="S724" s="111"/>
      <c r="T724" s="111"/>
      <c r="U724" s="112"/>
      <c r="V724" s="112"/>
      <c r="W724" s="111"/>
      <c r="X724" s="111"/>
      <c r="Y724" s="111"/>
      <c r="Z724" s="111"/>
      <c r="AA724" s="14"/>
      <c r="AB724" s="14"/>
      <c r="AC724" s="14"/>
      <c r="AD724" s="14"/>
      <c r="AE724" s="113" t="str">
        <f>IF(NOT(ISBLANK(Audit[[#This Row],[Audit Winning Candidate]])), Audit[[#This Row],[Audit Winning Candidate]]-Audit[[#This Row],[Winning Candidate]], "")</f>
        <v/>
      </c>
      <c r="AF724" s="17" t="str">
        <f>IF(NOT(ISBLANK(Audit[[#This Row],[Audit Losing Candidate]])), Audit[[#This Row],[Audit Losing Candidate]]-Audit[[#This Row],[Losing Candidate]], "")</f>
        <v/>
      </c>
      <c r="AG724" s="17" t="str">
        <f>IF(NOT(ISBLANK(Audit[[#This Row],[Audit Candidate 3]])), Audit[[#This Row],[Audit Candidate 3]]-Audit[[#This Row],[Candidate 3]], "")</f>
        <v/>
      </c>
      <c r="AH724" s="17" t="str">
        <f>IF(NOT(ISBLANK(Audit[[#This Row],[Audit Candidate 4]])),Audit[[#This Row],[Audit Candidate 4]]-Audit[[#This Row],[Candidate 4]], "")</f>
        <v/>
      </c>
      <c r="AI724" s="17" t="str">
        <f>IF(NOT(ISBLANK(Audit[[#This Row],[Audit Candidate 5]])), Audit[[#This Row],[Audit Candidate 5]]-Audit[[#This Row],[Candidate 5]], "")</f>
        <v/>
      </c>
      <c r="AJ724" s="17" t="str">
        <f>IF(NOT(ISBLANK(Audit[[#This Row],[Audit Candidate 6]])), Audit[[#This Row],[Audit Candidate 6]]-Audit[[#This Row],[Candidate 6]], "")</f>
        <v/>
      </c>
      <c r="AK724" s="17" t="str">
        <f>IF(NOT(ISBLANK(Audit[[#This Row],[Audit Candidate 7]])), Audit[[#This Row],[Audit Candidate 7]]-Audit[[#This Row],[Candidate 7]], "")</f>
        <v/>
      </c>
      <c r="AL724" s="17" t="str">
        <f>IF(NOT(ISBLANK(Audit[[#This Row],[Audit Candidate 8]])), Audit[[#This Row],[Audit Candidate 8]]-Audit[[#This Row],[Candidate 8]], "")</f>
        <v/>
      </c>
      <c r="AM724" s="17" t="str">
        <f>IF(NOT(ISBLANK(Audit[[#This Row],[Audit Candidate 9]])), Audit[[#This Row],[Audit Candidate 9]]-Audit[[#This Row],[Candidate 9]], "")</f>
        <v/>
      </c>
      <c r="AN724" s="17" t="str">
        <f>IF(NOT(ISBLANK(Audit[[#This Row],[Audit Candidate 10]])), Audit[[#This Row],[Audit Candidate 10]]-Audit[[#This Row],[Candidate 10]], "")</f>
        <v/>
      </c>
      <c r="AO724" s="17" t="str">
        <f>IF(NOT(ISBLANK(Audit[[#This Row],[Audit Candidate 11]])), Audit[[#This Row],[Audit Candidate 11]]-Audit[[#This Row],[Candidate 11]], "")</f>
        <v/>
      </c>
      <c r="AP724" s="17" t="str">
        <f>IF(NOT(ISBLANK(Audit[[#This Row],[Audit Candidate 12]])), Audit[[#This Row],[Audit Candidate 12]]-Audit[[#This Row],[Candidate 12]], "")</f>
        <v/>
      </c>
      <c r="AQ724" s="17">
        <f>SUMIF(Audit[[#This Row],[Difference Winner]:[Difference Candidate 12]], "&gt;0")</f>
        <v>0</v>
      </c>
      <c r="AR724" s="17">
        <f>SUM(Audit[[#This Row],[Difference Winner]:[Difference Candidate 12]])</f>
        <v>0</v>
      </c>
      <c r="AS724" s="17">
        <f>IF(Audit[[#This Row],[Times p Drawn - With Replacement]]&gt;0, IF(Audit[[#This Row],[Canceled Differences]]&lt;0, Audit[[#This Row],[Max Differences]]+ABS(Audit[[#This Row],[Canceled Differences]]), Audit[[#This Row],[Max Differences]]), 0)</f>
        <v>0</v>
      </c>
      <c r="AT724" s="17">
        <f>'Sampling Data'!AB724</f>
        <v>7.1295196061789169E-3</v>
      </c>
      <c r="AU724" s="17">
        <f>IF(
      SUM(Audit[[#This Row],[Audit Losing Candidate]:[Audit Candidate 12]])
      &lt;&gt;0,
      (Audit[[#This Row],[Winning Candidate]]-Audit[[#This Row],[Losing Candidate]]-(Audit[[#This Row],[Audit Winning Candidate]]-Audit[[#This Row],[Audit Losing Candidate]]))/(Audit[[#Totals],[Winning Candidate]]-Audit[[#Totals],[Losing Candidate]]),
      0
)</f>
        <v>0</v>
      </c>
      <c r="AV7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4" s="17">
        <f>IF(Audit[[#This Row],[Max Relative Error (ep)]] = 0, 0, Audit[[#This Row],[Max Relative Error (ep)]]/Audit[[#This Row],[Error Bound (up) - Max. possible relative overstatement]])</f>
        <v>0</v>
      </c>
      <c r="BH7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24" s="17">
        <f t="shared" si="12"/>
        <v>1</v>
      </c>
      <c r="BJ724" s="17">
        <f>PRODUCT($BI$5:BI724)</f>
        <v>0.23913763559004736</v>
      </c>
      <c r="BK724" s="19">
        <f>1 - Audit[[#This Row],[K-M P Value]]</f>
        <v>0.76086236440995259</v>
      </c>
      <c r="BL724" s="17" t="str">
        <f>IF(Audit[[#This Row],[K-M P Value]]&gt;1-'General Info'!$B$12,"Continue", "Stop")</f>
        <v>Continue</v>
      </c>
      <c r="BM724" s="22" t="b">
        <f>IF(Audit[[#This Row],[Status - Continue or stop audit]] = "Continue", TRUE, IF(BL723 = "Continue", TRUE, FALSE))</f>
        <v>1</v>
      </c>
      <c r="BN724" s="22"/>
    </row>
    <row r="725" spans="1:66" ht="15" hidden="1" customHeight="1" x14ac:dyDescent="0.35">
      <c r="A725" s="17" t="str">
        <f>'Sampling Data'!AI725</f>
        <v/>
      </c>
      <c r="B725" s="17" t="str">
        <f>'Sampling Data'!A725</f>
        <v>2409 CIN 24-I   (ED)</v>
      </c>
      <c r="C725" s="17">
        <f>'Sampling Data'!B725</f>
        <v>117</v>
      </c>
      <c r="D725" s="17">
        <f>'Sampling Data'!C725</f>
        <v>9</v>
      </c>
      <c r="E725" s="18">
        <f>'Sampling Data'!D725</f>
        <v>0</v>
      </c>
      <c r="F725" s="18">
        <f>'Sampling Data'!E725</f>
        <v>0</v>
      </c>
      <c r="G725" s="18">
        <f>'Sampling Data'!F725</f>
        <v>0</v>
      </c>
      <c r="H725" s="18">
        <f>'Sampling Data'!G725</f>
        <v>0</v>
      </c>
      <c r="I725" s="18">
        <f>'Sampling Data'!H725</f>
        <v>0</v>
      </c>
      <c r="J725" s="18">
        <f>'Sampling Data'!I725</f>
        <v>0</v>
      </c>
      <c r="K725" s="18">
        <f>'Sampling Data'!J725</f>
        <v>0</v>
      </c>
      <c r="L725" s="18">
        <f>'Sampling Data'!K725</f>
        <v>0</v>
      </c>
      <c r="M725" s="18">
        <f>'Sampling Data'!L725</f>
        <v>0</v>
      </c>
      <c r="N725" s="18">
        <f>'Sampling Data'!M725</f>
        <v>0</v>
      </c>
      <c r="O725" s="17">
        <f>'Sampling Data'!N725</f>
        <v>1</v>
      </c>
      <c r="P725" s="17">
        <f>'Sampling Data'!O725</f>
        <v>6</v>
      </c>
      <c r="Q725" s="17">
        <f>'Sampling Data'!P725</f>
        <v>133</v>
      </c>
      <c r="R725" s="17">
        <f>'Sampling Data'!AJ725</f>
        <v>0</v>
      </c>
      <c r="S725" s="111"/>
      <c r="T725" s="111"/>
      <c r="U725" s="112"/>
      <c r="V725" s="112"/>
      <c r="W725" s="111"/>
      <c r="X725" s="111"/>
      <c r="Y725" s="111"/>
      <c r="Z725" s="111"/>
      <c r="AA725" s="14"/>
      <c r="AB725" s="14"/>
      <c r="AC725" s="14"/>
      <c r="AD725" s="14"/>
      <c r="AE725" s="113" t="str">
        <f>IF(NOT(ISBLANK(Audit[[#This Row],[Audit Winning Candidate]])), Audit[[#This Row],[Audit Winning Candidate]]-Audit[[#This Row],[Winning Candidate]], "")</f>
        <v/>
      </c>
      <c r="AF725" s="17" t="str">
        <f>IF(NOT(ISBLANK(Audit[[#This Row],[Audit Losing Candidate]])), Audit[[#This Row],[Audit Losing Candidate]]-Audit[[#This Row],[Losing Candidate]], "")</f>
        <v/>
      </c>
      <c r="AG725" s="17" t="str">
        <f>IF(NOT(ISBLANK(Audit[[#This Row],[Audit Candidate 3]])), Audit[[#This Row],[Audit Candidate 3]]-Audit[[#This Row],[Candidate 3]], "")</f>
        <v/>
      </c>
      <c r="AH725" s="17" t="str">
        <f>IF(NOT(ISBLANK(Audit[[#This Row],[Audit Candidate 4]])),Audit[[#This Row],[Audit Candidate 4]]-Audit[[#This Row],[Candidate 4]], "")</f>
        <v/>
      </c>
      <c r="AI725" s="17" t="str">
        <f>IF(NOT(ISBLANK(Audit[[#This Row],[Audit Candidate 5]])), Audit[[#This Row],[Audit Candidate 5]]-Audit[[#This Row],[Candidate 5]], "")</f>
        <v/>
      </c>
      <c r="AJ725" s="17" t="str">
        <f>IF(NOT(ISBLANK(Audit[[#This Row],[Audit Candidate 6]])), Audit[[#This Row],[Audit Candidate 6]]-Audit[[#This Row],[Candidate 6]], "")</f>
        <v/>
      </c>
      <c r="AK725" s="17" t="str">
        <f>IF(NOT(ISBLANK(Audit[[#This Row],[Audit Candidate 7]])), Audit[[#This Row],[Audit Candidate 7]]-Audit[[#This Row],[Candidate 7]], "")</f>
        <v/>
      </c>
      <c r="AL725" s="17" t="str">
        <f>IF(NOT(ISBLANK(Audit[[#This Row],[Audit Candidate 8]])), Audit[[#This Row],[Audit Candidate 8]]-Audit[[#This Row],[Candidate 8]], "")</f>
        <v/>
      </c>
      <c r="AM725" s="17" t="str">
        <f>IF(NOT(ISBLANK(Audit[[#This Row],[Audit Candidate 9]])), Audit[[#This Row],[Audit Candidate 9]]-Audit[[#This Row],[Candidate 9]], "")</f>
        <v/>
      </c>
      <c r="AN725" s="17" t="str">
        <f>IF(NOT(ISBLANK(Audit[[#This Row],[Audit Candidate 10]])), Audit[[#This Row],[Audit Candidate 10]]-Audit[[#This Row],[Candidate 10]], "")</f>
        <v/>
      </c>
      <c r="AO725" s="17" t="str">
        <f>IF(NOT(ISBLANK(Audit[[#This Row],[Audit Candidate 11]])), Audit[[#This Row],[Audit Candidate 11]]-Audit[[#This Row],[Candidate 11]], "")</f>
        <v/>
      </c>
      <c r="AP725" s="17" t="str">
        <f>IF(NOT(ISBLANK(Audit[[#This Row],[Audit Candidate 12]])), Audit[[#This Row],[Audit Candidate 12]]-Audit[[#This Row],[Candidate 12]], "")</f>
        <v/>
      </c>
      <c r="AQ725" s="17">
        <f>SUMIF(Audit[[#This Row],[Difference Winner]:[Difference Candidate 12]], "&gt;0")</f>
        <v>0</v>
      </c>
      <c r="AR725" s="17">
        <f>SUM(Audit[[#This Row],[Difference Winner]:[Difference Candidate 12]])</f>
        <v>0</v>
      </c>
      <c r="AS725" s="17">
        <f>IF(Audit[[#This Row],[Times p Drawn - With Replacement]]&gt;0, IF(Audit[[#This Row],[Canceled Differences]]&lt;0, Audit[[#This Row],[Max Differences]]+ABS(Audit[[#This Row],[Canceled Differences]]), Audit[[#This Row],[Max Differences]]), 0)</f>
        <v>0</v>
      </c>
      <c r="AT725" s="17">
        <f>'Sampling Data'!AB725</f>
        <v>1.0227465625530471E-2</v>
      </c>
      <c r="AU725" s="17">
        <f>IF(
      SUM(Audit[[#This Row],[Audit Losing Candidate]:[Audit Candidate 12]])
      &lt;&gt;0,
      (Audit[[#This Row],[Winning Candidate]]-Audit[[#This Row],[Losing Candidate]]-(Audit[[#This Row],[Audit Winning Candidate]]-Audit[[#This Row],[Audit Losing Candidate]]))/(Audit[[#Totals],[Winning Candidate]]-Audit[[#Totals],[Losing Candidate]]),
      0
)</f>
        <v>0</v>
      </c>
      <c r="AV7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5" s="17">
        <f>IF(Audit[[#This Row],[Max Relative Error (ep)]] = 0, 0, Audit[[#This Row],[Max Relative Error (ep)]]/Audit[[#This Row],[Error Bound (up) - Max. possible relative overstatement]])</f>
        <v>0</v>
      </c>
      <c r="BH7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25" s="17">
        <f t="shared" si="12"/>
        <v>1</v>
      </c>
      <c r="BJ725" s="17">
        <f>PRODUCT($BI$5:BI725)</f>
        <v>0.23913763559004736</v>
      </c>
      <c r="BK725" s="19">
        <f>1 - Audit[[#This Row],[K-M P Value]]</f>
        <v>0.76086236440995259</v>
      </c>
      <c r="BL725" s="17" t="str">
        <f>IF(Audit[[#This Row],[K-M P Value]]&gt;1-'General Info'!$B$12,"Continue", "Stop")</f>
        <v>Continue</v>
      </c>
      <c r="BM725" s="22" t="b">
        <f>IF(Audit[[#This Row],[Status - Continue or stop audit]] = "Continue", TRUE, IF(BL724 = "Continue", TRUE, FALSE))</f>
        <v>1</v>
      </c>
      <c r="BN725" s="22"/>
    </row>
    <row r="726" spans="1:66" ht="15" hidden="1" customHeight="1" x14ac:dyDescent="0.35">
      <c r="A726" s="17" t="str">
        <f>'Sampling Data'!AI726</f>
        <v/>
      </c>
      <c r="B726" s="17" t="str">
        <f>'Sampling Data'!A726</f>
        <v>2501 CIN 25-A   (ED)</v>
      </c>
      <c r="C726" s="17">
        <f>'Sampling Data'!B726</f>
        <v>264</v>
      </c>
      <c r="D726" s="17">
        <f>'Sampling Data'!C726</f>
        <v>40</v>
      </c>
      <c r="E726" s="18">
        <f>'Sampling Data'!D726</f>
        <v>0</v>
      </c>
      <c r="F726" s="18">
        <f>'Sampling Data'!E726</f>
        <v>0</v>
      </c>
      <c r="G726" s="18">
        <f>'Sampling Data'!F726</f>
        <v>0</v>
      </c>
      <c r="H726" s="18">
        <f>'Sampling Data'!G726</f>
        <v>0</v>
      </c>
      <c r="I726" s="18">
        <f>'Sampling Data'!H726</f>
        <v>0</v>
      </c>
      <c r="J726" s="18">
        <f>'Sampling Data'!I726</f>
        <v>0</v>
      </c>
      <c r="K726" s="18">
        <f>'Sampling Data'!J726</f>
        <v>0</v>
      </c>
      <c r="L726" s="18">
        <f>'Sampling Data'!K726</f>
        <v>0</v>
      </c>
      <c r="M726" s="18">
        <f>'Sampling Data'!L726</f>
        <v>0</v>
      </c>
      <c r="N726" s="18">
        <f>'Sampling Data'!M726</f>
        <v>0</v>
      </c>
      <c r="O726" s="17">
        <f>'Sampling Data'!N726</f>
        <v>0</v>
      </c>
      <c r="P726" s="17">
        <f>'Sampling Data'!O726</f>
        <v>23</v>
      </c>
      <c r="Q726" s="17">
        <f>'Sampling Data'!P726</f>
        <v>327</v>
      </c>
      <c r="R726" s="17">
        <f>'Sampling Data'!AJ726</f>
        <v>0</v>
      </c>
      <c r="S726" s="111"/>
      <c r="T726" s="111"/>
      <c r="U726" s="112"/>
      <c r="V726" s="112"/>
      <c r="W726" s="111"/>
      <c r="X726" s="111"/>
      <c r="Y726" s="111"/>
      <c r="Z726" s="111"/>
      <c r="AA726" s="14"/>
      <c r="AB726" s="14"/>
      <c r="AC726" s="14"/>
      <c r="AD726" s="14"/>
      <c r="AE726" s="113" t="str">
        <f>IF(NOT(ISBLANK(Audit[[#This Row],[Audit Winning Candidate]])), Audit[[#This Row],[Audit Winning Candidate]]-Audit[[#This Row],[Winning Candidate]], "")</f>
        <v/>
      </c>
      <c r="AF726" s="17" t="str">
        <f>IF(NOT(ISBLANK(Audit[[#This Row],[Audit Losing Candidate]])), Audit[[#This Row],[Audit Losing Candidate]]-Audit[[#This Row],[Losing Candidate]], "")</f>
        <v/>
      </c>
      <c r="AG726" s="17" t="str">
        <f>IF(NOT(ISBLANK(Audit[[#This Row],[Audit Candidate 3]])), Audit[[#This Row],[Audit Candidate 3]]-Audit[[#This Row],[Candidate 3]], "")</f>
        <v/>
      </c>
      <c r="AH726" s="17" t="str">
        <f>IF(NOT(ISBLANK(Audit[[#This Row],[Audit Candidate 4]])),Audit[[#This Row],[Audit Candidate 4]]-Audit[[#This Row],[Candidate 4]], "")</f>
        <v/>
      </c>
      <c r="AI726" s="17" t="str">
        <f>IF(NOT(ISBLANK(Audit[[#This Row],[Audit Candidate 5]])), Audit[[#This Row],[Audit Candidate 5]]-Audit[[#This Row],[Candidate 5]], "")</f>
        <v/>
      </c>
      <c r="AJ726" s="17" t="str">
        <f>IF(NOT(ISBLANK(Audit[[#This Row],[Audit Candidate 6]])), Audit[[#This Row],[Audit Candidate 6]]-Audit[[#This Row],[Candidate 6]], "")</f>
        <v/>
      </c>
      <c r="AK726" s="17" t="str">
        <f>IF(NOT(ISBLANK(Audit[[#This Row],[Audit Candidate 7]])), Audit[[#This Row],[Audit Candidate 7]]-Audit[[#This Row],[Candidate 7]], "")</f>
        <v/>
      </c>
      <c r="AL726" s="17" t="str">
        <f>IF(NOT(ISBLANK(Audit[[#This Row],[Audit Candidate 8]])), Audit[[#This Row],[Audit Candidate 8]]-Audit[[#This Row],[Candidate 8]], "")</f>
        <v/>
      </c>
      <c r="AM726" s="17" t="str">
        <f>IF(NOT(ISBLANK(Audit[[#This Row],[Audit Candidate 9]])), Audit[[#This Row],[Audit Candidate 9]]-Audit[[#This Row],[Candidate 9]], "")</f>
        <v/>
      </c>
      <c r="AN726" s="17" t="str">
        <f>IF(NOT(ISBLANK(Audit[[#This Row],[Audit Candidate 10]])), Audit[[#This Row],[Audit Candidate 10]]-Audit[[#This Row],[Candidate 10]], "")</f>
        <v/>
      </c>
      <c r="AO726" s="17" t="str">
        <f>IF(NOT(ISBLANK(Audit[[#This Row],[Audit Candidate 11]])), Audit[[#This Row],[Audit Candidate 11]]-Audit[[#This Row],[Candidate 11]], "")</f>
        <v/>
      </c>
      <c r="AP726" s="17" t="str">
        <f>IF(NOT(ISBLANK(Audit[[#This Row],[Audit Candidate 12]])), Audit[[#This Row],[Audit Candidate 12]]-Audit[[#This Row],[Candidate 12]], "")</f>
        <v/>
      </c>
      <c r="AQ726" s="17">
        <f>SUMIF(Audit[[#This Row],[Difference Winner]:[Difference Candidate 12]], "&gt;0")</f>
        <v>0</v>
      </c>
      <c r="AR726" s="17">
        <f>SUM(Audit[[#This Row],[Difference Winner]:[Difference Candidate 12]])</f>
        <v>0</v>
      </c>
      <c r="AS726" s="17">
        <f>IF(Audit[[#This Row],[Times p Drawn - With Replacement]]&gt;0, IF(Audit[[#This Row],[Canceled Differences]]&lt;0, Audit[[#This Row],[Max Differences]]+ABS(Audit[[#This Row],[Canceled Differences]]), Audit[[#This Row],[Max Differences]]), 0)</f>
        <v>0</v>
      </c>
      <c r="AT726" s="17">
        <f>'Sampling Data'!AB726</f>
        <v>2.3383126803598709E-2</v>
      </c>
      <c r="AU726" s="17">
        <f>IF(
      SUM(Audit[[#This Row],[Audit Losing Candidate]:[Audit Candidate 12]])
      &lt;&gt;0,
      (Audit[[#This Row],[Winning Candidate]]-Audit[[#This Row],[Losing Candidate]]-(Audit[[#This Row],[Audit Winning Candidate]]-Audit[[#This Row],[Audit Losing Candidate]]))/(Audit[[#Totals],[Winning Candidate]]-Audit[[#Totals],[Losing Candidate]]),
      0
)</f>
        <v>0</v>
      </c>
      <c r="AV7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6" s="17">
        <f>IF(Audit[[#This Row],[Max Relative Error (ep)]] = 0, 0, Audit[[#This Row],[Max Relative Error (ep)]]/Audit[[#This Row],[Error Bound (up) - Max. possible relative overstatement]])</f>
        <v>0</v>
      </c>
      <c r="BH7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26" s="17">
        <f t="shared" si="12"/>
        <v>1</v>
      </c>
      <c r="BJ726" s="17">
        <f>PRODUCT($BI$5:BI726)</f>
        <v>0.23913763559004736</v>
      </c>
      <c r="BK726" s="19">
        <f>1 - Audit[[#This Row],[K-M P Value]]</f>
        <v>0.76086236440995259</v>
      </c>
      <c r="BL726" s="17" t="str">
        <f>IF(Audit[[#This Row],[K-M P Value]]&gt;1-'General Info'!$B$12,"Continue", "Stop")</f>
        <v>Continue</v>
      </c>
      <c r="BM726" s="22" t="b">
        <f>IF(Audit[[#This Row],[Status - Continue or stop audit]] = "Continue", TRUE, IF(BL725 = "Continue", TRUE, FALSE))</f>
        <v>1</v>
      </c>
      <c r="BN726" s="22"/>
    </row>
    <row r="727" spans="1:66" ht="15" hidden="1" customHeight="1" x14ac:dyDescent="0.35">
      <c r="A727" s="17" t="str">
        <f>'Sampling Data'!AI727</f>
        <v/>
      </c>
      <c r="B727" s="17" t="str">
        <f>'Sampling Data'!A727</f>
        <v>2502 CIN 25-B   (ED)</v>
      </c>
      <c r="C727" s="17">
        <f>'Sampling Data'!B727</f>
        <v>187</v>
      </c>
      <c r="D727" s="17">
        <f>'Sampling Data'!C727</f>
        <v>89</v>
      </c>
      <c r="E727" s="18">
        <f>'Sampling Data'!D727</f>
        <v>0</v>
      </c>
      <c r="F727" s="18">
        <f>'Sampling Data'!E727</f>
        <v>0</v>
      </c>
      <c r="G727" s="18">
        <f>'Sampling Data'!F727</f>
        <v>0</v>
      </c>
      <c r="H727" s="18">
        <f>'Sampling Data'!G727</f>
        <v>0</v>
      </c>
      <c r="I727" s="18">
        <f>'Sampling Data'!H727</f>
        <v>0</v>
      </c>
      <c r="J727" s="18">
        <f>'Sampling Data'!I727</f>
        <v>0</v>
      </c>
      <c r="K727" s="18">
        <f>'Sampling Data'!J727</f>
        <v>0</v>
      </c>
      <c r="L727" s="18">
        <f>'Sampling Data'!K727</f>
        <v>0</v>
      </c>
      <c r="M727" s="18">
        <f>'Sampling Data'!L727</f>
        <v>0</v>
      </c>
      <c r="N727" s="18">
        <f>'Sampling Data'!M727</f>
        <v>0</v>
      </c>
      <c r="O727" s="17">
        <f>'Sampling Data'!N727</f>
        <v>0</v>
      </c>
      <c r="P727" s="17">
        <f>'Sampling Data'!O727</f>
        <v>27</v>
      </c>
      <c r="Q727" s="17">
        <f>'Sampling Data'!P727</f>
        <v>303</v>
      </c>
      <c r="R727" s="17">
        <f>'Sampling Data'!AJ727</f>
        <v>0</v>
      </c>
      <c r="S727" s="111"/>
      <c r="T727" s="111"/>
      <c r="U727" s="112"/>
      <c r="V727" s="112"/>
      <c r="W727" s="111"/>
      <c r="X727" s="111"/>
      <c r="Y727" s="111"/>
      <c r="Z727" s="111"/>
      <c r="AA727" s="14"/>
      <c r="AB727" s="14"/>
      <c r="AC727" s="14"/>
      <c r="AD727" s="14"/>
      <c r="AE727" s="113" t="str">
        <f>IF(NOT(ISBLANK(Audit[[#This Row],[Audit Winning Candidate]])), Audit[[#This Row],[Audit Winning Candidate]]-Audit[[#This Row],[Winning Candidate]], "")</f>
        <v/>
      </c>
      <c r="AF727" s="17" t="str">
        <f>IF(NOT(ISBLANK(Audit[[#This Row],[Audit Losing Candidate]])), Audit[[#This Row],[Audit Losing Candidate]]-Audit[[#This Row],[Losing Candidate]], "")</f>
        <v/>
      </c>
      <c r="AG727" s="17" t="str">
        <f>IF(NOT(ISBLANK(Audit[[#This Row],[Audit Candidate 3]])), Audit[[#This Row],[Audit Candidate 3]]-Audit[[#This Row],[Candidate 3]], "")</f>
        <v/>
      </c>
      <c r="AH727" s="17" t="str">
        <f>IF(NOT(ISBLANK(Audit[[#This Row],[Audit Candidate 4]])),Audit[[#This Row],[Audit Candidate 4]]-Audit[[#This Row],[Candidate 4]], "")</f>
        <v/>
      </c>
      <c r="AI727" s="17" t="str">
        <f>IF(NOT(ISBLANK(Audit[[#This Row],[Audit Candidate 5]])), Audit[[#This Row],[Audit Candidate 5]]-Audit[[#This Row],[Candidate 5]], "")</f>
        <v/>
      </c>
      <c r="AJ727" s="17" t="str">
        <f>IF(NOT(ISBLANK(Audit[[#This Row],[Audit Candidate 6]])), Audit[[#This Row],[Audit Candidate 6]]-Audit[[#This Row],[Candidate 6]], "")</f>
        <v/>
      </c>
      <c r="AK727" s="17" t="str">
        <f>IF(NOT(ISBLANK(Audit[[#This Row],[Audit Candidate 7]])), Audit[[#This Row],[Audit Candidate 7]]-Audit[[#This Row],[Candidate 7]], "")</f>
        <v/>
      </c>
      <c r="AL727" s="17" t="str">
        <f>IF(NOT(ISBLANK(Audit[[#This Row],[Audit Candidate 8]])), Audit[[#This Row],[Audit Candidate 8]]-Audit[[#This Row],[Candidate 8]], "")</f>
        <v/>
      </c>
      <c r="AM727" s="17" t="str">
        <f>IF(NOT(ISBLANK(Audit[[#This Row],[Audit Candidate 9]])), Audit[[#This Row],[Audit Candidate 9]]-Audit[[#This Row],[Candidate 9]], "")</f>
        <v/>
      </c>
      <c r="AN727" s="17" t="str">
        <f>IF(NOT(ISBLANK(Audit[[#This Row],[Audit Candidate 10]])), Audit[[#This Row],[Audit Candidate 10]]-Audit[[#This Row],[Candidate 10]], "")</f>
        <v/>
      </c>
      <c r="AO727" s="17" t="str">
        <f>IF(NOT(ISBLANK(Audit[[#This Row],[Audit Candidate 11]])), Audit[[#This Row],[Audit Candidate 11]]-Audit[[#This Row],[Candidate 11]], "")</f>
        <v/>
      </c>
      <c r="AP727" s="17" t="str">
        <f>IF(NOT(ISBLANK(Audit[[#This Row],[Audit Candidate 12]])), Audit[[#This Row],[Audit Candidate 12]]-Audit[[#This Row],[Candidate 12]], "")</f>
        <v/>
      </c>
      <c r="AQ727" s="17">
        <f>SUMIF(Audit[[#This Row],[Difference Winner]:[Difference Candidate 12]], "&gt;0")</f>
        <v>0</v>
      </c>
      <c r="AR727" s="17">
        <f>SUM(Audit[[#This Row],[Difference Winner]:[Difference Candidate 12]])</f>
        <v>0</v>
      </c>
      <c r="AS727" s="17">
        <f>IF(Audit[[#This Row],[Times p Drawn - With Replacement]]&gt;0, IF(Audit[[#This Row],[Canceled Differences]]&lt;0, Audit[[#This Row],[Max Differences]]+ABS(Audit[[#This Row],[Canceled Differences]]), Audit[[#This Row],[Max Differences]]), 0)</f>
        <v>0</v>
      </c>
      <c r="AT727" s="17">
        <f>'Sampling Data'!AB727</f>
        <v>1.7017484298081819E-2</v>
      </c>
      <c r="AU727" s="17">
        <f>IF(
      SUM(Audit[[#This Row],[Audit Losing Candidate]:[Audit Candidate 12]])
      &lt;&gt;0,
      (Audit[[#This Row],[Winning Candidate]]-Audit[[#This Row],[Losing Candidate]]-(Audit[[#This Row],[Audit Winning Candidate]]-Audit[[#This Row],[Audit Losing Candidate]]))/(Audit[[#Totals],[Winning Candidate]]-Audit[[#Totals],[Losing Candidate]]),
      0
)</f>
        <v>0</v>
      </c>
      <c r="AV7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7" s="17">
        <f>IF(Audit[[#This Row],[Max Relative Error (ep)]] = 0, 0, Audit[[#This Row],[Max Relative Error (ep)]]/Audit[[#This Row],[Error Bound (up) - Max. possible relative overstatement]])</f>
        <v>0</v>
      </c>
      <c r="BH7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27" s="17">
        <f t="shared" si="12"/>
        <v>1</v>
      </c>
      <c r="BJ727" s="17">
        <f>PRODUCT($BI$5:BI727)</f>
        <v>0.23913763559004736</v>
      </c>
      <c r="BK727" s="19">
        <f>1 - Audit[[#This Row],[K-M P Value]]</f>
        <v>0.76086236440995259</v>
      </c>
      <c r="BL727" s="17" t="str">
        <f>IF(Audit[[#This Row],[K-M P Value]]&gt;1-'General Info'!$B$12,"Continue", "Stop")</f>
        <v>Continue</v>
      </c>
      <c r="BM727" s="22" t="b">
        <f>IF(Audit[[#This Row],[Status - Continue or stop audit]] = "Continue", TRUE, IF(BL726 = "Continue", TRUE, FALSE))</f>
        <v>1</v>
      </c>
      <c r="BN727" s="22"/>
    </row>
    <row r="728" spans="1:66" ht="15" hidden="1" customHeight="1" x14ac:dyDescent="0.35">
      <c r="A728" s="17" t="str">
        <f>'Sampling Data'!AI728</f>
        <v/>
      </c>
      <c r="B728" s="17" t="str">
        <f>'Sampling Data'!A728</f>
        <v>2503 CIN 25-C   (ED)</v>
      </c>
      <c r="C728" s="17">
        <f>'Sampling Data'!B728</f>
        <v>291</v>
      </c>
      <c r="D728" s="17">
        <f>'Sampling Data'!C728</f>
        <v>251</v>
      </c>
      <c r="E728" s="18">
        <f>'Sampling Data'!D728</f>
        <v>0</v>
      </c>
      <c r="F728" s="18">
        <f>'Sampling Data'!E728</f>
        <v>0</v>
      </c>
      <c r="G728" s="18">
        <f>'Sampling Data'!F728</f>
        <v>0</v>
      </c>
      <c r="H728" s="18">
        <f>'Sampling Data'!G728</f>
        <v>0</v>
      </c>
      <c r="I728" s="18">
        <f>'Sampling Data'!H728</f>
        <v>0</v>
      </c>
      <c r="J728" s="18">
        <f>'Sampling Data'!I728</f>
        <v>0</v>
      </c>
      <c r="K728" s="18">
        <f>'Sampling Data'!J728</f>
        <v>0</v>
      </c>
      <c r="L728" s="18">
        <f>'Sampling Data'!K728</f>
        <v>0</v>
      </c>
      <c r="M728" s="18">
        <f>'Sampling Data'!L728</f>
        <v>0</v>
      </c>
      <c r="N728" s="18">
        <f>'Sampling Data'!M728</f>
        <v>0</v>
      </c>
      <c r="O728" s="17">
        <f>'Sampling Data'!N728</f>
        <v>0</v>
      </c>
      <c r="P728" s="17">
        <f>'Sampling Data'!O728</f>
        <v>39</v>
      </c>
      <c r="Q728" s="17">
        <f>'Sampling Data'!P728</f>
        <v>581</v>
      </c>
      <c r="R728" s="17">
        <f>'Sampling Data'!AJ728</f>
        <v>0</v>
      </c>
      <c r="S728" s="111"/>
      <c r="T728" s="111"/>
      <c r="U728" s="112"/>
      <c r="V728" s="112"/>
      <c r="W728" s="111"/>
      <c r="X728" s="111"/>
      <c r="Y728" s="111"/>
      <c r="Z728" s="111"/>
      <c r="AA728" s="14"/>
      <c r="AB728" s="14"/>
      <c r="AC728" s="14"/>
      <c r="AD728" s="14"/>
      <c r="AE728" s="113" t="str">
        <f>IF(NOT(ISBLANK(Audit[[#This Row],[Audit Winning Candidate]])), Audit[[#This Row],[Audit Winning Candidate]]-Audit[[#This Row],[Winning Candidate]], "")</f>
        <v/>
      </c>
      <c r="AF728" s="17" t="str">
        <f>IF(NOT(ISBLANK(Audit[[#This Row],[Audit Losing Candidate]])), Audit[[#This Row],[Audit Losing Candidate]]-Audit[[#This Row],[Losing Candidate]], "")</f>
        <v/>
      </c>
      <c r="AG728" s="17" t="str">
        <f>IF(NOT(ISBLANK(Audit[[#This Row],[Audit Candidate 3]])), Audit[[#This Row],[Audit Candidate 3]]-Audit[[#This Row],[Candidate 3]], "")</f>
        <v/>
      </c>
      <c r="AH728" s="17" t="str">
        <f>IF(NOT(ISBLANK(Audit[[#This Row],[Audit Candidate 4]])),Audit[[#This Row],[Audit Candidate 4]]-Audit[[#This Row],[Candidate 4]], "")</f>
        <v/>
      </c>
      <c r="AI728" s="17" t="str">
        <f>IF(NOT(ISBLANK(Audit[[#This Row],[Audit Candidate 5]])), Audit[[#This Row],[Audit Candidate 5]]-Audit[[#This Row],[Candidate 5]], "")</f>
        <v/>
      </c>
      <c r="AJ728" s="17" t="str">
        <f>IF(NOT(ISBLANK(Audit[[#This Row],[Audit Candidate 6]])), Audit[[#This Row],[Audit Candidate 6]]-Audit[[#This Row],[Candidate 6]], "")</f>
        <v/>
      </c>
      <c r="AK728" s="17" t="str">
        <f>IF(NOT(ISBLANK(Audit[[#This Row],[Audit Candidate 7]])), Audit[[#This Row],[Audit Candidate 7]]-Audit[[#This Row],[Candidate 7]], "")</f>
        <v/>
      </c>
      <c r="AL728" s="17" t="str">
        <f>IF(NOT(ISBLANK(Audit[[#This Row],[Audit Candidate 8]])), Audit[[#This Row],[Audit Candidate 8]]-Audit[[#This Row],[Candidate 8]], "")</f>
        <v/>
      </c>
      <c r="AM728" s="17" t="str">
        <f>IF(NOT(ISBLANK(Audit[[#This Row],[Audit Candidate 9]])), Audit[[#This Row],[Audit Candidate 9]]-Audit[[#This Row],[Candidate 9]], "")</f>
        <v/>
      </c>
      <c r="AN728" s="17" t="str">
        <f>IF(NOT(ISBLANK(Audit[[#This Row],[Audit Candidate 10]])), Audit[[#This Row],[Audit Candidate 10]]-Audit[[#This Row],[Candidate 10]], "")</f>
        <v/>
      </c>
      <c r="AO728" s="17" t="str">
        <f>IF(NOT(ISBLANK(Audit[[#This Row],[Audit Candidate 11]])), Audit[[#This Row],[Audit Candidate 11]]-Audit[[#This Row],[Candidate 11]], "")</f>
        <v/>
      </c>
      <c r="AP728" s="17" t="str">
        <f>IF(NOT(ISBLANK(Audit[[#This Row],[Audit Candidate 12]])), Audit[[#This Row],[Audit Candidate 12]]-Audit[[#This Row],[Candidate 12]], "")</f>
        <v/>
      </c>
      <c r="AQ728" s="17">
        <f>SUMIF(Audit[[#This Row],[Difference Winner]:[Difference Candidate 12]], "&gt;0")</f>
        <v>0</v>
      </c>
      <c r="AR728" s="17">
        <f>SUM(Audit[[#This Row],[Difference Winner]:[Difference Candidate 12]])</f>
        <v>0</v>
      </c>
      <c r="AS728" s="17">
        <f>IF(Audit[[#This Row],[Times p Drawn - With Replacement]]&gt;0, IF(Audit[[#This Row],[Canceled Differences]]&lt;0, Audit[[#This Row],[Max Differences]]+ABS(Audit[[#This Row],[Canceled Differences]]), Audit[[#This Row],[Max Differences]]), 0)</f>
        <v>0</v>
      </c>
      <c r="AT728" s="17">
        <f>'Sampling Data'!AB728</f>
        <v>2.6353759972839924E-2</v>
      </c>
      <c r="AU728" s="17">
        <f>IF(
      SUM(Audit[[#This Row],[Audit Losing Candidate]:[Audit Candidate 12]])
      &lt;&gt;0,
      (Audit[[#This Row],[Winning Candidate]]-Audit[[#This Row],[Losing Candidate]]-(Audit[[#This Row],[Audit Winning Candidate]]-Audit[[#This Row],[Audit Losing Candidate]]))/(Audit[[#Totals],[Winning Candidate]]-Audit[[#Totals],[Losing Candidate]]),
      0
)</f>
        <v>0</v>
      </c>
      <c r="AV7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8" s="17">
        <f>IF(Audit[[#This Row],[Max Relative Error (ep)]] = 0, 0, Audit[[#This Row],[Max Relative Error (ep)]]/Audit[[#This Row],[Error Bound (up) - Max. possible relative overstatement]])</f>
        <v>0</v>
      </c>
      <c r="BH7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28" s="17">
        <f t="shared" si="12"/>
        <v>1</v>
      </c>
      <c r="BJ728" s="17">
        <f>PRODUCT($BI$5:BI728)</f>
        <v>0.23913763559004736</v>
      </c>
      <c r="BK728" s="19">
        <f>1 - Audit[[#This Row],[K-M P Value]]</f>
        <v>0.76086236440995259</v>
      </c>
      <c r="BL728" s="17" t="str">
        <f>IF(Audit[[#This Row],[K-M P Value]]&gt;1-'General Info'!$B$12,"Continue", "Stop")</f>
        <v>Continue</v>
      </c>
      <c r="BM728" s="22" t="b">
        <f>IF(Audit[[#This Row],[Status - Continue or stop audit]] = "Continue", TRUE, IF(BL727 = "Continue", TRUE, FALSE))</f>
        <v>1</v>
      </c>
      <c r="BN728" s="22"/>
    </row>
    <row r="729" spans="1:66" ht="15" hidden="1" customHeight="1" x14ac:dyDescent="0.35">
      <c r="A729" s="17" t="str">
        <f>'Sampling Data'!AI729</f>
        <v/>
      </c>
      <c r="B729" s="17" t="str">
        <f>'Sampling Data'!A729</f>
        <v>2504 CIN 25-D   (ED)</v>
      </c>
      <c r="C729" s="17">
        <f>'Sampling Data'!B729</f>
        <v>226</v>
      </c>
      <c r="D729" s="17">
        <f>'Sampling Data'!C729</f>
        <v>164</v>
      </c>
      <c r="E729" s="18">
        <f>'Sampling Data'!D729</f>
        <v>0</v>
      </c>
      <c r="F729" s="18">
        <f>'Sampling Data'!E729</f>
        <v>0</v>
      </c>
      <c r="G729" s="18">
        <f>'Sampling Data'!F729</f>
        <v>0</v>
      </c>
      <c r="H729" s="18">
        <f>'Sampling Data'!G729</f>
        <v>0</v>
      </c>
      <c r="I729" s="18">
        <f>'Sampling Data'!H729</f>
        <v>0</v>
      </c>
      <c r="J729" s="18">
        <f>'Sampling Data'!I729</f>
        <v>0</v>
      </c>
      <c r="K729" s="18">
        <f>'Sampling Data'!J729</f>
        <v>0</v>
      </c>
      <c r="L729" s="18">
        <f>'Sampling Data'!K729</f>
        <v>0</v>
      </c>
      <c r="M729" s="18">
        <f>'Sampling Data'!L729</f>
        <v>0</v>
      </c>
      <c r="N729" s="18">
        <f>'Sampling Data'!M729</f>
        <v>0</v>
      </c>
      <c r="O729" s="17">
        <f>'Sampling Data'!N729</f>
        <v>0</v>
      </c>
      <c r="P729" s="17">
        <f>'Sampling Data'!O729</f>
        <v>22</v>
      </c>
      <c r="Q729" s="17">
        <f>'Sampling Data'!P729</f>
        <v>412</v>
      </c>
      <c r="R729" s="17">
        <f>'Sampling Data'!AJ729</f>
        <v>0</v>
      </c>
      <c r="S729" s="111"/>
      <c r="T729" s="111"/>
      <c r="U729" s="112"/>
      <c r="V729" s="112"/>
      <c r="W729" s="111"/>
      <c r="X729" s="111"/>
      <c r="Y729" s="111"/>
      <c r="Z729" s="111"/>
      <c r="AA729" s="14"/>
      <c r="AB729" s="14"/>
      <c r="AC729" s="14"/>
      <c r="AD729" s="14"/>
      <c r="AE729" s="113" t="str">
        <f>IF(NOT(ISBLANK(Audit[[#This Row],[Audit Winning Candidate]])), Audit[[#This Row],[Audit Winning Candidate]]-Audit[[#This Row],[Winning Candidate]], "")</f>
        <v/>
      </c>
      <c r="AF729" s="17" t="str">
        <f>IF(NOT(ISBLANK(Audit[[#This Row],[Audit Losing Candidate]])), Audit[[#This Row],[Audit Losing Candidate]]-Audit[[#This Row],[Losing Candidate]], "")</f>
        <v/>
      </c>
      <c r="AG729" s="17" t="str">
        <f>IF(NOT(ISBLANK(Audit[[#This Row],[Audit Candidate 3]])), Audit[[#This Row],[Audit Candidate 3]]-Audit[[#This Row],[Candidate 3]], "")</f>
        <v/>
      </c>
      <c r="AH729" s="17" t="str">
        <f>IF(NOT(ISBLANK(Audit[[#This Row],[Audit Candidate 4]])),Audit[[#This Row],[Audit Candidate 4]]-Audit[[#This Row],[Candidate 4]], "")</f>
        <v/>
      </c>
      <c r="AI729" s="17" t="str">
        <f>IF(NOT(ISBLANK(Audit[[#This Row],[Audit Candidate 5]])), Audit[[#This Row],[Audit Candidate 5]]-Audit[[#This Row],[Candidate 5]], "")</f>
        <v/>
      </c>
      <c r="AJ729" s="17" t="str">
        <f>IF(NOT(ISBLANK(Audit[[#This Row],[Audit Candidate 6]])), Audit[[#This Row],[Audit Candidate 6]]-Audit[[#This Row],[Candidate 6]], "")</f>
        <v/>
      </c>
      <c r="AK729" s="17" t="str">
        <f>IF(NOT(ISBLANK(Audit[[#This Row],[Audit Candidate 7]])), Audit[[#This Row],[Audit Candidate 7]]-Audit[[#This Row],[Candidate 7]], "")</f>
        <v/>
      </c>
      <c r="AL729" s="17" t="str">
        <f>IF(NOT(ISBLANK(Audit[[#This Row],[Audit Candidate 8]])), Audit[[#This Row],[Audit Candidate 8]]-Audit[[#This Row],[Candidate 8]], "")</f>
        <v/>
      </c>
      <c r="AM729" s="17" t="str">
        <f>IF(NOT(ISBLANK(Audit[[#This Row],[Audit Candidate 9]])), Audit[[#This Row],[Audit Candidate 9]]-Audit[[#This Row],[Candidate 9]], "")</f>
        <v/>
      </c>
      <c r="AN729" s="17" t="str">
        <f>IF(NOT(ISBLANK(Audit[[#This Row],[Audit Candidate 10]])), Audit[[#This Row],[Audit Candidate 10]]-Audit[[#This Row],[Candidate 10]], "")</f>
        <v/>
      </c>
      <c r="AO729" s="17" t="str">
        <f>IF(NOT(ISBLANK(Audit[[#This Row],[Audit Candidate 11]])), Audit[[#This Row],[Audit Candidate 11]]-Audit[[#This Row],[Candidate 11]], "")</f>
        <v/>
      </c>
      <c r="AP729" s="17" t="str">
        <f>IF(NOT(ISBLANK(Audit[[#This Row],[Audit Candidate 12]])), Audit[[#This Row],[Audit Candidate 12]]-Audit[[#This Row],[Candidate 12]], "")</f>
        <v/>
      </c>
      <c r="AQ729" s="17">
        <f>SUMIF(Audit[[#This Row],[Difference Winner]:[Difference Candidate 12]], "&gt;0")</f>
        <v>0</v>
      </c>
      <c r="AR729" s="17">
        <f>SUM(Audit[[#This Row],[Difference Winner]:[Difference Candidate 12]])</f>
        <v>0</v>
      </c>
      <c r="AS729" s="17">
        <f>IF(Audit[[#This Row],[Times p Drawn - With Replacement]]&gt;0, IF(Audit[[#This Row],[Canceled Differences]]&lt;0, Audit[[#This Row],[Max Differences]]+ABS(Audit[[#This Row],[Canceled Differences]]), Audit[[#This Row],[Max Differences]]), 0)</f>
        <v>0</v>
      </c>
      <c r="AT729" s="17">
        <f>'Sampling Data'!AB729</f>
        <v>2.0115430317433371E-2</v>
      </c>
      <c r="AU729" s="17">
        <f>IF(
      SUM(Audit[[#This Row],[Audit Losing Candidate]:[Audit Candidate 12]])
      &lt;&gt;0,
      (Audit[[#This Row],[Winning Candidate]]-Audit[[#This Row],[Losing Candidate]]-(Audit[[#This Row],[Audit Winning Candidate]]-Audit[[#This Row],[Audit Losing Candidate]]))/(Audit[[#Totals],[Winning Candidate]]-Audit[[#Totals],[Losing Candidate]]),
      0
)</f>
        <v>0</v>
      </c>
      <c r="AV7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9" s="17">
        <f>IF(Audit[[#This Row],[Max Relative Error (ep)]] = 0, 0, Audit[[#This Row],[Max Relative Error (ep)]]/Audit[[#This Row],[Error Bound (up) - Max. possible relative overstatement]])</f>
        <v>0</v>
      </c>
      <c r="BH7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29" s="17">
        <f t="shared" si="12"/>
        <v>1</v>
      </c>
      <c r="BJ729" s="17">
        <f>PRODUCT($BI$5:BI729)</f>
        <v>0.23913763559004736</v>
      </c>
      <c r="BK729" s="19">
        <f>1 - Audit[[#This Row],[K-M P Value]]</f>
        <v>0.76086236440995259</v>
      </c>
      <c r="BL729" s="17" t="str">
        <f>IF(Audit[[#This Row],[K-M P Value]]&gt;1-'General Info'!$B$12,"Continue", "Stop")</f>
        <v>Continue</v>
      </c>
      <c r="BM729" s="22" t="b">
        <f>IF(Audit[[#This Row],[Status - Continue or stop audit]] = "Continue", TRUE, IF(BL728 = "Continue", TRUE, FALSE))</f>
        <v>1</v>
      </c>
      <c r="BN729" s="22"/>
    </row>
    <row r="730" spans="1:66" ht="15" customHeight="1" x14ac:dyDescent="0.35">
      <c r="A730" s="17">
        <f>'Sampling Data'!AI730</f>
        <v>29</v>
      </c>
      <c r="B730" s="17" t="str">
        <f>'Sampling Data'!A730</f>
        <v>2505 CIN 25-E   (ED)</v>
      </c>
      <c r="C730" s="17">
        <f>'Sampling Data'!B730</f>
        <v>259</v>
      </c>
      <c r="D730" s="17">
        <f>'Sampling Data'!C730</f>
        <v>295</v>
      </c>
      <c r="E730" s="18">
        <f>'Sampling Data'!D730</f>
        <v>0</v>
      </c>
      <c r="F730" s="18">
        <f>'Sampling Data'!E730</f>
        <v>0</v>
      </c>
      <c r="G730" s="18">
        <f>'Sampling Data'!F730</f>
        <v>0</v>
      </c>
      <c r="H730" s="18">
        <f>'Sampling Data'!G730</f>
        <v>0</v>
      </c>
      <c r="I730" s="18">
        <f>'Sampling Data'!H730</f>
        <v>0</v>
      </c>
      <c r="J730" s="18">
        <f>'Sampling Data'!I730</f>
        <v>0</v>
      </c>
      <c r="K730" s="18">
        <f>'Sampling Data'!J730</f>
        <v>0</v>
      </c>
      <c r="L730" s="18">
        <f>'Sampling Data'!K730</f>
        <v>0</v>
      </c>
      <c r="M730" s="18">
        <f>'Sampling Data'!L730</f>
        <v>0</v>
      </c>
      <c r="N730" s="18">
        <f>'Sampling Data'!M730</f>
        <v>0</v>
      </c>
      <c r="O730" s="17">
        <f>'Sampling Data'!N730</f>
        <v>1</v>
      </c>
      <c r="P730" s="17">
        <f>'Sampling Data'!O730</f>
        <v>44</v>
      </c>
      <c r="Q730" s="17">
        <f>'Sampling Data'!P730</f>
        <v>599</v>
      </c>
      <c r="R730" s="17">
        <f>'Sampling Data'!AJ730</f>
        <v>1</v>
      </c>
      <c r="S730" s="111">
        <v>259</v>
      </c>
      <c r="T730" s="111">
        <v>295</v>
      </c>
      <c r="U730" s="112"/>
      <c r="V730" s="112"/>
      <c r="W730" s="111"/>
      <c r="X730" s="111"/>
      <c r="Y730" s="111"/>
      <c r="Z730" s="111"/>
      <c r="AA730" s="14"/>
      <c r="AB730" s="14"/>
      <c r="AC730" s="14"/>
      <c r="AD730" s="14"/>
      <c r="AE730" s="113">
        <f>IF(NOT(ISBLANK(Audit[[#This Row],[Audit Winning Candidate]])), Audit[[#This Row],[Audit Winning Candidate]]-Audit[[#This Row],[Winning Candidate]], "")</f>
        <v>0</v>
      </c>
      <c r="AF730" s="17">
        <f>IF(NOT(ISBLANK(Audit[[#This Row],[Audit Losing Candidate]])), Audit[[#This Row],[Audit Losing Candidate]]-Audit[[#This Row],[Losing Candidate]], "")</f>
        <v>0</v>
      </c>
      <c r="AG730" s="17" t="str">
        <f>IF(NOT(ISBLANK(Audit[[#This Row],[Audit Candidate 3]])), Audit[[#This Row],[Audit Candidate 3]]-Audit[[#This Row],[Candidate 3]], "")</f>
        <v/>
      </c>
      <c r="AH730" s="17" t="str">
        <f>IF(NOT(ISBLANK(Audit[[#This Row],[Audit Candidate 4]])),Audit[[#This Row],[Audit Candidate 4]]-Audit[[#This Row],[Candidate 4]], "")</f>
        <v/>
      </c>
      <c r="AI730" s="17" t="str">
        <f>IF(NOT(ISBLANK(Audit[[#This Row],[Audit Candidate 5]])), Audit[[#This Row],[Audit Candidate 5]]-Audit[[#This Row],[Candidate 5]], "")</f>
        <v/>
      </c>
      <c r="AJ730" s="17" t="str">
        <f>IF(NOT(ISBLANK(Audit[[#This Row],[Audit Candidate 6]])), Audit[[#This Row],[Audit Candidate 6]]-Audit[[#This Row],[Candidate 6]], "")</f>
        <v/>
      </c>
      <c r="AK730" s="17" t="str">
        <f>IF(NOT(ISBLANK(Audit[[#This Row],[Audit Candidate 7]])), Audit[[#This Row],[Audit Candidate 7]]-Audit[[#This Row],[Candidate 7]], "")</f>
        <v/>
      </c>
      <c r="AL730" s="17" t="str">
        <f>IF(NOT(ISBLANK(Audit[[#This Row],[Audit Candidate 8]])), Audit[[#This Row],[Audit Candidate 8]]-Audit[[#This Row],[Candidate 8]], "")</f>
        <v/>
      </c>
      <c r="AM730" s="17" t="str">
        <f>IF(NOT(ISBLANK(Audit[[#This Row],[Audit Candidate 9]])), Audit[[#This Row],[Audit Candidate 9]]-Audit[[#This Row],[Candidate 9]], "")</f>
        <v/>
      </c>
      <c r="AN730" s="17" t="str">
        <f>IF(NOT(ISBLANK(Audit[[#This Row],[Audit Candidate 10]])), Audit[[#This Row],[Audit Candidate 10]]-Audit[[#This Row],[Candidate 10]], "")</f>
        <v/>
      </c>
      <c r="AO730" s="17" t="str">
        <f>IF(NOT(ISBLANK(Audit[[#This Row],[Audit Candidate 11]])), Audit[[#This Row],[Audit Candidate 11]]-Audit[[#This Row],[Candidate 11]], "")</f>
        <v/>
      </c>
      <c r="AP730" s="17" t="str">
        <f>IF(NOT(ISBLANK(Audit[[#This Row],[Audit Candidate 12]])), Audit[[#This Row],[Audit Candidate 12]]-Audit[[#This Row],[Candidate 12]], "")</f>
        <v/>
      </c>
      <c r="AQ730" s="17">
        <f>SUMIF(Audit[[#This Row],[Difference Winner]:[Difference Candidate 12]], "&gt;0")</f>
        <v>0</v>
      </c>
      <c r="AR730" s="17">
        <f>SUM(Audit[[#This Row],[Difference Winner]:[Difference Candidate 12]])</f>
        <v>0</v>
      </c>
      <c r="AS730" s="17">
        <f>IF(Audit[[#This Row],[Times p Drawn - With Replacement]]&gt;0, IF(Audit[[#This Row],[Canceled Differences]]&lt;0, Audit[[#This Row],[Max Differences]]+ABS(Audit[[#This Row],[Canceled Differences]]), Audit[[#This Row],[Max Differences]]), 0)</f>
        <v>0</v>
      </c>
      <c r="AT730" s="17">
        <f>'Sampling Data'!AB730</f>
        <v>2.3892378204040061E-2</v>
      </c>
      <c r="AU730" s="17">
        <f>IF(
      SUM(Audit[[#This Row],[Audit Losing Candidate]:[Audit Candidate 12]])
      &lt;&gt;0,
      (Audit[[#This Row],[Winning Candidate]]-Audit[[#This Row],[Losing Candidate]]-(Audit[[#This Row],[Audit Winning Candidate]]-Audit[[#This Row],[Audit Losing Candidate]]))/(Audit[[#Totals],[Winning Candidate]]-Audit[[#Totals],[Losing Candidate]]),
      0
)</f>
        <v>0</v>
      </c>
      <c r="AV7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0" s="17">
        <f>IF(Audit[[#This Row],[Max Relative Error (ep)]] = 0, 0, Audit[[#This Row],[Max Relative Error (ep)]]/Audit[[#This Row],[Error Bound (up) - Max. possible relative overstatement]])</f>
        <v>0</v>
      </c>
      <c r="BH7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30" s="17">
        <f t="shared" si="12"/>
        <v>0.94645908314247273</v>
      </c>
      <c r="BJ730" s="17">
        <f>PRODUCT($BI$5:BI730)</f>
        <v>0.22633398732541499</v>
      </c>
      <c r="BK730" s="19">
        <f>1 - Audit[[#This Row],[K-M P Value]]</f>
        <v>0.77366601267458501</v>
      </c>
      <c r="BL730" s="17" t="str">
        <f>IF(Audit[[#This Row],[K-M P Value]]&gt;1-'General Info'!$B$12,"Continue", "Stop")</f>
        <v>Continue</v>
      </c>
      <c r="BM730" s="22" t="b">
        <f>IF(Audit[[#This Row],[Status - Continue or stop audit]] = "Continue", TRUE, IF(BL729 = "Continue", TRUE, FALSE))</f>
        <v>1</v>
      </c>
      <c r="BN730" s="22"/>
    </row>
    <row r="731" spans="1:66" ht="15" hidden="1" customHeight="1" x14ac:dyDescent="0.35">
      <c r="A731" s="17" t="str">
        <f>'Sampling Data'!AI731</f>
        <v/>
      </c>
      <c r="B731" s="17" t="str">
        <f>'Sampling Data'!A731</f>
        <v>2506 CIN 25-F   (ED)</v>
      </c>
      <c r="C731" s="17">
        <f>'Sampling Data'!B731</f>
        <v>264</v>
      </c>
      <c r="D731" s="17">
        <f>'Sampling Data'!C731</f>
        <v>170</v>
      </c>
      <c r="E731" s="18">
        <f>'Sampling Data'!D731</f>
        <v>0</v>
      </c>
      <c r="F731" s="18">
        <f>'Sampling Data'!E731</f>
        <v>0</v>
      </c>
      <c r="G731" s="18">
        <f>'Sampling Data'!F731</f>
        <v>0</v>
      </c>
      <c r="H731" s="18">
        <f>'Sampling Data'!G731</f>
        <v>0</v>
      </c>
      <c r="I731" s="18">
        <f>'Sampling Data'!H731</f>
        <v>0</v>
      </c>
      <c r="J731" s="18">
        <f>'Sampling Data'!I731</f>
        <v>0</v>
      </c>
      <c r="K731" s="18">
        <f>'Sampling Data'!J731</f>
        <v>0</v>
      </c>
      <c r="L731" s="18">
        <f>'Sampling Data'!K731</f>
        <v>0</v>
      </c>
      <c r="M731" s="18">
        <f>'Sampling Data'!L731</f>
        <v>0</v>
      </c>
      <c r="N731" s="18">
        <f>'Sampling Data'!M731</f>
        <v>0</v>
      </c>
      <c r="O731" s="17">
        <f>'Sampling Data'!N731</f>
        <v>0</v>
      </c>
      <c r="P731" s="17">
        <f>'Sampling Data'!O731</f>
        <v>25</v>
      </c>
      <c r="Q731" s="17">
        <f>'Sampling Data'!P731</f>
        <v>459</v>
      </c>
      <c r="R731" s="17">
        <f>'Sampling Data'!AJ731</f>
        <v>0</v>
      </c>
      <c r="S731" s="111"/>
      <c r="T731" s="111"/>
      <c r="U731" s="112"/>
      <c r="V731" s="112"/>
      <c r="W731" s="111"/>
      <c r="X731" s="111"/>
      <c r="Y731" s="111"/>
      <c r="Z731" s="111"/>
      <c r="AA731" s="14"/>
      <c r="AB731" s="14"/>
      <c r="AC731" s="14"/>
      <c r="AD731" s="14"/>
      <c r="AE731" s="113" t="str">
        <f>IF(NOT(ISBLANK(Audit[[#This Row],[Audit Winning Candidate]])), Audit[[#This Row],[Audit Winning Candidate]]-Audit[[#This Row],[Winning Candidate]], "")</f>
        <v/>
      </c>
      <c r="AF731" s="17" t="str">
        <f>IF(NOT(ISBLANK(Audit[[#This Row],[Audit Losing Candidate]])), Audit[[#This Row],[Audit Losing Candidate]]-Audit[[#This Row],[Losing Candidate]], "")</f>
        <v/>
      </c>
      <c r="AG731" s="17" t="str">
        <f>IF(NOT(ISBLANK(Audit[[#This Row],[Audit Candidate 3]])), Audit[[#This Row],[Audit Candidate 3]]-Audit[[#This Row],[Candidate 3]], "")</f>
        <v/>
      </c>
      <c r="AH731" s="17" t="str">
        <f>IF(NOT(ISBLANK(Audit[[#This Row],[Audit Candidate 4]])),Audit[[#This Row],[Audit Candidate 4]]-Audit[[#This Row],[Candidate 4]], "")</f>
        <v/>
      </c>
      <c r="AI731" s="17" t="str">
        <f>IF(NOT(ISBLANK(Audit[[#This Row],[Audit Candidate 5]])), Audit[[#This Row],[Audit Candidate 5]]-Audit[[#This Row],[Candidate 5]], "")</f>
        <v/>
      </c>
      <c r="AJ731" s="17" t="str">
        <f>IF(NOT(ISBLANK(Audit[[#This Row],[Audit Candidate 6]])), Audit[[#This Row],[Audit Candidate 6]]-Audit[[#This Row],[Candidate 6]], "")</f>
        <v/>
      </c>
      <c r="AK731" s="17" t="str">
        <f>IF(NOT(ISBLANK(Audit[[#This Row],[Audit Candidate 7]])), Audit[[#This Row],[Audit Candidate 7]]-Audit[[#This Row],[Candidate 7]], "")</f>
        <v/>
      </c>
      <c r="AL731" s="17" t="str">
        <f>IF(NOT(ISBLANK(Audit[[#This Row],[Audit Candidate 8]])), Audit[[#This Row],[Audit Candidate 8]]-Audit[[#This Row],[Candidate 8]], "")</f>
        <v/>
      </c>
      <c r="AM731" s="17" t="str">
        <f>IF(NOT(ISBLANK(Audit[[#This Row],[Audit Candidate 9]])), Audit[[#This Row],[Audit Candidate 9]]-Audit[[#This Row],[Candidate 9]], "")</f>
        <v/>
      </c>
      <c r="AN731" s="17" t="str">
        <f>IF(NOT(ISBLANK(Audit[[#This Row],[Audit Candidate 10]])), Audit[[#This Row],[Audit Candidate 10]]-Audit[[#This Row],[Candidate 10]], "")</f>
        <v/>
      </c>
      <c r="AO731" s="17" t="str">
        <f>IF(NOT(ISBLANK(Audit[[#This Row],[Audit Candidate 11]])), Audit[[#This Row],[Audit Candidate 11]]-Audit[[#This Row],[Candidate 11]], "")</f>
        <v/>
      </c>
      <c r="AP731" s="17" t="str">
        <f>IF(NOT(ISBLANK(Audit[[#This Row],[Audit Candidate 12]])), Audit[[#This Row],[Audit Candidate 12]]-Audit[[#This Row],[Candidate 12]], "")</f>
        <v/>
      </c>
      <c r="AQ731" s="17">
        <f>SUMIF(Audit[[#This Row],[Difference Winner]:[Difference Candidate 12]], "&gt;0")</f>
        <v>0</v>
      </c>
      <c r="AR731" s="17">
        <f>SUM(Audit[[#This Row],[Difference Winner]:[Difference Candidate 12]])</f>
        <v>0</v>
      </c>
      <c r="AS731" s="17">
        <f>IF(Audit[[#This Row],[Times p Drawn - With Replacement]]&gt;0, IF(Audit[[#This Row],[Canceled Differences]]&lt;0, Audit[[#This Row],[Max Differences]]+ABS(Audit[[#This Row],[Canceled Differences]]), Audit[[#This Row],[Max Differences]]), 0)</f>
        <v>0</v>
      </c>
      <c r="AT731" s="17">
        <f>'Sampling Data'!AB731</f>
        <v>2.3468002037005602E-2</v>
      </c>
      <c r="AU731" s="17">
        <f>IF(
      SUM(Audit[[#This Row],[Audit Losing Candidate]:[Audit Candidate 12]])
      &lt;&gt;0,
      (Audit[[#This Row],[Winning Candidate]]-Audit[[#This Row],[Losing Candidate]]-(Audit[[#This Row],[Audit Winning Candidate]]-Audit[[#This Row],[Audit Losing Candidate]]))/(Audit[[#Totals],[Winning Candidate]]-Audit[[#Totals],[Losing Candidate]]),
      0
)</f>
        <v>0</v>
      </c>
      <c r="AV7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1" s="17">
        <f>IF(Audit[[#This Row],[Max Relative Error (ep)]] = 0, 0, Audit[[#This Row],[Max Relative Error (ep)]]/Audit[[#This Row],[Error Bound (up) - Max. possible relative overstatement]])</f>
        <v>0</v>
      </c>
      <c r="BH7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31" s="17">
        <f t="shared" si="12"/>
        <v>1</v>
      </c>
      <c r="BJ731" s="17">
        <f>PRODUCT($BI$5:BI731)</f>
        <v>0.22633398732541499</v>
      </c>
      <c r="BK731" s="19">
        <f>1 - Audit[[#This Row],[K-M P Value]]</f>
        <v>0.77366601267458501</v>
      </c>
      <c r="BL731" s="17" t="str">
        <f>IF(Audit[[#This Row],[K-M P Value]]&gt;1-'General Info'!$B$12,"Continue", "Stop")</f>
        <v>Continue</v>
      </c>
      <c r="BM731" s="22" t="b">
        <f>IF(Audit[[#This Row],[Status - Continue or stop audit]] = "Continue", TRUE, IF(BL730 = "Continue", TRUE, FALSE))</f>
        <v>1</v>
      </c>
      <c r="BN731" s="22"/>
    </row>
    <row r="732" spans="1:66" ht="15" hidden="1" customHeight="1" x14ac:dyDescent="0.35">
      <c r="A732" s="17" t="str">
        <f>'Sampling Data'!AI732</f>
        <v/>
      </c>
      <c r="B732" s="17" t="str">
        <f>'Sampling Data'!A732</f>
        <v>2507 CIN 25-G   (ED)</v>
      </c>
      <c r="C732" s="17">
        <f>'Sampling Data'!B732</f>
        <v>127</v>
      </c>
      <c r="D732" s="17">
        <f>'Sampling Data'!C732</f>
        <v>97</v>
      </c>
      <c r="E732" s="18">
        <f>'Sampling Data'!D732</f>
        <v>0</v>
      </c>
      <c r="F732" s="18">
        <f>'Sampling Data'!E732</f>
        <v>0</v>
      </c>
      <c r="G732" s="18">
        <f>'Sampling Data'!F732</f>
        <v>0</v>
      </c>
      <c r="H732" s="18">
        <f>'Sampling Data'!G732</f>
        <v>0</v>
      </c>
      <c r="I732" s="18">
        <f>'Sampling Data'!H732</f>
        <v>0</v>
      </c>
      <c r="J732" s="18">
        <f>'Sampling Data'!I732</f>
        <v>0</v>
      </c>
      <c r="K732" s="18">
        <f>'Sampling Data'!J732</f>
        <v>0</v>
      </c>
      <c r="L732" s="18">
        <f>'Sampling Data'!K732</f>
        <v>0</v>
      </c>
      <c r="M732" s="18">
        <f>'Sampling Data'!L732</f>
        <v>0</v>
      </c>
      <c r="N732" s="18">
        <f>'Sampling Data'!M732</f>
        <v>0</v>
      </c>
      <c r="O732" s="17">
        <f>'Sampling Data'!N732</f>
        <v>0</v>
      </c>
      <c r="P732" s="17">
        <f>'Sampling Data'!O732</f>
        <v>16</v>
      </c>
      <c r="Q732" s="17">
        <f>'Sampling Data'!P732</f>
        <v>240</v>
      </c>
      <c r="R732" s="17">
        <f>'Sampling Data'!AJ732</f>
        <v>0</v>
      </c>
      <c r="S732" s="111"/>
      <c r="T732" s="111"/>
      <c r="U732" s="112"/>
      <c r="V732" s="112"/>
      <c r="W732" s="111"/>
      <c r="X732" s="111"/>
      <c r="Y732" s="111"/>
      <c r="Z732" s="111"/>
      <c r="AA732" s="14"/>
      <c r="AB732" s="14"/>
      <c r="AC732" s="14"/>
      <c r="AD732" s="14"/>
      <c r="AE732" s="113" t="str">
        <f>IF(NOT(ISBLANK(Audit[[#This Row],[Audit Winning Candidate]])), Audit[[#This Row],[Audit Winning Candidate]]-Audit[[#This Row],[Winning Candidate]], "")</f>
        <v/>
      </c>
      <c r="AF732" s="17" t="str">
        <f>IF(NOT(ISBLANK(Audit[[#This Row],[Audit Losing Candidate]])), Audit[[#This Row],[Audit Losing Candidate]]-Audit[[#This Row],[Losing Candidate]], "")</f>
        <v/>
      </c>
      <c r="AG732" s="17" t="str">
        <f>IF(NOT(ISBLANK(Audit[[#This Row],[Audit Candidate 3]])), Audit[[#This Row],[Audit Candidate 3]]-Audit[[#This Row],[Candidate 3]], "")</f>
        <v/>
      </c>
      <c r="AH732" s="17" t="str">
        <f>IF(NOT(ISBLANK(Audit[[#This Row],[Audit Candidate 4]])),Audit[[#This Row],[Audit Candidate 4]]-Audit[[#This Row],[Candidate 4]], "")</f>
        <v/>
      </c>
      <c r="AI732" s="17" t="str">
        <f>IF(NOT(ISBLANK(Audit[[#This Row],[Audit Candidate 5]])), Audit[[#This Row],[Audit Candidate 5]]-Audit[[#This Row],[Candidate 5]], "")</f>
        <v/>
      </c>
      <c r="AJ732" s="17" t="str">
        <f>IF(NOT(ISBLANK(Audit[[#This Row],[Audit Candidate 6]])), Audit[[#This Row],[Audit Candidate 6]]-Audit[[#This Row],[Candidate 6]], "")</f>
        <v/>
      </c>
      <c r="AK732" s="17" t="str">
        <f>IF(NOT(ISBLANK(Audit[[#This Row],[Audit Candidate 7]])), Audit[[#This Row],[Audit Candidate 7]]-Audit[[#This Row],[Candidate 7]], "")</f>
        <v/>
      </c>
      <c r="AL732" s="17" t="str">
        <f>IF(NOT(ISBLANK(Audit[[#This Row],[Audit Candidate 8]])), Audit[[#This Row],[Audit Candidate 8]]-Audit[[#This Row],[Candidate 8]], "")</f>
        <v/>
      </c>
      <c r="AM732" s="17" t="str">
        <f>IF(NOT(ISBLANK(Audit[[#This Row],[Audit Candidate 9]])), Audit[[#This Row],[Audit Candidate 9]]-Audit[[#This Row],[Candidate 9]], "")</f>
        <v/>
      </c>
      <c r="AN732" s="17" t="str">
        <f>IF(NOT(ISBLANK(Audit[[#This Row],[Audit Candidate 10]])), Audit[[#This Row],[Audit Candidate 10]]-Audit[[#This Row],[Candidate 10]], "")</f>
        <v/>
      </c>
      <c r="AO732" s="17" t="str">
        <f>IF(NOT(ISBLANK(Audit[[#This Row],[Audit Candidate 11]])), Audit[[#This Row],[Audit Candidate 11]]-Audit[[#This Row],[Candidate 11]], "")</f>
        <v/>
      </c>
      <c r="AP732" s="17" t="str">
        <f>IF(NOT(ISBLANK(Audit[[#This Row],[Audit Candidate 12]])), Audit[[#This Row],[Audit Candidate 12]]-Audit[[#This Row],[Candidate 12]], "")</f>
        <v/>
      </c>
      <c r="AQ732" s="17">
        <f>SUMIF(Audit[[#This Row],[Difference Winner]:[Difference Candidate 12]], "&gt;0")</f>
        <v>0</v>
      </c>
      <c r="AR732" s="17">
        <f>SUM(Audit[[#This Row],[Difference Winner]:[Difference Candidate 12]])</f>
        <v>0</v>
      </c>
      <c r="AS732" s="17">
        <f>IF(Audit[[#This Row],[Times p Drawn - With Replacement]]&gt;0, IF(Audit[[#This Row],[Canceled Differences]]&lt;0, Audit[[#This Row],[Max Differences]]+ABS(Audit[[#This Row],[Canceled Differences]]), Audit[[#This Row],[Max Differences]]), 0)</f>
        <v>0</v>
      </c>
      <c r="AT732" s="17">
        <f>'Sampling Data'!AB732</f>
        <v>1.1458156509930402E-2</v>
      </c>
      <c r="AU732" s="17">
        <f>IF(
      SUM(Audit[[#This Row],[Audit Losing Candidate]:[Audit Candidate 12]])
      &lt;&gt;0,
      (Audit[[#This Row],[Winning Candidate]]-Audit[[#This Row],[Losing Candidate]]-(Audit[[#This Row],[Audit Winning Candidate]]-Audit[[#This Row],[Audit Losing Candidate]]))/(Audit[[#Totals],[Winning Candidate]]-Audit[[#Totals],[Losing Candidate]]),
      0
)</f>
        <v>0</v>
      </c>
      <c r="AV7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2" s="17">
        <f>IF(Audit[[#This Row],[Max Relative Error (ep)]] = 0, 0, Audit[[#This Row],[Max Relative Error (ep)]]/Audit[[#This Row],[Error Bound (up) - Max. possible relative overstatement]])</f>
        <v>0</v>
      </c>
      <c r="BH7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32" s="17">
        <f t="shared" si="12"/>
        <v>1</v>
      </c>
      <c r="BJ732" s="17">
        <f>PRODUCT($BI$5:BI732)</f>
        <v>0.22633398732541499</v>
      </c>
      <c r="BK732" s="19">
        <f>1 - Audit[[#This Row],[K-M P Value]]</f>
        <v>0.77366601267458501</v>
      </c>
      <c r="BL732" s="17" t="str">
        <f>IF(Audit[[#This Row],[K-M P Value]]&gt;1-'General Info'!$B$12,"Continue", "Stop")</f>
        <v>Continue</v>
      </c>
      <c r="BM732" s="22" t="b">
        <f>IF(Audit[[#This Row],[Status - Continue or stop audit]] = "Continue", TRUE, IF(BL731 = "Continue", TRUE, FALSE))</f>
        <v>1</v>
      </c>
      <c r="BN732" s="22"/>
    </row>
    <row r="733" spans="1:66" ht="15" hidden="1" customHeight="1" x14ac:dyDescent="0.35">
      <c r="A733" s="17" t="str">
        <f>'Sampling Data'!AI733</f>
        <v/>
      </c>
      <c r="B733" s="17" t="str">
        <f>'Sampling Data'!A733</f>
        <v>2508 CIN 25-H   (ED)</v>
      </c>
      <c r="C733" s="17">
        <f>'Sampling Data'!B733</f>
        <v>324</v>
      </c>
      <c r="D733" s="17">
        <f>'Sampling Data'!C733</f>
        <v>251</v>
      </c>
      <c r="E733" s="18">
        <f>'Sampling Data'!D733</f>
        <v>0</v>
      </c>
      <c r="F733" s="18">
        <f>'Sampling Data'!E733</f>
        <v>0</v>
      </c>
      <c r="G733" s="18">
        <f>'Sampling Data'!F733</f>
        <v>0</v>
      </c>
      <c r="H733" s="18">
        <f>'Sampling Data'!G733</f>
        <v>0</v>
      </c>
      <c r="I733" s="18">
        <f>'Sampling Data'!H733</f>
        <v>0</v>
      </c>
      <c r="J733" s="18">
        <f>'Sampling Data'!I733</f>
        <v>0</v>
      </c>
      <c r="K733" s="18">
        <f>'Sampling Data'!J733</f>
        <v>0</v>
      </c>
      <c r="L733" s="18">
        <f>'Sampling Data'!K733</f>
        <v>0</v>
      </c>
      <c r="M733" s="18">
        <f>'Sampling Data'!L733</f>
        <v>0</v>
      </c>
      <c r="N733" s="18">
        <f>'Sampling Data'!M733</f>
        <v>0</v>
      </c>
      <c r="O733" s="17">
        <f>'Sampling Data'!N733</f>
        <v>0</v>
      </c>
      <c r="P733" s="17">
        <f>'Sampling Data'!O733</f>
        <v>53</v>
      </c>
      <c r="Q733" s="17">
        <f>'Sampling Data'!P733</f>
        <v>628</v>
      </c>
      <c r="R733" s="17">
        <f>'Sampling Data'!AJ733</f>
        <v>0</v>
      </c>
      <c r="S733" s="111"/>
      <c r="T733" s="111"/>
      <c r="U733" s="112"/>
      <c r="V733" s="112"/>
      <c r="W733" s="111"/>
      <c r="X733" s="111"/>
      <c r="Y733" s="111"/>
      <c r="Z733" s="111"/>
      <c r="AA733" s="14"/>
      <c r="AB733" s="14"/>
      <c r="AC733" s="14"/>
      <c r="AD733" s="14"/>
      <c r="AE733" s="113" t="str">
        <f>IF(NOT(ISBLANK(Audit[[#This Row],[Audit Winning Candidate]])), Audit[[#This Row],[Audit Winning Candidate]]-Audit[[#This Row],[Winning Candidate]], "")</f>
        <v/>
      </c>
      <c r="AF733" s="17" t="str">
        <f>IF(NOT(ISBLANK(Audit[[#This Row],[Audit Losing Candidate]])), Audit[[#This Row],[Audit Losing Candidate]]-Audit[[#This Row],[Losing Candidate]], "")</f>
        <v/>
      </c>
      <c r="AG733" s="17" t="str">
        <f>IF(NOT(ISBLANK(Audit[[#This Row],[Audit Candidate 3]])), Audit[[#This Row],[Audit Candidate 3]]-Audit[[#This Row],[Candidate 3]], "")</f>
        <v/>
      </c>
      <c r="AH733" s="17" t="str">
        <f>IF(NOT(ISBLANK(Audit[[#This Row],[Audit Candidate 4]])),Audit[[#This Row],[Audit Candidate 4]]-Audit[[#This Row],[Candidate 4]], "")</f>
        <v/>
      </c>
      <c r="AI733" s="17" t="str">
        <f>IF(NOT(ISBLANK(Audit[[#This Row],[Audit Candidate 5]])), Audit[[#This Row],[Audit Candidate 5]]-Audit[[#This Row],[Candidate 5]], "")</f>
        <v/>
      </c>
      <c r="AJ733" s="17" t="str">
        <f>IF(NOT(ISBLANK(Audit[[#This Row],[Audit Candidate 6]])), Audit[[#This Row],[Audit Candidate 6]]-Audit[[#This Row],[Candidate 6]], "")</f>
        <v/>
      </c>
      <c r="AK733" s="17" t="str">
        <f>IF(NOT(ISBLANK(Audit[[#This Row],[Audit Candidate 7]])), Audit[[#This Row],[Audit Candidate 7]]-Audit[[#This Row],[Candidate 7]], "")</f>
        <v/>
      </c>
      <c r="AL733" s="17" t="str">
        <f>IF(NOT(ISBLANK(Audit[[#This Row],[Audit Candidate 8]])), Audit[[#This Row],[Audit Candidate 8]]-Audit[[#This Row],[Candidate 8]], "")</f>
        <v/>
      </c>
      <c r="AM733" s="17" t="str">
        <f>IF(NOT(ISBLANK(Audit[[#This Row],[Audit Candidate 9]])), Audit[[#This Row],[Audit Candidate 9]]-Audit[[#This Row],[Candidate 9]], "")</f>
        <v/>
      </c>
      <c r="AN733" s="17" t="str">
        <f>IF(NOT(ISBLANK(Audit[[#This Row],[Audit Candidate 10]])), Audit[[#This Row],[Audit Candidate 10]]-Audit[[#This Row],[Candidate 10]], "")</f>
        <v/>
      </c>
      <c r="AO733" s="17" t="str">
        <f>IF(NOT(ISBLANK(Audit[[#This Row],[Audit Candidate 11]])), Audit[[#This Row],[Audit Candidate 11]]-Audit[[#This Row],[Candidate 11]], "")</f>
        <v/>
      </c>
      <c r="AP733" s="17" t="str">
        <f>IF(NOT(ISBLANK(Audit[[#This Row],[Audit Candidate 12]])), Audit[[#This Row],[Audit Candidate 12]]-Audit[[#This Row],[Candidate 12]], "")</f>
        <v/>
      </c>
      <c r="AQ733" s="17">
        <f>SUMIF(Audit[[#This Row],[Difference Winner]:[Difference Candidate 12]], "&gt;0")</f>
        <v>0</v>
      </c>
      <c r="AR733" s="17">
        <f>SUM(Audit[[#This Row],[Difference Winner]:[Difference Candidate 12]])</f>
        <v>0</v>
      </c>
      <c r="AS733" s="17">
        <f>IF(Audit[[#This Row],[Times p Drawn - With Replacement]]&gt;0, IF(Audit[[#This Row],[Canceled Differences]]&lt;0, Audit[[#This Row],[Max Differences]]+ABS(Audit[[#This Row],[Canceled Differences]]), Audit[[#This Row],[Max Differences]]), 0)</f>
        <v>0</v>
      </c>
      <c r="AT733" s="17">
        <f>'Sampling Data'!AB733</f>
        <v>2.9748769309115599E-2</v>
      </c>
      <c r="AU733" s="17">
        <f>IF(
      SUM(Audit[[#This Row],[Audit Losing Candidate]:[Audit Candidate 12]])
      &lt;&gt;0,
      (Audit[[#This Row],[Winning Candidate]]-Audit[[#This Row],[Losing Candidate]]-(Audit[[#This Row],[Audit Winning Candidate]]-Audit[[#This Row],[Audit Losing Candidate]]))/(Audit[[#Totals],[Winning Candidate]]-Audit[[#Totals],[Losing Candidate]]),
      0
)</f>
        <v>0</v>
      </c>
      <c r="AV7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3" s="17">
        <f>IF(Audit[[#This Row],[Max Relative Error (ep)]] = 0, 0, Audit[[#This Row],[Max Relative Error (ep)]]/Audit[[#This Row],[Error Bound (up) - Max. possible relative overstatement]])</f>
        <v>0</v>
      </c>
      <c r="BH7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33" s="17">
        <f t="shared" si="12"/>
        <v>1</v>
      </c>
      <c r="BJ733" s="17">
        <f>PRODUCT($BI$5:BI733)</f>
        <v>0.22633398732541499</v>
      </c>
      <c r="BK733" s="19">
        <f>1 - Audit[[#This Row],[K-M P Value]]</f>
        <v>0.77366601267458501</v>
      </c>
      <c r="BL733" s="17" t="str">
        <f>IF(Audit[[#This Row],[K-M P Value]]&gt;1-'General Info'!$B$12,"Continue", "Stop")</f>
        <v>Continue</v>
      </c>
      <c r="BM733" s="22" t="b">
        <f>IF(Audit[[#This Row],[Status - Continue or stop audit]] = "Continue", TRUE, IF(BL732 = "Continue", TRUE, FALSE))</f>
        <v>1</v>
      </c>
      <c r="BN733" s="22"/>
    </row>
    <row r="734" spans="1:66" ht="15" hidden="1" customHeight="1" x14ac:dyDescent="0.35">
      <c r="A734" s="17" t="str">
        <f>'Sampling Data'!AI734</f>
        <v/>
      </c>
      <c r="B734" s="17" t="str">
        <f>'Sampling Data'!A734</f>
        <v>2509 CIN 25-I   (ED)</v>
      </c>
      <c r="C734" s="17">
        <f>'Sampling Data'!B734</f>
        <v>210</v>
      </c>
      <c r="D734" s="17">
        <f>'Sampling Data'!C734</f>
        <v>234</v>
      </c>
      <c r="E734" s="18">
        <f>'Sampling Data'!D734</f>
        <v>0</v>
      </c>
      <c r="F734" s="18">
        <f>'Sampling Data'!E734</f>
        <v>0</v>
      </c>
      <c r="G734" s="18">
        <f>'Sampling Data'!F734</f>
        <v>0</v>
      </c>
      <c r="H734" s="18">
        <f>'Sampling Data'!G734</f>
        <v>0</v>
      </c>
      <c r="I734" s="18">
        <f>'Sampling Data'!H734</f>
        <v>0</v>
      </c>
      <c r="J734" s="18">
        <f>'Sampling Data'!I734</f>
        <v>0</v>
      </c>
      <c r="K734" s="18">
        <f>'Sampling Data'!J734</f>
        <v>0</v>
      </c>
      <c r="L734" s="18">
        <f>'Sampling Data'!K734</f>
        <v>0</v>
      </c>
      <c r="M734" s="18">
        <f>'Sampling Data'!L734</f>
        <v>0</v>
      </c>
      <c r="N734" s="18">
        <f>'Sampling Data'!M734</f>
        <v>0</v>
      </c>
      <c r="O734" s="17">
        <f>'Sampling Data'!N734</f>
        <v>0</v>
      </c>
      <c r="P734" s="17">
        <f>'Sampling Data'!O734</f>
        <v>25</v>
      </c>
      <c r="Q734" s="17">
        <f>'Sampling Data'!P734</f>
        <v>469</v>
      </c>
      <c r="R734" s="17">
        <f>'Sampling Data'!AJ734</f>
        <v>0</v>
      </c>
      <c r="S734" s="111"/>
      <c r="T734" s="111"/>
      <c r="U734" s="112"/>
      <c r="V734" s="112"/>
      <c r="W734" s="111"/>
      <c r="X734" s="111"/>
      <c r="Y734" s="111"/>
      <c r="Z734" s="111"/>
      <c r="AA734" s="14"/>
      <c r="AB734" s="14"/>
      <c r="AC734" s="14"/>
      <c r="AD734" s="14"/>
      <c r="AE734" s="113" t="str">
        <f>IF(NOT(ISBLANK(Audit[[#This Row],[Audit Winning Candidate]])), Audit[[#This Row],[Audit Winning Candidate]]-Audit[[#This Row],[Winning Candidate]], "")</f>
        <v/>
      </c>
      <c r="AF734" s="17" t="str">
        <f>IF(NOT(ISBLANK(Audit[[#This Row],[Audit Losing Candidate]])), Audit[[#This Row],[Audit Losing Candidate]]-Audit[[#This Row],[Losing Candidate]], "")</f>
        <v/>
      </c>
      <c r="AG734" s="17" t="str">
        <f>IF(NOT(ISBLANK(Audit[[#This Row],[Audit Candidate 3]])), Audit[[#This Row],[Audit Candidate 3]]-Audit[[#This Row],[Candidate 3]], "")</f>
        <v/>
      </c>
      <c r="AH734" s="17" t="str">
        <f>IF(NOT(ISBLANK(Audit[[#This Row],[Audit Candidate 4]])),Audit[[#This Row],[Audit Candidate 4]]-Audit[[#This Row],[Candidate 4]], "")</f>
        <v/>
      </c>
      <c r="AI734" s="17" t="str">
        <f>IF(NOT(ISBLANK(Audit[[#This Row],[Audit Candidate 5]])), Audit[[#This Row],[Audit Candidate 5]]-Audit[[#This Row],[Candidate 5]], "")</f>
        <v/>
      </c>
      <c r="AJ734" s="17" t="str">
        <f>IF(NOT(ISBLANK(Audit[[#This Row],[Audit Candidate 6]])), Audit[[#This Row],[Audit Candidate 6]]-Audit[[#This Row],[Candidate 6]], "")</f>
        <v/>
      </c>
      <c r="AK734" s="17" t="str">
        <f>IF(NOT(ISBLANK(Audit[[#This Row],[Audit Candidate 7]])), Audit[[#This Row],[Audit Candidate 7]]-Audit[[#This Row],[Candidate 7]], "")</f>
        <v/>
      </c>
      <c r="AL734" s="17" t="str">
        <f>IF(NOT(ISBLANK(Audit[[#This Row],[Audit Candidate 8]])), Audit[[#This Row],[Audit Candidate 8]]-Audit[[#This Row],[Candidate 8]], "")</f>
        <v/>
      </c>
      <c r="AM734" s="17" t="str">
        <f>IF(NOT(ISBLANK(Audit[[#This Row],[Audit Candidate 9]])), Audit[[#This Row],[Audit Candidate 9]]-Audit[[#This Row],[Candidate 9]], "")</f>
        <v/>
      </c>
      <c r="AN734" s="17" t="str">
        <f>IF(NOT(ISBLANK(Audit[[#This Row],[Audit Candidate 10]])), Audit[[#This Row],[Audit Candidate 10]]-Audit[[#This Row],[Candidate 10]], "")</f>
        <v/>
      </c>
      <c r="AO734" s="17" t="str">
        <f>IF(NOT(ISBLANK(Audit[[#This Row],[Audit Candidate 11]])), Audit[[#This Row],[Audit Candidate 11]]-Audit[[#This Row],[Candidate 11]], "")</f>
        <v/>
      </c>
      <c r="AP734" s="17" t="str">
        <f>IF(NOT(ISBLANK(Audit[[#This Row],[Audit Candidate 12]])), Audit[[#This Row],[Audit Candidate 12]]-Audit[[#This Row],[Candidate 12]], "")</f>
        <v/>
      </c>
      <c r="AQ734" s="17">
        <f>SUMIF(Audit[[#This Row],[Difference Winner]:[Difference Candidate 12]], "&gt;0")</f>
        <v>0</v>
      </c>
      <c r="AR734" s="17">
        <f>SUM(Audit[[#This Row],[Difference Winner]:[Difference Candidate 12]])</f>
        <v>0</v>
      </c>
      <c r="AS734" s="17">
        <f>IF(Audit[[#This Row],[Times p Drawn - With Replacement]]&gt;0, IF(Audit[[#This Row],[Canceled Differences]]&lt;0, Audit[[#This Row],[Max Differences]]+ABS(Audit[[#This Row],[Canceled Differences]]), Audit[[#This Row],[Max Differences]]), 0)</f>
        <v>0</v>
      </c>
      <c r="AT734" s="17">
        <f>'Sampling Data'!AB734</f>
        <v>1.888473943303344E-2</v>
      </c>
      <c r="AU734" s="17">
        <f>IF(
      SUM(Audit[[#This Row],[Audit Losing Candidate]:[Audit Candidate 12]])
      &lt;&gt;0,
      (Audit[[#This Row],[Winning Candidate]]-Audit[[#This Row],[Losing Candidate]]-(Audit[[#This Row],[Audit Winning Candidate]]-Audit[[#This Row],[Audit Losing Candidate]]))/(Audit[[#Totals],[Winning Candidate]]-Audit[[#Totals],[Losing Candidate]]),
      0
)</f>
        <v>0</v>
      </c>
      <c r="AV7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4" s="17">
        <f>IF(Audit[[#This Row],[Max Relative Error (ep)]] = 0, 0, Audit[[#This Row],[Max Relative Error (ep)]]/Audit[[#This Row],[Error Bound (up) - Max. possible relative overstatement]])</f>
        <v>0</v>
      </c>
      <c r="BH7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34" s="17">
        <f t="shared" si="12"/>
        <v>1</v>
      </c>
      <c r="BJ734" s="17">
        <f>PRODUCT($BI$5:BI734)</f>
        <v>0.22633398732541499</v>
      </c>
      <c r="BK734" s="19">
        <f>1 - Audit[[#This Row],[K-M P Value]]</f>
        <v>0.77366601267458501</v>
      </c>
      <c r="BL734" s="17" t="str">
        <f>IF(Audit[[#This Row],[K-M P Value]]&gt;1-'General Info'!$B$12,"Continue", "Stop")</f>
        <v>Continue</v>
      </c>
      <c r="BM734" s="22" t="b">
        <f>IF(Audit[[#This Row],[Status - Continue or stop audit]] = "Continue", TRUE, IF(BL733 = "Continue", TRUE, FALSE))</f>
        <v>1</v>
      </c>
      <c r="BN734" s="22"/>
    </row>
    <row r="735" spans="1:66" ht="15" hidden="1" customHeight="1" x14ac:dyDescent="0.35">
      <c r="A735" s="17" t="str">
        <f>'Sampling Data'!AI735</f>
        <v/>
      </c>
      <c r="B735" s="17" t="str">
        <f>'Sampling Data'!A735</f>
        <v>2510 CIN 25-J   (ED)</v>
      </c>
      <c r="C735" s="17">
        <f>'Sampling Data'!B735</f>
        <v>290</v>
      </c>
      <c r="D735" s="17">
        <f>'Sampling Data'!C735</f>
        <v>76</v>
      </c>
      <c r="E735" s="18">
        <f>'Sampling Data'!D735</f>
        <v>0</v>
      </c>
      <c r="F735" s="18">
        <f>'Sampling Data'!E735</f>
        <v>0</v>
      </c>
      <c r="G735" s="18">
        <f>'Sampling Data'!F735</f>
        <v>0</v>
      </c>
      <c r="H735" s="18">
        <f>'Sampling Data'!G735</f>
        <v>0</v>
      </c>
      <c r="I735" s="18">
        <f>'Sampling Data'!H735</f>
        <v>0</v>
      </c>
      <c r="J735" s="18">
        <f>'Sampling Data'!I735</f>
        <v>0</v>
      </c>
      <c r="K735" s="18">
        <f>'Sampling Data'!J735</f>
        <v>0</v>
      </c>
      <c r="L735" s="18">
        <f>'Sampling Data'!K735</f>
        <v>0</v>
      </c>
      <c r="M735" s="18">
        <f>'Sampling Data'!L735</f>
        <v>0</v>
      </c>
      <c r="N735" s="18">
        <f>'Sampling Data'!M735</f>
        <v>0</v>
      </c>
      <c r="O735" s="17">
        <f>'Sampling Data'!N735</f>
        <v>0</v>
      </c>
      <c r="P735" s="17">
        <f>'Sampling Data'!O735</f>
        <v>29</v>
      </c>
      <c r="Q735" s="17">
        <f>'Sampling Data'!P735</f>
        <v>395</v>
      </c>
      <c r="R735" s="17">
        <f>'Sampling Data'!AJ735</f>
        <v>0</v>
      </c>
      <c r="S735" s="111"/>
      <c r="T735" s="111"/>
      <c r="U735" s="112"/>
      <c r="V735" s="112"/>
      <c r="W735" s="111"/>
      <c r="X735" s="111"/>
      <c r="Y735" s="111"/>
      <c r="Z735" s="111"/>
      <c r="AA735" s="14"/>
      <c r="AB735" s="14"/>
      <c r="AC735" s="14"/>
      <c r="AD735" s="14"/>
      <c r="AE735" s="113" t="str">
        <f>IF(NOT(ISBLANK(Audit[[#This Row],[Audit Winning Candidate]])), Audit[[#This Row],[Audit Winning Candidate]]-Audit[[#This Row],[Winning Candidate]], "")</f>
        <v/>
      </c>
      <c r="AF735" s="17" t="str">
        <f>IF(NOT(ISBLANK(Audit[[#This Row],[Audit Losing Candidate]])), Audit[[#This Row],[Audit Losing Candidate]]-Audit[[#This Row],[Losing Candidate]], "")</f>
        <v/>
      </c>
      <c r="AG735" s="17" t="str">
        <f>IF(NOT(ISBLANK(Audit[[#This Row],[Audit Candidate 3]])), Audit[[#This Row],[Audit Candidate 3]]-Audit[[#This Row],[Candidate 3]], "")</f>
        <v/>
      </c>
      <c r="AH735" s="17" t="str">
        <f>IF(NOT(ISBLANK(Audit[[#This Row],[Audit Candidate 4]])),Audit[[#This Row],[Audit Candidate 4]]-Audit[[#This Row],[Candidate 4]], "")</f>
        <v/>
      </c>
      <c r="AI735" s="17" t="str">
        <f>IF(NOT(ISBLANK(Audit[[#This Row],[Audit Candidate 5]])), Audit[[#This Row],[Audit Candidate 5]]-Audit[[#This Row],[Candidate 5]], "")</f>
        <v/>
      </c>
      <c r="AJ735" s="17" t="str">
        <f>IF(NOT(ISBLANK(Audit[[#This Row],[Audit Candidate 6]])), Audit[[#This Row],[Audit Candidate 6]]-Audit[[#This Row],[Candidate 6]], "")</f>
        <v/>
      </c>
      <c r="AK735" s="17" t="str">
        <f>IF(NOT(ISBLANK(Audit[[#This Row],[Audit Candidate 7]])), Audit[[#This Row],[Audit Candidate 7]]-Audit[[#This Row],[Candidate 7]], "")</f>
        <v/>
      </c>
      <c r="AL735" s="17" t="str">
        <f>IF(NOT(ISBLANK(Audit[[#This Row],[Audit Candidate 8]])), Audit[[#This Row],[Audit Candidate 8]]-Audit[[#This Row],[Candidate 8]], "")</f>
        <v/>
      </c>
      <c r="AM735" s="17" t="str">
        <f>IF(NOT(ISBLANK(Audit[[#This Row],[Audit Candidate 9]])), Audit[[#This Row],[Audit Candidate 9]]-Audit[[#This Row],[Candidate 9]], "")</f>
        <v/>
      </c>
      <c r="AN735" s="17" t="str">
        <f>IF(NOT(ISBLANK(Audit[[#This Row],[Audit Candidate 10]])), Audit[[#This Row],[Audit Candidate 10]]-Audit[[#This Row],[Candidate 10]], "")</f>
        <v/>
      </c>
      <c r="AO735" s="17" t="str">
        <f>IF(NOT(ISBLANK(Audit[[#This Row],[Audit Candidate 11]])), Audit[[#This Row],[Audit Candidate 11]]-Audit[[#This Row],[Candidate 11]], "")</f>
        <v/>
      </c>
      <c r="AP735" s="17" t="str">
        <f>IF(NOT(ISBLANK(Audit[[#This Row],[Audit Candidate 12]])), Audit[[#This Row],[Audit Candidate 12]]-Audit[[#This Row],[Candidate 12]], "")</f>
        <v/>
      </c>
      <c r="AQ735" s="17">
        <f>SUMIF(Audit[[#This Row],[Difference Winner]:[Difference Candidate 12]], "&gt;0")</f>
        <v>0</v>
      </c>
      <c r="AR735" s="17">
        <f>SUM(Audit[[#This Row],[Difference Winner]:[Difference Candidate 12]])</f>
        <v>0</v>
      </c>
      <c r="AS735" s="17">
        <f>IF(Audit[[#This Row],[Times p Drawn - With Replacement]]&gt;0, IF(Audit[[#This Row],[Canceled Differences]]&lt;0, Audit[[#This Row],[Max Differences]]+ABS(Audit[[#This Row],[Canceled Differences]]), Audit[[#This Row],[Max Differences]]), 0)</f>
        <v>0</v>
      </c>
      <c r="AT735" s="17">
        <f>'Sampling Data'!AB735</f>
        <v>2.5844508572398575E-2</v>
      </c>
      <c r="AU735" s="17">
        <f>IF(
      SUM(Audit[[#This Row],[Audit Losing Candidate]:[Audit Candidate 12]])
      &lt;&gt;0,
      (Audit[[#This Row],[Winning Candidate]]-Audit[[#This Row],[Losing Candidate]]-(Audit[[#This Row],[Audit Winning Candidate]]-Audit[[#This Row],[Audit Losing Candidate]]))/(Audit[[#Totals],[Winning Candidate]]-Audit[[#Totals],[Losing Candidate]]),
      0
)</f>
        <v>0</v>
      </c>
      <c r="AV7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5" s="17">
        <f>IF(Audit[[#This Row],[Max Relative Error (ep)]] = 0, 0, Audit[[#This Row],[Max Relative Error (ep)]]/Audit[[#This Row],[Error Bound (up) - Max. possible relative overstatement]])</f>
        <v>0</v>
      </c>
      <c r="BH7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35" s="17">
        <f t="shared" si="12"/>
        <v>1</v>
      </c>
      <c r="BJ735" s="17">
        <f>PRODUCT($BI$5:BI735)</f>
        <v>0.22633398732541499</v>
      </c>
      <c r="BK735" s="19">
        <f>1 - Audit[[#This Row],[K-M P Value]]</f>
        <v>0.77366601267458501</v>
      </c>
      <c r="BL735" s="17" t="str">
        <f>IF(Audit[[#This Row],[K-M P Value]]&gt;1-'General Info'!$B$12,"Continue", "Stop")</f>
        <v>Continue</v>
      </c>
      <c r="BM735" s="22" t="b">
        <f>IF(Audit[[#This Row],[Status - Continue or stop audit]] = "Continue", TRUE, IF(BL734 = "Continue", TRUE, FALSE))</f>
        <v>1</v>
      </c>
      <c r="BN735" s="22"/>
    </row>
    <row r="736" spans="1:66" ht="15" hidden="1" customHeight="1" x14ac:dyDescent="0.35">
      <c r="A736" s="17" t="str">
        <f>'Sampling Data'!AI736</f>
        <v/>
      </c>
      <c r="B736" s="17" t="str">
        <f>'Sampling Data'!A736</f>
        <v>2511 CIN 25-K   (ED)</v>
      </c>
      <c r="C736" s="17">
        <f>'Sampling Data'!B736</f>
        <v>284</v>
      </c>
      <c r="D736" s="17">
        <f>'Sampling Data'!C736</f>
        <v>172</v>
      </c>
      <c r="E736" s="18">
        <f>'Sampling Data'!D736</f>
        <v>0</v>
      </c>
      <c r="F736" s="18">
        <f>'Sampling Data'!E736</f>
        <v>0</v>
      </c>
      <c r="G736" s="18">
        <f>'Sampling Data'!F736</f>
        <v>0</v>
      </c>
      <c r="H736" s="18">
        <f>'Sampling Data'!G736</f>
        <v>0</v>
      </c>
      <c r="I736" s="18">
        <f>'Sampling Data'!H736</f>
        <v>0</v>
      </c>
      <c r="J736" s="18">
        <f>'Sampling Data'!I736</f>
        <v>0</v>
      </c>
      <c r="K736" s="18">
        <f>'Sampling Data'!J736</f>
        <v>0</v>
      </c>
      <c r="L736" s="18">
        <f>'Sampling Data'!K736</f>
        <v>0</v>
      </c>
      <c r="M736" s="18">
        <f>'Sampling Data'!L736</f>
        <v>0</v>
      </c>
      <c r="N736" s="18">
        <f>'Sampling Data'!M736</f>
        <v>0</v>
      </c>
      <c r="O736" s="17">
        <f>'Sampling Data'!N736</f>
        <v>0</v>
      </c>
      <c r="P736" s="17">
        <f>'Sampling Data'!O736</f>
        <v>25</v>
      </c>
      <c r="Q736" s="17">
        <f>'Sampling Data'!P736</f>
        <v>481</v>
      </c>
      <c r="R736" s="17">
        <f>'Sampling Data'!AJ736</f>
        <v>0</v>
      </c>
      <c r="S736" s="111"/>
      <c r="T736" s="111"/>
      <c r="U736" s="112"/>
      <c r="V736" s="112"/>
      <c r="W736" s="111"/>
      <c r="X736" s="111"/>
      <c r="Y736" s="111"/>
      <c r="Z736" s="111"/>
      <c r="AA736" s="14"/>
      <c r="AB736" s="14"/>
      <c r="AC736" s="14"/>
      <c r="AD736" s="14"/>
      <c r="AE736" s="113" t="str">
        <f>IF(NOT(ISBLANK(Audit[[#This Row],[Audit Winning Candidate]])), Audit[[#This Row],[Audit Winning Candidate]]-Audit[[#This Row],[Winning Candidate]], "")</f>
        <v/>
      </c>
      <c r="AF736" s="17" t="str">
        <f>IF(NOT(ISBLANK(Audit[[#This Row],[Audit Losing Candidate]])), Audit[[#This Row],[Audit Losing Candidate]]-Audit[[#This Row],[Losing Candidate]], "")</f>
        <v/>
      </c>
      <c r="AG736" s="17" t="str">
        <f>IF(NOT(ISBLANK(Audit[[#This Row],[Audit Candidate 3]])), Audit[[#This Row],[Audit Candidate 3]]-Audit[[#This Row],[Candidate 3]], "")</f>
        <v/>
      </c>
      <c r="AH736" s="17" t="str">
        <f>IF(NOT(ISBLANK(Audit[[#This Row],[Audit Candidate 4]])),Audit[[#This Row],[Audit Candidate 4]]-Audit[[#This Row],[Candidate 4]], "")</f>
        <v/>
      </c>
      <c r="AI736" s="17" t="str">
        <f>IF(NOT(ISBLANK(Audit[[#This Row],[Audit Candidate 5]])), Audit[[#This Row],[Audit Candidate 5]]-Audit[[#This Row],[Candidate 5]], "")</f>
        <v/>
      </c>
      <c r="AJ736" s="17" t="str">
        <f>IF(NOT(ISBLANK(Audit[[#This Row],[Audit Candidate 6]])), Audit[[#This Row],[Audit Candidate 6]]-Audit[[#This Row],[Candidate 6]], "")</f>
        <v/>
      </c>
      <c r="AK736" s="17" t="str">
        <f>IF(NOT(ISBLANK(Audit[[#This Row],[Audit Candidate 7]])), Audit[[#This Row],[Audit Candidate 7]]-Audit[[#This Row],[Candidate 7]], "")</f>
        <v/>
      </c>
      <c r="AL736" s="17" t="str">
        <f>IF(NOT(ISBLANK(Audit[[#This Row],[Audit Candidate 8]])), Audit[[#This Row],[Audit Candidate 8]]-Audit[[#This Row],[Candidate 8]], "")</f>
        <v/>
      </c>
      <c r="AM736" s="17" t="str">
        <f>IF(NOT(ISBLANK(Audit[[#This Row],[Audit Candidate 9]])), Audit[[#This Row],[Audit Candidate 9]]-Audit[[#This Row],[Candidate 9]], "")</f>
        <v/>
      </c>
      <c r="AN736" s="17" t="str">
        <f>IF(NOT(ISBLANK(Audit[[#This Row],[Audit Candidate 10]])), Audit[[#This Row],[Audit Candidate 10]]-Audit[[#This Row],[Candidate 10]], "")</f>
        <v/>
      </c>
      <c r="AO736" s="17" t="str">
        <f>IF(NOT(ISBLANK(Audit[[#This Row],[Audit Candidate 11]])), Audit[[#This Row],[Audit Candidate 11]]-Audit[[#This Row],[Candidate 11]], "")</f>
        <v/>
      </c>
      <c r="AP736" s="17" t="str">
        <f>IF(NOT(ISBLANK(Audit[[#This Row],[Audit Candidate 12]])), Audit[[#This Row],[Audit Candidate 12]]-Audit[[#This Row],[Candidate 12]], "")</f>
        <v/>
      </c>
      <c r="AQ736" s="17">
        <f>SUMIF(Audit[[#This Row],[Difference Winner]:[Difference Candidate 12]], "&gt;0")</f>
        <v>0</v>
      </c>
      <c r="AR736" s="17">
        <f>SUM(Audit[[#This Row],[Difference Winner]:[Difference Candidate 12]])</f>
        <v>0</v>
      </c>
      <c r="AS736" s="17">
        <f>IF(Audit[[#This Row],[Times p Drawn - With Replacement]]&gt;0, IF(Audit[[#This Row],[Canceled Differences]]&lt;0, Audit[[#This Row],[Max Differences]]+ABS(Audit[[#This Row],[Canceled Differences]]), Audit[[#This Row],[Max Differences]]), 0)</f>
        <v>0</v>
      </c>
      <c r="AT736" s="17">
        <f>'Sampling Data'!AB736</f>
        <v>2.5165506705143441E-2</v>
      </c>
      <c r="AU736" s="17">
        <f>IF(
      SUM(Audit[[#This Row],[Audit Losing Candidate]:[Audit Candidate 12]])
      &lt;&gt;0,
      (Audit[[#This Row],[Winning Candidate]]-Audit[[#This Row],[Losing Candidate]]-(Audit[[#This Row],[Audit Winning Candidate]]-Audit[[#This Row],[Audit Losing Candidate]]))/(Audit[[#Totals],[Winning Candidate]]-Audit[[#Totals],[Losing Candidate]]),
      0
)</f>
        <v>0</v>
      </c>
      <c r="AV7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6" s="17">
        <f>IF(Audit[[#This Row],[Max Relative Error (ep)]] = 0, 0, Audit[[#This Row],[Max Relative Error (ep)]]/Audit[[#This Row],[Error Bound (up) - Max. possible relative overstatement]])</f>
        <v>0</v>
      </c>
      <c r="BH7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36" s="17">
        <f t="shared" si="12"/>
        <v>1</v>
      </c>
      <c r="BJ736" s="17">
        <f>PRODUCT($BI$5:BI736)</f>
        <v>0.22633398732541499</v>
      </c>
      <c r="BK736" s="19">
        <f>1 - Audit[[#This Row],[K-M P Value]]</f>
        <v>0.77366601267458501</v>
      </c>
      <c r="BL736" s="17" t="str">
        <f>IF(Audit[[#This Row],[K-M P Value]]&gt;1-'General Info'!$B$12,"Continue", "Stop")</f>
        <v>Continue</v>
      </c>
      <c r="BM736" s="22" t="b">
        <f>IF(Audit[[#This Row],[Status - Continue or stop audit]] = "Continue", TRUE, IF(BL735 = "Continue", TRUE, FALSE))</f>
        <v>1</v>
      </c>
      <c r="BN736" s="22"/>
    </row>
    <row r="737" spans="1:66" ht="15" hidden="1" customHeight="1" x14ac:dyDescent="0.35">
      <c r="A737" s="17" t="str">
        <f>'Sampling Data'!AI737</f>
        <v/>
      </c>
      <c r="B737" s="17" t="str">
        <f>'Sampling Data'!A737</f>
        <v>2512 CIN 25-L   (ED)</v>
      </c>
      <c r="C737" s="17">
        <f>'Sampling Data'!B737</f>
        <v>165</v>
      </c>
      <c r="D737" s="17">
        <f>'Sampling Data'!C737</f>
        <v>43</v>
      </c>
      <c r="E737" s="18">
        <f>'Sampling Data'!D737</f>
        <v>0</v>
      </c>
      <c r="F737" s="18">
        <f>'Sampling Data'!E737</f>
        <v>0</v>
      </c>
      <c r="G737" s="18">
        <f>'Sampling Data'!F737</f>
        <v>0</v>
      </c>
      <c r="H737" s="18">
        <f>'Sampling Data'!G737</f>
        <v>0</v>
      </c>
      <c r="I737" s="18">
        <f>'Sampling Data'!H737</f>
        <v>0</v>
      </c>
      <c r="J737" s="18">
        <f>'Sampling Data'!I737</f>
        <v>0</v>
      </c>
      <c r="K737" s="18">
        <f>'Sampling Data'!J737</f>
        <v>0</v>
      </c>
      <c r="L737" s="18">
        <f>'Sampling Data'!K737</f>
        <v>0</v>
      </c>
      <c r="M737" s="18">
        <f>'Sampling Data'!L737</f>
        <v>0</v>
      </c>
      <c r="N737" s="18">
        <f>'Sampling Data'!M737</f>
        <v>0</v>
      </c>
      <c r="O737" s="17">
        <f>'Sampling Data'!N737</f>
        <v>0</v>
      </c>
      <c r="P737" s="17">
        <f>'Sampling Data'!O737</f>
        <v>23</v>
      </c>
      <c r="Q737" s="17">
        <f>'Sampling Data'!P737</f>
        <v>231</v>
      </c>
      <c r="R737" s="17">
        <f>'Sampling Data'!AJ737</f>
        <v>0</v>
      </c>
      <c r="S737" s="111"/>
      <c r="T737" s="111"/>
      <c r="U737" s="112"/>
      <c r="V737" s="112"/>
      <c r="W737" s="111"/>
      <c r="X737" s="111"/>
      <c r="Y737" s="111"/>
      <c r="Z737" s="111"/>
      <c r="AA737" s="14"/>
      <c r="AB737" s="14"/>
      <c r="AC737" s="14"/>
      <c r="AD737" s="14"/>
      <c r="AE737" s="113" t="str">
        <f>IF(NOT(ISBLANK(Audit[[#This Row],[Audit Winning Candidate]])), Audit[[#This Row],[Audit Winning Candidate]]-Audit[[#This Row],[Winning Candidate]], "")</f>
        <v/>
      </c>
      <c r="AF737" s="17" t="str">
        <f>IF(NOT(ISBLANK(Audit[[#This Row],[Audit Losing Candidate]])), Audit[[#This Row],[Audit Losing Candidate]]-Audit[[#This Row],[Losing Candidate]], "")</f>
        <v/>
      </c>
      <c r="AG737" s="17" t="str">
        <f>IF(NOT(ISBLANK(Audit[[#This Row],[Audit Candidate 3]])), Audit[[#This Row],[Audit Candidate 3]]-Audit[[#This Row],[Candidate 3]], "")</f>
        <v/>
      </c>
      <c r="AH737" s="17" t="str">
        <f>IF(NOT(ISBLANK(Audit[[#This Row],[Audit Candidate 4]])),Audit[[#This Row],[Audit Candidate 4]]-Audit[[#This Row],[Candidate 4]], "")</f>
        <v/>
      </c>
      <c r="AI737" s="17" t="str">
        <f>IF(NOT(ISBLANK(Audit[[#This Row],[Audit Candidate 5]])), Audit[[#This Row],[Audit Candidate 5]]-Audit[[#This Row],[Candidate 5]], "")</f>
        <v/>
      </c>
      <c r="AJ737" s="17" t="str">
        <f>IF(NOT(ISBLANK(Audit[[#This Row],[Audit Candidate 6]])), Audit[[#This Row],[Audit Candidate 6]]-Audit[[#This Row],[Candidate 6]], "")</f>
        <v/>
      </c>
      <c r="AK737" s="17" t="str">
        <f>IF(NOT(ISBLANK(Audit[[#This Row],[Audit Candidate 7]])), Audit[[#This Row],[Audit Candidate 7]]-Audit[[#This Row],[Candidate 7]], "")</f>
        <v/>
      </c>
      <c r="AL737" s="17" t="str">
        <f>IF(NOT(ISBLANK(Audit[[#This Row],[Audit Candidate 8]])), Audit[[#This Row],[Audit Candidate 8]]-Audit[[#This Row],[Candidate 8]], "")</f>
        <v/>
      </c>
      <c r="AM737" s="17" t="str">
        <f>IF(NOT(ISBLANK(Audit[[#This Row],[Audit Candidate 9]])), Audit[[#This Row],[Audit Candidate 9]]-Audit[[#This Row],[Candidate 9]], "")</f>
        <v/>
      </c>
      <c r="AN737" s="17" t="str">
        <f>IF(NOT(ISBLANK(Audit[[#This Row],[Audit Candidate 10]])), Audit[[#This Row],[Audit Candidate 10]]-Audit[[#This Row],[Candidate 10]], "")</f>
        <v/>
      </c>
      <c r="AO737" s="17" t="str">
        <f>IF(NOT(ISBLANK(Audit[[#This Row],[Audit Candidate 11]])), Audit[[#This Row],[Audit Candidate 11]]-Audit[[#This Row],[Candidate 11]], "")</f>
        <v/>
      </c>
      <c r="AP737" s="17" t="str">
        <f>IF(NOT(ISBLANK(Audit[[#This Row],[Audit Candidate 12]])), Audit[[#This Row],[Audit Candidate 12]]-Audit[[#This Row],[Candidate 12]], "")</f>
        <v/>
      </c>
      <c r="AQ737" s="17">
        <f>SUMIF(Audit[[#This Row],[Difference Winner]:[Difference Candidate 12]], "&gt;0")</f>
        <v>0</v>
      </c>
      <c r="AR737" s="17">
        <f>SUM(Audit[[#This Row],[Difference Winner]:[Difference Candidate 12]])</f>
        <v>0</v>
      </c>
      <c r="AS737" s="17">
        <f>IF(Audit[[#This Row],[Times p Drawn - With Replacement]]&gt;0, IF(Audit[[#This Row],[Canceled Differences]]&lt;0, Audit[[#This Row],[Max Differences]]+ABS(Audit[[#This Row],[Canceled Differences]]), Audit[[#This Row],[Max Differences]]), 0)</f>
        <v>0</v>
      </c>
      <c r="AT737" s="17">
        <f>'Sampling Data'!AB737</f>
        <v>1.4980478696316414E-2</v>
      </c>
      <c r="AU737" s="17">
        <f>IF(
      SUM(Audit[[#This Row],[Audit Losing Candidate]:[Audit Candidate 12]])
      &lt;&gt;0,
      (Audit[[#This Row],[Winning Candidate]]-Audit[[#This Row],[Losing Candidate]]-(Audit[[#This Row],[Audit Winning Candidate]]-Audit[[#This Row],[Audit Losing Candidate]]))/(Audit[[#Totals],[Winning Candidate]]-Audit[[#Totals],[Losing Candidate]]),
      0
)</f>
        <v>0</v>
      </c>
      <c r="AV7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7" s="17">
        <f>IF(Audit[[#This Row],[Max Relative Error (ep)]] = 0, 0, Audit[[#This Row],[Max Relative Error (ep)]]/Audit[[#This Row],[Error Bound (up) - Max. possible relative overstatement]])</f>
        <v>0</v>
      </c>
      <c r="BH7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37" s="17">
        <f t="shared" si="12"/>
        <v>1</v>
      </c>
      <c r="BJ737" s="17">
        <f>PRODUCT($BI$5:BI737)</f>
        <v>0.22633398732541499</v>
      </c>
      <c r="BK737" s="19">
        <f>1 - Audit[[#This Row],[K-M P Value]]</f>
        <v>0.77366601267458501</v>
      </c>
      <c r="BL737" s="17" t="str">
        <f>IF(Audit[[#This Row],[K-M P Value]]&gt;1-'General Info'!$B$12,"Continue", "Stop")</f>
        <v>Continue</v>
      </c>
      <c r="BM737" s="22" t="b">
        <f>IF(Audit[[#This Row],[Status - Continue or stop audit]] = "Continue", TRUE, IF(BL736 = "Continue", TRUE, FALSE))</f>
        <v>1</v>
      </c>
      <c r="BN737" s="22"/>
    </row>
    <row r="738" spans="1:66" ht="15" hidden="1" customHeight="1" x14ac:dyDescent="0.35">
      <c r="A738" s="17" t="str">
        <f>'Sampling Data'!AI738</f>
        <v/>
      </c>
      <c r="B738" s="17" t="str">
        <f>'Sampling Data'!A738</f>
        <v>2601 CIN 26-A   (ED)</v>
      </c>
      <c r="C738" s="17">
        <f>'Sampling Data'!B738</f>
        <v>295</v>
      </c>
      <c r="D738" s="17">
        <f>'Sampling Data'!C738</f>
        <v>232</v>
      </c>
      <c r="E738" s="18">
        <f>'Sampling Data'!D738</f>
        <v>0</v>
      </c>
      <c r="F738" s="18">
        <f>'Sampling Data'!E738</f>
        <v>0</v>
      </c>
      <c r="G738" s="18">
        <f>'Sampling Data'!F738</f>
        <v>0</v>
      </c>
      <c r="H738" s="18">
        <f>'Sampling Data'!G738</f>
        <v>0</v>
      </c>
      <c r="I738" s="18">
        <f>'Sampling Data'!H738</f>
        <v>0</v>
      </c>
      <c r="J738" s="18">
        <f>'Sampling Data'!I738</f>
        <v>0</v>
      </c>
      <c r="K738" s="18">
        <f>'Sampling Data'!J738</f>
        <v>0</v>
      </c>
      <c r="L738" s="18">
        <f>'Sampling Data'!K738</f>
        <v>0</v>
      </c>
      <c r="M738" s="18">
        <f>'Sampling Data'!L738</f>
        <v>0</v>
      </c>
      <c r="N738" s="18">
        <f>'Sampling Data'!M738</f>
        <v>0</v>
      </c>
      <c r="O738" s="17">
        <f>'Sampling Data'!N738</f>
        <v>0</v>
      </c>
      <c r="P738" s="17">
        <f>'Sampling Data'!O738</f>
        <v>47</v>
      </c>
      <c r="Q738" s="17">
        <f>'Sampling Data'!P738</f>
        <v>574</v>
      </c>
      <c r="R738" s="17">
        <f>'Sampling Data'!AJ738</f>
        <v>0</v>
      </c>
      <c r="S738" s="111"/>
      <c r="T738" s="111"/>
      <c r="U738" s="112"/>
      <c r="V738" s="112"/>
      <c r="W738" s="111"/>
      <c r="X738" s="111"/>
      <c r="Y738" s="111"/>
      <c r="Z738" s="111"/>
      <c r="AA738" s="14"/>
      <c r="AB738" s="14"/>
      <c r="AC738" s="14"/>
      <c r="AD738" s="14"/>
      <c r="AE738" s="113" t="str">
        <f>IF(NOT(ISBLANK(Audit[[#This Row],[Audit Winning Candidate]])), Audit[[#This Row],[Audit Winning Candidate]]-Audit[[#This Row],[Winning Candidate]], "")</f>
        <v/>
      </c>
      <c r="AF738" s="17" t="str">
        <f>IF(NOT(ISBLANK(Audit[[#This Row],[Audit Losing Candidate]])), Audit[[#This Row],[Audit Losing Candidate]]-Audit[[#This Row],[Losing Candidate]], "")</f>
        <v/>
      </c>
      <c r="AG738" s="17" t="str">
        <f>IF(NOT(ISBLANK(Audit[[#This Row],[Audit Candidate 3]])), Audit[[#This Row],[Audit Candidate 3]]-Audit[[#This Row],[Candidate 3]], "")</f>
        <v/>
      </c>
      <c r="AH738" s="17" t="str">
        <f>IF(NOT(ISBLANK(Audit[[#This Row],[Audit Candidate 4]])),Audit[[#This Row],[Audit Candidate 4]]-Audit[[#This Row],[Candidate 4]], "")</f>
        <v/>
      </c>
      <c r="AI738" s="17" t="str">
        <f>IF(NOT(ISBLANK(Audit[[#This Row],[Audit Candidate 5]])), Audit[[#This Row],[Audit Candidate 5]]-Audit[[#This Row],[Candidate 5]], "")</f>
        <v/>
      </c>
      <c r="AJ738" s="17" t="str">
        <f>IF(NOT(ISBLANK(Audit[[#This Row],[Audit Candidate 6]])), Audit[[#This Row],[Audit Candidate 6]]-Audit[[#This Row],[Candidate 6]], "")</f>
        <v/>
      </c>
      <c r="AK738" s="17" t="str">
        <f>IF(NOT(ISBLANK(Audit[[#This Row],[Audit Candidate 7]])), Audit[[#This Row],[Audit Candidate 7]]-Audit[[#This Row],[Candidate 7]], "")</f>
        <v/>
      </c>
      <c r="AL738" s="17" t="str">
        <f>IF(NOT(ISBLANK(Audit[[#This Row],[Audit Candidate 8]])), Audit[[#This Row],[Audit Candidate 8]]-Audit[[#This Row],[Candidate 8]], "")</f>
        <v/>
      </c>
      <c r="AM738" s="17" t="str">
        <f>IF(NOT(ISBLANK(Audit[[#This Row],[Audit Candidate 9]])), Audit[[#This Row],[Audit Candidate 9]]-Audit[[#This Row],[Candidate 9]], "")</f>
        <v/>
      </c>
      <c r="AN738" s="17" t="str">
        <f>IF(NOT(ISBLANK(Audit[[#This Row],[Audit Candidate 10]])), Audit[[#This Row],[Audit Candidate 10]]-Audit[[#This Row],[Candidate 10]], "")</f>
        <v/>
      </c>
      <c r="AO738" s="17" t="str">
        <f>IF(NOT(ISBLANK(Audit[[#This Row],[Audit Candidate 11]])), Audit[[#This Row],[Audit Candidate 11]]-Audit[[#This Row],[Candidate 11]], "")</f>
        <v/>
      </c>
      <c r="AP738" s="17" t="str">
        <f>IF(NOT(ISBLANK(Audit[[#This Row],[Audit Candidate 12]])), Audit[[#This Row],[Audit Candidate 12]]-Audit[[#This Row],[Candidate 12]], "")</f>
        <v/>
      </c>
      <c r="AQ738" s="17">
        <f>SUMIF(Audit[[#This Row],[Difference Winner]:[Difference Candidate 12]], "&gt;0")</f>
        <v>0</v>
      </c>
      <c r="AR738" s="17">
        <f>SUM(Audit[[#This Row],[Difference Winner]:[Difference Candidate 12]])</f>
        <v>0</v>
      </c>
      <c r="AS738" s="17">
        <f>IF(Audit[[#This Row],[Times p Drawn - With Replacement]]&gt;0, IF(Audit[[#This Row],[Canceled Differences]]&lt;0, Audit[[#This Row],[Max Differences]]+ABS(Audit[[#This Row],[Canceled Differences]]), Audit[[#This Row],[Max Differences]]), 0)</f>
        <v>0</v>
      </c>
      <c r="AT738" s="17">
        <f>'Sampling Data'!AB738</f>
        <v>2.7032761840095062E-2</v>
      </c>
      <c r="AU738" s="17">
        <f>IF(
      SUM(Audit[[#This Row],[Audit Losing Candidate]:[Audit Candidate 12]])
      &lt;&gt;0,
      (Audit[[#This Row],[Winning Candidate]]-Audit[[#This Row],[Losing Candidate]]-(Audit[[#This Row],[Audit Winning Candidate]]-Audit[[#This Row],[Audit Losing Candidate]]))/(Audit[[#Totals],[Winning Candidate]]-Audit[[#Totals],[Losing Candidate]]),
      0
)</f>
        <v>0</v>
      </c>
      <c r="AV7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8" s="17">
        <f>IF(Audit[[#This Row],[Max Relative Error (ep)]] = 0, 0, Audit[[#This Row],[Max Relative Error (ep)]]/Audit[[#This Row],[Error Bound (up) - Max. possible relative overstatement]])</f>
        <v>0</v>
      </c>
      <c r="BH7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38" s="17">
        <f t="shared" si="12"/>
        <v>1</v>
      </c>
      <c r="BJ738" s="17">
        <f>PRODUCT($BI$5:BI738)</f>
        <v>0.22633398732541499</v>
      </c>
      <c r="BK738" s="19">
        <f>1 - Audit[[#This Row],[K-M P Value]]</f>
        <v>0.77366601267458501</v>
      </c>
      <c r="BL738" s="17" t="str">
        <f>IF(Audit[[#This Row],[K-M P Value]]&gt;1-'General Info'!$B$12,"Continue", "Stop")</f>
        <v>Continue</v>
      </c>
      <c r="BM738" s="22" t="b">
        <f>IF(Audit[[#This Row],[Status - Continue or stop audit]] = "Continue", TRUE, IF(BL737 = "Continue", TRUE, FALSE))</f>
        <v>1</v>
      </c>
      <c r="BN738" s="22"/>
    </row>
    <row r="739" spans="1:66" ht="15" hidden="1" customHeight="1" x14ac:dyDescent="0.35">
      <c r="A739" s="17" t="str">
        <f>'Sampling Data'!AI739</f>
        <v/>
      </c>
      <c r="B739" s="17" t="str">
        <f>'Sampling Data'!A739</f>
        <v>2602 CIN 26-B   (ED)</v>
      </c>
      <c r="C739" s="17">
        <f>'Sampling Data'!B739</f>
        <v>223</v>
      </c>
      <c r="D739" s="17">
        <f>'Sampling Data'!C739</f>
        <v>83</v>
      </c>
      <c r="E739" s="18">
        <f>'Sampling Data'!D739</f>
        <v>0</v>
      </c>
      <c r="F739" s="18">
        <f>'Sampling Data'!E739</f>
        <v>0</v>
      </c>
      <c r="G739" s="18">
        <f>'Sampling Data'!F739</f>
        <v>0</v>
      </c>
      <c r="H739" s="18">
        <f>'Sampling Data'!G739</f>
        <v>0</v>
      </c>
      <c r="I739" s="18">
        <f>'Sampling Data'!H739</f>
        <v>0</v>
      </c>
      <c r="J739" s="18">
        <f>'Sampling Data'!I739</f>
        <v>0</v>
      </c>
      <c r="K739" s="18">
        <f>'Sampling Data'!J739</f>
        <v>0</v>
      </c>
      <c r="L739" s="18">
        <f>'Sampling Data'!K739</f>
        <v>0</v>
      </c>
      <c r="M739" s="18">
        <f>'Sampling Data'!L739</f>
        <v>0</v>
      </c>
      <c r="N739" s="18">
        <f>'Sampling Data'!M739</f>
        <v>0</v>
      </c>
      <c r="O739" s="17">
        <f>'Sampling Data'!N739</f>
        <v>1</v>
      </c>
      <c r="P739" s="17">
        <f>'Sampling Data'!O739</f>
        <v>21</v>
      </c>
      <c r="Q739" s="17">
        <f>'Sampling Data'!P739</f>
        <v>328</v>
      </c>
      <c r="R739" s="17">
        <f>'Sampling Data'!AJ739</f>
        <v>0</v>
      </c>
      <c r="S739" s="111"/>
      <c r="T739" s="111"/>
      <c r="U739" s="112"/>
      <c r="V739" s="112"/>
      <c r="W739" s="111"/>
      <c r="X739" s="111"/>
      <c r="Y739" s="111"/>
      <c r="Z739" s="111"/>
      <c r="AA739" s="14"/>
      <c r="AB739" s="14"/>
      <c r="AC739" s="14"/>
      <c r="AD739" s="14"/>
      <c r="AE739" s="113" t="str">
        <f>IF(NOT(ISBLANK(Audit[[#This Row],[Audit Winning Candidate]])), Audit[[#This Row],[Audit Winning Candidate]]-Audit[[#This Row],[Winning Candidate]], "")</f>
        <v/>
      </c>
      <c r="AF739" s="17" t="str">
        <f>IF(NOT(ISBLANK(Audit[[#This Row],[Audit Losing Candidate]])), Audit[[#This Row],[Audit Losing Candidate]]-Audit[[#This Row],[Losing Candidate]], "")</f>
        <v/>
      </c>
      <c r="AG739" s="17" t="str">
        <f>IF(NOT(ISBLANK(Audit[[#This Row],[Audit Candidate 3]])), Audit[[#This Row],[Audit Candidate 3]]-Audit[[#This Row],[Candidate 3]], "")</f>
        <v/>
      </c>
      <c r="AH739" s="17" t="str">
        <f>IF(NOT(ISBLANK(Audit[[#This Row],[Audit Candidate 4]])),Audit[[#This Row],[Audit Candidate 4]]-Audit[[#This Row],[Candidate 4]], "")</f>
        <v/>
      </c>
      <c r="AI739" s="17" t="str">
        <f>IF(NOT(ISBLANK(Audit[[#This Row],[Audit Candidate 5]])), Audit[[#This Row],[Audit Candidate 5]]-Audit[[#This Row],[Candidate 5]], "")</f>
        <v/>
      </c>
      <c r="AJ739" s="17" t="str">
        <f>IF(NOT(ISBLANK(Audit[[#This Row],[Audit Candidate 6]])), Audit[[#This Row],[Audit Candidate 6]]-Audit[[#This Row],[Candidate 6]], "")</f>
        <v/>
      </c>
      <c r="AK739" s="17" t="str">
        <f>IF(NOT(ISBLANK(Audit[[#This Row],[Audit Candidate 7]])), Audit[[#This Row],[Audit Candidate 7]]-Audit[[#This Row],[Candidate 7]], "")</f>
        <v/>
      </c>
      <c r="AL739" s="17" t="str">
        <f>IF(NOT(ISBLANK(Audit[[#This Row],[Audit Candidate 8]])), Audit[[#This Row],[Audit Candidate 8]]-Audit[[#This Row],[Candidate 8]], "")</f>
        <v/>
      </c>
      <c r="AM739" s="17" t="str">
        <f>IF(NOT(ISBLANK(Audit[[#This Row],[Audit Candidate 9]])), Audit[[#This Row],[Audit Candidate 9]]-Audit[[#This Row],[Candidate 9]], "")</f>
        <v/>
      </c>
      <c r="AN739" s="17" t="str">
        <f>IF(NOT(ISBLANK(Audit[[#This Row],[Audit Candidate 10]])), Audit[[#This Row],[Audit Candidate 10]]-Audit[[#This Row],[Candidate 10]], "")</f>
        <v/>
      </c>
      <c r="AO739" s="17" t="str">
        <f>IF(NOT(ISBLANK(Audit[[#This Row],[Audit Candidate 11]])), Audit[[#This Row],[Audit Candidate 11]]-Audit[[#This Row],[Candidate 11]], "")</f>
        <v/>
      </c>
      <c r="AP739" s="17" t="str">
        <f>IF(NOT(ISBLANK(Audit[[#This Row],[Audit Candidate 12]])), Audit[[#This Row],[Audit Candidate 12]]-Audit[[#This Row],[Candidate 12]], "")</f>
        <v/>
      </c>
      <c r="AQ739" s="17">
        <f>SUMIF(Audit[[#This Row],[Difference Winner]:[Difference Candidate 12]], "&gt;0")</f>
        <v>0</v>
      </c>
      <c r="AR739" s="17">
        <f>SUM(Audit[[#This Row],[Difference Winner]:[Difference Candidate 12]])</f>
        <v>0</v>
      </c>
      <c r="AS739" s="17">
        <f>IF(Audit[[#This Row],[Times p Drawn - With Replacement]]&gt;0, IF(Audit[[#This Row],[Canceled Differences]]&lt;0, Audit[[#This Row],[Max Differences]]+ABS(Audit[[#This Row],[Canceled Differences]]), Audit[[#This Row],[Max Differences]]), 0)</f>
        <v>0</v>
      </c>
      <c r="AT739" s="17">
        <f>'Sampling Data'!AB739</f>
        <v>1.9860804617212697E-2</v>
      </c>
      <c r="AU739" s="17">
        <f>IF(
      SUM(Audit[[#This Row],[Audit Losing Candidate]:[Audit Candidate 12]])
      &lt;&gt;0,
      (Audit[[#This Row],[Winning Candidate]]-Audit[[#This Row],[Losing Candidate]]-(Audit[[#This Row],[Audit Winning Candidate]]-Audit[[#This Row],[Audit Losing Candidate]]))/(Audit[[#Totals],[Winning Candidate]]-Audit[[#Totals],[Losing Candidate]]),
      0
)</f>
        <v>0</v>
      </c>
      <c r="AV7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9" s="17">
        <f>IF(Audit[[#This Row],[Max Relative Error (ep)]] = 0, 0, Audit[[#This Row],[Max Relative Error (ep)]]/Audit[[#This Row],[Error Bound (up) - Max. possible relative overstatement]])</f>
        <v>0</v>
      </c>
      <c r="BH7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39" s="17">
        <f t="shared" si="12"/>
        <v>1</v>
      </c>
      <c r="BJ739" s="17">
        <f>PRODUCT($BI$5:BI739)</f>
        <v>0.22633398732541499</v>
      </c>
      <c r="BK739" s="19">
        <f>1 - Audit[[#This Row],[K-M P Value]]</f>
        <v>0.77366601267458501</v>
      </c>
      <c r="BL739" s="17" t="str">
        <f>IF(Audit[[#This Row],[K-M P Value]]&gt;1-'General Info'!$B$12,"Continue", "Stop")</f>
        <v>Continue</v>
      </c>
      <c r="BM739" s="22" t="b">
        <f>IF(Audit[[#This Row],[Status - Continue or stop audit]] = "Continue", TRUE, IF(BL738 = "Continue", TRUE, FALSE))</f>
        <v>1</v>
      </c>
      <c r="BN739" s="22"/>
    </row>
    <row r="740" spans="1:66" ht="15" hidden="1" customHeight="1" x14ac:dyDescent="0.35">
      <c r="A740" s="17" t="str">
        <f>'Sampling Data'!AI740</f>
        <v/>
      </c>
      <c r="B740" s="17" t="str">
        <f>'Sampling Data'!A740</f>
        <v>2603 CIN 26-C   (ED)</v>
      </c>
      <c r="C740" s="17">
        <f>'Sampling Data'!B740</f>
        <v>176</v>
      </c>
      <c r="D740" s="17">
        <f>'Sampling Data'!C740</f>
        <v>87</v>
      </c>
      <c r="E740" s="18">
        <f>'Sampling Data'!D740</f>
        <v>0</v>
      </c>
      <c r="F740" s="18">
        <f>'Sampling Data'!E740</f>
        <v>0</v>
      </c>
      <c r="G740" s="18">
        <f>'Sampling Data'!F740</f>
        <v>0</v>
      </c>
      <c r="H740" s="18">
        <f>'Sampling Data'!G740</f>
        <v>0</v>
      </c>
      <c r="I740" s="18">
        <f>'Sampling Data'!H740</f>
        <v>0</v>
      </c>
      <c r="J740" s="18">
        <f>'Sampling Data'!I740</f>
        <v>0</v>
      </c>
      <c r="K740" s="18">
        <f>'Sampling Data'!J740</f>
        <v>0</v>
      </c>
      <c r="L740" s="18">
        <f>'Sampling Data'!K740</f>
        <v>0</v>
      </c>
      <c r="M740" s="18">
        <f>'Sampling Data'!L740</f>
        <v>0</v>
      </c>
      <c r="N740" s="18">
        <f>'Sampling Data'!M740</f>
        <v>0</v>
      </c>
      <c r="O740" s="17">
        <f>'Sampling Data'!N740</f>
        <v>0</v>
      </c>
      <c r="P740" s="17">
        <f>'Sampling Data'!O740</f>
        <v>22</v>
      </c>
      <c r="Q740" s="17">
        <f>'Sampling Data'!P740</f>
        <v>285</v>
      </c>
      <c r="R740" s="17">
        <f>'Sampling Data'!AJ740</f>
        <v>0</v>
      </c>
      <c r="S740" s="111"/>
      <c r="T740" s="111"/>
      <c r="U740" s="112"/>
      <c r="V740" s="112"/>
      <c r="W740" s="111"/>
      <c r="X740" s="111"/>
      <c r="Y740" s="111"/>
      <c r="Z740" s="111"/>
      <c r="AA740" s="14"/>
      <c r="AB740" s="14"/>
      <c r="AC740" s="14"/>
      <c r="AD740" s="14"/>
      <c r="AE740" s="113" t="str">
        <f>IF(NOT(ISBLANK(Audit[[#This Row],[Audit Winning Candidate]])), Audit[[#This Row],[Audit Winning Candidate]]-Audit[[#This Row],[Winning Candidate]], "")</f>
        <v/>
      </c>
      <c r="AF740" s="17" t="str">
        <f>IF(NOT(ISBLANK(Audit[[#This Row],[Audit Losing Candidate]])), Audit[[#This Row],[Audit Losing Candidate]]-Audit[[#This Row],[Losing Candidate]], "")</f>
        <v/>
      </c>
      <c r="AG740" s="17" t="str">
        <f>IF(NOT(ISBLANK(Audit[[#This Row],[Audit Candidate 3]])), Audit[[#This Row],[Audit Candidate 3]]-Audit[[#This Row],[Candidate 3]], "")</f>
        <v/>
      </c>
      <c r="AH740" s="17" t="str">
        <f>IF(NOT(ISBLANK(Audit[[#This Row],[Audit Candidate 4]])),Audit[[#This Row],[Audit Candidate 4]]-Audit[[#This Row],[Candidate 4]], "")</f>
        <v/>
      </c>
      <c r="AI740" s="17" t="str">
        <f>IF(NOT(ISBLANK(Audit[[#This Row],[Audit Candidate 5]])), Audit[[#This Row],[Audit Candidate 5]]-Audit[[#This Row],[Candidate 5]], "")</f>
        <v/>
      </c>
      <c r="AJ740" s="17" t="str">
        <f>IF(NOT(ISBLANK(Audit[[#This Row],[Audit Candidate 6]])), Audit[[#This Row],[Audit Candidate 6]]-Audit[[#This Row],[Candidate 6]], "")</f>
        <v/>
      </c>
      <c r="AK740" s="17" t="str">
        <f>IF(NOT(ISBLANK(Audit[[#This Row],[Audit Candidate 7]])), Audit[[#This Row],[Audit Candidate 7]]-Audit[[#This Row],[Candidate 7]], "")</f>
        <v/>
      </c>
      <c r="AL740" s="17" t="str">
        <f>IF(NOT(ISBLANK(Audit[[#This Row],[Audit Candidate 8]])), Audit[[#This Row],[Audit Candidate 8]]-Audit[[#This Row],[Candidate 8]], "")</f>
        <v/>
      </c>
      <c r="AM740" s="17" t="str">
        <f>IF(NOT(ISBLANK(Audit[[#This Row],[Audit Candidate 9]])), Audit[[#This Row],[Audit Candidate 9]]-Audit[[#This Row],[Candidate 9]], "")</f>
        <v/>
      </c>
      <c r="AN740" s="17" t="str">
        <f>IF(NOT(ISBLANK(Audit[[#This Row],[Audit Candidate 10]])), Audit[[#This Row],[Audit Candidate 10]]-Audit[[#This Row],[Candidate 10]], "")</f>
        <v/>
      </c>
      <c r="AO740" s="17" t="str">
        <f>IF(NOT(ISBLANK(Audit[[#This Row],[Audit Candidate 11]])), Audit[[#This Row],[Audit Candidate 11]]-Audit[[#This Row],[Candidate 11]], "")</f>
        <v/>
      </c>
      <c r="AP740" s="17" t="str">
        <f>IF(NOT(ISBLANK(Audit[[#This Row],[Audit Candidate 12]])), Audit[[#This Row],[Audit Candidate 12]]-Audit[[#This Row],[Candidate 12]], "")</f>
        <v/>
      </c>
      <c r="AQ740" s="17">
        <f>SUMIF(Audit[[#This Row],[Difference Winner]:[Difference Candidate 12]], "&gt;0")</f>
        <v>0</v>
      </c>
      <c r="AR740" s="17">
        <f>SUM(Audit[[#This Row],[Difference Winner]:[Difference Candidate 12]])</f>
        <v>0</v>
      </c>
      <c r="AS740" s="17">
        <f>IF(Audit[[#This Row],[Times p Drawn - With Replacement]]&gt;0, IF(Audit[[#This Row],[Canceled Differences]]&lt;0, Audit[[#This Row],[Max Differences]]+ABS(Audit[[#This Row],[Canceled Differences]]), Audit[[#This Row],[Max Differences]]), 0)</f>
        <v>0</v>
      </c>
      <c r="AT740" s="17">
        <f>'Sampling Data'!AB740</f>
        <v>1.587166864708878E-2</v>
      </c>
      <c r="AU740" s="17">
        <f>IF(
      SUM(Audit[[#This Row],[Audit Losing Candidate]:[Audit Candidate 12]])
      &lt;&gt;0,
      (Audit[[#This Row],[Winning Candidate]]-Audit[[#This Row],[Losing Candidate]]-(Audit[[#This Row],[Audit Winning Candidate]]-Audit[[#This Row],[Audit Losing Candidate]]))/(Audit[[#Totals],[Winning Candidate]]-Audit[[#Totals],[Losing Candidate]]),
      0
)</f>
        <v>0</v>
      </c>
      <c r="AV7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0" s="17">
        <f>IF(Audit[[#This Row],[Max Relative Error (ep)]] = 0, 0, Audit[[#This Row],[Max Relative Error (ep)]]/Audit[[#This Row],[Error Bound (up) - Max. possible relative overstatement]])</f>
        <v>0</v>
      </c>
      <c r="BH7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40" s="17">
        <f t="shared" si="12"/>
        <v>1</v>
      </c>
      <c r="BJ740" s="17">
        <f>PRODUCT($BI$5:BI740)</f>
        <v>0.22633398732541499</v>
      </c>
      <c r="BK740" s="19">
        <f>1 - Audit[[#This Row],[K-M P Value]]</f>
        <v>0.77366601267458501</v>
      </c>
      <c r="BL740" s="17" t="str">
        <f>IF(Audit[[#This Row],[K-M P Value]]&gt;1-'General Info'!$B$12,"Continue", "Stop")</f>
        <v>Continue</v>
      </c>
      <c r="BM740" s="22" t="b">
        <f>IF(Audit[[#This Row],[Status - Continue or stop audit]] = "Continue", TRUE, IF(BL739 = "Continue", TRUE, FALSE))</f>
        <v>1</v>
      </c>
      <c r="BN740" s="22"/>
    </row>
    <row r="741" spans="1:66" ht="15" hidden="1" customHeight="1" x14ac:dyDescent="0.35">
      <c r="A741" s="17" t="str">
        <f>'Sampling Data'!AI741</f>
        <v/>
      </c>
      <c r="B741" s="17" t="str">
        <f>'Sampling Data'!A741</f>
        <v>2604 CIN 26-D   (ED)</v>
      </c>
      <c r="C741" s="17">
        <f>'Sampling Data'!B741</f>
        <v>217</v>
      </c>
      <c r="D741" s="17">
        <f>'Sampling Data'!C741</f>
        <v>32</v>
      </c>
      <c r="E741" s="18">
        <f>'Sampling Data'!D741</f>
        <v>0</v>
      </c>
      <c r="F741" s="18">
        <f>'Sampling Data'!E741</f>
        <v>0</v>
      </c>
      <c r="G741" s="18">
        <f>'Sampling Data'!F741</f>
        <v>0</v>
      </c>
      <c r="H741" s="18">
        <f>'Sampling Data'!G741</f>
        <v>0</v>
      </c>
      <c r="I741" s="18">
        <f>'Sampling Data'!H741</f>
        <v>0</v>
      </c>
      <c r="J741" s="18">
        <f>'Sampling Data'!I741</f>
        <v>0</v>
      </c>
      <c r="K741" s="18">
        <f>'Sampling Data'!J741</f>
        <v>0</v>
      </c>
      <c r="L741" s="18">
        <f>'Sampling Data'!K741</f>
        <v>0</v>
      </c>
      <c r="M741" s="18">
        <f>'Sampling Data'!L741</f>
        <v>0</v>
      </c>
      <c r="N741" s="18">
        <f>'Sampling Data'!M741</f>
        <v>0</v>
      </c>
      <c r="O741" s="17">
        <f>'Sampling Data'!N741</f>
        <v>0</v>
      </c>
      <c r="P741" s="17">
        <f>'Sampling Data'!O741</f>
        <v>14</v>
      </c>
      <c r="Q741" s="17">
        <f>'Sampling Data'!P741</f>
        <v>263</v>
      </c>
      <c r="R741" s="17">
        <f>'Sampling Data'!AJ741</f>
        <v>0</v>
      </c>
      <c r="S741" s="111"/>
      <c r="T741" s="111"/>
      <c r="U741" s="112"/>
      <c r="V741" s="112"/>
      <c r="W741" s="111"/>
      <c r="X741" s="111"/>
      <c r="Y741" s="111"/>
      <c r="Z741" s="111"/>
      <c r="AA741" s="14"/>
      <c r="AB741" s="14"/>
      <c r="AC741" s="14"/>
      <c r="AD741" s="14"/>
      <c r="AE741" s="113" t="str">
        <f>IF(NOT(ISBLANK(Audit[[#This Row],[Audit Winning Candidate]])), Audit[[#This Row],[Audit Winning Candidate]]-Audit[[#This Row],[Winning Candidate]], "")</f>
        <v/>
      </c>
      <c r="AF741" s="17" t="str">
        <f>IF(NOT(ISBLANK(Audit[[#This Row],[Audit Losing Candidate]])), Audit[[#This Row],[Audit Losing Candidate]]-Audit[[#This Row],[Losing Candidate]], "")</f>
        <v/>
      </c>
      <c r="AG741" s="17" t="str">
        <f>IF(NOT(ISBLANK(Audit[[#This Row],[Audit Candidate 3]])), Audit[[#This Row],[Audit Candidate 3]]-Audit[[#This Row],[Candidate 3]], "")</f>
        <v/>
      </c>
      <c r="AH741" s="17" t="str">
        <f>IF(NOT(ISBLANK(Audit[[#This Row],[Audit Candidate 4]])),Audit[[#This Row],[Audit Candidate 4]]-Audit[[#This Row],[Candidate 4]], "")</f>
        <v/>
      </c>
      <c r="AI741" s="17" t="str">
        <f>IF(NOT(ISBLANK(Audit[[#This Row],[Audit Candidate 5]])), Audit[[#This Row],[Audit Candidate 5]]-Audit[[#This Row],[Candidate 5]], "")</f>
        <v/>
      </c>
      <c r="AJ741" s="17" t="str">
        <f>IF(NOT(ISBLANK(Audit[[#This Row],[Audit Candidate 6]])), Audit[[#This Row],[Audit Candidate 6]]-Audit[[#This Row],[Candidate 6]], "")</f>
        <v/>
      </c>
      <c r="AK741" s="17" t="str">
        <f>IF(NOT(ISBLANK(Audit[[#This Row],[Audit Candidate 7]])), Audit[[#This Row],[Audit Candidate 7]]-Audit[[#This Row],[Candidate 7]], "")</f>
        <v/>
      </c>
      <c r="AL741" s="17" t="str">
        <f>IF(NOT(ISBLANK(Audit[[#This Row],[Audit Candidate 8]])), Audit[[#This Row],[Audit Candidate 8]]-Audit[[#This Row],[Candidate 8]], "")</f>
        <v/>
      </c>
      <c r="AM741" s="17" t="str">
        <f>IF(NOT(ISBLANK(Audit[[#This Row],[Audit Candidate 9]])), Audit[[#This Row],[Audit Candidate 9]]-Audit[[#This Row],[Candidate 9]], "")</f>
        <v/>
      </c>
      <c r="AN741" s="17" t="str">
        <f>IF(NOT(ISBLANK(Audit[[#This Row],[Audit Candidate 10]])), Audit[[#This Row],[Audit Candidate 10]]-Audit[[#This Row],[Candidate 10]], "")</f>
        <v/>
      </c>
      <c r="AO741" s="17" t="str">
        <f>IF(NOT(ISBLANK(Audit[[#This Row],[Audit Candidate 11]])), Audit[[#This Row],[Audit Candidate 11]]-Audit[[#This Row],[Candidate 11]], "")</f>
        <v/>
      </c>
      <c r="AP741" s="17" t="str">
        <f>IF(NOT(ISBLANK(Audit[[#This Row],[Audit Candidate 12]])), Audit[[#This Row],[Audit Candidate 12]]-Audit[[#This Row],[Candidate 12]], "")</f>
        <v/>
      </c>
      <c r="AQ741" s="17">
        <f>SUMIF(Audit[[#This Row],[Difference Winner]:[Difference Candidate 12]], "&gt;0")</f>
        <v>0</v>
      </c>
      <c r="AR741" s="17">
        <f>SUM(Audit[[#This Row],[Difference Winner]:[Difference Candidate 12]])</f>
        <v>0</v>
      </c>
      <c r="AS741" s="17">
        <f>IF(Audit[[#This Row],[Times p Drawn - With Replacement]]&gt;0, IF(Audit[[#This Row],[Canceled Differences]]&lt;0, Audit[[#This Row],[Max Differences]]+ABS(Audit[[#This Row],[Canceled Differences]]), Audit[[#This Row],[Max Differences]]), 0)</f>
        <v>0</v>
      </c>
      <c r="AT741" s="17">
        <f>'Sampling Data'!AB741</f>
        <v>1.9012052283143777E-2</v>
      </c>
      <c r="AU741" s="17">
        <f>IF(
      SUM(Audit[[#This Row],[Audit Losing Candidate]:[Audit Candidate 12]])
      &lt;&gt;0,
      (Audit[[#This Row],[Winning Candidate]]-Audit[[#This Row],[Losing Candidate]]-(Audit[[#This Row],[Audit Winning Candidate]]-Audit[[#This Row],[Audit Losing Candidate]]))/(Audit[[#Totals],[Winning Candidate]]-Audit[[#Totals],[Losing Candidate]]),
      0
)</f>
        <v>0</v>
      </c>
      <c r="AV7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1" s="17">
        <f>IF(Audit[[#This Row],[Max Relative Error (ep)]] = 0, 0, Audit[[#This Row],[Max Relative Error (ep)]]/Audit[[#This Row],[Error Bound (up) - Max. possible relative overstatement]])</f>
        <v>0</v>
      </c>
      <c r="BH7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41" s="17">
        <f t="shared" si="12"/>
        <v>1</v>
      </c>
      <c r="BJ741" s="17">
        <f>PRODUCT($BI$5:BI741)</f>
        <v>0.22633398732541499</v>
      </c>
      <c r="BK741" s="19">
        <f>1 - Audit[[#This Row],[K-M P Value]]</f>
        <v>0.77366601267458501</v>
      </c>
      <c r="BL741" s="17" t="str">
        <f>IF(Audit[[#This Row],[K-M P Value]]&gt;1-'General Info'!$B$12,"Continue", "Stop")</f>
        <v>Continue</v>
      </c>
      <c r="BM741" s="22" t="b">
        <f>IF(Audit[[#This Row],[Status - Continue or stop audit]] = "Continue", TRUE, IF(BL740 = "Continue", TRUE, FALSE))</f>
        <v>1</v>
      </c>
      <c r="BN741" s="22"/>
    </row>
    <row r="742" spans="1:66" ht="15" hidden="1" customHeight="1" x14ac:dyDescent="0.35">
      <c r="A742" s="17" t="str">
        <f>'Sampling Data'!AI742</f>
        <v/>
      </c>
      <c r="B742" s="17" t="str">
        <f>'Sampling Data'!A742</f>
        <v>2605 CIN 26-E   (ED)</v>
      </c>
      <c r="C742" s="17">
        <f>'Sampling Data'!B742</f>
        <v>258</v>
      </c>
      <c r="D742" s="17">
        <f>'Sampling Data'!C742</f>
        <v>29</v>
      </c>
      <c r="E742" s="18">
        <f>'Sampling Data'!D742</f>
        <v>0</v>
      </c>
      <c r="F742" s="18">
        <f>'Sampling Data'!E742</f>
        <v>0</v>
      </c>
      <c r="G742" s="18">
        <f>'Sampling Data'!F742</f>
        <v>0</v>
      </c>
      <c r="H742" s="18">
        <f>'Sampling Data'!G742</f>
        <v>0</v>
      </c>
      <c r="I742" s="18">
        <f>'Sampling Data'!H742</f>
        <v>0</v>
      </c>
      <c r="J742" s="18">
        <f>'Sampling Data'!I742</f>
        <v>0</v>
      </c>
      <c r="K742" s="18">
        <f>'Sampling Data'!J742</f>
        <v>0</v>
      </c>
      <c r="L742" s="18">
        <f>'Sampling Data'!K742</f>
        <v>0</v>
      </c>
      <c r="M742" s="18">
        <f>'Sampling Data'!L742</f>
        <v>0</v>
      </c>
      <c r="N742" s="18">
        <f>'Sampling Data'!M742</f>
        <v>0</v>
      </c>
      <c r="O742" s="17">
        <f>'Sampling Data'!N742</f>
        <v>1</v>
      </c>
      <c r="P742" s="17">
        <f>'Sampling Data'!O742</f>
        <v>31</v>
      </c>
      <c r="Q742" s="17">
        <f>'Sampling Data'!P742</f>
        <v>319</v>
      </c>
      <c r="R742" s="17">
        <f>'Sampling Data'!AJ742</f>
        <v>0</v>
      </c>
      <c r="S742" s="111"/>
      <c r="T742" s="111"/>
      <c r="U742" s="112"/>
      <c r="V742" s="112"/>
      <c r="W742" s="111"/>
      <c r="X742" s="111"/>
      <c r="Y742" s="111"/>
      <c r="Z742" s="111"/>
      <c r="AA742" s="14"/>
      <c r="AB742" s="14"/>
      <c r="AC742" s="14"/>
      <c r="AD742" s="14"/>
      <c r="AE742" s="113" t="str">
        <f>IF(NOT(ISBLANK(Audit[[#This Row],[Audit Winning Candidate]])), Audit[[#This Row],[Audit Winning Candidate]]-Audit[[#This Row],[Winning Candidate]], "")</f>
        <v/>
      </c>
      <c r="AF742" s="17" t="str">
        <f>IF(NOT(ISBLANK(Audit[[#This Row],[Audit Losing Candidate]])), Audit[[#This Row],[Audit Losing Candidate]]-Audit[[#This Row],[Losing Candidate]], "")</f>
        <v/>
      </c>
      <c r="AG742" s="17" t="str">
        <f>IF(NOT(ISBLANK(Audit[[#This Row],[Audit Candidate 3]])), Audit[[#This Row],[Audit Candidate 3]]-Audit[[#This Row],[Candidate 3]], "")</f>
        <v/>
      </c>
      <c r="AH742" s="17" t="str">
        <f>IF(NOT(ISBLANK(Audit[[#This Row],[Audit Candidate 4]])),Audit[[#This Row],[Audit Candidate 4]]-Audit[[#This Row],[Candidate 4]], "")</f>
        <v/>
      </c>
      <c r="AI742" s="17" t="str">
        <f>IF(NOT(ISBLANK(Audit[[#This Row],[Audit Candidate 5]])), Audit[[#This Row],[Audit Candidate 5]]-Audit[[#This Row],[Candidate 5]], "")</f>
        <v/>
      </c>
      <c r="AJ742" s="17" t="str">
        <f>IF(NOT(ISBLANK(Audit[[#This Row],[Audit Candidate 6]])), Audit[[#This Row],[Audit Candidate 6]]-Audit[[#This Row],[Candidate 6]], "")</f>
        <v/>
      </c>
      <c r="AK742" s="17" t="str">
        <f>IF(NOT(ISBLANK(Audit[[#This Row],[Audit Candidate 7]])), Audit[[#This Row],[Audit Candidate 7]]-Audit[[#This Row],[Candidate 7]], "")</f>
        <v/>
      </c>
      <c r="AL742" s="17" t="str">
        <f>IF(NOT(ISBLANK(Audit[[#This Row],[Audit Candidate 8]])), Audit[[#This Row],[Audit Candidate 8]]-Audit[[#This Row],[Candidate 8]], "")</f>
        <v/>
      </c>
      <c r="AM742" s="17" t="str">
        <f>IF(NOT(ISBLANK(Audit[[#This Row],[Audit Candidate 9]])), Audit[[#This Row],[Audit Candidate 9]]-Audit[[#This Row],[Candidate 9]], "")</f>
        <v/>
      </c>
      <c r="AN742" s="17" t="str">
        <f>IF(NOT(ISBLANK(Audit[[#This Row],[Audit Candidate 10]])), Audit[[#This Row],[Audit Candidate 10]]-Audit[[#This Row],[Candidate 10]], "")</f>
        <v/>
      </c>
      <c r="AO742" s="17" t="str">
        <f>IF(NOT(ISBLANK(Audit[[#This Row],[Audit Candidate 11]])), Audit[[#This Row],[Audit Candidate 11]]-Audit[[#This Row],[Candidate 11]], "")</f>
        <v/>
      </c>
      <c r="AP742" s="17" t="str">
        <f>IF(NOT(ISBLANK(Audit[[#This Row],[Audit Candidate 12]])), Audit[[#This Row],[Audit Candidate 12]]-Audit[[#This Row],[Candidate 12]], "")</f>
        <v/>
      </c>
      <c r="AQ742" s="17">
        <f>SUMIF(Audit[[#This Row],[Difference Winner]:[Difference Candidate 12]], "&gt;0")</f>
        <v>0</v>
      </c>
      <c r="AR742" s="17">
        <f>SUM(Audit[[#This Row],[Difference Winner]:[Difference Candidate 12]])</f>
        <v>0</v>
      </c>
      <c r="AS742" s="17">
        <f>IF(Audit[[#This Row],[Times p Drawn - With Replacement]]&gt;0, IF(Audit[[#This Row],[Canceled Differences]]&lt;0, Audit[[#This Row],[Max Differences]]+ABS(Audit[[#This Row],[Canceled Differences]]), Audit[[#This Row],[Max Differences]]), 0)</f>
        <v>0</v>
      </c>
      <c r="AT742" s="17">
        <f>'Sampling Data'!AB742</f>
        <v>2.3255813953488372E-2</v>
      </c>
      <c r="AU742" s="17">
        <f>IF(
      SUM(Audit[[#This Row],[Audit Losing Candidate]:[Audit Candidate 12]])
      &lt;&gt;0,
      (Audit[[#This Row],[Winning Candidate]]-Audit[[#This Row],[Losing Candidate]]-(Audit[[#This Row],[Audit Winning Candidate]]-Audit[[#This Row],[Audit Losing Candidate]]))/(Audit[[#Totals],[Winning Candidate]]-Audit[[#Totals],[Losing Candidate]]),
      0
)</f>
        <v>0</v>
      </c>
      <c r="AV7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2" s="17">
        <f>IF(Audit[[#This Row],[Max Relative Error (ep)]] = 0, 0, Audit[[#This Row],[Max Relative Error (ep)]]/Audit[[#This Row],[Error Bound (up) - Max. possible relative overstatement]])</f>
        <v>0</v>
      </c>
      <c r="BH7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42" s="17">
        <f t="shared" si="12"/>
        <v>1</v>
      </c>
      <c r="BJ742" s="17">
        <f>PRODUCT($BI$5:BI742)</f>
        <v>0.22633398732541499</v>
      </c>
      <c r="BK742" s="19">
        <f>1 - Audit[[#This Row],[K-M P Value]]</f>
        <v>0.77366601267458501</v>
      </c>
      <c r="BL742" s="17" t="str">
        <f>IF(Audit[[#This Row],[K-M P Value]]&gt;1-'General Info'!$B$12,"Continue", "Stop")</f>
        <v>Continue</v>
      </c>
      <c r="BM742" s="22" t="b">
        <f>IF(Audit[[#This Row],[Status - Continue or stop audit]] = "Continue", TRUE, IF(BL741 = "Continue", TRUE, FALSE))</f>
        <v>1</v>
      </c>
      <c r="BN742" s="22"/>
    </row>
    <row r="743" spans="1:66" ht="15" hidden="1" customHeight="1" x14ac:dyDescent="0.35">
      <c r="A743" s="17" t="str">
        <f>'Sampling Data'!AI743</f>
        <v/>
      </c>
      <c r="B743" s="17" t="str">
        <f>'Sampling Data'!A743</f>
        <v>2606 CIN 26-F   (ED)</v>
      </c>
      <c r="C743" s="17">
        <f>'Sampling Data'!B743</f>
        <v>194</v>
      </c>
      <c r="D743" s="17">
        <f>'Sampling Data'!C743</f>
        <v>40</v>
      </c>
      <c r="E743" s="18">
        <f>'Sampling Data'!D743</f>
        <v>0</v>
      </c>
      <c r="F743" s="18">
        <f>'Sampling Data'!E743</f>
        <v>0</v>
      </c>
      <c r="G743" s="18">
        <f>'Sampling Data'!F743</f>
        <v>0</v>
      </c>
      <c r="H743" s="18">
        <f>'Sampling Data'!G743</f>
        <v>0</v>
      </c>
      <c r="I743" s="18">
        <f>'Sampling Data'!H743</f>
        <v>0</v>
      </c>
      <c r="J743" s="18">
        <f>'Sampling Data'!I743</f>
        <v>0</v>
      </c>
      <c r="K743" s="18">
        <f>'Sampling Data'!J743</f>
        <v>0</v>
      </c>
      <c r="L743" s="18">
        <f>'Sampling Data'!K743</f>
        <v>0</v>
      </c>
      <c r="M743" s="18">
        <f>'Sampling Data'!L743</f>
        <v>0</v>
      </c>
      <c r="N743" s="18">
        <f>'Sampling Data'!M743</f>
        <v>0</v>
      </c>
      <c r="O743" s="17">
        <f>'Sampling Data'!N743</f>
        <v>0</v>
      </c>
      <c r="P743" s="17">
        <f>'Sampling Data'!O743</f>
        <v>18</v>
      </c>
      <c r="Q743" s="17">
        <f>'Sampling Data'!P743</f>
        <v>252</v>
      </c>
      <c r="R743" s="17">
        <f>'Sampling Data'!AJ743</f>
        <v>0</v>
      </c>
      <c r="S743" s="111"/>
      <c r="T743" s="111"/>
      <c r="U743" s="112"/>
      <c r="V743" s="112"/>
      <c r="W743" s="111"/>
      <c r="X743" s="111"/>
      <c r="Y743" s="111"/>
      <c r="Z743" s="111"/>
      <c r="AA743" s="14"/>
      <c r="AB743" s="14"/>
      <c r="AC743" s="14"/>
      <c r="AD743" s="14"/>
      <c r="AE743" s="113" t="str">
        <f>IF(NOT(ISBLANK(Audit[[#This Row],[Audit Winning Candidate]])), Audit[[#This Row],[Audit Winning Candidate]]-Audit[[#This Row],[Winning Candidate]], "")</f>
        <v/>
      </c>
      <c r="AF743" s="17" t="str">
        <f>IF(NOT(ISBLANK(Audit[[#This Row],[Audit Losing Candidate]])), Audit[[#This Row],[Audit Losing Candidate]]-Audit[[#This Row],[Losing Candidate]], "")</f>
        <v/>
      </c>
      <c r="AG743" s="17" t="str">
        <f>IF(NOT(ISBLANK(Audit[[#This Row],[Audit Candidate 3]])), Audit[[#This Row],[Audit Candidate 3]]-Audit[[#This Row],[Candidate 3]], "")</f>
        <v/>
      </c>
      <c r="AH743" s="17" t="str">
        <f>IF(NOT(ISBLANK(Audit[[#This Row],[Audit Candidate 4]])),Audit[[#This Row],[Audit Candidate 4]]-Audit[[#This Row],[Candidate 4]], "")</f>
        <v/>
      </c>
      <c r="AI743" s="17" t="str">
        <f>IF(NOT(ISBLANK(Audit[[#This Row],[Audit Candidate 5]])), Audit[[#This Row],[Audit Candidate 5]]-Audit[[#This Row],[Candidate 5]], "")</f>
        <v/>
      </c>
      <c r="AJ743" s="17" t="str">
        <f>IF(NOT(ISBLANK(Audit[[#This Row],[Audit Candidate 6]])), Audit[[#This Row],[Audit Candidate 6]]-Audit[[#This Row],[Candidate 6]], "")</f>
        <v/>
      </c>
      <c r="AK743" s="17" t="str">
        <f>IF(NOT(ISBLANK(Audit[[#This Row],[Audit Candidate 7]])), Audit[[#This Row],[Audit Candidate 7]]-Audit[[#This Row],[Candidate 7]], "")</f>
        <v/>
      </c>
      <c r="AL743" s="17" t="str">
        <f>IF(NOT(ISBLANK(Audit[[#This Row],[Audit Candidate 8]])), Audit[[#This Row],[Audit Candidate 8]]-Audit[[#This Row],[Candidate 8]], "")</f>
        <v/>
      </c>
      <c r="AM743" s="17" t="str">
        <f>IF(NOT(ISBLANK(Audit[[#This Row],[Audit Candidate 9]])), Audit[[#This Row],[Audit Candidate 9]]-Audit[[#This Row],[Candidate 9]], "")</f>
        <v/>
      </c>
      <c r="AN743" s="17" t="str">
        <f>IF(NOT(ISBLANK(Audit[[#This Row],[Audit Candidate 10]])), Audit[[#This Row],[Audit Candidate 10]]-Audit[[#This Row],[Candidate 10]], "")</f>
        <v/>
      </c>
      <c r="AO743" s="17" t="str">
        <f>IF(NOT(ISBLANK(Audit[[#This Row],[Audit Candidate 11]])), Audit[[#This Row],[Audit Candidate 11]]-Audit[[#This Row],[Candidate 11]], "")</f>
        <v/>
      </c>
      <c r="AP743" s="17" t="str">
        <f>IF(NOT(ISBLANK(Audit[[#This Row],[Audit Candidate 12]])), Audit[[#This Row],[Audit Candidate 12]]-Audit[[#This Row],[Candidate 12]], "")</f>
        <v/>
      </c>
      <c r="AQ743" s="17">
        <f>SUMIF(Audit[[#This Row],[Difference Winner]:[Difference Candidate 12]], "&gt;0")</f>
        <v>0</v>
      </c>
      <c r="AR743" s="17">
        <f>SUM(Audit[[#This Row],[Difference Winner]:[Difference Candidate 12]])</f>
        <v>0</v>
      </c>
      <c r="AS743" s="17">
        <f>IF(Audit[[#This Row],[Times p Drawn - With Replacement]]&gt;0, IF(Audit[[#This Row],[Canceled Differences]]&lt;0, Audit[[#This Row],[Max Differences]]+ABS(Audit[[#This Row],[Canceled Differences]]), Audit[[#This Row],[Max Differences]]), 0)</f>
        <v>0</v>
      </c>
      <c r="AT743" s="17">
        <f>'Sampling Data'!AB743</f>
        <v>1.7229672381599049E-2</v>
      </c>
      <c r="AU743" s="17">
        <f>IF(
      SUM(Audit[[#This Row],[Audit Losing Candidate]:[Audit Candidate 12]])
      &lt;&gt;0,
      (Audit[[#This Row],[Winning Candidate]]-Audit[[#This Row],[Losing Candidate]]-(Audit[[#This Row],[Audit Winning Candidate]]-Audit[[#This Row],[Audit Losing Candidate]]))/(Audit[[#Totals],[Winning Candidate]]-Audit[[#Totals],[Losing Candidate]]),
      0
)</f>
        <v>0</v>
      </c>
      <c r="AV7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3" s="17">
        <f>IF(Audit[[#This Row],[Max Relative Error (ep)]] = 0, 0, Audit[[#This Row],[Max Relative Error (ep)]]/Audit[[#This Row],[Error Bound (up) - Max. possible relative overstatement]])</f>
        <v>0</v>
      </c>
      <c r="BH7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43" s="17">
        <f t="shared" si="12"/>
        <v>1</v>
      </c>
      <c r="BJ743" s="17">
        <f>PRODUCT($BI$5:BI743)</f>
        <v>0.22633398732541499</v>
      </c>
      <c r="BK743" s="19">
        <f>1 - Audit[[#This Row],[K-M P Value]]</f>
        <v>0.77366601267458501</v>
      </c>
      <c r="BL743" s="17" t="str">
        <f>IF(Audit[[#This Row],[K-M P Value]]&gt;1-'General Info'!$B$12,"Continue", "Stop")</f>
        <v>Continue</v>
      </c>
      <c r="BM743" s="22" t="b">
        <f>IF(Audit[[#This Row],[Status - Continue or stop audit]] = "Continue", TRUE, IF(BL742 = "Continue", TRUE, FALSE))</f>
        <v>1</v>
      </c>
      <c r="BN743" s="22"/>
    </row>
    <row r="744" spans="1:66" ht="15" hidden="1" customHeight="1" x14ac:dyDescent="0.35">
      <c r="A744" s="17" t="str">
        <f>'Sampling Data'!AI744</f>
        <v/>
      </c>
      <c r="B744" s="17" t="str">
        <f>'Sampling Data'!A744</f>
        <v>2607 CIN 26-G   (ED)</v>
      </c>
      <c r="C744" s="17">
        <f>'Sampling Data'!B744</f>
        <v>190</v>
      </c>
      <c r="D744" s="17">
        <f>'Sampling Data'!C744</f>
        <v>169</v>
      </c>
      <c r="E744" s="18">
        <f>'Sampling Data'!D744</f>
        <v>0</v>
      </c>
      <c r="F744" s="18">
        <f>'Sampling Data'!E744</f>
        <v>0</v>
      </c>
      <c r="G744" s="18">
        <f>'Sampling Data'!F744</f>
        <v>0</v>
      </c>
      <c r="H744" s="18">
        <f>'Sampling Data'!G744</f>
        <v>0</v>
      </c>
      <c r="I744" s="18">
        <f>'Sampling Data'!H744</f>
        <v>0</v>
      </c>
      <c r="J744" s="18">
        <f>'Sampling Data'!I744</f>
        <v>0</v>
      </c>
      <c r="K744" s="18">
        <f>'Sampling Data'!J744</f>
        <v>0</v>
      </c>
      <c r="L744" s="18">
        <f>'Sampling Data'!K744</f>
        <v>0</v>
      </c>
      <c r="M744" s="18">
        <f>'Sampling Data'!L744</f>
        <v>0</v>
      </c>
      <c r="N744" s="18">
        <f>'Sampling Data'!M744</f>
        <v>0</v>
      </c>
      <c r="O744" s="17">
        <f>'Sampling Data'!N744</f>
        <v>1</v>
      </c>
      <c r="P744" s="17">
        <f>'Sampling Data'!O744</f>
        <v>28</v>
      </c>
      <c r="Q744" s="17">
        <f>'Sampling Data'!P744</f>
        <v>388</v>
      </c>
      <c r="R744" s="17">
        <f>'Sampling Data'!AJ744</f>
        <v>0</v>
      </c>
      <c r="S744" s="111"/>
      <c r="T744" s="111"/>
      <c r="U744" s="112"/>
      <c r="V744" s="112"/>
      <c r="W744" s="111"/>
      <c r="X744" s="111"/>
      <c r="Y744" s="111"/>
      <c r="Z744" s="111"/>
      <c r="AA744" s="14"/>
      <c r="AB744" s="14"/>
      <c r="AC744" s="14"/>
      <c r="AD744" s="14"/>
      <c r="AE744" s="113" t="str">
        <f>IF(NOT(ISBLANK(Audit[[#This Row],[Audit Winning Candidate]])), Audit[[#This Row],[Audit Winning Candidate]]-Audit[[#This Row],[Winning Candidate]], "")</f>
        <v/>
      </c>
      <c r="AF744" s="17" t="str">
        <f>IF(NOT(ISBLANK(Audit[[#This Row],[Audit Losing Candidate]])), Audit[[#This Row],[Audit Losing Candidate]]-Audit[[#This Row],[Losing Candidate]], "")</f>
        <v/>
      </c>
      <c r="AG744" s="17" t="str">
        <f>IF(NOT(ISBLANK(Audit[[#This Row],[Audit Candidate 3]])), Audit[[#This Row],[Audit Candidate 3]]-Audit[[#This Row],[Candidate 3]], "")</f>
        <v/>
      </c>
      <c r="AH744" s="17" t="str">
        <f>IF(NOT(ISBLANK(Audit[[#This Row],[Audit Candidate 4]])),Audit[[#This Row],[Audit Candidate 4]]-Audit[[#This Row],[Candidate 4]], "")</f>
        <v/>
      </c>
      <c r="AI744" s="17" t="str">
        <f>IF(NOT(ISBLANK(Audit[[#This Row],[Audit Candidate 5]])), Audit[[#This Row],[Audit Candidate 5]]-Audit[[#This Row],[Candidate 5]], "")</f>
        <v/>
      </c>
      <c r="AJ744" s="17" t="str">
        <f>IF(NOT(ISBLANK(Audit[[#This Row],[Audit Candidate 6]])), Audit[[#This Row],[Audit Candidate 6]]-Audit[[#This Row],[Candidate 6]], "")</f>
        <v/>
      </c>
      <c r="AK744" s="17" t="str">
        <f>IF(NOT(ISBLANK(Audit[[#This Row],[Audit Candidate 7]])), Audit[[#This Row],[Audit Candidate 7]]-Audit[[#This Row],[Candidate 7]], "")</f>
        <v/>
      </c>
      <c r="AL744" s="17" t="str">
        <f>IF(NOT(ISBLANK(Audit[[#This Row],[Audit Candidate 8]])), Audit[[#This Row],[Audit Candidate 8]]-Audit[[#This Row],[Candidate 8]], "")</f>
        <v/>
      </c>
      <c r="AM744" s="17" t="str">
        <f>IF(NOT(ISBLANK(Audit[[#This Row],[Audit Candidate 9]])), Audit[[#This Row],[Audit Candidate 9]]-Audit[[#This Row],[Candidate 9]], "")</f>
        <v/>
      </c>
      <c r="AN744" s="17" t="str">
        <f>IF(NOT(ISBLANK(Audit[[#This Row],[Audit Candidate 10]])), Audit[[#This Row],[Audit Candidate 10]]-Audit[[#This Row],[Candidate 10]], "")</f>
        <v/>
      </c>
      <c r="AO744" s="17" t="str">
        <f>IF(NOT(ISBLANK(Audit[[#This Row],[Audit Candidate 11]])), Audit[[#This Row],[Audit Candidate 11]]-Audit[[#This Row],[Candidate 11]], "")</f>
        <v/>
      </c>
      <c r="AP744" s="17" t="str">
        <f>IF(NOT(ISBLANK(Audit[[#This Row],[Audit Candidate 12]])), Audit[[#This Row],[Audit Candidate 12]]-Audit[[#This Row],[Candidate 12]], "")</f>
        <v/>
      </c>
      <c r="AQ744" s="17">
        <f>SUMIF(Audit[[#This Row],[Difference Winner]:[Difference Candidate 12]], "&gt;0")</f>
        <v>0</v>
      </c>
      <c r="AR744" s="17">
        <f>SUM(Audit[[#This Row],[Difference Winner]:[Difference Candidate 12]])</f>
        <v>0</v>
      </c>
      <c r="AS744" s="17">
        <f>IF(Audit[[#This Row],[Times p Drawn - With Replacement]]&gt;0, IF(Audit[[#This Row],[Canceled Differences]]&lt;0, Audit[[#This Row],[Max Differences]]+ABS(Audit[[#This Row],[Canceled Differences]]), Audit[[#This Row],[Max Differences]]), 0)</f>
        <v>0</v>
      </c>
      <c r="AT744" s="17">
        <f>'Sampling Data'!AB744</f>
        <v>1.7356985231709386E-2</v>
      </c>
      <c r="AU744" s="17">
        <f>IF(
      SUM(Audit[[#This Row],[Audit Losing Candidate]:[Audit Candidate 12]])
      &lt;&gt;0,
      (Audit[[#This Row],[Winning Candidate]]-Audit[[#This Row],[Losing Candidate]]-(Audit[[#This Row],[Audit Winning Candidate]]-Audit[[#This Row],[Audit Losing Candidate]]))/(Audit[[#Totals],[Winning Candidate]]-Audit[[#Totals],[Losing Candidate]]),
      0
)</f>
        <v>0</v>
      </c>
      <c r="AV7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4" s="17">
        <f>IF(Audit[[#This Row],[Max Relative Error (ep)]] = 0, 0, Audit[[#This Row],[Max Relative Error (ep)]]/Audit[[#This Row],[Error Bound (up) - Max. possible relative overstatement]])</f>
        <v>0</v>
      </c>
      <c r="BH7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44" s="17">
        <f t="shared" si="12"/>
        <v>1</v>
      </c>
      <c r="BJ744" s="17">
        <f>PRODUCT($BI$5:BI744)</f>
        <v>0.22633398732541499</v>
      </c>
      <c r="BK744" s="19">
        <f>1 - Audit[[#This Row],[K-M P Value]]</f>
        <v>0.77366601267458501</v>
      </c>
      <c r="BL744" s="17" t="str">
        <f>IF(Audit[[#This Row],[K-M P Value]]&gt;1-'General Info'!$B$12,"Continue", "Stop")</f>
        <v>Continue</v>
      </c>
      <c r="BM744" s="22" t="b">
        <f>IF(Audit[[#This Row],[Status - Continue or stop audit]] = "Continue", TRUE, IF(BL743 = "Continue", TRUE, FALSE))</f>
        <v>1</v>
      </c>
      <c r="BN744" s="22"/>
    </row>
    <row r="745" spans="1:66" ht="15" hidden="1" customHeight="1" x14ac:dyDescent="0.35">
      <c r="A745" s="17" t="str">
        <f>'Sampling Data'!AI745</f>
        <v/>
      </c>
      <c r="B745" s="17" t="str">
        <f>'Sampling Data'!A745</f>
        <v>2608 CIN 26-H   (ED)</v>
      </c>
      <c r="C745" s="17">
        <f>'Sampling Data'!B745</f>
        <v>158</v>
      </c>
      <c r="D745" s="17">
        <f>'Sampling Data'!C745</f>
        <v>26</v>
      </c>
      <c r="E745" s="18">
        <f>'Sampling Data'!D745</f>
        <v>0</v>
      </c>
      <c r="F745" s="18">
        <f>'Sampling Data'!E745</f>
        <v>0</v>
      </c>
      <c r="G745" s="18">
        <f>'Sampling Data'!F745</f>
        <v>0</v>
      </c>
      <c r="H745" s="18">
        <f>'Sampling Data'!G745</f>
        <v>0</v>
      </c>
      <c r="I745" s="18">
        <f>'Sampling Data'!H745</f>
        <v>0</v>
      </c>
      <c r="J745" s="18">
        <f>'Sampling Data'!I745</f>
        <v>0</v>
      </c>
      <c r="K745" s="18">
        <f>'Sampling Data'!J745</f>
        <v>0</v>
      </c>
      <c r="L745" s="18">
        <f>'Sampling Data'!K745</f>
        <v>0</v>
      </c>
      <c r="M745" s="18">
        <f>'Sampling Data'!L745</f>
        <v>0</v>
      </c>
      <c r="N745" s="18">
        <f>'Sampling Data'!M745</f>
        <v>0</v>
      </c>
      <c r="O745" s="17">
        <f>'Sampling Data'!N745</f>
        <v>0</v>
      </c>
      <c r="P745" s="17">
        <f>'Sampling Data'!O745</f>
        <v>15</v>
      </c>
      <c r="Q745" s="17">
        <f>'Sampling Data'!P745</f>
        <v>199</v>
      </c>
      <c r="R745" s="17">
        <f>'Sampling Data'!AJ745</f>
        <v>0</v>
      </c>
      <c r="S745" s="111"/>
      <c r="T745" s="111"/>
      <c r="U745" s="112"/>
      <c r="V745" s="112"/>
      <c r="W745" s="111"/>
      <c r="X745" s="111"/>
      <c r="Y745" s="111"/>
      <c r="Z745" s="111"/>
      <c r="AA745" s="14"/>
      <c r="AB745" s="14"/>
      <c r="AC745" s="14"/>
      <c r="AD745" s="14"/>
      <c r="AE745" s="113" t="str">
        <f>IF(NOT(ISBLANK(Audit[[#This Row],[Audit Winning Candidate]])), Audit[[#This Row],[Audit Winning Candidate]]-Audit[[#This Row],[Winning Candidate]], "")</f>
        <v/>
      </c>
      <c r="AF745" s="17" t="str">
        <f>IF(NOT(ISBLANK(Audit[[#This Row],[Audit Losing Candidate]])), Audit[[#This Row],[Audit Losing Candidate]]-Audit[[#This Row],[Losing Candidate]], "")</f>
        <v/>
      </c>
      <c r="AG745" s="17" t="str">
        <f>IF(NOT(ISBLANK(Audit[[#This Row],[Audit Candidate 3]])), Audit[[#This Row],[Audit Candidate 3]]-Audit[[#This Row],[Candidate 3]], "")</f>
        <v/>
      </c>
      <c r="AH745" s="17" t="str">
        <f>IF(NOT(ISBLANK(Audit[[#This Row],[Audit Candidate 4]])),Audit[[#This Row],[Audit Candidate 4]]-Audit[[#This Row],[Candidate 4]], "")</f>
        <v/>
      </c>
      <c r="AI745" s="17" t="str">
        <f>IF(NOT(ISBLANK(Audit[[#This Row],[Audit Candidate 5]])), Audit[[#This Row],[Audit Candidate 5]]-Audit[[#This Row],[Candidate 5]], "")</f>
        <v/>
      </c>
      <c r="AJ745" s="17" t="str">
        <f>IF(NOT(ISBLANK(Audit[[#This Row],[Audit Candidate 6]])), Audit[[#This Row],[Audit Candidate 6]]-Audit[[#This Row],[Candidate 6]], "")</f>
        <v/>
      </c>
      <c r="AK745" s="17" t="str">
        <f>IF(NOT(ISBLANK(Audit[[#This Row],[Audit Candidate 7]])), Audit[[#This Row],[Audit Candidate 7]]-Audit[[#This Row],[Candidate 7]], "")</f>
        <v/>
      </c>
      <c r="AL745" s="17" t="str">
        <f>IF(NOT(ISBLANK(Audit[[#This Row],[Audit Candidate 8]])), Audit[[#This Row],[Audit Candidate 8]]-Audit[[#This Row],[Candidate 8]], "")</f>
        <v/>
      </c>
      <c r="AM745" s="17" t="str">
        <f>IF(NOT(ISBLANK(Audit[[#This Row],[Audit Candidate 9]])), Audit[[#This Row],[Audit Candidate 9]]-Audit[[#This Row],[Candidate 9]], "")</f>
        <v/>
      </c>
      <c r="AN745" s="17" t="str">
        <f>IF(NOT(ISBLANK(Audit[[#This Row],[Audit Candidate 10]])), Audit[[#This Row],[Audit Candidate 10]]-Audit[[#This Row],[Candidate 10]], "")</f>
        <v/>
      </c>
      <c r="AO745" s="17" t="str">
        <f>IF(NOT(ISBLANK(Audit[[#This Row],[Audit Candidate 11]])), Audit[[#This Row],[Audit Candidate 11]]-Audit[[#This Row],[Candidate 11]], "")</f>
        <v/>
      </c>
      <c r="AP745" s="17" t="str">
        <f>IF(NOT(ISBLANK(Audit[[#This Row],[Audit Candidate 12]])), Audit[[#This Row],[Audit Candidate 12]]-Audit[[#This Row],[Candidate 12]], "")</f>
        <v/>
      </c>
      <c r="AQ745" s="17">
        <f>SUMIF(Audit[[#This Row],[Difference Winner]:[Difference Candidate 12]], "&gt;0")</f>
        <v>0</v>
      </c>
      <c r="AR745" s="17">
        <f>SUM(Audit[[#This Row],[Difference Winner]:[Difference Candidate 12]])</f>
        <v>0</v>
      </c>
      <c r="AS745" s="17">
        <f>IF(Audit[[#This Row],[Times p Drawn - With Replacement]]&gt;0, IF(Audit[[#This Row],[Canceled Differences]]&lt;0, Audit[[#This Row],[Max Differences]]+ABS(Audit[[#This Row],[Canceled Differences]]), Audit[[#This Row],[Max Differences]]), 0)</f>
        <v>0</v>
      </c>
      <c r="AT745" s="17">
        <f>'Sampling Data'!AB745</f>
        <v>1.4046851128840604E-2</v>
      </c>
      <c r="AU745" s="17">
        <f>IF(
      SUM(Audit[[#This Row],[Audit Losing Candidate]:[Audit Candidate 12]])
      &lt;&gt;0,
      (Audit[[#This Row],[Winning Candidate]]-Audit[[#This Row],[Losing Candidate]]-(Audit[[#This Row],[Audit Winning Candidate]]-Audit[[#This Row],[Audit Losing Candidate]]))/(Audit[[#Totals],[Winning Candidate]]-Audit[[#Totals],[Losing Candidate]]),
      0
)</f>
        <v>0</v>
      </c>
      <c r="AV7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5" s="17">
        <f>IF(Audit[[#This Row],[Max Relative Error (ep)]] = 0, 0, Audit[[#This Row],[Max Relative Error (ep)]]/Audit[[#This Row],[Error Bound (up) - Max. possible relative overstatement]])</f>
        <v>0</v>
      </c>
      <c r="BH7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45" s="17">
        <f t="shared" si="12"/>
        <v>1</v>
      </c>
      <c r="BJ745" s="17">
        <f>PRODUCT($BI$5:BI745)</f>
        <v>0.22633398732541499</v>
      </c>
      <c r="BK745" s="19">
        <f>1 - Audit[[#This Row],[K-M P Value]]</f>
        <v>0.77366601267458501</v>
      </c>
      <c r="BL745" s="17" t="str">
        <f>IF(Audit[[#This Row],[K-M P Value]]&gt;1-'General Info'!$B$12,"Continue", "Stop")</f>
        <v>Continue</v>
      </c>
      <c r="BM745" s="22" t="b">
        <f>IF(Audit[[#This Row],[Status - Continue or stop audit]] = "Continue", TRUE, IF(BL744 = "Continue", TRUE, FALSE))</f>
        <v>1</v>
      </c>
      <c r="BN745" s="22"/>
    </row>
    <row r="746" spans="1:66" ht="15" hidden="1" customHeight="1" x14ac:dyDescent="0.35">
      <c r="A746" s="17" t="str">
        <f>'Sampling Data'!AI746</f>
        <v/>
      </c>
      <c r="B746" s="17" t="str">
        <f>'Sampling Data'!A746</f>
        <v>2609 CIN 26-I   (ED)</v>
      </c>
      <c r="C746" s="17">
        <f>'Sampling Data'!B746</f>
        <v>246</v>
      </c>
      <c r="D746" s="17">
        <f>'Sampling Data'!C746</f>
        <v>163</v>
      </c>
      <c r="E746" s="18">
        <f>'Sampling Data'!D746</f>
        <v>0</v>
      </c>
      <c r="F746" s="18">
        <f>'Sampling Data'!E746</f>
        <v>0</v>
      </c>
      <c r="G746" s="18">
        <f>'Sampling Data'!F746</f>
        <v>0</v>
      </c>
      <c r="H746" s="18">
        <f>'Sampling Data'!G746</f>
        <v>0</v>
      </c>
      <c r="I746" s="18">
        <f>'Sampling Data'!H746</f>
        <v>0</v>
      </c>
      <c r="J746" s="18">
        <f>'Sampling Data'!I746</f>
        <v>0</v>
      </c>
      <c r="K746" s="18">
        <f>'Sampling Data'!J746</f>
        <v>0</v>
      </c>
      <c r="L746" s="18">
        <f>'Sampling Data'!K746</f>
        <v>0</v>
      </c>
      <c r="M746" s="18">
        <f>'Sampling Data'!L746</f>
        <v>0</v>
      </c>
      <c r="N746" s="18">
        <f>'Sampling Data'!M746</f>
        <v>0</v>
      </c>
      <c r="O746" s="17">
        <f>'Sampling Data'!N746</f>
        <v>0</v>
      </c>
      <c r="P746" s="17">
        <f>'Sampling Data'!O746</f>
        <v>37</v>
      </c>
      <c r="Q746" s="17">
        <f>'Sampling Data'!P746</f>
        <v>446</v>
      </c>
      <c r="R746" s="17">
        <f>'Sampling Data'!AJ746</f>
        <v>0</v>
      </c>
      <c r="S746" s="111"/>
      <c r="T746" s="111"/>
      <c r="U746" s="112"/>
      <c r="V746" s="112"/>
      <c r="W746" s="111"/>
      <c r="X746" s="111"/>
      <c r="Y746" s="111"/>
      <c r="Z746" s="111"/>
      <c r="AA746" s="14"/>
      <c r="AB746" s="14"/>
      <c r="AC746" s="14"/>
      <c r="AD746" s="14"/>
      <c r="AE746" s="113" t="str">
        <f>IF(NOT(ISBLANK(Audit[[#This Row],[Audit Winning Candidate]])), Audit[[#This Row],[Audit Winning Candidate]]-Audit[[#This Row],[Winning Candidate]], "")</f>
        <v/>
      </c>
      <c r="AF746" s="17" t="str">
        <f>IF(NOT(ISBLANK(Audit[[#This Row],[Audit Losing Candidate]])), Audit[[#This Row],[Audit Losing Candidate]]-Audit[[#This Row],[Losing Candidate]], "")</f>
        <v/>
      </c>
      <c r="AG746" s="17" t="str">
        <f>IF(NOT(ISBLANK(Audit[[#This Row],[Audit Candidate 3]])), Audit[[#This Row],[Audit Candidate 3]]-Audit[[#This Row],[Candidate 3]], "")</f>
        <v/>
      </c>
      <c r="AH746" s="17" t="str">
        <f>IF(NOT(ISBLANK(Audit[[#This Row],[Audit Candidate 4]])),Audit[[#This Row],[Audit Candidate 4]]-Audit[[#This Row],[Candidate 4]], "")</f>
        <v/>
      </c>
      <c r="AI746" s="17" t="str">
        <f>IF(NOT(ISBLANK(Audit[[#This Row],[Audit Candidate 5]])), Audit[[#This Row],[Audit Candidate 5]]-Audit[[#This Row],[Candidate 5]], "")</f>
        <v/>
      </c>
      <c r="AJ746" s="17" t="str">
        <f>IF(NOT(ISBLANK(Audit[[#This Row],[Audit Candidate 6]])), Audit[[#This Row],[Audit Candidate 6]]-Audit[[#This Row],[Candidate 6]], "")</f>
        <v/>
      </c>
      <c r="AK746" s="17" t="str">
        <f>IF(NOT(ISBLANK(Audit[[#This Row],[Audit Candidate 7]])), Audit[[#This Row],[Audit Candidate 7]]-Audit[[#This Row],[Candidate 7]], "")</f>
        <v/>
      </c>
      <c r="AL746" s="17" t="str">
        <f>IF(NOT(ISBLANK(Audit[[#This Row],[Audit Candidate 8]])), Audit[[#This Row],[Audit Candidate 8]]-Audit[[#This Row],[Candidate 8]], "")</f>
        <v/>
      </c>
      <c r="AM746" s="17" t="str">
        <f>IF(NOT(ISBLANK(Audit[[#This Row],[Audit Candidate 9]])), Audit[[#This Row],[Audit Candidate 9]]-Audit[[#This Row],[Candidate 9]], "")</f>
        <v/>
      </c>
      <c r="AN746" s="17" t="str">
        <f>IF(NOT(ISBLANK(Audit[[#This Row],[Audit Candidate 10]])), Audit[[#This Row],[Audit Candidate 10]]-Audit[[#This Row],[Candidate 10]], "")</f>
        <v/>
      </c>
      <c r="AO746" s="17" t="str">
        <f>IF(NOT(ISBLANK(Audit[[#This Row],[Audit Candidate 11]])), Audit[[#This Row],[Audit Candidate 11]]-Audit[[#This Row],[Candidate 11]], "")</f>
        <v/>
      </c>
      <c r="AP746" s="17" t="str">
        <f>IF(NOT(ISBLANK(Audit[[#This Row],[Audit Candidate 12]])), Audit[[#This Row],[Audit Candidate 12]]-Audit[[#This Row],[Candidate 12]], "")</f>
        <v/>
      </c>
      <c r="AQ746" s="17">
        <f>SUMIF(Audit[[#This Row],[Difference Winner]:[Difference Candidate 12]], "&gt;0")</f>
        <v>0</v>
      </c>
      <c r="AR746" s="17">
        <f>SUM(Audit[[#This Row],[Difference Winner]:[Difference Candidate 12]])</f>
        <v>0</v>
      </c>
      <c r="AS746" s="17">
        <f>IF(Audit[[#This Row],[Times p Drawn - With Replacement]]&gt;0, IF(Audit[[#This Row],[Canceled Differences]]&lt;0, Audit[[#This Row],[Max Differences]]+ABS(Audit[[#This Row],[Canceled Differences]]), Audit[[#This Row],[Max Differences]]), 0)</f>
        <v>0</v>
      </c>
      <c r="AT746" s="17">
        <f>'Sampling Data'!AB746</f>
        <v>2.24494992361229E-2</v>
      </c>
      <c r="AU746" s="17">
        <f>IF(
      SUM(Audit[[#This Row],[Audit Losing Candidate]:[Audit Candidate 12]])
      &lt;&gt;0,
      (Audit[[#This Row],[Winning Candidate]]-Audit[[#This Row],[Losing Candidate]]-(Audit[[#This Row],[Audit Winning Candidate]]-Audit[[#This Row],[Audit Losing Candidate]]))/(Audit[[#Totals],[Winning Candidate]]-Audit[[#Totals],[Losing Candidate]]),
      0
)</f>
        <v>0</v>
      </c>
      <c r="AV7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6" s="17">
        <f>IF(Audit[[#This Row],[Max Relative Error (ep)]] = 0, 0, Audit[[#This Row],[Max Relative Error (ep)]]/Audit[[#This Row],[Error Bound (up) - Max. possible relative overstatement]])</f>
        <v>0</v>
      </c>
      <c r="BH7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46" s="17">
        <f t="shared" si="12"/>
        <v>1</v>
      </c>
      <c r="BJ746" s="17">
        <f>PRODUCT($BI$5:BI746)</f>
        <v>0.22633398732541499</v>
      </c>
      <c r="BK746" s="19">
        <f>1 - Audit[[#This Row],[K-M P Value]]</f>
        <v>0.77366601267458501</v>
      </c>
      <c r="BL746" s="17" t="str">
        <f>IF(Audit[[#This Row],[K-M P Value]]&gt;1-'General Info'!$B$12,"Continue", "Stop")</f>
        <v>Continue</v>
      </c>
      <c r="BM746" s="22" t="b">
        <f>IF(Audit[[#This Row],[Status - Continue or stop audit]] = "Continue", TRUE, IF(BL745 = "Continue", TRUE, FALSE))</f>
        <v>1</v>
      </c>
      <c r="BN746" s="22"/>
    </row>
    <row r="747" spans="1:66" ht="15" hidden="1" customHeight="1" x14ac:dyDescent="0.35">
      <c r="A747" s="17" t="str">
        <f>'Sampling Data'!AI747</f>
        <v/>
      </c>
      <c r="B747" s="17" t="str">
        <f>'Sampling Data'!A747</f>
        <v>2610 CIN 26-J   (ED)</v>
      </c>
      <c r="C747" s="17">
        <f>'Sampling Data'!B747</f>
        <v>319</v>
      </c>
      <c r="D747" s="17">
        <f>'Sampling Data'!C747</f>
        <v>49</v>
      </c>
      <c r="E747" s="18">
        <f>'Sampling Data'!D747</f>
        <v>0</v>
      </c>
      <c r="F747" s="18">
        <f>'Sampling Data'!E747</f>
        <v>0</v>
      </c>
      <c r="G747" s="18">
        <f>'Sampling Data'!F747</f>
        <v>0</v>
      </c>
      <c r="H747" s="18">
        <f>'Sampling Data'!G747</f>
        <v>0</v>
      </c>
      <c r="I747" s="18">
        <f>'Sampling Data'!H747</f>
        <v>0</v>
      </c>
      <c r="J747" s="18">
        <f>'Sampling Data'!I747</f>
        <v>0</v>
      </c>
      <c r="K747" s="18">
        <f>'Sampling Data'!J747</f>
        <v>0</v>
      </c>
      <c r="L747" s="18">
        <f>'Sampling Data'!K747</f>
        <v>0</v>
      </c>
      <c r="M747" s="18">
        <f>'Sampling Data'!L747</f>
        <v>0</v>
      </c>
      <c r="N747" s="18">
        <f>'Sampling Data'!M747</f>
        <v>0</v>
      </c>
      <c r="O747" s="17">
        <f>'Sampling Data'!N747</f>
        <v>0</v>
      </c>
      <c r="P747" s="17">
        <f>'Sampling Data'!O747</f>
        <v>31</v>
      </c>
      <c r="Q747" s="17">
        <f>'Sampling Data'!P747</f>
        <v>399</v>
      </c>
      <c r="R747" s="17">
        <f>'Sampling Data'!AJ747</f>
        <v>0</v>
      </c>
      <c r="S747" s="111"/>
      <c r="T747" s="111"/>
      <c r="U747" s="112"/>
      <c r="V747" s="112"/>
      <c r="W747" s="111"/>
      <c r="X747" s="111"/>
      <c r="Y747" s="111"/>
      <c r="Z747" s="111"/>
      <c r="AA747" s="14"/>
      <c r="AB747" s="14"/>
      <c r="AC747" s="14"/>
      <c r="AD747" s="14"/>
      <c r="AE747" s="113" t="str">
        <f>IF(NOT(ISBLANK(Audit[[#This Row],[Audit Winning Candidate]])), Audit[[#This Row],[Audit Winning Candidate]]-Audit[[#This Row],[Winning Candidate]], "")</f>
        <v/>
      </c>
      <c r="AF747" s="17" t="str">
        <f>IF(NOT(ISBLANK(Audit[[#This Row],[Audit Losing Candidate]])), Audit[[#This Row],[Audit Losing Candidate]]-Audit[[#This Row],[Losing Candidate]], "")</f>
        <v/>
      </c>
      <c r="AG747" s="17" t="str">
        <f>IF(NOT(ISBLANK(Audit[[#This Row],[Audit Candidate 3]])), Audit[[#This Row],[Audit Candidate 3]]-Audit[[#This Row],[Candidate 3]], "")</f>
        <v/>
      </c>
      <c r="AH747" s="17" t="str">
        <f>IF(NOT(ISBLANK(Audit[[#This Row],[Audit Candidate 4]])),Audit[[#This Row],[Audit Candidate 4]]-Audit[[#This Row],[Candidate 4]], "")</f>
        <v/>
      </c>
      <c r="AI747" s="17" t="str">
        <f>IF(NOT(ISBLANK(Audit[[#This Row],[Audit Candidate 5]])), Audit[[#This Row],[Audit Candidate 5]]-Audit[[#This Row],[Candidate 5]], "")</f>
        <v/>
      </c>
      <c r="AJ747" s="17" t="str">
        <f>IF(NOT(ISBLANK(Audit[[#This Row],[Audit Candidate 6]])), Audit[[#This Row],[Audit Candidate 6]]-Audit[[#This Row],[Candidate 6]], "")</f>
        <v/>
      </c>
      <c r="AK747" s="17" t="str">
        <f>IF(NOT(ISBLANK(Audit[[#This Row],[Audit Candidate 7]])), Audit[[#This Row],[Audit Candidate 7]]-Audit[[#This Row],[Candidate 7]], "")</f>
        <v/>
      </c>
      <c r="AL747" s="17" t="str">
        <f>IF(NOT(ISBLANK(Audit[[#This Row],[Audit Candidate 8]])), Audit[[#This Row],[Audit Candidate 8]]-Audit[[#This Row],[Candidate 8]], "")</f>
        <v/>
      </c>
      <c r="AM747" s="17" t="str">
        <f>IF(NOT(ISBLANK(Audit[[#This Row],[Audit Candidate 9]])), Audit[[#This Row],[Audit Candidate 9]]-Audit[[#This Row],[Candidate 9]], "")</f>
        <v/>
      </c>
      <c r="AN747" s="17" t="str">
        <f>IF(NOT(ISBLANK(Audit[[#This Row],[Audit Candidate 10]])), Audit[[#This Row],[Audit Candidate 10]]-Audit[[#This Row],[Candidate 10]], "")</f>
        <v/>
      </c>
      <c r="AO747" s="17" t="str">
        <f>IF(NOT(ISBLANK(Audit[[#This Row],[Audit Candidate 11]])), Audit[[#This Row],[Audit Candidate 11]]-Audit[[#This Row],[Candidate 11]], "")</f>
        <v/>
      </c>
      <c r="AP747" s="17" t="str">
        <f>IF(NOT(ISBLANK(Audit[[#This Row],[Audit Candidate 12]])), Audit[[#This Row],[Audit Candidate 12]]-Audit[[#This Row],[Candidate 12]], "")</f>
        <v/>
      </c>
      <c r="AQ747" s="17">
        <f>SUMIF(Audit[[#This Row],[Difference Winner]:[Difference Candidate 12]], "&gt;0")</f>
        <v>0</v>
      </c>
      <c r="AR747" s="17">
        <f>SUM(Audit[[#This Row],[Difference Winner]:[Difference Candidate 12]])</f>
        <v>0</v>
      </c>
      <c r="AS747" s="17">
        <f>IF(Audit[[#This Row],[Times p Drawn - With Replacement]]&gt;0, IF(Audit[[#This Row],[Canceled Differences]]&lt;0, Audit[[#This Row],[Max Differences]]+ABS(Audit[[#This Row],[Canceled Differences]]), Audit[[#This Row],[Max Differences]]), 0)</f>
        <v>0</v>
      </c>
      <c r="AT747" s="17">
        <f>'Sampling Data'!AB747</f>
        <v>2.839076557460533E-2</v>
      </c>
      <c r="AU747" s="17">
        <f>IF(
      SUM(Audit[[#This Row],[Audit Losing Candidate]:[Audit Candidate 12]])
      &lt;&gt;0,
      (Audit[[#This Row],[Winning Candidate]]-Audit[[#This Row],[Losing Candidate]]-(Audit[[#This Row],[Audit Winning Candidate]]-Audit[[#This Row],[Audit Losing Candidate]]))/(Audit[[#Totals],[Winning Candidate]]-Audit[[#Totals],[Losing Candidate]]),
      0
)</f>
        <v>0</v>
      </c>
      <c r="AV7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7" s="17">
        <f>IF(Audit[[#This Row],[Max Relative Error (ep)]] = 0, 0, Audit[[#This Row],[Max Relative Error (ep)]]/Audit[[#This Row],[Error Bound (up) - Max. possible relative overstatement]])</f>
        <v>0</v>
      </c>
      <c r="BH7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47" s="17">
        <f t="shared" si="12"/>
        <v>1</v>
      </c>
      <c r="BJ747" s="17">
        <f>PRODUCT($BI$5:BI747)</f>
        <v>0.22633398732541499</v>
      </c>
      <c r="BK747" s="19">
        <f>1 - Audit[[#This Row],[K-M P Value]]</f>
        <v>0.77366601267458501</v>
      </c>
      <c r="BL747" s="17" t="str">
        <f>IF(Audit[[#This Row],[K-M P Value]]&gt;1-'General Info'!$B$12,"Continue", "Stop")</f>
        <v>Continue</v>
      </c>
      <c r="BM747" s="22" t="b">
        <f>IF(Audit[[#This Row],[Status - Continue or stop audit]] = "Continue", TRUE, IF(BL746 = "Continue", TRUE, FALSE))</f>
        <v>1</v>
      </c>
      <c r="BN747" s="22"/>
    </row>
    <row r="748" spans="1:66" ht="15" hidden="1" customHeight="1" x14ac:dyDescent="0.35">
      <c r="A748" s="17" t="str">
        <f>'Sampling Data'!AI748</f>
        <v/>
      </c>
      <c r="B748" s="17" t="str">
        <f>'Sampling Data'!A748</f>
        <v>2611 CIN 26-K   (ED)</v>
      </c>
      <c r="C748" s="17">
        <f>'Sampling Data'!B748</f>
        <v>321</v>
      </c>
      <c r="D748" s="17">
        <f>'Sampling Data'!C748</f>
        <v>207</v>
      </c>
      <c r="E748" s="18">
        <f>'Sampling Data'!D748</f>
        <v>0</v>
      </c>
      <c r="F748" s="18">
        <f>'Sampling Data'!E748</f>
        <v>0</v>
      </c>
      <c r="G748" s="18">
        <f>'Sampling Data'!F748</f>
        <v>0</v>
      </c>
      <c r="H748" s="18">
        <f>'Sampling Data'!G748</f>
        <v>0</v>
      </c>
      <c r="I748" s="18">
        <f>'Sampling Data'!H748</f>
        <v>0</v>
      </c>
      <c r="J748" s="18">
        <f>'Sampling Data'!I748</f>
        <v>0</v>
      </c>
      <c r="K748" s="18">
        <f>'Sampling Data'!J748</f>
        <v>0</v>
      </c>
      <c r="L748" s="18">
        <f>'Sampling Data'!K748</f>
        <v>0</v>
      </c>
      <c r="M748" s="18">
        <f>'Sampling Data'!L748</f>
        <v>0</v>
      </c>
      <c r="N748" s="18">
        <f>'Sampling Data'!M748</f>
        <v>0</v>
      </c>
      <c r="O748" s="17">
        <f>'Sampling Data'!N748</f>
        <v>0</v>
      </c>
      <c r="P748" s="17">
        <f>'Sampling Data'!O748</f>
        <v>37</v>
      </c>
      <c r="Q748" s="17">
        <f>'Sampling Data'!P748</f>
        <v>565</v>
      </c>
      <c r="R748" s="17">
        <f>'Sampling Data'!AJ748</f>
        <v>0</v>
      </c>
      <c r="S748" s="111"/>
      <c r="T748" s="111"/>
      <c r="U748" s="112"/>
      <c r="V748" s="112"/>
      <c r="W748" s="111"/>
      <c r="X748" s="111"/>
      <c r="Y748" s="111"/>
      <c r="Z748" s="111"/>
      <c r="AA748" s="14"/>
      <c r="AB748" s="14"/>
      <c r="AC748" s="14"/>
      <c r="AD748" s="14"/>
      <c r="AE748" s="113" t="str">
        <f>IF(NOT(ISBLANK(Audit[[#This Row],[Audit Winning Candidate]])), Audit[[#This Row],[Audit Winning Candidate]]-Audit[[#This Row],[Winning Candidate]], "")</f>
        <v/>
      </c>
      <c r="AF748" s="17" t="str">
        <f>IF(NOT(ISBLANK(Audit[[#This Row],[Audit Losing Candidate]])), Audit[[#This Row],[Audit Losing Candidate]]-Audit[[#This Row],[Losing Candidate]], "")</f>
        <v/>
      </c>
      <c r="AG748" s="17" t="str">
        <f>IF(NOT(ISBLANK(Audit[[#This Row],[Audit Candidate 3]])), Audit[[#This Row],[Audit Candidate 3]]-Audit[[#This Row],[Candidate 3]], "")</f>
        <v/>
      </c>
      <c r="AH748" s="17" t="str">
        <f>IF(NOT(ISBLANK(Audit[[#This Row],[Audit Candidate 4]])),Audit[[#This Row],[Audit Candidate 4]]-Audit[[#This Row],[Candidate 4]], "")</f>
        <v/>
      </c>
      <c r="AI748" s="17" t="str">
        <f>IF(NOT(ISBLANK(Audit[[#This Row],[Audit Candidate 5]])), Audit[[#This Row],[Audit Candidate 5]]-Audit[[#This Row],[Candidate 5]], "")</f>
        <v/>
      </c>
      <c r="AJ748" s="17" t="str">
        <f>IF(NOT(ISBLANK(Audit[[#This Row],[Audit Candidate 6]])), Audit[[#This Row],[Audit Candidate 6]]-Audit[[#This Row],[Candidate 6]], "")</f>
        <v/>
      </c>
      <c r="AK748" s="17" t="str">
        <f>IF(NOT(ISBLANK(Audit[[#This Row],[Audit Candidate 7]])), Audit[[#This Row],[Audit Candidate 7]]-Audit[[#This Row],[Candidate 7]], "")</f>
        <v/>
      </c>
      <c r="AL748" s="17" t="str">
        <f>IF(NOT(ISBLANK(Audit[[#This Row],[Audit Candidate 8]])), Audit[[#This Row],[Audit Candidate 8]]-Audit[[#This Row],[Candidate 8]], "")</f>
        <v/>
      </c>
      <c r="AM748" s="17" t="str">
        <f>IF(NOT(ISBLANK(Audit[[#This Row],[Audit Candidate 9]])), Audit[[#This Row],[Audit Candidate 9]]-Audit[[#This Row],[Candidate 9]], "")</f>
        <v/>
      </c>
      <c r="AN748" s="17" t="str">
        <f>IF(NOT(ISBLANK(Audit[[#This Row],[Audit Candidate 10]])), Audit[[#This Row],[Audit Candidate 10]]-Audit[[#This Row],[Candidate 10]], "")</f>
        <v/>
      </c>
      <c r="AO748" s="17" t="str">
        <f>IF(NOT(ISBLANK(Audit[[#This Row],[Audit Candidate 11]])), Audit[[#This Row],[Audit Candidate 11]]-Audit[[#This Row],[Candidate 11]], "")</f>
        <v/>
      </c>
      <c r="AP748" s="17" t="str">
        <f>IF(NOT(ISBLANK(Audit[[#This Row],[Audit Candidate 12]])), Audit[[#This Row],[Audit Candidate 12]]-Audit[[#This Row],[Candidate 12]], "")</f>
        <v/>
      </c>
      <c r="AQ748" s="17">
        <f>SUMIF(Audit[[#This Row],[Difference Winner]:[Difference Candidate 12]], "&gt;0")</f>
        <v>0</v>
      </c>
      <c r="AR748" s="17">
        <f>SUM(Audit[[#This Row],[Difference Winner]:[Difference Candidate 12]])</f>
        <v>0</v>
      </c>
      <c r="AS748" s="17">
        <f>IF(Audit[[#This Row],[Times p Drawn - With Replacement]]&gt;0, IF(Audit[[#This Row],[Canceled Differences]]&lt;0, Audit[[#This Row],[Max Differences]]+ABS(Audit[[#This Row],[Canceled Differences]]), Audit[[#This Row],[Max Differences]]), 0)</f>
        <v>0</v>
      </c>
      <c r="AT748" s="17">
        <f>'Sampling Data'!AB748</f>
        <v>2.881514174163979E-2</v>
      </c>
      <c r="AU748" s="17">
        <f>IF(
      SUM(Audit[[#This Row],[Audit Losing Candidate]:[Audit Candidate 12]])
      &lt;&gt;0,
      (Audit[[#This Row],[Winning Candidate]]-Audit[[#This Row],[Losing Candidate]]-(Audit[[#This Row],[Audit Winning Candidate]]-Audit[[#This Row],[Audit Losing Candidate]]))/(Audit[[#Totals],[Winning Candidate]]-Audit[[#Totals],[Losing Candidate]]),
      0
)</f>
        <v>0</v>
      </c>
      <c r="AV7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8" s="17">
        <f>IF(Audit[[#This Row],[Max Relative Error (ep)]] = 0, 0, Audit[[#This Row],[Max Relative Error (ep)]]/Audit[[#This Row],[Error Bound (up) - Max. possible relative overstatement]])</f>
        <v>0</v>
      </c>
      <c r="BH7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48" s="17">
        <f t="shared" si="12"/>
        <v>1</v>
      </c>
      <c r="BJ748" s="17">
        <f>PRODUCT($BI$5:BI748)</f>
        <v>0.22633398732541499</v>
      </c>
      <c r="BK748" s="19">
        <f>1 - Audit[[#This Row],[K-M P Value]]</f>
        <v>0.77366601267458501</v>
      </c>
      <c r="BL748" s="17" t="str">
        <f>IF(Audit[[#This Row],[K-M P Value]]&gt;1-'General Info'!$B$12,"Continue", "Stop")</f>
        <v>Continue</v>
      </c>
      <c r="BM748" s="22" t="b">
        <f>IF(Audit[[#This Row],[Status - Continue or stop audit]] = "Continue", TRUE, IF(BL747 = "Continue", TRUE, FALSE))</f>
        <v>1</v>
      </c>
      <c r="BN748" s="22"/>
    </row>
    <row r="749" spans="1:66" ht="15" hidden="1" customHeight="1" x14ac:dyDescent="0.35">
      <c r="A749" s="17" t="str">
        <f>'Sampling Data'!AI749</f>
        <v/>
      </c>
      <c r="B749" s="17" t="str">
        <f>'Sampling Data'!A749</f>
        <v>2612 CIN 26-L   (ED)</v>
      </c>
      <c r="C749" s="17">
        <f>'Sampling Data'!B749</f>
        <v>165</v>
      </c>
      <c r="D749" s="17">
        <f>'Sampling Data'!C749</f>
        <v>94</v>
      </c>
      <c r="E749" s="18">
        <f>'Sampling Data'!D749</f>
        <v>0</v>
      </c>
      <c r="F749" s="18">
        <f>'Sampling Data'!E749</f>
        <v>0</v>
      </c>
      <c r="G749" s="18">
        <f>'Sampling Data'!F749</f>
        <v>0</v>
      </c>
      <c r="H749" s="18">
        <f>'Sampling Data'!G749</f>
        <v>0</v>
      </c>
      <c r="I749" s="18">
        <f>'Sampling Data'!H749</f>
        <v>0</v>
      </c>
      <c r="J749" s="18">
        <f>'Sampling Data'!I749</f>
        <v>0</v>
      </c>
      <c r="K749" s="18">
        <f>'Sampling Data'!J749</f>
        <v>0</v>
      </c>
      <c r="L749" s="18">
        <f>'Sampling Data'!K749</f>
        <v>0</v>
      </c>
      <c r="M749" s="18">
        <f>'Sampling Data'!L749</f>
        <v>0</v>
      </c>
      <c r="N749" s="18">
        <f>'Sampling Data'!M749</f>
        <v>0</v>
      </c>
      <c r="O749" s="17">
        <f>'Sampling Data'!N749</f>
        <v>0</v>
      </c>
      <c r="P749" s="17">
        <f>'Sampling Data'!O749</f>
        <v>27</v>
      </c>
      <c r="Q749" s="17">
        <f>'Sampling Data'!P749</f>
        <v>286</v>
      </c>
      <c r="R749" s="17">
        <f>'Sampling Data'!AJ749</f>
        <v>0</v>
      </c>
      <c r="S749" s="111"/>
      <c r="T749" s="111"/>
      <c r="U749" s="112"/>
      <c r="V749" s="112"/>
      <c r="W749" s="111"/>
      <c r="X749" s="111"/>
      <c r="Y749" s="111"/>
      <c r="Z749" s="111"/>
      <c r="AA749" s="14"/>
      <c r="AB749" s="14"/>
      <c r="AC749" s="14"/>
      <c r="AD749" s="14"/>
      <c r="AE749" s="113" t="str">
        <f>IF(NOT(ISBLANK(Audit[[#This Row],[Audit Winning Candidate]])), Audit[[#This Row],[Audit Winning Candidate]]-Audit[[#This Row],[Winning Candidate]], "")</f>
        <v/>
      </c>
      <c r="AF749" s="17" t="str">
        <f>IF(NOT(ISBLANK(Audit[[#This Row],[Audit Losing Candidate]])), Audit[[#This Row],[Audit Losing Candidate]]-Audit[[#This Row],[Losing Candidate]], "")</f>
        <v/>
      </c>
      <c r="AG749" s="17" t="str">
        <f>IF(NOT(ISBLANK(Audit[[#This Row],[Audit Candidate 3]])), Audit[[#This Row],[Audit Candidate 3]]-Audit[[#This Row],[Candidate 3]], "")</f>
        <v/>
      </c>
      <c r="AH749" s="17" t="str">
        <f>IF(NOT(ISBLANK(Audit[[#This Row],[Audit Candidate 4]])),Audit[[#This Row],[Audit Candidate 4]]-Audit[[#This Row],[Candidate 4]], "")</f>
        <v/>
      </c>
      <c r="AI749" s="17" t="str">
        <f>IF(NOT(ISBLANK(Audit[[#This Row],[Audit Candidate 5]])), Audit[[#This Row],[Audit Candidate 5]]-Audit[[#This Row],[Candidate 5]], "")</f>
        <v/>
      </c>
      <c r="AJ749" s="17" t="str">
        <f>IF(NOT(ISBLANK(Audit[[#This Row],[Audit Candidate 6]])), Audit[[#This Row],[Audit Candidate 6]]-Audit[[#This Row],[Candidate 6]], "")</f>
        <v/>
      </c>
      <c r="AK749" s="17" t="str">
        <f>IF(NOT(ISBLANK(Audit[[#This Row],[Audit Candidate 7]])), Audit[[#This Row],[Audit Candidate 7]]-Audit[[#This Row],[Candidate 7]], "")</f>
        <v/>
      </c>
      <c r="AL749" s="17" t="str">
        <f>IF(NOT(ISBLANK(Audit[[#This Row],[Audit Candidate 8]])), Audit[[#This Row],[Audit Candidate 8]]-Audit[[#This Row],[Candidate 8]], "")</f>
        <v/>
      </c>
      <c r="AM749" s="17" t="str">
        <f>IF(NOT(ISBLANK(Audit[[#This Row],[Audit Candidate 9]])), Audit[[#This Row],[Audit Candidate 9]]-Audit[[#This Row],[Candidate 9]], "")</f>
        <v/>
      </c>
      <c r="AN749" s="17" t="str">
        <f>IF(NOT(ISBLANK(Audit[[#This Row],[Audit Candidate 10]])), Audit[[#This Row],[Audit Candidate 10]]-Audit[[#This Row],[Candidate 10]], "")</f>
        <v/>
      </c>
      <c r="AO749" s="17" t="str">
        <f>IF(NOT(ISBLANK(Audit[[#This Row],[Audit Candidate 11]])), Audit[[#This Row],[Audit Candidate 11]]-Audit[[#This Row],[Candidate 11]], "")</f>
        <v/>
      </c>
      <c r="AP749" s="17" t="str">
        <f>IF(NOT(ISBLANK(Audit[[#This Row],[Audit Candidate 12]])), Audit[[#This Row],[Audit Candidate 12]]-Audit[[#This Row],[Candidate 12]], "")</f>
        <v/>
      </c>
      <c r="AQ749" s="17">
        <f>SUMIF(Audit[[#This Row],[Difference Winner]:[Difference Candidate 12]], "&gt;0")</f>
        <v>0</v>
      </c>
      <c r="AR749" s="17">
        <f>SUM(Audit[[#This Row],[Difference Winner]:[Difference Candidate 12]])</f>
        <v>0</v>
      </c>
      <c r="AS749" s="17">
        <f>IF(Audit[[#This Row],[Times p Drawn - With Replacement]]&gt;0, IF(Audit[[#This Row],[Canceled Differences]]&lt;0, Audit[[#This Row],[Max Differences]]+ABS(Audit[[#This Row],[Canceled Differences]]), Audit[[#This Row],[Max Differences]]), 0)</f>
        <v>0</v>
      </c>
      <c r="AT749" s="17">
        <f>'Sampling Data'!AB749</f>
        <v>1.5150229163130198E-2</v>
      </c>
      <c r="AU749" s="17">
        <f>IF(
      SUM(Audit[[#This Row],[Audit Losing Candidate]:[Audit Candidate 12]])
      &lt;&gt;0,
      (Audit[[#This Row],[Winning Candidate]]-Audit[[#This Row],[Losing Candidate]]-(Audit[[#This Row],[Audit Winning Candidate]]-Audit[[#This Row],[Audit Losing Candidate]]))/(Audit[[#Totals],[Winning Candidate]]-Audit[[#Totals],[Losing Candidate]]),
      0
)</f>
        <v>0</v>
      </c>
      <c r="AV7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9" s="17">
        <f>IF(Audit[[#This Row],[Max Relative Error (ep)]] = 0, 0, Audit[[#This Row],[Max Relative Error (ep)]]/Audit[[#This Row],[Error Bound (up) - Max. possible relative overstatement]])</f>
        <v>0</v>
      </c>
      <c r="BH7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49" s="17">
        <f t="shared" si="12"/>
        <v>1</v>
      </c>
      <c r="BJ749" s="17">
        <f>PRODUCT($BI$5:BI749)</f>
        <v>0.22633398732541499</v>
      </c>
      <c r="BK749" s="19">
        <f>1 - Audit[[#This Row],[K-M P Value]]</f>
        <v>0.77366601267458501</v>
      </c>
      <c r="BL749" s="17" t="str">
        <f>IF(Audit[[#This Row],[K-M P Value]]&gt;1-'General Info'!$B$12,"Continue", "Stop")</f>
        <v>Continue</v>
      </c>
      <c r="BM749" s="22" t="b">
        <f>IF(Audit[[#This Row],[Status - Continue or stop audit]] = "Continue", TRUE, IF(BL748 = "Continue", TRUE, FALSE))</f>
        <v>1</v>
      </c>
      <c r="BN749" s="22"/>
    </row>
    <row r="750" spans="1:66" ht="15" hidden="1" customHeight="1" x14ac:dyDescent="0.35">
      <c r="A750" s="17" t="str">
        <f>'Sampling Data'!AI750</f>
        <v/>
      </c>
      <c r="B750" s="17" t="str">
        <f>'Sampling Data'!A750</f>
        <v>2613 CIN 26-M   (ED)</v>
      </c>
      <c r="C750" s="17">
        <f>'Sampling Data'!B750</f>
        <v>131</v>
      </c>
      <c r="D750" s="17">
        <f>'Sampling Data'!C750</f>
        <v>35</v>
      </c>
      <c r="E750" s="18">
        <f>'Sampling Data'!D750</f>
        <v>0</v>
      </c>
      <c r="F750" s="18">
        <f>'Sampling Data'!E750</f>
        <v>0</v>
      </c>
      <c r="G750" s="18">
        <f>'Sampling Data'!F750</f>
        <v>0</v>
      </c>
      <c r="H750" s="18">
        <f>'Sampling Data'!G750</f>
        <v>0</v>
      </c>
      <c r="I750" s="18">
        <f>'Sampling Data'!H750</f>
        <v>0</v>
      </c>
      <c r="J750" s="18">
        <f>'Sampling Data'!I750</f>
        <v>0</v>
      </c>
      <c r="K750" s="18">
        <f>'Sampling Data'!J750</f>
        <v>0</v>
      </c>
      <c r="L750" s="18">
        <f>'Sampling Data'!K750</f>
        <v>0</v>
      </c>
      <c r="M750" s="18">
        <f>'Sampling Data'!L750</f>
        <v>0</v>
      </c>
      <c r="N750" s="18">
        <f>'Sampling Data'!M750</f>
        <v>0</v>
      </c>
      <c r="O750" s="17">
        <f>'Sampling Data'!N750</f>
        <v>0</v>
      </c>
      <c r="P750" s="17">
        <f>'Sampling Data'!O750</f>
        <v>17</v>
      </c>
      <c r="Q750" s="17">
        <f>'Sampling Data'!P750</f>
        <v>183</v>
      </c>
      <c r="R750" s="17">
        <f>'Sampling Data'!AJ750</f>
        <v>0</v>
      </c>
      <c r="S750" s="111"/>
      <c r="T750" s="111"/>
      <c r="U750" s="112"/>
      <c r="V750" s="112"/>
      <c r="W750" s="111"/>
      <c r="X750" s="111"/>
      <c r="Y750" s="111"/>
      <c r="Z750" s="111"/>
      <c r="AA750" s="14"/>
      <c r="AB750" s="14"/>
      <c r="AC750" s="14"/>
      <c r="AD750" s="14"/>
      <c r="AE750" s="113" t="str">
        <f>IF(NOT(ISBLANK(Audit[[#This Row],[Audit Winning Candidate]])), Audit[[#This Row],[Audit Winning Candidate]]-Audit[[#This Row],[Winning Candidate]], "")</f>
        <v/>
      </c>
      <c r="AF750" s="17" t="str">
        <f>IF(NOT(ISBLANK(Audit[[#This Row],[Audit Losing Candidate]])), Audit[[#This Row],[Audit Losing Candidate]]-Audit[[#This Row],[Losing Candidate]], "")</f>
        <v/>
      </c>
      <c r="AG750" s="17" t="str">
        <f>IF(NOT(ISBLANK(Audit[[#This Row],[Audit Candidate 3]])), Audit[[#This Row],[Audit Candidate 3]]-Audit[[#This Row],[Candidate 3]], "")</f>
        <v/>
      </c>
      <c r="AH750" s="17" t="str">
        <f>IF(NOT(ISBLANK(Audit[[#This Row],[Audit Candidate 4]])),Audit[[#This Row],[Audit Candidate 4]]-Audit[[#This Row],[Candidate 4]], "")</f>
        <v/>
      </c>
      <c r="AI750" s="17" t="str">
        <f>IF(NOT(ISBLANK(Audit[[#This Row],[Audit Candidate 5]])), Audit[[#This Row],[Audit Candidate 5]]-Audit[[#This Row],[Candidate 5]], "")</f>
        <v/>
      </c>
      <c r="AJ750" s="17" t="str">
        <f>IF(NOT(ISBLANK(Audit[[#This Row],[Audit Candidate 6]])), Audit[[#This Row],[Audit Candidate 6]]-Audit[[#This Row],[Candidate 6]], "")</f>
        <v/>
      </c>
      <c r="AK750" s="17" t="str">
        <f>IF(NOT(ISBLANK(Audit[[#This Row],[Audit Candidate 7]])), Audit[[#This Row],[Audit Candidate 7]]-Audit[[#This Row],[Candidate 7]], "")</f>
        <v/>
      </c>
      <c r="AL750" s="17" t="str">
        <f>IF(NOT(ISBLANK(Audit[[#This Row],[Audit Candidate 8]])), Audit[[#This Row],[Audit Candidate 8]]-Audit[[#This Row],[Candidate 8]], "")</f>
        <v/>
      </c>
      <c r="AM750" s="17" t="str">
        <f>IF(NOT(ISBLANK(Audit[[#This Row],[Audit Candidate 9]])), Audit[[#This Row],[Audit Candidate 9]]-Audit[[#This Row],[Candidate 9]], "")</f>
        <v/>
      </c>
      <c r="AN750" s="17" t="str">
        <f>IF(NOT(ISBLANK(Audit[[#This Row],[Audit Candidate 10]])), Audit[[#This Row],[Audit Candidate 10]]-Audit[[#This Row],[Candidate 10]], "")</f>
        <v/>
      </c>
      <c r="AO750" s="17" t="str">
        <f>IF(NOT(ISBLANK(Audit[[#This Row],[Audit Candidate 11]])), Audit[[#This Row],[Audit Candidate 11]]-Audit[[#This Row],[Candidate 11]], "")</f>
        <v/>
      </c>
      <c r="AP750" s="17" t="str">
        <f>IF(NOT(ISBLANK(Audit[[#This Row],[Audit Candidate 12]])), Audit[[#This Row],[Audit Candidate 12]]-Audit[[#This Row],[Candidate 12]], "")</f>
        <v/>
      </c>
      <c r="AQ750" s="17">
        <f>SUMIF(Audit[[#This Row],[Difference Winner]:[Difference Candidate 12]], "&gt;0")</f>
        <v>0</v>
      </c>
      <c r="AR750" s="17">
        <f>SUM(Audit[[#This Row],[Difference Winner]:[Difference Candidate 12]])</f>
        <v>0</v>
      </c>
      <c r="AS750" s="17">
        <f>IF(Audit[[#This Row],[Times p Drawn - With Replacement]]&gt;0, IF(Audit[[#This Row],[Canceled Differences]]&lt;0, Audit[[#This Row],[Max Differences]]+ABS(Audit[[#This Row],[Canceled Differences]]), Audit[[#This Row],[Max Differences]]), 0)</f>
        <v>0</v>
      </c>
      <c r="AT750" s="17">
        <f>'Sampling Data'!AB750</f>
        <v>1.1840095060261416E-2</v>
      </c>
      <c r="AU750" s="17">
        <f>IF(
      SUM(Audit[[#This Row],[Audit Losing Candidate]:[Audit Candidate 12]])
      &lt;&gt;0,
      (Audit[[#This Row],[Winning Candidate]]-Audit[[#This Row],[Losing Candidate]]-(Audit[[#This Row],[Audit Winning Candidate]]-Audit[[#This Row],[Audit Losing Candidate]]))/(Audit[[#Totals],[Winning Candidate]]-Audit[[#Totals],[Losing Candidate]]),
      0
)</f>
        <v>0</v>
      </c>
      <c r="AV7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0" s="17">
        <f>IF(Audit[[#This Row],[Max Relative Error (ep)]] = 0, 0, Audit[[#This Row],[Max Relative Error (ep)]]/Audit[[#This Row],[Error Bound (up) - Max. possible relative overstatement]])</f>
        <v>0</v>
      </c>
      <c r="BH7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50" s="17">
        <f t="shared" si="12"/>
        <v>1</v>
      </c>
      <c r="BJ750" s="17">
        <f>PRODUCT($BI$5:BI750)</f>
        <v>0.22633398732541499</v>
      </c>
      <c r="BK750" s="19">
        <f>1 - Audit[[#This Row],[K-M P Value]]</f>
        <v>0.77366601267458501</v>
      </c>
      <c r="BL750" s="17" t="str">
        <f>IF(Audit[[#This Row],[K-M P Value]]&gt;1-'General Info'!$B$12,"Continue", "Stop")</f>
        <v>Continue</v>
      </c>
      <c r="BM750" s="22" t="b">
        <f>IF(Audit[[#This Row],[Status - Continue or stop audit]] = "Continue", TRUE, IF(BL749 = "Continue", TRUE, FALSE))</f>
        <v>1</v>
      </c>
      <c r="BN750" s="22"/>
    </row>
    <row r="751" spans="1:66" ht="15" hidden="1" customHeight="1" x14ac:dyDescent="0.35">
      <c r="A751" s="17" t="str">
        <f>'Sampling Data'!AI751</f>
        <v/>
      </c>
      <c r="B751" s="17" t="str">
        <f>'Sampling Data'!A751</f>
        <v>2614 CIN 26-N   (ED)</v>
      </c>
      <c r="C751" s="17">
        <f>'Sampling Data'!B751</f>
        <v>243</v>
      </c>
      <c r="D751" s="17">
        <f>'Sampling Data'!C751</f>
        <v>94</v>
      </c>
      <c r="E751" s="18">
        <f>'Sampling Data'!D751</f>
        <v>0</v>
      </c>
      <c r="F751" s="18">
        <f>'Sampling Data'!E751</f>
        <v>0</v>
      </c>
      <c r="G751" s="18">
        <f>'Sampling Data'!F751</f>
        <v>0</v>
      </c>
      <c r="H751" s="18">
        <f>'Sampling Data'!G751</f>
        <v>0</v>
      </c>
      <c r="I751" s="18">
        <f>'Sampling Data'!H751</f>
        <v>0</v>
      </c>
      <c r="J751" s="18">
        <f>'Sampling Data'!I751</f>
        <v>0</v>
      </c>
      <c r="K751" s="18">
        <f>'Sampling Data'!J751</f>
        <v>0</v>
      </c>
      <c r="L751" s="18">
        <f>'Sampling Data'!K751</f>
        <v>0</v>
      </c>
      <c r="M751" s="18">
        <f>'Sampling Data'!L751</f>
        <v>0</v>
      </c>
      <c r="N751" s="18">
        <f>'Sampling Data'!M751</f>
        <v>0</v>
      </c>
      <c r="O751" s="17">
        <f>'Sampling Data'!N751</f>
        <v>0</v>
      </c>
      <c r="P751" s="17">
        <f>'Sampling Data'!O751</f>
        <v>32</v>
      </c>
      <c r="Q751" s="17">
        <f>'Sampling Data'!P751</f>
        <v>369</v>
      </c>
      <c r="R751" s="17">
        <f>'Sampling Data'!AJ751</f>
        <v>0</v>
      </c>
      <c r="S751" s="111"/>
      <c r="T751" s="111"/>
      <c r="U751" s="112"/>
      <c r="V751" s="112"/>
      <c r="W751" s="111"/>
      <c r="X751" s="111"/>
      <c r="Y751" s="111"/>
      <c r="Z751" s="111"/>
      <c r="AA751" s="14"/>
      <c r="AB751" s="14"/>
      <c r="AC751" s="14"/>
      <c r="AD751" s="14"/>
      <c r="AE751" s="113" t="str">
        <f>IF(NOT(ISBLANK(Audit[[#This Row],[Audit Winning Candidate]])), Audit[[#This Row],[Audit Winning Candidate]]-Audit[[#This Row],[Winning Candidate]], "")</f>
        <v/>
      </c>
      <c r="AF751" s="17" t="str">
        <f>IF(NOT(ISBLANK(Audit[[#This Row],[Audit Losing Candidate]])), Audit[[#This Row],[Audit Losing Candidate]]-Audit[[#This Row],[Losing Candidate]], "")</f>
        <v/>
      </c>
      <c r="AG751" s="17" t="str">
        <f>IF(NOT(ISBLANK(Audit[[#This Row],[Audit Candidate 3]])), Audit[[#This Row],[Audit Candidate 3]]-Audit[[#This Row],[Candidate 3]], "")</f>
        <v/>
      </c>
      <c r="AH751" s="17" t="str">
        <f>IF(NOT(ISBLANK(Audit[[#This Row],[Audit Candidate 4]])),Audit[[#This Row],[Audit Candidate 4]]-Audit[[#This Row],[Candidate 4]], "")</f>
        <v/>
      </c>
      <c r="AI751" s="17" t="str">
        <f>IF(NOT(ISBLANK(Audit[[#This Row],[Audit Candidate 5]])), Audit[[#This Row],[Audit Candidate 5]]-Audit[[#This Row],[Candidate 5]], "")</f>
        <v/>
      </c>
      <c r="AJ751" s="17" t="str">
        <f>IF(NOT(ISBLANK(Audit[[#This Row],[Audit Candidate 6]])), Audit[[#This Row],[Audit Candidate 6]]-Audit[[#This Row],[Candidate 6]], "")</f>
        <v/>
      </c>
      <c r="AK751" s="17" t="str">
        <f>IF(NOT(ISBLANK(Audit[[#This Row],[Audit Candidate 7]])), Audit[[#This Row],[Audit Candidate 7]]-Audit[[#This Row],[Candidate 7]], "")</f>
        <v/>
      </c>
      <c r="AL751" s="17" t="str">
        <f>IF(NOT(ISBLANK(Audit[[#This Row],[Audit Candidate 8]])), Audit[[#This Row],[Audit Candidate 8]]-Audit[[#This Row],[Candidate 8]], "")</f>
        <v/>
      </c>
      <c r="AM751" s="17" t="str">
        <f>IF(NOT(ISBLANK(Audit[[#This Row],[Audit Candidate 9]])), Audit[[#This Row],[Audit Candidate 9]]-Audit[[#This Row],[Candidate 9]], "")</f>
        <v/>
      </c>
      <c r="AN751" s="17" t="str">
        <f>IF(NOT(ISBLANK(Audit[[#This Row],[Audit Candidate 10]])), Audit[[#This Row],[Audit Candidate 10]]-Audit[[#This Row],[Candidate 10]], "")</f>
        <v/>
      </c>
      <c r="AO751" s="17" t="str">
        <f>IF(NOT(ISBLANK(Audit[[#This Row],[Audit Candidate 11]])), Audit[[#This Row],[Audit Candidate 11]]-Audit[[#This Row],[Candidate 11]], "")</f>
        <v/>
      </c>
      <c r="AP751" s="17" t="str">
        <f>IF(NOT(ISBLANK(Audit[[#This Row],[Audit Candidate 12]])), Audit[[#This Row],[Audit Candidate 12]]-Audit[[#This Row],[Candidate 12]], "")</f>
        <v/>
      </c>
      <c r="AQ751" s="17">
        <f>SUMIF(Audit[[#This Row],[Difference Winner]:[Difference Candidate 12]], "&gt;0")</f>
        <v>0</v>
      </c>
      <c r="AR751" s="17">
        <f>SUM(Audit[[#This Row],[Difference Winner]:[Difference Candidate 12]])</f>
        <v>0</v>
      </c>
      <c r="AS751" s="17">
        <f>IF(Audit[[#This Row],[Times p Drawn - With Replacement]]&gt;0, IF(Audit[[#This Row],[Canceled Differences]]&lt;0, Audit[[#This Row],[Max Differences]]+ABS(Audit[[#This Row],[Canceled Differences]]), Audit[[#This Row],[Max Differences]]), 0)</f>
        <v>0</v>
      </c>
      <c r="AT751" s="17">
        <f>'Sampling Data'!AB751</f>
        <v>2.1982685452384992E-2</v>
      </c>
      <c r="AU751" s="17">
        <f>IF(
      SUM(Audit[[#This Row],[Audit Losing Candidate]:[Audit Candidate 12]])
      &lt;&gt;0,
      (Audit[[#This Row],[Winning Candidate]]-Audit[[#This Row],[Losing Candidate]]-(Audit[[#This Row],[Audit Winning Candidate]]-Audit[[#This Row],[Audit Losing Candidate]]))/(Audit[[#Totals],[Winning Candidate]]-Audit[[#Totals],[Losing Candidate]]),
      0
)</f>
        <v>0</v>
      </c>
      <c r="AV7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1" s="17">
        <f>IF(Audit[[#This Row],[Max Relative Error (ep)]] = 0, 0, Audit[[#This Row],[Max Relative Error (ep)]]/Audit[[#This Row],[Error Bound (up) - Max. possible relative overstatement]])</f>
        <v>0</v>
      </c>
      <c r="BH7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51" s="17">
        <f t="shared" si="12"/>
        <v>1</v>
      </c>
      <c r="BJ751" s="17">
        <f>PRODUCT($BI$5:BI751)</f>
        <v>0.22633398732541499</v>
      </c>
      <c r="BK751" s="19">
        <f>1 - Audit[[#This Row],[K-M P Value]]</f>
        <v>0.77366601267458501</v>
      </c>
      <c r="BL751" s="17" t="str">
        <f>IF(Audit[[#This Row],[K-M P Value]]&gt;1-'General Info'!$B$12,"Continue", "Stop")</f>
        <v>Continue</v>
      </c>
      <c r="BM751" s="22" t="b">
        <f>IF(Audit[[#This Row],[Status - Continue or stop audit]] = "Continue", TRUE, IF(BL750 = "Continue", TRUE, FALSE))</f>
        <v>1</v>
      </c>
      <c r="BN751" s="22"/>
    </row>
    <row r="752" spans="1:66" ht="15" hidden="1" customHeight="1" x14ac:dyDescent="0.35">
      <c r="A752" s="17" t="str">
        <f>'Sampling Data'!AI752</f>
        <v/>
      </c>
      <c r="B752" s="17" t="str">
        <f>'Sampling Data'!A752</f>
        <v>2615 CIN 26-O   (ED)</v>
      </c>
      <c r="C752" s="17">
        <f>'Sampling Data'!B752</f>
        <v>330</v>
      </c>
      <c r="D752" s="17">
        <f>'Sampling Data'!C752</f>
        <v>168</v>
      </c>
      <c r="E752" s="18">
        <f>'Sampling Data'!D752</f>
        <v>0</v>
      </c>
      <c r="F752" s="18">
        <f>'Sampling Data'!E752</f>
        <v>0</v>
      </c>
      <c r="G752" s="18">
        <f>'Sampling Data'!F752</f>
        <v>0</v>
      </c>
      <c r="H752" s="18">
        <f>'Sampling Data'!G752</f>
        <v>0</v>
      </c>
      <c r="I752" s="18">
        <f>'Sampling Data'!H752</f>
        <v>0</v>
      </c>
      <c r="J752" s="18">
        <f>'Sampling Data'!I752</f>
        <v>0</v>
      </c>
      <c r="K752" s="18">
        <f>'Sampling Data'!J752</f>
        <v>0</v>
      </c>
      <c r="L752" s="18">
        <f>'Sampling Data'!K752</f>
        <v>0</v>
      </c>
      <c r="M752" s="18">
        <f>'Sampling Data'!L752</f>
        <v>0</v>
      </c>
      <c r="N752" s="18">
        <f>'Sampling Data'!M752</f>
        <v>0</v>
      </c>
      <c r="O752" s="17">
        <f>'Sampling Data'!N752</f>
        <v>0</v>
      </c>
      <c r="P752" s="17">
        <f>'Sampling Data'!O752</f>
        <v>37</v>
      </c>
      <c r="Q752" s="17">
        <f>'Sampling Data'!P752</f>
        <v>535</v>
      </c>
      <c r="R752" s="17">
        <f>'Sampling Data'!AJ752</f>
        <v>0</v>
      </c>
      <c r="S752" s="111"/>
      <c r="T752" s="111"/>
      <c r="U752" s="112"/>
      <c r="V752" s="112"/>
      <c r="W752" s="111"/>
      <c r="X752" s="111"/>
      <c r="Y752" s="111"/>
      <c r="Z752" s="111"/>
      <c r="AA752" s="14"/>
      <c r="AB752" s="14"/>
      <c r="AC752" s="14"/>
      <c r="AD752" s="14"/>
      <c r="AE752" s="113" t="str">
        <f>IF(NOT(ISBLANK(Audit[[#This Row],[Audit Winning Candidate]])), Audit[[#This Row],[Audit Winning Candidate]]-Audit[[#This Row],[Winning Candidate]], "")</f>
        <v/>
      </c>
      <c r="AF752" s="17" t="str">
        <f>IF(NOT(ISBLANK(Audit[[#This Row],[Audit Losing Candidate]])), Audit[[#This Row],[Audit Losing Candidate]]-Audit[[#This Row],[Losing Candidate]], "")</f>
        <v/>
      </c>
      <c r="AG752" s="17" t="str">
        <f>IF(NOT(ISBLANK(Audit[[#This Row],[Audit Candidate 3]])), Audit[[#This Row],[Audit Candidate 3]]-Audit[[#This Row],[Candidate 3]], "")</f>
        <v/>
      </c>
      <c r="AH752" s="17" t="str">
        <f>IF(NOT(ISBLANK(Audit[[#This Row],[Audit Candidate 4]])),Audit[[#This Row],[Audit Candidate 4]]-Audit[[#This Row],[Candidate 4]], "")</f>
        <v/>
      </c>
      <c r="AI752" s="17" t="str">
        <f>IF(NOT(ISBLANK(Audit[[#This Row],[Audit Candidate 5]])), Audit[[#This Row],[Audit Candidate 5]]-Audit[[#This Row],[Candidate 5]], "")</f>
        <v/>
      </c>
      <c r="AJ752" s="17" t="str">
        <f>IF(NOT(ISBLANK(Audit[[#This Row],[Audit Candidate 6]])), Audit[[#This Row],[Audit Candidate 6]]-Audit[[#This Row],[Candidate 6]], "")</f>
        <v/>
      </c>
      <c r="AK752" s="17" t="str">
        <f>IF(NOT(ISBLANK(Audit[[#This Row],[Audit Candidate 7]])), Audit[[#This Row],[Audit Candidate 7]]-Audit[[#This Row],[Candidate 7]], "")</f>
        <v/>
      </c>
      <c r="AL752" s="17" t="str">
        <f>IF(NOT(ISBLANK(Audit[[#This Row],[Audit Candidate 8]])), Audit[[#This Row],[Audit Candidate 8]]-Audit[[#This Row],[Candidate 8]], "")</f>
        <v/>
      </c>
      <c r="AM752" s="17" t="str">
        <f>IF(NOT(ISBLANK(Audit[[#This Row],[Audit Candidate 9]])), Audit[[#This Row],[Audit Candidate 9]]-Audit[[#This Row],[Candidate 9]], "")</f>
        <v/>
      </c>
      <c r="AN752" s="17" t="str">
        <f>IF(NOT(ISBLANK(Audit[[#This Row],[Audit Candidate 10]])), Audit[[#This Row],[Audit Candidate 10]]-Audit[[#This Row],[Candidate 10]], "")</f>
        <v/>
      </c>
      <c r="AO752" s="17" t="str">
        <f>IF(NOT(ISBLANK(Audit[[#This Row],[Audit Candidate 11]])), Audit[[#This Row],[Audit Candidate 11]]-Audit[[#This Row],[Candidate 11]], "")</f>
        <v/>
      </c>
      <c r="AP752" s="17" t="str">
        <f>IF(NOT(ISBLANK(Audit[[#This Row],[Audit Candidate 12]])), Audit[[#This Row],[Audit Candidate 12]]-Audit[[#This Row],[Candidate 12]], "")</f>
        <v/>
      </c>
      <c r="AQ752" s="17">
        <f>SUMIF(Audit[[#This Row],[Difference Winner]:[Difference Candidate 12]], "&gt;0")</f>
        <v>0</v>
      </c>
      <c r="AR752" s="17">
        <f>SUM(Audit[[#This Row],[Difference Winner]:[Difference Candidate 12]])</f>
        <v>0</v>
      </c>
      <c r="AS752" s="17">
        <f>IF(Audit[[#This Row],[Times p Drawn - With Replacement]]&gt;0, IF(Audit[[#This Row],[Canceled Differences]]&lt;0, Audit[[#This Row],[Max Differences]]+ABS(Audit[[#This Row],[Canceled Differences]]), Audit[[#This Row],[Max Differences]]), 0)</f>
        <v>0</v>
      </c>
      <c r="AT752" s="17">
        <f>'Sampling Data'!AB752</f>
        <v>2.9579018842301817E-2</v>
      </c>
      <c r="AU752" s="17">
        <f>IF(
      SUM(Audit[[#This Row],[Audit Losing Candidate]:[Audit Candidate 12]])
      &lt;&gt;0,
      (Audit[[#This Row],[Winning Candidate]]-Audit[[#This Row],[Losing Candidate]]-(Audit[[#This Row],[Audit Winning Candidate]]-Audit[[#This Row],[Audit Losing Candidate]]))/(Audit[[#Totals],[Winning Candidate]]-Audit[[#Totals],[Losing Candidate]]),
      0
)</f>
        <v>0</v>
      </c>
      <c r="AV7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2" s="17">
        <f>IF(Audit[[#This Row],[Max Relative Error (ep)]] = 0, 0, Audit[[#This Row],[Max Relative Error (ep)]]/Audit[[#This Row],[Error Bound (up) - Max. possible relative overstatement]])</f>
        <v>0</v>
      </c>
      <c r="BH7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52" s="17">
        <f t="shared" si="12"/>
        <v>1</v>
      </c>
      <c r="BJ752" s="17">
        <f>PRODUCT($BI$5:BI752)</f>
        <v>0.22633398732541499</v>
      </c>
      <c r="BK752" s="19">
        <f>1 - Audit[[#This Row],[K-M P Value]]</f>
        <v>0.77366601267458501</v>
      </c>
      <c r="BL752" s="17" t="str">
        <f>IF(Audit[[#This Row],[K-M P Value]]&gt;1-'General Info'!$B$12,"Continue", "Stop")</f>
        <v>Continue</v>
      </c>
      <c r="BM752" s="22" t="b">
        <f>IF(Audit[[#This Row],[Status - Continue or stop audit]] = "Continue", TRUE, IF(BL751 = "Continue", TRUE, FALSE))</f>
        <v>1</v>
      </c>
      <c r="BN752" s="22"/>
    </row>
    <row r="753" spans="1:66" ht="15" hidden="1" customHeight="1" x14ac:dyDescent="0.35">
      <c r="A753" s="17" t="str">
        <f>'Sampling Data'!AI753</f>
        <v/>
      </c>
      <c r="B753" s="17" t="str">
        <f>'Sampling Data'!A753</f>
        <v>2616 CIN 26-P   (ED)</v>
      </c>
      <c r="C753" s="17">
        <f>'Sampling Data'!B753</f>
        <v>256</v>
      </c>
      <c r="D753" s="17">
        <f>'Sampling Data'!C753</f>
        <v>82</v>
      </c>
      <c r="E753" s="18">
        <f>'Sampling Data'!D753</f>
        <v>0</v>
      </c>
      <c r="F753" s="18">
        <f>'Sampling Data'!E753</f>
        <v>0</v>
      </c>
      <c r="G753" s="18">
        <f>'Sampling Data'!F753</f>
        <v>0</v>
      </c>
      <c r="H753" s="18">
        <f>'Sampling Data'!G753</f>
        <v>0</v>
      </c>
      <c r="I753" s="18">
        <f>'Sampling Data'!H753</f>
        <v>0</v>
      </c>
      <c r="J753" s="18">
        <f>'Sampling Data'!I753</f>
        <v>0</v>
      </c>
      <c r="K753" s="18">
        <f>'Sampling Data'!J753</f>
        <v>0</v>
      </c>
      <c r="L753" s="18">
        <f>'Sampling Data'!K753</f>
        <v>0</v>
      </c>
      <c r="M753" s="18">
        <f>'Sampling Data'!L753</f>
        <v>0</v>
      </c>
      <c r="N753" s="18">
        <f>'Sampling Data'!M753</f>
        <v>0</v>
      </c>
      <c r="O753" s="17">
        <f>'Sampling Data'!N753</f>
        <v>0</v>
      </c>
      <c r="P753" s="17">
        <f>'Sampling Data'!O753</f>
        <v>28</v>
      </c>
      <c r="Q753" s="17">
        <f>'Sampling Data'!P753</f>
        <v>366</v>
      </c>
      <c r="R753" s="17">
        <f>'Sampling Data'!AJ753</f>
        <v>0</v>
      </c>
      <c r="S753" s="111"/>
      <c r="T753" s="111"/>
      <c r="U753" s="112"/>
      <c r="V753" s="112"/>
      <c r="W753" s="111"/>
      <c r="X753" s="111"/>
      <c r="Y753" s="111"/>
      <c r="Z753" s="111"/>
      <c r="AA753" s="14"/>
      <c r="AB753" s="14"/>
      <c r="AC753" s="14"/>
      <c r="AD753" s="14"/>
      <c r="AE753" s="113" t="str">
        <f>IF(NOT(ISBLANK(Audit[[#This Row],[Audit Winning Candidate]])), Audit[[#This Row],[Audit Winning Candidate]]-Audit[[#This Row],[Winning Candidate]], "")</f>
        <v/>
      </c>
      <c r="AF753" s="17" t="str">
        <f>IF(NOT(ISBLANK(Audit[[#This Row],[Audit Losing Candidate]])), Audit[[#This Row],[Audit Losing Candidate]]-Audit[[#This Row],[Losing Candidate]], "")</f>
        <v/>
      </c>
      <c r="AG753" s="17" t="str">
        <f>IF(NOT(ISBLANK(Audit[[#This Row],[Audit Candidate 3]])), Audit[[#This Row],[Audit Candidate 3]]-Audit[[#This Row],[Candidate 3]], "")</f>
        <v/>
      </c>
      <c r="AH753" s="17" t="str">
        <f>IF(NOT(ISBLANK(Audit[[#This Row],[Audit Candidate 4]])),Audit[[#This Row],[Audit Candidate 4]]-Audit[[#This Row],[Candidate 4]], "")</f>
        <v/>
      </c>
      <c r="AI753" s="17" t="str">
        <f>IF(NOT(ISBLANK(Audit[[#This Row],[Audit Candidate 5]])), Audit[[#This Row],[Audit Candidate 5]]-Audit[[#This Row],[Candidate 5]], "")</f>
        <v/>
      </c>
      <c r="AJ753" s="17" t="str">
        <f>IF(NOT(ISBLANK(Audit[[#This Row],[Audit Candidate 6]])), Audit[[#This Row],[Audit Candidate 6]]-Audit[[#This Row],[Candidate 6]], "")</f>
        <v/>
      </c>
      <c r="AK753" s="17" t="str">
        <f>IF(NOT(ISBLANK(Audit[[#This Row],[Audit Candidate 7]])), Audit[[#This Row],[Audit Candidate 7]]-Audit[[#This Row],[Candidate 7]], "")</f>
        <v/>
      </c>
      <c r="AL753" s="17" t="str">
        <f>IF(NOT(ISBLANK(Audit[[#This Row],[Audit Candidate 8]])), Audit[[#This Row],[Audit Candidate 8]]-Audit[[#This Row],[Candidate 8]], "")</f>
        <v/>
      </c>
      <c r="AM753" s="17" t="str">
        <f>IF(NOT(ISBLANK(Audit[[#This Row],[Audit Candidate 9]])), Audit[[#This Row],[Audit Candidate 9]]-Audit[[#This Row],[Candidate 9]], "")</f>
        <v/>
      </c>
      <c r="AN753" s="17" t="str">
        <f>IF(NOT(ISBLANK(Audit[[#This Row],[Audit Candidate 10]])), Audit[[#This Row],[Audit Candidate 10]]-Audit[[#This Row],[Candidate 10]], "")</f>
        <v/>
      </c>
      <c r="AO753" s="17" t="str">
        <f>IF(NOT(ISBLANK(Audit[[#This Row],[Audit Candidate 11]])), Audit[[#This Row],[Audit Candidate 11]]-Audit[[#This Row],[Candidate 11]], "")</f>
        <v/>
      </c>
      <c r="AP753" s="17" t="str">
        <f>IF(NOT(ISBLANK(Audit[[#This Row],[Audit Candidate 12]])), Audit[[#This Row],[Audit Candidate 12]]-Audit[[#This Row],[Candidate 12]], "")</f>
        <v/>
      </c>
      <c r="AQ753" s="17">
        <f>SUMIF(Audit[[#This Row],[Difference Winner]:[Difference Candidate 12]], "&gt;0")</f>
        <v>0</v>
      </c>
      <c r="AR753" s="17">
        <f>SUM(Audit[[#This Row],[Difference Winner]:[Difference Candidate 12]])</f>
        <v>0</v>
      </c>
      <c r="AS753" s="17">
        <f>IF(Audit[[#This Row],[Times p Drawn - With Replacement]]&gt;0, IF(Audit[[#This Row],[Canceled Differences]]&lt;0, Audit[[#This Row],[Max Differences]]+ABS(Audit[[#This Row],[Canceled Differences]]), Audit[[#This Row],[Max Differences]]), 0)</f>
        <v>0</v>
      </c>
      <c r="AT753" s="17">
        <f>'Sampling Data'!AB753</f>
        <v>2.2916313019860805E-2</v>
      </c>
      <c r="AU753" s="17">
        <f>IF(
      SUM(Audit[[#This Row],[Audit Losing Candidate]:[Audit Candidate 12]])
      &lt;&gt;0,
      (Audit[[#This Row],[Winning Candidate]]-Audit[[#This Row],[Losing Candidate]]-(Audit[[#This Row],[Audit Winning Candidate]]-Audit[[#This Row],[Audit Losing Candidate]]))/(Audit[[#Totals],[Winning Candidate]]-Audit[[#Totals],[Losing Candidate]]),
      0
)</f>
        <v>0</v>
      </c>
      <c r="AV7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3" s="17">
        <f>IF(Audit[[#This Row],[Max Relative Error (ep)]] = 0, 0, Audit[[#This Row],[Max Relative Error (ep)]]/Audit[[#This Row],[Error Bound (up) - Max. possible relative overstatement]])</f>
        <v>0</v>
      </c>
      <c r="BH7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53" s="17">
        <f t="shared" si="12"/>
        <v>1</v>
      </c>
      <c r="BJ753" s="17">
        <f>PRODUCT($BI$5:BI753)</f>
        <v>0.22633398732541499</v>
      </c>
      <c r="BK753" s="19">
        <f>1 - Audit[[#This Row],[K-M P Value]]</f>
        <v>0.77366601267458501</v>
      </c>
      <c r="BL753" s="17" t="str">
        <f>IF(Audit[[#This Row],[K-M P Value]]&gt;1-'General Info'!$B$12,"Continue", "Stop")</f>
        <v>Continue</v>
      </c>
      <c r="BM753" s="22" t="b">
        <f>IF(Audit[[#This Row],[Status - Continue or stop audit]] = "Continue", TRUE, IF(BL752 = "Continue", TRUE, FALSE))</f>
        <v>1</v>
      </c>
      <c r="BN753" s="22"/>
    </row>
    <row r="754" spans="1:66" ht="15" hidden="1" customHeight="1" x14ac:dyDescent="0.35">
      <c r="A754" s="17" t="str">
        <f>'Sampling Data'!AI754</f>
        <v/>
      </c>
      <c r="B754" s="17" t="str">
        <f>'Sampling Data'!A754</f>
        <v>2617 CIN 26-Q   (ED)</v>
      </c>
      <c r="C754" s="17">
        <f>'Sampling Data'!B754</f>
        <v>211</v>
      </c>
      <c r="D754" s="17">
        <f>'Sampling Data'!C754</f>
        <v>34</v>
      </c>
      <c r="E754" s="18">
        <f>'Sampling Data'!D754</f>
        <v>0</v>
      </c>
      <c r="F754" s="18">
        <f>'Sampling Data'!E754</f>
        <v>0</v>
      </c>
      <c r="G754" s="18">
        <f>'Sampling Data'!F754</f>
        <v>0</v>
      </c>
      <c r="H754" s="18">
        <f>'Sampling Data'!G754</f>
        <v>0</v>
      </c>
      <c r="I754" s="18">
        <f>'Sampling Data'!H754</f>
        <v>0</v>
      </c>
      <c r="J754" s="18">
        <f>'Sampling Data'!I754</f>
        <v>0</v>
      </c>
      <c r="K754" s="18">
        <f>'Sampling Data'!J754</f>
        <v>0</v>
      </c>
      <c r="L754" s="18">
        <f>'Sampling Data'!K754</f>
        <v>0</v>
      </c>
      <c r="M754" s="18">
        <f>'Sampling Data'!L754</f>
        <v>0</v>
      </c>
      <c r="N754" s="18">
        <f>'Sampling Data'!M754</f>
        <v>0</v>
      </c>
      <c r="O754" s="17">
        <f>'Sampling Data'!N754</f>
        <v>0</v>
      </c>
      <c r="P754" s="17">
        <f>'Sampling Data'!O754</f>
        <v>21</v>
      </c>
      <c r="Q754" s="17">
        <f>'Sampling Data'!P754</f>
        <v>266</v>
      </c>
      <c r="R754" s="17">
        <f>'Sampling Data'!AJ754</f>
        <v>0</v>
      </c>
      <c r="S754" s="111"/>
      <c r="T754" s="111"/>
      <c r="U754" s="112"/>
      <c r="V754" s="112"/>
      <c r="W754" s="111"/>
      <c r="X754" s="111"/>
      <c r="Y754" s="111"/>
      <c r="Z754" s="111"/>
      <c r="AA754" s="14"/>
      <c r="AB754" s="14"/>
      <c r="AC754" s="14"/>
      <c r="AD754" s="14"/>
      <c r="AE754" s="113" t="str">
        <f>IF(NOT(ISBLANK(Audit[[#This Row],[Audit Winning Candidate]])), Audit[[#This Row],[Audit Winning Candidate]]-Audit[[#This Row],[Winning Candidate]], "")</f>
        <v/>
      </c>
      <c r="AF754" s="17" t="str">
        <f>IF(NOT(ISBLANK(Audit[[#This Row],[Audit Losing Candidate]])), Audit[[#This Row],[Audit Losing Candidate]]-Audit[[#This Row],[Losing Candidate]], "")</f>
        <v/>
      </c>
      <c r="AG754" s="17" t="str">
        <f>IF(NOT(ISBLANK(Audit[[#This Row],[Audit Candidate 3]])), Audit[[#This Row],[Audit Candidate 3]]-Audit[[#This Row],[Candidate 3]], "")</f>
        <v/>
      </c>
      <c r="AH754" s="17" t="str">
        <f>IF(NOT(ISBLANK(Audit[[#This Row],[Audit Candidate 4]])),Audit[[#This Row],[Audit Candidate 4]]-Audit[[#This Row],[Candidate 4]], "")</f>
        <v/>
      </c>
      <c r="AI754" s="17" t="str">
        <f>IF(NOT(ISBLANK(Audit[[#This Row],[Audit Candidate 5]])), Audit[[#This Row],[Audit Candidate 5]]-Audit[[#This Row],[Candidate 5]], "")</f>
        <v/>
      </c>
      <c r="AJ754" s="17" t="str">
        <f>IF(NOT(ISBLANK(Audit[[#This Row],[Audit Candidate 6]])), Audit[[#This Row],[Audit Candidate 6]]-Audit[[#This Row],[Candidate 6]], "")</f>
        <v/>
      </c>
      <c r="AK754" s="17" t="str">
        <f>IF(NOT(ISBLANK(Audit[[#This Row],[Audit Candidate 7]])), Audit[[#This Row],[Audit Candidate 7]]-Audit[[#This Row],[Candidate 7]], "")</f>
        <v/>
      </c>
      <c r="AL754" s="17" t="str">
        <f>IF(NOT(ISBLANK(Audit[[#This Row],[Audit Candidate 8]])), Audit[[#This Row],[Audit Candidate 8]]-Audit[[#This Row],[Candidate 8]], "")</f>
        <v/>
      </c>
      <c r="AM754" s="17" t="str">
        <f>IF(NOT(ISBLANK(Audit[[#This Row],[Audit Candidate 9]])), Audit[[#This Row],[Audit Candidate 9]]-Audit[[#This Row],[Candidate 9]], "")</f>
        <v/>
      </c>
      <c r="AN754" s="17" t="str">
        <f>IF(NOT(ISBLANK(Audit[[#This Row],[Audit Candidate 10]])), Audit[[#This Row],[Audit Candidate 10]]-Audit[[#This Row],[Candidate 10]], "")</f>
        <v/>
      </c>
      <c r="AO754" s="17" t="str">
        <f>IF(NOT(ISBLANK(Audit[[#This Row],[Audit Candidate 11]])), Audit[[#This Row],[Audit Candidate 11]]-Audit[[#This Row],[Candidate 11]], "")</f>
        <v/>
      </c>
      <c r="AP754" s="17" t="str">
        <f>IF(NOT(ISBLANK(Audit[[#This Row],[Audit Candidate 12]])), Audit[[#This Row],[Audit Candidate 12]]-Audit[[#This Row],[Candidate 12]], "")</f>
        <v/>
      </c>
      <c r="AQ754" s="17">
        <f>SUMIF(Audit[[#This Row],[Difference Winner]:[Difference Candidate 12]], "&gt;0")</f>
        <v>0</v>
      </c>
      <c r="AR754" s="17">
        <f>SUM(Audit[[#This Row],[Difference Winner]:[Difference Candidate 12]])</f>
        <v>0</v>
      </c>
      <c r="AS754" s="17">
        <f>IF(Audit[[#This Row],[Times p Drawn - With Replacement]]&gt;0, IF(Audit[[#This Row],[Canceled Differences]]&lt;0, Audit[[#This Row],[Max Differences]]+ABS(Audit[[#This Row],[Canceled Differences]]), Audit[[#This Row],[Max Differences]]), 0)</f>
        <v>0</v>
      </c>
      <c r="AT754" s="17">
        <f>'Sampling Data'!AB754</f>
        <v>1.8799864199626547E-2</v>
      </c>
      <c r="AU754" s="17">
        <f>IF(
      SUM(Audit[[#This Row],[Audit Losing Candidate]:[Audit Candidate 12]])
      &lt;&gt;0,
      (Audit[[#This Row],[Winning Candidate]]-Audit[[#This Row],[Losing Candidate]]-(Audit[[#This Row],[Audit Winning Candidate]]-Audit[[#This Row],[Audit Losing Candidate]]))/(Audit[[#Totals],[Winning Candidate]]-Audit[[#Totals],[Losing Candidate]]),
      0
)</f>
        <v>0</v>
      </c>
      <c r="AV7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4" s="17">
        <f>IF(Audit[[#This Row],[Max Relative Error (ep)]] = 0, 0, Audit[[#This Row],[Max Relative Error (ep)]]/Audit[[#This Row],[Error Bound (up) - Max. possible relative overstatement]])</f>
        <v>0</v>
      </c>
      <c r="BH7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54" s="17">
        <f t="shared" si="12"/>
        <v>1</v>
      </c>
      <c r="BJ754" s="17">
        <f>PRODUCT($BI$5:BI754)</f>
        <v>0.22633398732541499</v>
      </c>
      <c r="BK754" s="19">
        <f>1 - Audit[[#This Row],[K-M P Value]]</f>
        <v>0.77366601267458501</v>
      </c>
      <c r="BL754" s="17" t="str">
        <f>IF(Audit[[#This Row],[K-M P Value]]&gt;1-'General Info'!$B$12,"Continue", "Stop")</f>
        <v>Continue</v>
      </c>
      <c r="BM754" s="22" t="b">
        <f>IF(Audit[[#This Row],[Status - Continue or stop audit]] = "Continue", TRUE, IF(BL753 = "Continue", TRUE, FALSE))</f>
        <v>1</v>
      </c>
      <c r="BN754" s="22"/>
    </row>
    <row r="755" spans="1:66" ht="15" hidden="1" customHeight="1" x14ac:dyDescent="0.35">
      <c r="A755" s="17" t="str">
        <f>'Sampling Data'!AI755</f>
        <v/>
      </c>
      <c r="B755" s="17" t="str">
        <f>'Sampling Data'!A755</f>
        <v>2618 CIN 26-R   (ED)</v>
      </c>
      <c r="C755" s="17">
        <f>'Sampling Data'!B755</f>
        <v>131</v>
      </c>
      <c r="D755" s="17">
        <f>'Sampling Data'!C755</f>
        <v>20</v>
      </c>
      <c r="E755" s="18">
        <f>'Sampling Data'!D755</f>
        <v>0</v>
      </c>
      <c r="F755" s="18">
        <f>'Sampling Data'!E755</f>
        <v>0</v>
      </c>
      <c r="G755" s="18">
        <f>'Sampling Data'!F755</f>
        <v>0</v>
      </c>
      <c r="H755" s="18">
        <f>'Sampling Data'!G755</f>
        <v>0</v>
      </c>
      <c r="I755" s="18">
        <f>'Sampling Data'!H755</f>
        <v>0</v>
      </c>
      <c r="J755" s="18">
        <f>'Sampling Data'!I755</f>
        <v>0</v>
      </c>
      <c r="K755" s="18">
        <f>'Sampling Data'!J755</f>
        <v>0</v>
      </c>
      <c r="L755" s="18">
        <f>'Sampling Data'!K755</f>
        <v>0</v>
      </c>
      <c r="M755" s="18">
        <f>'Sampling Data'!L755</f>
        <v>0</v>
      </c>
      <c r="N755" s="18">
        <f>'Sampling Data'!M755</f>
        <v>0</v>
      </c>
      <c r="O755" s="17">
        <f>'Sampling Data'!N755</f>
        <v>0</v>
      </c>
      <c r="P755" s="17">
        <f>'Sampling Data'!O755</f>
        <v>9</v>
      </c>
      <c r="Q755" s="17">
        <f>'Sampling Data'!P755</f>
        <v>160</v>
      </c>
      <c r="R755" s="17">
        <f>'Sampling Data'!AJ755</f>
        <v>0</v>
      </c>
      <c r="S755" s="111"/>
      <c r="T755" s="111"/>
      <c r="U755" s="112"/>
      <c r="V755" s="112"/>
      <c r="W755" s="111"/>
      <c r="X755" s="111"/>
      <c r="Y755" s="111"/>
      <c r="Z755" s="111"/>
      <c r="AA755" s="14"/>
      <c r="AB755" s="14"/>
      <c r="AC755" s="14"/>
      <c r="AD755" s="14"/>
      <c r="AE755" s="113" t="str">
        <f>IF(NOT(ISBLANK(Audit[[#This Row],[Audit Winning Candidate]])), Audit[[#This Row],[Audit Winning Candidate]]-Audit[[#This Row],[Winning Candidate]], "")</f>
        <v/>
      </c>
      <c r="AF755" s="17" t="str">
        <f>IF(NOT(ISBLANK(Audit[[#This Row],[Audit Losing Candidate]])), Audit[[#This Row],[Audit Losing Candidate]]-Audit[[#This Row],[Losing Candidate]], "")</f>
        <v/>
      </c>
      <c r="AG755" s="17" t="str">
        <f>IF(NOT(ISBLANK(Audit[[#This Row],[Audit Candidate 3]])), Audit[[#This Row],[Audit Candidate 3]]-Audit[[#This Row],[Candidate 3]], "")</f>
        <v/>
      </c>
      <c r="AH755" s="17" t="str">
        <f>IF(NOT(ISBLANK(Audit[[#This Row],[Audit Candidate 4]])),Audit[[#This Row],[Audit Candidate 4]]-Audit[[#This Row],[Candidate 4]], "")</f>
        <v/>
      </c>
      <c r="AI755" s="17" t="str">
        <f>IF(NOT(ISBLANK(Audit[[#This Row],[Audit Candidate 5]])), Audit[[#This Row],[Audit Candidate 5]]-Audit[[#This Row],[Candidate 5]], "")</f>
        <v/>
      </c>
      <c r="AJ755" s="17" t="str">
        <f>IF(NOT(ISBLANK(Audit[[#This Row],[Audit Candidate 6]])), Audit[[#This Row],[Audit Candidate 6]]-Audit[[#This Row],[Candidate 6]], "")</f>
        <v/>
      </c>
      <c r="AK755" s="17" t="str">
        <f>IF(NOT(ISBLANK(Audit[[#This Row],[Audit Candidate 7]])), Audit[[#This Row],[Audit Candidate 7]]-Audit[[#This Row],[Candidate 7]], "")</f>
        <v/>
      </c>
      <c r="AL755" s="17" t="str">
        <f>IF(NOT(ISBLANK(Audit[[#This Row],[Audit Candidate 8]])), Audit[[#This Row],[Audit Candidate 8]]-Audit[[#This Row],[Candidate 8]], "")</f>
        <v/>
      </c>
      <c r="AM755" s="17" t="str">
        <f>IF(NOT(ISBLANK(Audit[[#This Row],[Audit Candidate 9]])), Audit[[#This Row],[Audit Candidate 9]]-Audit[[#This Row],[Candidate 9]], "")</f>
        <v/>
      </c>
      <c r="AN755" s="17" t="str">
        <f>IF(NOT(ISBLANK(Audit[[#This Row],[Audit Candidate 10]])), Audit[[#This Row],[Audit Candidate 10]]-Audit[[#This Row],[Candidate 10]], "")</f>
        <v/>
      </c>
      <c r="AO755" s="17" t="str">
        <f>IF(NOT(ISBLANK(Audit[[#This Row],[Audit Candidate 11]])), Audit[[#This Row],[Audit Candidate 11]]-Audit[[#This Row],[Candidate 11]], "")</f>
        <v/>
      </c>
      <c r="AP755" s="17" t="str">
        <f>IF(NOT(ISBLANK(Audit[[#This Row],[Audit Candidate 12]])), Audit[[#This Row],[Audit Candidate 12]]-Audit[[#This Row],[Candidate 12]], "")</f>
        <v/>
      </c>
      <c r="AQ755" s="17">
        <f>SUMIF(Audit[[#This Row],[Difference Winner]:[Difference Candidate 12]], "&gt;0")</f>
        <v>0</v>
      </c>
      <c r="AR755" s="17">
        <f>SUM(Audit[[#This Row],[Difference Winner]:[Difference Candidate 12]])</f>
        <v>0</v>
      </c>
      <c r="AS755" s="17">
        <f>IF(Audit[[#This Row],[Times p Drawn - With Replacement]]&gt;0, IF(Audit[[#This Row],[Canceled Differences]]&lt;0, Audit[[#This Row],[Max Differences]]+ABS(Audit[[#This Row],[Canceled Differences]]), Audit[[#This Row],[Max Differences]]), 0)</f>
        <v>0</v>
      </c>
      <c r="AT755" s="17">
        <f>'Sampling Data'!AB755</f>
        <v>1.1500594126633849E-2</v>
      </c>
      <c r="AU755" s="17">
        <f>IF(
      SUM(Audit[[#This Row],[Audit Losing Candidate]:[Audit Candidate 12]])
      &lt;&gt;0,
      (Audit[[#This Row],[Winning Candidate]]-Audit[[#This Row],[Losing Candidate]]-(Audit[[#This Row],[Audit Winning Candidate]]-Audit[[#This Row],[Audit Losing Candidate]]))/(Audit[[#Totals],[Winning Candidate]]-Audit[[#Totals],[Losing Candidate]]),
      0
)</f>
        <v>0</v>
      </c>
      <c r="AV7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5" s="17">
        <f>IF(Audit[[#This Row],[Max Relative Error (ep)]] = 0, 0, Audit[[#This Row],[Max Relative Error (ep)]]/Audit[[#This Row],[Error Bound (up) - Max. possible relative overstatement]])</f>
        <v>0</v>
      </c>
      <c r="BH7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55" s="17">
        <f t="shared" si="12"/>
        <v>1</v>
      </c>
      <c r="BJ755" s="17">
        <f>PRODUCT($BI$5:BI755)</f>
        <v>0.22633398732541499</v>
      </c>
      <c r="BK755" s="19">
        <f>1 - Audit[[#This Row],[K-M P Value]]</f>
        <v>0.77366601267458501</v>
      </c>
      <c r="BL755" s="17" t="str">
        <f>IF(Audit[[#This Row],[K-M P Value]]&gt;1-'General Info'!$B$12,"Continue", "Stop")</f>
        <v>Continue</v>
      </c>
      <c r="BM755" s="22" t="b">
        <f>IF(Audit[[#This Row],[Status - Continue or stop audit]] = "Continue", TRUE, IF(BL754 = "Continue", TRUE, FALSE))</f>
        <v>1</v>
      </c>
      <c r="BN755" s="22"/>
    </row>
    <row r="756" spans="1:66" ht="15" customHeight="1" x14ac:dyDescent="0.35">
      <c r="A756" s="17">
        <f>'Sampling Data'!AI756</f>
        <v>15</v>
      </c>
      <c r="B756" s="17" t="str">
        <f>'Sampling Data'!A756</f>
        <v>2619 CIN 26-S   (ED)</v>
      </c>
      <c r="C756" s="17">
        <f>'Sampling Data'!B756</f>
        <v>225</v>
      </c>
      <c r="D756" s="17">
        <f>'Sampling Data'!C756</f>
        <v>148</v>
      </c>
      <c r="E756" s="18">
        <f>'Sampling Data'!D756</f>
        <v>0</v>
      </c>
      <c r="F756" s="18">
        <f>'Sampling Data'!E756</f>
        <v>0</v>
      </c>
      <c r="G756" s="18">
        <f>'Sampling Data'!F756</f>
        <v>0</v>
      </c>
      <c r="H756" s="18">
        <f>'Sampling Data'!G756</f>
        <v>0</v>
      </c>
      <c r="I756" s="18">
        <f>'Sampling Data'!H756</f>
        <v>0</v>
      </c>
      <c r="J756" s="18">
        <f>'Sampling Data'!I756</f>
        <v>0</v>
      </c>
      <c r="K756" s="18">
        <f>'Sampling Data'!J756</f>
        <v>0</v>
      </c>
      <c r="L756" s="18">
        <f>'Sampling Data'!K756</f>
        <v>0</v>
      </c>
      <c r="M756" s="18">
        <f>'Sampling Data'!L756</f>
        <v>0</v>
      </c>
      <c r="N756" s="18">
        <f>'Sampling Data'!M756</f>
        <v>0</v>
      </c>
      <c r="O756" s="17">
        <f>'Sampling Data'!N756</f>
        <v>1</v>
      </c>
      <c r="P756" s="17">
        <f>'Sampling Data'!O756</f>
        <v>32</v>
      </c>
      <c r="Q756" s="17">
        <f>'Sampling Data'!P756</f>
        <v>406</v>
      </c>
      <c r="R756" s="17">
        <f>'Sampling Data'!AJ756</f>
        <v>1</v>
      </c>
      <c r="S756" s="111">
        <v>225</v>
      </c>
      <c r="T756" s="111">
        <v>148</v>
      </c>
      <c r="U756" s="112"/>
      <c r="V756" s="112"/>
      <c r="W756" s="111"/>
      <c r="X756" s="111"/>
      <c r="Y756" s="111"/>
      <c r="Z756" s="111"/>
      <c r="AA756" s="14"/>
      <c r="AB756" s="14"/>
      <c r="AC756" s="14"/>
      <c r="AD756" s="14"/>
      <c r="AE756" s="113">
        <f>IF(NOT(ISBLANK(Audit[[#This Row],[Audit Winning Candidate]])), Audit[[#This Row],[Audit Winning Candidate]]-Audit[[#This Row],[Winning Candidate]], "")</f>
        <v>0</v>
      </c>
      <c r="AF756" s="17">
        <f>IF(NOT(ISBLANK(Audit[[#This Row],[Audit Losing Candidate]])), Audit[[#This Row],[Audit Losing Candidate]]-Audit[[#This Row],[Losing Candidate]], "")</f>
        <v>0</v>
      </c>
      <c r="AG756" s="17" t="str">
        <f>IF(NOT(ISBLANK(Audit[[#This Row],[Audit Candidate 3]])), Audit[[#This Row],[Audit Candidate 3]]-Audit[[#This Row],[Candidate 3]], "")</f>
        <v/>
      </c>
      <c r="AH756" s="17" t="str">
        <f>IF(NOT(ISBLANK(Audit[[#This Row],[Audit Candidate 4]])),Audit[[#This Row],[Audit Candidate 4]]-Audit[[#This Row],[Candidate 4]], "")</f>
        <v/>
      </c>
      <c r="AI756" s="17" t="str">
        <f>IF(NOT(ISBLANK(Audit[[#This Row],[Audit Candidate 5]])), Audit[[#This Row],[Audit Candidate 5]]-Audit[[#This Row],[Candidate 5]], "")</f>
        <v/>
      </c>
      <c r="AJ756" s="17" t="str">
        <f>IF(NOT(ISBLANK(Audit[[#This Row],[Audit Candidate 6]])), Audit[[#This Row],[Audit Candidate 6]]-Audit[[#This Row],[Candidate 6]], "")</f>
        <v/>
      </c>
      <c r="AK756" s="17" t="str">
        <f>IF(NOT(ISBLANK(Audit[[#This Row],[Audit Candidate 7]])), Audit[[#This Row],[Audit Candidate 7]]-Audit[[#This Row],[Candidate 7]], "")</f>
        <v/>
      </c>
      <c r="AL756" s="17" t="str">
        <f>IF(NOT(ISBLANK(Audit[[#This Row],[Audit Candidate 8]])), Audit[[#This Row],[Audit Candidate 8]]-Audit[[#This Row],[Candidate 8]], "")</f>
        <v/>
      </c>
      <c r="AM756" s="17" t="str">
        <f>IF(NOT(ISBLANK(Audit[[#This Row],[Audit Candidate 9]])), Audit[[#This Row],[Audit Candidate 9]]-Audit[[#This Row],[Candidate 9]], "")</f>
        <v/>
      </c>
      <c r="AN756" s="17" t="str">
        <f>IF(NOT(ISBLANK(Audit[[#This Row],[Audit Candidate 10]])), Audit[[#This Row],[Audit Candidate 10]]-Audit[[#This Row],[Candidate 10]], "")</f>
        <v/>
      </c>
      <c r="AO756" s="17" t="str">
        <f>IF(NOT(ISBLANK(Audit[[#This Row],[Audit Candidate 11]])), Audit[[#This Row],[Audit Candidate 11]]-Audit[[#This Row],[Candidate 11]], "")</f>
        <v/>
      </c>
      <c r="AP756" s="17" t="str">
        <f>IF(NOT(ISBLANK(Audit[[#This Row],[Audit Candidate 12]])), Audit[[#This Row],[Audit Candidate 12]]-Audit[[#This Row],[Candidate 12]], "")</f>
        <v/>
      </c>
      <c r="AQ756" s="17">
        <f>SUMIF(Audit[[#This Row],[Difference Winner]:[Difference Candidate 12]], "&gt;0")</f>
        <v>0</v>
      </c>
      <c r="AR756" s="17">
        <f>SUM(Audit[[#This Row],[Difference Winner]:[Difference Candidate 12]])</f>
        <v>0</v>
      </c>
      <c r="AS756" s="17">
        <f>IF(Audit[[#This Row],[Times p Drawn - With Replacement]]&gt;0, IF(Audit[[#This Row],[Canceled Differences]]&lt;0, Audit[[#This Row],[Max Differences]]+ABS(Audit[[#This Row],[Canceled Differences]]), Audit[[#This Row],[Max Differences]]), 0)</f>
        <v>0</v>
      </c>
      <c r="AT756" s="17">
        <f>'Sampling Data'!AB756</f>
        <v>2.0497368867764387E-2</v>
      </c>
      <c r="AU756" s="17">
        <f>IF(
      SUM(Audit[[#This Row],[Audit Losing Candidate]:[Audit Candidate 12]])
      &lt;&gt;0,
      (Audit[[#This Row],[Winning Candidate]]-Audit[[#This Row],[Losing Candidate]]-(Audit[[#This Row],[Audit Winning Candidate]]-Audit[[#This Row],[Audit Losing Candidate]]))/(Audit[[#Totals],[Winning Candidate]]-Audit[[#Totals],[Losing Candidate]]),
      0
)</f>
        <v>0</v>
      </c>
      <c r="AV7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6" s="17">
        <f>IF(Audit[[#This Row],[Max Relative Error (ep)]] = 0, 0, Audit[[#This Row],[Max Relative Error (ep)]]/Audit[[#This Row],[Error Bound (up) - Max. possible relative overstatement]])</f>
        <v>0</v>
      </c>
      <c r="BH7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56" s="17">
        <f t="shared" si="12"/>
        <v>0.94645908314247273</v>
      </c>
      <c r="BJ756" s="17">
        <f>PRODUCT($BI$5:BI756)</f>
        <v>0.21421585812799232</v>
      </c>
      <c r="BK756" s="19">
        <f>1 - Audit[[#This Row],[K-M P Value]]</f>
        <v>0.78578414187200774</v>
      </c>
      <c r="BL756" s="17" t="str">
        <f>IF(Audit[[#This Row],[K-M P Value]]&gt;1-'General Info'!$B$12,"Continue", "Stop")</f>
        <v>Continue</v>
      </c>
      <c r="BM756" s="22" t="b">
        <f>IF(Audit[[#This Row],[Status - Continue or stop audit]] = "Continue", TRUE, IF(BL755 = "Continue", TRUE, FALSE))</f>
        <v>1</v>
      </c>
      <c r="BN756" s="22"/>
    </row>
    <row r="757" spans="1:66" ht="15" hidden="1" customHeight="1" x14ac:dyDescent="0.35">
      <c r="A757" s="17" t="str">
        <f>'Sampling Data'!AI757</f>
        <v/>
      </c>
      <c r="B757" s="17" t="str">
        <f>'Sampling Data'!A757</f>
        <v>2811 BLUE 1-A   (ED)</v>
      </c>
      <c r="C757" s="17">
        <f>'Sampling Data'!B757</f>
        <v>164</v>
      </c>
      <c r="D757" s="17">
        <f>'Sampling Data'!C757</f>
        <v>221</v>
      </c>
      <c r="E757" s="18">
        <f>'Sampling Data'!D757</f>
        <v>0</v>
      </c>
      <c r="F757" s="18">
        <f>'Sampling Data'!E757</f>
        <v>0</v>
      </c>
      <c r="G757" s="18">
        <f>'Sampling Data'!F757</f>
        <v>0</v>
      </c>
      <c r="H757" s="18">
        <f>'Sampling Data'!G757</f>
        <v>0</v>
      </c>
      <c r="I757" s="18">
        <f>'Sampling Data'!H757</f>
        <v>0</v>
      </c>
      <c r="J757" s="18">
        <f>'Sampling Data'!I757</f>
        <v>0</v>
      </c>
      <c r="K757" s="18">
        <f>'Sampling Data'!J757</f>
        <v>0</v>
      </c>
      <c r="L757" s="18">
        <f>'Sampling Data'!K757</f>
        <v>0</v>
      </c>
      <c r="M757" s="18">
        <f>'Sampling Data'!L757</f>
        <v>0</v>
      </c>
      <c r="N757" s="18">
        <f>'Sampling Data'!M757</f>
        <v>0</v>
      </c>
      <c r="O757" s="17">
        <f>'Sampling Data'!N757</f>
        <v>0</v>
      </c>
      <c r="P757" s="17">
        <f>'Sampling Data'!O757</f>
        <v>29</v>
      </c>
      <c r="Q757" s="17">
        <f>'Sampling Data'!P757</f>
        <v>414</v>
      </c>
      <c r="R757" s="17">
        <f>'Sampling Data'!AJ757</f>
        <v>0</v>
      </c>
      <c r="S757" s="111"/>
      <c r="T757" s="111"/>
      <c r="U757" s="112"/>
      <c r="V757" s="112"/>
      <c r="W757" s="111"/>
      <c r="X757" s="111"/>
      <c r="Y757" s="111"/>
      <c r="Z757" s="111"/>
      <c r="AA757" s="14"/>
      <c r="AB757" s="14"/>
      <c r="AC757" s="14"/>
      <c r="AD757" s="14"/>
      <c r="AE757" s="113" t="str">
        <f>IF(NOT(ISBLANK(Audit[[#This Row],[Audit Winning Candidate]])), Audit[[#This Row],[Audit Winning Candidate]]-Audit[[#This Row],[Winning Candidate]], "")</f>
        <v/>
      </c>
      <c r="AF757" s="17" t="str">
        <f>IF(NOT(ISBLANK(Audit[[#This Row],[Audit Losing Candidate]])), Audit[[#This Row],[Audit Losing Candidate]]-Audit[[#This Row],[Losing Candidate]], "")</f>
        <v/>
      </c>
      <c r="AG757" s="17" t="str">
        <f>IF(NOT(ISBLANK(Audit[[#This Row],[Audit Candidate 3]])), Audit[[#This Row],[Audit Candidate 3]]-Audit[[#This Row],[Candidate 3]], "")</f>
        <v/>
      </c>
      <c r="AH757" s="17" t="str">
        <f>IF(NOT(ISBLANK(Audit[[#This Row],[Audit Candidate 4]])),Audit[[#This Row],[Audit Candidate 4]]-Audit[[#This Row],[Candidate 4]], "")</f>
        <v/>
      </c>
      <c r="AI757" s="17" t="str">
        <f>IF(NOT(ISBLANK(Audit[[#This Row],[Audit Candidate 5]])), Audit[[#This Row],[Audit Candidate 5]]-Audit[[#This Row],[Candidate 5]], "")</f>
        <v/>
      </c>
      <c r="AJ757" s="17" t="str">
        <f>IF(NOT(ISBLANK(Audit[[#This Row],[Audit Candidate 6]])), Audit[[#This Row],[Audit Candidate 6]]-Audit[[#This Row],[Candidate 6]], "")</f>
        <v/>
      </c>
      <c r="AK757" s="17" t="str">
        <f>IF(NOT(ISBLANK(Audit[[#This Row],[Audit Candidate 7]])), Audit[[#This Row],[Audit Candidate 7]]-Audit[[#This Row],[Candidate 7]], "")</f>
        <v/>
      </c>
      <c r="AL757" s="17" t="str">
        <f>IF(NOT(ISBLANK(Audit[[#This Row],[Audit Candidate 8]])), Audit[[#This Row],[Audit Candidate 8]]-Audit[[#This Row],[Candidate 8]], "")</f>
        <v/>
      </c>
      <c r="AM757" s="17" t="str">
        <f>IF(NOT(ISBLANK(Audit[[#This Row],[Audit Candidate 9]])), Audit[[#This Row],[Audit Candidate 9]]-Audit[[#This Row],[Candidate 9]], "")</f>
        <v/>
      </c>
      <c r="AN757" s="17" t="str">
        <f>IF(NOT(ISBLANK(Audit[[#This Row],[Audit Candidate 10]])), Audit[[#This Row],[Audit Candidate 10]]-Audit[[#This Row],[Candidate 10]], "")</f>
        <v/>
      </c>
      <c r="AO757" s="17" t="str">
        <f>IF(NOT(ISBLANK(Audit[[#This Row],[Audit Candidate 11]])), Audit[[#This Row],[Audit Candidate 11]]-Audit[[#This Row],[Candidate 11]], "")</f>
        <v/>
      </c>
      <c r="AP757" s="17" t="str">
        <f>IF(NOT(ISBLANK(Audit[[#This Row],[Audit Candidate 12]])), Audit[[#This Row],[Audit Candidate 12]]-Audit[[#This Row],[Candidate 12]], "")</f>
        <v/>
      </c>
      <c r="AQ757" s="17">
        <f>SUMIF(Audit[[#This Row],[Difference Winner]:[Difference Candidate 12]], "&gt;0")</f>
        <v>0</v>
      </c>
      <c r="AR757" s="17">
        <f>SUM(Audit[[#This Row],[Difference Winner]:[Difference Candidate 12]])</f>
        <v>0</v>
      </c>
      <c r="AS757" s="17">
        <f>IF(Audit[[#This Row],[Times p Drawn - With Replacement]]&gt;0, IF(Audit[[#This Row],[Canceled Differences]]&lt;0, Audit[[#This Row],[Max Differences]]+ABS(Audit[[#This Row],[Canceled Differences]]), Audit[[#This Row],[Max Differences]]), 0)</f>
        <v>0</v>
      </c>
      <c r="AT757" s="17">
        <f>'Sampling Data'!AB757</f>
        <v>1.5150229163130198E-2</v>
      </c>
      <c r="AU757" s="17">
        <f>IF(
      SUM(Audit[[#This Row],[Audit Losing Candidate]:[Audit Candidate 12]])
      &lt;&gt;0,
      (Audit[[#This Row],[Winning Candidate]]-Audit[[#This Row],[Losing Candidate]]-(Audit[[#This Row],[Audit Winning Candidate]]-Audit[[#This Row],[Audit Losing Candidate]]))/(Audit[[#Totals],[Winning Candidate]]-Audit[[#Totals],[Losing Candidate]]),
      0
)</f>
        <v>0</v>
      </c>
      <c r="AV7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7" s="17">
        <f>IF(Audit[[#This Row],[Max Relative Error (ep)]] = 0, 0, Audit[[#This Row],[Max Relative Error (ep)]]/Audit[[#This Row],[Error Bound (up) - Max. possible relative overstatement]])</f>
        <v>0</v>
      </c>
      <c r="BH7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57" s="17">
        <f t="shared" si="12"/>
        <v>1</v>
      </c>
      <c r="BJ757" s="17">
        <f>PRODUCT($BI$5:BI757)</f>
        <v>0.21421585812799232</v>
      </c>
      <c r="BK757" s="19">
        <f>1 - Audit[[#This Row],[K-M P Value]]</f>
        <v>0.78578414187200774</v>
      </c>
      <c r="BL757" s="17" t="str">
        <f>IF(Audit[[#This Row],[K-M P Value]]&gt;1-'General Info'!$B$12,"Continue", "Stop")</f>
        <v>Continue</v>
      </c>
      <c r="BM757" s="22" t="b">
        <f>IF(Audit[[#This Row],[Status - Continue or stop audit]] = "Continue", TRUE, IF(BL756 = "Continue", TRUE, FALSE))</f>
        <v>1</v>
      </c>
      <c r="BN757" s="22"/>
    </row>
    <row r="758" spans="1:66" ht="15" hidden="1" customHeight="1" x14ac:dyDescent="0.35">
      <c r="A758" s="17" t="str">
        <f>'Sampling Data'!AI758</f>
        <v/>
      </c>
      <c r="B758" s="17" t="str">
        <f>'Sampling Data'!A758</f>
        <v>2812 BLUE 1-B   (ED)</v>
      </c>
      <c r="C758" s="17">
        <f>'Sampling Data'!B758</f>
        <v>208</v>
      </c>
      <c r="D758" s="17">
        <f>'Sampling Data'!C758</f>
        <v>208</v>
      </c>
      <c r="E758" s="18">
        <f>'Sampling Data'!D758</f>
        <v>0</v>
      </c>
      <c r="F758" s="18">
        <f>'Sampling Data'!E758</f>
        <v>0</v>
      </c>
      <c r="G758" s="18">
        <f>'Sampling Data'!F758</f>
        <v>0</v>
      </c>
      <c r="H758" s="18">
        <f>'Sampling Data'!G758</f>
        <v>0</v>
      </c>
      <c r="I758" s="18">
        <f>'Sampling Data'!H758</f>
        <v>0</v>
      </c>
      <c r="J758" s="18">
        <f>'Sampling Data'!I758</f>
        <v>0</v>
      </c>
      <c r="K758" s="18">
        <f>'Sampling Data'!J758</f>
        <v>0</v>
      </c>
      <c r="L758" s="18">
        <f>'Sampling Data'!K758</f>
        <v>0</v>
      </c>
      <c r="M758" s="18">
        <f>'Sampling Data'!L758</f>
        <v>0</v>
      </c>
      <c r="N758" s="18">
        <f>'Sampling Data'!M758</f>
        <v>0</v>
      </c>
      <c r="O758" s="17">
        <f>'Sampling Data'!N758</f>
        <v>0</v>
      </c>
      <c r="P758" s="17">
        <f>'Sampling Data'!O758</f>
        <v>24</v>
      </c>
      <c r="Q758" s="17">
        <f>'Sampling Data'!P758</f>
        <v>440</v>
      </c>
      <c r="R758" s="17">
        <f>'Sampling Data'!AJ758</f>
        <v>0</v>
      </c>
      <c r="S758" s="111"/>
      <c r="T758" s="111"/>
      <c r="U758" s="112"/>
      <c r="V758" s="112"/>
      <c r="W758" s="111"/>
      <c r="X758" s="111"/>
      <c r="Y758" s="111"/>
      <c r="Z758" s="111"/>
      <c r="AA758" s="14"/>
      <c r="AB758" s="14"/>
      <c r="AC758" s="14"/>
      <c r="AD758" s="14"/>
      <c r="AE758" s="113" t="str">
        <f>IF(NOT(ISBLANK(Audit[[#This Row],[Audit Winning Candidate]])), Audit[[#This Row],[Audit Winning Candidate]]-Audit[[#This Row],[Winning Candidate]], "")</f>
        <v/>
      </c>
      <c r="AF758" s="17" t="str">
        <f>IF(NOT(ISBLANK(Audit[[#This Row],[Audit Losing Candidate]])), Audit[[#This Row],[Audit Losing Candidate]]-Audit[[#This Row],[Losing Candidate]], "")</f>
        <v/>
      </c>
      <c r="AG758" s="17" t="str">
        <f>IF(NOT(ISBLANK(Audit[[#This Row],[Audit Candidate 3]])), Audit[[#This Row],[Audit Candidate 3]]-Audit[[#This Row],[Candidate 3]], "")</f>
        <v/>
      </c>
      <c r="AH758" s="17" t="str">
        <f>IF(NOT(ISBLANK(Audit[[#This Row],[Audit Candidate 4]])),Audit[[#This Row],[Audit Candidate 4]]-Audit[[#This Row],[Candidate 4]], "")</f>
        <v/>
      </c>
      <c r="AI758" s="17" t="str">
        <f>IF(NOT(ISBLANK(Audit[[#This Row],[Audit Candidate 5]])), Audit[[#This Row],[Audit Candidate 5]]-Audit[[#This Row],[Candidate 5]], "")</f>
        <v/>
      </c>
      <c r="AJ758" s="17" t="str">
        <f>IF(NOT(ISBLANK(Audit[[#This Row],[Audit Candidate 6]])), Audit[[#This Row],[Audit Candidate 6]]-Audit[[#This Row],[Candidate 6]], "")</f>
        <v/>
      </c>
      <c r="AK758" s="17" t="str">
        <f>IF(NOT(ISBLANK(Audit[[#This Row],[Audit Candidate 7]])), Audit[[#This Row],[Audit Candidate 7]]-Audit[[#This Row],[Candidate 7]], "")</f>
        <v/>
      </c>
      <c r="AL758" s="17" t="str">
        <f>IF(NOT(ISBLANK(Audit[[#This Row],[Audit Candidate 8]])), Audit[[#This Row],[Audit Candidate 8]]-Audit[[#This Row],[Candidate 8]], "")</f>
        <v/>
      </c>
      <c r="AM758" s="17" t="str">
        <f>IF(NOT(ISBLANK(Audit[[#This Row],[Audit Candidate 9]])), Audit[[#This Row],[Audit Candidate 9]]-Audit[[#This Row],[Candidate 9]], "")</f>
        <v/>
      </c>
      <c r="AN758" s="17" t="str">
        <f>IF(NOT(ISBLANK(Audit[[#This Row],[Audit Candidate 10]])), Audit[[#This Row],[Audit Candidate 10]]-Audit[[#This Row],[Candidate 10]], "")</f>
        <v/>
      </c>
      <c r="AO758" s="17" t="str">
        <f>IF(NOT(ISBLANK(Audit[[#This Row],[Audit Candidate 11]])), Audit[[#This Row],[Audit Candidate 11]]-Audit[[#This Row],[Candidate 11]], "")</f>
        <v/>
      </c>
      <c r="AP758" s="17" t="str">
        <f>IF(NOT(ISBLANK(Audit[[#This Row],[Audit Candidate 12]])), Audit[[#This Row],[Audit Candidate 12]]-Audit[[#This Row],[Candidate 12]], "")</f>
        <v/>
      </c>
      <c r="AQ758" s="17">
        <f>SUMIF(Audit[[#This Row],[Difference Winner]:[Difference Candidate 12]], "&gt;0")</f>
        <v>0</v>
      </c>
      <c r="AR758" s="17">
        <f>SUM(Audit[[#This Row],[Difference Winner]:[Difference Candidate 12]])</f>
        <v>0</v>
      </c>
      <c r="AS758" s="17">
        <f>IF(Audit[[#This Row],[Times p Drawn - With Replacement]]&gt;0, IF(Audit[[#This Row],[Canceled Differences]]&lt;0, Audit[[#This Row],[Max Differences]]+ABS(Audit[[#This Row],[Canceled Differences]]), Audit[[#This Row],[Max Differences]]), 0)</f>
        <v>0</v>
      </c>
      <c r="AT758" s="17">
        <f>'Sampling Data'!AB758</f>
        <v>1.867255134951621E-2</v>
      </c>
      <c r="AU758" s="17">
        <f>IF(
      SUM(Audit[[#This Row],[Audit Losing Candidate]:[Audit Candidate 12]])
      &lt;&gt;0,
      (Audit[[#This Row],[Winning Candidate]]-Audit[[#This Row],[Losing Candidate]]-(Audit[[#This Row],[Audit Winning Candidate]]-Audit[[#This Row],[Audit Losing Candidate]]))/(Audit[[#Totals],[Winning Candidate]]-Audit[[#Totals],[Losing Candidate]]),
      0
)</f>
        <v>0</v>
      </c>
      <c r="AV7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8" s="17">
        <f>IF(Audit[[#This Row],[Max Relative Error (ep)]] = 0, 0, Audit[[#This Row],[Max Relative Error (ep)]]/Audit[[#This Row],[Error Bound (up) - Max. possible relative overstatement]])</f>
        <v>0</v>
      </c>
      <c r="BH7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58" s="17">
        <f t="shared" si="12"/>
        <v>1</v>
      </c>
      <c r="BJ758" s="17">
        <f>PRODUCT($BI$5:BI758)</f>
        <v>0.21421585812799232</v>
      </c>
      <c r="BK758" s="19">
        <f>1 - Audit[[#This Row],[K-M P Value]]</f>
        <v>0.78578414187200774</v>
      </c>
      <c r="BL758" s="17" t="str">
        <f>IF(Audit[[#This Row],[K-M P Value]]&gt;1-'General Info'!$B$12,"Continue", "Stop")</f>
        <v>Continue</v>
      </c>
      <c r="BM758" s="22" t="b">
        <f>IF(Audit[[#This Row],[Status - Continue or stop audit]] = "Continue", TRUE, IF(BL757 = "Continue", TRUE, FALSE))</f>
        <v>1</v>
      </c>
      <c r="BN758" s="22"/>
    </row>
    <row r="759" spans="1:66" ht="15" hidden="1" customHeight="1" x14ac:dyDescent="0.35">
      <c r="A759" s="17" t="str">
        <f>'Sampling Data'!AI759</f>
        <v/>
      </c>
      <c r="B759" s="17" t="str">
        <f>'Sampling Data'!A759</f>
        <v>2821 BLUE 2-A   (ED)</v>
      </c>
      <c r="C759" s="17">
        <f>'Sampling Data'!B759</f>
        <v>134</v>
      </c>
      <c r="D759" s="17">
        <f>'Sampling Data'!C759</f>
        <v>171</v>
      </c>
      <c r="E759" s="18">
        <f>'Sampling Data'!D759</f>
        <v>0</v>
      </c>
      <c r="F759" s="18">
        <f>'Sampling Data'!E759</f>
        <v>0</v>
      </c>
      <c r="G759" s="18">
        <f>'Sampling Data'!F759</f>
        <v>0</v>
      </c>
      <c r="H759" s="18">
        <f>'Sampling Data'!G759</f>
        <v>0</v>
      </c>
      <c r="I759" s="18">
        <f>'Sampling Data'!H759</f>
        <v>0</v>
      </c>
      <c r="J759" s="18">
        <f>'Sampling Data'!I759</f>
        <v>0</v>
      </c>
      <c r="K759" s="18">
        <f>'Sampling Data'!J759</f>
        <v>0</v>
      </c>
      <c r="L759" s="18">
        <f>'Sampling Data'!K759</f>
        <v>0</v>
      </c>
      <c r="M759" s="18">
        <f>'Sampling Data'!L759</f>
        <v>0</v>
      </c>
      <c r="N759" s="18">
        <f>'Sampling Data'!M759</f>
        <v>0</v>
      </c>
      <c r="O759" s="17">
        <f>'Sampling Data'!N759</f>
        <v>0</v>
      </c>
      <c r="P759" s="17">
        <f>'Sampling Data'!O759</f>
        <v>22</v>
      </c>
      <c r="Q759" s="17">
        <f>'Sampling Data'!P759</f>
        <v>327</v>
      </c>
      <c r="R759" s="17">
        <f>'Sampling Data'!AJ759</f>
        <v>0</v>
      </c>
      <c r="S759" s="111"/>
      <c r="T759" s="111"/>
      <c r="U759" s="112"/>
      <c r="V759" s="112"/>
      <c r="W759" s="111"/>
      <c r="X759" s="111"/>
      <c r="Y759" s="111"/>
      <c r="Z759" s="111"/>
      <c r="AA759" s="14"/>
      <c r="AB759" s="14"/>
      <c r="AC759" s="14"/>
      <c r="AD759" s="14"/>
      <c r="AE759" s="113" t="str">
        <f>IF(NOT(ISBLANK(Audit[[#This Row],[Audit Winning Candidate]])), Audit[[#This Row],[Audit Winning Candidate]]-Audit[[#This Row],[Winning Candidate]], "")</f>
        <v/>
      </c>
      <c r="AF759" s="17" t="str">
        <f>IF(NOT(ISBLANK(Audit[[#This Row],[Audit Losing Candidate]])), Audit[[#This Row],[Audit Losing Candidate]]-Audit[[#This Row],[Losing Candidate]], "")</f>
        <v/>
      </c>
      <c r="AG759" s="17" t="str">
        <f>IF(NOT(ISBLANK(Audit[[#This Row],[Audit Candidate 3]])), Audit[[#This Row],[Audit Candidate 3]]-Audit[[#This Row],[Candidate 3]], "")</f>
        <v/>
      </c>
      <c r="AH759" s="17" t="str">
        <f>IF(NOT(ISBLANK(Audit[[#This Row],[Audit Candidate 4]])),Audit[[#This Row],[Audit Candidate 4]]-Audit[[#This Row],[Candidate 4]], "")</f>
        <v/>
      </c>
      <c r="AI759" s="17" t="str">
        <f>IF(NOT(ISBLANK(Audit[[#This Row],[Audit Candidate 5]])), Audit[[#This Row],[Audit Candidate 5]]-Audit[[#This Row],[Candidate 5]], "")</f>
        <v/>
      </c>
      <c r="AJ759" s="17" t="str">
        <f>IF(NOT(ISBLANK(Audit[[#This Row],[Audit Candidate 6]])), Audit[[#This Row],[Audit Candidate 6]]-Audit[[#This Row],[Candidate 6]], "")</f>
        <v/>
      </c>
      <c r="AK759" s="17" t="str">
        <f>IF(NOT(ISBLANK(Audit[[#This Row],[Audit Candidate 7]])), Audit[[#This Row],[Audit Candidate 7]]-Audit[[#This Row],[Candidate 7]], "")</f>
        <v/>
      </c>
      <c r="AL759" s="17" t="str">
        <f>IF(NOT(ISBLANK(Audit[[#This Row],[Audit Candidate 8]])), Audit[[#This Row],[Audit Candidate 8]]-Audit[[#This Row],[Candidate 8]], "")</f>
        <v/>
      </c>
      <c r="AM759" s="17" t="str">
        <f>IF(NOT(ISBLANK(Audit[[#This Row],[Audit Candidate 9]])), Audit[[#This Row],[Audit Candidate 9]]-Audit[[#This Row],[Candidate 9]], "")</f>
        <v/>
      </c>
      <c r="AN759" s="17" t="str">
        <f>IF(NOT(ISBLANK(Audit[[#This Row],[Audit Candidate 10]])), Audit[[#This Row],[Audit Candidate 10]]-Audit[[#This Row],[Candidate 10]], "")</f>
        <v/>
      </c>
      <c r="AO759" s="17" t="str">
        <f>IF(NOT(ISBLANK(Audit[[#This Row],[Audit Candidate 11]])), Audit[[#This Row],[Audit Candidate 11]]-Audit[[#This Row],[Candidate 11]], "")</f>
        <v/>
      </c>
      <c r="AP759" s="17" t="str">
        <f>IF(NOT(ISBLANK(Audit[[#This Row],[Audit Candidate 12]])), Audit[[#This Row],[Audit Candidate 12]]-Audit[[#This Row],[Candidate 12]], "")</f>
        <v/>
      </c>
      <c r="AQ759" s="17">
        <f>SUMIF(Audit[[#This Row],[Difference Winner]:[Difference Candidate 12]], "&gt;0")</f>
        <v>0</v>
      </c>
      <c r="AR759" s="17">
        <f>SUM(Audit[[#This Row],[Difference Winner]:[Difference Candidate 12]])</f>
        <v>0</v>
      </c>
      <c r="AS759" s="17">
        <f>IF(Audit[[#This Row],[Times p Drawn - With Replacement]]&gt;0, IF(Audit[[#This Row],[Canceled Differences]]&lt;0, Audit[[#This Row],[Max Differences]]+ABS(Audit[[#This Row],[Canceled Differences]]), Audit[[#This Row],[Max Differences]]), 0)</f>
        <v>0</v>
      </c>
      <c r="AT759" s="17">
        <f>'Sampling Data'!AB759</f>
        <v>1.230690884399932E-2</v>
      </c>
      <c r="AU759" s="17">
        <f>IF(
      SUM(Audit[[#This Row],[Audit Losing Candidate]:[Audit Candidate 12]])
      &lt;&gt;0,
      (Audit[[#This Row],[Winning Candidate]]-Audit[[#This Row],[Losing Candidate]]-(Audit[[#This Row],[Audit Winning Candidate]]-Audit[[#This Row],[Audit Losing Candidate]]))/(Audit[[#Totals],[Winning Candidate]]-Audit[[#Totals],[Losing Candidate]]),
      0
)</f>
        <v>0</v>
      </c>
      <c r="AV7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9" s="17">
        <f>IF(Audit[[#This Row],[Max Relative Error (ep)]] = 0, 0, Audit[[#This Row],[Max Relative Error (ep)]]/Audit[[#This Row],[Error Bound (up) - Max. possible relative overstatement]])</f>
        <v>0</v>
      </c>
      <c r="BH7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59" s="17">
        <f t="shared" si="12"/>
        <v>1</v>
      </c>
      <c r="BJ759" s="17">
        <f>PRODUCT($BI$5:BI759)</f>
        <v>0.21421585812799232</v>
      </c>
      <c r="BK759" s="19">
        <f>1 - Audit[[#This Row],[K-M P Value]]</f>
        <v>0.78578414187200774</v>
      </c>
      <c r="BL759" s="17" t="str">
        <f>IF(Audit[[#This Row],[K-M P Value]]&gt;1-'General Info'!$B$12,"Continue", "Stop")</f>
        <v>Continue</v>
      </c>
      <c r="BM759" s="22" t="b">
        <f>IF(Audit[[#This Row],[Status - Continue or stop audit]] = "Continue", TRUE, IF(BL758 = "Continue", TRUE, FALSE))</f>
        <v>1</v>
      </c>
      <c r="BN759" s="22"/>
    </row>
    <row r="760" spans="1:66" ht="15" hidden="1" customHeight="1" x14ac:dyDescent="0.35">
      <c r="A760" s="17" t="str">
        <f>'Sampling Data'!AI760</f>
        <v/>
      </c>
      <c r="B760" s="17" t="str">
        <f>'Sampling Data'!A760</f>
        <v>2822 BLUE 2-B   (ED)</v>
      </c>
      <c r="C760" s="17">
        <f>'Sampling Data'!B760</f>
        <v>130</v>
      </c>
      <c r="D760" s="17">
        <f>'Sampling Data'!C760</f>
        <v>172</v>
      </c>
      <c r="E760" s="18">
        <f>'Sampling Data'!D760</f>
        <v>0</v>
      </c>
      <c r="F760" s="18">
        <f>'Sampling Data'!E760</f>
        <v>0</v>
      </c>
      <c r="G760" s="18">
        <f>'Sampling Data'!F760</f>
        <v>0</v>
      </c>
      <c r="H760" s="18">
        <f>'Sampling Data'!G760</f>
        <v>0</v>
      </c>
      <c r="I760" s="18">
        <f>'Sampling Data'!H760</f>
        <v>0</v>
      </c>
      <c r="J760" s="18">
        <f>'Sampling Data'!I760</f>
        <v>0</v>
      </c>
      <c r="K760" s="18">
        <f>'Sampling Data'!J760</f>
        <v>0</v>
      </c>
      <c r="L760" s="18">
        <f>'Sampling Data'!K760</f>
        <v>0</v>
      </c>
      <c r="M760" s="18">
        <f>'Sampling Data'!L760</f>
        <v>0</v>
      </c>
      <c r="N760" s="18">
        <f>'Sampling Data'!M760</f>
        <v>0</v>
      </c>
      <c r="O760" s="17">
        <f>'Sampling Data'!N760</f>
        <v>0</v>
      </c>
      <c r="P760" s="17">
        <f>'Sampling Data'!O760</f>
        <v>29</v>
      </c>
      <c r="Q760" s="17">
        <f>'Sampling Data'!P760</f>
        <v>331</v>
      </c>
      <c r="R760" s="17">
        <f>'Sampling Data'!AJ760</f>
        <v>0</v>
      </c>
      <c r="S760" s="111"/>
      <c r="T760" s="111"/>
      <c r="U760" s="112"/>
      <c r="V760" s="112"/>
      <c r="W760" s="111"/>
      <c r="X760" s="111"/>
      <c r="Y760" s="111"/>
      <c r="Z760" s="111"/>
      <c r="AA760" s="14"/>
      <c r="AB760" s="14"/>
      <c r="AC760" s="14"/>
      <c r="AD760" s="14"/>
      <c r="AE760" s="113" t="str">
        <f>IF(NOT(ISBLANK(Audit[[#This Row],[Audit Winning Candidate]])), Audit[[#This Row],[Audit Winning Candidate]]-Audit[[#This Row],[Winning Candidate]], "")</f>
        <v/>
      </c>
      <c r="AF760" s="17" t="str">
        <f>IF(NOT(ISBLANK(Audit[[#This Row],[Audit Losing Candidate]])), Audit[[#This Row],[Audit Losing Candidate]]-Audit[[#This Row],[Losing Candidate]], "")</f>
        <v/>
      </c>
      <c r="AG760" s="17" t="str">
        <f>IF(NOT(ISBLANK(Audit[[#This Row],[Audit Candidate 3]])), Audit[[#This Row],[Audit Candidate 3]]-Audit[[#This Row],[Candidate 3]], "")</f>
        <v/>
      </c>
      <c r="AH760" s="17" t="str">
        <f>IF(NOT(ISBLANK(Audit[[#This Row],[Audit Candidate 4]])),Audit[[#This Row],[Audit Candidate 4]]-Audit[[#This Row],[Candidate 4]], "")</f>
        <v/>
      </c>
      <c r="AI760" s="17" t="str">
        <f>IF(NOT(ISBLANK(Audit[[#This Row],[Audit Candidate 5]])), Audit[[#This Row],[Audit Candidate 5]]-Audit[[#This Row],[Candidate 5]], "")</f>
        <v/>
      </c>
      <c r="AJ760" s="17" t="str">
        <f>IF(NOT(ISBLANK(Audit[[#This Row],[Audit Candidate 6]])), Audit[[#This Row],[Audit Candidate 6]]-Audit[[#This Row],[Candidate 6]], "")</f>
        <v/>
      </c>
      <c r="AK760" s="17" t="str">
        <f>IF(NOT(ISBLANK(Audit[[#This Row],[Audit Candidate 7]])), Audit[[#This Row],[Audit Candidate 7]]-Audit[[#This Row],[Candidate 7]], "")</f>
        <v/>
      </c>
      <c r="AL760" s="17" t="str">
        <f>IF(NOT(ISBLANK(Audit[[#This Row],[Audit Candidate 8]])), Audit[[#This Row],[Audit Candidate 8]]-Audit[[#This Row],[Candidate 8]], "")</f>
        <v/>
      </c>
      <c r="AM760" s="17" t="str">
        <f>IF(NOT(ISBLANK(Audit[[#This Row],[Audit Candidate 9]])), Audit[[#This Row],[Audit Candidate 9]]-Audit[[#This Row],[Candidate 9]], "")</f>
        <v/>
      </c>
      <c r="AN760" s="17" t="str">
        <f>IF(NOT(ISBLANK(Audit[[#This Row],[Audit Candidate 10]])), Audit[[#This Row],[Audit Candidate 10]]-Audit[[#This Row],[Candidate 10]], "")</f>
        <v/>
      </c>
      <c r="AO760" s="17" t="str">
        <f>IF(NOT(ISBLANK(Audit[[#This Row],[Audit Candidate 11]])), Audit[[#This Row],[Audit Candidate 11]]-Audit[[#This Row],[Candidate 11]], "")</f>
        <v/>
      </c>
      <c r="AP760" s="17" t="str">
        <f>IF(NOT(ISBLANK(Audit[[#This Row],[Audit Candidate 12]])), Audit[[#This Row],[Audit Candidate 12]]-Audit[[#This Row],[Candidate 12]], "")</f>
        <v/>
      </c>
      <c r="AQ760" s="17">
        <f>SUMIF(Audit[[#This Row],[Difference Winner]:[Difference Candidate 12]], "&gt;0")</f>
        <v>0</v>
      </c>
      <c r="AR760" s="17">
        <f>SUM(Audit[[#This Row],[Difference Winner]:[Difference Candidate 12]])</f>
        <v>0</v>
      </c>
      <c r="AS760" s="17">
        <f>IF(Audit[[#This Row],[Times p Drawn - With Replacement]]&gt;0, IF(Audit[[#This Row],[Canceled Differences]]&lt;0, Audit[[#This Row],[Max Differences]]+ABS(Audit[[#This Row],[Canceled Differences]]), Audit[[#This Row],[Max Differences]]), 0)</f>
        <v>0</v>
      </c>
      <c r="AT760" s="17">
        <f>'Sampling Data'!AB760</f>
        <v>1.2264471227295876E-2</v>
      </c>
      <c r="AU760" s="17">
        <f>IF(
      SUM(Audit[[#This Row],[Audit Losing Candidate]:[Audit Candidate 12]])
      &lt;&gt;0,
      (Audit[[#This Row],[Winning Candidate]]-Audit[[#This Row],[Losing Candidate]]-(Audit[[#This Row],[Audit Winning Candidate]]-Audit[[#This Row],[Audit Losing Candidate]]))/(Audit[[#Totals],[Winning Candidate]]-Audit[[#Totals],[Losing Candidate]]),
      0
)</f>
        <v>0</v>
      </c>
      <c r="AV7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0" s="17">
        <f>IF(Audit[[#This Row],[Max Relative Error (ep)]] = 0, 0, Audit[[#This Row],[Max Relative Error (ep)]]/Audit[[#This Row],[Error Bound (up) - Max. possible relative overstatement]])</f>
        <v>0</v>
      </c>
      <c r="BH7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60" s="17">
        <f t="shared" si="12"/>
        <v>1</v>
      </c>
      <c r="BJ760" s="17">
        <f>PRODUCT($BI$5:BI760)</f>
        <v>0.21421585812799232</v>
      </c>
      <c r="BK760" s="19">
        <f>1 - Audit[[#This Row],[K-M P Value]]</f>
        <v>0.78578414187200774</v>
      </c>
      <c r="BL760" s="17" t="str">
        <f>IF(Audit[[#This Row],[K-M P Value]]&gt;1-'General Info'!$B$12,"Continue", "Stop")</f>
        <v>Continue</v>
      </c>
      <c r="BM760" s="22" t="b">
        <f>IF(Audit[[#This Row],[Status - Continue or stop audit]] = "Continue", TRUE, IF(BL759 = "Continue", TRUE, FALSE))</f>
        <v>1</v>
      </c>
      <c r="BN760" s="22"/>
    </row>
    <row r="761" spans="1:66" ht="15" customHeight="1" x14ac:dyDescent="0.35">
      <c r="A761" s="17">
        <f>'Sampling Data'!AI761</f>
        <v>6</v>
      </c>
      <c r="B761" s="17" t="str">
        <f>'Sampling Data'!A761</f>
        <v>2823 BLUE 2-C   (ED)</v>
      </c>
      <c r="C761" s="17">
        <f>'Sampling Data'!B761</f>
        <v>283</v>
      </c>
      <c r="D761" s="17">
        <f>'Sampling Data'!C761</f>
        <v>222</v>
      </c>
      <c r="E761" s="18">
        <f>'Sampling Data'!D761</f>
        <v>0</v>
      </c>
      <c r="F761" s="18">
        <f>'Sampling Data'!E761</f>
        <v>0</v>
      </c>
      <c r="G761" s="18">
        <f>'Sampling Data'!F761</f>
        <v>0</v>
      </c>
      <c r="H761" s="18">
        <f>'Sampling Data'!G761</f>
        <v>0</v>
      </c>
      <c r="I761" s="18">
        <f>'Sampling Data'!H761</f>
        <v>0</v>
      </c>
      <c r="J761" s="18">
        <f>'Sampling Data'!I761</f>
        <v>0</v>
      </c>
      <c r="K761" s="18">
        <f>'Sampling Data'!J761</f>
        <v>0</v>
      </c>
      <c r="L761" s="18">
        <f>'Sampling Data'!K761</f>
        <v>0</v>
      </c>
      <c r="M761" s="18">
        <f>'Sampling Data'!L761</f>
        <v>0</v>
      </c>
      <c r="N761" s="18">
        <f>'Sampling Data'!M761</f>
        <v>0</v>
      </c>
      <c r="O761" s="17">
        <f>'Sampling Data'!N761</f>
        <v>0</v>
      </c>
      <c r="P761" s="17">
        <f>'Sampling Data'!O761</f>
        <v>38</v>
      </c>
      <c r="Q761" s="17">
        <f>'Sampling Data'!P761</f>
        <v>543</v>
      </c>
      <c r="R761" s="17">
        <f>'Sampling Data'!AJ761</f>
        <v>1</v>
      </c>
      <c r="S761" s="111">
        <v>283</v>
      </c>
      <c r="T761" s="111">
        <v>222</v>
      </c>
      <c r="U761" s="112"/>
      <c r="V761" s="112"/>
      <c r="W761" s="111"/>
      <c r="X761" s="111"/>
      <c r="Y761" s="111"/>
      <c r="Z761" s="111"/>
      <c r="AA761" s="14"/>
      <c r="AB761" s="14"/>
      <c r="AC761" s="14"/>
      <c r="AD761" s="14"/>
      <c r="AE761" s="113">
        <f>IF(NOT(ISBLANK(Audit[[#This Row],[Audit Winning Candidate]])), Audit[[#This Row],[Audit Winning Candidate]]-Audit[[#This Row],[Winning Candidate]], "")</f>
        <v>0</v>
      </c>
      <c r="AF761" s="17">
        <f>IF(NOT(ISBLANK(Audit[[#This Row],[Audit Losing Candidate]])), Audit[[#This Row],[Audit Losing Candidate]]-Audit[[#This Row],[Losing Candidate]], "")</f>
        <v>0</v>
      </c>
      <c r="AG761" s="17" t="str">
        <f>IF(NOT(ISBLANK(Audit[[#This Row],[Audit Candidate 3]])), Audit[[#This Row],[Audit Candidate 3]]-Audit[[#This Row],[Candidate 3]], "")</f>
        <v/>
      </c>
      <c r="AH761" s="17" t="str">
        <f>IF(NOT(ISBLANK(Audit[[#This Row],[Audit Candidate 4]])),Audit[[#This Row],[Audit Candidate 4]]-Audit[[#This Row],[Candidate 4]], "")</f>
        <v/>
      </c>
      <c r="AI761" s="17" t="str">
        <f>IF(NOT(ISBLANK(Audit[[#This Row],[Audit Candidate 5]])), Audit[[#This Row],[Audit Candidate 5]]-Audit[[#This Row],[Candidate 5]], "")</f>
        <v/>
      </c>
      <c r="AJ761" s="17" t="str">
        <f>IF(NOT(ISBLANK(Audit[[#This Row],[Audit Candidate 6]])), Audit[[#This Row],[Audit Candidate 6]]-Audit[[#This Row],[Candidate 6]], "")</f>
        <v/>
      </c>
      <c r="AK761" s="17" t="str">
        <f>IF(NOT(ISBLANK(Audit[[#This Row],[Audit Candidate 7]])), Audit[[#This Row],[Audit Candidate 7]]-Audit[[#This Row],[Candidate 7]], "")</f>
        <v/>
      </c>
      <c r="AL761" s="17" t="str">
        <f>IF(NOT(ISBLANK(Audit[[#This Row],[Audit Candidate 8]])), Audit[[#This Row],[Audit Candidate 8]]-Audit[[#This Row],[Candidate 8]], "")</f>
        <v/>
      </c>
      <c r="AM761" s="17" t="str">
        <f>IF(NOT(ISBLANK(Audit[[#This Row],[Audit Candidate 9]])), Audit[[#This Row],[Audit Candidate 9]]-Audit[[#This Row],[Candidate 9]], "")</f>
        <v/>
      </c>
      <c r="AN761" s="17" t="str">
        <f>IF(NOT(ISBLANK(Audit[[#This Row],[Audit Candidate 10]])), Audit[[#This Row],[Audit Candidate 10]]-Audit[[#This Row],[Candidate 10]], "")</f>
        <v/>
      </c>
      <c r="AO761" s="17" t="str">
        <f>IF(NOT(ISBLANK(Audit[[#This Row],[Audit Candidate 11]])), Audit[[#This Row],[Audit Candidate 11]]-Audit[[#This Row],[Candidate 11]], "")</f>
        <v/>
      </c>
      <c r="AP761" s="17" t="str">
        <f>IF(NOT(ISBLANK(Audit[[#This Row],[Audit Candidate 12]])), Audit[[#This Row],[Audit Candidate 12]]-Audit[[#This Row],[Candidate 12]], "")</f>
        <v/>
      </c>
      <c r="AQ761" s="17">
        <f>SUMIF(Audit[[#This Row],[Difference Winner]:[Difference Candidate 12]], "&gt;0")</f>
        <v>0</v>
      </c>
      <c r="AR761" s="17">
        <f>SUM(Audit[[#This Row],[Difference Winner]:[Difference Candidate 12]])</f>
        <v>0</v>
      </c>
      <c r="AS761" s="17">
        <f>IF(Audit[[#This Row],[Times p Drawn - With Replacement]]&gt;0, IF(Audit[[#This Row],[Canceled Differences]]&lt;0, Audit[[#This Row],[Max Differences]]+ABS(Audit[[#This Row],[Canceled Differences]]), Audit[[#This Row],[Max Differences]]), 0)</f>
        <v>0</v>
      </c>
      <c r="AT761" s="17">
        <f>'Sampling Data'!AB761</f>
        <v>2.5632320488881345E-2</v>
      </c>
      <c r="AU761" s="17">
        <f>IF(
      SUM(Audit[[#This Row],[Audit Losing Candidate]:[Audit Candidate 12]])
      &lt;&gt;0,
      (Audit[[#This Row],[Winning Candidate]]-Audit[[#This Row],[Losing Candidate]]-(Audit[[#This Row],[Audit Winning Candidate]]-Audit[[#This Row],[Audit Losing Candidate]]))/(Audit[[#Totals],[Winning Candidate]]-Audit[[#Totals],[Losing Candidate]]),
      0
)</f>
        <v>0</v>
      </c>
      <c r="AV7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1" s="17">
        <f>IF(Audit[[#This Row],[Max Relative Error (ep)]] = 0, 0, Audit[[#This Row],[Max Relative Error (ep)]]/Audit[[#This Row],[Error Bound (up) - Max. possible relative overstatement]])</f>
        <v>0</v>
      </c>
      <c r="BH7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61" s="17">
        <f t="shared" si="12"/>
        <v>0.94645908314247273</v>
      </c>
      <c r="BJ761" s="17">
        <f>PRODUCT($BI$5:BI761)</f>
        <v>0.20274654467839762</v>
      </c>
      <c r="BK761" s="19">
        <f>1 - Audit[[#This Row],[K-M P Value]]</f>
        <v>0.79725345532160241</v>
      </c>
      <c r="BL761" s="17" t="str">
        <f>IF(Audit[[#This Row],[K-M P Value]]&gt;1-'General Info'!$B$12,"Continue", "Stop")</f>
        <v>Continue</v>
      </c>
      <c r="BM761" s="22" t="b">
        <f>IF(Audit[[#This Row],[Status - Continue or stop audit]] = "Continue", TRUE, IF(BL760 = "Continue", TRUE, FALSE))</f>
        <v>1</v>
      </c>
      <c r="BN761" s="22"/>
    </row>
    <row r="762" spans="1:66" ht="15" hidden="1" customHeight="1" x14ac:dyDescent="0.35">
      <c r="A762" s="17" t="str">
        <f>'Sampling Data'!AI762</f>
        <v/>
      </c>
      <c r="B762" s="17" t="str">
        <f>'Sampling Data'!A762</f>
        <v>2831 BLUE 3-A   (ED)</v>
      </c>
      <c r="C762" s="17">
        <f>'Sampling Data'!B762</f>
        <v>141</v>
      </c>
      <c r="D762" s="17">
        <f>'Sampling Data'!C762</f>
        <v>189</v>
      </c>
      <c r="E762" s="18">
        <f>'Sampling Data'!D762</f>
        <v>0</v>
      </c>
      <c r="F762" s="18">
        <f>'Sampling Data'!E762</f>
        <v>0</v>
      </c>
      <c r="G762" s="18">
        <f>'Sampling Data'!F762</f>
        <v>0</v>
      </c>
      <c r="H762" s="18">
        <f>'Sampling Data'!G762</f>
        <v>0</v>
      </c>
      <c r="I762" s="18">
        <f>'Sampling Data'!H762</f>
        <v>0</v>
      </c>
      <c r="J762" s="18">
        <f>'Sampling Data'!I762</f>
        <v>0</v>
      </c>
      <c r="K762" s="18">
        <f>'Sampling Data'!J762</f>
        <v>0</v>
      </c>
      <c r="L762" s="18">
        <f>'Sampling Data'!K762</f>
        <v>0</v>
      </c>
      <c r="M762" s="18">
        <f>'Sampling Data'!L762</f>
        <v>0</v>
      </c>
      <c r="N762" s="18">
        <f>'Sampling Data'!M762</f>
        <v>0</v>
      </c>
      <c r="O762" s="17">
        <f>'Sampling Data'!N762</f>
        <v>0</v>
      </c>
      <c r="P762" s="17">
        <f>'Sampling Data'!O762</f>
        <v>27</v>
      </c>
      <c r="Q762" s="17">
        <f>'Sampling Data'!P762</f>
        <v>357</v>
      </c>
      <c r="R762" s="17">
        <f>'Sampling Data'!AJ762</f>
        <v>0</v>
      </c>
      <c r="S762" s="111"/>
      <c r="T762" s="111"/>
      <c r="U762" s="112"/>
      <c r="V762" s="112"/>
      <c r="W762" s="111"/>
      <c r="X762" s="111"/>
      <c r="Y762" s="111"/>
      <c r="Z762" s="111"/>
      <c r="AA762" s="14"/>
      <c r="AB762" s="14"/>
      <c r="AC762" s="14"/>
      <c r="AD762" s="14"/>
      <c r="AE762" s="113" t="str">
        <f>IF(NOT(ISBLANK(Audit[[#This Row],[Audit Winning Candidate]])), Audit[[#This Row],[Audit Winning Candidate]]-Audit[[#This Row],[Winning Candidate]], "")</f>
        <v/>
      </c>
      <c r="AF762" s="17" t="str">
        <f>IF(NOT(ISBLANK(Audit[[#This Row],[Audit Losing Candidate]])), Audit[[#This Row],[Audit Losing Candidate]]-Audit[[#This Row],[Losing Candidate]], "")</f>
        <v/>
      </c>
      <c r="AG762" s="17" t="str">
        <f>IF(NOT(ISBLANK(Audit[[#This Row],[Audit Candidate 3]])), Audit[[#This Row],[Audit Candidate 3]]-Audit[[#This Row],[Candidate 3]], "")</f>
        <v/>
      </c>
      <c r="AH762" s="17" t="str">
        <f>IF(NOT(ISBLANK(Audit[[#This Row],[Audit Candidate 4]])),Audit[[#This Row],[Audit Candidate 4]]-Audit[[#This Row],[Candidate 4]], "")</f>
        <v/>
      </c>
      <c r="AI762" s="17" t="str">
        <f>IF(NOT(ISBLANK(Audit[[#This Row],[Audit Candidate 5]])), Audit[[#This Row],[Audit Candidate 5]]-Audit[[#This Row],[Candidate 5]], "")</f>
        <v/>
      </c>
      <c r="AJ762" s="17" t="str">
        <f>IF(NOT(ISBLANK(Audit[[#This Row],[Audit Candidate 6]])), Audit[[#This Row],[Audit Candidate 6]]-Audit[[#This Row],[Candidate 6]], "")</f>
        <v/>
      </c>
      <c r="AK762" s="17" t="str">
        <f>IF(NOT(ISBLANK(Audit[[#This Row],[Audit Candidate 7]])), Audit[[#This Row],[Audit Candidate 7]]-Audit[[#This Row],[Candidate 7]], "")</f>
        <v/>
      </c>
      <c r="AL762" s="17" t="str">
        <f>IF(NOT(ISBLANK(Audit[[#This Row],[Audit Candidate 8]])), Audit[[#This Row],[Audit Candidate 8]]-Audit[[#This Row],[Candidate 8]], "")</f>
        <v/>
      </c>
      <c r="AM762" s="17" t="str">
        <f>IF(NOT(ISBLANK(Audit[[#This Row],[Audit Candidate 9]])), Audit[[#This Row],[Audit Candidate 9]]-Audit[[#This Row],[Candidate 9]], "")</f>
        <v/>
      </c>
      <c r="AN762" s="17" t="str">
        <f>IF(NOT(ISBLANK(Audit[[#This Row],[Audit Candidate 10]])), Audit[[#This Row],[Audit Candidate 10]]-Audit[[#This Row],[Candidate 10]], "")</f>
        <v/>
      </c>
      <c r="AO762" s="17" t="str">
        <f>IF(NOT(ISBLANK(Audit[[#This Row],[Audit Candidate 11]])), Audit[[#This Row],[Audit Candidate 11]]-Audit[[#This Row],[Candidate 11]], "")</f>
        <v/>
      </c>
      <c r="AP762" s="17" t="str">
        <f>IF(NOT(ISBLANK(Audit[[#This Row],[Audit Candidate 12]])), Audit[[#This Row],[Audit Candidate 12]]-Audit[[#This Row],[Candidate 12]], "")</f>
        <v/>
      </c>
      <c r="AQ762" s="17">
        <f>SUMIF(Audit[[#This Row],[Difference Winner]:[Difference Candidate 12]], "&gt;0")</f>
        <v>0</v>
      </c>
      <c r="AR762" s="17">
        <f>SUM(Audit[[#This Row],[Difference Winner]:[Difference Candidate 12]])</f>
        <v>0</v>
      </c>
      <c r="AS762" s="17">
        <f>IF(Audit[[#This Row],[Times p Drawn - With Replacement]]&gt;0, IF(Audit[[#This Row],[Canceled Differences]]&lt;0, Audit[[#This Row],[Max Differences]]+ABS(Audit[[#This Row],[Canceled Differences]]), Audit[[#This Row],[Max Differences]]), 0)</f>
        <v>0</v>
      </c>
      <c r="AT762" s="17">
        <f>'Sampling Data'!AB762</f>
        <v>1.3113223561364793E-2</v>
      </c>
      <c r="AU762" s="17">
        <f>IF(
      SUM(Audit[[#This Row],[Audit Losing Candidate]:[Audit Candidate 12]])
      &lt;&gt;0,
      (Audit[[#This Row],[Winning Candidate]]-Audit[[#This Row],[Losing Candidate]]-(Audit[[#This Row],[Audit Winning Candidate]]-Audit[[#This Row],[Audit Losing Candidate]]))/(Audit[[#Totals],[Winning Candidate]]-Audit[[#Totals],[Losing Candidate]]),
      0
)</f>
        <v>0</v>
      </c>
      <c r="AV7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2" s="17">
        <f>IF(Audit[[#This Row],[Max Relative Error (ep)]] = 0, 0, Audit[[#This Row],[Max Relative Error (ep)]]/Audit[[#This Row],[Error Bound (up) - Max. possible relative overstatement]])</f>
        <v>0</v>
      </c>
      <c r="BH7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62" s="17">
        <f t="shared" si="12"/>
        <v>1</v>
      </c>
      <c r="BJ762" s="17">
        <f>PRODUCT($BI$5:BI762)</f>
        <v>0.20274654467839762</v>
      </c>
      <c r="BK762" s="19">
        <f>1 - Audit[[#This Row],[K-M P Value]]</f>
        <v>0.79725345532160241</v>
      </c>
      <c r="BL762" s="17" t="str">
        <f>IF(Audit[[#This Row],[K-M P Value]]&gt;1-'General Info'!$B$12,"Continue", "Stop")</f>
        <v>Continue</v>
      </c>
      <c r="BM762" s="22" t="b">
        <f>IF(Audit[[#This Row],[Status - Continue or stop audit]] = "Continue", TRUE, IF(BL761 = "Continue", TRUE, FALSE))</f>
        <v>1</v>
      </c>
      <c r="BN762" s="22"/>
    </row>
    <row r="763" spans="1:66" ht="15" hidden="1" customHeight="1" x14ac:dyDescent="0.35">
      <c r="A763" s="17" t="str">
        <f>'Sampling Data'!AI763</f>
        <v/>
      </c>
      <c r="B763" s="17" t="str">
        <f>'Sampling Data'!A763</f>
        <v>2832 BLUE 3-B   (ED)</v>
      </c>
      <c r="C763" s="17">
        <f>'Sampling Data'!B763</f>
        <v>168</v>
      </c>
      <c r="D763" s="17">
        <f>'Sampling Data'!C763</f>
        <v>152</v>
      </c>
      <c r="E763" s="18">
        <f>'Sampling Data'!D763</f>
        <v>0</v>
      </c>
      <c r="F763" s="18">
        <f>'Sampling Data'!E763</f>
        <v>0</v>
      </c>
      <c r="G763" s="18">
        <f>'Sampling Data'!F763</f>
        <v>0</v>
      </c>
      <c r="H763" s="18">
        <f>'Sampling Data'!G763</f>
        <v>0</v>
      </c>
      <c r="I763" s="18">
        <f>'Sampling Data'!H763</f>
        <v>0</v>
      </c>
      <c r="J763" s="18">
        <f>'Sampling Data'!I763</f>
        <v>0</v>
      </c>
      <c r="K763" s="18">
        <f>'Sampling Data'!J763</f>
        <v>0</v>
      </c>
      <c r="L763" s="18">
        <f>'Sampling Data'!K763</f>
        <v>0</v>
      </c>
      <c r="M763" s="18">
        <f>'Sampling Data'!L763</f>
        <v>0</v>
      </c>
      <c r="N763" s="18">
        <f>'Sampling Data'!M763</f>
        <v>0</v>
      </c>
      <c r="O763" s="17">
        <f>'Sampling Data'!N763</f>
        <v>0</v>
      </c>
      <c r="P763" s="17">
        <f>'Sampling Data'!O763</f>
        <v>30</v>
      </c>
      <c r="Q763" s="17">
        <f>'Sampling Data'!P763</f>
        <v>350</v>
      </c>
      <c r="R763" s="17">
        <f>'Sampling Data'!AJ763</f>
        <v>0</v>
      </c>
      <c r="S763" s="111"/>
      <c r="T763" s="111"/>
      <c r="U763" s="112"/>
      <c r="V763" s="112"/>
      <c r="W763" s="111"/>
      <c r="X763" s="111"/>
      <c r="Y763" s="111"/>
      <c r="Z763" s="111"/>
      <c r="AA763" s="14"/>
      <c r="AB763" s="14"/>
      <c r="AC763" s="14"/>
      <c r="AD763" s="14"/>
      <c r="AE763" s="113" t="str">
        <f>IF(NOT(ISBLANK(Audit[[#This Row],[Audit Winning Candidate]])), Audit[[#This Row],[Audit Winning Candidate]]-Audit[[#This Row],[Winning Candidate]], "")</f>
        <v/>
      </c>
      <c r="AF763" s="17" t="str">
        <f>IF(NOT(ISBLANK(Audit[[#This Row],[Audit Losing Candidate]])), Audit[[#This Row],[Audit Losing Candidate]]-Audit[[#This Row],[Losing Candidate]], "")</f>
        <v/>
      </c>
      <c r="AG763" s="17" t="str">
        <f>IF(NOT(ISBLANK(Audit[[#This Row],[Audit Candidate 3]])), Audit[[#This Row],[Audit Candidate 3]]-Audit[[#This Row],[Candidate 3]], "")</f>
        <v/>
      </c>
      <c r="AH763" s="17" t="str">
        <f>IF(NOT(ISBLANK(Audit[[#This Row],[Audit Candidate 4]])),Audit[[#This Row],[Audit Candidate 4]]-Audit[[#This Row],[Candidate 4]], "")</f>
        <v/>
      </c>
      <c r="AI763" s="17" t="str">
        <f>IF(NOT(ISBLANK(Audit[[#This Row],[Audit Candidate 5]])), Audit[[#This Row],[Audit Candidate 5]]-Audit[[#This Row],[Candidate 5]], "")</f>
        <v/>
      </c>
      <c r="AJ763" s="17" t="str">
        <f>IF(NOT(ISBLANK(Audit[[#This Row],[Audit Candidate 6]])), Audit[[#This Row],[Audit Candidate 6]]-Audit[[#This Row],[Candidate 6]], "")</f>
        <v/>
      </c>
      <c r="AK763" s="17" t="str">
        <f>IF(NOT(ISBLANK(Audit[[#This Row],[Audit Candidate 7]])), Audit[[#This Row],[Audit Candidate 7]]-Audit[[#This Row],[Candidate 7]], "")</f>
        <v/>
      </c>
      <c r="AL763" s="17" t="str">
        <f>IF(NOT(ISBLANK(Audit[[#This Row],[Audit Candidate 8]])), Audit[[#This Row],[Audit Candidate 8]]-Audit[[#This Row],[Candidate 8]], "")</f>
        <v/>
      </c>
      <c r="AM763" s="17" t="str">
        <f>IF(NOT(ISBLANK(Audit[[#This Row],[Audit Candidate 9]])), Audit[[#This Row],[Audit Candidate 9]]-Audit[[#This Row],[Candidate 9]], "")</f>
        <v/>
      </c>
      <c r="AN763" s="17" t="str">
        <f>IF(NOT(ISBLANK(Audit[[#This Row],[Audit Candidate 10]])), Audit[[#This Row],[Audit Candidate 10]]-Audit[[#This Row],[Candidate 10]], "")</f>
        <v/>
      </c>
      <c r="AO763" s="17" t="str">
        <f>IF(NOT(ISBLANK(Audit[[#This Row],[Audit Candidate 11]])), Audit[[#This Row],[Audit Candidate 11]]-Audit[[#This Row],[Candidate 11]], "")</f>
        <v/>
      </c>
      <c r="AP763" s="17" t="str">
        <f>IF(NOT(ISBLANK(Audit[[#This Row],[Audit Candidate 12]])), Audit[[#This Row],[Audit Candidate 12]]-Audit[[#This Row],[Candidate 12]], "")</f>
        <v/>
      </c>
      <c r="AQ763" s="17">
        <f>SUMIF(Audit[[#This Row],[Difference Winner]:[Difference Candidate 12]], "&gt;0")</f>
        <v>0</v>
      </c>
      <c r="AR763" s="17">
        <f>SUM(Audit[[#This Row],[Difference Winner]:[Difference Candidate 12]])</f>
        <v>0</v>
      </c>
      <c r="AS763" s="17">
        <f>IF(Audit[[#This Row],[Times p Drawn - With Replacement]]&gt;0, IF(Audit[[#This Row],[Canceled Differences]]&lt;0, Audit[[#This Row],[Max Differences]]+ABS(Audit[[#This Row],[Canceled Differences]]), Audit[[#This Row],[Max Differences]]), 0)</f>
        <v>0</v>
      </c>
      <c r="AT763" s="17">
        <f>'Sampling Data'!AB763</f>
        <v>1.5532167713461211E-2</v>
      </c>
      <c r="AU763" s="17">
        <f>IF(
      SUM(Audit[[#This Row],[Audit Losing Candidate]:[Audit Candidate 12]])
      &lt;&gt;0,
      (Audit[[#This Row],[Winning Candidate]]-Audit[[#This Row],[Losing Candidate]]-(Audit[[#This Row],[Audit Winning Candidate]]-Audit[[#This Row],[Audit Losing Candidate]]))/(Audit[[#Totals],[Winning Candidate]]-Audit[[#Totals],[Losing Candidate]]),
      0
)</f>
        <v>0</v>
      </c>
      <c r="AV7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3" s="17">
        <f>IF(Audit[[#This Row],[Max Relative Error (ep)]] = 0, 0, Audit[[#This Row],[Max Relative Error (ep)]]/Audit[[#This Row],[Error Bound (up) - Max. possible relative overstatement]])</f>
        <v>0</v>
      </c>
      <c r="BH7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63" s="17">
        <f t="shared" si="12"/>
        <v>1</v>
      </c>
      <c r="BJ763" s="17">
        <f>PRODUCT($BI$5:BI763)</f>
        <v>0.20274654467839762</v>
      </c>
      <c r="BK763" s="19">
        <f>1 - Audit[[#This Row],[K-M P Value]]</f>
        <v>0.79725345532160241</v>
      </c>
      <c r="BL763" s="17" t="str">
        <f>IF(Audit[[#This Row],[K-M P Value]]&gt;1-'General Info'!$B$12,"Continue", "Stop")</f>
        <v>Continue</v>
      </c>
      <c r="BM763" s="22" t="b">
        <f>IF(Audit[[#This Row],[Status - Continue or stop audit]] = "Continue", TRUE, IF(BL762 = "Continue", TRUE, FALSE))</f>
        <v>1</v>
      </c>
      <c r="BN763" s="22"/>
    </row>
    <row r="764" spans="1:66" ht="15" hidden="1" customHeight="1" x14ac:dyDescent="0.35">
      <c r="A764" s="17" t="str">
        <f>'Sampling Data'!AI764</f>
        <v/>
      </c>
      <c r="B764" s="17" t="str">
        <f>'Sampling Data'!A764</f>
        <v>2841 BLUE 4-A   (ED)</v>
      </c>
      <c r="C764" s="17">
        <f>'Sampling Data'!B764</f>
        <v>226</v>
      </c>
      <c r="D764" s="17">
        <f>'Sampling Data'!C764</f>
        <v>204</v>
      </c>
      <c r="E764" s="18">
        <f>'Sampling Data'!D764</f>
        <v>0</v>
      </c>
      <c r="F764" s="18">
        <f>'Sampling Data'!E764</f>
        <v>0</v>
      </c>
      <c r="G764" s="18">
        <f>'Sampling Data'!F764</f>
        <v>0</v>
      </c>
      <c r="H764" s="18">
        <f>'Sampling Data'!G764</f>
        <v>0</v>
      </c>
      <c r="I764" s="18">
        <f>'Sampling Data'!H764</f>
        <v>0</v>
      </c>
      <c r="J764" s="18">
        <f>'Sampling Data'!I764</f>
        <v>0</v>
      </c>
      <c r="K764" s="18">
        <f>'Sampling Data'!J764</f>
        <v>0</v>
      </c>
      <c r="L764" s="18">
        <f>'Sampling Data'!K764</f>
        <v>0</v>
      </c>
      <c r="M764" s="18">
        <f>'Sampling Data'!L764</f>
        <v>0</v>
      </c>
      <c r="N764" s="18">
        <f>'Sampling Data'!M764</f>
        <v>0</v>
      </c>
      <c r="O764" s="17">
        <f>'Sampling Data'!N764</f>
        <v>0</v>
      </c>
      <c r="P764" s="17">
        <f>'Sampling Data'!O764</f>
        <v>34</v>
      </c>
      <c r="Q764" s="17">
        <f>'Sampling Data'!P764</f>
        <v>464</v>
      </c>
      <c r="R764" s="17">
        <f>'Sampling Data'!AJ764</f>
        <v>0</v>
      </c>
      <c r="S764" s="111"/>
      <c r="T764" s="111"/>
      <c r="U764" s="112"/>
      <c r="V764" s="112"/>
      <c r="W764" s="111"/>
      <c r="X764" s="111"/>
      <c r="Y764" s="111"/>
      <c r="Z764" s="111"/>
      <c r="AA764" s="14"/>
      <c r="AB764" s="14"/>
      <c r="AC764" s="14"/>
      <c r="AD764" s="14"/>
      <c r="AE764" s="113" t="str">
        <f>IF(NOT(ISBLANK(Audit[[#This Row],[Audit Winning Candidate]])), Audit[[#This Row],[Audit Winning Candidate]]-Audit[[#This Row],[Winning Candidate]], "")</f>
        <v/>
      </c>
      <c r="AF764" s="17" t="str">
        <f>IF(NOT(ISBLANK(Audit[[#This Row],[Audit Losing Candidate]])), Audit[[#This Row],[Audit Losing Candidate]]-Audit[[#This Row],[Losing Candidate]], "")</f>
        <v/>
      </c>
      <c r="AG764" s="17" t="str">
        <f>IF(NOT(ISBLANK(Audit[[#This Row],[Audit Candidate 3]])), Audit[[#This Row],[Audit Candidate 3]]-Audit[[#This Row],[Candidate 3]], "")</f>
        <v/>
      </c>
      <c r="AH764" s="17" t="str">
        <f>IF(NOT(ISBLANK(Audit[[#This Row],[Audit Candidate 4]])),Audit[[#This Row],[Audit Candidate 4]]-Audit[[#This Row],[Candidate 4]], "")</f>
        <v/>
      </c>
      <c r="AI764" s="17" t="str">
        <f>IF(NOT(ISBLANK(Audit[[#This Row],[Audit Candidate 5]])), Audit[[#This Row],[Audit Candidate 5]]-Audit[[#This Row],[Candidate 5]], "")</f>
        <v/>
      </c>
      <c r="AJ764" s="17" t="str">
        <f>IF(NOT(ISBLANK(Audit[[#This Row],[Audit Candidate 6]])), Audit[[#This Row],[Audit Candidate 6]]-Audit[[#This Row],[Candidate 6]], "")</f>
        <v/>
      </c>
      <c r="AK764" s="17" t="str">
        <f>IF(NOT(ISBLANK(Audit[[#This Row],[Audit Candidate 7]])), Audit[[#This Row],[Audit Candidate 7]]-Audit[[#This Row],[Candidate 7]], "")</f>
        <v/>
      </c>
      <c r="AL764" s="17" t="str">
        <f>IF(NOT(ISBLANK(Audit[[#This Row],[Audit Candidate 8]])), Audit[[#This Row],[Audit Candidate 8]]-Audit[[#This Row],[Candidate 8]], "")</f>
        <v/>
      </c>
      <c r="AM764" s="17" t="str">
        <f>IF(NOT(ISBLANK(Audit[[#This Row],[Audit Candidate 9]])), Audit[[#This Row],[Audit Candidate 9]]-Audit[[#This Row],[Candidate 9]], "")</f>
        <v/>
      </c>
      <c r="AN764" s="17" t="str">
        <f>IF(NOT(ISBLANK(Audit[[#This Row],[Audit Candidate 10]])), Audit[[#This Row],[Audit Candidate 10]]-Audit[[#This Row],[Candidate 10]], "")</f>
        <v/>
      </c>
      <c r="AO764" s="17" t="str">
        <f>IF(NOT(ISBLANK(Audit[[#This Row],[Audit Candidate 11]])), Audit[[#This Row],[Audit Candidate 11]]-Audit[[#This Row],[Candidate 11]], "")</f>
        <v/>
      </c>
      <c r="AP764" s="17" t="str">
        <f>IF(NOT(ISBLANK(Audit[[#This Row],[Audit Candidate 12]])), Audit[[#This Row],[Audit Candidate 12]]-Audit[[#This Row],[Candidate 12]], "")</f>
        <v/>
      </c>
      <c r="AQ764" s="17">
        <f>SUMIF(Audit[[#This Row],[Difference Winner]:[Difference Candidate 12]], "&gt;0")</f>
        <v>0</v>
      </c>
      <c r="AR764" s="17">
        <f>SUM(Audit[[#This Row],[Difference Winner]:[Difference Candidate 12]])</f>
        <v>0</v>
      </c>
      <c r="AS764" s="17">
        <f>IF(Audit[[#This Row],[Times p Drawn - With Replacement]]&gt;0, IF(Audit[[#This Row],[Canceled Differences]]&lt;0, Audit[[#This Row],[Max Differences]]+ABS(Audit[[#This Row],[Canceled Differences]]), Audit[[#This Row],[Max Differences]]), 0)</f>
        <v>0</v>
      </c>
      <c r="AT764" s="17">
        <f>'Sampling Data'!AB764</f>
        <v>2.0624681717874724E-2</v>
      </c>
      <c r="AU764" s="17">
        <f>IF(
      SUM(Audit[[#This Row],[Audit Losing Candidate]:[Audit Candidate 12]])
      &lt;&gt;0,
      (Audit[[#This Row],[Winning Candidate]]-Audit[[#This Row],[Losing Candidate]]-(Audit[[#This Row],[Audit Winning Candidate]]-Audit[[#This Row],[Audit Losing Candidate]]))/(Audit[[#Totals],[Winning Candidate]]-Audit[[#Totals],[Losing Candidate]]),
      0
)</f>
        <v>0</v>
      </c>
      <c r="AV7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4" s="17">
        <f>IF(Audit[[#This Row],[Max Relative Error (ep)]] = 0, 0, Audit[[#This Row],[Max Relative Error (ep)]]/Audit[[#This Row],[Error Bound (up) - Max. possible relative overstatement]])</f>
        <v>0</v>
      </c>
      <c r="BH7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64" s="17">
        <f t="shared" si="12"/>
        <v>1</v>
      </c>
      <c r="BJ764" s="17">
        <f>PRODUCT($BI$5:BI764)</f>
        <v>0.20274654467839762</v>
      </c>
      <c r="BK764" s="19">
        <f>1 - Audit[[#This Row],[K-M P Value]]</f>
        <v>0.79725345532160241</v>
      </c>
      <c r="BL764" s="17" t="str">
        <f>IF(Audit[[#This Row],[K-M P Value]]&gt;1-'General Info'!$B$12,"Continue", "Stop")</f>
        <v>Continue</v>
      </c>
      <c r="BM764" s="22" t="b">
        <f>IF(Audit[[#This Row],[Status - Continue or stop audit]] = "Continue", TRUE, IF(BL763 = "Continue", TRUE, FALSE))</f>
        <v>1</v>
      </c>
      <c r="BN764" s="22"/>
    </row>
    <row r="765" spans="1:66" ht="15" hidden="1" customHeight="1" x14ac:dyDescent="0.35">
      <c r="A765" s="17" t="str">
        <f>'Sampling Data'!AI765</f>
        <v/>
      </c>
      <c r="B765" s="17" t="str">
        <f>'Sampling Data'!A765</f>
        <v>2842 BLUE 4-B   (ED)</v>
      </c>
      <c r="C765" s="17">
        <f>'Sampling Data'!B765</f>
        <v>210</v>
      </c>
      <c r="D765" s="17">
        <f>'Sampling Data'!C765</f>
        <v>249</v>
      </c>
      <c r="E765" s="18">
        <f>'Sampling Data'!D765</f>
        <v>0</v>
      </c>
      <c r="F765" s="18">
        <f>'Sampling Data'!E765</f>
        <v>0</v>
      </c>
      <c r="G765" s="18">
        <f>'Sampling Data'!F765</f>
        <v>0</v>
      </c>
      <c r="H765" s="18">
        <f>'Sampling Data'!G765</f>
        <v>0</v>
      </c>
      <c r="I765" s="18">
        <f>'Sampling Data'!H765</f>
        <v>0</v>
      </c>
      <c r="J765" s="18">
        <f>'Sampling Data'!I765</f>
        <v>0</v>
      </c>
      <c r="K765" s="18">
        <f>'Sampling Data'!J765</f>
        <v>0</v>
      </c>
      <c r="L765" s="18">
        <f>'Sampling Data'!K765</f>
        <v>0</v>
      </c>
      <c r="M765" s="18">
        <f>'Sampling Data'!L765</f>
        <v>0</v>
      </c>
      <c r="N765" s="18">
        <f>'Sampling Data'!M765</f>
        <v>0</v>
      </c>
      <c r="O765" s="17">
        <f>'Sampling Data'!N765</f>
        <v>0</v>
      </c>
      <c r="P765" s="17">
        <f>'Sampling Data'!O765</f>
        <v>41</v>
      </c>
      <c r="Q765" s="17">
        <f>'Sampling Data'!P765</f>
        <v>500</v>
      </c>
      <c r="R765" s="17">
        <f>'Sampling Data'!AJ765</f>
        <v>0</v>
      </c>
      <c r="S765" s="111"/>
      <c r="T765" s="111"/>
      <c r="U765" s="112"/>
      <c r="V765" s="112"/>
      <c r="W765" s="111"/>
      <c r="X765" s="111"/>
      <c r="Y765" s="111"/>
      <c r="Z765" s="111"/>
      <c r="AA765" s="14"/>
      <c r="AB765" s="14"/>
      <c r="AC765" s="14"/>
      <c r="AD765" s="14"/>
      <c r="AE765" s="113" t="str">
        <f>IF(NOT(ISBLANK(Audit[[#This Row],[Audit Winning Candidate]])), Audit[[#This Row],[Audit Winning Candidate]]-Audit[[#This Row],[Winning Candidate]], "")</f>
        <v/>
      </c>
      <c r="AF765" s="17" t="str">
        <f>IF(NOT(ISBLANK(Audit[[#This Row],[Audit Losing Candidate]])), Audit[[#This Row],[Audit Losing Candidate]]-Audit[[#This Row],[Losing Candidate]], "")</f>
        <v/>
      </c>
      <c r="AG765" s="17" t="str">
        <f>IF(NOT(ISBLANK(Audit[[#This Row],[Audit Candidate 3]])), Audit[[#This Row],[Audit Candidate 3]]-Audit[[#This Row],[Candidate 3]], "")</f>
        <v/>
      </c>
      <c r="AH765" s="17" t="str">
        <f>IF(NOT(ISBLANK(Audit[[#This Row],[Audit Candidate 4]])),Audit[[#This Row],[Audit Candidate 4]]-Audit[[#This Row],[Candidate 4]], "")</f>
        <v/>
      </c>
      <c r="AI765" s="17" t="str">
        <f>IF(NOT(ISBLANK(Audit[[#This Row],[Audit Candidate 5]])), Audit[[#This Row],[Audit Candidate 5]]-Audit[[#This Row],[Candidate 5]], "")</f>
        <v/>
      </c>
      <c r="AJ765" s="17" t="str">
        <f>IF(NOT(ISBLANK(Audit[[#This Row],[Audit Candidate 6]])), Audit[[#This Row],[Audit Candidate 6]]-Audit[[#This Row],[Candidate 6]], "")</f>
        <v/>
      </c>
      <c r="AK765" s="17" t="str">
        <f>IF(NOT(ISBLANK(Audit[[#This Row],[Audit Candidate 7]])), Audit[[#This Row],[Audit Candidate 7]]-Audit[[#This Row],[Candidate 7]], "")</f>
        <v/>
      </c>
      <c r="AL765" s="17" t="str">
        <f>IF(NOT(ISBLANK(Audit[[#This Row],[Audit Candidate 8]])), Audit[[#This Row],[Audit Candidate 8]]-Audit[[#This Row],[Candidate 8]], "")</f>
        <v/>
      </c>
      <c r="AM765" s="17" t="str">
        <f>IF(NOT(ISBLANK(Audit[[#This Row],[Audit Candidate 9]])), Audit[[#This Row],[Audit Candidate 9]]-Audit[[#This Row],[Candidate 9]], "")</f>
        <v/>
      </c>
      <c r="AN765" s="17" t="str">
        <f>IF(NOT(ISBLANK(Audit[[#This Row],[Audit Candidate 10]])), Audit[[#This Row],[Audit Candidate 10]]-Audit[[#This Row],[Candidate 10]], "")</f>
        <v/>
      </c>
      <c r="AO765" s="17" t="str">
        <f>IF(NOT(ISBLANK(Audit[[#This Row],[Audit Candidate 11]])), Audit[[#This Row],[Audit Candidate 11]]-Audit[[#This Row],[Candidate 11]], "")</f>
        <v/>
      </c>
      <c r="AP765" s="17" t="str">
        <f>IF(NOT(ISBLANK(Audit[[#This Row],[Audit Candidate 12]])), Audit[[#This Row],[Audit Candidate 12]]-Audit[[#This Row],[Candidate 12]], "")</f>
        <v/>
      </c>
      <c r="AQ765" s="17">
        <f>SUMIF(Audit[[#This Row],[Difference Winner]:[Difference Candidate 12]], "&gt;0")</f>
        <v>0</v>
      </c>
      <c r="AR765" s="17">
        <f>SUM(Audit[[#This Row],[Difference Winner]:[Difference Candidate 12]])</f>
        <v>0</v>
      </c>
      <c r="AS765" s="17">
        <f>IF(Audit[[#This Row],[Times p Drawn - With Replacement]]&gt;0, IF(Audit[[#This Row],[Canceled Differences]]&lt;0, Audit[[#This Row],[Max Differences]]+ABS(Audit[[#This Row],[Canceled Differences]]), Audit[[#This Row],[Max Differences]]), 0)</f>
        <v>0</v>
      </c>
      <c r="AT765" s="17">
        <f>'Sampling Data'!AB765</f>
        <v>1.9563741300288574E-2</v>
      </c>
      <c r="AU765" s="17">
        <f>IF(
      SUM(Audit[[#This Row],[Audit Losing Candidate]:[Audit Candidate 12]])
      &lt;&gt;0,
      (Audit[[#This Row],[Winning Candidate]]-Audit[[#This Row],[Losing Candidate]]-(Audit[[#This Row],[Audit Winning Candidate]]-Audit[[#This Row],[Audit Losing Candidate]]))/(Audit[[#Totals],[Winning Candidate]]-Audit[[#Totals],[Losing Candidate]]),
      0
)</f>
        <v>0</v>
      </c>
      <c r="AV7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5" s="17">
        <f>IF(Audit[[#This Row],[Max Relative Error (ep)]] = 0, 0, Audit[[#This Row],[Max Relative Error (ep)]]/Audit[[#This Row],[Error Bound (up) - Max. possible relative overstatement]])</f>
        <v>0</v>
      </c>
      <c r="BH7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65" s="17">
        <f t="shared" si="12"/>
        <v>1</v>
      </c>
      <c r="BJ765" s="17">
        <f>PRODUCT($BI$5:BI765)</f>
        <v>0.20274654467839762</v>
      </c>
      <c r="BK765" s="19">
        <f>1 - Audit[[#This Row],[K-M P Value]]</f>
        <v>0.79725345532160241</v>
      </c>
      <c r="BL765" s="17" t="str">
        <f>IF(Audit[[#This Row],[K-M P Value]]&gt;1-'General Info'!$B$12,"Continue", "Stop")</f>
        <v>Continue</v>
      </c>
      <c r="BM765" s="22" t="b">
        <f>IF(Audit[[#This Row],[Status - Continue or stop audit]] = "Continue", TRUE, IF(BL764 = "Continue", TRUE, FALSE))</f>
        <v>1</v>
      </c>
      <c r="BN765" s="22"/>
    </row>
    <row r="766" spans="1:66" ht="15" hidden="1" customHeight="1" x14ac:dyDescent="0.35">
      <c r="A766" s="17" t="str">
        <f>'Sampling Data'!AI766</f>
        <v/>
      </c>
      <c r="B766" s="17" t="str">
        <f>'Sampling Data'!A766</f>
        <v>2851 BLUE 5-A   (ED)</v>
      </c>
      <c r="C766" s="17">
        <f>'Sampling Data'!B766</f>
        <v>162</v>
      </c>
      <c r="D766" s="17">
        <f>'Sampling Data'!C766</f>
        <v>181</v>
      </c>
      <c r="E766" s="18">
        <f>'Sampling Data'!D766</f>
        <v>0</v>
      </c>
      <c r="F766" s="18">
        <f>'Sampling Data'!E766</f>
        <v>0</v>
      </c>
      <c r="G766" s="18">
        <f>'Sampling Data'!F766</f>
        <v>0</v>
      </c>
      <c r="H766" s="18">
        <f>'Sampling Data'!G766</f>
        <v>0</v>
      </c>
      <c r="I766" s="18">
        <f>'Sampling Data'!H766</f>
        <v>0</v>
      </c>
      <c r="J766" s="18">
        <f>'Sampling Data'!I766</f>
        <v>0</v>
      </c>
      <c r="K766" s="18">
        <f>'Sampling Data'!J766</f>
        <v>0</v>
      </c>
      <c r="L766" s="18">
        <f>'Sampling Data'!K766</f>
        <v>0</v>
      </c>
      <c r="M766" s="18">
        <f>'Sampling Data'!L766</f>
        <v>0</v>
      </c>
      <c r="N766" s="18">
        <f>'Sampling Data'!M766</f>
        <v>0</v>
      </c>
      <c r="O766" s="17">
        <f>'Sampling Data'!N766</f>
        <v>1</v>
      </c>
      <c r="P766" s="17">
        <f>'Sampling Data'!O766</f>
        <v>26</v>
      </c>
      <c r="Q766" s="17">
        <f>'Sampling Data'!P766</f>
        <v>370</v>
      </c>
      <c r="R766" s="17">
        <f>'Sampling Data'!AJ766</f>
        <v>0</v>
      </c>
      <c r="S766" s="111"/>
      <c r="T766" s="111"/>
      <c r="U766" s="112"/>
      <c r="V766" s="112"/>
      <c r="W766" s="111"/>
      <c r="X766" s="111"/>
      <c r="Y766" s="111"/>
      <c r="Z766" s="111"/>
      <c r="AA766" s="14"/>
      <c r="AB766" s="14"/>
      <c r="AC766" s="14"/>
      <c r="AD766" s="14"/>
      <c r="AE766" s="113" t="str">
        <f>IF(NOT(ISBLANK(Audit[[#This Row],[Audit Winning Candidate]])), Audit[[#This Row],[Audit Winning Candidate]]-Audit[[#This Row],[Winning Candidate]], "")</f>
        <v/>
      </c>
      <c r="AF766" s="17" t="str">
        <f>IF(NOT(ISBLANK(Audit[[#This Row],[Audit Losing Candidate]])), Audit[[#This Row],[Audit Losing Candidate]]-Audit[[#This Row],[Losing Candidate]], "")</f>
        <v/>
      </c>
      <c r="AG766" s="17" t="str">
        <f>IF(NOT(ISBLANK(Audit[[#This Row],[Audit Candidate 3]])), Audit[[#This Row],[Audit Candidate 3]]-Audit[[#This Row],[Candidate 3]], "")</f>
        <v/>
      </c>
      <c r="AH766" s="17" t="str">
        <f>IF(NOT(ISBLANK(Audit[[#This Row],[Audit Candidate 4]])),Audit[[#This Row],[Audit Candidate 4]]-Audit[[#This Row],[Candidate 4]], "")</f>
        <v/>
      </c>
      <c r="AI766" s="17" t="str">
        <f>IF(NOT(ISBLANK(Audit[[#This Row],[Audit Candidate 5]])), Audit[[#This Row],[Audit Candidate 5]]-Audit[[#This Row],[Candidate 5]], "")</f>
        <v/>
      </c>
      <c r="AJ766" s="17" t="str">
        <f>IF(NOT(ISBLANK(Audit[[#This Row],[Audit Candidate 6]])), Audit[[#This Row],[Audit Candidate 6]]-Audit[[#This Row],[Candidate 6]], "")</f>
        <v/>
      </c>
      <c r="AK766" s="17" t="str">
        <f>IF(NOT(ISBLANK(Audit[[#This Row],[Audit Candidate 7]])), Audit[[#This Row],[Audit Candidate 7]]-Audit[[#This Row],[Candidate 7]], "")</f>
        <v/>
      </c>
      <c r="AL766" s="17" t="str">
        <f>IF(NOT(ISBLANK(Audit[[#This Row],[Audit Candidate 8]])), Audit[[#This Row],[Audit Candidate 8]]-Audit[[#This Row],[Candidate 8]], "")</f>
        <v/>
      </c>
      <c r="AM766" s="17" t="str">
        <f>IF(NOT(ISBLANK(Audit[[#This Row],[Audit Candidate 9]])), Audit[[#This Row],[Audit Candidate 9]]-Audit[[#This Row],[Candidate 9]], "")</f>
        <v/>
      </c>
      <c r="AN766" s="17" t="str">
        <f>IF(NOT(ISBLANK(Audit[[#This Row],[Audit Candidate 10]])), Audit[[#This Row],[Audit Candidate 10]]-Audit[[#This Row],[Candidate 10]], "")</f>
        <v/>
      </c>
      <c r="AO766" s="17" t="str">
        <f>IF(NOT(ISBLANK(Audit[[#This Row],[Audit Candidate 11]])), Audit[[#This Row],[Audit Candidate 11]]-Audit[[#This Row],[Candidate 11]], "")</f>
        <v/>
      </c>
      <c r="AP766" s="17" t="str">
        <f>IF(NOT(ISBLANK(Audit[[#This Row],[Audit Candidate 12]])), Audit[[#This Row],[Audit Candidate 12]]-Audit[[#This Row],[Candidate 12]], "")</f>
        <v/>
      </c>
      <c r="AQ766" s="17">
        <f>SUMIF(Audit[[#This Row],[Difference Winner]:[Difference Candidate 12]], "&gt;0")</f>
        <v>0</v>
      </c>
      <c r="AR766" s="17">
        <f>SUM(Audit[[#This Row],[Difference Winner]:[Difference Candidate 12]])</f>
        <v>0</v>
      </c>
      <c r="AS766" s="17">
        <f>IF(Audit[[#This Row],[Times p Drawn - With Replacement]]&gt;0, IF(Audit[[#This Row],[Canceled Differences]]&lt;0, Audit[[#This Row],[Max Differences]]+ABS(Audit[[#This Row],[Canceled Differences]]), Audit[[#This Row],[Max Differences]]), 0)</f>
        <v>0</v>
      </c>
      <c r="AT766" s="17">
        <f>'Sampling Data'!AB766</f>
        <v>1.4895603462909524E-2</v>
      </c>
      <c r="AU766" s="17">
        <f>IF(
      SUM(Audit[[#This Row],[Audit Losing Candidate]:[Audit Candidate 12]])
      &lt;&gt;0,
      (Audit[[#This Row],[Winning Candidate]]-Audit[[#This Row],[Losing Candidate]]-(Audit[[#This Row],[Audit Winning Candidate]]-Audit[[#This Row],[Audit Losing Candidate]]))/(Audit[[#Totals],[Winning Candidate]]-Audit[[#Totals],[Losing Candidate]]),
      0
)</f>
        <v>0</v>
      </c>
      <c r="AV7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6" s="17">
        <f>IF(Audit[[#This Row],[Max Relative Error (ep)]] = 0, 0, Audit[[#This Row],[Max Relative Error (ep)]]/Audit[[#This Row],[Error Bound (up) - Max. possible relative overstatement]])</f>
        <v>0</v>
      </c>
      <c r="BH7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66" s="17">
        <f t="shared" si="12"/>
        <v>1</v>
      </c>
      <c r="BJ766" s="17">
        <f>PRODUCT($BI$5:BI766)</f>
        <v>0.20274654467839762</v>
      </c>
      <c r="BK766" s="19">
        <f>1 - Audit[[#This Row],[K-M P Value]]</f>
        <v>0.79725345532160241</v>
      </c>
      <c r="BL766" s="17" t="str">
        <f>IF(Audit[[#This Row],[K-M P Value]]&gt;1-'General Info'!$B$12,"Continue", "Stop")</f>
        <v>Continue</v>
      </c>
      <c r="BM766" s="22" t="b">
        <f>IF(Audit[[#This Row],[Status - Continue or stop audit]] = "Continue", TRUE, IF(BL765 = "Continue", TRUE, FALSE))</f>
        <v>1</v>
      </c>
      <c r="BN766" s="22"/>
    </row>
    <row r="767" spans="1:66" ht="15" hidden="1" customHeight="1" x14ac:dyDescent="0.35">
      <c r="A767" s="17" t="str">
        <f>'Sampling Data'!AI767</f>
        <v/>
      </c>
      <c r="B767" s="17" t="str">
        <f>'Sampling Data'!A767</f>
        <v>2852 BLUE 5-B   (ED)</v>
      </c>
      <c r="C767" s="17">
        <f>'Sampling Data'!B767</f>
        <v>193</v>
      </c>
      <c r="D767" s="17">
        <f>'Sampling Data'!C767</f>
        <v>149</v>
      </c>
      <c r="E767" s="18">
        <f>'Sampling Data'!D767</f>
        <v>0</v>
      </c>
      <c r="F767" s="18">
        <f>'Sampling Data'!E767</f>
        <v>0</v>
      </c>
      <c r="G767" s="18">
        <f>'Sampling Data'!F767</f>
        <v>0</v>
      </c>
      <c r="H767" s="18">
        <f>'Sampling Data'!G767</f>
        <v>0</v>
      </c>
      <c r="I767" s="18">
        <f>'Sampling Data'!H767</f>
        <v>0</v>
      </c>
      <c r="J767" s="18">
        <f>'Sampling Data'!I767</f>
        <v>0</v>
      </c>
      <c r="K767" s="18">
        <f>'Sampling Data'!J767</f>
        <v>0</v>
      </c>
      <c r="L767" s="18">
        <f>'Sampling Data'!K767</f>
        <v>0</v>
      </c>
      <c r="M767" s="18">
        <f>'Sampling Data'!L767</f>
        <v>0</v>
      </c>
      <c r="N767" s="18">
        <f>'Sampling Data'!M767</f>
        <v>0</v>
      </c>
      <c r="O767" s="17">
        <f>'Sampling Data'!N767</f>
        <v>0</v>
      </c>
      <c r="P767" s="17">
        <f>'Sampling Data'!O767</f>
        <v>19</v>
      </c>
      <c r="Q767" s="17">
        <f>'Sampling Data'!P767</f>
        <v>361</v>
      </c>
      <c r="R767" s="17">
        <f>'Sampling Data'!AJ767</f>
        <v>0</v>
      </c>
      <c r="S767" s="111"/>
      <c r="T767" s="111"/>
      <c r="U767" s="112"/>
      <c r="V767" s="112"/>
      <c r="W767" s="111"/>
      <c r="X767" s="111"/>
      <c r="Y767" s="111"/>
      <c r="Z767" s="111"/>
      <c r="AA767" s="14"/>
      <c r="AB767" s="14"/>
      <c r="AC767" s="14"/>
      <c r="AD767" s="14"/>
      <c r="AE767" s="113" t="str">
        <f>IF(NOT(ISBLANK(Audit[[#This Row],[Audit Winning Candidate]])), Audit[[#This Row],[Audit Winning Candidate]]-Audit[[#This Row],[Winning Candidate]], "")</f>
        <v/>
      </c>
      <c r="AF767" s="17" t="str">
        <f>IF(NOT(ISBLANK(Audit[[#This Row],[Audit Losing Candidate]])), Audit[[#This Row],[Audit Losing Candidate]]-Audit[[#This Row],[Losing Candidate]], "")</f>
        <v/>
      </c>
      <c r="AG767" s="17" t="str">
        <f>IF(NOT(ISBLANK(Audit[[#This Row],[Audit Candidate 3]])), Audit[[#This Row],[Audit Candidate 3]]-Audit[[#This Row],[Candidate 3]], "")</f>
        <v/>
      </c>
      <c r="AH767" s="17" t="str">
        <f>IF(NOT(ISBLANK(Audit[[#This Row],[Audit Candidate 4]])),Audit[[#This Row],[Audit Candidate 4]]-Audit[[#This Row],[Candidate 4]], "")</f>
        <v/>
      </c>
      <c r="AI767" s="17" t="str">
        <f>IF(NOT(ISBLANK(Audit[[#This Row],[Audit Candidate 5]])), Audit[[#This Row],[Audit Candidate 5]]-Audit[[#This Row],[Candidate 5]], "")</f>
        <v/>
      </c>
      <c r="AJ767" s="17" t="str">
        <f>IF(NOT(ISBLANK(Audit[[#This Row],[Audit Candidate 6]])), Audit[[#This Row],[Audit Candidate 6]]-Audit[[#This Row],[Candidate 6]], "")</f>
        <v/>
      </c>
      <c r="AK767" s="17" t="str">
        <f>IF(NOT(ISBLANK(Audit[[#This Row],[Audit Candidate 7]])), Audit[[#This Row],[Audit Candidate 7]]-Audit[[#This Row],[Candidate 7]], "")</f>
        <v/>
      </c>
      <c r="AL767" s="17" t="str">
        <f>IF(NOT(ISBLANK(Audit[[#This Row],[Audit Candidate 8]])), Audit[[#This Row],[Audit Candidate 8]]-Audit[[#This Row],[Candidate 8]], "")</f>
        <v/>
      </c>
      <c r="AM767" s="17" t="str">
        <f>IF(NOT(ISBLANK(Audit[[#This Row],[Audit Candidate 9]])), Audit[[#This Row],[Audit Candidate 9]]-Audit[[#This Row],[Candidate 9]], "")</f>
        <v/>
      </c>
      <c r="AN767" s="17" t="str">
        <f>IF(NOT(ISBLANK(Audit[[#This Row],[Audit Candidate 10]])), Audit[[#This Row],[Audit Candidate 10]]-Audit[[#This Row],[Candidate 10]], "")</f>
        <v/>
      </c>
      <c r="AO767" s="17" t="str">
        <f>IF(NOT(ISBLANK(Audit[[#This Row],[Audit Candidate 11]])), Audit[[#This Row],[Audit Candidate 11]]-Audit[[#This Row],[Candidate 11]], "")</f>
        <v/>
      </c>
      <c r="AP767" s="17" t="str">
        <f>IF(NOT(ISBLANK(Audit[[#This Row],[Audit Candidate 12]])), Audit[[#This Row],[Audit Candidate 12]]-Audit[[#This Row],[Candidate 12]], "")</f>
        <v/>
      </c>
      <c r="AQ767" s="17">
        <f>SUMIF(Audit[[#This Row],[Difference Winner]:[Difference Candidate 12]], "&gt;0")</f>
        <v>0</v>
      </c>
      <c r="AR767" s="17">
        <f>SUM(Audit[[#This Row],[Difference Winner]:[Difference Candidate 12]])</f>
        <v>0</v>
      </c>
      <c r="AS767" s="17">
        <f>IF(Audit[[#This Row],[Times p Drawn - With Replacement]]&gt;0, IF(Audit[[#This Row],[Canceled Differences]]&lt;0, Audit[[#This Row],[Max Differences]]+ABS(Audit[[#This Row],[Canceled Differences]]), Audit[[#This Row],[Max Differences]]), 0)</f>
        <v>0</v>
      </c>
      <c r="AT767" s="17">
        <f>'Sampling Data'!AB767</f>
        <v>1.7187234764895604E-2</v>
      </c>
      <c r="AU767" s="17">
        <f>IF(
      SUM(Audit[[#This Row],[Audit Losing Candidate]:[Audit Candidate 12]])
      &lt;&gt;0,
      (Audit[[#This Row],[Winning Candidate]]-Audit[[#This Row],[Losing Candidate]]-(Audit[[#This Row],[Audit Winning Candidate]]-Audit[[#This Row],[Audit Losing Candidate]]))/(Audit[[#Totals],[Winning Candidate]]-Audit[[#Totals],[Losing Candidate]]),
      0
)</f>
        <v>0</v>
      </c>
      <c r="AV7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7" s="17">
        <f>IF(Audit[[#This Row],[Max Relative Error (ep)]] = 0, 0, Audit[[#This Row],[Max Relative Error (ep)]]/Audit[[#This Row],[Error Bound (up) - Max. possible relative overstatement]])</f>
        <v>0</v>
      </c>
      <c r="BH7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67" s="17">
        <f t="shared" si="12"/>
        <v>1</v>
      </c>
      <c r="BJ767" s="17">
        <f>PRODUCT($BI$5:BI767)</f>
        <v>0.20274654467839762</v>
      </c>
      <c r="BK767" s="19">
        <f>1 - Audit[[#This Row],[K-M P Value]]</f>
        <v>0.79725345532160241</v>
      </c>
      <c r="BL767" s="17" t="str">
        <f>IF(Audit[[#This Row],[K-M P Value]]&gt;1-'General Info'!$B$12,"Continue", "Stop")</f>
        <v>Continue</v>
      </c>
      <c r="BM767" s="22" t="b">
        <f>IF(Audit[[#This Row],[Status - Continue or stop audit]] = "Continue", TRUE, IF(BL766 = "Continue", TRUE, FALSE))</f>
        <v>1</v>
      </c>
      <c r="BN767" s="22"/>
    </row>
    <row r="768" spans="1:66" ht="15" hidden="1" customHeight="1" x14ac:dyDescent="0.35">
      <c r="A768" s="17" t="str">
        <f>'Sampling Data'!AI768</f>
        <v/>
      </c>
      <c r="B768" s="17" t="str">
        <f>'Sampling Data'!A768</f>
        <v>2911 CHEV 1-A   (ED)</v>
      </c>
      <c r="C768" s="17">
        <f>'Sampling Data'!B768</f>
        <v>301</v>
      </c>
      <c r="D768" s="17">
        <f>'Sampling Data'!C768</f>
        <v>327</v>
      </c>
      <c r="E768" s="18">
        <f>'Sampling Data'!D768</f>
        <v>0</v>
      </c>
      <c r="F768" s="18">
        <f>'Sampling Data'!E768</f>
        <v>0</v>
      </c>
      <c r="G768" s="18">
        <f>'Sampling Data'!F768</f>
        <v>0</v>
      </c>
      <c r="H768" s="18">
        <f>'Sampling Data'!G768</f>
        <v>0</v>
      </c>
      <c r="I768" s="18">
        <f>'Sampling Data'!H768</f>
        <v>0</v>
      </c>
      <c r="J768" s="18">
        <f>'Sampling Data'!I768</f>
        <v>0</v>
      </c>
      <c r="K768" s="18">
        <f>'Sampling Data'!J768</f>
        <v>0</v>
      </c>
      <c r="L768" s="18">
        <f>'Sampling Data'!K768</f>
        <v>0</v>
      </c>
      <c r="M768" s="18">
        <f>'Sampling Data'!L768</f>
        <v>0</v>
      </c>
      <c r="N768" s="18">
        <f>'Sampling Data'!M768</f>
        <v>0</v>
      </c>
      <c r="O768" s="17">
        <f>'Sampling Data'!N768</f>
        <v>1</v>
      </c>
      <c r="P768" s="17">
        <f>'Sampling Data'!O768</f>
        <v>48</v>
      </c>
      <c r="Q768" s="17">
        <f>'Sampling Data'!P768</f>
        <v>677</v>
      </c>
      <c r="R768" s="17">
        <f>'Sampling Data'!AJ768</f>
        <v>0</v>
      </c>
      <c r="S768" s="111"/>
      <c r="T768" s="111"/>
      <c r="U768" s="112"/>
      <c r="V768" s="112"/>
      <c r="W768" s="111"/>
      <c r="X768" s="111"/>
      <c r="Y768" s="111"/>
      <c r="Z768" s="111"/>
      <c r="AA768" s="14"/>
      <c r="AB768" s="14"/>
      <c r="AC768" s="14"/>
      <c r="AD768" s="14"/>
      <c r="AE768" s="113" t="str">
        <f>IF(NOT(ISBLANK(Audit[[#This Row],[Audit Winning Candidate]])), Audit[[#This Row],[Audit Winning Candidate]]-Audit[[#This Row],[Winning Candidate]], "")</f>
        <v/>
      </c>
      <c r="AF768" s="17" t="str">
        <f>IF(NOT(ISBLANK(Audit[[#This Row],[Audit Losing Candidate]])), Audit[[#This Row],[Audit Losing Candidate]]-Audit[[#This Row],[Losing Candidate]], "")</f>
        <v/>
      </c>
      <c r="AG768" s="17" t="str">
        <f>IF(NOT(ISBLANK(Audit[[#This Row],[Audit Candidate 3]])), Audit[[#This Row],[Audit Candidate 3]]-Audit[[#This Row],[Candidate 3]], "")</f>
        <v/>
      </c>
      <c r="AH768" s="17" t="str">
        <f>IF(NOT(ISBLANK(Audit[[#This Row],[Audit Candidate 4]])),Audit[[#This Row],[Audit Candidate 4]]-Audit[[#This Row],[Candidate 4]], "")</f>
        <v/>
      </c>
      <c r="AI768" s="17" t="str">
        <f>IF(NOT(ISBLANK(Audit[[#This Row],[Audit Candidate 5]])), Audit[[#This Row],[Audit Candidate 5]]-Audit[[#This Row],[Candidate 5]], "")</f>
        <v/>
      </c>
      <c r="AJ768" s="17" t="str">
        <f>IF(NOT(ISBLANK(Audit[[#This Row],[Audit Candidate 6]])), Audit[[#This Row],[Audit Candidate 6]]-Audit[[#This Row],[Candidate 6]], "")</f>
        <v/>
      </c>
      <c r="AK768" s="17" t="str">
        <f>IF(NOT(ISBLANK(Audit[[#This Row],[Audit Candidate 7]])), Audit[[#This Row],[Audit Candidate 7]]-Audit[[#This Row],[Candidate 7]], "")</f>
        <v/>
      </c>
      <c r="AL768" s="17" t="str">
        <f>IF(NOT(ISBLANK(Audit[[#This Row],[Audit Candidate 8]])), Audit[[#This Row],[Audit Candidate 8]]-Audit[[#This Row],[Candidate 8]], "")</f>
        <v/>
      </c>
      <c r="AM768" s="17" t="str">
        <f>IF(NOT(ISBLANK(Audit[[#This Row],[Audit Candidate 9]])), Audit[[#This Row],[Audit Candidate 9]]-Audit[[#This Row],[Candidate 9]], "")</f>
        <v/>
      </c>
      <c r="AN768" s="17" t="str">
        <f>IF(NOT(ISBLANK(Audit[[#This Row],[Audit Candidate 10]])), Audit[[#This Row],[Audit Candidate 10]]-Audit[[#This Row],[Candidate 10]], "")</f>
        <v/>
      </c>
      <c r="AO768" s="17" t="str">
        <f>IF(NOT(ISBLANK(Audit[[#This Row],[Audit Candidate 11]])), Audit[[#This Row],[Audit Candidate 11]]-Audit[[#This Row],[Candidate 11]], "")</f>
        <v/>
      </c>
      <c r="AP768" s="17" t="str">
        <f>IF(NOT(ISBLANK(Audit[[#This Row],[Audit Candidate 12]])), Audit[[#This Row],[Audit Candidate 12]]-Audit[[#This Row],[Candidate 12]], "")</f>
        <v/>
      </c>
      <c r="AQ768" s="17">
        <f>SUMIF(Audit[[#This Row],[Difference Winner]:[Difference Candidate 12]], "&gt;0")</f>
        <v>0</v>
      </c>
      <c r="AR768" s="17">
        <f>SUM(Audit[[#This Row],[Difference Winner]:[Difference Candidate 12]])</f>
        <v>0</v>
      </c>
      <c r="AS768" s="17">
        <f>IF(Audit[[#This Row],[Times p Drawn - With Replacement]]&gt;0, IF(Audit[[#This Row],[Canceled Differences]]&lt;0, Audit[[#This Row],[Max Differences]]+ABS(Audit[[#This Row],[Canceled Differences]]), Audit[[#This Row],[Max Differences]]), 0)</f>
        <v>0</v>
      </c>
      <c r="AT768" s="17">
        <f>'Sampling Data'!AB768</f>
        <v>2.7626888473943303E-2</v>
      </c>
      <c r="AU768" s="17">
        <f>IF(
      SUM(Audit[[#This Row],[Audit Losing Candidate]:[Audit Candidate 12]])
      &lt;&gt;0,
      (Audit[[#This Row],[Winning Candidate]]-Audit[[#This Row],[Losing Candidate]]-(Audit[[#This Row],[Audit Winning Candidate]]-Audit[[#This Row],[Audit Losing Candidate]]))/(Audit[[#Totals],[Winning Candidate]]-Audit[[#Totals],[Losing Candidate]]),
      0
)</f>
        <v>0</v>
      </c>
      <c r="AV7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8" s="17">
        <f>IF(Audit[[#This Row],[Max Relative Error (ep)]] = 0, 0, Audit[[#This Row],[Max Relative Error (ep)]]/Audit[[#This Row],[Error Bound (up) - Max. possible relative overstatement]])</f>
        <v>0</v>
      </c>
      <c r="BH7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68" s="17">
        <f t="shared" si="12"/>
        <v>1</v>
      </c>
      <c r="BJ768" s="17">
        <f>PRODUCT($BI$5:BI768)</f>
        <v>0.20274654467839762</v>
      </c>
      <c r="BK768" s="19">
        <f>1 - Audit[[#This Row],[K-M P Value]]</f>
        <v>0.79725345532160241</v>
      </c>
      <c r="BL768" s="17" t="str">
        <f>IF(Audit[[#This Row],[K-M P Value]]&gt;1-'General Info'!$B$12,"Continue", "Stop")</f>
        <v>Continue</v>
      </c>
      <c r="BM768" s="22" t="b">
        <f>IF(Audit[[#This Row],[Status - Continue or stop audit]] = "Continue", TRUE, IF(BL767 = "Continue", TRUE, FALSE))</f>
        <v>1</v>
      </c>
      <c r="BN768" s="22"/>
    </row>
    <row r="769" spans="1:66" ht="15" hidden="1" customHeight="1" x14ac:dyDescent="0.35">
      <c r="A769" s="17" t="str">
        <f>'Sampling Data'!AI769</f>
        <v/>
      </c>
      <c r="B769" s="17" t="str">
        <f>'Sampling Data'!A769</f>
        <v>2921 CHEV 2-A   (ED)</v>
      </c>
      <c r="C769" s="17">
        <f>'Sampling Data'!B769</f>
        <v>277</v>
      </c>
      <c r="D769" s="17">
        <f>'Sampling Data'!C769</f>
        <v>386</v>
      </c>
      <c r="E769" s="18">
        <f>'Sampling Data'!D769</f>
        <v>0</v>
      </c>
      <c r="F769" s="18">
        <f>'Sampling Data'!E769</f>
        <v>0</v>
      </c>
      <c r="G769" s="18">
        <f>'Sampling Data'!F769</f>
        <v>0</v>
      </c>
      <c r="H769" s="18">
        <f>'Sampling Data'!G769</f>
        <v>0</v>
      </c>
      <c r="I769" s="18">
        <f>'Sampling Data'!H769</f>
        <v>0</v>
      </c>
      <c r="J769" s="18">
        <f>'Sampling Data'!I769</f>
        <v>0</v>
      </c>
      <c r="K769" s="18">
        <f>'Sampling Data'!J769</f>
        <v>0</v>
      </c>
      <c r="L769" s="18">
        <f>'Sampling Data'!K769</f>
        <v>0</v>
      </c>
      <c r="M769" s="18">
        <f>'Sampling Data'!L769</f>
        <v>0</v>
      </c>
      <c r="N769" s="18">
        <f>'Sampling Data'!M769</f>
        <v>0</v>
      </c>
      <c r="O769" s="17">
        <f>'Sampling Data'!N769</f>
        <v>0</v>
      </c>
      <c r="P769" s="17">
        <f>'Sampling Data'!O769</f>
        <v>54</v>
      </c>
      <c r="Q769" s="17">
        <f>'Sampling Data'!P769</f>
        <v>717</v>
      </c>
      <c r="R769" s="17">
        <f>'Sampling Data'!AJ769</f>
        <v>0</v>
      </c>
      <c r="S769" s="111"/>
      <c r="T769" s="111"/>
      <c r="U769" s="112"/>
      <c r="V769" s="112"/>
      <c r="W769" s="111"/>
      <c r="X769" s="111"/>
      <c r="Y769" s="111"/>
      <c r="Z769" s="111"/>
      <c r="AA769" s="14"/>
      <c r="AB769" s="14"/>
      <c r="AC769" s="14"/>
      <c r="AD769" s="14"/>
      <c r="AE769" s="113" t="str">
        <f>IF(NOT(ISBLANK(Audit[[#This Row],[Audit Winning Candidate]])), Audit[[#This Row],[Audit Winning Candidate]]-Audit[[#This Row],[Winning Candidate]], "")</f>
        <v/>
      </c>
      <c r="AF769" s="17" t="str">
        <f>IF(NOT(ISBLANK(Audit[[#This Row],[Audit Losing Candidate]])), Audit[[#This Row],[Audit Losing Candidate]]-Audit[[#This Row],[Losing Candidate]], "")</f>
        <v/>
      </c>
      <c r="AG769" s="17" t="str">
        <f>IF(NOT(ISBLANK(Audit[[#This Row],[Audit Candidate 3]])), Audit[[#This Row],[Audit Candidate 3]]-Audit[[#This Row],[Candidate 3]], "")</f>
        <v/>
      </c>
      <c r="AH769" s="17" t="str">
        <f>IF(NOT(ISBLANK(Audit[[#This Row],[Audit Candidate 4]])),Audit[[#This Row],[Audit Candidate 4]]-Audit[[#This Row],[Candidate 4]], "")</f>
        <v/>
      </c>
      <c r="AI769" s="17" t="str">
        <f>IF(NOT(ISBLANK(Audit[[#This Row],[Audit Candidate 5]])), Audit[[#This Row],[Audit Candidate 5]]-Audit[[#This Row],[Candidate 5]], "")</f>
        <v/>
      </c>
      <c r="AJ769" s="17" t="str">
        <f>IF(NOT(ISBLANK(Audit[[#This Row],[Audit Candidate 6]])), Audit[[#This Row],[Audit Candidate 6]]-Audit[[#This Row],[Candidate 6]], "")</f>
        <v/>
      </c>
      <c r="AK769" s="17" t="str">
        <f>IF(NOT(ISBLANK(Audit[[#This Row],[Audit Candidate 7]])), Audit[[#This Row],[Audit Candidate 7]]-Audit[[#This Row],[Candidate 7]], "")</f>
        <v/>
      </c>
      <c r="AL769" s="17" t="str">
        <f>IF(NOT(ISBLANK(Audit[[#This Row],[Audit Candidate 8]])), Audit[[#This Row],[Audit Candidate 8]]-Audit[[#This Row],[Candidate 8]], "")</f>
        <v/>
      </c>
      <c r="AM769" s="17" t="str">
        <f>IF(NOT(ISBLANK(Audit[[#This Row],[Audit Candidate 9]])), Audit[[#This Row],[Audit Candidate 9]]-Audit[[#This Row],[Candidate 9]], "")</f>
        <v/>
      </c>
      <c r="AN769" s="17" t="str">
        <f>IF(NOT(ISBLANK(Audit[[#This Row],[Audit Candidate 10]])), Audit[[#This Row],[Audit Candidate 10]]-Audit[[#This Row],[Candidate 10]], "")</f>
        <v/>
      </c>
      <c r="AO769" s="17" t="str">
        <f>IF(NOT(ISBLANK(Audit[[#This Row],[Audit Candidate 11]])), Audit[[#This Row],[Audit Candidate 11]]-Audit[[#This Row],[Candidate 11]], "")</f>
        <v/>
      </c>
      <c r="AP769" s="17" t="str">
        <f>IF(NOT(ISBLANK(Audit[[#This Row],[Audit Candidate 12]])), Audit[[#This Row],[Audit Candidate 12]]-Audit[[#This Row],[Candidate 12]], "")</f>
        <v/>
      </c>
      <c r="AQ769" s="17">
        <f>SUMIF(Audit[[#This Row],[Difference Winner]:[Difference Candidate 12]], "&gt;0")</f>
        <v>0</v>
      </c>
      <c r="AR769" s="17">
        <f>SUM(Audit[[#This Row],[Difference Winner]:[Difference Candidate 12]])</f>
        <v>0</v>
      </c>
      <c r="AS769" s="17">
        <f>IF(Audit[[#This Row],[Times p Drawn - With Replacement]]&gt;0, IF(Audit[[#This Row],[Canceled Differences]]&lt;0, Audit[[#This Row],[Max Differences]]+ABS(Audit[[#This Row],[Canceled Differences]]), Audit[[#This Row],[Max Differences]]), 0)</f>
        <v>0</v>
      </c>
      <c r="AT769" s="17">
        <f>'Sampling Data'!AB769</f>
        <v>2.5802070955695127E-2</v>
      </c>
      <c r="AU769" s="17">
        <f>IF(
      SUM(Audit[[#This Row],[Audit Losing Candidate]:[Audit Candidate 12]])
      &lt;&gt;0,
      (Audit[[#This Row],[Winning Candidate]]-Audit[[#This Row],[Losing Candidate]]-(Audit[[#This Row],[Audit Winning Candidate]]-Audit[[#This Row],[Audit Losing Candidate]]))/(Audit[[#Totals],[Winning Candidate]]-Audit[[#Totals],[Losing Candidate]]),
      0
)</f>
        <v>0</v>
      </c>
      <c r="AV7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9" s="17">
        <f>IF(Audit[[#This Row],[Max Relative Error (ep)]] = 0, 0, Audit[[#This Row],[Max Relative Error (ep)]]/Audit[[#This Row],[Error Bound (up) - Max. possible relative overstatement]])</f>
        <v>0</v>
      </c>
      <c r="BH7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69" s="17">
        <f t="shared" si="12"/>
        <v>1</v>
      </c>
      <c r="BJ769" s="17">
        <f>PRODUCT($BI$5:BI769)</f>
        <v>0.20274654467839762</v>
      </c>
      <c r="BK769" s="19">
        <f>1 - Audit[[#This Row],[K-M P Value]]</f>
        <v>0.79725345532160241</v>
      </c>
      <c r="BL769" s="17" t="str">
        <f>IF(Audit[[#This Row],[K-M P Value]]&gt;1-'General Info'!$B$12,"Continue", "Stop")</f>
        <v>Continue</v>
      </c>
      <c r="BM769" s="22" t="b">
        <f>IF(Audit[[#This Row],[Status - Continue or stop audit]] = "Continue", TRUE, IF(BL768 = "Continue", TRUE, FALSE))</f>
        <v>1</v>
      </c>
      <c r="BN769" s="22"/>
    </row>
    <row r="770" spans="1:66" ht="15" hidden="1" customHeight="1" x14ac:dyDescent="0.35">
      <c r="A770" s="17" t="str">
        <f>'Sampling Data'!AI770</f>
        <v/>
      </c>
      <c r="B770" s="17" t="str">
        <f>'Sampling Data'!A770</f>
        <v>2931 CHEV 3-A   (ED)</v>
      </c>
      <c r="C770" s="17">
        <f>'Sampling Data'!B770</f>
        <v>302</v>
      </c>
      <c r="D770" s="17">
        <f>'Sampling Data'!C770</f>
        <v>271</v>
      </c>
      <c r="E770" s="18">
        <f>'Sampling Data'!D770</f>
        <v>0</v>
      </c>
      <c r="F770" s="18">
        <f>'Sampling Data'!E770</f>
        <v>0</v>
      </c>
      <c r="G770" s="18">
        <f>'Sampling Data'!F770</f>
        <v>0</v>
      </c>
      <c r="H770" s="18">
        <f>'Sampling Data'!G770</f>
        <v>0</v>
      </c>
      <c r="I770" s="18">
        <f>'Sampling Data'!H770</f>
        <v>0</v>
      </c>
      <c r="J770" s="18">
        <f>'Sampling Data'!I770</f>
        <v>0</v>
      </c>
      <c r="K770" s="18">
        <f>'Sampling Data'!J770</f>
        <v>0</v>
      </c>
      <c r="L770" s="18">
        <f>'Sampling Data'!K770</f>
        <v>0</v>
      </c>
      <c r="M770" s="18">
        <f>'Sampling Data'!L770</f>
        <v>0</v>
      </c>
      <c r="N770" s="18">
        <f>'Sampling Data'!M770</f>
        <v>0</v>
      </c>
      <c r="O770" s="17">
        <f>'Sampling Data'!N770</f>
        <v>1</v>
      </c>
      <c r="P770" s="17">
        <f>'Sampling Data'!O770</f>
        <v>28</v>
      </c>
      <c r="Q770" s="17">
        <f>'Sampling Data'!P770</f>
        <v>602</v>
      </c>
      <c r="R770" s="17">
        <f>'Sampling Data'!AJ770</f>
        <v>0</v>
      </c>
      <c r="S770" s="111"/>
      <c r="T770" s="111"/>
      <c r="U770" s="112"/>
      <c r="V770" s="112"/>
      <c r="W770" s="111"/>
      <c r="X770" s="111"/>
      <c r="Y770" s="111"/>
      <c r="Z770" s="111"/>
      <c r="AA770" s="14"/>
      <c r="AB770" s="14"/>
      <c r="AC770" s="14"/>
      <c r="AD770" s="14"/>
      <c r="AE770" s="113" t="str">
        <f>IF(NOT(ISBLANK(Audit[[#This Row],[Audit Winning Candidate]])), Audit[[#This Row],[Audit Winning Candidate]]-Audit[[#This Row],[Winning Candidate]], "")</f>
        <v/>
      </c>
      <c r="AF770" s="17" t="str">
        <f>IF(NOT(ISBLANK(Audit[[#This Row],[Audit Losing Candidate]])), Audit[[#This Row],[Audit Losing Candidate]]-Audit[[#This Row],[Losing Candidate]], "")</f>
        <v/>
      </c>
      <c r="AG770" s="17" t="str">
        <f>IF(NOT(ISBLANK(Audit[[#This Row],[Audit Candidate 3]])), Audit[[#This Row],[Audit Candidate 3]]-Audit[[#This Row],[Candidate 3]], "")</f>
        <v/>
      </c>
      <c r="AH770" s="17" t="str">
        <f>IF(NOT(ISBLANK(Audit[[#This Row],[Audit Candidate 4]])),Audit[[#This Row],[Audit Candidate 4]]-Audit[[#This Row],[Candidate 4]], "")</f>
        <v/>
      </c>
      <c r="AI770" s="17" t="str">
        <f>IF(NOT(ISBLANK(Audit[[#This Row],[Audit Candidate 5]])), Audit[[#This Row],[Audit Candidate 5]]-Audit[[#This Row],[Candidate 5]], "")</f>
        <v/>
      </c>
      <c r="AJ770" s="17" t="str">
        <f>IF(NOT(ISBLANK(Audit[[#This Row],[Audit Candidate 6]])), Audit[[#This Row],[Audit Candidate 6]]-Audit[[#This Row],[Candidate 6]], "")</f>
        <v/>
      </c>
      <c r="AK770" s="17" t="str">
        <f>IF(NOT(ISBLANK(Audit[[#This Row],[Audit Candidate 7]])), Audit[[#This Row],[Audit Candidate 7]]-Audit[[#This Row],[Candidate 7]], "")</f>
        <v/>
      </c>
      <c r="AL770" s="17" t="str">
        <f>IF(NOT(ISBLANK(Audit[[#This Row],[Audit Candidate 8]])), Audit[[#This Row],[Audit Candidate 8]]-Audit[[#This Row],[Candidate 8]], "")</f>
        <v/>
      </c>
      <c r="AM770" s="17" t="str">
        <f>IF(NOT(ISBLANK(Audit[[#This Row],[Audit Candidate 9]])), Audit[[#This Row],[Audit Candidate 9]]-Audit[[#This Row],[Candidate 9]], "")</f>
        <v/>
      </c>
      <c r="AN770" s="17" t="str">
        <f>IF(NOT(ISBLANK(Audit[[#This Row],[Audit Candidate 10]])), Audit[[#This Row],[Audit Candidate 10]]-Audit[[#This Row],[Candidate 10]], "")</f>
        <v/>
      </c>
      <c r="AO770" s="17" t="str">
        <f>IF(NOT(ISBLANK(Audit[[#This Row],[Audit Candidate 11]])), Audit[[#This Row],[Audit Candidate 11]]-Audit[[#This Row],[Candidate 11]], "")</f>
        <v/>
      </c>
      <c r="AP770" s="17" t="str">
        <f>IF(NOT(ISBLANK(Audit[[#This Row],[Audit Candidate 12]])), Audit[[#This Row],[Audit Candidate 12]]-Audit[[#This Row],[Candidate 12]], "")</f>
        <v/>
      </c>
      <c r="AQ770" s="17">
        <f>SUMIF(Audit[[#This Row],[Difference Winner]:[Difference Candidate 12]], "&gt;0")</f>
        <v>0</v>
      </c>
      <c r="AR770" s="17">
        <f>SUM(Audit[[#This Row],[Difference Winner]:[Difference Candidate 12]])</f>
        <v>0</v>
      </c>
      <c r="AS770" s="17">
        <f>IF(Audit[[#This Row],[Times p Drawn - With Replacement]]&gt;0, IF(Audit[[#This Row],[Canceled Differences]]&lt;0, Audit[[#This Row],[Max Differences]]+ABS(Audit[[#This Row],[Canceled Differences]]), Audit[[#This Row],[Max Differences]]), 0)</f>
        <v>0</v>
      </c>
      <c r="AT770" s="17">
        <f>'Sampling Data'!AB770</f>
        <v>2.6863011373281277E-2</v>
      </c>
      <c r="AU770" s="17">
        <f>IF(
      SUM(Audit[[#This Row],[Audit Losing Candidate]:[Audit Candidate 12]])
      &lt;&gt;0,
      (Audit[[#This Row],[Winning Candidate]]-Audit[[#This Row],[Losing Candidate]]-(Audit[[#This Row],[Audit Winning Candidate]]-Audit[[#This Row],[Audit Losing Candidate]]))/(Audit[[#Totals],[Winning Candidate]]-Audit[[#Totals],[Losing Candidate]]),
      0
)</f>
        <v>0</v>
      </c>
      <c r="AV7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0" s="17">
        <f>IF(Audit[[#This Row],[Max Relative Error (ep)]] = 0, 0, Audit[[#This Row],[Max Relative Error (ep)]]/Audit[[#This Row],[Error Bound (up) - Max. possible relative overstatement]])</f>
        <v>0</v>
      </c>
      <c r="BH7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70" s="17">
        <f t="shared" si="12"/>
        <v>1</v>
      </c>
      <c r="BJ770" s="17">
        <f>PRODUCT($BI$5:BI770)</f>
        <v>0.20274654467839762</v>
      </c>
      <c r="BK770" s="19">
        <f>1 - Audit[[#This Row],[K-M P Value]]</f>
        <v>0.79725345532160241</v>
      </c>
      <c r="BL770" s="17" t="str">
        <f>IF(Audit[[#This Row],[K-M P Value]]&gt;1-'General Info'!$B$12,"Continue", "Stop")</f>
        <v>Continue</v>
      </c>
      <c r="BM770" s="22" t="b">
        <f>IF(Audit[[#This Row],[Status - Continue or stop audit]] = "Continue", TRUE, IF(BL769 = "Continue", TRUE, FALSE))</f>
        <v>1</v>
      </c>
      <c r="BN770" s="22"/>
    </row>
    <row r="771" spans="1:66" ht="15" hidden="1" customHeight="1" x14ac:dyDescent="0.35">
      <c r="A771" s="17" t="str">
        <f>'Sampling Data'!AI771</f>
        <v/>
      </c>
      <c r="B771" s="17" t="str">
        <f>'Sampling Data'!A771</f>
        <v>2941 CHEV 4-A   (ED)</v>
      </c>
      <c r="C771" s="17">
        <f>'Sampling Data'!B771</f>
        <v>330</v>
      </c>
      <c r="D771" s="17">
        <f>'Sampling Data'!C771</f>
        <v>351</v>
      </c>
      <c r="E771" s="18">
        <f>'Sampling Data'!D771</f>
        <v>0</v>
      </c>
      <c r="F771" s="18">
        <f>'Sampling Data'!E771</f>
        <v>0</v>
      </c>
      <c r="G771" s="18">
        <f>'Sampling Data'!F771</f>
        <v>0</v>
      </c>
      <c r="H771" s="18">
        <f>'Sampling Data'!G771</f>
        <v>0</v>
      </c>
      <c r="I771" s="18">
        <f>'Sampling Data'!H771</f>
        <v>0</v>
      </c>
      <c r="J771" s="18">
        <f>'Sampling Data'!I771</f>
        <v>0</v>
      </c>
      <c r="K771" s="18">
        <f>'Sampling Data'!J771</f>
        <v>0</v>
      </c>
      <c r="L771" s="18">
        <f>'Sampling Data'!K771</f>
        <v>0</v>
      </c>
      <c r="M771" s="18">
        <f>'Sampling Data'!L771</f>
        <v>0</v>
      </c>
      <c r="N771" s="18">
        <f>'Sampling Data'!M771</f>
        <v>0</v>
      </c>
      <c r="O771" s="17">
        <f>'Sampling Data'!N771</f>
        <v>0</v>
      </c>
      <c r="P771" s="17">
        <f>'Sampling Data'!O771</f>
        <v>51</v>
      </c>
      <c r="Q771" s="17">
        <f>'Sampling Data'!P771</f>
        <v>732</v>
      </c>
      <c r="R771" s="17">
        <f>'Sampling Data'!AJ771</f>
        <v>0</v>
      </c>
      <c r="S771" s="111"/>
      <c r="T771" s="111"/>
      <c r="U771" s="112"/>
      <c r="V771" s="112"/>
      <c r="W771" s="111"/>
      <c r="X771" s="111"/>
      <c r="Y771" s="111"/>
      <c r="Z771" s="111"/>
      <c r="AA771" s="14"/>
      <c r="AB771" s="14"/>
      <c r="AC771" s="14"/>
      <c r="AD771" s="14"/>
      <c r="AE771" s="113" t="str">
        <f>IF(NOT(ISBLANK(Audit[[#This Row],[Audit Winning Candidate]])), Audit[[#This Row],[Audit Winning Candidate]]-Audit[[#This Row],[Winning Candidate]], "")</f>
        <v/>
      </c>
      <c r="AF771" s="17" t="str">
        <f>IF(NOT(ISBLANK(Audit[[#This Row],[Audit Losing Candidate]])), Audit[[#This Row],[Audit Losing Candidate]]-Audit[[#This Row],[Losing Candidate]], "")</f>
        <v/>
      </c>
      <c r="AG771" s="17" t="str">
        <f>IF(NOT(ISBLANK(Audit[[#This Row],[Audit Candidate 3]])), Audit[[#This Row],[Audit Candidate 3]]-Audit[[#This Row],[Candidate 3]], "")</f>
        <v/>
      </c>
      <c r="AH771" s="17" t="str">
        <f>IF(NOT(ISBLANK(Audit[[#This Row],[Audit Candidate 4]])),Audit[[#This Row],[Audit Candidate 4]]-Audit[[#This Row],[Candidate 4]], "")</f>
        <v/>
      </c>
      <c r="AI771" s="17" t="str">
        <f>IF(NOT(ISBLANK(Audit[[#This Row],[Audit Candidate 5]])), Audit[[#This Row],[Audit Candidate 5]]-Audit[[#This Row],[Candidate 5]], "")</f>
        <v/>
      </c>
      <c r="AJ771" s="17" t="str">
        <f>IF(NOT(ISBLANK(Audit[[#This Row],[Audit Candidate 6]])), Audit[[#This Row],[Audit Candidate 6]]-Audit[[#This Row],[Candidate 6]], "")</f>
        <v/>
      </c>
      <c r="AK771" s="17" t="str">
        <f>IF(NOT(ISBLANK(Audit[[#This Row],[Audit Candidate 7]])), Audit[[#This Row],[Audit Candidate 7]]-Audit[[#This Row],[Candidate 7]], "")</f>
        <v/>
      </c>
      <c r="AL771" s="17" t="str">
        <f>IF(NOT(ISBLANK(Audit[[#This Row],[Audit Candidate 8]])), Audit[[#This Row],[Audit Candidate 8]]-Audit[[#This Row],[Candidate 8]], "")</f>
        <v/>
      </c>
      <c r="AM771" s="17" t="str">
        <f>IF(NOT(ISBLANK(Audit[[#This Row],[Audit Candidate 9]])), Audit[[#This Row],[Audit Candidate 9]]-Audit[[#This Row],[Candidate 9]], "")</f>
        <v/>
      </c>
      <c r="AN771" s="17" t="str">
        <f>IF(NOT(ISBLANK(Audit[[#This Row],[Audit Candidate 10]])), Audit[[#This Row],[Audit Candidate 10]]-Audit[[#This Row],[Candidate 10]], "")</f>
        <v/>
      </c>
      <c r="AO771" s="17" t="str">
        <f>IF(NOT(ISBLANK(Audit[[#This Row],[Audit Candidate 11]])), Audit[[#This Row],[Audit Candidate 11]]-Audit[[#This Row],[Candidate 11]], "")</f>
        <v/>
      </c>
      <c r="AP771" s="17" t="str">
        <f>IF(NOT(ISBLANK(Audit[[#This Row],[Audit Candidate 12]])), Audit[[#This Row],[Audit Candidate 12]]-Audit[[#This Row],[Candidate 12]], "")</f>
        <v/>
      </c>
      <c r="AQ771" s="17">
        <f>SUMIF(Audit[[#This Row],[Difference Winner]:[Difference Candidate 12]], "&gt;0")</f>
        <v>0</v>
      </c>
      <c r="AR771" s="17">
        <f>SUM(Audit[[#This Row],[Difference Winner]:[Difference Candidate 12]])</f>
        <v>0</v>
      </c>
      <c r="AS771" s="17">
        <f>IF(Audit[[#This Row],[Times p Drawn - With Replacement]]&gt;0, IF(Audit[[#This Row],[Canceled Differences]]&lt;0, Audit[[#This Row],[Max Differences]]+ABS(Audit[[#This Row],[Canceled Differences]]), Audit[[#This Row],[Max Differences]]), 0)</f>
        <v>0</v>
      </c>
      <c r="AT771" s="17">
        <f>'Sampling Data'!AB771</f>
        <v>3.0173145476150059E-2</v>
      </c>
      <c r="AU771" s="17">
        <f>IF(
      SUM(Audit[[#This Row],[Audit Losing Candidate]:[Audit Candidate 12]])
      &lt;&gt;0,
      (Audit[[#This Row],[Winning Candidate]]-Audit[[#This Row],[Losing Candidate]]-(Audit[[#This Row],[Audit Winning Candidate]]-Audit[[#This Row],[Audit Losing Candidate]]))/(Audit[[#Totals],[Winning Candidate]]-Audit[[#Totals],[Losing Candidate]]),
      0
)</f>
        <v>0</v>
      </c>
      <c r="AV7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1" s="17">
        <f>IF(Audit[[#This Row],[Max Relative Error (ep)]] = 0, 0, Audit[[#This Row],[Max Relative Error (ep)]]/Audit[[#This Row],[Error Bound (up) - Max. possible relative overstatement]])</f>
        <v>0</v>
      </c>
      <c r="BH7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71" s="17">
        <f t="shared" si="12"/>
        <v>1</v>
      </c>
      <c r="BJ771" s="17">
        <f>PRODUCT($BI$5:BI771)</f>
        <v>0.20274654467839762</v>
      </c>
      <c r="BK771" s="19">
        <f>1 - Audit[[#This Row],[K-M P Value]]</f>
        <v>0.79725345532160241</v>
      </c>
      <c r="BL771" s="17" t="str">
        <f>IF(Audit[[#This Row],[K-M P Value]]&gt;1-'General Info'!$B$12,"Continue", "Stop")</f>
        <v>Continue</v>
      </c>
      <c r="BM771" s="22" t="b">
        <f>IF(Audit[[#This Row],[Status - Continue or stop audit]] = "Continue", TRUE, IF(BL770 = "Continue", TRUE, FALSE))</f>
        <v>1</v>
      </c>
      <c r="BN771" s="22"/>
    </row>
    <row r="772" spans="1:66" ht="15" hidden="1" customHeight="1" x14ac:dyDescent="0.35">
      <c r="A772" s="17" t="str">
        <f>'Sampling Data'!AI772</f>
        <v/>
      </c>
      <c r="B772" s="17" t="str">
        <f>'Sampling Data'!A772</f>
        <v>3111 DR PK 1-A   (ED)</v>
      </c>
      <c r="C772" s="17">
        <f>'Sampling Data'!B772</f>
        <v>176</v>
      </c>
      <c r="D772" s="17">
        <f>'Sampling Data'!C772</f>
        <v>241</v>
      </c>
      <c r="E772" s="18">
        <f>'Sampling Data'!D772</f>
        <v>0</v>
      </c>
      <c r="F772" s="18">
        <f>'Sampling Data'!E772</f>
        <v>0</v>
      </c>
      <c r="G772" s="18">
        <f>'Sampling Data'!F772</f>
        <v>0</v>
      </c>
      <c r="H772" s="18">
        <f>'Sampling Data'!G772</f>
        <v>0</v>
      </c>
      <c r="I772" s="18">
        <f>'Sampling Data'!H772</f>
        <v>0</v>
      </c>
      <c r="J772" s="18">
        <f>'Sampling Data'!I772</f>
        <v>0</v>
      </c>
      <c r="K772" s="18">
        <f>'Sampling Data'!J772</f>
        <v>0</v>
      </c>
      <c r="L772" s="18">
        <f>'Sampling Data'!K772</f>
        <v>0</v>
      </c>
      <c r="M772" s="18">
        <f>'Sampling Data'!L772</f>
        <v>0</v>
      </c>
      <c r="N772" s="18">
        <f>'Sampling Data'!M772</f>
        <v>0</v>
      </c>
      <c r="O772" s="17">
        <f>'Sampling Data'!N772</f>
        <v>1</v>
      </c>
      <c r="P772" s="17">
        <f>'Sampling Data'!O772</f>
        <v>40</v>
      </c>
      <c r="Q772" s="17">
        <f>'Sampling Data'!P772</f>
        <v>458</v>
      </c>
      <c r="R772" s="17">
        <f>'Sampling Data'!AJ772</f>
        <v>0</v>
      </c>
      <c r="S772" s="111"/>
      <c r="T772" s="111"/>
      <c r="U772" s="112"/>
      <c r="V772" s="112"/>
      <c r="W772" s="111"/>
      <c r="X772" s="111"/>
      <c r="Y772" s="111"/>
      <c r="Z772" s="111"/>
      <c r="AA772" s="14"/>
      <c r="AB772" s="14"/>
      <c r="AC772" s="14"/>
      <c r="AD772" s="14"/>
      <c r="AE772" s="113" t="str">
        <f>IF(NOT(ISBLANK(Audit[[#This Row],[Audit Winning Candidate]])), Audit[[#This Row],[Audit Winning Candidate]]-Audit[[#This Row],[Winning Candidate]], "")</f>
        <v/>
      </c>
      <c r="AF772" s="17" t="str">
        <f>IF(NOT(ISBLANK(Audit[[#This Row],[Audit Losing Candidate]])), Audit[[#This Row],[Audit Losing Candidate]]-Audit[[#This Row],[Losing Candidate]], "")</f>
        <v/>
      </c>
      <c r="AG772" s="17" t="str">
        <f>IF(NOT(ISBLANK(Audit[[#This Row],[Audit Candidate 3]])), Audit[[#This Row],[Audit Candidate 3]]-Audit[[#This Row],[Candidate 3]], "")</f>
        <v/>
      </c>
      <c r="AH772" s="17" t="str">
        <f>IF(NOT(ISBLANK(Audit[[#This Row],[Audit Candidate 4]])),Audit[[#This Row],[Audit Candidate 4]]-Audit[[#This Row],[Candidate 4]], "")</f>
        <v/>
      </c>
      <c r="AI772" s="17" t="str">
        <f>IF(NOT(ISBLANK(Audit[[#This Row],[Audit Candidate 5]])), Audit[[#This Row],[Audit Candidate 5]]-Audit[[#This Row],[Candidate 5]], "")</f>
        <v/>
      </c>
      <c r="AJ772" s="17" t="str">
        <f>IF(NOT(ISBLANK(Audit[[#This Row],[Audit Candidate 6]])), Audit[[#This Row],[Audit Candidate 6]]-Audit[[#This Row],[Candidate 6]], "")</f>
        <v/>
      </c>
      <c r="AK772" s="17" t="str">
        <f>IF(NOT(ISBLANK(Audit[[#This Row],[Audit Candidate 7]])), Audit[[#This Row],[Audit Candidate 7]]-Audit[[#This Row],[Candidate 7]], "")</f>
        <v/>
      </c>
      <c r="AL772" s="17" t="str">
        <f>IF(NOT(ISBLANK(Audit[[#This Row],[Audit Candidate 8]])), Audit[[#This Row],[Audit Candidate 8]]-Audit[[#This Row],[Candidate 8]], "")</f>
        <v/>
      </c>
      <c r="AM772" s="17" t="str">
        <f>IF(NOT(ISBLANK(Audit[[#This Row],[Audit Candidate 9]])), Audit[[#This Row],[Audit Candidate 9]]-Audit[[#This Row],[Candidate 9]], "")</f>
        <v/>
      </c>
      <c r="AN772" s="17" t="str">
        <f>IF(NOT(ISBLANK(Audit[[#This Row],[Audit Candidate 10]])), Audit[[#This Row],[Audit Candidate 10]]-Audit[[#This Row],[Candidate 10]], "")</f>
        <v/>
      </c>
      <c r="AO772" s="17" t="str">
        <f>IF(NOT(ISBLANK(Audit[[#This Row],[Audit Candidate 11]])), Audit[[#This Row],[Audit Candidate 11]]-Audit[[#This Row],[Candidate 11]], "")</f>
        <v/>
      </c>
      <c r="AP772" s="17" t="str">
        <f>IF(NOT(ISBLANK(Audit[[#This Row],[Audit Candidate 12]])), Audit[[#This Row],[Audit Candidate 12]]-Audit[[#This Row],[Candidate 12]], "")</f>
        <v/>
      </c>
      <c r="AQ772" s="17">
        <f>SUMIF(Audit[[#This Row],[Difference Winner]:[Difference Candidate 12]], "&gt;0")</f>
        <v>0</v>
      </c>
      <c r="AR772" s="17">
        <f>SUM(Audit[[#This Row],[Difference Winner]:[Difference Candidate 12]])</f>
        <v>0</v>
      </c>
      <c r="AS772" s="17">
        <f>IF(Audit[[#This Row],[Times p Drawn - With Replacement]]&gt;0, IF(Audit[[#This Row],[Canceled Differences]]&lt;0, Audit[[#This Row],[Max Differences]]+ABS(Audit[[#This Row],[Canceled Differences]]), Audit[[#This Row],[Max Differences]]), 0)</f>
        <v>0</v>
      </c>
      <c r="AT772" s="17">
        <f>'Sampling Data'!AB772</f>
        <v>1.6677983364454252E-2</v>
      </c>
      <c r="AU772" s="17">
        <f>IF(
      SUM(Audit[[#This Row],[Audit Losing Candidate]:[Audit Candidate 12]])
      &lt;&gt;0,
      (Audit[[#This Row],[Winning Candidate]]-Audit[[#This Row],[Losing Candidate]]-(Audit[[#This Row],[Audit Winning Candidate]]-Audit[[#This Row],[Audit Losing Candidate]]))/(Audit[[#Totals],[Winning Candidate]]-Audit[[#Totals],[Losing Candidate]]),
      0
)</f>
        <v>0</v>
      </c>
      <c r="AV7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2" s="17">
        <f>IF(Audit[[#This Row],[Max Relative Error (ep)]] = 0, 0, Audit[[#This Row],[Max Relative Error (ep)]]/Audit[[#This Row],[Error Bound (up) - Max. possible relative overstatement]])</f>
        <v>0</v>
      </c>
      <c r="BH7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72" s="17">
        <f t="shared" si="12"/>
        <v>1</v>
      </c>
      <c r="BJ772" s="17">
        <f>PRODUCT($BI$5:BI772)</f>
        <v>0.20274654467839762</v>
      </c>
      <c r="BK772" s="19">
        <f>1 - Audit[[#This Row],[K-M P Value]]</f>
        <v>0.79725345532160241</v>
      </c>
      <c r="BL772" s="17" t="str">
        <f>IF(Audit[[#This Row],[K-M P Value]]&gt;1-'General Info'!$B$12,"Continue", "Stop")</f>
        <v>Continue</v>
      </c>
      <c r="BM772" s="22" t="b">
        <f>IF(Audit[[#This Row],[Status - Continue or stop audit]] = "Continue", TRUE, IF(BL771 = "Continue", TRUE, FALSE))</f>
        <v>1</v>
      </c>
      <c r="BN772" s="22"/>
    </row>
    <row r="773" spans="1:66" ht="15" hidden="1" customHeight="1" x14ac:dyDescent="0.35">
      <c r="A773" s="17" t="str">
        <f>'Sampling Data'!AI773</f>
        <v/>
      </c>
      <c r="B773" s="17" t="str">
        <f>'Sampling Data'!A773</f>
        <v>3121 DR PK 2-A   (ED)</v>
      </c>
      <c r="C773" s="17">
        <f>'Sampling Data'!B773</f>
        <v>198</v>
      </c>
      <c r="D773" s="17">
        <f>'Sampling Data'!C773</f>
        <v>279</v>
      </c>
      <c r="E773" s="18">
        <f>'Sampling Data'!D773</f>
        <v>0</v>
      </c>
      <c r="F773" s="18">
        <f>'Sampling Data'!E773</f>
        <v>0</v>
      </c>
      <c r="G773" s="18">
        <f>'Sampling Data'!F773</f>
        <v>0</v>
      </c>
      <c r="H773" s="18">
        <f>'Sampling Data'!G773</f>
        <v>0</v>
      </c>
      <c r="I773" s="18">
        <f>'Sampling Data'!H773</f>
        <v>0</v>
      </c>
      <c r="J773" s="18">
        <f>'Sampling Data'!I773</f>
        <v>0</v>
      </c>
      <c r="K773" s="18">
        <f>'Sampling Data'!J773</f>
        <v>0</v>
      </c>
      <c r="L773" s="18">
        <f>'Sampling Data'!K773</f>
        <v>0</v>
      </c>
      <c r="M773" s="18">
        <f>'Sampling Data'!L773</f>
        <v>0</v>
      </c>
      <c r="N773" s="18">
        <f>'Sampling Data'!M773</f>
        <v>0</v>
      </c>
      <c r="O773" s="17">
        <f>'Sampling Data'!N773</f>
        <v>0</v>
      </c>
      <c r="P773" s="17">
        <f>'Sampling Data'!O773</f>
        <v>38</v>
      </c>
      <c r="Q773" s="17">
        <f>'Sampling Data'!P773</f>
        <v>515</v>
      </c>
      <c r="R773" s="17">
        <f>'Sampling Data'!AJ773</f>
        <v>0</v>
      </c>
      <c r="S773" s="111"/>
      <c r="T773" s="111"/>
      <c r="U773" s="112"/>
      <c r="V773" s="112"/>
      <c r="W773" s="111"/>
      <c r="X773" s="111"/>
      <c r="Y773" s="111"/>
      <c r="Z773" s="111"/>
      <c r="AA773" s="14"/>
      <c r="AB773" s="14"/>
      <c r="AC773" s="14"/>
      <c r="AD773" s="14"/>
      <c r="AE773" s="113" t="str">
        <f>IF(NOT(ISBLANK(Audit[[#This Row],[Audit Winning Candidate]])), Audit[[#This Row],[Audit Winning Candidate]]-Audit[[#This Row],[Winning Candidate]], "")</f>
        <v/>
      </c>
      <c r="AF773" s="17" t="str">
        <f>IF(NOT(ISBLANK(Audit[[#This Row],[Audit Losing Candidate]])), Audit[[#This Row],[Audit Losing Candidate]]-Audit[[#This Row],[Losing Candidate]], "")</f>
        <v/>
      </c>
      <c r="AG773" s="17" t="str">
        <f>IF(NOT(ISBLANK(Audit[[#This Row],[Audit Candidate 3]])), Audit[[#This Row],[Audit Candidate 3]]-Audit[[#This Row],[Candidate 3]], "")</f>
        <v/>
      </c>
      <c r="AH773" s="17" t="str">
        <f>IF(NOT(ISBLANK(Audit[[#This Row],[Audit Candidate 4]])),Audit[[#This Row],[Audit Candidate 4]]-Audit[[#This Row],[Candidate 4]], "")</f>
        <v/>
      </c>
      <c r="AI773" s="17" t="str">
        <f>IF(NOT(ISBLANK(Audit[[#This Row],[Audit Candidate 5]])), Audit[[#This Row],[Audit Candidate 5]]-Audit[[#This Row],[Candidate 5]], "")</f>
        <v/>
      </c>
      <c r="AJ773" s="17" t="str">
        <f>IF(NOT(ISBLANK(Audit[[#This Row],[Audit Candidate 6]])), Audit[[#This Row],[Audit Candidate 6]]-Audit[[#This Row],[Candidate 6]], "")</f>
        <v/>
      </c>
      <c r="AK773" s="17" t="str">
        <f>IF(NOT(ISBLANK(Audit[[#This Row],[Audit Candidate 7]])), Audit[[#This Row],[Audit Candidate 7]]-Audit[[#This Row],[Candidate 7]], "")</f>
        <v/>
      </c>
      <c r="AL773" s="17" t="str">
        <f>IF(NOT(ISBLANK(Audit[[#This Row],[Audit Candidate 8]])), Audit[[#This Row],[Audit Candidate 8]]-Audit[[#This Row],[Candidate 8]], "")</f>
        <v/>
      </c>
      <c r="AM773" s="17" t="str">
        <f>IF(NOT(ISBLANK(Audit[[#This Row],[Audit Candidate 9]])), Audit[[#This Row],[Audit Candidate 9]]-Audit[[#This Row],[Candidate 9]], "")</f>
        <v/>
      </c>
      <c r="AN773" s="17" t="str">
        <f>IF(NOT(ISBLANK(Audit[[#This Row],[Audit Candidate 10]])), Audit[[#This Row],[Audit Candidate 10]]-Audit[[#This Row],[Candidate 10]], "")</f>
        <v/>
      </c>
      <c r="AO773" s="17" t="str">
        <f>IF(NOT(ISBLANK(Audit[[#This Row],[Audit Candidate 11]])), Audit[[#This Row],[Audit Candidate 11]]-Audit[[#This Row],[Candidate 11]], "")</f>
        <v/>
      </c>
      <c r="AP773" s="17" t="str">
        <f>IF(NOT(ISBLANK(Audit[[#This Row],[Audit Candidate 12]])), Audit[[#This Row],[Audit Candidate 12]]-Audit[[#This Row],[Candidate 12]], "")</f>
        <v/>
      </c>
      <c r="AQ773" s="17">
        <f>SUMIF(Audit[[#This Row],[Difference Winner]:[Difference Candidate 12]], "&gt;0")</f>
        <v>0</v>
      </c>
      <c r="AR773" s="17">
        <f>SUM(Audit[[#This Row],[Difference Winner]:[Difference Candidate 12]])</f>
        <v>0</v>
      </c>
      <c r="AS773" s="17">
        <f>IF(Audit[[#This Row],[Times p Drawn - With Replacement]]&gt;0, IF(Audit[[#This Row],[Canceled Differences]]&lt;0, Audit[[#This Row],[Max Differences]]+ABS(Audit[[#This Row],[Canceled Differences]]), Audit[[#This Row],[Max Differences]]), 0)</f>
        <v>0</v>
      </c>
      <c r="AT773" s="17">
        <f>'Sampling Data'!AB773</f>
        <v>1.8417925649295536E-2</v>
      </c>
      <c r="AU773" s="17">
        <f>IF(
      SUM(Audit[[#This Row],[Audit Losing Candidate]:[Audit Candidate 12]])
      &lt;&gt;0,
      (Audit[[#This Row],[Winning Candidate]]-Audit[[#This Row],[Losing Candidate]]-(Audit[[#This Row],[Audit Winning Candidate]]-Audit[[#This Row],[Audit Losing Candidate]]))/(Audit[[#Totals],[Winning Candidate]]-Audit[[#Totals],[Losing Candidate]]),
      0
)</f>
        <v>0</v>
      </c>
      <c r="AV7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3" s="17">
        <f>IF(Audit[[#This Row],[Max Relative Error (ep)]] = 0, 0, Audit[[#This Row],[Max Relative Error (ep)]]/Audit[[#This Row],[Error Bound (up) - Max. possible relative overstatement]])</f>
        <v>0</v>
      </c>
      <c r="BH7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73" s="17">
        <f t="shared" si="12"/>
        <v>1</v>
      </c>
      <c r="BJ773" s="17">
        <f>PRODUCT($BI$5:BI773)</f>
        <v>0.20274654467839762</v>
      </c>
      <c r="BK773" s="19">
        <f>1 - Audit[[#This Row],[K-M P Value]]</f>
        <v>0.79725345532160241</v>
      </c>
      <c r="BL773" s="17" t="str">
        <f>IF(Audit[[#This Row],[K-M P Value]]&gt;1-'General Info'!$B$12,"Continue", "Stop")</f>
        <v>Continue</v>
      </c>
      <c r="BM773" s="22" t="b">
        <f>IF(Audit[[#This Row],[Status - Continue or stop audit]] = "Continue", TRUE, IF(BL772 = "Continue", TRUE, FALSE))</f>
        <v>1</v>
      </c>
      <c r="BN773" s="22"/>
    </row>
    <row r="774" spans="1:66" ht="15" hidden="1" customHeight="1" x14ac:dyDescent="0.35">
      <c r="A774" s="17" t="str">
        <f>'Sampling Data'!AI774</f>
        <v/>
      </c>
      <c r="B774" s="17" t="str">
        <f>'Sampling Data'!A774</f>
        <v>3131 DR PK 3-A   (ED)</v>
      </c>
      <c r="C774" s="17">
        <f>'Sampling Data'!B774</f>
        <v>198</v>
      </c>
      <c r="D774" s="17">
        <f>'Sampling Data'!C774</f>
        <v>242</v>
      </c>
      <c r="E774" s="18">
        <f>'Sampling Data'!D774</f>
        <v>0</v>
      </c>
      <c r="F774" s="18">
        <f>'Sampling Data'!E774</f>
        <v>0</v>
      </c>
      <c r="G774" s="18">
        <f>'Sampling Data'!F774</f>
        <v>0</v>
      </c>
      <c r="H774" s="18">
        <f>'Sampling Data'!G774</f>
        <v>0</v>
      </c>
      <c r="I774" s="18">
        <f>'Sampling Data'!H774</f>
        <v>0</v>
      </c>
      <c r="J774" s="18">
        <f>'Sampling Data'!I774</f>
        <v>0</v>
      </c>
      <c r="K774" s="18">
        <f>'Sampling Data'!J774</f>
        <v>0</v>
      </c>
      <c r="L774" s="18">
        <f>'Sampling Data'!K774</f>
        <v>0</v>
      </c>
      <c r="M774" s="18">
        <f>'Sampling Data'!L774</f>
        <v>0</v>
      </c>
      <c r="N774" s="18">
        <f>'Sampling Data'!M774</f>
        <v>0</v>
      </c>
      <c r="O774" s="17">
        <f>'Sampling Data'!N774</f>
        <v>1</v>
      </c>
      <c r="P774" s="17">
        <f>'Sampling Data'!O774</f>
        <v>50</v>
      </c>
      <c r="Q774" s="17">
        <f>'Sampling Data'!P774</f>
        <v>491</v>
      </c>
      <c r="R774" s="17">
        <f>'Sampling Data'!AJ774</f>
        <v>0</v>
      </c>
      <c r="S774" s="111"/>
      <c r="T774" s="111"/>
      <c r="U774" s="112"/>
      <c r="V774" s="112"/>
      <c r="W774" s="111"/>
      <c r="X774" s="111"/>
      <c r="Y774" s="111"/>
      <c r="Z774" s="111"/>
      <c r="AA774" s="14"/>
      <c r="AB774" s="14"/>
      <c r="AC774" s="14"/>
      <c r="AD774" s="14"/>
      <c r="AE774" s="113" t="str">
        <f>IF(NOT(ISBLANK(Audit[[#This Row],[Audit Winning Candidate]])), Audit[[#This Row],[Audit Winning Candidate]]-Audit[[#This Row],[Winning Candidate]], "")</f>
        <v/>
      </c>
      <c r="AF774" s="17" t="str">
        <f>IF(NOT(ISBLANK(Audit[[#This Row],[Audit Losing Candidate]])), Audit[[#This Row],[Audit Losing Candidate]]-Audit[[#This Row],[Losing Candidate]], "")</f>
        <v/>
      </c>
      <c r="AG774" s="17" t="str">
        <f>IF(NOT(ISBLANK(Audit[[#This Row],[Audit Candidate 3]])), Audit[[#This Row],[Audit Candidate 3]]-Audit[[#This Row],[Candidate 3]], "")</f>
        <v/>
      </c>
      <c r="AH774" s="17" t="str">
        <f>IF(NOT(ISBLANK(Audit[[#This Row],[Audit Candidate 4]])),Audit[[#This Row],[Audit Candidate 4]]-Audit[[#This Row],[Candidate 4]], "")</f>
        <v/>
      </c>
      <c r="AI774" s="17" t="str">
        <f>IF(NOT(ISBLANK(Audit[[#This Row],[Audit Candidate 5]])), Audit[[#This Row],[Audit Candidate 5]]-Audit[[#This Row],[Candidate 5]], "")</f>
        <v/>
      </c>
      <c r="AJ774" s="17" t="str">
        <f>IF(NOT(ISBLANK(Audit[[#This Row],[Audit Candidate 6]])), Audit[[#This Row],[Audit Candidate 6]]-Audit[[#This Row],[Candidate 6]], "")</f>
        <v/>
      </c>
      <c r="AK774" s="17" t="str">
        <f>IF(NOT(ISBLANK(Audit[[#This Row],[Audit Candidate 7]])), Audit[[#This Row],[Audit Candidate 7]]-Audit[[#This Row],[Candidate 7]], "")</f>
        <v/>
      </c>
      <c r="AL774" s="17" t="str">
        <f>IF(NOT(ISBLANK(Audit[[#This Row],[Audit Candidate 8]])), Audit[[#This Row],[Audit Candidate 8]]-Audit[[#This Row],[Candidate 8]], "")</f>
        <v/>
      </c>
      <c r="AM774" s="17" t="str">
        <f>IF(NOT(ISBLANK(Audit[[#This Row],[Audit Candidate 9]])), Audit[[#This Row],[Audit Candidate 9]]-Audit[[#This Row],[Candidate 9]], "")</f>
        <v/>
      </c>
      <c r="AN774" s="17" t="str">
        <f>IF(NOT(ISBLANK(Audit[[#This Row],[Audit Candidate 10]])), Audit[[#This Row],[Audit Candidate 10]]-Audit[[#This Row],[Candidate 10]], "")</f>
        <v/>
      </c>
      <c r="AO774" s="17" t="str">
        <f>IF(NOT(ISBLANK(Audit[[#This Row],[Audit Candidate 11]])), Audit[[#This Row],[Audit Candidate 11]]-Audit[[#This Row],[Candidate 11]], "")</f>
        <v/>
      </c>
      <c r="AP774" s="17" t="str">
        <f>IF(NOT(ISBLANK(Audit[[#This Row],[Audit Candidate 12]])), Audit[[#This Row],[Audit Candidate 12]]-Audit[[#This Row],[Candidate 12]], "")</f>
        <v/>
      </c>
      <c r="AQ774" s="17">
        <f>SUMIF(Audit[[#This Row],[Difference Winner]:[Difference Candidate 12]], "&gt;0")</f>
        <v>0</v>
      </c>
      <c r="AR774" s="17">
        <f>SUM(Audit[[#This Row],[Difference Winner]:[Difference Candidate 12]])</f>
        <v>0</v>
      </c>
      <c r="AS774" s="17">
        <f>IF(Audit[[#This Row],[Times p Drawn - With Replacement]]&gt;0, IF(Audit[[#This Row],[Canceled Differences]]&lt;0, Audit[[#This Row],[Max Differences]]+ABS(Audit[[#This Row],[Canceled Differences]]), Audit[[#This Row],[Max Differences]]), 0)</f>
        <v>0</v>
      </c>
      <c r="AT774" s="17">
        <f>'Sampling Data'!AB774</f>
        <v>1.8969614666440333E-2</v>
      </c>
      <c r="AU774" s="17">
        <f>IF(
      SUM(Audit[[#This Row],[Audit Losing Candidate]:[Audit Candidate 12]])
      &lt;&gt;0,
      (Audit[[#This Row],[Winning Candidate]]-Audit[[#This Row],[Losing Candidate]]-(Audit[[#This Row],[Audit Winning Candidate]]-Audit[[#This Row],[Audit Losing Candidate]]))/(Audit[[#Totals],[Winning Candidate]]-Audit[[#Totals],[Losing Candidate]]),
      0
)</f>
        <v>0</v>
      </c>
      <c r="AV7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4" s="17">
        <f>IF(Audit[[#This Row],[Max Relative Error (ep)]] = 0, 0, Audit[[#This Row],[Max Relative Error (ep)]]/Audit[[#This Row],[Error Bound (up) - Max. possible relative overstatement]])</f>
        <v>0</v>
      </c>
      <c r="BH7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74" s="17">
        <f t="shared" si="12"/>
        <v>1</v>
      </c>
      <c r="BJ774" s="17">
        <f>PRODUCT($BI$5:BI774)</f>
        <v>0.20274654467839762</v>
      </c>
      <c r="BK774" s="19">
        <f>1 - Audit[[#This Row],[K-M P Value]]</f>
        <v>0.79725345532160241</v>
      </c>
      <c r="BL774" s="17" t="str">
        <f>IF(Audit[[#This Row],[K-M P Value]]&gt;1-'General Info'!$B$12,"Continue", "Stop")</f>
        <v>Continue</v>
      </c>
      <c r="BM774" s="22" t="b">
        <f>IF(Audit[[#This Row],[Status - Continue or stop audit]] = "Continue", TRUE, IF(BL773 = "Continue", TRUE, FALSE))</f>
        <v>1</v>
      </c>
      <c r="BN774" s="22"/>
    </row>
    <row r="775" spans="1:66" ht="15" hidden="1" customHeight="1" x14ac:dyDescent="0.35">
      <c r="A775" s="17" t="str">
        <f>'Sampling Data'!AI775</f>
        <v/>
      </c>
      <c r="B775" s="17" t="str">
        <f>'Sampling Data'!A775</f>
        <v>3141 DR PK 4-A   (ED)</v>
      </c>
      <c r="C775" s="17">
        <f>'Sampling Data'!B775</f>
        <v>181</v>
      </c>
      <c r="D775" s="17">
        <f>'Sampling Data'!C775</f>
        <v>257</v>
      </c>
      <c r="E775" s="18">
        <f>'Sampling Data'!D775</f>
        <v>0</v>
      </c>
      <c r="F775" s="18">
        <f>'Sampling Data'!E775</f>
        <v>0</v>
      </c>
      <c r="G775" s="18">
        <f>'Sampling Data'!F775</f>
        <v>0</v>
      </c>
      <c r="H775" s="18">
        <f>'Sampling Data'!G775</f>
        <v>0</v>
      </c>
      <c r="I775" s="18">
        <f>'Sampling Data'!H775</f>
        <v>0</v>
      </c>
      <c r="J775" s="18">
        <f>'Sampling Data'!I775</f>
        <v>0</v>
      </c>
      <c r="K775" s="18">
        <f>'Sampling Data'!J775</f>
        <v>0</v>
      </c>
      <c r="L775" s="18">
        <f>'Sampling Data'!K775</f>
        <v>0</v>
      </c>
      <c r="M775" s="18">
        <f>'Sampling Data'!L775</f>
        <v>0</v>
      </c>
      <c r="N775" s="18">
        <f>'Sampling Data'!M775</f>
        <v>0</v>
      </c>
      <c r="O775" s="17">
        <f>'Sampling Data'!N775</f>
        <v>0</v>
      </c>
      <c r="P775" s="17">
        <f>'Sampling Data'!O775</f>
        <v>40</v>
      </c>
      <c r="Q775" s="17">
        <f>'Sampling Data'!P775</f>
        <v>478</v>
      </c>
      <c r="R775" s="17">
        <f>'Sampling Data'!AJ775</f>
        <v>0</v>
      </c>
      <c r="S775" s="111"/>
      <c r="T775" s="111"/>
      <c r="U775" s="112"/>
      <c r="V775" s="112"/>
      <c r="W775" s="111"/>
      <c r="X775" s="111"/>
      <c r="Y775" s="111"/>
      <c r="Z775" s="111"/>
      <c r="AA775" s="14"/>
      <c r="AB775" s="14"/>
      <c r="AC775" s="14"/>
      <c r="AD775" s="14"/>
      <c r="AE775" s="113" t="str">
        <f>IF(NOT(ISBLANK(Audit[[#This Row],[Audit Winning Candidate]])), Audit[[#This Row],[Audit Winning Candidate]]-Audit[[#This Row],[Winning Candidate]], "")</f>
        <v/>
      </c>
      <c r="AF775" s="17" t="str">
        <f>IF(NOT(ISBLANK(Audit[[#This Row],[Audit Losing Candidate]])), Audit[[#This Row],[Audit Losing Candidate]]-Audit[[#This Row],[Losing Candidate]], "")</f>
        <v/>
      </c>
      <c r="AG775" s="17" t="str">
        <f>IF(NOT(ISBLANK(Audit[[#This Row],[Audit Candidate 3]])), Audit[[#This Row],[Audit Candidate 3]]-Audit[[#This Row],[Candidate 3]], "")</f>
        <v/>
      </c>
      <c r="AH775" s="17" t="str">
        <f>IF(NOT(ISBLANK(Audit[[#This Row],[Audit Candidate 4]])),Audit[[#This Row],[Audit Candidate 4]]-Audit[[#This Row],[Candidate 4]], "")</f>
        <v/>
      </c>
      <c r="AI775" s="17" t="str">
        <f>IF(NOT(ISBLANK(Audit[[#This Row],[Audit Candidate 5]])), Audit[[#This Row],[Audit Candidate 5]]-Audit[[#This Row],[Candidate 5]], "")</f>
        <v/>
      </c>
      <c r="AJ775" s="17" t="str">
        <f>IF(NOT(ISBLANK(Audit[[#This Row],[Audit Candidate 6]])), Audit[[#This Row],[Audit Candidate 6]]-Audit[[#This Row],[Candidate 6]], "")</f>
        <v/>
      </c>
      <c r="AK775" s="17" t="str">
        <f>IF(NOT(ISBLANK(Audit[[#This Row],[Audit Candidate 7]])), Audit[[#This Row],[Audit Candidate 7]]-Audit[[#This Row],[Candidate 7]], "")</f>
        <v/>
      </c>
      <c r="AL775" s="17" t="str">
        <f>IF(NOT(ISBLANK(Audit[[#This Row],[Audit Candidate 8]])), Audit[[#This Row],[Audit Candidate 8]]-Audit[[#This Row],[Candidate 8]], "")</f>
        <v/>
      </c>
      <c r="AM775" s="17" t="str">
        <f>IF(NOT(ISBLANK(Audit[[#This Row],[Audit Candidate 9]])), Audit[[#This Row],[Audit Candidate 9]]-Audit[[#This Row],[Candidate 9]], "")</f>
        <v/>
      </c>
      <c r="AN775" s="17" t="str">
        <f>IF(NOT(ISBLANK(Audit[[#This Row],[Audit Candidate 10]])), Audit[[#This Row],[Audit Candidate 10]]-Audit[[#This Row],[Candidate 10]], "")</f>
        <v/>
      </c>
      <c r="AO775" s="17" t="str">
        <f>IF(NOT(ISBLANK(Audit[[#This Row],[Audit Candidate 11]])), Audit[[#This Row],[Audit Candidate 11]]-Audit[[#This Row],[Candidate 11]], "")</f>
        <v/>
      </c>
      <c r="AP775" s="17" t="str">
        <f>IF(NOT(ISBLANK(Audit[[#This Row],[Audit Candidate 12]])), Audit[[#This Row],[Audit Candidate 12]]-Audit[[#This Row],[Candidate 12]], "")</f>
        <v/>
      </c>
      <c r="AQ775" s="17">
        <f>SUMIF(Audit[[#This Row],[Difference Winner]:[Difference Candidate 12]], "&gt;0")</f>
        <v>0</v>
      </c>
      <c r="AR775" s="17">
        <f>SUM(Audit[[#This Row],[Difference Winner]:[Difference Candidate 12]])</f>
        <v>0</v>
      </c>
      <c r="AS775" s="17">
        <f>IF(Audit[[#This Row],[Times p Drawn - With Replacement]]&gt;0, IF(Audit[[#This Row],[Canceled Differences]]&lt;0, Audit[[#This Row],[Max Differences]]+ABS(Audit[[#This Row],[Canceled Differences]]), Audit[[#This Row],[Max Differences]]), 0)</f>
        <v>0</v>
      </c>
      <c r="AT775" s="17">
        <f>'Sampling Data'!AB775</f>
        <v>1.7059921914785267E-2</v>
      </c>
      <c r="AU775" s="17">
        <f>IF(
      SUM(Audit[[#This Row],[Audit Losing Candidate]:[Audit Candidate 12]])
      &lt;&gt;0,
      (Audit[[#This Row],[Winning Candidate]]-Audit[[#This Row],[Losing Candidate]]-(Audit[[#This Row],[Audit Winning Candidate]]-Audit[[#This Row],[Audit Losing Candidate]]))/(Audit[[#Totals],[Winning Candidate]]-Audit[[#Totals],[Losing Candidate]]),
      0
)</f>
        <v>0</v>
      </c>
      <c r="AV7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5" s="17">
        <f>IF(Audit[[#This Row],[Max Relative Error (ep)]] = 0, 0, Audit[[#This Row],[Max Relative Error (ep)]]/Audit[[#This Row],[Error Bound (up) - Max. possible relative overstatement]])</f>
        <v>0</v>
      </c>
      <c r="BH7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75" s="17">
        <f t="shared" si="12"/>
        <v>1</v>
      </c>
      <c r="BJ775" s="17">
        <f>PRODUCT($BI$5:BI775)</f>
        <v>0.20274654467839762</v>
      </c>
      <c r="BK775" s="19">
        <f>1 - Audit[[#This Row],[K-M P Value]]</f>
        <v>0.79725345532160241</v>
      </c>
      <c r="BL775" s="17" t="str">
        <f>IF(Audit[[#This Row],[K-M P Value]]&gt;1-'General Info'!$B$12,"Continue", "Stop")</f>
        <v>Continue</v>
      </c>
      <c r="BM775" s="22" t="b">
        <f>IF(Audit[[#This Row],[Status - Continue or stop audit]] = "Continue", TRUE, IF(BL774 = "Continue", TRUE, FALSE))</f>
        <v>1</v>
      </c>
      <c r="BN775" s="22"/>
    </row>
    <row r="776" spans="1:66" ht="15" hidden="1" customHeight="1" x14ac:dyDescent="0.35">
      <c r="A776" s="17" t="str">
        <f>'Sampling Data'!AI776</f>
        <v/>
      </c>
      <c r="B776" s="17" t="str">
        <f>'Sampling Data'!A776</f>
        <v>3201 FR PK A   (ED)</v>
      </c>
      <c r="C776" s="17">
        <f>'Sampling Data'!B776</f>
        <v>335</v>
      </c>
      <c r="D776" s="17">
        <f>'Sampling Data'!C776</f>
        <v>87</v>
      </c>
      <c r="E776" s="18">
        <f>'Sampling Data'!D776</f>
        <v>0</v>
      </c>
      <c r="F776" s="18">
        <f>'Sampling Data'!E776</f>
        <v>0</v>
      </c>
      <c r="G776" s="18">
        <f>'Sampling Data'!F776</f>
        <v>0</v>
      </c>
      <c r="H776" s="18">
        <f>'Sampling Data'!G776</f>
        <v>0</v>
      </c>
      <c r="I776" s="18">
        <f>'Sampling Data'!H776</f>
        <v>0</v>
      </c>
      <c r="J776" s="18">
        <f>'Sampling Data'!I776</f>
        <v>0</v>
      </c>
      <c r="K776" s="18">
        <f>'Sampling Data'!J776</f>
        <v>0</v>
      </c>
      <c r="L776" s="18">
        <f>'Sampling Data'!K776</f>
        <v>0</v>
      </c>
      <c r="M776" s="18">
        <f>'Sampling Data'!L776</f>
        <v>0</v>
      </c>
      <c r="N776" s="18">
        <f>'Sampling Data'!M776</f>
        <v>0</v>
      </c>
      <c r="O776" s="17">
        <f>'Sampling Data'!N776</f>
        <v>0</v>
      </c>
      <c r="P776" s="17">
        <f>'Sampling Data'!O776</f>
        <v>37</v>
      </c>
      <c r="Q776" s="17">
        <f>'Sampling Data'!P776</f>
        <v>459</v>
      </c>
      <c r="R776" s="17">
        <f>'Sampling Data'!AJ776</f>
        <v>0</v>
      </c>
      <c r="S776" s="111"/>
      <c r="T776" s="111"/>
      <c r="U776" s="112"/>
      <c r="V776" s="112"/>
      <c r="W776" s="111"/>
      <c r="X776" s="111"/>
      <c r="Y776" s="111"/>
      <c r="Z776" s="111"/>
      <c r="AA776" s="14"/>
      <c r="AB776" s="14"/>
      <c r="AC776" s="14"/>
      <c r="AD776" s="14"/>
      <c r="AE776" s="113" t="str">
        <f>IF(NOT(ISBLANK(Audit[[#This Row],[Audit Winning Candidate]])), Audit[[#This Row],[Audit Winning Candidate]]-Audit[[#This Row],[Winning Candidate]], "")</f>
        <v/>
      </c>
      <c r="AF776" s="17" t="str">
        <f>IF(NOT(ISBLANK(Audit[[#This Row],[Audit Losing Candidate]])), Audit[[#This Row],[Audit Losing Candidate]]-Audit[[#This Row],[Losing Candidate]], "")</f>
        <v/>
      </c>
      <c r="AG776" s="17" t="str">
        <f>IF(NOT(ISBLANK(Audit[[#This Row],[Audit Candidate 3]])), Audit[[#This Row],[Audit Candidate 3]]-Audit[[#This Row],[Candidate 3]], "")</f>
        <v/>
      </c>
      <c r="AH776" s="17" t="str">
        <f>IF(NOT(ISBLANK(Audit[[#This Row],[Audit Candidate 4]])),Audit[[#This Row],[Audit Candidate 4]]-Audit[[#This Row],[Candidate 4]], "")</f>
        <v/>
      </c>
      <c r="AI776" s="17" t="str">
        <f>IF(NOT(ISBLANK(Audit[[#This Row],[Audit Candidate 5]])), Audit[[#This Row],[Audit Candidate 5]]-Audit[[#This Row],[Candidate 5]], "")</f>
        <v/>
      </c>
      <c r="AJ776" s="17" t="str">
        <f>IF(NOT(ISBLANK(Audit[[#This Row],[Audit Candidate 6]])), Audit[[#This Row],[Audit Candidate 6]]-Audit[[#This Row],[Candidate 6]], "")</f>
        <v/>
      </c>
      <c r="AK776" s="17" t="str">
        <f>IF(NOT(ISBLANK(Audit[[#This Row],[Audit Candidate 7]])), Audit[[#This Row],[Audit Candidate 7]]-Audit[[#This Row],[Candidate 7]], "")</f>
        <v/>
      </c>
      <c r="AL776" s="17" t="str">
        <f>IF(NOT(ISBLANK(Audit[[#This Row],[Audit Candidate 8]])), Audit[[#This Row],[Audit Candidate 8]]-Audit[[#This Row],[Candidate 8]], "")</f>
        <v/>
      </c>
      <c r="AM776" s="17" t="str">
        <f>IF(NOT(ISBLANK(Audit[[#This Row],[Audit Candidate 9]])), Audit[[#This Row],[Audit Candidate 9]]-Audit[[#This Row],[Candidate 9]], "")</f>
        <v/>
      </c>
      <c r="AN776" s="17" t="str">
        <f>IF(NOT(ISBLANK(Audit[[#This Row],[Audit Candidate 10]])), Audit[[#This Row],[Audit Candidate 10]]-Audit[[#This Row],[Candidate 10]], "")</f>
        <v/>
      </c>
      <c r="AO776" s="17" t="str">
        <f>IF(NOT(ISBLANK(Audit[[#This Row],[Audit Candidate 11]])), Audit[[#This Row],[Audit Candidate 11]]-Audit[[#This Row],[Candidate 11]], "")</f>
        <v/>
      </c>
      <c r="AP776" s="17" t="str">
        <f>IF(NOT(ISBLANK(Audit[[#This Row],[Audit Candidate 12]])), Audit[[#This Row],[Audit Candidate 12]]-Audit[[#This Row],[Candidate 12]], "")</f>
        <v/>
      </c>
      <c r="AQ776" s="17">
        <f>SUMIF(Audit[[#This Row],[Difference Winner]:[Difference Candidate 12]], "&gt;0")</f>
        <v>0</v>
      </c>
      <c r="AR776" s="17">
        <f>SUM(Audit[[#This Row],[Difference Winner]:[Difference Candidate 12]])</f>
        <v>0</v>
      </c>
      <c r="AS776" s="17">
        <f>IF(Audit[[#This Row],[Times p Drawn - With Replacement]]&gt;0, IF(Audit[[#This Row],[Canceled Differences]]&lt;0, Audit[[#This Row],[Max Differences]]+ABS(Audit[[#This Row],[Canceled Differences]]), Audit[[#This Row],[Max Differences]]), 0)</f>
        <v>0</v>
      </c>
      <c r="AT776" s="17">
        <f>'Sampling Data'!AB776</f>
        <v>3.0003395009336277E-2</v>
      </c>
      <c r="AU776" s="17">
        <f>IF(
      SUM(Audit[[#This Row],[Audit Losing Candidate]:[Audit Candidate 12]])
      &lt;&gt;0,
      (Audit[[#This Row],[Winning Candidate]]-Audit[[#This Row],[Losing Candidate]]-(Audit[[#This Row],[Audit Winning Candidate]]-Audit[[#This Row],[Audit Losing Candidate]]))/(Audit[[#Totals],[Winning Candidate]]-Audit[[#Totals],[Losing Candidate]]),
      0
)</f>
        <v>0</v>
      </c>
      <c r="AV7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6" s="17">
        <f>IF(Audit[[#This Row],[Max Relative Error (ep)]] = 0, 0, Audit[[#This Row],[Max Relative Error (ep)]]/Audit[[#This Row],[Error Bound (up) - Max. possible relative overstatement]])</f>
        <v>0</v>
      </c>
      <c r="BH7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76" s="17">
        <f t="shared" si="12"/>
        <v>1</v>
      </c>
      <c r="BJ776" s="17">
        <f>PRODUCT($BI$5:BI776)</f>
        <v>0.20274654467839762</v>
      </c>
      <c r="BK776" s="19">
        <f>1 - Audit[[#This Row],[K-M P Value]]</f>
        <v>0.79725345532160241</v>
      </c>
      <c r="BL776" s="17" t="str">
        <f>IF(Audit[[#This Row],[K-M P Value]]&gt;1-'General Info'!$B$12,"Continue", "Stop")</f>
        <v>Continue</v>
      </c>
      <c r="BM776" s="22" t="b">
        <f>IF(Audit[[#This Row],[Status - Continue or stop audit]] = "Continue", TRUE, IF(BL775 = "Continue", TRUE, FALSE))</f>
        <v>1</v>
      </c>
      <c r="BN776" s="22"/>
    </row>
    <row r="777" spans="1:66" ht="15" hidden="1" customHeight="1" x14ac:dyDescent="0.35">
      <c r="A777" s="17" t="str">
        <f>'Sampling Data'!AI777</f>
        <v/>
      </c>
      <c r="B777" s="17" t="str">
        <f>'Sampling Data'!A777</f>
        <v>3202 FR PK B   (ED)</v>
      </c>
      <c r="C777" s="17">
        <f>'Sampling Data'!B777</f>
        <v>270</v>
      </c>
      <c r="D777" s="17">
        <f>'Sampling Data'!C777</f>
        <v>136</v>
      </c>
      <c r="E777" s="18">
        <f>'Sampling Data'!D777</f>
        <v>0</v>
      </c>
      <c r="F777" s="18">
        <f>'Sampling Data'!E777</f>
        <v>0</v>
      </c>
      <c r="G777" s="18">
        <f>'Sampling Data'!F777</f>
        <v>0</v>
      </c>
      <c r="H777" s="18">
        <f>'Sampling Data'!G777</f>
        <v>0</v>
      </c>
      <c r="I777" s="18">
        <f>'Sampling Data'!H777</f>
        <v>0</v>
      </c>
      <c r="J777" s="18">
        <f>'Sampling Data'!I777</f>
        <v>0</v>
      </c>
      <c r="K777" s="18">
        <f>'Sampling Data'!J777</f>
        <v>0</v>
      </c>
      <c r="L777" s="18">
        <f>'Sampling Data'!K777</f>
        <v>0</v>
      </c>
      <c r="M777" s="18">
        <f>'Sampling Data'!L777</f>
        <v>0</v>
      </c>
      <c r="N777" s="18">
        <f>'Sampling Data'!M777</f>
        <v>0</v>
      </c>
      <c r="O777" s="17">
        <f>'Sampling Data'!N777</f>
        <v>0</v>
      </c>
      <c r="P777" s="17">
        <f>'Sampling Data'!O777</f>
        <v>39</v>
      </c>
      <c r="Q777" s="17">
        <f>'Sampling Data'!P777</f>
        <v>445</v>
      </c>
      <c r="R777" s="17">
        <f>'Sampling Data'!AJ777</f>
        <v>0</v>
      </c>
      <c r="S777" s="111"/>
      <c r="T777" s="111"/>
      <c r="U777" s="112"/>
      <c r="V777" s="112"/>
      <c r="W777" s="111"/>
      <c r="X777" s="111"/>
      <c r="Y777" s="111"/>
      <c r="Z777" s="111"/>
      <c r="AA777" s="14"/>
      <c r="AB777" s="14"/>
      <c r="AC777" s="14"/>
      <c r="AD777" s="14"/>
      <c r="AE777" s="113" t="str">
        <f>IF(NOT(ISBLANK(Audit[[#This Row],[Audit Winning Candidate]])), Audit[[#This Row],[Audit Winning Candidate]]-Audit[[#This Row],[Winning Candidate]], "")</f>
        <v/>
      </c>
      <c r="AF777" s="17" t="str">
        <f>IF(NOT(ISBLANK(Audit[[#This Row],[Audit Losing Candidate]])), Audit[[#This Row],[Audit Losing Candidate]]-Audit[[#This Row],[Losing Candidate]], "")</f>
        <v/>
      </c>
      <c r="AG777" s="17" t="str">
        <f>IF(NOT(ISBLANK(Audit[[#This Row],[Audit Candidate 3]])), Audit[[#This Row],[Audit Candidate 3]]-Audit[[#This Row],[Candidate 3]], "")</f>
        <v/>
      </c>
      <c r="AH777" s="17" t="str">
        <f>IF(NOT(ISBLANK(Audit[[#This Row],[Audit Candidate 4]])),Audit[[#This Row],[Audit Candidate 4]]-Audit[[#This Row],[Candidate 4]], "")</f>
        <v/>
      </c>
      <c r="AI777" s="17" t="str">
        <f>IF(NOT(ISBLANK(Audit[[#This Row],[Audit Candidate 5]])), Audit[[#This Row],[Audit Candidate 5]]-Audit[[#This Row],[Candidate 5]], "")</f>
        <v/>
      </c>
      <c r="AJ777" s="17" t="str">
        <f>IF(NOT(ISBLANK(Audit[[#This Row],[Audit Candidate 6]])), Audit[[#This Row],[Audit Candidate 6]]-Audit[[#This Row],[Candidate 6]], "")</f>
        <v/>
      </c>
      <c r="AK777" s="17" t="str">
        <f>IF(NOT(ISBLANK(Audit[[#This Row],[Audit Candidate 7]])), Audit[[#This Row],[Audit Candidate 7]]-Audit[[#This Row],[Candidate 7]], "")</f>
        <v/>
      </c>
      <c r="AL777" s="17" t="str">
        <f>IF(NOT(ISBLANK(Audit[[#This Row],[Audit Candidate 8]])), Audit[[#This Row],[Audit Candidate 8]]-Audit[[#This Row],[Candidate 8]], "")</f>
        <v/>
      </c>
      <c r="AM777" s="17" t="str">
        <f>IF(NOT(ISBLANK(Audit[[#This Row],[Audit Candidate 9]])), Audit[[#This Row],[Audit Candidate 9]]-Audit[[#This Row],[Candidate 9]], "")</f>
        <v/>
      </c>
      <c r="AN777" s="17" t="str">
        <f>IF(NOT(ISBLANK(Audit[[#This Row],[Audit Candidate 10]])), Audit[[#This Row],[Audit Candidate 10]]-Audit[[#This Row],[Candidate 10]], "")</f>
        <v/>
      </c>
      <c r="AO777" s="17" t="str">
        <f>IF(NOT(ISBLANK(Audit[[#This Row],[Audit Candidate 11]])), Audit[[#This Row],[Audit Candidate 11]]-Audit[[#This Row],[Candidate 11]], "")</f>
        <v/>
      </c>
      <c r="AP777" s="17" t="str">
        <f>IF(NOT(ISBLANK(Audit[[#This Row],[Audit Candidate 12]])), Audit[[#This Row],[Audit Candidate 12]]-Audit[[#This Row],[Candidate 12]], "")</f>
        <v/>
      </c>
      <c r="AQ777" s="17">
        <f>SUMIF(Audit[[#This Row],[Difference Winner]:[Difference Candidate 12]], "&gt;0")</f>
        <v>0</v>
      </c>
      <c r="AR777" s="17">
        <f>SUM(Audit[[#This Row],[Difference Winner]:[Difference Candidate 12]])</f>
        <v>0</v>
      </c>
      <c r="AS777" s="17">
        <f>IF(Audit[[#This Row],[Times p Drawn - With Replacement]]&gt;0, IF(Audit[[#This Row],[Canceled Differences]]&lt;0, Audit[[#This Row],[Max Differences]]+ABS(Audit[[#This Row],[Canceled Differences]]), Audit[[#This Row],[Max Differences]]), 0)</f>
        <v>0</v>
      </c>
      <c r="AT777" s="17">
        <f>'Sampling Data'!AB777</f>
        <v>2.4571380071295196E-2</v>
      </c>
      <c r="AU777" s="17">
        <f>IF(
      SUM(Audit[[#This Row],[Audit Losing Candidate]:[Audit Candidate 12]])
      &lt;&gt;0,
      (Audit[[#This Row],[Winning Candidate]]-Audit[[#This Row],[Losing Candidate]]-(Audit[[#This Row],[Audit Winning Candidate]]-Audit[[#This Row],[Audit Losing Candidate]]))/(Audit[[#Totals],[Winning Candidate]]-Audit[[#Totals],[Losing Candidate]]),
      0
)</f>
        <v>0</v>
      </c>
      <c r="AV7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7" s="17">
        <f>IF(Audit[[#This Row],[Max Relative Error (ep)]] = 0, 0, Audit[[#This Row],[Max Relative Error (ep)]]/Audit[[#This Row],[Error Bound (up) - Max. possible relative overstatement]])</f>
        <v>0</v>
      </c>
      <c r="BH7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77" s="17">
        <f t="shared" si="12"/>
        <v>1</v>
      </c>
      <c r="BJ777" s="17">
        <f>PRODUCT($BI$5:BI777)</f>
        <v>0.20274654467839762</v>
      </c>
      <c r="BK777" s="19">
        <f>1 - Audit[[#This Row],[K-M P Value]]</f>
        <v>0.79725345532160241</v>
      </c>
      <c r="BL777" s="17" t="str">
        <f>IF(Audit[[#This Row],[K-M P Value]]&gt;1-'General Info'!$B$12,"Continue", "Stop")</f>
        <v>Continue</v>
      </c>
      <c r="BM777" s="22" t="b">
        <f>IF(Audit[[#This Row],[Status - Continue or stop audit]] = "Continue", TRUE, IF(BL776 = "Continue", TRUE, FALSE))</f>
        <v>1</v>
      </c>
      <c r="BN777" s="22"/>
    </row>
    <row r="778" spans="1:66" ht="15" hidden="1" customHeight="1" x14ac:dyDescent="0.35">
      <c r="A778" s="17" t="str">
        <f>'Sampling Data'!AI778</f>
        <v/>
      </c>
      <c r="B778" s="17" t="str">
        <f>'Sampling Data'!A778</f>
        <v>3203 FR PK C   (ED)</v>
      </c>
      <c r="C778" s="17">
        <f>'Sampling Data'!B778</f>
        <v>309</v>
      </c>
      <c r="D778" s="17">
        <f>'Sampling Data'!C778</f>
        <v>70</v>
      </c>
      <c r="E778" s="18">
        <f>'Sampling Data'!D778</f>
        <v>0</v>
      </c>
      <c r="F778" s="18">
        <f>'Sampling Data'!E778</f>
        <v>0</v>
      </c>
      <c r="G778" s="18">
        <f>'Sampling Data'!F778</f>
        <v>0</v>
      </c>
      <c r="H778" s="18">
        <f>'Sampling Data'!G778</f>
        <v>0</v>
      </c>
      <c r="I778" s="18">
        <f>'Sampling Data'!H778</f>
        <v>0</v>
      </c>
      <c r="J778" s="18">
        <f>'Sampling Data'!I778</f>
        <v>0</v>
      </c>
      <c r="K778" s="18">
        <f>'Sampling Data'!J778</f>
        <v>0</v>
      </c>
      <c r="L778" s="18">
        <f>'Sampling Data'!K778</f>
        <v>0</v>
      </c>
      <c r="M778" s="18">
        <f>'Sampling Data'!L778</f>
        <v>0</v>
      </c>
      <c r="N778" s="18">
        <f>'Sampling Data'!M778</f>
        <v>0</v>
      </c>
      <c r="O778" s="17">
        <f>'Sampling Data'!N778</f>
        <v>0</v>
      </c>
      <c r="P778" s="17">
        <f>'Sampling Data'!O778</f>
        <v>35</v>
      </c>
      <c r="Q778" s="17">
        <f>'Sampling Data'!P778</f>
        <v>414</v>
      </c>
      <c r="R778" s="17">
        <f>'Sampling Data'!AJ778</f>
        <v>0</v>
      </c>
      <c r="S778" s="111"/>
      <c r="T778" s="111"/>
      <c r="U778" s="112"/>
      <c r="V778" s="112"/>
      <c r="W778" s="111"/>
      <c r="X778" s="111"/>
      <c r="Y778" s="111"/>
      <c r="Z778" s="111"/>
      <c r="AA778" s="14"/>
      <c r="AB778" s="14"/>
      <c r="AC778" s="14"/>
      <c r="AD778" s="14"/>
      <c r="AE778" s="113" t="str">
        <f>IF(NOT(ISBLANK(Audit[[#This Row],[Audit Winning Candidate]])), Audit[[#This Row],[Audit Winning Candidate]]-Audit[[#This Row],[Winning Candidate]], "")</f>
        <v/>
      </c>
      <c r="AF778" s="17" t="str">
        <f>IF(NOT(ISBLANK(Audit[[#This Row],[Audit Losing Candidate]])), Audit[[#This Row],[Audit Losing Candidate]]-Audit[[#This Row],[Losing Candidate]], "")</f>
        <v/>
      </c>
      <c r="AG778" s="17" t="str">
        <f>IF(NOT(ISBLANK(Audit[[#This Row],[Audit Candidate 3]])), Audit[[#This Row],[Audit Candidate 3]]-Audit[[#This Row],[Candidate 3]], "")</f>
        <v/>
      </c>
      <c r="AH778" s="17" t="str">
        <f>IF(NOT(ISBLANK(Audit[[#This Row],[Audit Candidate 4]])),Audit[[#This Row],[Audit Candidate 4]]-Audit[[#This Row],[Candidate 4]], "")</f>
        <v/>
      </c>
      <c r="AI778" s="17" t="str">
        <f>IF(NOT(ISBLANK(Audit[[#This Row],[Audit Candidate 5]])), Audit[[#This Row],[Audit Candidate 5]]-Audit[[#This Row],[Candidate 5]], "")</f>
        <v/>
      </c>
      <c r="AJ778" s="17" t="str">
        <f>IF(NOT(ISBLANK(Audit[[#This Row],[Audit Candidate 6]])), Audit[[#This Row],[Audit Candidate 6]]-Audit[[#This Row],[Candidate 6]], "")</f>
        <v/>
      </c>
      <c r="AK778" s="17" t="str">
        <f>IF(NOT(ISBLANK(Audit[[#This Row],[Audit Candidate 7]])), Audit[[#This Row],[Audit Candidate 7]]-Audit[[#This Row],[Candidate 7]], "")</f>
        <v/>
      </c>
      <c r="AL778" s="17" t="str">
        <f>IF(NOT(ISBLANK(Audit[[#This Row],[Audit Candidate 8]])), Audit[[#This Row],[Audit Candidate 8]]-Audit[[#This Row],[Candidate 8]], "")</f>
        <v/>
      </c>
      <c r="AM778" s="17" t="str">
        <f>IF(NOT(ISBLANK(Audit[[#This Row],[Audit Candidate 9]])), Audit[[#This Row],[Audit Candidate 9]]-Audit[[#This Row],[Candidate 9]], "")</f>
        <v/>
      </c>
      <c r="AN778" s="17" t="str">
        <f>IF(NOT(ISBLANK(Audit[[#This Row],[Audit Candidate 10]])), Audit[[#This Row],[Audit Candidate 10]]-Audit[[#This Row],[Candidate 10]], "")</f>
        <v/>
      </c>
      <c r="AO778" s="17" t="str">
        <f>IF(NOT(ISBLANK(Audit[[#This Row],[Audit Candidate 11]])), Audit[[#This Row],[Audit Candidate 11]]-Audit[[#This Row],[Candidate 11]], "")</f>
        <v/>
      </c>
      <c r="AP778" s="17" t="str">
        <f>IF(NOT(ISBLANK(Audit[[#This Row],[Audit Candidate 12]])), Audit[[#This Row],[Audit Candidate 12]]-Audit[[#This Row],[Candidate 12]], "")</f>
        <v/>
      </c>
      <c r="AQ778" s="17">
        <f>SUMIF(Audit[[#This Row],[Difference Winner]:[Difference Candidate 12]], "&gt;0")</f>
        <v>0</v>
      </c>
      <c r="AR778" s="17">
        <f>SUM(Audit[[#This Row],[Difference Winner]:[Difference Candidate 12]])</f>
        <v>0</v>
      </c>
      <c r="AS778" s="17">
        <f>IF(Audit[[#This Row],[Times p Drawn - With Replacement]]&gt;0, IF(Audit[[#This Row],[Canceled Differences]]&lt;0, Audit[[#This Row],[Max Differences]]+ABS(Audit[[#This Row],[Canceled Differences]]), Audit[[#This Row],[Max Differences]]), 0)</f>
        <v>0</v>
      </c>
      <c r="AT778" s="17">
        <f>'Sampling Data'!AB778</f>
        <v>2.7711763707350196E-2</v>
      </c>
      <c r="AU778" s="17">
        <f>IF(
      SUM(Audit[[#This Row],[Audit Losing Candidate]:[Audit Candidate 12]])
      &lt;&gt;0,
      (Audit[[#This Row],[Winning Candidate]]-Audit[[#This Row],[Losing Candidate]]-(Audit[[#This Row],[Audit Winning Candidate]]-Audit[[#This Row],[Audit Losing Candidate]]))/(Audit[[#Totals],[Winning Candidate]]-Audit[[#Totals],[Losing Candidate]]),
      0
)</f>
        <v>0</v>
      </c>
      <c r="AV7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8" s="17">
        <f>IF(Audit[[#This Row],[Max Relative Error (ep)]] = 0, 0, Audit[[#This Row],[Max Relative Error (ep)]]/Audit[[#This Row],[Error Bound (up) - Max. possible relative overstatement]])</f>
        <v>0</v>
      </c>
      <c r="BH7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78" s="17">
        <f t="shared" si="12"/>
        <v>1</v>
      </c>
      <c r="BJ778" s="17">
        <f>PRODUCT($BI$5:BI778)</f>
        <v>0.20274654467839762</v>
      </c>
      <c r="BK778" s="19">
        <f>1 - Audit[[#This Row],[K-M P Value]]</f>
        <v>0.79725345532160241</v>
      </c>
      <c r="BL778" s="17" t="str">
        <f>IF(Audit[[#This Row],[K-M P Value]]&gt;1-'General Info'!$B$12,"Continue", "Stop")</f>
        <v>Continue</v>
      </c>
      <c r="BM778" s="22" t="b">
        <f>IF(Audit[[#This Row],[Status - Continue or stop audit]] = "Continue", TRUE, IF(BL777 = "Continue", TRUE, FALSE))</f>
        <v>1</v>
      </c>
      <c r="BN778" s="22"/>
    </row>
    <row r="779" spans="1:66" ht="15" hidden="1" customHeight="1" x14ac:dyDescent="0.35">
      <c r="A779" s="17" t="str">
        <f>'Sampling Data'!AI779</f>
        <v/>
      </c>
      <c r="B779" s="17" t="str">
        <f>'Sampling Data'!A779</f>
        <v>3204 FR PK D   (ED)</v>
      </c>
      <c r="C779" s="17">
        <f>'Sampling Data'!B779</f>
        <v>284</v>
      </c>
      <c r="D779" s="17">
        <f>'Sampling Data'!C779</f>
        <v>93</v>
      </c>
      <c r="E779" s="18">
        <f>'Sampling Data'!D779</f>
        <v>0</v>
      </c>
      <c r="F779" s="18">
        <f>'Sampling Data'!E779</f>
        <v>0</v>
      </c>
      <c r="G779" s="18">
        <f>'Sampling Data'!F779</f>
        <v>0</v>
      </c>
      <c r="H779" s="18">
        <f>'Sampling Data'!G779</f>
        <v>0</v>
      </c>
      <c r="I779" s="18">
        <f>'Sampling Data'!H779</f>
        <v>0</v>
      </c>
      <c r="J779" s="18">
        <f>'Sampling Data'!I779</f>
        <v>0</v>
      </c>
      <c r="K779" s="18">
        <f>'Sampling Data'!J779</f>
        <v>0</v>
      </c>
      <c r="L779" s="18">
        <f>'Sampling Data'!K779</f>
        <v>0</v>
      </c>
      <c r="M779" s="18">
        <f>'Sampling Data'!L779</f>
        <v>0</v>
      </c>
      <c r="N779" s="18">
        <f>'Sampling Data'!M779</f>
        <v>0</v>
      </c>
      <c r="O779" s="17">
        <f>'Sampling Data'!N779</f>
        <v>0</v>
      </c>
      <c r="P779" s="17">
        <f>'Sampling Data'!O779</f>
        <v>24</v>
      </c>
      <c r="Q779" s="17">
        <f>'Sampling Data'!P779</f>
        <v>401</v>
      </c>
      <c r="R779" s="17">
        <f>'Sampling Data'!AJ779</f>
        <v>0</v>
      </c>
      <c r="S779" s="111"/>
      <c r="T779" s="111"/>
      <c r="U779" s="112"/>
      <c r="V779" s="112"/>
      <c r="W779" s="111"/>
      <c r="X779" s="111"/>
      <c r="Y779" s="111"/>
      <c r="Z779" s="111"/>
      <c r="AA779" s="14"/>
      <c r="AB779" s="14"/>
      <c r="AC779" s="14"/>
      <c r="AD779" s="14"/>
      <c r="AE779" s="113" t="str">
        <f>IF(NOT(ISBLANK(Audit[[#This Row],[Audit Winning Candidate]])), Audit[[#This Row],[Audit Winning Candidate]]-Audit[[#This Row],[Winning Candidate]], "")</f>
        <v/>
      </c>
      <c r="AF779" s="17" t="str">
        <f>IF(NOT(ISBLANK(Audit[[#This Row],[Audit Losing Candidate]])), Audit[[#This Row],[Audit Losing Candidate]]-Audit[[#This Row],[Losing Candidate]], "")</f>
        <v/>
      </c>
      <c r="AG779" s="17" t="str">
        <f>IF(NOT(ISBLANK(Audit[[#This Row],[Audit Candidate 3]])), Audit[[#This Row],[Audit Candidate 3]]-Audit[[#This Row],[Candidate 3]], "")</f>
        <v/>
      </c>
      <c r="AH779" s="17" t="str">
        <f>IF(NOT(ISBLANK(Audit[[#This Row],[Audit Candidate 4]])),Audit[[#This Row],[Audit Candidate 4]]-Audit[[#This Row],[Candidate 4]], "")</f>
        <v/>
      </c>
      <c r="AI779" s="17" t="str">
        <f>IF(NOT(ISBLANK(Audit[[#This Row],[Audit Candidate 5]])), Audit[[#This Row],[Audit Candidate 5]]-Audit[[#This Row],[Candidate 5]], "")</f>
        <v/>
      </c>
      <c r="AJ779" s="17" t="str">
        <f>IF(NOT(ISBLANK(Audit[[#This Row],[Audit Candidate 6]])), Audit[[#This Row],[Audit Candidate 6]]-Audit[[#This Row],[Candidate 6]], "")</f>
        <v/>
      </c>
      <c r="AK779" s="17" t="str">
        <f>IF(NOT(ISBLANK(Audit[[#This Row],[Audit Candidate 7]])), Audit[[#This Row],[Audit Candidate 7]]-Audit[[#This Row],[Candidate 7]], "")</f>
        <v/>
      </c>
      <c r="AL779" s="17" t="str">
        <f>IF(NOT(ISBLANK(Audit[[#This Row],[Audit Candidate 8]])), Audit[[#This Row],[Audit Candidate 8]]-Audit[[#This Row],[Candidate 8]], "")</f>
        <v/>
      </c>
      <c r="AM779" s="17" t="str">
        <f>IF(NOT(ISBLANK(Audit[[#This Row],[Audit Candidate 9]])), Audit[[#This Row],[Audit Candidate 9]]-Audit[[#This Row],[Candidate 9]], "")</f>
        <v/>
      </c>
      <c r="AN779" s="17" t="str">
        <f>IF(NOT(ISBLANK(Audit[[#This Row],[Audit Candidate 10]])), Audit[[#This Row],[Audit Candidate 10]]-Audit[[#This Row],[Candidate 10]], "")</f>
        <v/>
      </c>
      <c r="AO779" s="17" t="str">
        <f>IF(NOT(ISBLANK(Audit[[#This Row],[Audit Candidate 11]])), Audit[[#This Row],[Audit Candidate 11]]-Audit[[#This Row],[Candidate 11]], "")</f>
        <v/>
      </c>
      <c r="AP779" s="17" t="str">
        <f>IF(NOT(ISBLANK(Audit[[#This Row],[Audit Candidate 12]])), Audit[[#This Row],[Audit Candidate 12]]-Audit[[#This Row],[Candidate 12]], "")</f>
        <v/>
      </c>
      <c r="AQ779" s="17">
        <f>SUMIF(Audit[[#This Row],[Difference Winner]:[Difference Candidate 12]], "&gt;0")</f>
        <v>0</v>
      </c>
      <c r="AR779" s="17">
        <f>SUM(Audit[[#This Row],[Difference Winner]:[Difference Candidate 12]])</f>
        <v>0</v>
      </c>
      <c r="AS779" s="17">
        <f>IF(Audit[[#This Row],[Times p Drawn - With Replacement]]&gt;0, IF(Audit[[#This Row],[Canceled Differences]]&lt;0, Audit[[#This Row],[Max Differences]]+ABS(Audit[[#This Row],[Canceled Differences]]), Audit[[#This Row],[Max Differences]]), 0)</f>
        <v>0</v>
      </c>
      <c r="AT779" s="17">
        <f>'Sampling Data'!AB779</f>
        <v>2.5123069088439993E-2</v>
      </c>
      <c r="AU779" s="17">
        <f>IF(
      SUM(Audit[[#This Row],[Audit Losing Candidate]:[Audit Candidate 12]])
      &lt;&gt;0,
      (Audit[[#This Row],[Winning Candidate]]-Audit[[#This Row],[Losing Candidate]]-(Audit[[#This Row],[Audit Winning Candidate]]-Audit[[#This Row],[Audit Losing Candidate]]))/(Audit[[#Totals],[Winning Candidate]]-Audit[[#Totals],[Losing Candidate]]),
      0
)</f>
        <v>0</v>
      </c>
      <c r="AV7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9" s="17">
        <f>IF(Audit[[#This Row],[Max Relative Error (ep)]] = 0, 0, Audit[[#This Row],[Max Relative Error (ep)]]/Audit[[#This Row],[Error Bound (up) - Max. possible relative overstatement]])</f>
        <v>0</v>
      </c>
      <c r="BH7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79" s="17">
        <f t="shared" si="12"/>
        <v>1</v>
      </c>
      <c r="BJ779" s="17">
        <f>PRODUCT($BI$5:BI779)</f>
        <v>0.20274654467839762</v>
      </c>
      <c r="BK779" s="19">
        <f>1 - Audit[[#This Row],[K-M P Value]]</f>
        <v>0.79725345532160241</v>
      </c>
      <c r="BL779" s="17" t="str">
        <f>IF(Audit[[#This Row],[K-M P Value]]&gt;1-'General Info'!$B$12,"Continue", "Stop")</f>
        <v>Continue</v>
      </c>
      <c r="BM779" s="22" t="b">
        <f>IF(Audit[[#This Row],[Status - Continue or stop audit]] = "Continue", TRUE, IF(BL778 = "Continue", TRUE, FALSE))</f>
        <v>1</v>
      </c>
      <c r="BN779" s="22"/>
    </row>
    <row r="780" spans="1:66" ht="15" hidden="1" customHeight="1" x14ac:dyDescent="0.35">
      <c r="A780" s="17" t="str">
        <f>'Sampling Data'!AI780</f>
        <v/>
      </c>
      <c r="B780" s="17" t="str">
        <f>'Sampling Data'!A780</f>
        <v>3205 FR PK E   (ED)</v>
      </c>
      <c r="C780" s="17">
        <f>'Sampling Data'!B780</f>
        <v>258</v>
      </c>
      <c r="D780" s="17">
        <f>'Sampling Data'!C780</f>
        <v>77</v>
      </c>
      <c r="E780" s="18">
        <f>'Sampling Data'!D780</f>
        <v>0</v>
      </c>
      <c r="F780" s="18">
        <f>'Sampling Data'!E780</f>
        <v>0</v>
      </c>
      <c r="G780" s="18">
        <f>'Sampling Data'!F780</f>
        <v>0</v>
      </c>
      <c r="H780" s="18">
        <f>'Sampling Data'!G780</f>
        <v>0</v>
      </c>
      <c r="I780" s="18">
        <f>'Sampling Data'!H780</f>
        <v>0</v>
      </c>
      <c r="J780" s="18">
        <f>'Sampling Data'!I780</f>
        <v>0</v>
      </c>
      <c r="K780" s="18">
        <f>'Sampling Data'!J780</f>
        <v>0</v>
      </c>
      <c r="L780" s="18">
        <f>'Sampling Data'!K780</f>
        <v>0</v>
      </c>
      <c r="M780" s="18">
        <f>'Sampling Data'!L780</f>
        <v>0</v>
      </c>
      <c r="N780" s="18">
        <f>'Sampling Data'!M780</f>
        <v>0</v>
      </c>
      <c r="O780" s="17">
        <f>'Sampling Data'!N780</f>
        <v>2</v>
      </c>
      <c r="P780" s="17">
        <f>'Sampling Data'!O780</f>
        <v>27</v>
      </c>
      <c r="Q780" s="17">
        <f>'Sampling Data'!P780</f>
        <v>364</v>
      </c>
      <c r="R780" s="17">
        <f>'Sampling Data'!AJ780</f>
        <v>0</v>
      </c>
      <c r="S780" s="111"/>
      <c r="T780" s="111"/>
      <c r="U780" s="112"/>
      <c r="V780" s="112"/>
      <c r="W780" s="111"/>
      <c r="X780" s="111"/>
      <c r="Y780" s="111"/>
      <c r="Z780" s="111"/>
      <c r="AA780" s="14"/>
      <c r="AB780" s="14"/>
      <c r="AC780" s="14"/>
      <c r="AD780" s="14"/>
      <c r="AE780" s="113" t="str">
        <f>IF(NOT(ISBLANK(Audit[[#This Row],[Audit Winning Candidate]])), Audit[[#This Row],[Audit Winning Candidate]]-Audit[[#This Row],[Winning Candidate]], "")</f>
        <v/>
      </c>
      <c r="AF780" s="17" t="str">
        <f>IF(NOT(ISBLANK(Audit[[#This Row],[Audit Losing Candidate]])), Audit[[#This Row],[Audit Losing Candidate]]-Audit[[#This Row],[Losing Candidate]], "")</f>
        <v/>
      </c>
      <c r="AG780" s="17" t="str">
        <f>IF(NOT(ISBLANK(Audit[[#This Row],[Audit Candidate 3]])), Audit[[#This Row],[Audit Candidate 3]]-Audit[[#This Row],[Candidate 3]], "")</f>
        <v/>
      </c>
      <c r="AH780" s="17" t="str">
        <f>IF(NOT(ISBLANK(Audit[[#This Row],[Audit Candidate 4]])),Audit[[#This Row],[Audit Candidate 4]]-Audit[[#This Row],[Candidate 4]], "")</f>
        <v/>
      </c>
      <c r="AI780" s="17" t="str">
        <f>IF(NOT(ISBLANK(Audit[[#This Row],[Audit Candidate 5]])), Audit[[#This Row],[Audit Candidate 5]]-Audit[[#This Row],[Candidate 5]], "")</f>
        <v/>
      </c>
      <c r="AJ780" s="17" t="str">
        <f>IF(NOT(ISBLANK(Audit[[#This Row],[Audit Candidate 6]])), Audit[[#This Row],[Audit Candidate 6]]-Audit[[#This Row],[Candidate 6]], "")</f>
        <v/>
      </c>
      <c r="AK780" s="17" t="str">
        <f>IF(NOT(ISBLANK(Audit[[#This Row],[Audit Candidate 7]])), Audit[[#This Row],[Audit Candidate 7]]-Audit[[#This Row],[Candidate 7]], "")</f>
        <v/>
      </c>
      <c r="AL780" s="17" t="str">
        <f>IF(NOT(ISBLANK(Audit[[#This Row],[Audit Candidate 8]])), Audit[[#This Row],[Audit Candidate 8]]-Audit[[#This Row],[Candidate 8]], "")</f>
        <v/>
      </c>
      <c r="AM780" s="17" t="str">
        <f>IF(NOT(ISBLANK(Audit[[#This Row],[Audit Candidate 9]])), Audit[[#This Row],[Audit Candidate 9]]-Audit[[#This Row],[Candidate 9]], "")</f>
        <v/>
      </c>
      <c r="AN780" s="17" t="str">
        <f>IF(NOT(ISBLANK(Audit[[#This Row],[Audit Candidate 10]])), Audit[[#This Row],[Audit Candidate 10]]-Audit[[#This Row],[Candidate 10]], "")</f>
        <v/>
      </c>
      <c r="AO780" s="17" t="str">
        <f>IF(NOT(ISBLANK(Audit[[#This Row],[Audit Candidate 11]])), Audit[[#This Row],[Audit Candidate 11]]-Audit[[#This Row],[Candidate 11]], "")</f>
        <v/>
      </c>
      <c r="AP780" s="17" t="str">
        <f>IF(NOT(ISBLANK(Audit[[#This Row],[Audit Candidate 12]])), Audit[[#This Row],[Audit Candidate 12]]-Audit[[#This Row],[Candidate 12]], "")</f>
        <v/>
      </c>
      <c r="AQ780" s="17">
        <f>SUMIF(Audit[[#This Row],[Difference Winner]:[Difference Candidate 12]], "&gt;0")</f>
        <v>0</v>
      </c>
      <c r="AR780" s="17">
        <f>SUM(Audit[[#This Row],[Difference Winner]:[Difference Candidate 12]])</f>
        <v>0</v>
      </c>
      <c r="AS780" s="17">
        <f>IF(Audit[[#This Row],[Times p Drawn - With Replacement]]&gt;0, IF(Audit[[#This Row],[Canceled Differences]]&lt;0, Audit[[#This Row],[Max Differences]]+ABS(Audit[[#This Row],[Canceled Differences]]), Audit[[#This Row],[Max Differences]]), 0)</f>
        <v>0</v>
      </c>
      <c r="AT780" s="17">
        <f>'Sampling Data'!AB780</f>
        <v>2.3128501103378035E-2</v>
      </c>
      <c r="AU780" s="17">
        <f>IF(
      SUM(Audit[[#This Row],[Audit Losing Candidate]:[Audit Candidate 12]])
      &lt;&gt;0,
      (Audit[[#This Row],[Winning Candidate]]-Audit[[#This Row],[Losing Candidate]]-(Audit[[#This Row],[Audit Winning Candidate]]-Audit[[#This Row],[Audit Losing Candidate]]))/(Audit[[#Totals],[Winning Candidate]]-Audit[[#Totals],[Losing Candidate]]),
      0
)</f>
        <v>0</v>
      </c>
      <c r="AV7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0" s="17">
        <f>IF(Audit[[#This Row],[Max Relative Error (ep)]] = 0, 0, Audit[[#This Row],[Max Relative Error (ep)]]/Audit[[#This Row],[Error Bound (up) - Max. possible relative overstatement]])</f>
        <v>0</v>
      </c>
      <c r="BH7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80" s="17">
        <f t="shared" si="12"/>
        <v>1</v>
      </c>
      <c r="BJ780" s="17">
        <f>PRODUCT($BI$5:BI780)</f>
        <v>0.20274654467839762</v>
      </c>
      <c r="BK780" s="19">
        <f>1 - Audit[[#This Row],[K-M P Value]]</f>
        <v>0.79725345532160241</v>
      </c>
      <c r="BL780" s="17" t="str">
        <f>IF(Audit[[#This Row],[K-M P Value]]&gt;1-'General Info'!$B$12,"Continue", "Stop")</f>
        <v>Continue</v>
      </c>
      <c r="BM780" s="22" t="b">
        <f>IF(Audit[[#This Row],[Status - Continue or stop audit]] = "Continue", TRUE, IF(BL779 = "Continue", TRUE, FALSE))</f>
        <v>1</v>
      </c>
      <c r="BN780" s="22"/>
    </row>
    <row r="781" spans="1:66" ht="15" hidden="1" customHeight="1" x14ac:dyDescent="0.35">
      <c r="A781" s="17" t="str">
        <f>'Sampling Data'!AI781</f>
        <v/>
      </c>
      <c r="B781" s="17" t="str">
        <f>'Sampling Data'!A781</f>
        <v>3206 FR PK F   (ED)</v>
      </c>
      <c r="C781" s="17">
        <f>'Sampling Data'!B781</f>
        <v>154</v>
      </c>
      <c r="D781" s="17">
        <f>'Sampling Data'!C781</f>
        <v>43</v>
      </c>
      <c r="E781" s="18">
        <f>'Sampling Data'!D781</f>
        <v>0</v>
      </c>
      <c r="F781" s="18">
        <f>'Sampling Data'!E781</f>
        <v>0</v>
      </c>
      <c r="G781" s="18">
        <f>'Sampling Data'!F781</f>
        <v>0</v>
      </c>
      <c r="H781" s="18">
        <f>'Sampling Data'!G781</f>
        <v>0</v>
      </c>
      <c r="I781" s="18">
        <f>'Sampling Data'!H781</f>
        <v>0</v>
      </c>
      <c r="J781" s="18">
        <f>'Sampling Data'!I781</f>
        <v>0</v>
      </c>
      <c r="K781" s="18">
        <f>'Sampling Data'!J781</f>
        <v>0</v>
      </c>
      <c r="L781" s="18">
        <f>'Sampling Data'!K781</f>
        <v>0</v>
      </c>
      <c r="M781" s="18">
        <f>'Sampling Data'!L781</f>
        <v>0</v>
      </c>
      <c r="N781" s="18">
        <f>'Sampling Data'!M781</f>
        <v>0</v>
      </c>
      <c r="O781" s="17">
        <f>'Sampling Data'!N781</f>
        <v>0</v>
      </c>
      <c r="P781" s="17">
        <f>'Sampling Data'!O781</f>
        <v>13</v>
      </c>
      <c r="Q781" s="17">
        <f>'Sampling Data'!P781</f>
        <v>210</v>
      </c>
      <c r="R781" s="17">
        <f>'Sampling Data'!AJ781</f>
        <v>0</v>
      </c>
      <c r="S781" s="111"/>
      <c r="T781" s="111"/>
      <c r="U781" s="112"/>
      <c r="V781" s="112"/>
      <c r="W781" s="111"/>
      <c r="X781" s="111"/>
      <c r="Y781" s="111"/>
      <c r="Z781" s="111"/>
      <c r="AA781" s="14"/>
      <c r="AB781" s="14"/>
      <c r="AC781" s="14"/>
      <c r="AD781" s="14"/>
      <c r="AE781" s="113" t="str">
        <f>IF(NOT(ISBLANK(Audit[[#This Row],[Audit Winning Candidate]])), Audit[[#This Row],[Audit Winning Candidate]]-Audit[[#This Row],[Winning Candidate]], "")</f>
        <v/>
      </c>
      <c r="AF781" s="17" t="str">
        <f>IF(NOT(ISBLANK(Audit[[#This Row],[Audit Losing Candidate]])), Audit[[#This Row],[Audit Losing Candidate]]-Audit[[#This Row],[Losing Candidate]], "")</f>
        <v/>
      </c>
      <c r="AG781" s="17" t="str">
        <f>IF(NOT(ISBLANK(Audit[[#This Row],[Audit Candidate 3]])), Audit[[#This Row],[Audit Candidate 3]]-Audit[[#This Row],[Candidate 3]], "")</f>
        <v/>
      </c>
      <c r="AH781" s="17" t="str">
        <f>IF(NOT(ISBLANK(Audit[[#This Row],[Audit Candidate 4]])),Audit[[#This Row],[Audit Candidate 4]]-Audit[[#This Row],[Candidate 4]], "")</f>
        <v/>
      </c>
      <c r="AI781" s="17" t="str">
        <f>IF(NOT(ISBLANK(Audit[[#This Row],[Audit Candidate 5]])), Audit[[#This Row],[Audit Candidate 5]]-Audit[[#This Row],[Candidate 5]], "")</f>
        <v/>
      </c>
      <c r="AJ781" s="17" t="str">
        <f>IF(NOT(ISBLANK(Audit[[#This Row],[Audit Candidate 6]])), Audit[[#This Row],[Audit Candidate 6]]-Audit[[#This Row],[Candidate 6]], "")</f>
        <v/>
      </c>
      <c r="AK781" s="17" t="str">
        <f>IF(NOT(ISBLANK(Audit[[#This Row],[Audit Candidate 7]])), Audit[[#This Row],[Audit Candidate 7]]-Audit[[#This Row],[Candidate 7]], "")</f>
        <v/>
      </c>
      <c r="AL781" s="17" t="str">
        <f>IF(NOT(ISBLANK(Audit[[#This Row],[Audit Candidate 8]])), Audit[[#This Row],[Audit Candidate 8]]-Audit[[#This Row],[Candidate 8]], "")</f>
        <v/>
      </c>
      <c r="AM781" s="17" t="str">
        <f>IF(NOT(ISBLANK(Audit[[#This Row],[Audit Candidate 9]])), Audit[[#This Row],[Audit Candidate 9]]-Audit[[#This Row],[Candidate 9]], "")</f>
        <v/>
      </c>
      <c r="AN781" s="17" t="str">
        <f>IF(NOT(ISBLANK(Audit[[#This Row],[Audit Candidate 10]])), Audit[[#This Row],[Audit Candidate 10]]-Audit[[#This Row],[Candidate 10]], "")</f>
        <v/>
      </c>
      <c r="AO781" s="17" t="str">
        <f>IF(NOT(ISBLANK(Audit[[#This Row],[Audit Candidate 11]])), Audit[[#This Row],[Audit Candidate 11]]-Audit[[#This Row],[Candidate 11]], "")</f>
        <v/>
      </c>
      <c r="AP781" s="17" t="str">
        <f>IF(NOT(ISBLANK(Audit[[#This Row],[Audit Candidate 12]])), Audit[[#This Row],[Audit Candidate 12]]-Audit[[#This Row],[Candidate 12]], "")</f>
        <v/>
      </c>
      <c r="AQ781" s="17">
        <f>SUMIF(Audit[[#This Row],[Difference Winner]:[Difference Candidate 12]], "&gt;0")</f>
        <v>0</v>
      </c>
      <c r="AR781" s="17">
        <f>SUM(Audit[[#This Row],[Difference Winner]:[Difference Candidate 12]])</f>
        <v>0</v>
      </c>
      <c r="AS781" s="17">
        <f>IF(Audit[[#This Row],[Times p Drawn - With Replacement]]&gt;0, IF(Audit[[#This Row],[Canceled Differences]]&lt;0, Audit[[#This Row],[Max Differences]]+ABS(Audit[[#This Row],[Canceled Differences]]), Audit[[#This Row],[Max Differences]]), 0)</f>
        <v>0</v>
      </c>
      <c r="AT781" s="17">
        <f>'Sampling Data'!AB781</f>
        <v>1.3622474961806144E-2</v>
      </c>
      <c r="AU781" s="17">
        <f>IF(
      SUM(Audit[[#This Row],[Audit Losing Candidate]:[Audit Candidate 12]])
      &lt;&gt;0,
      (Audit[[#This Row],[Winning Candidate]]-Audit[[#This Row],[Losing Candidate]]-(Audit[[#This Row],[Audit Winning Candidate]]-Audit[[#This Row],[Audit Losing Candidate]]))/(Audit[[#Totals],[Winning Candidate]]-Audit[[#Totals],[Losing Candidate]]),
      0
)</f>
        <v>0</v>
      </c>
      <c r="AV7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1" s="17">
        <f>IF(Audit[[#This Row],[Max Relative Error (ep)]] = 0, 0, Audit[[#This Row],[Max Relative Error (ep)]]/Audit[[#This Row],[Error Bound (up) - Max. possible relative overstatement]])</f>
        <v>0</v>
      </c>
      <c r="BH7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81" s="17">
        <f t="shared" si="12"/>
        <v>1</v>
      </c>
      <c r="BJ781" s="17">
        <f>PRODUCT($BI$5:BI781)</f>
        <v>0.20274654467839762</v>
      </c>
      <c r="BK781" s="19">
        <f>1 - Audit[[#This Row],[K-M P Value]]</f>
        <v>0.79725345532160241</v>
      </c>
      <c r="BL781" s="17" t="str">
        <f>IF(Audit[[#This Row],[K-M P Value]]&gt;1-'General Info'!$B$12,"Continue", "Stop")</f>
        <v>Continue</v>
      </c>
      <c r="BM781" s="22" t="b">
        <f>IF(Audit[[#This Row],[Status - Continue or stop audit]] = "Continue", TRUE, IF(BL780 = "Continue", TRUE, FALSE))</f>
        <v>1</v>
      </c>
      <c r="BN781" s="22"/>
    </row>
    <row r="782" spans="1:66" ht="15" hidden="1" customHeight="1" x14ac:dyDescent="0.35">
      <c r="A782" s="17" t="str">
        <f>'Sampling Data'!AI782</f>
        <v/>
      </c>
      <c r="B782" s="17" t="str">
        <f>'Sampling Data'!A782</f>
        <v>3207 FR PK G   (ED)</v>
      </c>
      <c r="C782" s="17">
        <f>'Sampling Data'!B782</f>
        <v>278</v>
      </c>
      <c r="D782" s="17">
        <f>'Sampling Data'!C782</f>
        <v>56</v>
      </c>
      <c r="E782" s="18">
        <f>'Sampling Data'!D782</f>
        <v>0</v>
      </c>
      <c r="F782" s="18">
        <f>'Sampling Data'!E782</f>
        <v>0</v>
      </c>
      <c r="G782" s="18">
        <f>'Sampling Data'!F782</f>
        <v>0</v>
      </c>
      <c r="H782" s="18">
        <f>'Sampling Data'!G782</f>
        <v>0</v>
      </c>
      <c r="I782" s="18">
        <f>'Sampling Data'!H782</f>
        <v>0</v>
      </c>
      <c r="J782" s="18">
        <f>'Sampling Data'!I782</f>
        <v>0</v>
      </c>
      <c r="K782" s="18">
        <f>'Sampling Data'!J782</f>
        <v>0</v>
      </c>
      <c r="L782" s="18">
        <f>'Sampling Data'!K782</f>
        <v>0</v>
      </c>
      <c r="M782" s="18">
        <f>'Sampling Data'!L782</f>
        <v>0</v>
      </c>
      <c r="N782" s="18">
        <f>'Sampling Data'!M782</f>
        <v>0</v>
      </c>
      <c r="O782" s="17">
        <f>'Sampling Data'!N782</f>
        <v>0</v>
      </c>
      <c r="P782" s="17">
        <f>'Sampling Data'!O782</f>
        <v>22</v>
      </c>
      <c r="Q782" s="17">
        <f>'Sampling Data'!P782</f>
        <v>356</v>
      </c>
      <c r="R782" s="17">
        <f>'Sampling Data'!AJ782</f>
        <v>0</v>
      </c>
      <c r="S782" s="111"/>
      <c r="T782" s="111"/>
      <c r="U782" s="112"/>
      <c r="V782" s="112"/>
      <c r="W782" s="111"/>
      <c r="X782" s="111"/>
      <c r="Y782" s="111"/>
      <c r="Z782" s="111"/>
      <c r="AA782" s="14"/>
      <c r="AB782" s="14"/>
      <c r="AC782" s="14"/>
      <c r="AD782" s="14"/>
      <c r="AE782" s="113" t="str">
        <f>IF(NOT(ISBLANK(Audit[[#This Row],[Audit Winning Candidate]])), Audit[[#This Row],[Audit Winning Candidate]]-Audit[[#This Row],[Winning Candidate]], "")</f>
        <v/>
      </c>
      <c r="AF782" s="17" t="str">
        <f>IF(NOT(ISBLANK(Audit[[#This Row],[Audit Losing Candidate]])), Audit[[#This Row],[Audit Losing Candidate]]-Audit[[#This Row],[Losing Candidate]], "")</f>
        <v/>
      </c>
      <c r="AG782" s="17" t="str">
        <f>IF(NOT(ISBLANK(Audit[[#This Row],[Audit Candidate 3]])), Audit[[#This Row],[Audit Candidate 3]]-Audit[[#This Row],[Candidate 3]], "")</f>
        <v/>
      </c>
      <c r="AH782" s="17" t="str">
        <f>IF(NOT(ISBLANK(Audit[[#This Row],[Audit Candidate 4]])),Audit[[#This Row],[Audit Candidate 4]]-Audit[[#This Row],[Candidate 4]], "")</f>
        <v/>
      </c>
      <c r="AI782" s="17" t="str">
        <f>IF(NOT(ISBLANK(Audit[[#This Row],[Audit Candidate 5]])), Audit[[#This Row],[Audit Candidate 5]]-Audit[[#This Row],[Candidate 5]], "")</f>
        <v/>
      </c>
      <c r="AJ782" s="17" t="str">
        <f>IF(NOT(ISBLANK(Audit[[#This Row],[Audit Candidate 6]])), Audit[[#This Row],[Audit Candidate 6]]-Audit[[#This Row],[Candidate 6]], "")</f>
        <v/>
      </c>
      <c r="AK782" s="17" t="str">
        <f>IF(NOT(ISBLANK(Audit[[#This Row],[Audit Candidate 7]])), Audit[[#This Row],[Audit Candidate 7]]-Audit[[#This Row],[Candidate 7]], "")</f>
        <v/>
      </c>
      <c r="AL782" s="17" t="str">
        <f>IF(NOT(ISBLANK(Audit[[#This Row],[Audit Candidate 8]])), Audit[[#This Row],[Audit Candidate 8]]-Audit[[#This Row],[Candidate 8]], "")</f>
        <v/>
      </c>
      <c r="AM782" s="17" t="str">
        <f>IF(NOT(ISBLANK(Audit[[#This Row],[Audit Candidate 9]])), Audit[[#This Row],[Audit Candidate 9]]-Audit[[#This Row],[Candidate 9]], "")</f>
        <v/>
      </c>
      <c r="AN782" s="17" t="str">
        <f>IF(NOT(ISBLANK(Audit[[#This Row],[Audit Candidate 10]])), Audit[[#This Row],[Audit Candidate 10]]-Audit[[#This Row],[Candidate 10]], "")</f>
        <v/>
      </c>
      <c r="AO782" s="17" t="str">
        <f>IF(NOT(ISBLANK(Audit[[#This Row],[Audit Candidate 11]])), Audit[[#This Row],[Audit Candidate 11]]-Audit[[#This Row],[Candidate 11]], "")</f>
        <v/>
      </c>
      <c r="AP782" s="17" t="str">
        <f>IF(NOT(ISBLANK(Audit[[#This Row],[Audit Candidate 12]])), Audit[[#This Row],[Audit Candidate 12]]-Audit[[#This Row],[Candidate 12]], "")</f>
        <v/>
      </c>
      <c r="AQ782" s="17">
        <f>SUMIF(Audit[[#This Row],[Difference Winner]:[Difference Candidate 12]], "&gt;0")</f>
        <v>0</v>
      </c>
      <c r="AR782" s="17">
        <f>SUM(Audit[[#This Row],[Difference Winner]:[Difference Candidate 12]])</f>
        <v>0</v>
      </c>
      <c r="AS782" s="17">
        <f>IF(Audit[[#This Row],[Times p Drawn - With Replacement]]&gt;0, IF(Audit[[#This Row],[Canceled Differences]]&lt;0, Audit[[#This Row],[Max Differences]]+ABS(Audit[[#This Row],[Canceled Differences]]), Audit[[#This Row],[Max Differences]]), 0)</f>
        <v>0</v>
      </c>
      <c r="AT782" s="17">
        <f>'Sampling Data'!AB782</f>
        <v>2.4528942454591751E-2</v>
      </c>
      <c r="AU782" s="17">
        <f>IF(
      SUM(Audit[[#This Row],[Audit Losing Candidate]:[Audit Candidate 12]])
      &lt;&gt;0,
      (Audit[[#This Row],[Winning Candidate]]-Audit[[#This Row],[Losing Candidate]]-(Audit[[#This Row],[Audit Winning Candidate]]-Audit[[#This Row],[Audit Losing Candidate]]))/(Audit[[#Totals],[Winning Candidate]]-Audit[[#Totals],[Losing Candidate]]),
      0
)</f>
        <v>0</v>
      </c>
      <c r="AV7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2" s="17">
        <f>IF(Audit[[#This Row],[Max Relative Error (ep)]] = 0, 0, Audit[[#This Row],[Max Relative Error (ep)]]/Audit[[#This Row],[Error Bound (up) - Max. possible relative overstatement]])</f>
        <v>0</v>
      </c>
      <c r="BH7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82" s="17">
        <f t="shared" si="12"/>
        <v>1</v>
      </c>
      <c r="BJ782" s="17">
        <f>PRODUCT($BI$5:BI782)</f>
        <v>0.20274654467839762</v>
      </c>
      <c r="BK782" s="19">
        <f>1 - Audit[[#This Row],[K-M P Value]]</f>
        <v>0.79725345532160241</v>
      </c>
      <c r="BL782" s="17" t="str">
        <f>IF(Audit[[#This Row],[K-M P Value]]&gt;1-'General Info'!$B$12,"Continue", "Stop")</f>
        <v>Continue</v>
      </c>
      <c r="BM782" s="22" t="b">
        <f>IF(Audit[[#This Row],[Status - Continue or stop audit]] = "Continue", TRUE, IF(BL781 = "Continue", TRUE, FALSE))</f>
        <v>1</v>
      </c>
      <c r="BN782" s="22"/>
    </row>
    <row r="783" spans="1:66" ht="15" hidden="1" customHeight="1" x14ac:dyDescent="0.35">
      <c r="A783" s="17" t="str">
        <f>'Sampling Data'!AI783</f>
        <v/>
      </c>
      <c r="B783" s="17" t="str">
        <f>'Sampling Data'!A783</f>
        <v>3208 FR PK H   (ED)</v>
      </c>
      <c r="C783" s="17">
        <f>'Sampling Data'!B783</f>
        <v>242</v>
      </c>
      <c r="D783" s="17">
        <f>'Sampling Data'!C783</f>
        <v>55</v>
      </c>
      <c r="E783" s="18">
        <f>'Sampling Data'!D783</f>
        <v>0</v>
      </c>
      <c r="F783" s="18">
        <f>'Sampling Data'!E783</f>
        <v>0</v>
      </c>
      <c r="G783" s="18">
        <f>'Sampling Data'!F783</f>
        <v>0</v>
      </c>
      <c r="H783" s="18">
        <f>'Sampling Data'!G783</f>
        <v>0</v>
      </c>
      <c r="I783" s="18">
        <f>'Sampling Data'!H783</f>
        <v>0</v>
      </c>
      <c r="J783" s="18">
        <f>'Sampling Data'!I783</f>
        <v>0</v>
      </c>
      <c r="K783" s="18">
        <f>'Sampling Data'!J783</f>
        <v>0</v>
      </c>
      <c r="L783" s="18">
        <f>'Sampling Data'!K783</f>
        <v>0</v>
      </c>
      <c r="M783" s="18">
        <f>'Sampling Data'!L783</f>
        <v>0</v>
      </c>
      <c r="N783" s="18">
        <f>'Sampling Data'!M783</f>
        <v>0</v>
      </c>
      <c r="O783" s="17">
        <f>'Sampling Data'!N783</f>
        <v>0</v>
      </c>
      <c r="P783" s="17">
        <f>'Sampling Data'!O783</f>
        <v>18</v>
      </c>
      <c r="Q783" s="17">
        <f>'Sampling Data'!P783</f>
        <v>315</v>
      </c>
      <c r="R783" s="17">
        <f>'Sampling Data'!AJ783</f>
        <v>0</v>
      </c>
      <c r="S783" s="111"/>
      <c r="T783" s="111"/>
      <c r="U783" s="112"/>
      <c r="V783" s="112"/>
      <c r="W783" s="111"/>
      <c r="X783" s="111"/>
      <c r="Y783" s="111"/>
      <c r="Z783" s="111"/>
      <c r="AA783" s="14"/>
      <c r="AB783" s="14"/>
      <c r="AC783" s="14"/>
      <c r="AD783" s="14"/>
      <c r="AE783" s="113" t="str">
        <f>IF(NOT(ISBLANK(Audit[[#This Row],[Audit Winning Candidate]])), Audit[[#This Row],[Audit Winning Candidate]]-Audit[[#This Row],[Winning Candidate]], "")</f>
        <v/>
      </c>
      <c r="AF783" s="17" t="str">
        <f>IF(NOT(ISBLANK(Audit[[#This Row],[Audit Losing Candidate]])), Audit[[#This Row],[Audit Losing Candidate]]-Audit[[#This Row],[Losing Candidate]], "")</f>
        <v/>
      </c>
      <c r="AG783" s="17" t="str">
        <f>IF(NOT(ISBLANK(Audit[[#This Row],[Audit Candidate 3]])), Audit[[#This Row],[Audit Candidate 3]]-Audit[[#This Row],[Candidate 3]], "")</f>
        <v/>
      </c>
      <c r="AH783" s="17" t="str">
        <f>IF(NOT(ISBLANK(Audit[[#This Row],[Audit Candidate 4]])),Audit[[#This Row],[Audit Candidate 4]]-Audit[[#This Row],[Candidate 4]], "")</f>
        <v/>
      </c>
      <c r="AI783" s="17" t="str">
        <f>IF(NOT(ISBLANK(Audit[[#This Row],[Audit Candidate 5]])), Audit[[#This Row],[Audit Candidate 5]]-Audit[[#This Row],[Candidate 5]], "")</f>
        <v/>
      </c>
      <c r="AJ783" s="17" t="str">
        <f>IF(NOT(ISBLANK(Audit[[#This Row],[Audit Candidate 6]])), Audit[[#This Row],[Audit Candidate 6]]-Audit[[#This Row],[Candidate 6]], "")</f>
        <v/>
      </c>
      <c r="AK783" s="17" t="str">
        <f>IF(NOT(ISBLANK(Audit[[#This Row],[Audit Candidate 7]])), Audit[[#This Row],[Audit Candidate 7]]-Audit[[#This Row],[Candidate 7]], "")</f>
        <v/>
      </c>
      <c r="AL783" s="17" t="str">
        <f>IF(NOT(ISBLANK(Audit[[#This Row],[Audit Candidate 8]])), Audit[[#This Row],[Audit Candidate 8]]-Audit[[#This Row],[Candidate 8]], "")</f>
        <v/>
      </c>
      <c r="AM783" s="17" t="str">
        <f>IF(NOT(ISBLANK(Audit[[#This Row],[Audit Candidate 9]])), Audit[[#This Row],[Audit Candidate 9]]-Audit[[#This Row],[Candidate 9]], "")</f>
        <v/>
      </c>
      <c r="AN783" s="17" t="str">
        <f>IF(NOT(ISBLANK(Audit[[#This Row],[Audit Candidate 10]])), Audit[[#This Row],[Audit Candidate 10]]-Audit[[#This Row],[Candidate 10]], "")</f>
        <v/>
      </c>
      <c r="AO783" s="17" t="str">
        <f>IF(NOT(ISBLANK(Audit[[#This Row],[Audit Candidate 11]])), Audit[[#This Row],[Audit Candidate 11]]-Audit[[#This Row],[Candidate 11]], "")</f>
        <v/>
      </c>
      <c r="AP783" s="17" t="str">
        <f>IF(NOT(ISBLANK(Audit[[#This Row],[Audit Candidate 12]])), Audit[[#This Row],[Audit Candidate 12]]-Audit[[#This Row],[Candidate 12]], "")</f>
        <v/>
      </c>
      <c r="AQ783" s="17">
        <f>SUMIF(Audit[[#This Row],[Difference Winner]:[Difference Candidate 12]], "&gt;0")</f>
        <v>0</v>
      </c>
      <c r="AR783" s="17">
        <f>SUM(Audit[[#This Row],[Difference Winner]:[Difference Candidate 12]])</f>
        <v>0</v>
      </c>
      <c r="AS783" s="17">
        <f>IF(Audit[[#This Row],[Times p Drawn - With Replacement]]&gt;0, IF(Audit[[#This Row],[Canceled Differences]]&lt;0, Audit[[#This Row],[Max Differences]]+ABS(Audit[[#This Row],[Canceled Differences]]), Audit[[#This Row],[Max Differences]]), 0)</f>
        <v>0</v>
      </c>
      <c r="AT783" s="17">
        <f>'Sampling Data'!AB783</f>
        <v>2.1303683585129858E-2</v>
      </c>
      <c r="AU783" s="17">
        <f>IF(
      SUM(Audit[[#This Row],[Audit Losing Candidate]:[Audit Candidate 12]])
      &lt;&gt;0,
      (Audit[[#This Row],[Winning Candidate]]-Audit[[#This Row],[Losing Candidate]]-(Audit[[#This Row],[Audit Winning Candidate]]-Audit[[#This Row],[Audit Losing Candidate]]))/(Audit[[#Totals],[Winning Candidate]]-Audit[[#Totals],[Losing Candidate]]),
      0
)</f>
        <v>0</v>
      </c>
      <c r="AV7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3" s="17">
        <f>IF(Audit[[#This Row],[Max Relative Error (ep)]] = 0, 0, Audit[[#This Row],[Max Relative Error (ep)]]/Audit[[#This Row],[Error Bound (up) - Max. possible relative overstatement]])</f>
        <v>0</v>
      </c>
      <c r="BH7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83" s="17">
        <f t="shared" ref="BI783:BI846" si="13">IF(ISERR(POWER(BH783,R783)), 0, POWER(BH783,R783))</f>
        <v>1</v>
      </c>
      <c r="BJ783" s="17">
        <f>PRODUCT($BI$5:BI783)</f>
        <v>0.20274654467839762</v>
      </c>
      <c r="BK783" s="19">
        <f>1 - Audit[[#This Row],[K-M P Value]]</f>
        <v>0.79725345532160241</v>
      </c>
      <c r="BL783" s="17" t="str">
        <f>IF(Audit[[#This Row],[K-M P Value]]&gt;1-'General Info'!$B$12,"Continue", "Stop")</f>
        <v>Continue</v>
      </c>
      <c r="BM783" s="22" t="b">
        <f>IF(Audit[[#This Row],[Status - Continue or stop audit]] = "Continue", TRUE, IF(BL782 = "Continue", TRUE, FALSE))</f>
        <v>1</v>
      </c>
      <c r="BN783" s="22"/>
    </row>
    <row r="784" spans="1:66" ht="15" hidden="1" customHeight="1" x14ac:dyDescent="0.35">
      <c r="A784" s="17" t="str">
        <f>'Sampling Data'!AI784</f>
        <v/>
      </c>
      <c r="B784" s="17" t="str">
        <f>'Sampling Data'!A784</f>
        <v>3209 FR PK I   (ED)</v>
      </c>
      <c r="C784" s="17">
        <f>'Sampling Data'!B784</f>
        <v>248</v>
      </c>
      <c r="D784" s="17">
        <f>'Sampling Data'!C784</f>
        <v>86</v>
      </c>
      <c r="E784" s="18">
        <f>'Sampling Data'!D784</f>
        <v>0</v>
      </c>
      <c r="F784" s="18">
        <f>'Sampling Data'!E784</f>
        <v>0</v>
      </c>
      <c r="G784" s="18">
        <f>'Sampling Data'!F784</f>
        <v>0</v>
      </c>
      <c r="H784" s="18">
        <f>'Sampling Data'!G784</f>
        <v>0</v>
      </c>
      <c r="I784" s="18">
        <f>'Sampling Data'!H784</f>
        <v>0</v>
      </c>
      <c r="J784" s="18">
        <f>'Sampling Data'!I784</f>
        <v>0</v>
      </c>
      <c r="K784" s="18">
        <f>'Sampling Data'!J784</f>
        <v>0</v>
      </c>
      <c r="L784" s="18">
        <f>'Sampling Data'!K784</f>
        <v>0</v>
      </c>
      <c r="M784" s="18">
        <f>'Sampling Data'!L784</f>
        <v>0</v>
      </c>
      <c r="N784" s="18">
        <f>'Sampling Data'!M784</f>
        <v>0</v>
      </c>
      <c r="O784" s="17">
        <f>'Sampling Data'!N784</f>
        <v>1</v>
      </c>
      <c r="P784" s="17">
        <f>'Sampling Data'!O784</f>
        <v>16</v>
      </c>
      <c r="Q784" s="17">
        <f>'Sampling Data'!P784</f>
        <v>351</v>
      </c>
      <c r="R784" s="17">
        <f>'Sampling Data'!AJ784</f>
        <v>0</v>
      </c>
      <c r="S784" s="111"/>
      <c r="T784" s="111"/>
      <c r="U784" s="112"/>
      <c r="V784" s="112"/>
      <c r="W784" s="111"/>
      <c r="X784" s="111"/>
      <c r="Y784" s="111"/>
      <c r="Z784" s="111"/>
      <c r="AA784" s="14"/>
      <c r="AB784" s="14"/>
      <c r="AC784" s="14"/>
      <c r="AD784" s="14"/>
      <c r="AE784" s="113" t="str">
        <f>IF(NOT(ISBLANK(Audit[[#This Row],[Audit Winning Candidate]])), Audit[[#This Row],[Audit Winning Candidate]]-Audit[[#This Row],[Winning Candidate]], "")</f>
        <v/>
      </c>
      <c r="AF784" s="17" t="str">
        <f>IF(NOT(ISBLANK(Audit[[#This Row],[Audit Losing Candidate]])), Audit[[#This Row],[Audit Losing Candidate]]-Audit[[#This Row],[Losing Candidate]], "")</f>
        <v/>
      </c>
      <c r="AG784" s="17" t="str">
        <f>IF(NOT(ISBLANK(Audit[[#This Row],[Audit Candidate 3]])), Audit[[#This Row],[Audit Candidate 3]]-Audit[[#This Row],[Candidate 3]], "")</f>
        <v/>
      </c>
      <c r="AH784" s="17" t="str">
        <f>IF(NOT(ISBLANK(Audit[[#This Row],[Audit Candidate 4]])),Audit[[#This Row],[Audit Candidate 4]]-Audit[[#This Row],[Candidate 4]], "")</f>
        <v/>
      </c>
      <c r="AI784" s="17" t="str">
        <f>IF(NOT(ISBLANK(Audit[[#This Row],[Audit Candidate 5]])), Audit[[#This Row],[Audit Candidate 5]]-Audit[[#This Row],[Candidate 5]], "")</f>
        <v/>
      </c>
      <c r="AJ784" s="17" t="str">
        <f>IF(NOT(ISBLANK(Audit[[#This Row],[Audit Candidate 6]])), Audit[[#This Row],[Audit Candidate 6]]-Audit[[#This Row],[Candidate 6]], "")</f>
        <v/>
      </c>
      <c r="AK784" s="17" t="str">
        <f>IF(NOT(ISBLANK(Audit[[#This Row],[Audit Candidate 7]])), Audit[[#This Row],[Audit Candidate 7]]-Audit[[#This Row],[Candidate 7]], "")</f>
        <v/>
      </c>
      <c r="AL784" s="17" t="str">
        <f>IF(NOT(ISBLANK(Audit[[#This Row],[Audit Candidate 8]])), Audit[[#This Row],[Audit Candidate 8]]-Audit[[#This Row],[Candidate 8]], "")</f>
        <v/>
      </c>
      <c r="AM784" s="17" t="str">
        <f>IF(NOT(ISBLANK(Audit[[#This Row],[Audit Candidate 9]])), Audit[[#This Row],[Audit Candidate 9]]-Audit[[#This Row],[Candidate 9]], "")</f>
        <v/>
      </c>
      <c r="AN784" s="17" t="str">
        <f>IF(NOT(ISBLANK(Audit[[#This Row],[Audit Candidate 10]])), Audit[[#This Row],[Audit Candidate 10]]-Audit[[#This Row],[Candidate 10]], "")</f>
        <v/>
      </c>
      <c r="AO784" s="17" t="str">
        <f>IF(NOT(ISBLANK(Audit[[#This Row],[Audit Candidate 11]])), Audit[[#This Row],[Audit Candidate 11]]-Audit[[#This Row],[Candidate 11]], "")</f>
        <v/>
      </c>
      <c r="AP784" s="17" t="str">
        <f>IF(NOT(ISBLANK(Audit[[#This Row],[Audit Candidate 12]])), Audit[[#This Row],[Audit Candidate 12]]-Audit[[#This Row],[Candidate 12]], "")</f>
        <v/>
      </c>
      <c r="AQ784" s="17">
        <f>SUMIF(Audit[[#This Row],[Difference Winner]:[Difference Candidate 12]], "&gt;0")</f>
        <v>0</v>
      </c>
      <c r="AR784" s="17">
        <f>SUM(Audit[[#This Row],[Difference Winner]:[Difference Candidate 12]])</f>
        <v>0</v>
      </c>
      <c r="AS784" s="17">
        <f>IF(Audit[[#This Row],[Times p Drawn - With Replacement]]&gt;0, IF(Audit[[#This Row],[Canceled Differences]]&lt;0, Audit[[#This Row],[Max Differences]]+ABS(Audit[[#This Row],[Canceled Differences]]), Audit[[#This Row],[Max Differences]]), 0)</f>
        <v>0</v>
      </c>
      <c r="AT784" s="17">
        <f>'Sampling Data'!AB784</f>
        <v>2.1770497368867766E-2</v>
      </c>
      <c r="AU784" s="17">
        <f>IF(
      SUM(Audit[[#This Row],[Audit Losing Candidate]:[Audit Candidate 12]])
      &lt;&gt;0,
      (Audit[[#This Row],[Winning Candidate]]-Audit[[#This Row],[Losing Candidate]]-(Audit[[#This Row],[Audit Winning Candidate]]-Audit[[#This Row],[Audit Losing Candidate]]))/(Audit[[#Totals],[Winning Candidate]]-Audit[[#Totals],[Losing Candidate]]),
      0
)</f>
        <v>0</v>
      </c>
      <c r="AV7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4" s="17">
        <f>IF(Audit[[#This Row],[Max Relative Error (ep)]] = 0, 0, Audit[[#This Row],[Max Relative Error (ep)]]/Audit[[#This Row],[Error Bound (up) - Max. possible relative overstatement]])</f>
        <v>0</v>
      </c>
      <c r="BH7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84" s="17">
        <f t="shared" si="13"/>
        <v>1</v>
      </c>
      <c r="BJ784" s="17">
        <f>PRODUCT($BI$5:BI784)</f>
        <v>0.20274654467839762</v>
      </c>
      <c r="BK784" s="19">
        <f>1 - Audit[[#This Row],[K-M P Value]]</f>
        <v>0.79725345532160241</v>
      </c>
      <c r="BL784" s="17" t="str">
        <f>IF(Audit[[#This Row],[K-M P Value]]&gt;1-'General Info'!$B$12,"Continue", "Stop")</f>
        <v>Continue</v>
      </c>
      <c r="BM784" s="22" t="b">
        <f>IF(Audit[[#This Row],[Status - Continue or stop audit]] = "Continue", TRUE, IF(BL783 = "Continue", TRUE, FALSE))</f>
        <v>1</v>
      </c>
      <c r="BN784" s="22"/>
    </row>
    <row r="785" spans="1:66" ht="15" hidden="1" customHeight="1" x14ac:dyDescent="0.35">
      <c r="A785" s="17" t="str">
        <f>'Sampling Data'!AI785</f>
        <v/>
      </c>
      <c r="B785" s="17" t="str">
        <f>'Sampling Data'!A785</f>
        <v>3210 FR PK J   (ED)</v>
      </c>
      <c r="C785" s="17">
        <f>'Sampling Data'!B785</f>
        <v>307</v>
      </c>
      <c r="D785" s="17">
        <f>'Sampling Data'!C785</f>
        <v>71</v>
      </c>
      <c r="E785" s="18">
        <f>'Sampling Data'!D785</f>
        <v>0</v>
      </c>
      <c r="F785" s="18">
        <f>'Sampling Data'!E785</f>
        <v>0</v>
      </c>
      <c r="G785" s="18">
        <f>'Sampling Data'!F785</f>
        <v>0</v>
      </c>
      <c r="H785" s="18">
        <f>'Sampling Data'!G785</f>
        <v>0</v>
      </c>
      <c r="I785" s="18">
        <f>'Sampling Data'!H785</f>
        <v>0</v>
      </c>
      <c r="J785" s="18">
        <f>'Sampling Data'!I785</f>
        <v>0</v>
      </c>
      <c r="K785" s="18">
        <f>'Sampling Data'!J785</f>
        <v>0</v>
      </c>
      <c r="L785" s="18">
        <f>'Sampling Data'!K785</f>
        <v>0</v>
      </c>
      <c r="M785" s="18">
        <f>'Sampling Data'!L785</f>
        <v>0</v>
      </c>
      <c r="N785" s="18">
        <f>'Sampling Data'!M785</f>
        <v>0</v>
      </c>
      <c r="O785" s="17">
        <f>'Sampling Data'!N785</f>
        <v>0</v>
      </c>
      <c r="P785" s="17">
        <f>'Sampling Data'!O785</f>
        <v>19</v>
      </c>
      <c r="Q785" s="17">
        <f>'Sampling Data'!P785</f>
        <v>397</v>
      </c>
      <c r="R785" s="17">
        <f>'Sampling Data'!AJ785</f>
        <v>0</v>
      </c>
      <c r="S785" s="111"/>
      <c r="T785" s="111"/>
      <c r="U785" s="112"/>
      <c r="V785" s="112"/>
      <c r="W785" s="111"/>
      <c r="X785" s="111"/>
      <c r="Y785" s="111"/>
      <c r="Z785" s="111"/>
      <c r="AA785" s="14"/>
      <c r="AB785" s="14"/>
      <c r="AC785" s="14"/>
      <c r="AD785" s="14"/>
      <c r="AE785" s="113" t="str">
        <f>IF(NOT(ISBLANK(Audit[[#This Row],[Audit Winning Candidate]])), Audit[[#This Row],[Audit Winning Candidate]]-Audit[[#This Row],[Winning Candidate]], "")</f>
        <v/>
      </c>
      <c r="AF785" s="17" t="str">
        <f>IF(NOT(ISBLANK(Audit[[#This Row],[Audit Losing Candidate]])), Audit[[#This Row],[Audit Losing Candidate]]-Audit[[#This Row],[Losing Candidate]], "")</f>
        <v/>
      </c>
      <c r="AG785" s="17" t="str">
        <f>IF(NOT(ISBLANK(Audit[[#This Row],[Audit Candidate 3]])), Audit[[#This Row],[Audit Candidate 3]]-Audit[[#This Row],[Candidate 3]], "")</f>
        <v/>
      </c>
      <c r="AH785" s="17" t="str">
        <f>IF(NOT(ISBLANK(Audit[[#This Row],[Audit Candidate 4]])),Audit[[#This Row],[Audit Candidate 4]]-Audit[[#This Row],[Candidate 4]], "")</f>
        <v/>
      </c>
      <c r="AI785" s="17" t="str">
        <f>IF(NOT(ISBLANK(Audit[[#This Row],[Audit Candidate 5]])), Audit[[#This Row],[Audit Candidate 5]]-Audit[[#This Row],[Candidate 5]], "")</f>
        <v/>
      </c>
      <c r="AJ785" s="17" t="str">
        <f>IF(NOT(ISBLANK(Audit[[#This Row],[Audit Candidate 6]])), Audit[[#This Row],[Audit Candidate 6]]-Audit[[#This Row],[Candidate 6]], "")</f>
        <v/>
      </c>
      <c r="AK785" s="17" t="str">
        <f>IF(NOT(ISBLANK(Audit[[#This Row],[Audit Candidate 7]])), Audit[[#This Row],[Audit Candidate 7]]-Audit[[#This Row],[Candidate 7]], "")</f>
        <v/>
      </c>
      <c r="AL785" s="17" t="str">
        <f>IF(NOT(ISBLANK(Audit[[#This Row],[Audit Candidate 8]])), Audit[[#This Row],[Audit Candidate 8]]-Audit[[#This Row],[Candidate 8]], "")</f>
        <v/>
      </c>
      <c r="AM785" s="17" t="str">
        <f>IF(NOT(ISBLANK(Audit[[#This Row],[Audit Candidate 9]])), Audit[[#This Row],[Audit Candidate 9]]-Audit[[#This Row],[Candidate 9]], "")</f>
        <v/>
      </c>
      <c r="AN785" s="17" t="str">
        <f>IF(NOT(ISBLANK(Audit[[#This Row],[Audit Candidate 10]])), Audit[[#This Row],[Audit Candidate 10]]-Audit[[#This Row],[Candidate 10]], "")</f>
        <v/>
      </c>
      <c r="AO785" s="17" t="str">
        <f>IF(NOT(ISBLANK(Audit[[#This Row],[Audit Candidate 11]])), Audit[[#This Row],[Audit Candidate 11]]-Audit[[#This Row],[Candidate 11]], "")</f>
        <v/>
      </c>
      <c r="AP785" s="17" t="str">
        <f>IF(NOT(ISBLANK(Audit[[#This Row],[Audit Candidate 12]])), Audit[[#This Row],[Audit Candidate 12]]-Audit[[#This Row],[Candidate 12]], "")</f>
        <v/>
      </c>
      <c r="AQ785" s="17">
        <f>SUMIF(Audit[[#This Row],[Difference Winner]:[Difference Candidate 12]], "&gt;0")</f>
        <v>0</v>
      </c>
      <c r="AR785" s="17">
        <f>SUM(Audit[[#This Row],[Difference Winner]:[Difference Candidate 12]])</f>
        <v>0</v>
      </c>
      <c r="AS785" s="17">
        <f>IF(Audit[[#This Row],[Times p Drawn - With Replacement]]&gt;0, IF(Audit[[#This Row],[Canceled Differences]]&lt;0, Audit[[#This Row],[Max Differences]]+ABS(Audit[[#This Row],[Canceled Differences]]), Audit[[#This Row],[Max Differences]]), 0)</f>
        <v>0</v>
      </c>
      <c r="AT785" s="17">
        <f>'Sampling Data'!AB785</f>
        <v>2.6863011373281277E-2</v>
      </c>
      <c r="AU785" s="17">
        <f>IF(
      SUM(Audit[[#This Row],[Audit Losing Candidate]:[Audit Candidate 12]])
      &lt;&gt;0,
      (Audit[[#This Row],[Winning Candidate]]-Audit[[#This Row],[Losing Candidate]]-(Audit[[#This Row],[Audit Winning Candidate]]-Audit[[#This Row],[Audit Losing Candidate]]))/(Audit[[#Totals],[Winning Candidate]]-Audit[[#Totals],[Losing Candidate]]),
      0
)</f>
        <v>0</v>
      </c>
      <c r="AV7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5" s="17">
        <f>IF(Audit[[#This Row],[Max Relative Error (ep)]] = 0, 0, Audit[[#This Row],[Max Relative Error (ep)]]/Audit[[#This Row],[Error Bound (up) - Max. possible relative overstatement]])</f>
        <v>0</v>
      </c>
      <c r="BH7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85" s="17">
        <f t="shared" si="13"/>
        <v>1</v>
      </c>
      <c r="BJ785" s="17">
        <f>PRODUCT($BI$5:BI785)</f>
        <v>0.20274654467839762</v>
      </c>
      <c r="BK785" s="19">
        <f>1 - Audit[[#This Row],[K-M P Value]]</f>
        <v>0.79725345532160241</v>
      </c>
      <c r="BL785" s="17" t="str">
        <f>IF(Audit[[#This Row],[K-M P Value]]&gt;1-'General Info'!$B$12,"Continue", "Stop")</f>
        <v>Continue</v>
      </c>
      <c r="BM785" s="22" t="b">
        <f>IF(Audit[[#This Row],[Status - Continue or stop audit]] = "Continue", TRUE, IF(BL784 = "Continue", TRUE, FALSE))</f>
        <v>1</v>
      </c>
      <c r="BN785" s="22"/>
    </row>
    <row r="786" spans="1:66" ht="15" hidden="1" customHeight="1" x14ac:dyDescent="0.35">
      <c r="A786" s="17" t="str">
        <f>'Sampling Data'!AI786</f>
        <v/>
      </c>
      <c r="B786" s="17" t="str">
        <f>'Sampling Data'!A786</f>
        <v>3211 FR PK K   (ED)</v>
      </c>
      <c r="C786" s="17">
        <f>'Sampling Data'!B786</f>
        <v>280</v>
      </c>
      <c r="D786" s="17">
        <f>'Sampling Data'!C786</f>
        <v>79</v>
      </c>
      <c r="E786" s="18">
        <f>'Sampling Data'!D786</f>
        <v>0</v>
      </c>
      <c r="F786" s="18">
        <f>'Sampling Data'!E786</f>
        <v>0</v>
      </c>
      <c r="G786" s="18">
        <f>'Sampling Data'!F786</f>
        <v>0</v>
      </c>
      <c r="H786" s="18">
        <f>'Sampling Data'!G786</f>
        <v>0</v>
      </c>
      <c r="I786" s="18">
        <f>'Sampling Data'!H786</f>
        <v>0</v>
      </c>
      <c r="J786" s="18">
        <f>'Sampling Data'!I786</f>
        <v>0</v>
      </c>
      <c r="K786" s="18">
        <f>'Sampling Data'!J786</f>
        <v>0</v>
      </c>
      <c r="L786" s="18">
        <f>'Sampling Data'!K786</f>
        <v>0</v>
      </c>
      <c r="M786" s="18">
        <f>'Sampling Data'!L786</f>
        <v>0</v>
      </c>
      <c r="N786" s="18">
        <f>'Sampling Data'!M786</f>
        <v>0</v>
      </c>
      <c r="O786" s="17">
        <f>'Sampling Data'!N786</f>
        <v>0</v>
      </c>
      <c r="P786" s="17">
        <f>'Sampling Data'!O786</f>
        <v>22</v>
      </c>
      <c r="Q786" s="17">
        <f>'Sampling Data'!P786</f>
        <v>381</v>
      </c>
      <c r="R786" s="17">
        <f>'Sampling Data'!AJ786</f>
        <v>0</v>
      </c>
      <c r="S786" s="111"/>
      <c r="T786" s="111"/>
      <c r="U786" s="112"/>
      <c r="V786" s="112"/>
      <c r="W786" s="111"/>
      <c r="X786" s="111"/>
      <c r="Y786" s="111"/>
      <c r="Z786" s="111"/>
      <c r="AA786" s="14"/>
      <c r="AB786" s="14"/>
      <c r="AC786" s="14"/>
      <c r="AD786" s="14"/>
      <c r="AE786" s="113" t="str">
        <f>IF(NOT(ISBLANK(Audit[[#This Row],[Audit Winning Candidate]])), Audit[[#This Row],[Audit Winning Candidate]]-Audit[[#This Row],[Winning Candidate]], "")</f>
        <v/>
      </c>
      <c r="AF786" s="17" t="str">
        <f>IF(NOT(ISBLANK(Audit[[#This Row],[Audit Losing Candidate]])), Audit[[#This Row],[Audit Losing Candidate]]-Audit[[#This Row],[Losing Candidate]], "")</f>
        <v/>
      </c>
      <c r="AG786" s="17" t="str">
        <f>IF(NOT(ISBLANK(Audit[[#This Row],[Audit Candidate 3]])), Audit[[#This Row],[Audit Candidate 3]]-Audit[[#This Row],[Candidate 3]], "")</f>
        <v/>
      </c>
      <c r="AH786" s="17" t="str">
        <f>IF(NOT(ISBLANK(Audit[[#This Row],[Audit Candidate 4]])),Audit[[#This Row],[Audit Candidate 4]]-Audit[[#This Row],[Candidate 4]], "")</f>
        <v/>
      </c>
      <c r="AI786" s="17" t="str">
        <f>IF(NOT(ISBLANK(Audit[[#This Row],[Audit Candidate 5]])), Audit[[#This Row],[Audit Candidate 5]]-Audit[[#This Row],[Candidate 5]], "")</f>
        <v/>
      </c>
      <c r="AJ786" s="17" t="str">
        <f>IF(NOT(ISBLANK(Audit[[#This Row],[Audit Candidate 6]])), Audit[[#This Row],[Audit Candidate 6]]-Audit[[#This Row],[Candidate 6]], "")</f>
        <v/>
      </c>
      <c r="AK786" s="17" t="str">
        <f>IF(NOT(ISBLANK(Audit[[#This Row],[Audit Candidate 7]])), Audit[[#This Row],[Audit Candidate 7]]-Audit[[#This Row],[Candidate 7]], "")</f>
        <v/>
      </c>
      <c r="AL786" s="17" t="str">
        <f>IF(NOT(ISBLANK(Audit[[#This Row],[Audit Candidate 8]])), Audit[[#This Row],[Audit Candidate 8]]-Audit[[#This Row],[Candidate 8]], "")</f>
        <v/>
      </c>
      <c r="AM786" s="17" t="str">
        <f>IF(NOT(ISBLANK(Audit[[#This Row],[Audit Candidate 9]])), Audit[[#This Row],[Audit Candidate 9]]-Audit[[#This Row],[Candidate 9]], "")</f>
        <v/>
      </c>
      <c r="AN786" s="17" t="str">
        <f>IF(NOT(ISBLANK(Audit[[#This Row],[Audit Candidate 10]])), Audit[[#This Row],[Audit Candidate 10]]-Audit[[#This Row],[Candidate 10]], "")</f>
        <v/>
      </c>
      <c r="AO786" s="17" t="str">
        <f>IF(NOT(ISBLANK(Audit[[#This Row],[Audit Candidate 11]])), Audit[[#This Row],[Audit Candidate 11]]-Audit[[#This Row],[Candidate 11]], "")</f>
        <v/>
      </c>
      <c r="AP786" s="17" t="str">
        <f>IF(NOT(ISBLANK(Audit[[#This Row],[Audit Candidate 12]])), Audit[[#This Row],[Audit Candidate 12]]-Audit[[#This Row],[Candidate 12]], "")</f>
        <v/>
      </c>
      <c r="AQ786" s="17">
        <f>SUMIF(Audit[[#This Row],[Difference Winner]:[Difference Candidate 12]], "&gt;0")</f>
        <v>0</v>
      </c>
      <c r="AR786" s="17">
        <f>SUM(Audit[[#This Row],[Difference Winner]:[Difference Candidate 12]])</f>
        <v>0</v>
      </c>
      <c r="AS786" s="17">
        <f>IF(Audit[[#This Row],[Times p Drawn - With Replacement]]&gt;0, IF(Audit[[#This Row],[Canceled Differences]]&lt;0, Audit[[#This Row],[Max Differences]]+ABS(Audit[[#This Row],[Canceled Differences]]), Audit[[#This Row],[Max Differences]]), 0)</f>
        <v>0</v>
      </c>
      <c r="AT786" s="17">
        <f>'Sampling Data'!AB786</f>
        <v>2.4698692921405533E-2</v>
      </c>
      <c r="AU786" s="17">
        <f>IF(
      SUM(Audit[[#This Row],[Audit Losing Candidate]:[Audit Candidate 12]])
      &lt;&gt;0,
      (Audit[[#This Row],[Winning Candidate]]-Audit[[#This Row],[Losing Candidate]]-(Audit[[#This Row],[Audit Winning Candidate]]-Audit[[#This Row],[Audit Losing Candidate]]))/(Audit[[#Totals],[Winning Candidate]]-Audit[[#Totals],[Losing Candidate]]),
      0
)</f>
        <v>0</v>
      </c>
      <c r="AV7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6" s="17">
        <f>IF(Audit[[#This Row],[Max Relative Error (ep)]] = 0, 0, Audit[[#This Row],[Max Relative Error (ep)]]/Audit[[#This Row],[Error Bound (up) - Max. possible relative overstatement]])</f>
        <v>0</v>
      </c>
      <c r="BH7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86" s="17">
        <f t="shared" si="13"/>
        <v>1</v>
      </c>
      <c r="BJ786" s="17">
        <f>PRODUCT($BI$5:BI786)</f>
        <v>0.20274654467839762</v>
      </c>
      <c r="BK786" s="19">
        <f>1 - Audit[[#This Row],[K-M P Value]]</f>
        <v>0.79725345532160241</v>
      </c>
      <c r="BL786" s="17" t="str">
        <f>IF(Audit[[#This Row],[K-M P Value]]&gt;1-'General Info'!$B$12,"Continue", "Stop")</f>
        <v>Continue</v>
      </c>
      <c r="BM786" s="22" t="b">
        <f>IF(Audit[[#This Row],[Status - Continue or stop audit]] = "Continue", TRUE, IF(BL785 = "Continue", TRUE, FALSE))</f>
        <v>1</v>
      </c>
      <c r="BN786" s="22"/>
    </row>
    <row r="787" spans="1:66" ht="15" hidden="1" customHeight="1" x14ac:dyDescent="0.35">
      <c r="A787" s="17" t="str">
        <f>'Sampling Data'!AI787</f>
        <v/>
      </c>
      <c r="B787" s="17" t="str">
        <f>'Sampling Data'!A787</f>
        <v>3212 FR PK L   (ED)</v>
      </c>
      <c r="C787" s="17">
        <f>'Sampling Data'!B787</f>
        <v>291</v>
      </c>
      <c r="D787" s="17">
        <f>'Sampling Data'!C787</f>
        <v>90</v>
      </c>
      <c r="E787" s="18">
        <f>'Sampling Data'!D787</f>
        <v>0</v>
      </c>
      <c r="F787" s="18">
        <f>'Sampling Data'!E787</f>
        <v>0</v>
      </c>
      <c r="G787" s="18">
        <f>'Sampling Data'!F787</f>
        <v>0</v>
      </c>
      <c r="H787" s="18">
        <f>'Sampling Data'!G787</f>
        <v>0</v>
      </c>
      <c r="I787" s="18">
        <f>'Sampling Data'!H787</f>
        <v>0</v>
      </c>
      <c r="J787" s="18">
        <f>'Sampling Data'!I787</f>
        <v>0</v>
      </c>
      <c r="K787" s="18">
        <f>'Sampling Data'!J787</f>
        <v>0</v>
      </c>
      <c r="L787" s="18">
        <f>'Sampling Data'!K787</f>
        <v>0</v>
      </c>
      <c r="M787" s="18">
        <f>'Sampling Data'!L787</f>
        <v>0</v>
      </c>
      <c r="N787" s="18">
        <f>'Sampling Data'!M787</f>
        <v>0</v>
      </c>
      <c r="O787" s="17">
        <f>'Sampling Data'!N787</f>
        <v>0</v>
      </c>
      <c r="P787" s="17">
        <f>'Sampling Data'!O787</f>
        <v>30</v>
      </c>
      <c r="Q787" s="17">
        <f>'Sampling Data'!P787</f>
        <v>411</v>
      </c>
      <c r="R787" s="17">
        <f>'Sampling Data'!AJ787</f>
        <v>0</v>
      </c>
      <c r="S787" s="111"/>
      <c r="T787" s="111"/>
      <c r="U787" s="112"/>
      <c r="V787" s="112"/>
      <c r="W787" s="111"/>
      <c r="X787" s="111"/>
      <c r="Y787" s="111"/>
      <c r="Z787" s="111"/>
      <c r="AA787" s="14"/>
      <c r="AB787" s="14"/>
      <c r="AC787" s="14"/>
      <c r="AD787" s="14"/>
      <c r="AE787" s="113" t="str">
        <f>IF(NOT(ISBLANK(Audit[[#This Row],[Audit Winning Candidate]])), Audit[[#This Row],[Audit Winning Candidate]]-Audit[[#This Row],[Winning Candidate]], "")</f>
        <v/>
      </c>
      <c r="AF787" s="17" t="str">
        <f>IF(NOT(ISBLANK(Audit[[#This Row],[Audit Losing Candidate]])), Audit[[#This Row],[Audit Losing Candidate]]-Audit[[#This Row],[Losing Candidate]], "")</f>
        <v/>
      </c>
      <c r="AG787" s="17" t="str">
        <f>IF(NOT(ISBLANK(Audit[[#This Row],[Audit Candidate 3]])), Audit[[#This Row],[Audit Candidate 3]]-Audit[[#This Row],[Candidate 3]], "")</f>
        <v/>
      </c>
      <c r="AH787" s="17" t="str">
        <f>IF(NOT(ISBLANK(Audit[[#This Row],[Audit Candidate 4]])),Audit[[#This Row],[Audit Candidate 4]]-Audit[[#This Row],[Candidate 4]], "")</f>
        <v/>
      </c>
      <c r="AI787" s="17" t="str">
        <f>IF(NOT(ISBLANK(Audit[[#This Row],[Audit Candidate 5]])), Audit[[#This Row],[Audit Candidate 5]]-Audit[[#This Row],[Candidate 5]], "")</f>
        <v/>
      </c>
      <c r="AJ787" s="17" t="str">
        <f>IF(NOT(ISBLANK(Audit[[#This Row],[Audit Candidate 6]])), Audit[[#This Row],[Audit Candidate 6]]-Audit[[#This Row],[Candidate 6]], "")</f>
        <v/>
      </c>
      <c r="AK787" s="17" t="str">
        <f>IF(NOT(ISBLANK(Audit[[#This Row],[Audit Candidate 7]])), Audit[[#This Row],[Audit Candidate 7]]-Audit[[#This Row],[Candidate 7]], "")</f>
        <v/>
      </c>
      <c r="AL787" s="17" t="str">
        <f>IF(NOT(ISBLANK(Audit[[#This Row],[Audit Candidate 8]])), Audit[[#This Row],[Audit Candidate 8]]-Audit[[#This Row],[Candidate 8]], "")</f>
        <v/>
      </c>
      <c r="AM787" s="17" t="str">
        <f>IF(NOT(ISBLANK(Audit[[#This Row],[Audit Candidate 9]])), Audit[[#This Row],[Audit Candidate 9]]-Audit[[#This Row],[Candidate 9]], "")</f>
        <v/>
      </c>
      <c r="AN787" s="17" t="str">
        <f>IF(NOT(ISBLANK(Audit[[#This Row],[Audit Candidate 10]])), Audit[[#This Row],[Audit Candidate 10]]-Audit[[#This Row],[Candidate 10]], "")</f>
        <v/>
      </c>
      <c r="AO787" s="17" t="str">
        <f>IF(NOT(ISBLANK(Audit[[#This Row],[Audit Candidate 11]])), Audit[[#This Row],[Audit Candidate 11]]-Audit[[#This Row],[Candidate 11]], "")</f>
        <v/>
      </c>
      <c r="AP787" s="17" t="str">
        <f>IF(NOT(ISBLANK(Audit[[#This Row],[Audit Candidate 12]])), Audit[[#This Row],[Audit Candidate 12]]-Audit[[#This Row],[Candidate 12]], "")</f>
        <v/>
      </c>
      <c r="AQ787" s="17">
        <f>SUMIF(Audit[[#This Row],[Difference Winner]:[Difference Candidate 12]], "&gt;0")</f>
        <v>0</v>
      </c>
      <c r="AR787" s="17">
        <f>SUM(Audit[[#This Row],[Difference Winner]:[Difference Candidate 12]])</f>
        <v>0</v>
      </c>
      <c r="AS787" s="17">
        <f>IF(Audit[[#This Row],[Times p Drawn - With Replacement]]&gt;0, IF(Audit[[#This Row],[Canceled Differences]]&lt;0, Audit[[#This Row],[Max Differences]]+ABS(Audit[[#This Row],[Canceled Differences]]), Audit[[#This Row],[Max Differences]]), 0)</f>
        <v>0</v>
      </c>
      <c r="AT787" s="17">
        <f>'Sampling Data'!AB787</f>
        <v>2.5971821422508912E-2</v>
      </c>
      <c r="AU787" s="17">
        <f>IF(
      SUM(Audit[[#This Row],[Audit Losing Candidate]:[Audit Candidate 12]])
      &lt;&gt;0,
      (Audit[[#This Row],[Winning Candidate]]-Audit[[#This Row],[Losing Candidate]]-(Audit[[#This Row],[Audit Winning Candidate]]-Audit[[#This Row],[Audit Losing Candidate]]))/(Audit[[#Totals],[Winning Candidate]]-Audit[[#Totals],[Losing Candidate]]),
      0
)</f>
        <v>0</v>
      </c>
      <c r="AV7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7" s="17">
        <f>IF(Audit[[#This Row],[Max Relative Error (ep)]] = 0, 0, Audit[[#This Row],[Max Relative Error (ep)]]/Audit[[#This Row],[Error Bound (up) - Max. possible relative overstatement]])</f>
        <v>0</v>
      </c>
      <c r="BH7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87" s="17">
        <f t="shared" si="13"/>
        <v>1</v>
      </c>
      <c r="BJ787" s="17">
        <f>PRODUCT($BI$5:BI787)</f>
        <v>0.20274654467839762</v>
      </c>
      <c r="BK787" s="19">
        <f>1 - Audit[[#This Row],[K-M P Value]]</f>
        <v>0.79725345532160241</v>
      </c>
      <c r="BL787" s="17" t="str">
        <f>IF(Audit[[#This Row],[K-M P Value]]&gt;1-'General Info'!$B$12,"Continue", "Stop")</f>
        <v>Continue</v>
      </c>
      <c r="BM787" s="22" t="b">
        <f>IF(Audit[[#This Row],[Status - Continue or stop audit]] = "Continue", TRUE, IF(BL786 = "Continue", TRUE, FALSE))</f>
        <v>1</v>
      </c>
      <c r="BN787" s="22"/>
    </row>
    <row r="788" spans="1:66" ht="15" hidden="1" customHeight="1" x14ac:dyDescent="0.35">
      <c r="A788" s="17" t="str">
        <f>'Sampling Data'!AI788</f>
        <v/>
      </c>
      <c r="B788" s="17" t="str">
        <f>'Sampling Data'!A788</f>
        <v>3213 FR PK M   (ED)</v>
      </c>
      <c r="C788" s="17">
        <f>'Sampling Data'!B788</f>
        <v>303</v>
      </c>
      <c r="D788" s="17">
        <f>'Sampling Data'!C788</f>
        <v>80</v>
      </c>
      <c r="E788" s="18">
        <f>'Sampling Data'!D788</f>
        <v>0</v>
      </c>
      <c r="F788" s="18">
        <f>'Sampling Data'!E788</f>
        <v>0</v>
      </c>
      <c r="G788" s="18">
        <f>'Sampling Data'!F788</f>
        <v>0</v>
      </c>
      <c r="H788" s="18">
        <f>'Sampling Data'!G788</f>
        <v>0</v>
      </c>
      <c r="I788" s="18">
        <f>'Sampling Data'!H788</f>
        <v>0</v>
      </c>
      <c r="J788" s="18">
        <f>'Sampling Data'!I788</f>
        <v>0</v>
      </c>
      <c r="K788" s="18">
        <f>'Sampling Data'!J788</f>
        <v>0</v>
      </c>
      <c r="L788" s="18">
        <f>'Sampling Data'!K788</f>
        <v>0</v>
      </c>
      <c r="M788" s="18">
        <f>'Sampling Data'!L788</f>
        <v>0</v>
      </c>
      <c r="N788" s="18">
        <f>'Sampling Data'!M788</f>
        <v>0</v>
      </c>
      <c r="O788" s="17">
        <f>'Sampling Data'!N788</f>
        <v>1</v>
      </c>
      <c r="P788" s="17">
        <f>'Sampling Data'!O788</f>
        <v>19</v>
      </c>
      <c r="Q788" s="17">
        <f>'Sampling Data'!P788</f>
        <v>403</v>
      </c>
      <c r="R788" s="17">
        <f>'Sampling Data'!AJ788</f>
        <v>0</v>
      </c>
      <c r="S788" s="111"/>
      <c r="T788" s="111"/>
      <c r="U788" s="112"/>
      <c r="V788" s="112"/>
      <c r="W788" s="111"/>
      <c r="X788" s="111"/>
      <c r="Y788" s="111"/>
      <c r="Z788" s="111"/>
      <c r="AA788" s="14"/>
      <c r="AB788" s="14"/>
      <c r="AC788" s="14"/>
      <c r="AD788" s="14"/>
      <c r="AE788" s="113" t="str">
        <f>IF(NOT(ISBLANK(Audit[[#This Row],[Audit Winning Candidate]])), Audit[[#This Row],[Audit Winning Candidate]]-Audit[[#This Row],[Winning Candidate]], "")</f>
        <v/>
      </c>
      <c r="AF788" s="17" t="str">
        <f>IF(NOT(ISBLANK(Audit[[#This Row],[Audit Losing Candidate]])), Audit[[#This Row],[Audit Losing Candidate]]-Audit[[#This Row],[Losing Candidate]], "")</f>
        <v/>
      </c>
      <c r="AG788" s="17" t="str">
        <f>IF(NOT(ISBLANK(Audit[[#This Row],[Audit Candidate 3]])), Audit[[#This Row],[Audit Candidate 3]]-Audit[[#This Row],[Candidate 3]], "")</f>
        <v/>
      </c>
      <c r="AH788" s="17" t="str">
        <f>IF(NOT(ISBLANK(Audit[[#This Row],[Audit Candidate 4]])),Audit[[#This Row],[Audit Candidate 4]]-Audit[[#This Row],[Candidate 4]], "")</f>
        <v/>
      </c>
      <c r="AI788" s="17" t="str">
        <f>IF(NOT(ISBLANK(Audit[[#This Row],[Audit Candidate 5]])), Audit[[#This Row],[Audit Candidate 5]]-Audit[[#This Row],[Candidate 5]], "")</f>
        <v/>
      </c>
      <c r="AJ788" s="17" t="str">
        <f>IF(NOT(ISBLANK(Audit[[#This Row],[Audit Candidate 6]])), Audit[[#This Row],[Audit Candidate 6]]-Audit[[#This Row],[Candidate 6]], "")</f>
        <v/>
      </c>
      <c r="AK788" s="17" t="str">
        <f>IF(NOT(ISBLANK(Audit[[#This Row],[Audit Candidate 7]])), Audit[[#This Row],[Audit Candidate 7]]-Audit[[#This Row],[Candidate 7]], "")</f>
        <v/>
      </c>
      <c r="AL788" s="17" t="str">
        <f>IF(NOT(ISBLANK(Audit[[#This Row],[Audit Candidate 8]])), Audit[[#This Row],[Audit Candidate 8]]-Audit[[#This Row],[Candidate 8]], "")</f>
        <v/>
      </c>
      <c r="AM788" s="17" t="str">
        <f>IF(NOT(ISBLANK(Audit[[#This Row],[Audit Candidate 9]])), Audit[[#This Row],[Audit Candidate 9]]-Audit[[#This Row],[Candidate 9]], "")</f>
        <v/>
      </c>
      <c r="AN788" s="17" t="str">
        <f>IF(NOT(ISBLANK(Audit[[#This Row],[Audit Candidate 10]])), Audit[[#This Row],[Audit Candidate 10]]-Audit[[#This Row],[Candidate 10]], "")</f>
        <v/>
      </c>
      <c r="AO788" s="17" t="str">
        <f>IF(NOT(ISBLANK(Audit[[#This Row],[Audit Candidate 11]])), Audit[[#This Row],[Audit Candidate 11]]-Audit[[#This Row],[Candidate 11]], "")</f>
        <v/>
      </c>
      <c r="AP788" s="17" t="str">
        <f>IF(NOT(ISBLANK(Audit[[#This Row],[Audit Candidate 12]])), Audit[[#This Row],[Audit Candidate 12]]-Audit[[#This Row],[Candidate 12]], "")</f>
        <v/>
      </c>
      <c r="AQ788" s="17">
        <f>SUMIF(Audit[[#This Row],[Difference Winner]:[Difference Candidate 12]], "&gt;0")</f>
        <v>0</v>
      </c>
      <c r="AR788" s="17">
        <f>SUM(Audit[[#This Row],[Difference Winner]:[Difference Candidate 12]])</f>
        <v>0</v>
      </c>
      <c r="AS788" s="17">
        <f>IF(Audit[[#This Row],[Times p Drawn - With Replacement]]&gt;0, IF(Audit[[#This Row],[Canceled Differences]]&lt;0, Audit[[#This Row],[Max Differences]]+ABS(Audit[[#This Row],[Canceled Differences]]), Audit[[#This Row],[Max Differences]]), 0)</f>
        <v>0</v>
      </c>
      <c r="AT788" s="17">
        <f>'Sampling Data'!AB788</f>
        <v>2.6565948056357154E-2</v>
      </c>
      <c r="AU788" s="17">
        <f>IF(
      SUM(Audit[[#This Row],[Audit Losing Candidate]:[Audit Candidate 12]])
      &lt;&gt;0,
      (Audit[[#This Row],[Winning Candidate]]-Audit[[#This Row],[Losing Candidate]]-(Audit[[#This Row],[Audit Winning Candidate]]-Audit[[#This Row],[Audit Losing Candidate]]))/(Audit[[#Totals],[Winning Candidate]]-Audit[[#Totals],[Losing Candidate]]),
      0
)</f>
        <v>0</v>
      </c>
      <c r="AV7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8" s="17">
        <f>IF(Audit[[#This Row],[Max Relative Error (ep)]] = 0, 0, Audit[[#This Row],[Max Relative Error (ep)]]/Audit[[#This Row],[Error Bound (up) - Max. possible relative overstatement]])</f>
        <v>0</v>
      </c>
      <c r="BH7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88" s="17">
        <f t="shared" si="13"/>
        <v>1</v>
      </c>
      <c r="BJ788" s="17">
        <f>PRODUCT($BI$5:BI788)</f>
        <v>0.20274654467839762</v>
      </c>
      <c r="BK788" s="19">
        <f>1 - Audit[[#This Row],[K-M P Value]]</f>
        <v>0.79725345532160241</v>
      </c>
      <c r="BL788" s="17" t="str">
        <f>IF(Audit[[#This Row],[K-M P Value]]&gt;1-'General Info'!$B$12,"Continue", "Stop")</f>
        <v>Continue</v>
      </c>
      <c r="BM788" s="22" t="b">
        <f>IF(Audit[[#This Row],[Status - Continue or stop audit]] = "Continue", TRUE, IF(BL787 = "Continue", TRUE, FALSE))</f>
        <v>1</v>
      </c>
      <c r="BN788" s="22"/>
    </row>
    <row r="789" spans="1:66" ht="15" hidden="1" customHeight="1" x14ac:dyDescent="0.35">
      <c r="A789" s="17" t="str">
        <f>'Sampling Data'!AI789</f>
        <v/>
      </c>
      <c r="B789" s="17" t="str">
        <f>'Sampling Data'!A789</f>
        <v>3401 HARR A   (ED)</v>
      </c>
      <c r="C789" s="17">
        <f>'Sampling Data'!B789</f>
        <v>120</v>
      </c>
      <c r="D789" s="17">
        <f>'Sampling Data'!C789</f>
        <v>558</v>
      </c>
      <c r="E789" s="18">
        <f>'Sampling Data'!D789</f>
        <v>0</v>
      </c>
      <c r="F789" s="18">
        <f>'Sampling Data'!E789</f>
        <v>0</v>
      </c>
      <c r="G789" s="18">
        <f>'Sampling Data'!F789</f>
        <v>0</v>
      </c>
      <c r="H789" s="18">
        <f>'Sampling Data'!G789</f>
        <v>0</v>
      </c>
      <c r="I789" s="18">
        <f>'Sampling Data'!H789</f>
        <v>0</v>
      </c>
      <c r="J789" s="18">
        <f>'Sampling Data'!I789</f>
        <v>0</v>
      </c>
      <c r="K789" s="18">
        <f>'Sampling Data'!J789</f>
        <v>0</v>
      </c>
      <c r="L789" s="18">
        <f>'Sampling Data'!K789</f>
        <v>0</v>
      </c>
      <c r="M789" s="18">
        <f>'Sampling Data'!L789</f>
        <v>0</v>
      </c>
      <c r="N789" s="18">
        <f>'Sampling Data'!M789</f>
        <v>0</v>
      </c>
      <c r="O789" s="17">
        <f>'Sampling Data'!N789</f>
        <v>0</v>
      </c>
      <c r="P789" s="17">
        <f>'Sampling Data'!O789</f>
        <v>72</v>
      </c>
      <c r="Q789" s="17">
        <f>'Sampling Data'!P789</f>
        <v>750</v>
      </c>
      <c r="R789" s="17">
        <f>'Sampling Data'!AJ789</f>
        <v>0</v>
      </c>
      <c r="S789" s="111"/>
      <c r="T789" s="111"/>
      <c r="U789" s="112"/>
      <c r="V789" s="112"/>
      <c r="W789" s="111"/>
      <c r="X789" s="111"/>
      <c r="Y789" s="111"/>
      <c r="Z789" s="111"/>
      <c r="AA789" s="14"/>
      <c r="AB789" s="14"/>
      <c r="AC789" s="14"/>
      <c r="AD789" s="14"/>
      <c r="AE789" s="113" t="str">
        <f>IF(NOT(ISBLANK(Audit[[#This Row],[Audit Winning Candidate]])), Audit[[#This Row],[Audit Winning Candidate]]-Audit[[#This Row],[Winning Candidate]], "")</f>
        <v/>
      </c>
      <c r="AF789" s="17" t="str">
        <f>IF(NOT(ISBLANK(Audit[[#This Row],[Audit Losing Candidate]])), Audit[[#This Row],[Audit Losing Candidate]]-Audit[[#This Row],[Losing Candidate]], "")</f>
        <v/>
      </c>
      <c r="AG789" s="17" t="str">
        <f>IF(NOT(ISBLANK(Audit[[#This Row],[Audit Candidate 3]])), Audit[[#This Row],[Audit Candidate 3]]-Audit[[#This Row],[Candidate 3]], "")</f>
        <v/>
      </c>
      <c r="AH789" s="17" t="str">
        <f>IF(NOT(ISBLANK(Audit[[#This Row],[Audit Candidate 4]])),Audit[[#This Row],[Audit Candidate 4]]-Audit[[#This Row],[Candidate 4]], "")</f>
        <v/>
      </c>
      <c r="AI789" s="17" t="str">
        <f>IF(NOT(ISBLANK(Audit[[#This Row],[Audit Candidate 5]])), Audit[[#This Row],[Audit Candidate 5]]-Audit[[#This Row],[Candidate 5]], "")</f>
        <v/>
      </c>
      <c r="AJ789" s="17" t="str">
        <f>IF(NOT(ISBLANK(Audit[[#This Row],[Audit Candidate 6]])), Audit[[#This Row],[Audit Candidate 6]]-Audit[[#This Row],[Candidate 6]], "")</f>
        <v/>
      </c>
      <c r="AK789" s="17" t="str">
        <f>IF(NOT(ISBLANK(Audit[[#This Row],[Audit Candidate 7]])), Audit[[#This Row],[Audit Candidate 7]]-Audit[[#This Row],[Candidate 7]], "")</f>
        <v/>
      </c>
      <c r="AL789" s="17" t="str">
        <f>IF(NOT(ISBLANK(Audit[[#This Row],[Audit Candidate 8]])), Audit[[#This Row],[Audit Candidate 8]]-Audit[[#This Row],[Candidate 8]], "")</f>
        <v/>
      </c>
      <c r="AM789" s="17" t="str">
        <f>IF(NOT(ISBLANK(Audit[[#This Row],[Audit Candidate 9]])), Audit[[#This Row],[Audit Candidate 9]]-Audit[[#This Row],[Candidate 9]], "")</f>
        <v/>
      </c>
      <c r="AN789" s="17" t="str">
        <f>IF(NOT(ISBLANK(Audit[[#This Row],[Audit Candidate 10]])), Audit[[#This Row],[Audit Candidate 10]]-Audit[[#This Row],[Candidate 10]], "")</f>
        <v/>
      </c>
      <c r="AO789" s="17" t="str">
        <f>IF(NOT(ISBLANK(Audit[[#This Row],[Audit Candidate 11]])), Audit[[#This Row],[Audit Candidate 11]]-Audit[[#This Row],[Candidate 11]], "")</f>
        <v/>
      </c>
      <c r="AP789" s="17" t="str">
        <f>IF(NOT(ISBLANK(Audit[[#This Row],[Audit Candidate 12]])), Audit[[#This Row],[Audit Candidate 12]]-Audit[[#This Row],[Candidate 12]], "")</f>
        <v/>
      </c>
      <c r="AQ789" s="17">
        <f>SUMIF(Audit[[#This Row],[Difference Winner]:[Difference Candidate 12]], "&gt;0")</f>
        <v>0</v>
      </c>
      <c r="AR789" s="17">
        <f>SUM(Audit[[#This Row],[Difference Winner]:[Difference Candidate 12]])</f>
        <v>0</v>
      </c>
      <c r="AS789" s="17">
        <f>IF(Audit[[#This Row],[Times p Drawn - With Replacement]]&gt;0, IF(Audit[[#This Row],[Canceled Differences]]&lt;0, Audit[[#This Row],[Max Differences]]+ABS(Audit[[#This Row],[Canceled Differences]]), Audit[[#This Row],[Max Differences]]), 0)</f>
        <v>0</v>
      </c>
      <c r="AT789" s="17">
        <f>'Sampling Data'!AB789</f>
        <v>1.3240536411475132E-2</v>
      </c>
      <c r="AU789" s="17">
        <f>IF(
      SUM(Audit[[#This Row],[Audit Losing Candidate]:[Audit Candidate 12]])
      &lt;&gt;0,
      (Audit[[#This Row],[Winning Candidate]]-Audit[[#This Row],[Losing Candidate]]-(Audit[[#This Row],[Audit Winning Candidate]]-Audit[[#This Row],[Audit Losing Candidate]]))/(Audit[[#Totals],[Winning Candidate]]-Audit[[#Totals],[Losing Candidate]]),
      0
)</f>
        <v>0</v>
      </c>
      <c r="AV7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9" s="17">
        <f>IF(Audit[[#This Row],[Max Relative Error (ep)]] = 0, 0, Audit[[#This Row],[Max Relative Error (ep)]]/Audit[[#This Row],[Error Bound (up) - Max. possible relative overstatement]])</f>
        <v>0</v>
      </c>
      <c r="BH7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89" s="17">
        <f t="shared" si="13"/>
        <v>1</v>
      </c>
      <c r="BJ789" s="17">
        <f>PRODUCT($BI$5:BI789)</f>
        <v>0.20274654467839762</v>
      </c>
      <c r="BK789" s="19">
        <f>1 - Audit[[#This Row],[K-M P Value]]</f>
        <v>0.79725345532160241</v>
      </c>
      <c r="BL789" s="17" t="str">
        <f>IF(Audit[[#This Row],[K-M P Value]]&gt;1-'General Info'!$B$12,"Continue", "Stop")</f>
        <v>Continue</v>
      </c>
      <c r="BM789" s="22" t="b">
        <f>IF(Audit[[#This Row],[Status - Continue or stop audit]] = "Continue", TRUE, IF(BL788 = "Continue", TRUE, FALSE))</f>
        <v>1</v>
      </c>
      <c r="BN789" s="22"/>
    </row>
    <row r="790" spans="1:66" ht="15" hidden="1" customHeight="1" x14ac:dyDescent="0.35">
      <c r="A790" s="17" t="str">
        <f>'Sampling Data'!AI790</f>
        <v/>
      </c>
      <c r="B790" s="17" t="str">
        <f>'Sampling Data'!A790</f>
        <v>3402 HARR B   (ED)</v>
      </c>
      <c r="C790" s="17">
        <f>'Sampling Data'!B790</f>
        <v>135</v>
      </c>
      <c r="D790" s="17">
        <f>'Sampling Data'!C790</f>
        <v>592</v>
      </c>
      <c r="E790" s="18">
        <f>'Sampling Data'!D790</f>
        <v>0</v>
      </c>
      <c r="F790" s="18">
        <f>'Sampling Data'!E790</f>
        <v>0</v>
      </c>
      <c r="G790" s="18">
        <f>'Sampling Data'!F790</f>
        <v>0</v>
      </c>
      <c r="H790" s="18">
        <f>'Sampling Data'!G790</f>
        <v>0</v>
      </c>
      <c r="I790" s="18">
        <f>'Sampling Data'!H790</f>
        <v>0</v>
      </c>
      <c r="J790" s="18">
        <f>'Sampling Data'!I790</f>
        <v>0</v>
      </c>
      <c r="K790" s="18">
        <f>'Sampling Data'!J790</f>
        <v>0</v>
      </c>
      <c r="L790" s="18">
        <f>'Sampling Data'!K790</f>
        <v>0</v>
      </c>
      <c r="M790" s="18">
        <f>'Sampling Data'!L790</f>
        <v>0</v>
      </c>
      <c r="N790" s="18">
        <f>'Sampling Data'!M790</f>
        <v>0</v>
      </c>
      <c r="O790" s="17">
        <f>'Sampling Data'!N790</f>
        <v>1</v>
      </c>
      <c r="P790" s="17">
        <f>'Sampling Data'!O790</f>
        <v>63</v>
      </c>
      <c r="Q790" s="17">
        <f>'Sampling Data'!P790</f>
        <v>791</v>
      </c>
      <c r="R790" s="17">
        <f>'Sampling Data'!AJ790</f>
        <v>0</v>
      </c>
      <c r="S790" s="111"/>
      <c r="T790" s="111"/>
      <c r="U790" s="112"/>
      <c r="V790" s="112"/>
      <c r="W790" s="111"/>
      <c r="X790" s="111"/>
      <c r="Y790" s="111"/>
      <c r="Z790" s="111"/>
      <c r="AA790" s="14"/>
      <c r="AB790" s="14"/>
      <c r="AC790" s="14"/>
      <c r="AD790" s="14"/>
      <c r="AE790" s="113" t="str">
        <f>IF(NOT(ISBLANK(Audit[[#This Row],[Audit Winning Candidate]])), Audit[[#This Row],[Audit Winning Candidate]]-Audit[[#This Row],[Winning Candidate]], "")</f>
        <v/>
      </c>
      <c r="AF790" s="17" t="str">
        <f>IF(NOT(ISBLANK(Audit[[#This Row],[Audit Losing Candidate]])), Audit[[#This Row],[Audit Losing Candidate]]-Audit[[#This Row],[Losing Candidate]], "")</f>
        <v/>
      </c>
      <c r="AG790" s="17" t="str">
        <f>IF(NOT(ISBLANK(Audit[[#This Row],[Audit Candidate 3]])), Audit[[#This Row],[Audit Candidate 3]]-Audit[[#This Row],[Candidate 3]], "")</f>
        <v/>
      </c>
      <c r="AH790" s="17" t="str">
        <f>IF(NOT(ISBLANK(Audit[[#This Row],[Audit Candidate 4]])),Audit[[#This Row],[Audit Candidate 4]]-Audit[[#This Row],[Candidate 4]], "")</f>
        <v/>
      </c>
      <c r="AI790" s="17" t="str">
        <f>IF(NOT(ISBLANK(Audit[[#This Row],[Audit Candidate 5]])), Audit[[#This Row],[Audit Candidate 5]]-Audit[[#This Row],[Candidate 5]], "")</f>
        <v/>
      </c>
      <c r="AJ790" s="17" t="str">
        <f>IF(NOT(ISBLANK(Audit[[#This Row],[Audit Candidate 6]])), Audit[[#This Row],[Audit Candidate 6]]-Audit[[#This Row],[Candidate 6]], "")</f>
        <v/>
      </c>
      <c r="AK790" s="17" t="str">
        <f>IF(NOT(ISBLANK(Audit[[#This Row],[Audit Candidate 7]])), Audit[[#This Row],[Audit Candidate 7]]-Audit[[#This Row],[Candidate 7]], "")</f>
        <v/>
      </c>
      <c r="AL790" s="17" t="str">
        <f>IF(NOT(ISBLANK(Audit[[#This Row],[Audit Candidate 8]])), Audit[[#This Row],[Audit Candidate 8]]-Audit[[#This Row],[Candidate 8]], "")</f>
        <v/>
      </c>
      <c r="AM790" s="17" t="str">
        <f>IF(NOT(ISBLANK(Audit[[#This Row],[Audit Candidate 9]])), Audit[[#This Row],[Audit Candidate 9]]-Audit[[#This Row],[Candidate 9]], "")</f>
        <v/>
      </c>
      <c r="AN790" s="17" t="str">
        <f>IF(NOT(ISBLANK(Audit[[#This Row],[Audit Candidate 10]])), Audit[[#This Row],[Audit Candidate 10]]-Audit[[#This Row],[Candidate 10]], "")</f>
        <v/>
      </c>
      <c r="AO790" s="17" t="str">
        <f>IF(NOT(ISBLANK(Audit[[#This Row],[Audit Candidate 11]])), Audit[[#This Row],[Audit Candidate 11]]-Audit[[#This Row],[Candidate 11]], "")</f>
        <v/>
      </c>
      <c r="AP790" s="17" t="str">
        <f>IF(NOT(ISBLANK(Audit[[#This Row],[Audit Candidate 12]])), Audit[[#This Row],[Audit Candidate 12]]-Audit[[#This Row],[Candidate 12]], "")</f>
        <v/>
      </c>
      <c r="AQ790" s="17">
        <f>SUMIF(Audit[[#This Row],[Difference Winner]:[Difference Candidate 12]], "&gt;0")</f>
        <v>0</v>
      </c>
      <c r="AR790" s="17">
        <f>SUM(Audit[[#This Row],[Difference Winner]:[Difference Candidate 12]])</f>
        <v>0</v>
      </c>
      <c r="AS790" s="17">
        <f>IF(Audit[[#This Row],[Times p Drawn - With Replacement]]&gt;0, IF(Audit[[#This Row],[Canceled Differences]]&lt;0, Audit[[#This Row],[Max Differences]]+ABS(Audit[[#This Row],[Canceled Differences]]), Audit[[#This Row],[Max Differences]]), 0)</f>
        <v>0</v>
      </c>
      <c r="AT790" s="17">
        <f>'Sampling Data'!AB790</f>
        <v>1.4174163978950943E-2</v>
      </c>
      <c r="AU790" s="17">
        <f>IF(
      SUM(Audit[[#This Row],[Audit Losing Candidate]:[Audit Candidate 12]])
      &lt;&gt;0,
      (Audit[[#This Row],[Winning Candidate]]-Audit[[#This Row],[Losing Candidate]]-(Audit[[#This Row],[Audit Winning Candidate]]-Audit[[#This Row],[Audit Losing Candidate]]))/(Audit[[#Totals],[Winning Candidate]]-Audit[[#Totals],[Losing Candidate]]),
      0
)</f>
        <v>0</v>
      </c>
      <c r="AV7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0" s="17">
        <f>IF(Audit[[#This Row],[Max Relative Error (ep)]] = 0, 0, Audit[[#This Row],[Max Relative Error (ep)]]/Audit[[#This Row],[Error Bound (up) - Max. possible relative overstatement]])</f>
        <v>0</v>
      </c>
      <c r="BH7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90" s="17">
        <f t="shared" si="13"/>
        <v>1</v>
      </c>
      <c r="BJ790" s="17">
        <f>PRODUCT($BI$5:BI790)</f>
        <v>0.20274654467839762</v>
      </c>
      <c r="BK790" s="19">
        <f>1 - Audit[[#This Row],[K-M P Value]]</f>
        <v>0.79725345532160241</v>
      </c>
      <c r="BL790" s="17" t="str">
        <f>IF(Audit[[#This Row],[K-M P Value]]&gt;1-'General Info'!$B$12,"Continue", "Stop")</f>
        <v>Continue</v>
      </c>
      <c r="BM790" s="22" t="b">
        <f>IF(Audit[[#This Row],[Status - Continue or stop audit]] = "Continue", TRUE, IF(BL789 = "Continue", TRUE, FALSE))</f>
        <v>1</v>
      </c>
      <c r="BN790" s="22"/>
    </row>
    <row r="791" spans="1:66" ht="15" hidden="1" customHeight="1" x14ac:dyDescent="0.35">
      <c r="A791" s="17" t="str">
        <f>'Sampling Data'!AI791</f>
        <v/>
      </c>
      <c r="B791" s="17" t="str">
        <f>'Sampling Data'!A791</f>
        <v>3403 HARR C   (ED)</v>
      </c>
      <c r="C791" s="17">
        <f>'Sampling Data'!B791</f>
        <v>129</v>
      </c>
      <c r="D791" s="17">
        <f>'Sampling Data'!C791</f>
        <v>682</v>
      </c>
      <c r="E791" s="18">
        <f>'Sampling Data'!D791</f>
        <v>0</v>
      </c>
      <c r="F791" s="18">
        <f>'Sampling Data'!E791</f>
        <v>0</v>
      </c>
      <c r="G791" s="18">
        <f>'Sampling Data'!F791</f>
        <v>0</v>
      </c>
      <c r="H791" s="18">
        <f>'Sampling Data'!G791</f>
        <v>0</v>
      </c>
      <c r="I791" s="18">
        <f>'Sampling Data'!H791</f>
        <v>0</v>
      </c>
      <c r="J791" s="18">
        <f>'Sampling Data'!I791</f>
        <v>0</v>
      </c>
      <c r="K791" s="18">
        <f>'Sampling Data'!J791</f>
        <v>0</v>
      </c>
      <c r="L791" s="18">
        <f>'Sampling Data'!K791</f>
        <v>0</v>
      </c>
      <c r="M791" s="18">
        <f>'Sampling Data'!L791</f>
        <v>0</v>
      </c>
      <c r="N791" s="18">
        <f>'Sampling Data'!M791</f>
        <v>0</v>
      </c>
      <c r="O791" s="17">
        <f>'Sampling Data'!N791</f>
        <v>0</v>
      </c>
      <c r="P791" s="17">
        <f>'Sampling Data'!O791</f>
        <v>65</v>
      </c>
      <c r="Q791" s="17">
        <f>'Sampling Data'!P791</f>
        <v>876</v>
      </c>
      <c r="R791" s="17">
        <f>'Sampling Data'!AJ791</f>
        <v>0</v>
      </c>
      <c r="S791" s="111"/>
      <c r="T791" s="111"/>
      <c r="U791" s="112"/>
      <c r="V791" s="112"/>
      <c r="W791" s="111"/>
      <c r="X791" s="111"/>
      <c r="Y791" s="111"/>
      <c r="Z791" s="111"/>
      <c r="AA791" s="14"/>
      <c r="AB791" s="14"/>
      <c r="AC791" s="14"/>
      <c r="AD791" s="14"/>
      <c r="AE791" s="113" t="str">
        <f>IF(NOT(ISBLANK(Audit[[#This Row],[Audit Winning Candidate]])), Audit[[#This Row],[Audit Winning Candidate]]-Audit[[#This Row],[Winning Candidate]], "")</f>
        <v/>
      </c>
      <c r="AF791" s="17" t="str">
        <f>IF(NOT(ISBLANK(Audit[[#This Row],[Audit Losing Candidate]])), Audit[[#This Row],[Audit Losing Candidate]]-Audit[[#This Row],[Losing Candidate]], "")</f>
        <v/>
      </c>
      <c r="AG791" s="17" t="str">
        <f>IF(NOT(ISBLANK(Audit[[#This Row],[Audit Candidate 3]])), Audit[[#This Row],[Audit Candidate 3]]-Audit[[#This Row],[Candidate 3]], "")</f>
        <v/>
      </c>
      <c r="AH791" s="17" t="str">
        <f>IF(NOT(ISBLANK(Audit[[#This Row],[Audit Candidate 4]])),Audit[[#This Row],[Audit Candidate 4]]-Audit[[#This Row],[Candidate 4]], "")</f>
        <v/>
      </c>
      <c r="AI791" s="17" t="str">
        <f>IF(NOT(ISBLANK(Audit[[#This Row],[Audit Candidate 5]])), Audit[[#This Row],[Audit Candidate 5]]-Audit[[#This Row],[Candidate 5]], "")</f>
        <v/>
      </c>
      <c r="AJ791" s="17" t="str">
        <f>IF(NOT(ISBLANK(Audit[[#This Row],[Audit Candidate 6]])), Audit[[#This Row],[Audit Candidate 6]]-Audit[[#This Row],[Candidate 6]], "")</f>
        <v/>
      </c>
      <c r="AK791" s="17" t="str">
        <f>IF(NOT(ISBLANK(Audit[[#This Row],[Audit Candidate 7]])), Audit[[#This Row],[Audit Candidate 7]]-Audit[[#This Row],[Candidate 7]], "")</f>
        <v/>
      </c>
      <c r="AL791" s="17" t="str">
        <f>IF(NOT(ISBLANK(Audit[[#This Row],[Audit Candidate 8]])), Audit[[#This Row],[Audit Candidate 8]]-Audit[[#This Row],[Candidate 8]], "")</f>
        <v/>
      </c>
      <c r="AM791" s="17" t="str">
        <f>IF(NOT(ISBLANK(Audit[[#This Row],[Audit Candidate 9]])), Audit[[#This Row],[Audit Candidate 9]]-Audit[[#This Row],[Candidate 9]], "")</f>
        <v/>
      </c>
      <c r="AN791" s="17" t="str">
        <f>IF(NOT(ISBLANK(Audit[[#This Row],[Audit Candidate 10]])), Audit[[#This Row],[Audit Candidate 10]]-Audit[[#This Row],[Candidate 10]], "")</f>
        <v/>
      </c>
      <c r="AO791" s="17" t="str">
        <f>IF(NOT(ISBLANK(Audit[[#This Row],[Audit Candidate 11]])), Audit[[#This Row],[Audit Candidate 11]]-Audit[[#This Row],[Candidate 11]], "")</f>
        <v/>
      </c>
      <c r="AP791" s="17" t="str">
        <f>IF(NOT(ISBLANK(Audit[[#This Row],[Audit Candidate 12]])), Audit[[#This Row],[Audit Candidate 12]]-Audit[[#This Row],[Candidate 12]], "")</f>
        <v/>
      </c>
      <c r="AQ791" s="17">
        <f>SUMIF(Audit[[#This Row],[Difference Winner]:[Difference Candidate 12]], "&gt;0")</f>
        <v>0</v>
      </c>
      <c r="AR791" s="17">
        <f>SUM(Audit[[#This Row],[Difference Winner]:[Difference Candidate 12]])</f>
        <v>0</v>
      </c>
      <c r="AS791" s="17">
        <f>IF(Audit[[#This Row],[Times p Drawn - With Replacement]]&gt;0, IF(Audit[[#This Row],[Canceled Differences]]&lt;0, Audit[[#This Row],[Max Differences]]+ABS(Audit[[#This Row],[Canceled Differences]]), Audit[[#This Row],[Max Differences]]), 0)</f>
        <v>0</v>
      </c>
      <c r="AT791" s="17">
        <f>'Sampling Data'!AB791</f>
        <v>1.3707350195213037E-2</v>
      </c>
      <c r="AU791" s="17">
        <f>IF(
      SUM(Audit[[#This Row],[Audit Losing Candidate]:[Audit Candidate 12]])
      &lt;&gt;0,
      (Audit[[#This Row],[Winning Candidate]]-Audit[[#This Row],[Losing Candidate]]-(Audit[[#This Row],[Audit Winning Candidate]]-Audit[[#This Row],[Audit Losing Candidate]]))/(Audit[[#Totals],[Winning Candidate]]-Audit[[#Totals],[Losing Candidate]]),
      0
)</f>
        <v>0</v>
      </c>
      <c r="AV7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1" s="17">
        <f>IF(Audit[[#This Row],[Max Relative Error (ep)]] = 0, 0, Audit[[#This Row],[Max Relative Error (ep)]]/Audit[[#This Row],[Error Bound (up) - Max. possible relative overstatement]])</f>
        <v>0</v>
      </c>
      <c r="BH7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91" s="17">
        <f t="shared" si="13"/>
        <v>1</v>
      </c>
      <c r="BJ791" s="17">
        <f>PRODUCT($BI$5:BI791)</f>
        <v>0.20274654467839762</v>
      </c>
      <c r="BK791" s="19">
        <f>1 - Audit[[#This Row],[K-M P Value]]</f>
        <v>0.79725345532160241</v>
      </c>
      <c r="BL791" s="17" t="str">
        <f>IF(Audit[[#This Row],[K-M P Value]]&gt;1-'General Info'!$B$12,"Continue", "Stop")</f>
        <v>Continue</v>
      </c>
      <c r="BM791" s="22" t="b">
        <f>IF(Audit[[#This Row],[Status - Continue or stop audit]] = "Continue", TRUE, IF(BL790 = "Continue", TRUE, FALSE))</f>
        <v>1</v>
      </c>
      <c r="BN791" s="22"/>
    </row>
    <row r="792" spans="1:66" ht="15" hidden="1" customHeight="1" x14ac:dyDescent="0.35">
      <c r="A792" s="17" t="str">
        <f>'Sampling Data'!AI792</f>
        <v/>
      </c>
      <c r="B792" s="17" t="str">
        <f>'Sampling Data'!A792</f>
        <v>3404 HARR D   (ED)</v>
      </c>
      <c r="C792" s="17">
        <f>'Sampling Data'!B792</f>
        <v>137</v>
      </c>
      <c r="D792" s="17">
        <f>'Sampling Data'!C792</f>
        <v>662</v>
      </c>
      <c r="E792" s="18">
        <f>'Sampling Data'!D792</f>
        <v>0</v>
      </c>
      <c r="F792" s="18">
        <f>'Sampling Data'!E792</f>
        <v>0</v>
      </c>
      <c r="G792" s="18">
        <f>'Sampling Data'!F792</f>
        <v>0</v>
      </c>
      <c r="H792" s="18">
        <f>'Sampling Data'!G792</f>
        <v>0</v>
      </c>
      <c r="I792" s="18">
        <f>'Sampling Data'!H792</f>
        <v>0</v>
      </c>
      <c r="J792" s="18">
        <f>'Sampling Data'!I792</f>
        <v>0</v>
      </c>
      <c r="K792" s="18">
        <f>'Sampling Data'!J792</f>
        <v>0</v>
      </c>
      <c r="L792" s="18">
        <f>'Sampling Data'!K792</f>
        <v>0</v>
      </c>
      <c r="M792" s="18">
        <f>'Sampling Data'!L792</f>
        <v>0</v>
      </c>
      <c r="N792" s="18">
        <f>'Sampling Data'!M792</f>
        <v>0</v>
      </c>
      <c r="O792" s="17">
        <f>'Sampling Data'!N792</f>
        <v>0</v>
      </c>
      <c r="P792" s="17">
        <f>'Sampling Data'!O792</f>
        <v>39</v>
      </c>
      <c r="Q792" s="17">
        <f>'Sampling Data'!P792</f>
        <v>838</v>
      </c>
      <c r="R792" s="17">
        <f>'Sampling Data'!AJ792</f>
        <v>0</v>
      </c>
      <c r="S792" s="111"/>
      <c r="T792" s="111"/>
      <c r="U792" s="112"/>
      <c r="V792" s="112"/>
      <c r="W792" s="111"/>
      <c r="X792" s="111"/>
      <c r="Y792" s="111"/>
      <c r="Z792" s="111"/>
      <c r="AA792" s="14"/>
      <c r="AB792" s="14"/>
      <c r="AC792" s="14"/>
      <c r="AD792" s="14"/>
      <c r="AE792" s="113" t="str">
        <f>IF(NOT(ISBLANK(Audit[[#This Row],[Audit Winning Candidate]])), Audit[[#This Row],[Audit Winning Candidate]]-Audit[[#This Row],[Winning Candidate]], "")</f>
        <v/>
      </c>
      <c r="AF792" s="17" t="str">
        <f>IF(NOT(ISBLANK(Audit[[#This Row],[Audit Losing Candidate]])), Audit[[#This Row],[Audit Losing Candidate]]-Audit[[#This Row],[Losing Candidate]], "")</f>
        <v/>
      </c>
      <c r="AG792" s="17" t="str">
        <f>IF(NOT(ISBLANK(Audit[[#This Row],[Audit Candidate 3]])), Audit[[#This Row],[Audit Candidate 3]]-Audit[[#This Row],[Candidate 3]], "")</f>
        <v/>
      </c>
      <c r="AH792" s="17" t="str">
        <f>IF(NOT(ISBLANK(Audit[[#This Row],[Audit Candidate 4]])),Audit[[#This Row],[Audit Candidate 4]]-Audit[[#This Row],[Candidate 4]], "")</f>
        <v/>
      </c>
      <c r="AI792" s="17" t="str">
        <f>IF(NOT(ISBLANK(Audit[[#This Row],[Audit Candidate 5]])), Audit[[#This Row],[Audit Candidate 5]]-Audit[[#This Row],[Candidate 5]], "")</f>
        <v/>
      </c>
      <c r="AJ792" s="17" t="str">
        <f>IF(NOT(ISBLANK(Audit[[#This Row],[Audit Candidate 6]])), Audit[[#This Row],[Audit Candidate 6]]-Audit[[#This Row],[Candidate 6]], "")</f>
        <v/>
      </c>
      <c r="AK792" s="17" t="str">
        <f>IF(NOT(ISBLANK(Audit[[#This Row],[Audit Candidate 7]])), Audit[[#This Row],[Audit Candidate 7]]-Audit[[#This Row],[Candidate 7]], "")</f>
        <v/>
      </c>
      <c r="AL792" s="17" t="str">
        <f>IF(NOT(ISBLANK(Audit[[#This Row],[Audit Candidate 8]])), Audit[[#This Row],[Audit Candidate 8]]-Audit[[#This Row],[Candidate 8]], "")</f>
        <v/>
      </c>
      <c r="AM792" s="17" t="str">
        <f>IF(NOT(ISBLANK(Audit[[#This Row],[Audit Candidate 9]])), Audit[[#This Row],[Audit Candidate 9]]-Audit[[#This Row],[Candidate 9]], "")</f>
        <v/>
      </c>
      <c r="AN792" s="17" t="str">
        <f>IF(NOT(ISBLANK(Audit[[#This Row],[Audit Candidate 10]])), Audit[[#This Row],[Audit Candidate 10]]-Audit[[#This Row],[Candidate 10]], "")</f>
        <v/>
      </c>
      <c r="AO792" s="17" t="str">
        <f>IF(NOT(ISBLANK(Audit[[#This Row],[Audit Candidate 11]])), Audit[[#This Row],[Audit Candidate 11]]-Audit[[#This Row],[Candidate 11]], "")</f>
        <v/>
      </c>
      <c r="AP792" s="17" t="str">
        <f>IF(NOT(ISBLANK(Audit[[#This Row],[Audit Candidate 12]])), Audit[[#This Row],[Audit Candidate 12]]-Audit[[#This Row],[Candidate 12]], "")</f>
        <v/>
      </c>
      <c r="AQ792" s="17">
        <f>SUMIF(Audit[[#This Row],[Difference Winner]:[Difference Candidate 12]], "&gt;0")</f>
        <v>0</v>
      </c>
      <c r="AR792" s="17">
        <f>SUM(Audit[[#This Row],[Difference Winner]:[Difference Candidate 12]])</f>
        <v>0</v>
      </c>
      <c r="AS792" s="17">
        <f>IF(Audit[[#This Row],[Times p Drawn - With Replacement]]&gt;0, IF(Audit[[#This Row],[Canceled Differences]]&lt;0, Audit[[#This Row],[Max Differences]]+ABS(Audit[[#This Row],[Canceled Differences]]), Audit[[#This Row],[Max Differences]]), 0)</f>
        <v>0</v>
      </c>
      <c r="AT792" s="17">
        <f>'Sampling Data'!AB792</f>
        <v>1.3282974028178577E-2</v>
      </c>
      <c r="AU792" s="17">
        <f>IF(
      SUM(Audit[[#This Row],[Audit Losing Candidate]:[Audit Candidate 12]])
      &lt;&gt;0,
      (Audit[[#This Row],[Winning Candidate]]-Audit[[#This Row],[Losing Candidate]]-(Audit[[#This Row],[Audit Winning Candidate]]-Audit[[#This Row],[Audit Losing Candidate]]))/(Audit[[#Totals],[Winning Candidate]]-Audit[[#Totals],[Losing Candidate]]),
      0
)</f>
        <v>0</v>
      </c>
      <c r="AV7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2" s="17">
        <f>IF(Audit[[#This Row],[Max Relative Error (ep)]] = 0, 0, Audit[[#This Row],[Max Relative Error (ep)]]/Audit[[#This Row],[Error Bound (up) - Max. possible relative overstatement]])</f>
        <v>0</v>
      </c>
      <c r="BH7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92" s="17">
        <f t="shared" si="13"/>
        <v>1</v>
      </c>
      <c r="BJ792" s="17">
        <f>PRODUCT($BI$5:BI792)</f>
        <v>0.20274654467839762</v>
      </c>
      <c r="BK792" s="19">
        <f>1 - Audit[[#This Row],[K-M P Value]]</f>
        <v>0.79725345532160241</v>
      </c>
      <c r="BL792" s="17" t="str">
        <f>IF(Audit[[#This Row],[K-M P Value]]&gt;1-'General Info'!$B$12,"Continue", "Stop")</f>
        <v>Continue</v>
      </c>
      <c r="BM792" s="22" t="b">
        <f>IF(Audit[[#This Row],[Status - Continue or stop audit]] = "Continue", TRUE, IF(BL791 = "Continue", TRUE, FALSE))</f>
        <v>1</v>
      </c>
      <c r="BN792" s="22"/>
    </row>
    <row r="793" spans="1:66" ht="15" hidden="1" customHeight="1" x14ac:dyDescent="0.35">
      <c r="A793" s="17" t="str">
        <f>'Sampling Data'!AI793</f>
        <v/>
      </c>
      <c r="B793" s="17" t="str">
        <f>'Sampling Data'!A793</f>
        <v>3405 HARR E   (ED)</v>
      </c>
      <c r="C793" s="17">
        <f>'Sampling Data'!B793</f>
        <v>106</v>
      </c>
      <c r="D793" s="17">
        <f>'Sampling Data'!C793</f>
        <v>700</v>
      </c>
      <c r="E793" s="18">
        <f>'Sampling Data'!D793</f>
        <v>0</v>
      </c>
      <c r="F793" s="18">
        <f>'Sampling Data'!E793</f>
        <v>0</v>
      </c>
      <c r="G793" s="18">
        <f>'Sampling Data'!F793</f>
        <v>0</v>
      </c>
      <c r="H793" s="18">
        <f>'Sampling Data'!G793</f>
        <v>0</v>
      </c>
      <c r="I793" s="18">
        <f>'Sampling Data'!H793</f>
        <v>0</v>
      </c>
      <c r="J793" s="18">
        <f>'Sampling Data'!I793</f>
        <v>0</v>
      </c>
      <c r="K793" s="18">
        <f>'Sampling Data'!J793</f>
        <v>0</v>
      </c>
      <c r="L793" s="18">
        <f>'Sampling Data'!K793</f>
        <v>0</v>
      </c>
      <c r="M793" s="18">
        <f>'Sampling Data'!L793</f>
        <v>0</v>
      </c>
      <c r="N793" s="18">
        <f>'Sampling Data'!M793</f>
        <v>0</v>
      </c>
      <c r="O793" s="17">
        <f>'Sampling Data'!N793</f>
        <v>0</v>
      </c>
      <c r="P793" s="17">
        <f>'Sampling Data'!O793</f>
        <v>81</v>
      </c>
      <c r="Q793" s="17">
        <f>'Sampling Data'!P793</f>
        <v>887</v>
      </c>
      <c r="R793" s="17">
        <f>'Sampling Data'!AJ793</f>
        <v>0</v>
      </c>
      <c r="S793" s="111"/>
      <c r="T793" s="111"/>
      <c r="U793" s="112"/>
      <c r="V793" s="112"/>
      <c r="W793" s="111"/>
      <c r="X793" s="111"/>
      <c r="Y793" s="111"/>
      <c r="Z793" s="111"/>
      <c r="AA793" s="14"/>
      <c r="AB793" s="14"/>
      <c r="AC793" s="14"/>
      <c r="AD793" s="14"/>
      <c r="AE793" s="113" t="str">
        <f>IF(NOT(ISBLANK(Audit[[#This Row],[Audit Winning Candidate]])), Audit[[#This Row],[Audit Winning Candidate]]-Audit[[#This Row],[Winning Candidate]], "")</f>
        <v/>
      </c>
      <c r="AF793" s="17" t="str">
        <f>IF(NOT(ISBLANK(Audit[[#This Row],[Audit Losing Candidate]])), Audit[[#This Row],[Audit Losing Candidate]]-Audit[[#This Row],[Losing Candidate]], "")</f>
        <v/>
      </c>
      <c r="AG793" s="17" t="str">
        <f>IF(NOT(ISBLANK(Audit[[#This Row],[Audit Candidate 3]])), Audit[[#This Row],[Audit Candidate 3]]-Audit[[#This Row],[Candidate 3]], "")</f>
        <v/>
      </c>
      <c r="AH793" s="17" t="str">
        <f>IF(NOT(ISBLANK(Audit[[#This Row],[Audit Candidate 4]])),Audit[[#This Row],[Audit Candidate 4]]-Audit[[#This Row],[Candidate 4]], "")</f>
        <v/>
      </c>
      <c r="AI793" s="17" t="str">
        <f>IF(NOT(ISBLANK(Audit[[#This Row],[Audit Candidate 5]])), Audit[[#This Row],[Audit Candidate 5]]-Audit[[#This Row],[Candidate 5]], "")</f>
        <v/>
      </c>
      <c r="AJ793" s="17" t="str">
        <f>IF(NOT(ISBLANK(Audit[[#This Row],[Audit Candidate 6]])), Audit[[#This Row],[Audit Candidate 6]]-Audit[[#This Row],[Candidate 6]], "")</f>
        <v/>
      </c>
      <c r="AK793" s="17" t="str">
        <f>IF(NOT(ISBLANK(Audit[[#This Row],[Audit Candidate 7]])), Audit[[#This Row],[Audit Candidate 7]]-Audit[[#This Row],[Candidate 7]], "")</f>
        <v/>
      </c>
      <c r="AL793" s="17" t="str">
        <f>IF(NOT(ISBLANK(Audit[[#This Row],[Audit Candidate 8]])), Audit[[#This Row],[Audit Candidate 8]]-Audit[[#This Row],[Candidate 8]], "")</f>
        <v/>
      </c>
      <c r="AM793" s="17" t="str">
        <f>IF(NOT(ISBLANK(Audit[[#This Row],[Audit Candidate 9]])), Audit[[#This Row],[Audit Candidate 9]]-Audit[[#This Row],[Candidate 9]], "")</f>
        <v/>
      </c>
      <c r="AN793" s="17" t="str">
        <f>IF(NOT(ISBLANK(Audit[[#This Row],[Audit Candidate 10]])), Audit[[#This Row],[Audit Candidate 10]]-Audit[[#This Row],[Candidate 10]], "")</f>
        <v/>
      </c>
      <c r="AO793" s="17" t="str">
        <f>IF(NOT(ISBLANK(Audit[[#This Row],[Audit Candidate 11]])), Audit[[#This Row],[Audit Candidate 11]]-Audit[[#This Row],[Candidate 11]], "")</f>
        <v/>
      </c>
      <c r="AP793" s="17" t="str">
        <f>IF(NOT(ISBLANK(Audit[[#This Row],[Audit Candidate 12]])), Audit[[#This Row],[Audit Candidate 12]]-Audit[[#This Row],[Candidate 12]], "")</f>
        <v/>
      </c>
      <c r="AQ793" s="17">
        <f>SUMIF(Audit[[#This Row],[Difference Winner]:[Difference Candidate 12]], "&gt;0")</f>
        <v>0</v>
      </c>
      <c r="AR793" s="17">
        <f>SUM(Audit[[#This Row],[Difference Winner]:[Difference Candidate 12]])</f>
        <v>0</v>
      </c>
      <c r="AS793" s="17">
        <f>IF(Audit[[#This Row],[Times p Drawn - With Replacement]]&gt;0, IF(Audit[[#This Row],[Canceled Differences]]&lt;0, Audit[[#This Row],[Max Differences]]+ABS(Audit[[#This Row],[Canceled Differences]]), Audit[[#This Row],[Max Differences]]), 0)</f>
        <v>0</v>
      </c>
      <c r="AT793" s="17">
        <f>'Sampling Data'!AB793</f>
        <v>1.2434221694109659E-2</v>
      </c>
      <c r="AU793" s="17">
        <f>IF(
      SUM(Audit[[#This Row],[Audit Losing Candidate]:[Audit Candidate 12]])
      &lt;&gt;0,
      (Audit[[#This Row],[Winning Candidate]]-Audit[[#This Row],[Losing Candidate]]-(Audit[[#This Row],[Audit Winning Candidate]]-Audit[[#This Row],[Audit Losing Candidate]]))/(Audit[[#Totals],[Winning Candidate]]-Audit[[#Totals],[Losing Candidate]]),
      0
)</f>
        <v>0</v>
      </c>
      <c r="AV7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3" s="17">
        <f>IF(Audit[[#This Row],[Max Relative Error (ep)]] = 0, 0, Audit[[#This Row],[Max Relative Error (ep)]]/Audit[[#This Row],[Error Bound (up) - Max. possible relative overstatement]])</f>
        <v>0</v>
      </c>
      <c r="BH7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93" s="17">
        <f t="shared" si="13"/>
        <v>1</v>
      </c>
      <c r="BJ793" s="17">
        <f>PRODUCT($BI$5:BI793)</f>
        <v>0.20274654467839762</v>
      </c>
      <c r="BK793" s="19">
        <f>1 - Audit[[#This Row],[K-M P Value]]</f>
        <v>0.79725345532160241</v>
      </c>
      <c r="BL793" s="17" t="str">
        <f>IF(Audit[[#This Row],[K-M P Value]]&gt;1-'General Info'!$B$12,"Continue", "Stop")</f>
        <v>Continue</v>
      </c>
      <c r="BM793" s="22" t="b">
        <f>IF(Audit[[#This Row],[Status - Continue or stop audit]] = "Continue", TRUE, IF(BL792 = "Continue", TRUE, FALSE))</f>
        <v>1</v>
      </c>
      <c r="BN793" s="22"/>
    </row>
    <row r="794" spans="1:66" ht="15" hidden="1" customHeight="1" x14ac:dyDescent="0.35">
      <c r="A794" s="17" t="str">
        <f>'Sampling Data'!AI794</f>
        <v/>
      </c>
      <c r="B794" s="17" t="str">
        <f>'Sampling Data'!A794</f>
        <v>3406 HARR F   (ED)</v>
      </c>
      <c r="C794" s="17">
        <f>'Sampling Data'!B794</f>
        <v>161</v>
      </c>
      <c r="D794" s="17">
        <f>'Sampling Data'!C794</f>
        <v>694</v>
      </c>
      <c r="E794" s="18">
        <f>'Sampling Data'!D794</f>
        <v>0</v>
      </c>
      <c r="F794" s="18">
        <f>'Sampling Data'!E794</f>
        <v>0</v>
      </c>
      <c r="G794" s="18">
        <f>'Sampling Data'!F794</f>
        <v>0</v>
      </c>
      <c r="H794" s="18">
        <f>'Sampling Data'!G794</f>
        <v>0</v>
      </c>
      <c r="I794" s="18">
        <f>'Sampling Data'!H794</f>
        <v>0</v>
      </c>
      <c r="J794" s="18">
        <f>'Sampling Data'!I794</f>
        <v>0</v>
      </c>
      <c r="K794" s="18">
        <f>'Sampling Data'!J794</f>
        <v>0</v>
      </c>
      <c r="L794" s="18">
        <f>'Sampling Data'!K794</f>
        <v>0</v>
      </c>
      <c r="M794" s="18">
        <f>'Sampling Data'!L794</f>
        <v>0</v>
      </c>
      <c r="N794" s="18">
        <f>'Sampling Data'!M794</f>
        <v>0</v>
      </c>
      <c r="O794" s="17">
        <f>'Sampling Data'!N794</f>
        <v>0</v>
      </c>
      <c r="P794" s="17">
        <f>'Sampling Data'!O794</f>
        <v>75</v>
      </c>
      <c r="Q794" s="17">
        <f>'Sampling Data'!P794</f>
        <v>930</v>
      </c>
      <c r="R794" s="17">
        <f>'Sampling Data'!AJ794</f>
        <v>0</v>
      </c>
      <c r="S794" s="111"/>
      <c r="T794" s="111"/>
      <c r="U794" s="112"/>
      <c r="V794" s="112"/>
      <c r="W794" s="111"/>
      <c r="X794" s="111"/>
      <c r="Y794" s="111"/>
      <c r="Z794" s="111"/>
      <c r="AA794" s="14"/>
      <c r="AB794" s="14"/>
      <c r="AC794" s="14"/>
      <c r="AD794" s="14"/>
      <c r="AE794" s="113" t="str">
        <f>IF(NOT(ISBLANK(Audit[[#This Row],[Audit Winning Candidate]])), Audit[[#This Row],[Audit Winning Candidate]]-Audit[[#This Row],[Winning Candidate]], "")</f>
        <v/>
      </c>
      <c r="AF794" s="17" t="str">
        <f>IF(NOT(ISBLANK(Audit[[#This Row],[Audit Losing Candidate]])), Audit[[#This Row],[Audit Losing Candidate]]-Audit[[#This Row],[Losing Candidate]], "")</f>
        <v/>
      </c>
      <c r="AG794" s="17" t="str">
        <f>IF(NOT(ISBLANK(Audit[[#This Row],[Audit Candidate 3]])), Audit[[#This Row],[Audit Candidate 3]]-Audit[[#This Row],[Candidate 3]], "")</f>
        <v/>
      </c>
      <c r="AH794" s="17" t="str">
        <f>IF(NOT(ISBLANK(Audit[[#This Row],[Audit Candidate 4]])),Audit[[#This Row],[Audit Candidate 4]]-Audit[[#This Row],[Candidate 4]], "")</f>
        <v/>
      </c>
      <c r="AI794" s="17" t="str">
        <f>IF(NOT(ISBLANK(Audit[[#This Row],[Audit Candidate 5]])), Audit[[#This Row],[Audit Candidate 5]]-Audit[[#This Row],[Candidate 5]], "")</f>
        <v/>
      </c>
      <c r="AJ794" s="17" t="str">
        <f>IF(NOT(ISBLANK(Audit[[#This Row],[Audit Candidate 6]])), Audit[[#This Row],[Audit Candidate 6]]-Audit[[#This Row],[Candidate 6]], "")</f>
        <v/>
      </c>
      <c r="AK794" s="17" t="str">
        <f>IF(NOT(ISBLANK(Audit[[#This Row],[Audit Candidate 7]])), Audit[[#This Row],[Audit Candidate 7]]-Audit[[#This Row],[Candidate 7]], "")</f>
        <v/>
      </c>
      <c r="AL794" s="17" t="str">
        <f>IF(NOT(ISBLANK(Audit[[#This Row],[Audit Candidate 8]])), Audit[[#This Row],[Audit Candidate 8]]-Audit[[#This Row],[Candidate 8]], "")</f>
        <v/>
      </c>
      <c r="AM794" s="17" t="str">
        <f>IF(NOT(ISBLANK(Audit[[#This Row],[Audit Candidate 9]])), Audit[[#This Row],[Audit Candidate 9]]-Audit[[#This Row],[Candidate 9]], "")</f>
        <v/>
      </c>
      <c r="AN794" s="17" t="str">
        <f>IF(NOT(ISBLANK(Audit[[#This Row],[Audit Candidate 10]])), Audit[[#This Row],[Audit Candidate 10]]-Audit[[#This Row],[Candidate 10]], "")</f>
        <v/>
      </c>
      <c r="AO794" s="17" t="str">
        <f>IF(NOT(ISBLANK(Audit[[#This Row],[Audit Candidate 11]])), Audit[[#This Row],[Audit Candidate 11]]-Audit[[#This Row],[Candidate 11]], "")</f>
        <v/>
      </c>
      <c r="AP794" s="17" t="str">
        <f>IF(NOT(ISBLANK(Audit[[#This Row],[Audit Candidate 12]])), Audit[[#This Row],[Audit Candidate 12]]-Audit[[#This Row],[Candidate 12]], "")</f>
        <v/>
      </c>
      <c r="AQ794" s="17">
        <f>SUMIF(Audit[[#This Row],[Difference Winner]:[Difference Candidate 12]], "&gt;0")</f>
        <v>0</v>
      </c>
      <c r="AR794" s="17">
        <f>SUM(Audit[[#This Row],[Difference Winner]:[Difference Candidate 12]])</f>
        <v>0</v>
      </c>
      <c r="AS794" s="17">
        <f>IF(Audit[[#This Row],[Times p Drawn - With Replacement]]&gt;0, IF(Audit[[#This Row],[Canceled Differences]]&lt;0, Audit[[#This Row],[Max Differences]]+ABS(Audit[[#This Row],[Canceled Differences]]), Audit[[#This Row],[Max Differences]]), 0)</f>
        <v>0</v>
      </c>
      <c r="AT794" s="17">
        <f>'Sampling Data'!AB794</f>
        <v>1.6847733831268037E-2</v>
      </c>
      <c r="AU794" s="17">
        <f>IF(
      SUM(Audit[[#This Row],[Audit Losing Candidate]:[Audit Candidate 12]])
      &lt;&gt;0,
      (Audit[[#This Row],[Winning Candidate]]-Audit[[#This Row],[Losing Candidate]]-(Audit[[#This Row],[Audit Winning Candidate]]-Audit[[#This Row],[Audit Losing Candidate]]))/(Audit[[#Totals],[Winning Candidate]]-Audit[[#Totals],[Losing Candidate]]),
      0
)</f>
        <v>0</v>
      </c>
      <c r="AV7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4" s="17">
        <f>IF(Audit[[#This Row],[Max Relative Error (ep)]] = 0, 0, Audit[[#This Row],[Max Relative Error (ep)]]/Audit[[#This Row],[Error Bound (up) - Max. possible relative overstatement]])</f>
        <v>0</v>
      </c>
      <c r="BH7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94" s="17">
        <f t="shared" si="13"/>
        <v>1</v>
      </c>
      <c r="BJ794" s="17">
        <f>PRODUCT($BI$5:BI794)</f>
        <v>0.20274654467839762</v>
      </c>
      <c r="BK794" s="19">
        <f>1 - Audit[[#This Row],[K-M P Value]]</f>
        <v>0.79725345532160241</v>
      </c>
      <c r="BL794" s="17" t="str">
        <f>IF(Audit[[#This Row],[K-M P Value]]&gt;1-'General Info'!$B$12,"Continue", "Stop")</f>
        <v>Continue</v>
      </c>
      <c r="BM794" s="22" t="b">
        <f>IF(Audit[[#This Row],[Status - Continue or stop audit]] = "Continue", TRUE, IF(BL793 = "Continue", TRUE, FALSE))</f>
        <v>1</v>
      </c>
      <c r="BN794" s="22"/>
    </row>
    <row r="795" spans="1:66" ht="15" hidden="1" customHeight="1" x14ac:dyDescent="0.35">
      <c r="A795" s="17" t="str">
        <f>'Sampling Data'!AI795</f>
        <v/>
      </c>
      <c r="B795" s="17" t="str">
        <f>'Sampling Data'!A795</f>
        <v>3407 HARR G   (ED)</v>
      </c>
      <c r="C795" s="17">
        <f>'Sampling Data'!B795</f>
        <v>67</v>
      </c>
      <c r="D795" s="17">
        <f>'Sampling Data'!C795</f>
        <v>298</v>
      </c>
      <c r="E795" s="18">
        <f>'Sampling Data'!D795</f>
        <v>0</v>
      </c>
      <c r="F795" s="18">
        <f>'Sampling Data'!E795</f>
        <v>0</v>
      </c>
      <c r="G795" s="18">
        <f>'Sampling Data'!F795</f>
        <v>0</v>
      </c>
      <c r="H795" s="18">
        <f>'Sampling Data'!G795</f>
        <v>0</v>
      </c>
      <c r="I795" s="18">
        <f>'Sampling Data'!H795</f>
        <v>0</v>
      </c>
      <c r="J795" s="18">
        <f>'Sampling Data'!I795</f>
        <v>0</v>
      </c>
      <c r="K795" s="18">
        <f>'Sampling Data'!J795</f>
        <v>0</v>
      </c>
      <c r="L795" s="18">
        <f>'Sampling Data'!K795</f>
        <v>0</v>
      </c>
      <c r="M795" s="18">
        <f>'Sampling Data'!L795</f>
        <v>0</v>
      </c>
      <c r="N795" s="18">
        <f>'Sampling Data'!M795</f>
        <v>0</v>
      </c>
      <c r="O795" s="17">
        <f>'Sampling Data'!N795</f>
        <v>0</v>
      </c>
      <c r="P795" s="17">
        <f>'Sampling Data'!O795</f>
        <v>27</v>
      </c>
      <c r="Q795" s="17">
        <f>'Sampling Data'!P795</f>
        <v>392</v>
      </c>
      <c r="R795" s="17">
        <f>'Sampling Data'!AJ795</f>
        <v>0</v>
      </c>
      <c r="S795" s="111"/>
      <c r="T795" s="111"/>
      <c r="U795" s="112"/>
      <c r="V795" s="112"/>
      <c r="W795" s="111"/>
      <c r="X795" s="111"/>
      <c r="Y795" s="111"/>
      <c r="Z795" s="111"/>
      <c r="AA795" s="14"/>
      <c r="AB795" s="14"/>
      <c r="AC795" s="14"/>
      <c r="AD795" s="14"/>
      <c r="AE795" s="113" t="str">
        <f>IF(NOT(ISBLANK(Audit[[#This Row],[Audit Winning Candidate]])), Audit[[#This Row],[Audit Winning Candidate]]-Audit[[#This Row],[Winning Candidate]], "")</f>
        <v/>
      </c>
      <c r="AF795" s="17" t="str">
        <f>IF(NOT(ISBLANK(Audit[[#This Row],[Audit Losing Candidate]])), Audit[[#This Row],[Audit Losing Candidate]]-Audit[[#This Row],[Losing Candidate]], "")</f>
        <v/>
      </c>
      <c r="AG795" s="17" t="str">
        <f>IF(NOT(ISBLANK(Audit[[#This Row],[Audit Candidate 3]])), Audit[[#This Row],[Audit Candidate 3]]-Audit[[#This Row],[Candidate 3]], "")</f>
        <v/>
      </c>
      <c r="AH795" s="17" t="str">
        <f>IF(NOT(ISBLANK(Audit[[#This Row],[Audit Candidate 4]])),Audit[[#This Row],[Audit Candidate 4]]-Audit[[#This Row],[Candidate 4]], "")</f>
        <v/>
      </c>
      <c r="AI795" s="17" t="str">
        <f>IF(NOT(ISBLANK(Audit[[#This Row],[Audit Candidate 5]])), Audit[[#This Row],[Audit Candidate 5]]-Audit[[#This Row],[Candidate 5]], "")</f>
        <v/>
      </c>
      <c r="AJ795" s="17" t="str">
        <f>IF(NOT(ISBLANK(Audit[[#This Row],[Audit Candidate 6]])), Audit[[#This Row],[Audit Candidate 6]]-Audit[[#This Row],[Candidate 6]], "")</f>
        <v/>
      </c>
      <c r="AK795" s="17" t="str">
        <f>IF(NOT(ISBLANK(Audit[[#This Row],[Audit Candidate 7]])), Audit[[#This Row],[Audit Candidate 7]]-Audit[[#This Row],[Candidate 7]], "")</f>
        <v/>
      </c>
      <c r="AL795" s="17" t="str">
        <f>IF(NOT(ISBLANK(Audit[[#This Row],[Audit Candidate 8]])), Audit[[#This Row],[Audit Candidate 8]]-Audit[[#This Row],[Candidate 8]], "")</f>
        <v/>
      </c>
      <c r="AM795" s="17" t="str">
        <f>IF(NOT(ISBLANK(Audit[[#This Row],[Audit Candidate 9]])), Audit[[#This Row],[Audit Candidate 9]]-Audit[[#This Row],[Candidate 9]], "")</f>
        <v/>
      </c>
      <c r="AN795" s="17" t="str">
        <f>IF(NOT(ISBLANK(Audit[[#This Row],[Audit Candidate 10]])), Audit[[#This Row],[Audit Candidate 10]]-Audit[[#This Row],[Candidate 10]], "")</f>
        <v/>
      </c>
      <c r="AO795" s="17" t="str">
        <f>IF(NOT(ISBLANK(Audit[[#This Row],[Audit Candidate 11]])), Audit[[#This Row],[Audit Candidate 11]]-Audit[[#This Row],[Candidate 11]], "")</f>
        <v/>
      </c>
      <c r="AP795" s="17" t="str">
        <f>IF(NOT(ISBLANK(Audit[[#This Row],[Audit Candidate 12]])), Audit[[#This Row],[Audit Candidate 12]]-Audit[[#This Row],[Candidate 12]], "")</f>
        <v/>
      </c>
      <c r="AQ795" s="17">
        <f>SUMIF(Audit[[#This Row],[Difference Winner]:[Difference Candidate 12]], "&gt;0")</f>
        <v>0</v>
      </c>
      <c r="AR795" s="17">
        <f>SUM(Audit[[#This Row],[Difference Winner]:[Difference Candidate 12]])</f>
        <v>0</v>
      </c>
      <c r="AS795" s="17">
        <f>IF(Audit[[#This Row],[Times p Drawn - With Replacement]]&gt;0, IF(Audit[[#This Row],[Canceled Differences]]&lt;0, Audit[[#This Row],[Max Differences]]+ABS(Audit[[#This Row],[Canceled Differences]]), Audit[[#This Row],[Max Differences]]), 0)</f>
        <v>0</v>
      </c>
      <c r="AT795" s="17">
        <f>'Sampling Data'!AB795</f>
        <v>6.8324562892547952E-3</v>
      </c>
      <c r="AU795" s="17">
        <f>IF(
      SUM(Audit[[#This Row],[Audit Losing Candidate]:[Audit Candidate 12]])
      &lt;&gt;0,
      (Audit[[#This Row],[Winning Candidate]]-Audit[[#This Row],[Losing Candidate]]-(Audit[[#This Row],[Audit Winning Candidate]]-Audit[[#This Row],[Audit Losing Candidate]]))/(Audit[[#Totals],[Winning Candidate]]-Audit[[#Totals],[Losing Candidate]]),
      0
)</f>
        <v>0</v>
      </c>
      <c r="AV7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5" s="17">
        <f>IF(Audit[[#This Row],[Max Relative Error (ep)]] = 0, 0, Audit[[#This Row],[Max Relative Error (ep)]]/Audit[[#This Row],[Error Bound (up) - Max. possible relative overstatement]])</f>
        <v>0</v>
      </c>
      <c r="BH7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95" s="17">
        <f t="shared" si="13"/>
        <v>1</v>
      </c>
      <c r="BJ795" s="17">
        <f>PRODUCT($BI$5:BI795)</f>
        <v>0.20274654467839762</v>
      </c>
      <c r="BK795" s="19">
        <f>1 - Audit[[#This Row],[K-M P Value]]</f>
        <v>0.79725345532160241</v>
      </c>
      <c r="BL795" s="17" t="str">
        <f>IF(Audit[[#This Row],[K-M P Value]]&gt;1-'General Info'!$B$12,"Continue", "Stop")</f>
        <v>Continue</v>
      </c>
      <c r="BM795" s="22" t="b">
        <f>IF(Audit[[#This Row],[Status - Continue or stop audit]] = "Continue", TRUE, IF(BL794 = "Continue", TRUE, FALSE))</f>
        <v>1</v>
      </c>
      <c r="BN795" s="22"/>
    </row>
    <row r="796" spans="1:66" ht="15" hidden="1" customHeight="1" x14ac:dyDescent="0.35">
      <c r="A796" s="17" t="str">
        <f>'Sampling Data'!AI796</f>
        <v/>
      </c>
      <c r="B796" s="17" t="str">
        <f>'Sampling Data'!A796</f>
        <v>3501 IND HLL A   (ED)</v>
      </c>
      <c r="C796" s="17">
        <f>'Sampling Data'!B796</f>
        <v>94</v>
      </c>
      <c r="D796" s="17">
        <f>'Sampling Data'!C796</f>
        <v>201</v>
      </c>
      <c r="E796" s="18">
        <f>'Sampling Data'!D796</f>
        <v>0</v>
      </c>
      <c r="F796" s="18">
        <f>'Sampling Data'!E796</f>
        <v>0</v>
      </c>
      <c r="G796" s="18">
        <f>'Sampling Data'!F796</f>
        <v>0</v>
      </c>
      <c r="H796" s="18">
        <f>'Sampling Data'!G796</f>
        <v>0</v>
      </c>
      <c r="I796" s="18">
        <f>'Sampling Data'!H796</f>
        <v>0</v>
      </c>
      <c r="J796" s="18">
        <f>'Sampling Data'!I796</f>
        <v>0</v>
      </c>
      <c r="K796" s="18">
        <f>'Sampling Data'!J796</f>
        <v>0</v>
      </c>
      <c r="L796" s="18">
        <f>'Sampling Data'!K796</f>
        <v>0</v>
      </c>
      <c r="M796" s="18">
        <f>'Sampling Data'!L796</f>
        <v>0</v>
      </c>
      <c r="N796" s="18">
        <f>'Sampling Data'!M796</f>
        <v>0</v>
      </c>
      <c r="O796" s="17">
        <f>'Sampling Data'!N796</f>
        <v>0</v>
      </c>
      <c r="P796" s="17">
        <f>'Sampling Data'!O796</f>
        <v>21</v>
      </c>
      <c r="Q796" s="17">
        <f>'Sampling Data'!P796</f>
        <v>316</v>
      </c>
      <c r="R796" s="17">
        <f>'Sampling Data'!AJ796</f>
        <v>0</v>
      </c>
      <c r="S796" s="111"/>
      <c r="T796" s="111"/>
      <c r="U796" s="112"/>
      <c r="V796" s="112"/>
      <c r="W796" s="111"/>
      <c r="X796" s="111"/>
      <c r="Y796" s="111"/>
      <c r="Z796" s="111"/>
      <c r="AA796" s="14"/>
      <c r="AB796" s="14"/>
      <c r="AC796" s="14"/>
      <c r="AD796" s="14"/>
      <c r="AE796" s="113" t="str">
        <f>IF(NOT(ISBLANK(Audit[[#This Row],[Audit Winning Candidate]])), Audit[[#This Row],[Audit Winning Candidate]]-Audit[[#This Row],[Winning Candidate]], "")</f>
        <v/>
      </c>
      <c r="AF796" s="17" t="str">
        <f>IF(NOT(ISBLANK(Audit[[#This Row],[Audit Losing Candidate]])), Audit[[#This Row],[Audit Losing Candidate]]-Audit[[#This Row],[Losing Candidate]], "")</f>
        <v/>
      </c>
      <c r="AG796" s="17" t="str">
        <f>IF(NOT(ISBLANK(Audit[[#This Row],[Audit Candidate 3]])), Audit[[#This Row],[Audit Candidate 3]]-Audit[[#This Row],[Candidate 3]], "")</f>
        <v/>
      </c>
      <c r="AH796" s="17" t="str">
        <f>IF(NOT(ISBLANK(Audit[[#This Row],[Audit Candidate 4]])),Audit[[#This Row],[Audit Candidate 4]]-Audit[[#This Row],[Candidate 4]], "")</f>
        <v/>
      </c>
      <c r="AI796" s="17" t="str">
        <f>IF(NOT(ISBLANK(Audit[[#This Row],[Audit Candidate 5]])), Audit[[#This Row],[Audit Candidate 5]]-Audit[[#This Row],[Candidate 5]], "")</f>
        <v/>
      </c>
      <c r="AJ796" s="17" t="str">
        <f>IF(NOT(ISBLANK(Audit[[#This Row],[Audit Candidate 6]])), Audit[[#This Row],[Audit Candidate 6]]-Audit[[#This Row],[Candidate 6]], "")</f>
        <v/>
      </c>
      <c r="AK796" s="17" t="str">
        <f>IF(NOT(ISBLANK(Audit[[#This Row],[Audit Candidate 7]])), Audit[[#This Row],[Audit Candidate 7]]-Audit[[#This Row],[Candidate 7]], "")</f>
        <v/>
      </c>
      <c r="AL796" s="17" t="str">
        <f>IF(NOT(ISBLANK(Audit[[#This Row],[Audit Candidate 8]])), Audit[[#This Row],[Audit Candidate 8]]-Audit[[#This Row],[Candidate 8]], "")</f>
        <v/>
      </c>
      <c r="AM796" s="17" t="str">
        <f>IF(NOT(ISBLANK(Audit[[#This Row],[Audit Candidate 9]])), Audit[[#This Row],[Audit Candidate 9]]-Audit[[#This Row],[Candidate 9]], "")</f>
        <v/>
      </c>
      <c r="AN796" s="17" t="str">
        <f>IF(NOT(ISBLANK(Audit[[#This Row],[Audit Candidate 10]])), Audit[[#This Row],[Audit Candidate 10]]-Audit[[#This Row],[Candidate 10]], "")</f>
        <v/>
      </c>
      <c r="AO796" s="17" t="str">
        <f>IF(NOT(ISBLANK(Audit[[#This Row],[Audit Candidate 11]])), Audit[[#This Row],[Audit Candidate 11]]-Audit[[#This Row],[Candidate 11]], "")</f>
        <v/>
      </c>
      <c r="AP796" s="17" t="str">
        <f>IF(NOT(ISBLANK(Audit[[#This Row],[Audit Candidate 12]])), Audit[[#This Row],[Audit Candidate 12]]-Audit[[#This Row],[Candidate 12]], "")</f>
        <v/>
      </c>
      <c r="AQ796" s="17">
        <f>SUMIF(Audit[[#This Row],[Difference Winner]:[Difference Candidate 12]], "&gt;0")</f>
        <v>0</v>
      </c>
      <c r="AR796" s="17">
        <f>SUM(Audit[[#This Row],[Difference Winner]:[Difference Candidate 12]])</f>
        <v>0</v>
      </c>
      <c r="AS796" s="17">
        <f>IF(Audit[[#This Row],[Times p Drawn - With Replacement]]&gt;0, IF(Audit[[#This Row],[Canceled Differences]]&lt;0, Audit[[#This Row],[Max Differences]]+ABS(Audit[[#This Row],[Canceled Differences]]), Audit[[#This Row],[Max Differences]]), 0)</f>
        <v>0</v>
      </c>
      <c r="AT796" s="17">
        <f>'Sampling Data'!AB796</f>
        <v>8.8694618910202007E-3</v>
      </c>
      <c r="AU796" s="17">
        <f>IF(
      SUM(Audit[[#This Row],[Audit Losing Candidate]:[Audit Candidate 12]])
      &lt;&gt;0,
      (Audit[[#This Row],[Winning Candidate]]-Audit[[#This Row],[Losing Candidate]]-(Audit[[#This Row],[Audit Winning Candidate]]-Audit[[#This Row],[Audit Losing Candidate]]))/(Audit[[#Totals],[Winning Candidate]]-Audit[[#Totals],[Losing Candidate]]),
      0
)</f>
        <v>0</v>
      </c>
      <c r="AV7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6" s="17">
        <f>IF(Audit[[#This Row],[Max Relative Error (ep)]] = 0, 0, Audit[[#This Row],[Max Relative Error (ep)]]/Audit[[#This Row],[Error Bound (up) - Max. possible relative overstatement]])</f>
        <v>0</v>
      </c>
      <c r="BH7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96" s="17">
        <f t="shared" si="13"/>
        <v>1</v>
      </c>
      <c r="BJ796" s="17">
        <f>PRODUCT($BI$5:BI796)</f>
        <v>0.20274654467839762</v>
      </c>
      <c r="BK796" s="19">
        <f>1 - Audit[[#This Row],[K-M P Value]]</f>
        <v>0.79725345532160241</v>
      </c>
      <c r="BL796" s="17" t="str">
        <f>IF(Audit[[#This Row],[K-M P Value]]&gt;1-'General Info'!$B$12,"Continue", "Stop")</f>
        <v>Continue</v>
      </c>
      <c r="BM796" s="22" t="b">
        <f>IF(Audit[[#This Row],[Status - Continue or stop audit]] = "Continue", TRUE, IF(BL795 = "Continue", TRUE, FALSE))</f>
        <v>1</v>
      </c>
      <c r="BN796" s="22"/>
    </row>
    <row r="797" spans="1:66" ht="15" hidden="1" customHeight="1" x14ac:dyDescent="0.35">
      <c r="A797" s="17" t="str">
        <f>'Sampling Data'!AI797</f>
        <v/>
      </c>
      <c r="B797" s="17" t="str">
        <f>'Sampling Data'!A797</f>
        <v>3502 IND HLL B   (ED)</v>
      </c>
      <c r="C797" s="17">
        <f>'Sampling Data'!B797</f>
        <v>102</v>
      </c>
      <c r="D797" s="17">
        <f>'Sampling Data'!C797</f>
        <v>343</v>
      </c>
      <c r="E797" s="18">
        <f>'Sampling Data'!D797</f>
        <v>0</v>
      </c>
      <c r="F797" s="18">
        <f>'Sampling Data'!E797</f>
        <v>0</v>
      </c>
      <c r="G797" s="18">
        <f>'Sampling Data'!F797</f>
        <v>0</v>
      </c>
      <c r="H797" s="18">
        <f>'Sampling Data'!G797</f>
        <v>0</v>
      </c>
      <c r="I797" s="18">
        <f>'Sampling Data'!H797</f>
        <v>0</v>
      </c>
      <c r="J797" s="18">
        <f>'Sampling Data'!I797</f>
        <v>0</v>
      </c>
      <c r="K797" s="18">
        <f>'Sampling Data'!J797</f>
        <v>0</v>
      </c>
      <c r="L797" s="18">
        <f>'Sampling Data'!K797</f>
        <v>0</v>
      </c>
      <c r="M797" s="18">
        <f>'Sampling Data'!L797</f>
        <v>0</v>
      </c>
      <c r="N797" s="18">
        <f>'Sampling Data'!M797</f>
        <v>0</v>
      </c>
      <c r="O797" s="17">
        <f>'Sampling Data'!N797</f>
        <v>0</v>
      </c>
      <c r="P797" s="17">
        <f>'Sampling Data'!O797</f>
        <v>24</v>
      </c>
      <c r="Q797" s="17">
        <f>'Sampling Data'!P797</f>
        <v>469</v>
      </c>
      <c r="R797" s="17">
        <f>'Sampling Data'!AJ797</f>
        <v>0</v>
      </c>
      <c r="S797" s="111"/>
      <c r="T797" s="111"/>
      <c r="U797" s="112"/>
      <c r="V797" s="112"/>
      <c r="W797" s="111"/>
      <c r="X797" s="111"/>
      <c r="Y797" s="111"/>
      <c r="Z797" s="111"/>
      <c r="AA797" s="14"/>
      <c r="AB797" s="14"/>
      <c r="AC797" s="14"/>
      <c r="AD797" s="14"/>
      <c r="AE797" s="113" t="str">
        <f>IF(NOT(ISBLANK(Audit[[#This Row],[Audit Winning Candidate]])), Audit[[#This Row],[Audit Winning Candidate]]-Audit[[#This Row],[Winning Candidate]], "")</f>
        <v/>
      </c>
      <c r="AF797" s="17" t="str">
        <f>IF(NOT(ISBLANK(Audit[[#This Row],[Audit Losing Candidate]])), Audit[[#This Row],[Audit Losing Candidate]]-Audit[[#This Row],[Losing Candidate]], "")</f>
        <v/>
      </c>
      <c r="AG797" s="17" t="str">
        <f>IF(NOT(ISBLANK(Audit[[#This Row],[Audit Candidate 3]])), Audit[[#This Row],[Audit Candidate 3]]-Audit[[#This Row],[Candidate 3]], "")</f>
        <v/>
      </c>
      <c r="AH797" s="17" t="str">
        <f>IF(NOT(ISBLANK(Audit[[#This Row],[Audit Candidate 4]])),Audit[[#This Row],[Audit Candidate 4]]-Audit[[#This Row],[Candidate 4]], "")</f>
        <v/>
      </c>
      <c r="AI797" s="17" t="str">
        <f>IF(NOT(ISBLANK(Audit[[#This Row],[Audit Candidate 5]])), Audit[[#This Row],[Audit Candidate 5]]-Audit[[#This Row],[Candidate 5]], "")</f>
        <v/>
      </c>
      <c r="AJ797" s="17" t="str">
        <f>IF(NOT(ISBLANK(Audit[[#This Row],[Audit Candidate 6]])), Audit[[#This Row],[Audit Candidate 6]]-Audit[[#This Row],[Candidate 6]], "")</f>
        <v/>
      </c>
      <c r="AK797" s="17" t="str">
        <f>IF(NOT(ISBLANK(Audit[[#This Row],[Audit Candidate 7]])), Audit[[#This Row],[Audit Candidate 7]]-Audit[[#This Row],[Candidate 7]], "")</f>
        <v/>
      </c>
      <c r="AL797" s="17" t="str">
        <f>IF(NOT(ISBLANK(Audit[[#This Row],[Audit Candidate 8]])), Audit[[#This Row],[Audit Candidate 8]]-Audit[[#This Row],[Candidate 8]], "")</f>
        <v/>
      </c>
      <c r="AM797" s="17" t="str">
        <f>IF(NOT(ISBLANK(Audit[[#This Row],[Audit Candidate 9]])), Audit[[#This Row],[Audit Candidate 9]]-Audit[[#This Row],[Candidate 9]], "")</f>
        <v/>
      </c>
      <c r="AN797" s="17" t="str">
        <f>IF(NOT(ISBLANK(Audit[[#This Row],[Audit Candidate 10]])), Audit[[#This Row],[Audit Candidate 10]]-Audit[[#This Row],[Candidate 10]], "")</f>
        <v/>
      </c>
      <c r="AO797" s="17" t="str">
        <f>IF(NOT(ISBLANK(Audit[[#This Row],[Audit Candidate 11]])), Audit[[#This Row],[Audit Candidate 11]]-Audit[[#This Row],[Candidate 11]], "")</f>
        <v/>
      </c>
      <c r="AP797" s="17" t="str">
        <f>IF(NOT(ISBLANK(Audit[[#This Row],[Audit Candidate 12]])), Audit[[#This Row],[Audit Candidate 12]]-Audit[[#This Row],[Candidate 12]], "")</f>
        <v/>
      </c>
      <c r="AQ797" s="17">
        <f>SUMIF(Audit[[#This Row],[Difference Winner]:[Difference Candidate 12]], "&gt;0")</f>
        <v>0</v>
      </c>
      <c r="AR797" s="17">
        <f>SUM(Audit[[#This Row],[Difference Winner]:[Difference Candidate 12]])</f>
        <v>0</v>
      </c>
      <c r="AS797" s="17">
        <f>IF(Audit[[#This Row],[Times p Drawn - With Replacement]]&gt;0, IF(Audit[[#This Row],[Canceled Differences]]&lt;0, Audit[[#This Row],[Max Differences]]+ABS(Audit[[#This Row],[Canceled Differences]]), Audit[[#This Row],[Max Differences]]), 0)</f>
        <v>0</v>
      </c>
      <c r="AT797" s="17">
        <f>'Sampling Data'!AB797</f>
        <v>9.6757766083856722E-3</v>
      </c>
      <c r="AU797" s="17">
        <f>IF(
      SUM(Audit[[#This Row],[Audit Losing Candidate]:[Audit Candidate 12]])
      &lt;&gt;0,
      (Audit[[#This Row],[Winning Candidate]]-Audit[[#This Row],[Losing Candidate]]-(Audit[[#This Row],[Audit Winning Candidate]]-Audit[[#This Row],[Audit Losing Candidate]]))/(Audit[[#Totals],[Winning Candidate]]-Audit[[#Totals],[Losing Candidate]]),
      0
)</f>
        <v>0</v>
      </c>
      <c r="AV7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7" s="17">
        <f>IF(Audit[[#This Row],[Max Relative Error (ep)]] = 0, 0, Audit[[#This Row],[Max Relative Error (ep)]]/Audit[[#This Row],[Error Bound (up) - Max. possible relative overstatement]])</f>
        <v>0</v>
      </c>
      <c r="BH7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97" s="17">
        <f t="shared" si="13"/>
        <v>1</v>
      </c>
      <c r="BJ797" s="17">
        <f>PRODUCT($BI$5:BI797)</f>
        <v>0.20274654467839762</v>
      </c>
      <c r="BK797" s="19">
        <f>1 - Audit[[#This Row],[K-M P Value]]</f>
        <v>0.79725345532160241</v>
      </c>
      <c r="BL797" s="17" t="str">
        <f>IF(Audit[[#This Row],[K-M P Value]]&gt;1-'General Info'!$B$12,"Continue", "Stop")</f>
        <v>Continue</v>
      </c>
      <c r="BM797" s="22" t="b">
        <f>IF(Audit[[#This Row],[Status - Continue or stop audit]] = "Continue", TRUE, IF(BL796 = "Continue", TRUE, FALSE))</f>
        <v>1</v>
      </c>
      <c r="BN797" s="22"/>
    </row>
    <row r="798" spans="1:66" ht="15" hidden="1" customHeight="1" x14ac:dyDescent="0.35">
      <c r="A798" s="17" t="str">
        <f>'Sampling Data'!AI798</f>
        <v/>
      </c>
      <c r="B798" s="17" t="str">
        <f>'Sampling Data'!A798</f>
        <v>3503 IND HLL C   (ED)</v>
      </c>
      <c r="C798" s="17">
        <f>'Sampling Data'!B798</f>
        <v>111</v>
      </c>
      <c r="D798" s="17">
        <f>'Sampling Data'!C798</f>
        <v>242</v>
      </c>
      <c r="E798" s="18">
        <f>'Sampling Data'!D798</f>
        <v>0</v>
      </c>
      <c r="F798" s="18">
        <f>'Sampling Data'!E798</f>
        <v>0</v>
      </c>
      <c r="G798" s="18">
        <f>'Sampling Data'!F798</f>
        <v>0</v>
      </c>
      <c r="H798" s="18">
        <f>'Sampling Data'!G798</f>
        <v>0</v>
      </c>
      <c r="I798" s="18">
        <f>'Sampling Data'!H798</f>
        <v>0</v>
      </c>
      <c r="J798" s="18">
        <f>'Sampling Data'!I798</f>
        <v>0</v>
      </c>
      <c r="K798" s="18">
        <f>'Sampling Data'!J798</f>
        <v>0</v>
      </c>
      <c r="L798" s="18">
        <f>'Sampling Data'!K798</f>
        <v>0</v>
      </c>
      <c r="M798" s="18">
        <f>'Sampling Data'!L798</f>
        <v>0</v>
      </c>
      <c r="N798" s="18">
        <f>'Sampling Data'!M798</f>
        <v>0</v>
      </c>
      <c r="O798" s="17">
        <f>'Sampling Data'!N798</f>
        <v>0</v>
      </c>
      <c r="P798" s="17">
        <f>'Sampling Data'!O798</f>
        <v>22</v>
      </c>
      <c r="Q798" s="17">
        <f>'Sampling Data'!P798</f>
        <v>375</v>
      </c>
      <c r="R798" s="17">
        <f>'Sampling Data'!AJ798</f>
        <v>0</v>
      </c>
      <c r="S798" s="111"/>
      <c r="T798" s="111"/>
      <c r="U798" s="112"/>
      <c r="V798" s="112"/>
      <c r="W798" s="111"/>
      <c r="X798" s="111"/>
      <c r="Y798" s="111"/>
      <c r="Z798" s="111"/>
      <c r="AA798" s="14"/>
      <c r="AB798" s="14"/>
      <c r="AC798" s="14"/>
      <c r="AD798" s="14"/>
      <c r="AE798" s="113" t="str">
        <f>IF(NOT(ISBLANK(Audit[[#This Row],[Audit Winning Candidate]])), Audit[[#This Row],[Audit Winning Candidate]]-Audit[[#This Row],[Winning Candidate]], "")</f>
        <v/>
      </c>
      <c r="AF798" s="17" t="str">
        <f>IF(NOT(ISBLANK(Audit[[#This Row],[Audit Losing Candidate]])), Audit[[#This Row],[Audit Losing Candidate]]-Audit[[#This Row],[Losing Candidate]], "")</f>
        <v/>
      </c>
      <c r="AG798" s="17" t="str">
        <f>IF(NOT(ISBLANK(Audit[[#This Row],[Audit Candidate 3]])), Audit[[#This Row],[Audit Candidate 3]]-Audit[[#This Row],[Candidate 3]], "")</f>
        <v/>
      </c>
      <c r="AH798" s="17" t="str">
        <f>IF(NOT(ISBLANK(Audit[[#This Row],[Audit Candidate 4]])),Audit[[#This Row],[Audit Candidate 4]]-Audit[[#This Row],[Candidate 4]], "")</f>
        <v/>
      </c>
      <c r="AI798" s="17" t="str">
        <f>IF(NOT(ISBLANK(Audit[[#This Row],[Audit Candidate 5]])), Audit[[#This Row],[Audit Candidate 5]]-Audit[[#This Row],[Candidate 5]], "")</f>
        <v/>
      </c>
      <c r="AJ798" s="17" t="str">
        <f>IF(NOT(ISBLANK(Audit[[#This Row],[Audit Candidate 6]])), Audit[[#This Row],[Audit Candidate 6]]-Audit[[#This Row],[Candidate 6]], "")</f>
        <v/>
      </c>
      <c r="AK798" s="17" t="str">
        <f>IF(NOT(ISBLANK(Audit[[#This Row],[Audit Candidate 7]])), Audit[[#This Row],[Audit Candidate 7]]-Audit[[#This Row],[Candidate 7]], "")</f>
        <v/>
      </c>
      <c r="AL798" s="17" t="str">
        <f>IF(NOT(ISBLANK(Audit[[#This Row],[Audit Candidate 8]])), Audit[[#This Row],[Audit Candidate 8]]-Audit[[#This Row],[Candidate 8]], "")</f>
        <v/>
      </c>
      <c r="AM798" s="17" t="str">
        <f>IF(NOT(ISBLANK(Audit[[#This Row],[Audit Candidate 9]])), Audit[[#This Row],[Audit Candidate 9]]-Audit[[#This Row],[Candidate 9]], "")</f>
        <v/>
      </c>
      <c r="AN798" s="17" t="str">
        <f>IF(NOT(ISBLANK(Audit[[#This Row],[Audit Candidate 10]])), Audit[[#This Row],[Audit Candidate 10]]-Audit[[#This Row],[Candidate 10]], "")</f>
        <v/>
      </c>
      <c r="AO798" s="17" t="str">
        <f>IF(NOT(ISBLANK(Audit[[#This Row],[Audit Candidate 11]])), Audit[[#This Row],[Audit Candidate 11]]-Audit[[#This Row],[Candidate 11]], "")</f>
        <v/>
      </c>
      <c r="AP798" s="17" t="str">
        <f>IF(NOT(ISBLANK(Audit[[#This Row],[Audit Candidate 12]])), Audit[[#This Row],[Audit Candidate 12]]-Audit[[#This Row],[Candidate 12]], "")</f>
        <v/>
      </c>
      <c r="AQ798" s="17">
        <f>SUMIF(Audit[[#This Row],[Difference Winner]:[Difference Candidate 12]], "&gt;0")</f>
        <v>0</v>
      </c>
      <c r="AR798" s="17">
        <f>SUM(Audit[[#This Row],[Difference Winner]:[Difference Candidate 12]])</f>
        <v>0</v>
      </c>
      <c r="AS798" s="17">
        <f>IF(Audit[[#This Row],[Times p Drawn - With Replacement]]&gt;0, IF(Audit[[#This Row],[Canceled Differences]]&lt;0, Audit[[#This Row],[Max Differences]]+ABS(Audit[[#This Row],[Canceled Differences]]), Audit[[#This Row],[Max Differences]]), 0)</f>
        <v>0</v>
      </c>
      <c r="AT798" s="17">
        <f>'Sampling Data'!AB798</f>
        <v>1.0354778475640808E-2</v>
      </c>
      <c r="AU798" s="17">
        <f>IF(
      SUM(Audit[[#This Row],[Audit Losing Candidate]:[Audit Candidate 12]])
      &lt;&gt;0,
      (Audit[[#This Row],[Winning Candidate]]-Audit[[#This Row],[Losing Candidate]]-(Audit[[#This Row],[Audit Winning Candidate]]-Audit[[#This Row],[Audit Losing Candidate]]))/(Audit[[#Totals],[Winning Candidate]]-Audit[[#Totals],[Losing Candidate]]),
      0
)</f>
        <v>0</v>
      </c>
      <c r="AV7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8" s="17">
        <f>IF(Audit[[#This Row],[Max Relative Error (ep)]] = 0, 0, Audit[[#This Row],[Max Relative Error (ep)]]/Audit[[#This Row],[Error Bound (up) - Max. possible relative overstatement]])</f>
        <v>0</v>
      </c>
      <c r="BH7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98" s="17">
        <f t="shared" si="13"/>
        <v>1</v>
      </c>
      <c r="BJ798" s="17">
        <f>PRODUCT($BI$5:BI798)</f>
        <v>0.20274654467839762</v>
      </c>
      <c r="BK798" s="19">
        <f>1 - Audit[[#This Row],[K-M P Value]]</f>
        <v>0.79725345532160241</v>
      </c>
      <c r="BL798" s="17" t="str">
        <f>IF(Audit[[#This Row],[K-M P Value]]&gt;1-'General Info'!$B$12,"Continue", "Stop")</f>
        <v>Continue</v>
      </c>
      <c r="BM798" s="22" t="b">
        <f>IF(Audit[[#This Row],[Status - Continue or stop audit]] = "Continue", TRUE, IF(BL797 = "Continue", TRUE, FALSE))</f>
        <v>1</v>
      </c>
      <c r="BN798" s="22"/>
    </row>
    <row r="799" spans="1:66" ht="15" hidden="1" customHeight="1" x14ac:dyDescent="0.35">
      <c r="A799" s="17" t="str">
        <f>'Sampling Data'!AI799</f>
        <v/>
      </c>
      <c r="B799" s="17" t="str">
        <f>'Sampling Data'!A799</f>
        <v>3504 IND HLL D   (ED)</v>
      </c>
      <c r="C799" s="17">
        <f>'Sampling Data'!B799</f>
        <v>91</v>
      </c>
      <c r="D799" s="17">
        <f>'Sampling Data'!C799</f>
        <v>215</v>
      </c>
      <c r="E799" s="18">
        <f>'Sampling Data'!D799</f>
        <v>0</v>
      </c>
      <c r="F799" s="18">
        <f>'Sampling Data'!E799</f>
        <v>0</v>
      </c>
      <c r="G799" s="18">
        <f>'Sampling Data'!F799</f>
        <v>0</v>
      </c>
      <c r="H799" s="18">
        <f>'Sampling Data'!G799</f>
        <v>0</v>
      </c>
      <c r="I799" s="18">
        <f>'Sampling Data'!H799</f>
        <v>0</v>
      </c>
      <c r="J799" s="18">
        <f>'Sampling Data'!I799</f>
        <v>0</v>
      </c>
      <c r="K799" s="18">
        <f>'Sampling Data'!J799</f>
        <v>0</v>
      </c>
      <c r="L799" s="18">
        <f>'Sampling Data'!K799</f>
        <v>0</v>
      </c>
      <c r="M799" s="18">
        <f>'Sampling Data'!L799</f>
        <v>0</v>
      </c>
      <c r="N799" s="18">
        <f>'Sampling Data'!M799</f>
        <v>0</v>
      </c>
      <c r="O799" s="17">
        <f>'Sampling Data'!N799</f>
        <v>0</v>
      </c>
      <c r="P799" s="17">
        <f>'Sampling Data'!O799</f>
        <v>16</v>
      </c>
      <c r="Q799" s="17">
        <f>'Sampling Data'!P799</f>
        <v>322</v>
      </c>
      <c r="R799" s="17">
        <f>'Sampling Data'!AJ799</f>
        <v>0</v>
      </c>
      <c r="S799" s="111"/>
      <c r="T799" s="111"/>
      <c r="U799" s="112"/>
      <c r="V799" s="112"/>
      <c r="W799" s="111"/>
      <c r="X799" s="111"/>
      <c r="Y799" s="111"/>
      <c r="Z799" s="111"/>
      <c r="AA799" s="14"/>
      <c r="AB799" s="14"/>
      <c r="AC799" s="14"/>
      <c r="AD799" s="14"/>
      <c r="AE799" s="113" t="str">
        <f>IF(NOT(ISBLANK(Audit[[#This Row],[Audit Winning Candidate]])), Audit[[#This Row],[Audit Winning Candidate]]-Audit[[#This Row],[Winning Candidate]], "")</f>
        <v/>
      </c>
      <c r="AF799" s="17" t="str">
        <f>IF(NOT(ISBLANK(Audit[[#This Row],[Audit Losing Candidate]])), Audit[[#This Row],[Audit Losing Candidate]]-Audit[[#This Row],[Losing Candidate]], "")</f>
        <v/>
      </c>
      <c r="AG799" s="17" t="str">
        <f>IF(NOT(ISBLANK(Audit[[#This Row],[Audit Candidate 3]])), Audit[[#This Row],[Audit Candidate 3]]-Audit[[#This Row],[Candidate 3]], "")</f>
        <v/>
      </c>
      <c r="AH799" s="17" t="str">
        <f>IF(NOT(ISBLANK(Audit[[#This Row],[Audit Candidate 4]])),Audit[[#This Row],[Audit Candidate 4]]-Audit[[#This Row],[Candidate 4]], "")</f>
        <v/>
      </c>
      <c r="AI799" s="17" t="str">
        <f>IF(NOT(ISBLANK(Audit[[#This Row],[Audit Candidate 5]])), Audit[[#This Row],[Audit Candidate 5]]-Audit[[#This Row],[Candidate 5]], "")</f>
        <v/>
      </c>
      <c r="AJ799" s="17" t="str">
        <f>IF(NOT(ISBLANK(Audit[[#This Row],[Audit Candidate 6]])), Audit[[#This Row],[Audit Candidate 6]]-Audit[[#This Row],[Candidate 6]], "")</f>
        <v/>
      </c>
      <c r="AK799" s="17" t="str">
        <f>IF(NOT(ISBLANK(Audit[[#This Row],[Audit Candidate 7]])), Audit[[#This Row],[Audit Candidate 7]]-Audit[[#This Row],[Candidate 7]], "")</f>
        <v/>
      </c>
      <c r="AL799" s="17" t="str">
        <f>IF(NOT(ISBLANK(Audit[[#This Row],[Audit Candidate 8]])), Audit[[#This Row],[Audit Candidate 8]]-Audit[[#This Row],[Candidate 8]], "")</f>
        <v/>
      </c>
      <c r="AM799" s="17" t="str">
        <f>IF(NOT(ISBLANK(Audit[[#This Row],[Audit Candidate 9]])), Audit[[#This Row],[Audit Candidate 9]]-Audit[[#This Row],[Candidate 9]], "")</f>
        <v/>
      </c>
      <c r="AN799" s="17" t="str">
        <f>IF(NOT(ISBLANK(Audit[[#This Row],[Audit Candidate 10]])), Audit[[#This Row],[Audit Candidate 10]]-Audit[[#This Row],[Candidate 10]], "")</f>
        <v/>
      </c>
      <c r="AO799" s="17" t="str">
        <f>IF(NOT(ISBLANK(Audit[[#This Row],[Audit Candidate 11]])), Audit[[#This Row],[Audit Candidate 11]]-Audit[[#This Row],[Candidate 11]], "")</f>
        <v/>
      </c>
      <c r="AP799" s="17" t="str">
        <f>IF(NOT(ISBLANK(Audit[[#This Row],[Audit Candidate 12]])), Audit[[#This Row],[Audit Candidate 12]]-Audit[[#This Row],[Candidate 12]], "")</f>
        <v/>
      </c>
      <c r="AQ799" s="17">
        <f>SUMIF(Audit[[#This Row],[Difference Winner]:[Difference Candidate 12]], "&gt;0")</f>
        <v>0</v>
      </c>
      <c r="AR799" s="17">
        <f>SUM(Audit[[#This Row],[Difference Winner]:[Difference Candidate 12]])</f>
        <v>0</v>
      </c>
      <c r="AS799" s="17">
        <f>IF(Audit[[#This Row],[Times p Drawn - With Replacement]]&gt;0, IF(Audit[[#This Row],[Canceled Differences]]&lt;0, Audit[[#This Row],[Max Differences]]+ABS(Audit[[#This Row],[Canceled Differences]]), Audit[[#This Row],[Max Differences]]), 0)</f>
        <v>0</v>
      </c>
      <c r="AT799" s="17">
        <f>'Sampling Data'!AB799</f>
        <v>8.4026481072822946E-3</v>
      </c>
      <c r="AU799" s="17">
        <f>IF(
      SUM(Audit[[#This Row],[Audit Losing Candidate]:[Audit Candidate 12]])
      &lt;&gt;0,
      (Audit[[#This Row],[Winning Candidate]]-Audit[[#This Row],[Losing Candidate]]-(Audit[[#This Row],[Audit Winning Candidate]]-Audit[[#This Row],[Audit Losing Candidate]]))/(Audit[[#Totals],[Winning Candidate]]-Audit[[#Totals],[Losing Candidate]]),
      0
)</f>
        <v>0</v>
      </c>
      <c r="AV7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9" s="17">
        <f>IF(Audit[[#This Row],[Max Relative Error (ep)]] = 0, 0, Audit[[#This Row],[Max Relative Error (ep)]]/Audit[[#This Row],[Error Bound (up) - Max. possible relative overstatement]])</f>
        <v>0</v>
      </c>
      <c r="BH7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799" s="17">
        <f t="shared" si="13"/>
        <v>1</v>
      </c>
      <c r="BJ799" s="17">
        <f>PRODUCT($BI$5:BI799)</f>
        <v>0.20274654467839762</v>
      </c>
      <c r="BK799" s="19">
        <f>1 - Audit[[#This Row],[K-M P Value]]</f>
        <v>0.79725345532160241</v>
      </c>
      <c r="BL799" s="17" t="str">
        <f>IF(Audit[[#This Row],[K-M P Value]]&gt;1-'General Info'!$B$12,"Continue", "Stop")</f>
        <v>Continue</v>
      </c>
      <c r="BM799" s="22" t="b">
        <f>IF(Audit[[#This Row],[Status - Continue or stop audit]] = "Continue", TRUE, IF(BL798 = "Continue", TRUE, FALSE))</f>
        <v>1</v>
      </c>
      <c r="BN799" s="22"/>
    </row>
    <row r="800" spans="1:66" ht="15" hidden="1" customHeight="1" x14ac:dyDescent="0.35">
      <c r="A800" s="17" t="str">
        <f>'Sampling Data'!AI800</f>
        <v/>
      </c>
      <c r="B800" s="17" t="str">
        <f>'Sampling Data'!A800</f>
        <v>3505 IND HLL E   (ED)</v>
      </c>
      <c r="C800" s="17">
        <f>'Sampling Data'!B800</f>
        <v>125</v>
      </c>
      <c r="D800" s="17">
        <f>'Sampling Data'!C800</f>
        <v>316</v>
      </c>
      <c r="E800" s="18">
        <f>'Sampling Data'!D800</f>
        <v>0</v>
      </c>
      <c r="F800" s="18">
        <f>'Sampling Data'!E800</f>
        <v>0</v>
      </c>
      <c r="G800" s="18">
        <f>'Sampling Data'!F800</f>
        <v>0</v>
      </c>
      <c r="H800" s="18">
        <f>'Sampling Data'!G800</f>
        <v>0</v>
      </c>
      <c r="I800" s="18">
        <f>'Sampling Data'!H800</f>
        <v>0</v>
      </c>
      <c r="J800" s="18">
        <f>'Sampling Data'!I800</f>
        <v>0</v>
      </c>
      <c r="K800" s="18">
        <f>'Sampling Data'!J800</f>
        <v>0</v>
      </c>
      <c r="L800" s="18">
        <f>'Sampling Data'!K800</f>
        <v>0</v>
      </c>
      <c r="M800" s="18">
        <f>'Sampling Data'!L800</f>
        <v>0</v>
      </c>
      <c r="N800" s="18">
        <f>'Sampling Data'!M800</f>
        <v>0</v>
      </c>
      <c r="O800" s="17">
        <f>'Sampling Data'!N800</f>
        <v>0</v>
      </c>
      <c r="P800" s="17">
        <f>'Sampling Data'!O800</f>
        <v>31</v>
      </c>
      <c r="Q800" s="17">
        <f>'Sampling Data'!P800</f>
        <v>472</v>
      </c>
      <c r="R800" s="17">
        <f>'Sampling Data'!AJ800</f>
        <v>0</v>
      </c>
      <c r="S800" s="111"/>
      <c r="T800" s="111"/>
      <c r="U800" s="112"/>
      <c r="V800" s="112"/>
      <c r="W800" s="111"/>
      <c r="X800" s="111"/>
      <c r="Y800" s="111"/>
      <c r="Z800" s="111"/>
      <c r="AA800" s="14"/>
      <c r="AB800" s="14"/>
      <c r="AC800" s="14"/>
      <c r="AD800" s="14"/>
      <c r="AE800" s="113" t="str">
        <f>IF(NOT(ISBLANK(Audit[[#This Row],[Audit Winning Candidate]])), Audit[[#This Row],[Audit Winning Candidate]]-Audit[[#This Row],[Winning Candidate]], "")</f>
        <v/>
      </c>
      <c r="AF800" s="17" t="str">
        <f>IF(NOT(ISBLANK(Audit[[#This Row],[Audit Losing Candidate]])), Audit[[#This Row],[Audit Losing Candidate]]-Audit[[#This Row],[Losing Candidate]], "")</f>
        <v/>
      </c>
      <c r="AG800" s="17" t="str">
        <f>IF(NOT(ISBLANK(Audit[[#This Row],[Audit Candidate 3]])), Audit[[#This Row],[Audit Candidate 3]]-Audit[[#This Row],[Candidate 3]], "")</f>
        <v/>
      </c>
      <c r="AH800" s="17" t="str">
        <f>IF(NOT(ISBLANK(Audit[[#This Row],[Audit Candidate 4]])),Audit[[#This Row],[Audit Candidate 4]]-Audit[[#This Row],[Candidate 4]], "")</f>
        <v/>
      </c>
      <c r="AI800" s="17" t="str">
        <f>IF(NOT(ISBLANK(Audit[[#This Row],[Audit Candidate 5]])), Audit[[#This Row],[Audit Candidate 5]]-Audit[[#This Row],[Candidate 5]], "")</f>
        <v/>
      </c>
      <c r="AJ800" s="17" t="str">
        <f>IF(NOT(ISBLANK(Audit[[#This Row],[Audit Candidate 6]])), Audit[[#This Row],[Audit Candidate 6]]-Audit[[#This Row],[Candidate 6]], "")</f>
        <v/>
      </c>
      <c r="AK800" s="17" t="str">
        <f>IF(NOT(ISBLANK(Audit[[#This Row],[Audit Candidate 7]])), Audit[[#This Row],[Audit Candidate 7]]-Audit[[#This Row],[Candidate 7]], "")</f>
        <v/>
      </c>
      <c r="AL800" s="17" t="str">
        <f>IF(NOT(ISBLANK(Audit[[#This Row],[Audit Candidate 8]])), Audit[[#This Row],[Audit Candidate 8]]-Audit[[#This Row],[Candidate 8]], "")</f>
        <v/>
      </c>
      <c r="AM800" s="17" t="str">
        <f>IF(NOT(ISBLANK(Audit[[#This Row],[Audit Candidate 9]])), Audit[[#This Row],[Audit Candidate 9]]-Audit[[#This Row],[Candidate 9]], "")</f>
        <v/>
      </c>
      <c r="AN800" s="17" t="str">
        <f>IF(NOT(ISBLANK(Audit[[#This Row],[Audit Candidate 10]])), Audit[[#This Row],[Audit Candidate 10]]-Audit[[#This Row],[Candidate 10]], "")</f>
        <v/>
      </c>
      <c r="AO800" s="17" t="str">
        <f>IF(NOT(ISBLANK(Audit[[#This Row],[Audit Candidate 11]])), Audit[[#This Row],[Audit Candidate 11]]-Audit[[#This Row],[Candidate 11]], "")</f>
        <v/>
      </c>
      <c r="AP800" s="17" t="str">
        <f>IF(NOT(ISBLANK(Audit[[#This Row],[Audit Candidate 12]])), Audit[[#This Row],[Audit Candidate 12]]-Audit[[#This Row],[Candidate 12]], "")</f>
        <v/>
      </c>
      <c r="AQ800" s="17">
        <f>SUMIF(Audit[[#This Row],[Difference Winner]:[Difference Candidate 12]], "&gt;0")</f>
        <v>0</v>
      </c>
      <c r="AR800" s="17">
        <f>SUM(Audit[[#This Row],[Difference Winner]:[Difference Candidate 12]])</f>
        <v>0</v>
      </c>
      <c r="AS800" s="17">
        <f>IF(Audit[[#This Row],[Times p Drawn - With Replacement]]&gt;0, IF(Audit[[#This Row],[Canceled Differences]]&lt;0, Audit[[#This Row],[Max Differences]]+ABS(Audit[[#This Row],[Canceled Differences]]), Audit[[#This Row],[Max Differences]]), 0)</f>
        <v>0</v>
      </c>
      <c r="AT800" s="17">
        <f>'Sampling Data'!AB800</f>
        <v>1.1924970293668308E-2</v>
      </c>
      <c r="AU800" s="17">
        <f>IF(
      SUM(Audit[[#This Row],[Audit Losing Candidate]:[Audit Candidate 12]])
      &lt;&gt;0,
      (Audit[[#This Row],[Winning Candidate]]-Audit[[#This Row],[Losing Candidate]]-(Audit[[#This Row],[Audit Winning Candidate]]-Audit[[#This Row],[Audit Losing Candidate]]))/(Audit[[#Totals],[Winning Candidate]]-Audit[[#Totals],[Losing Candidate]]),
      0
)</f>
        <v>0</v>
      </c>
      <c r="AV8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0" s="17">
        <f>IF(Audit[[#This Row],[Max Relative Error (ep)]] = 0, 0, Audit[[#This Row],[Max Relative Error (ep)]]/Audit[[#This Row],[Error Bound (up) - Max. possible relative overstatement]])</f>
        <v>0</v>
      </c>
      <c r="BH8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00" s="17">
        <f t="shared" si="13"/>
        <v>1</v>
      </c>
      <c r="BJ800" s="17">
        <f>PRODUCT($BI$5:BI800)</f>
        <v>0.20274654467839762</v>
      </c>
      <c r="BK800" s="19">
        <f>1 - Audit[[#This Row],[K-M P Value]]</f>
        <v>0.79725345532160241</v>
      </c>
      <c r="BL800" s="17" t="str">
        <f>IF(Audit[[#This Row],[K-M P Value]]&gt;1-'General Info'!$B$12,"Continue", "Stop")</f>
        <v>Continue</v>
      </c>
      <c r="BM800" s="22" t="b">
        <f>IF(Audit[[#This Row],[Status - Continue or stop audit]] = "Continue", TRUE, IF(BL799 = "Continue", TRUE, FALSE))</f>
        <v>1</v>
      </c>
      <c r="BN800" s="22"/>
    </row>
    <row r="801" spans="1:66" ht="15" hidden="1" customHeight="1" x14ac:dyDescent="0.35">
      <c r="A801" s="17" t="str">
        <f>'Sampling Data'!AI801</f>
        <v/>
      </c>
      <c r="B801" s="17" t="str">
        <f>'Sampling Data'!A801</f>
        <v>3506 IND HLL F   (ED)</v>
      </c>
      <c r="C801" s="17">
        <f>'Sampling Data'!B801</f>
        <v>72</v>
      </c>
      <c r="D801" s="17">
        <f>'Sampling Data'!C801</f>
        <v>201</v>
      </c>
      <c r="E801" s="18">
        <f>'Sampling Data'!D801</f>
        <v>0</v>
      </c>
      <c r="F801" s="18">
        <f>'Sampling Data'!E801</f>
        <v>0</v>
      </c>
      <c r="G801" s="18">
        <f>'Sampling Data'!F801</f>
        <v>0</v>
      </c>
      <c r="H801" s="18">
        <f>'Sampling Data'!G801</f>
        <v>0</v>
      </c>
      <c r="I801" s="18">
        <f>'Sampling Data'!H801</f>
        <v>0</v>
      </c>
      <c r="J801" s="18">
        <f>'Sampling Data'!I801</f>
        <v>0</v>
      </c>
      <c r="K801" s="18">
        <f>'Sampling Data'!J801</f>
        <v>0</v>
      </c>
      <c r="L801" s="18">
        <f>'Sampling Data'!K801</f>
        <v>0</v>
      </c>
      <c r="M801" s="18">
        <f>'Sampling Data'!L801</f>
        <v>0</v>
      </c>
      <c r="N801" s="18">
        <f>'Sampling Data'!M801</f>
        <v>0</v>
      </c>
      <c r="O801" s="17">
        <f>'Sampling Data'!N801</f>
        <v>0</v>
      </c>
      <c r="P801" s="17">
        <f>'Sampling Data'!O801</f>
        <v>7</v>
      </c>
      <c r="Q801" s="17">
        <f>'Sampling Data'!P801</f>
        <v>280</v>
      </c>
      <c r="R801" s="17">
        <f>'Sampling Data'!AJ801</f>
        <v>0</v>
      </c>
      <c r="S801" s="111"/>
      <c r="T801" s="111"/>
      <c r="U801" s="112"/>
      <c r="V801" s="112"/>
      <c r="W801" s="111"/>
      <c r="X801" s="111"/>
      <c r="Y801" s="111"/>
      <c r="Z801" s="111"/>
      <c r="AA801" s="14"/>
      <c r="AB801" s="14"/>
      <c r="AC801" s="14"/>
      <c r="AD801" s="14"/>
      <c r="AE801" s="113" t="str">
        <f>IF(NOT(ISBLANK(Audit[[#This Row],[Audit Winning Candidate]])), Audit[[#This Row],[Audit Winning Candidate]]-Audit[[#This Row],[Winning Candidate]], "")</f>
        <v/>
      </c>
      <c r="AF801" s="17" t="str">
        <f>IF(NOT(ISBLANK(Audit[[#This Row],[Audit Losing Candidate]])), Audit[[#This Row],[Audit Losing Candidate]]-Audit[[#This Row],[Losing Candidate]], "")</f>
        <v/>
      </c>
      <c r="AG801" s="17" t="str">
        <f>IF(NOT(ISBLANK(Audit[[#This Row],[Audit Candidate 3]])), Audit[[#This Row],[Audit Candidate 3]]-Audit[[#This Row],[Candidate 3]], "")</f>
        <v/>
      </c>
      <c r="AH801" s="17" t="str">
        <f>IF(NOT(ISBLANK(Audit[[#This Row],[Audit Candidate 4]])),Audit[[#This Row],[Audit Candidate 4]]-Audit[[#This Row],[Candidate 4]], "")</f>
        <v/>
      </c>
      <c r="AI801" s="17" t="str">
        <f>IF(NOT(ISBLANK(Audit[[#This Row],[Audit Candidate 5]])), Audit[[#This Row],[Audit Candidate 5]]-Audit[[#This Row],[Candidate 5]], "")</f>
        <v/>
      </c>
      <c r="AJ801" s="17" t="str">
        <f>IF(NOT(ISBLANK(Audit[[#This Row],[Audit Candidate 6]])), Audit[[#This Row],[Audit Candidate 6]]-Audit[[#This Row],[Candidate 6]], "")</f>
        <v/>
      </c>
      <c r="AK801" s="17" t="str">
        <f>IF(NOT(ISBLANK(Audit[[#This Row],[Audit Candidate 7]])), Audit[[#This Row],[Audit Candidate 7]]-Audit[[#This Row],[Candidate 7]], "")</f>
        <v/>
      </c>
      <c r="AL801" s="17" t="str">
        <f>IF(NOT(ISBLANK(Audit[[#This Row],[Audit Candidate 8]])), Audit[[#This Row],[Audit Candidate 8]]-Audit[[#This Row],[Candidate 8]], "")</f>
        <v/>
      </c>
      <c r="AM801" s="17" t="str">
        <f>IF(NOT(ISBLANK(Audit[[#This Row],[Audit Candidate 9]])), Audit[[#This Row],[Audit Candidate 9]]-Audit[[#This Row],[Candidate 9]], "")</f>
        <v/>
      </c>
      <c r="AN801" s="17" t="str">
        <f>IF(NOT(ISBLANK(Audit[[#This Row],[Audit Candidate 10]])), Audit[[#This Row],[Audit Candidate 10]]-Audit[[#This Row],[Candidate 10]], "")</f>
        <v/>
      </c>
      <c r="AO801" s="17" t="str">
        <f>IF(NOT(ISBLANK(Audit[[#This Row],[Audit Candidate 11]])), Audit[[#This Row],[Audit Candidate 11]]-Audit[[#This Row],[Candidate 11]], "")</f>
        <v/>
      </c>
      <c r="AP801" s="17" t="str">
        <f>IF(NOT(ISBLANK(Audit[[#This Row],[Audit Candidate 12]])), Audit[[#This Row],[Audit Candidate 12]]-Audit[[#This Row],[Candidate 12]], "")</f>
        <v/>
      </c>
      <c r="AQ801" s="17">
        <f>SUMIF(Audit[[#This Row],[Difference Winner]:[Difference Candidate 12]], "&gt;0")</f>
        <v>0</v>
      </c>
      <c r="AR801" s="17">
        <f>SUM(Audit[[#This Row],[Difference Winner]:[Difference Candidate 12]])</f>
        <v>0</v>
      </c>
      <c r="AS801" s="17">
        <f>IF(Audit[[#This Row],[Times p Drawn - With Replacement]]&gt;0, IF(Audit[[#This Row],[Canceled Differences]]&lt;0, Audit[[#This Row],[Max Differences]]+ABS(Audit[[#This Row],[Canceled Differences]]), Audit[[#This Row],[Max Differences]]), 0)</f>
        <v>0</v>
      </c>
      <c r="AT801" s="17">
        <f>'Sampling Data'!AB801</f>
        <v>6.4080801222203363E-3</v>
      </c>
      <c r="AU801" s="17">
        <f>IF(
      SUM(Audit[[#This Row],[Audit Losing Candidate]:[Audit Candidate 12]])
      &lt;&gt;0,
      (Audit[[#This Row],[Winning Candidate]]-Audit[[#This Row],[Losing Candidate]]-(Audit[[#This Row],[Audit Winning Candidate]]-Audit[[#This Row],[Audit Losing Candidate]]))/(Audit[[#Totals],[Winning Candidate]]-Audit[[#Totals],[Losing Candidate]]),
      0
)</f>
        <v>0</v>
      </c>
      <c r="AV8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1" s="17">
        <f>IF(Audit[[#This Row],[Max Relative Error (ep)]] = 0, 0, Audit[[#This Row],[Max Relative Error (ep)]]/Audit[[#This Row],[Error Bound (up) - Max. possible relative overstatement]])</f>
        <v>0</v>
      </c>
      <c r="BH8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01" s="17">
        <f t="shared" si="13"/>
        <v>1</v>
      </c>
      <c r="BJ801" s="17">
        <f>PRODUCT($BI$5:BI801)</f>
        <v>0.20274654467839762</v>
      </c>
      <c r="BK801" s="19">
        <f>1 - Audit[[#This Row],[K-M P Value]]</f>
        <v>0.79725345532160241</v>
      </c>
      <c r="BL801" s="17" t="str">
        <f>IF(Audit[[#This Row],[K-M P Value]]&gt;1-'General Info'!$B$12,"Continue", "Stop")</f>
        <v>Continue</v>
      </c>
      <c r="BM801" s="22" t="b">
        <f>IF(Audit[[#This Row],[Status - Continue or stop audit]] = "Continue", TRUE, IF(BL800 = "Continue", TRUE, FALSE))</f>
        <v>1</v>
      </c>
      <c r="BN801" s="22"/>
    </row>
    <row r="802" spans="1:66" ht="15" hidden="1" customHeight="1" x14ac:dyDescent="0.35">
      <c r="A802" s="17" t="str">
        <f>'Sampling Data'!AI802</f>
        <v/>
      </c>
      <c r="B802" s="17" t="str">
        <f>'Sampling Data'!A802</f>
        <v>3701 LOVE A   (ED)</v>
      </c>
      <c r="C802" s="17">
        <f>'Sampling Data'!B802</f>
        <v>105</v>
      </c>
      <c r="D802" s="17">
        <f>'Sampling Data'!C802</f>
        <v>214</v>
      </c>
      <c r="E802" s="18">
        <f>'Sampling Data'!D802</f>
        <v>0</v>
      </c>
      <c r="F802" s="18">
        <f>'Sampling Data'!E802</f>
        <v>0</v>
      </c>
      <c r="G802" s="18">
        <f>'Sampling Data'!F802</f>
        <v>0</v>
      </c>
      <c r="H802" s="18">
        <f>'Sampling Data'!G802</f>
        <v>0</v>
      </c>
      <c r="I802" s="18">
        <f>'Sampling Data'!H802</f>
        <v>0</v>
      </c>
      <c r="J802" s="18">
        <f>'Sampling Data'!I802</f>
        <v>0</v>
      </c>
      <c r="K802" s="18">
        <f>'Sampling Data'!J802</f>
        <v>0</v>
      </c>
      <c r="L802" s="18">
        <f>'Sampling Data'!K802</f>
        <v>0</v>
      </c>
      <c r="M802" s="18">
        <f>'Sampling Data'!L802</f>
        <v>0</v>
      </c>
      <c r="N802" s="18">
        <f>'Sampling Data'!M802</f>
        <v>0</v>
      </c>
      <c r="O802" s="17">
        <f>'Sampling Data'!N802</f>
        <v>0</v>
      </c>
      <c r="P802" s="17">
        <f>'Sampling Data'!O802</f>
        <v>24</v>
      </c>
      <c r="Q802" s="17">
        <f>'Sampling Data'!P802</f>
        <v>343</v>
      </c>
      <c r="R802" s="17">
        <f>'Sampling Data'!AJ802</f>
        <v>0</v>
      </c>
      <c r="S802" s="111"/>
      <c r="T802" s="111"/>
      <c r="U802" s="112"/>
      <c r="V802" s="112"/>
      <c r="W802" s="111"/>
      <c r="X802" s="111"/>
      <c r="Y802" s="111"/>
      <c r="Z802" s="111"/>
      <c r="AA802" s="14"/>
      <c r="AB802" s="14"/>
      <c r="AC802" s="14"/>
      <c r="AD802" s="14"/>
      <c r="AE802" s="113" t="str">
        <f>IF(NOT(ISBLANK(Audit[[#This Row],[Audit Winning Candidate]])), Audit[[#This Row],[Audit Winning Candidate]]-Audit[[#This Row],[Winning Candidate]], "")</f>
        <v/>
      </c>
      <c r="AF802" s="17" t="str">
        <f>IF(NOT(ISBLANK(Audit[[#This Row],[Audit Losing Candidate]])), Audit[[#This Row],[Audit Losing Candidate]]-Audit[[#This Row],[Losing Candidate]], "")</f>
        <v/>
      </c>
      <c r="AG802" s="17" t="str">
        <f>IF(NOT(ISBLANK(Audit[[#This Row],[Audit Candidate 3]])), Audit[[#This Row],[Audit Candidate 3]]-Audit[[#This Row],[Candidate 3]], "")</f>
        <v/>
      </c>
      <c r="AH802" s="17" t="str">
        <f>IF(NOT(ISBLANK(Audit[[#This Row],[Audit Candidate 4]])),Audit[[#This Row],[Audit Candidate 4]]-Audit[[#This Row],[Candidate 4]], "")</f>
        <v/>
      </c>
      <c r="AI802" s="17" t="str">
        <f>IF(NOT(ISBLANK(Audit[[#This Row],[Audit Candidate 5]])), Audit[[#This Row],[Audit Candidate 5]]-Audit[[#This Row],[Candidate 5]], "")</f>
        <v/>
      </c>
      <c r="AJ802" s="17" t="str">
        <f>IF(NOT(ISBLANK(Audit[[#This Row],[Audit Candidate 6]])), Audit[[#This Row],[Audit Candidate 6]]-Audit[[#This Row],[Candidate 6]], "")</f>
        <v/>
      </c>
      <c r="AK802" s="17" t="str">
        <f>IF(NOT(ISBLANK(Audit[[#This Row],[Audit Candidate 7]])), Audit[[#This Row],[Audit Candidate 7]]-Audit[[#This Row],[Candidate 7]], "")</f>
        <v/>
      </c>
      <c r="AL802" s="17" t="str">
        <f>IF(NOT(ISBLANK(Audit[[#This Row],[Audit Candidate 8]])), Audit[[#This Row],[Audit Candidate 8]]-Audit[[#This Row],[Candidate 8]], "")</f>
        <v/>
      </c>
      <c r="AM802" s="17" t="str">
        <f>IF(NOT(ISBLANK(Audit[[#This Row],[Audit Candidate 9]])), Audit[[#This Row],[Audit Candidate 9]]-Audit[[#This Row],[Candidate 9]], "")</f>
        <v/>
      </c>
      <c r="AN802" s="17" t="str">
        <f>IF(NOT(ISBLANK(Audit[[#This Row],[Audit Candidate 10]])), Audit[[#This Row],[Audit Candidate 10]]-Audit[[#This Row],[Candidate 10]], "")</f>
        <v/>
      </c>
      <c r="AO802" s="17" t="str">
        <f>IF(NOT(ISBLANK(Audit[[#This Row],[Audit Candidate 11]])), Audit[[#This Row],[Audit Candidate 11]]-Audit[[#This Row],[Candidate 11]], "")</f>
        <v/>
      </c>
      <c r="AP802" s="17" t="str">
        <f>IF(NOT(ISBLANK(Audit[[#This Row],[Audit Candidate 12]])), Audit[[#This Row],[Audit Candidate 12]]-Audit[[#This Row],[Candidate 12]], "")</f>
        <v/>
      </c>
      <c r="AQ802" s="17">
        <f>SUMIF(Audit[[#This Row],[Difference Winner]:[Difference Candidate 12]], "&gt;0")</f>
        <v>0</v>
      </c>
      <c r="AR802" s="17">
        <f>SUM(Audit[[#This Row],[Difference Winner]:[Difference Candidate 12]])</f>
        <v>0</v>
      </c>
      <c r="AS802" s="17">
        <f>IF(Audit[[#This Row],[Times p Drawn - With Replacement]]&gt;0, IF(Audit[[#This Row],[Canceled Differences]]&lt;0, Audit[[#This Row],[Max Differences]]+ABS(Audit[[#This Row],[Canceled Differences]]), Audit[[#This Row],[Max Differences]]), 0)</f>
        <v>0</v>
      </c>
      <c r="AT802" s="17">
        <f>'Sampling Data'!AB802</f>
        <v>9.9304023086063484E-3</v>
      </c>
      <c r="AU802" s="17">
        <f>IF(
      SUM(Audit[[#This Row],[Audit Losing Candidate]:[Audit Candidate 12]])
      &lt;&gt;0,
      (Audit[[#This Row],[Winning Candidate]]-Audit[[#This Row],[Losing Candidate]]-(Audit[[#This Row],[Audit Winning Candidate]]-Audit[[#This Row],[Audit Losing Candidate]]))/(Audit[[#Totals],[Winning Candidate]]-Audit[[#Totals],[Losing Candidate]]),
      0
)</f>
        <v>0</v>
      </c>
      <c r="AV8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2" s="17">
        <f>IF(Audit[[#This Row],[Max Relative Error (ep)]] = 0, 0, Audit[[#This Row],[Max Relative Error (ep)]]/Audit[[#This Row],[Error Bound (up) - Max. possible relative overstatement]])</f>
        <v>0</v>
      </c>
      <c r="BH8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02" s="17">
        <f t="shared" si="13"/>
        <v>1</v>
      </c>
      <c r="BJ802" s="17">
        <f>PRODUCT($BI$5:BI802)</f>
        <v>0.20274654467839762</v>
      </c>
      <c r="BK802" s="19">
        <f>1 - Audit[[#This Row],[K-M P Value]]</f>
        <v>0.79725345532160241</v>
      </c>
      <c r="BL802" s="17" t="str">
        <f>IF(Audit[[#This Row],[K-M P Value]]&gt;1-'General Info'!$B$12,"Continue", "Stop")</f>
        <v>Continue</v>
      </c>
      <c r="BM802" s="22" t="b">
        <f>IF(Audit[[#This Row],[Status - Continue or stop audit]] = "Continue", TRUE, IF(BL801 = "Continue", TRUE, FALSE))</f>
        <v>1</v>
      </c>
      <c r="BN802" s="22"/>
    </row>
    <row r="803" spans="1:66" ht="15" hidden="1" customHeight="1" x14ac:dyDescent="0.35">
      <c r="A803" s="17" t="str">
        <f>'Sampling Data'!AI803</f>
        <v/>
      </c>
      <c r="B803" s="17" t="str">
        <f>'Sampling Data'!A803</f>
        <v>3702 LOVE B   (ED)</v>
      </c>
      <c r="C803" s="17">
        <f>'Sampling Data'!B803</f>
        <v>262</v>
      </c>
      <c r="D803" s="17">
        <f>'Sampling Data'!C803</f>
        <v>409</v>
      </c>
      <c r="E803" s="18">
        <f>'Sampling Data'!D803</f>
        <v>0</v>
      </c>
      <c r="F803" s="18">
        <f>'Sampling Data'!E803</f>
        <v>0</v>
      </c>
      <c r="G803" s="18">
        <f>'Sampling Data'!F803</f>
        <v>0</v>
      </c>
      <c r="H803" s="18">
        <f>'Sampling Data'!G803</f>
        <v>0</v>
      </c>
      <c r="I803" s="18">
        <f>'Sampling Data'!H803</f>
        <v>0</v>
      </c>
      <c r="J803" s="18">
        <f>'Sampling Data'!I803</f>
        <v>0</v>
      </c>
      <c r="K803" s="18">
        <f>'Sampling Data'!J803</f>
        <v>0</v>
      </c>
      <c r="L803" s="18">
        <f>'Sampling Data'!K803</f>
        <v>0</v>
      </c>
      <c r="M803" s="18">
        <f>'Sampling Data'!L803</f>
        <v>0</v>
      </c>
      <c r="N803" s="18">
        <f>'Sampling Data'!M803</f>
        <v>0</v>
      </c>
      <c r="O803" s="17">
        <f>'Sampling Data'!N803</f>
        <v>0</v>
      </c>
      <c r="P803" s="17">
        <f>'Sampling Data'!O803</f>
        <v>67</v>
      </c>
      <c r="Q803" s="17">
        <f>'Sampling Data'!P803</f>
        <v>738</v>
      </c>
      <c r="R803" s="17">
        <f>'Sampling Data'!AJ803</f>
        <v>0</v>
      </c>
      <c r="S803" s="111"/>
      <c r="T803" s="111"/>
      <c r="U803" s="112"/>
      <c r="V803" s="112"/>
      <c r="W803" s="111"/>
      <c r="X803" s="111"/>
      <c r="Y803" s="111"/>
      <c r="Z803" s="111"/>
      <c r="AA803" s="14"/>
      <c r="AB803" s="14"/>
      <c r="AC803" s="14"/>
      <c r="AD803" s="14"/>
      <c r="AE803" s="113" t="str">
        <f>IF(NOT(ISBLANK(Audit[[#This Row],[Audit Winning Candidate]])), Audit[[#This Row],[Audit Winning Candidate]]-Audit[[#This Row],[Winning Candidate]], "")</f>
        <v/>
      </c>
      <c r="AF803" s="17" t="str">
        <f>IF(NOT(ISBLANK(Audit[[#This Row],[Audit Losing Candidate]])), Audit[[#This Row],[Audit Losing Candidate]]-Audit[[#This Row],[Losing Candidate]], "")</f>
        <v/>
      </c>
      <c r="AG803" s="17" t="str">
        <f>IF(NOT(ISBLANK(Audit[[#This Row],[Audit Candidate 3]])), Audit[[#This Row],[Audit Candidate 3]]-Audit[[#This Row],[Candidate 3]], "")</f>
        <v/>
      </c>
      <c r="AH803" s="17" t="str">
        <f>IF(NOT(ISBLANK(Audit[[#This Row],[Audit Candidate 4]])),Audit[[#This Row],[Audit Candidate 4]]-Audit[[#This Row],[Candidate 4]], "")</f>
        <v/>
      </c>
      <c r="AI803" s="17" t="str">
        <f>IF(NOT(ISBLANK(Audit[[#This Row],[Audit Candidate 5]])), Audit[[#This Row],[Audit Candidate 5]]-Audit[[#This Row],[Candidate 5]], "")</f>
        <v/>
      </c>
      <c r="AJ803" s="17" t="str">
        <f>IF(NOT(ISBLANK(Audit[[#This Row],[Audit Candidate 6]])), Audit[[#This Row],[Audit Candidate 6]]-Audit[[#This Row],[Candidate 6]], "")</f>
        <v/>
      </c>
      <c r="AK803" s="17" t="str">
        <f>IF(NOT(ISBLANK(Audit[[#This Row],[Audit Candidate 7]])), Audit[[#This Row],[Audit Candidate 7]]-Audit[[#This Row],[Candidate 7]], "")</f>
        <v/>
      </c>
      <c r="AL803" s="17" t="str">
        <f>IF(NOT(ISBLANK(Audit[[#This Row],[Audit Candidate 8]])), Audit[[#This Row],[Audit Candidate 8]]-Audit[[#This Row],[Candidate 8]], "")</f>
        <v/>
      </c>
      <c r="AM803" s="17" t="str">
        <f>IF(NOT(ISBLANK(Audit[[#This Row],[Audit Candidate 9]])), Audit[[#This Row],[Audit Candidate 9]]-Audit[[#This Row],[Candidate 9]], "")</f>
        <v/>
      </c>
      <c r="AN803" s="17" t="str">
        <f>IF(NOT(ISBLANK(Audit[[#This Row],[Audit Candidate 10]])), Audit[[#This Row],[Audit Candidate 10]]-Audit[[#This Row],[Candidate 10]], "")</f>
        <v/>
      </c>
      <c r="AO803" s="17" t="str">
        <f>IF(NOT(ISBLANK(Audit[[#This Row],[Audit Candidate 11]])), Audit[[#This Row],[Audit Candidate 11]]-Audit[[#This Row],[Candidate 11]], "")</f>
        <v/>
      </c>
      <c r="AP803" s="17" t="str">
        <f>IF(NOT(ISBLANK(Audit[[#This Row],[Audit Candidate 12]])), Audit[[#This Row],[Audit Candidate 12]]-Audit[[#This Row],[Candidate 12]], "")</f>
        <v/>
      </c>
      <c r="AQ803" s="17">
        <f>SUMIF(Audit[[#This Row],[Difference Winner]:[Difference Candidate 12]], "&gt;0")</f>
        <v>0</v>
      </c>
      <c r="AR803" s="17">
        <f>SUM(Audit[[#This Row],[Difference Winner]:[Difference Candidate 12]])</f>
        <v>0</v>
      </c>
      <c r="AS803" s="17">
        <f>IF(Audit[[#This Row],[Times p Drawn - With Replacement]]&gt;0, IF(Audit[[#This Row],[Canceled Differences]]&lt;0, Audit[[#This Row],[Max Differences]]+ABS(Audit[[#This Row],[Canceled Differences]]), Audit[[#This Row],[Max Differences]]), 0)</f>
        <v>0</v>
      </c>
      <c r="AT803" s="17">
        <f>'Sampling Data'!AB803</f>
        <v>2.5080631471736548E-2</v>
      </c>
      <c r="AU803" s="17">
        <f>IF(
      SUM(Audit[[#This Row],[Audit Losing Candidate]:[Audit Candidate 12]])
      &lt;&gt;0,
      (Audit[[#This Row],[Winning Candidate]]-Audit[[#This Row],[Losing Candidate]]-(Audit[[#This Row],[Audit Winning Candidate]]-Audit[[#This Row],[Audit Losing Candidate]]))/(Audit[[#Totals],[Winning Candidate]]-Audit[[#Totals],[Losing Candidate]]),
      0
)</f>
        <v>0</v>
      </c>
      <c r="AV8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3" s="17">
        <f>IF(Audit[[#This Row],[Max Relative Error (ep)]] = 0, 0, Audit[[#This Row],[Max Relative Error (ep)]]/Audit[[#This Row],[Error Bound (up) - Max. possible relative overstatement]])</f>
        <v>0</v>
      </c>
      <c r="BH8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03" s="17">
        <f t="shared" si="13"/>
        <v>1</v>
      </c>
      <c r="BJ803" s="17">
        <f>PRODUCT($BI$5:BI803)</f>
        <v>0.20274654467839762</v>
      </c>
      <c r="BK803" s="19">
        <f>1 - Audit[[#This Row],[K-M P Value]]</f>
        <v>0.79725345532160241</v>
      </c>
      <c r="BL803" s="17" t="str">
        <f>IF(Audit[[#This Row],[K-M P Value]]&gt;1-'General Info'!$B$12,"Continue", "Stop")</f>
        <v>Continue</v>
      </c>
      <c r="BM803" s="22" t="b">
        <f>IF(Audit[[#This Row],[Status - Continue or stop audit]] = "Continue", TRUE, IF(BL802 = "Continue", TRUE, FALSE))</f>
        <v>1</v>
      </c>
      <c r="BN803" s="22"/>
    </row>
    <row r="804" spans="1:66" ht="15" hidden="1" customHeight="1" x14ac:dyDescent="0.35">
      <c r="A804" s="17" t="str">
        <f>'Sampling Data'!AI804</f>
        <v/>
      </c>
      <c r="B804" s="17" t="str">
        <f>'Sampling Data'!A804</f>
        <v>3703 LOVE C   (ED)</v>
      </c>
      <c r="C804" s="17">
        <f>'Sampling Data'!B804</f>
        <v>146</v>
      </c>
      <c r="D804" s="17">
        <f>'Sampling Data'!C804</f>
        <v>249</v>
      </c>
      <c r="E804" s="18">
        <f>'Sampling Data'!D804</f>
        <v>0</v>
      </c>
      <c r="F804" s="18">
        <f>'Sampling Data'!E804</f>
        <v>0</v>
      </c>
      <c r="G804" s="18">
        <f>'Sampling Data'!F804</f>
        <v>0</v>
      </c>
      <c r="H804" s="18">
        <f>'Sampling Data'!G804</f>
        <v>0</v>
      </c>
      <c r="I804" s="18">
        <f>'Sampling Data'!H804</f>
        <v>0</v>
      </c>
      <c r="J804" s="18">
        <f>'Sampling Data'!I804</f>
        <v>0</v>
      </c>
      <c r="K804" s="18">
        <f>'Sampling Data'!J804</f>
        <v>0</v>
      </c>
      <c r="L804" s="18">
        <f>'Sampling Data'!K804</f>
        <v>0</v>
      </c>
      <c r="M804" s="18">
        <f>'Sampling Data'!L804</f>
        <v>0</v>
      </c>
      <c r="N804" s="18">
        <f>'Sampling Data'!M804</f>
        <v>0</v>
      </c>
      <c r="O804" s="17">
        <f>'Sampling Data'!N804</f>
        <v>1</v>
      </c>
      <c r="P804" s="17">
        <f>'Sampling Data'!O804</f>
        <v>38</v>
      </c>
      <c r="Q804" s="17">
        <f>'Sampling Data'!P804</f>
        <v>434</v>
      </c>
      <c r="R804" s="17">
        <f>'Sampling Data'!AJ804</f>
        <v>0</v>
      </c>
      <c r="S804" s="111"/>
      <c r="T804" s="111"/>
      <c r="U804" s="112"/>
      <c r="V804" s="112"/>
      <c r="W804" s="111"/>
      <c r="X804" s="111"/>
      <c r="Y804" s="111"/>
      <c r="Z804" s="111"/>
      <c r="AA804" s="14"/>
      <c r="AB804" s="14"/>
      <c r="AC804" s="14"/>
      <c r="AD804" s="14"/>
      <c r="AE804" s="113" t="str">
        <f>IF(NOT(ISBLANK(Audit[[#This Row],[Audit Winning Candidate]])), Audit[[#This Row],[Audit Winning Candidate]]-Audit[[#This Row],[Winning Candidate]], "")</f>
        <v/>
      </c>
      <c r="AF804" s="17" t="str">
        <f>IF(NOT(ISBLANK(Audit[[#This Row],[Audit Losing Candidate]])), Audit[[#This Row],[Audit Losing Candidate]]-Audit[[#This Row],[Losing Candidate]], "")</f>
        <v/>
      </c>
      <c r="AG804" s="17" t="str">
        <f>IF(NOT(ISBLANK(Audit[[#This Row],[Audit Candidate 3]])), Audit[[#This Row],[Audit Candidate 3]]-Audit[[#This Row],[Candidate 3]], "")</f>
        <v/>
      </c>
      <c r="AH804" s="17" t="str">
        <f>IF(NOT(ISBLANK(Audit[[#This Row],[Audit Candidate 4]])),Audit[[#This Row],[Audit Candidate 4]]-Audit[[#This Row],[Candidate 4]], "")</f>
        <v/>
      </c>
      <c r="AI804" s="17" t="str">
        <f>IF(NOT(ISBLANK(Audit[[#This Row],[Audit Candidate 5]])), Audit[[#This Row],[Audit Candidate 5]]-Audit[[#This Row],[Candidate 5]], "")</f>
        <v/>
      </c>
      <c r="AJ804" s="17" t="str">
        <f>IF(NOT(ISBLANK(Audit[[#This Row],[Audit Candidate 6]])), Audit[[#This Row],[Audit Candidate 6]]-Audit[[#This Row],[Candidate 6]], "")</f>
        <v/>
      </c>
      <c r="AK804" s="17" t="str">
        <f>IF(NOT(ISBLANK(Audit[[#This Row],[Audit Candidate 7]])), Audit[[#This Row],[Audit Candidate 7]]-Audit[[#This Row],[Candidate 7]], "")</f>
        <v/>
      </c>
      <c r="AL804" s="17" t="str">
        <f>IF(NOT(ISBLANK(Audit[[#This Row],[Audit Candidate 8]])), Audit[[#This Row],[Audit Candidate 8]]-Audit[[#This Row],[Candidate 8]], "")</f>
        <v/>
      </c>
      <c r="AM804" s="17" t="str">
        <f>IF(NOT(ISBLANK(Audit[[#This Row],[Audit Candidate 9]])), Audit[[#This Row],[Audit Candidate 9]]-Audit[[#This Row],[Candidate 9]], "")</f>
        <v/>
      </c>
      <c r="AN804" s="17" t="str">
        <f>IF(NOT(ISBLANK(Audit[[#This Row],[Audit Candidate 10]])), Audit[[#This Row],[Audit Candidate 10]]-Audit[[#This Row],[Candidate 10]], "")</f>
        <v/>
      </c>
      <c r="AO804" s="17" t="str">
        <f>IF(NOT(ISBLANK(Audit[[#This Row],[Audit Candidate 11]])), Audit[[#This Row],[Audit Candidate 11]]-Audit[[#This Row],[Candidate 11]], "")</f>
        <v/>
      </c>
      <c r="AP804" s="17" t="str">
        <f>IF(NOT(ISBLANK(Audit[[#This Row],[Audit Candidate 12]])), Audit[[#This Row],[Audit Candidate 12]]-Audit[[#This Row],[Candidate 12]], "")</f>
        <v/>
      </c>
      <c r="AQ804" s="17">
        <f>SUMIF(Audit[[#This Row],[Difference Winner]:[Difference Candidate 12]], "&gt;0")</f>
        <v>0</v>
      </c>
      <c r="AR804" s="17">
        <f>SUM(Audit[[#This Row],[Difference Winner]:[Difference Candidate 12]])</f>
        <v>0</v>
      </c>
      <c r="AS804" s="17">
        <f>IF(Audit[[#This Row],[Times p Drawn - With Replacement]]&gt;0, IF(Audit[[#This Row],[Canceled Differences]]&lt;0, Audit[[#This Row],[Max Differences]]+ABS(Audit[[#This Row],[Canceled Differences]]), Audit[[#This Row],[Max Differences]]), 0)</f>
        <v>0</v>
      </c>
      <c r="AT804" s="17">
        <f>'Sampling Data'!AB804</f>
        <v>1.4046851128840604E-2</v>
      </c>
      <c r="AU804" s="17">
        <f>IF(
      SUM(Audit[[#This Row],[Audit Losing Candidate]:[Audit Candidate 12]])
      &lt;&gt;0,
      (Audit[[#This Row],[Winning Candidate]]-Audit[[#This Row],[Losing Candidate]]-(Audit[[#This Row],[Audit Winning Candidate]]-Audit[[#This Row],[Audit Losing Candidate]]))/(Audit[[#Totals],[Winning Candidate]]-Audit[[#Totals],[Losing Candidate]]),
      0
)</f>
        <v>0</v>
      </c>
      <c r="AV8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4" s="17">
        <f>IF(Audit[[#This Row],[Max Relative Error (ep)]] = 0, 0, Audit[[#This Row],[Max Relative Error (ep)]]/Audit[[#This Row],[Error Bound (up) - Max. possible relative overstatement]])</f>
        <v>0</v>
      </c>
      <c r="BH8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04" s="17">
        <f t="shared" si="13"/>
        <v>1</v>
      </c>
      <c r="BJ804" s="17">
        <f>PRODUCT($BI$5:BI804)</f>
        <v>0.20274654467839762</v>
      </c>
      <c r="BK804" s="19">
        <f>1 - Audit[[#This Row],[K-M P Value]]</f>
        <v>0.79725345532160241</v>
      </c>
      <c r="BL804" s="17" t="str">
        <f>IF(Audit[[#This Row],[K-M P Value]]&gt;1-'General Info'!$B$12,"Continue", "Stop")</f>
        <v>Continue</v>
      </c>
      <c r="BM804" s="22" t="b">
        <f>IF(Audit[[#This Row],[Status - Continue or stop audit]] = "Continue", TRUE, IF(BL803 = "Continue", TRUE, FALSE))</f>
        <v>1</v>
      </c>
      <c r="BN804" s="22"/>
    </row>
    <row r="805" spans="1:66" ht="15" hidden="1" customHeight="1" x14ac:dyDescent="0.35">
      <c r="A805" s="17" t="str">
        <f>'Sampling Data'!AI805</f>
        <v/>
      </c>
      <c r="B805" s="17" t="str">
        <f>'Sampling Data'!A805</f>
        <v>3704 LOVE D   (ED)</v>
      </c>
      <c r="C805" s="17">
        <f>'Sampling Data'!B805</f>
        <v>159</v>
      </c>
      <c r="D805" s="17">
        <f>'Sampling Data'!C805</f>
        <v>311</v>
      </c>
      <c r="E805" s="18">
        <f>'Sampling Data'!D805</f>
        <v>0</v>
      </c>
      <c r="F805" s="18">
        <f>'Sampling Data'!E805</f>
        <v>0</v>
      </c>
      <c r="G805" s="18">
        <f>'Sampling Data'!F805</f>
        <v>0</v>
      </c>
      <c r="H805" s="18">
        <f>'Sampling Data'!G805</f>
        <v>0</v>
      </c>
      <c r="I805" s="18">
        <f>'Sampling Data'!H805</f>
        <v>0</v>
      </c>
      <c r="J805" s="18">
        <f>'Sampling Data'!I805</f>
        <v>0</v>
      </c>
      <c r="K805" s="18">
        <f>'Sampling Data'!J805</f>
        <v>0</v>
      </c>
      <c r="L805" s="18">
        <f>'Sampling Data'!K805</f>
        <v>0</v>
      </c>
      <c r="M805" s="18">
        <f>'Sampling Data'!L805</f>
        <v>0</v>
      </c>
      <c r="N805" s="18">
        <f>'Sampling Data'!M805</f>
        <v>0</v>
      </c>
      <c r="O805" s="17">
        <f>'Sampling Data'!N805</f>
        <v>0</v>
      </c>
      <c r="P805" s="17">
        <f>'Sampling Data'!O805</f>
        <v>47</v>
      </c>
      <c r="Q805" s="17">
        <f>'Sampling Data'!P805</f>
        <v>517</v>
      </c>
      <c r="R805" s="17">
        <f>'Sampling Data'!AJ805</f>
        <v>0</v>
      </c>
      <c r="S805" s="111"/>
      <c r="T805" s="111"/>
      <c r="U805" s="112"/>
      <c r="V805" s="112"/>
      <c r="W805" s="111"/>
      <c r="X805" s="111"/>
      <c r="Y805" s="111"/>
      <c r="Z805" s="111"/>
      <c r="AA805" s="14"/>
      <c r="AB805" s="14"/>
      <c r="AC805" s="14"/>
      <c r="AD805" s="14"/>
      <c r="AE805" s="113" t="str">
        <f>IF(NOT(ISBLANK(Audit[[#This Row],[Audit Winning Candidate]])), Audit[[#This Row],[Audit Winning Candidate]]-Audit[[#This Row],[Winning Candidate]], "")</f>
        <v/>
      </c>
      <c r="AF805" s="17" t="str">
        <f>IF(NOT(ISBLANK(Audit[[#This Row],[Audit Losing Candidate]])), Audit[[#This Row],[Audit Losing Candidate]]-Audit[[#This Row],[Losing Candidate]], "")</f>
        <v/>
      </c>
      <c r="AG805" s="17" t="str">
        <f>IF(NOT(ISBLANK(Audit[[#This Row],[Audit Candidate 3]])), Audit[[#This Row],[Audit Candidate 3]]-Audit[[#This Row],[Candidate 3]], "")</f>
        <v/>
      </c>
      <c r="AH805" s="17" t="str">
        <f>IF(NOT(ISBLANK(Audit[[#This Row],[Audit Candidate 4]])),Audit[[#This Row],[Audit Candidate 4]]-Audit[[#This Row],[Candidate 4]], "")</f>
        <v/>
      </c>
      <c r="AI805" s="17" t="str">
        <f>IF(NOT(ISBLANK(Audit[[#This Row],[Audit Candidate 5]])), Audit[[#This Row],[Audit Candidate 5]]-Audit[[#This Row],[Candidate 5]], "")</f>
        <v/>
      </c>
      <c r="AJ805" s="17" t="str">
        <f>IF(NOT(ISBLANK(Audit[[#This Row],[Audit Candidate 6]])), Audit[[#This Row],[Audit Candidate 6]]-Audit[[#This Row],[Candidate 6]], "")</f>
        <v/>
      </c>
      <c r="AK805" s="17" t="str">
        <f>IF(NOT(ISBLANK(Audit[[#This Row],[Audit Candidate 7]])), Audit[[#This Row],[Audit Candidate 7]]-Audit[[#This Row],[Candidate 7]], "")</f>
        <v/>
      </c>
      <c r="AL805" s="17" t="str">
        <f>IF(NOT(ISBLANK(Audit[[#This Row],[Audit Candidate 8]])), Audit[[#This Row],[Audit Candidate 8]]-Audit[[#This Row],[Candidate 8]], "")</f>
        <v/>
      </c>
      <c r="AM805" s="17" t="str">
        <f>IF(NOT(ISBLANK(Audit[[#This Row],[Audit Candidate 9]])), Audit[[#This Row],[Audit Candidate 9]]-Audit[[#This Row],[Candidate 9]], "")</f>
        <v/>
      </c>
      <c r="AN805" s="17" t="str">
        <f>IF(NOT(ISBLANK(Audit[[#This Row],[Audit Candidate 10]])), Audit[[#This Row],[Audit Candidate 10]]-Audit[[#This Row],[Candidate 10]], "")</f>
        <v/>
      </c>
      <c r="AO805" s="17" t="str">
        <f>IF(NOT(ISBLANK(Audit[[#This Row],[Audit Candidate 11]])), Audit[[#This Row],[Audit Candidate 11]]-Audit[[#This Row],[Candidate 11]], "")</f>
        <v/>
      </c>
      <c r="AP805" s="17" t="str">
        <f>IF(NOT(ISBLANK(Audit[[#This Row],[Audit Candidate 12]])), Audit[[#This Row],[Audit Candidate 12]]-Audit[[#This Row],[Candidate 12]], "")</f>
        <v/>
      </c>
      <c r="AQ805" s="17">
        <f>SUMIF(Audit[[#This Row],[Difference Winner]:[Difference Candidate 12]], "&gt;0")</f>
        <v>0</v>
      </c>
      <c r="AR805" s="17">
        <f>SUM(Audit[[#This Row],[Difference Winner]:[Difference Candidate 12]])</f>
        <v>0</v>
      </c>
      <c r="AS805" s="17">
        <f>IF(Audit[[#This Row],[Times p Drawn - With Replacement]]&gt;0, IF(Audit[[#This Row],[Canceled Differences]]&lt;0, Audit[[#This Row],[Max Differences]]+ABS(Audit[[#This Row],[Canceled Differences]]), Audit[[#This Row],[Max Differences]]), 0)</f>
        <v>0</v>
      </c>
      <c r="AT805" s="17">
        <f>'Sampling Data'!AB805</f>
        <v>1.5489730096757767E-2</v>
      </c>
      <c r="AU805" s="17">
        <f>IF(
      SUM(Audit[[#This Row],[Audit Losing Candidate]:[Audit Candidate 12]])
      &lt;&gt;0,
      (Audit[[#This Row],[Winning Candidate]]-Audit[[#This Row],[Losing Candidate]]-(Audit[[#This Row],[Audit Winning Candidate]]-Audit[[#This Row],[Audit Losing Candidate]]))/(Audit[[#Totals],[Winning Candidate]]-Audit[[#Totals],[Losing Candidate]]),
      0
)</f>
        <v>0</v>
      </c>
      <c r="AV8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5" s="17">
        <f>IF(Audit[[#This Row],[Max Relative Error (ep)]] = 0, 0, Audit[[#This Row],[Max Relative Error (ep)]]/Audit[[#This Row],[Error Bound (up) - Max. possible relative overstatement]])</f>
        <v>0</v>
      </c>
      <c r="BH8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05" s="17">
        <f t="shared" si="13"/>
        <v>1</v>
      </c>
      <c r="BJ805" s="17">
        <f>PRODUCT($BI$5:BI805)</f>
        <v>0.20274654467839762</v>
      </c>
      <c r="BK805" s="19">
        <f>1 - Audit[[#This Row],[K-M P Value]]</f>
        <v>0.79725345532160241</v>
      </c>
      <c r="BL805" s="17" t="str">
        <f>IF(Audit[[#This Row],[K-M P Value]]&gt;1-'General Info'!$B$12,"Continue", "Stop")</f>
        <v>Continue</v>
      </c>
      <c r="BM805" s="22" t="b">
        <f>IF(Audit[[#This Row],[Status - Continue or stop audit]] = "Continue", TRUE, IF(BL804 = "Continue", TRUE, FALSE))</f>
        <v>1</v>
      </c>
      <c r="BN805" s="22"/>
    </row>
    <row r="806" spans="1:66" ht="15" hidden="1" customHeight="1" x14ac:dyDescent="0.35">
      <c r="A806" s="17" t="str">
        <f>'Sampling Data'!AI806</f>
        <v/>
      </c>
      <c r="B806" s="17" t="str">
        <f>'Sampling Data'!A806</f>
        <v>3705 LOVE E   (ED)</v>
      </c>
      <c r="C806" s="17">
        <f>'Sampling Data'!B806</f>
        <v>166</v>
      </c>
      <c r="D806" s="17">
        <f>'Sampling Data'!C806</f>
        <v>302</v>
      </c>
      <c r="E806" s="18">
        <f>'Sampling Data'!D806</f>
        <v>0</v>
      </c>
      <c r="F806" s="18">
        <f>'Sampling Data'!E806</f>
        <v>0</v>
      </c>
      <c r="G806" s="18">
        <f>'Sampling Data'!F806</f>
        <v>0</v>
      </c>
      <c r="H806" s="18">
        <f>'Sampling Data'!G806</f>
        <v>0</v>
      </c>
      <c r="I806" s="18">
        <f>'Sampling Data'!H806</f>
        <v>0</v>
      </c>
      <c r="J806" s="18">
        <f>'Sampling Data'!I806</f>
        <v>0</v>
      </c>
      <c r="K806" s="18">
        <f>'Sampling Data'!J806</f>
        <v>0</v>
      </c>
      <c r="L806" s="18">
        <f>'Sampling Data'!K806</f>
        <v>0</v>
      </c>
      <c r="M806" s="18">
        <f>'Sampling Data'!L806</f>
        <v>0</v>
      </c>
      <c r="N806" s="18">
        <f>'Sampling Data'!M806</f>
        <v>0</v>
      </c>
      <c r="O806" s="17">
        <f>'Sampling Data'!N806</f>
        <v>0</v>
      </c>
      <c r="P806" s="17">
        <f>'Sampling Data'!O806</f>
        <v>65</v>
      </c>
      <c r="Q806" s="17">
        <f>'Sampling Data'!P806</f>
        <v>533</v>
      </c>
      <c r="R806" s="17">
        <f>'Sampling Data'!AJ806</f>
        <v>0</v>
      </c>
      <c r="S806" s="111"/>
      <c r="T806" s="111"/>
      <c r="U806" s="112"/>
      <c r="V806" s="112"/>
      <c r="W806" s="111"/>
      <c r="X806" s="111"/>
      <c r="Y806" s="111"/>
      <c r="Z806" s="111"/>
      <c r="AA806" s="14"/>
      <c r="AB806" s="14"/>
      <c r="AC806" s="14"/>
      <c r="AD806" s="14"/>
      <c r="AE806" s="113" t="str">
        <f>IF(NOT(ISBLANK(Audit[[#This Row],[Audit Winning Candidate]])), Audit[[#This Row],[Audit Winning Candidate]]-Audit[[#This Row],[Winning Candidate]], "")</f>
        <v/>
      </c>
      <c r="AF806" s="17" t="str">
        <f>IF(NOT(ISBLANK(Audit[[#This Row],[Audit Losing Candidate]])), Audit[[#This Row],[Audit Losing Candidate]]-Audit[[#This Row],[Losing Candidate]], "")</f>
        <v/>
      </c>
      <c r="AG806" s="17" t="str">
        <f>IF(NOT(ISBLANK(Audit[[#This Row],[Audit Candidate 3]])), Audit[[#This Row],[Audit Candidate 3]]-Audit[[#This Row],[Candidate 3]], "")</f>
        <v/>
      </c>
      <c r="AH806" s="17" t="str">
        <f>IF(NOT(ISBLANK(Audit[[#This Row],[Audit Candidate 4]])),Audit[[#This Row],[Audit Candidate 4]]-Audit[[#This Row],[Candidate 4]], "")</f>
        <v/>
      </c>
      <c r="AI806" s="17" t="str">
        <f>IF(NOT(ISBLANK(Audit[[#This Row],[Audit Candidate 5]])), Audit[[#This Row],[Audit Candidate 5]]-Audit[[#This Row],[Candidate 5]], "")</f>
        <v/>
      </c>
      <c r="AJ806" s="17" t="str">
        <f>IF(NOT(ISBLANK(Audit[[#This Row],[Audit Candidate 6]])), Audit[[#This Row],[Audit Candidate 6]]-Audit[[#This Row],[Candidate 6]], "")</f>
        <v/>
      </c>
      <c r="AK806" s="17" t="str">
        <f>IF(NOT(ISBLANK(Audit[[#This Row],[Audit Candidate 7]])), Audit[[#This Row],[Audit Candidate 7]]-Audit[[#This Row],[Candidate 7]], "")</f>
        <v/>
      </c>
      <c r="AL806" s="17" t="str">
        <f>IF(NOT(ISBLANK(Audit[[#This Row],[Audit Candidate 8]])), Audit[[#This Row],[Audit Candidate 8]]-Audit[[#This Row],[Candidate 8]], "")</f>
        <v/>
      </c>
      <c r="AM806" s="17" t="str">
        <f>IF(NOT(ISBLANK(Audit[[#This Row],[Audit Candidate 9]])), Audit[[#This Row],[Audit Candidate 9]]-Audit[[#This Row],[Candidate 9]], "")</f>
        <v/>
      </c>
      <c r="AN806" s="17" t="str">
        <f>IF(NOT(ISBLANK(Audit[[#This Row],[Audit Candidate 10]])), Audit[[#This Row],[Audit Candidate 10]]-Audit[[#This Row],[Candidate 10]], "")</f>
        <v/>
      </c>
      <c r="AO806" s="17" t="str">
        <f>IF(NOT(ISBLANK(Audit[[#This Row],[Audit Candidate 11]])), Audit[[#This Row],[Audit Candidate 11]]-Audit[[#This Row],[Candidate 11]], "")</f>
        <v/>
      </c>
      <c r="AP806" s="17" t="str">
        <f>IF(NOT(ISBLANK(Audit[[#This Row],[Audit Candidate 12]])), Audit[[#This Row],[Audit Candidate 12]]-Audit[[#This Row],[Candidate 12]], "")</f>
        <v/>
      </c>
      <c r="AQ806" s="17">
        <f>SUMIF(Audit[[#This Row],[Difference Winner]:[Difference Candidate 12]], "&gt;0")</f>
        <v>0</v>
      </c>
      <c r="AR806" s="17">
        <f>SUM(Audit[[#This Row],[Difference Winner]:[Difference Candidate 12]])</f>
        <v>0</v>
      </c>
      <c r="AS806" s="17">
        <f>IF(Audit[[#This Row],[Times p Drawn - With Replacement]]&gt;0, IF(Audit[[#This Row],[Canceled Differences]]&lt;0, Audit[[#This Row],[Max Differences]]+ABS(Audit[[#This Row],[Canceled Differences]]), Audit[[#This Row],[Max Differences]]), 0)</f>
        <v>0</v>
      </c>
      <c r="AT806" s="17">
        <f>'Sampling Data'!AB806</f>
        <v>1.6847733831268037E-2</v>
      </c>
      <c r="AU806" s="17">
        <f>IF(
      SUM(Audit[[#This Row],[Audit Losing Candidate]:[Audit Candidate 12]])
      &lt;&gt;0,
      (Audit[[#This Row],[Winning Candidate]]-Audit[[#This Row],[Losing Candidate]]-(Audit[[#This Row],[Audit Winning Candidate]]-Audit[[#This Row],[Audit Losing Candidate]]))/(Audit[[#Totals],[Winning Candidate]]-Audit[[#Totals],[Losing Candidate]]),
      0
)</f>
        <v>0</v>
      </c>
      <c r="AV8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6" s="17">
        <f>IF(Audit[[#This Row],[Max Relative Error (ep)]] = 0, 0, Audit[[#This Row],[Max Relative Error (ep)]]/Audit[[#This Row],[Error Bound (up) - Max. possible relative overstatement]])</f>
        <v>0</v>
      </c>
      <c r="BH8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06" s="17">
        <f t="shared" si="13"/>
        <v>1</v>
      </c>
      <c r="BJ806" s="17">
        <f>PRODUCT($BI$5:BI806)</f>
        <v>0.20274654467839762</v>
      </c>
      <c r="BK806" s="19">
        <f>1 - Audit[[#This Row],[K-M P Value]]</f>
        <v>0.79725345532160241</v>
      </c>
      <c r="BL806" s="17" t="str">
        <f>IF(Audit[[#This Row],[K-M P Value]]&gt;1-'General Info'!$B$12,"Continue", "Stop")</f>
        <v>Continue</v>
      </c>
      <c r="BM806" s="22" t="b">
        <f>IF(Audit[[#This Row],[Status - Continue or stop audit]] = "Continue", TRUE, IF(BL805 = "Continue", TRUE, FALSE))</f>
        <v>1</v>
      </c>
      <c r="BN806" s="22"/>
    </row>
    <row r="807" spans="1:66" ht="15" hidden="1" customHeight="1" x14ac:dyDescent="0.35">
      <c r="A807" s="17" t="str">
        <f>'Sampling Data'!AI807</f>
        <v/>
      </c>
      <c r="B807" s="17" t="str">
        <f>'Sampling Data'!A807</f>
        <v>3706 LOVE F   (ED)</v>
      </c>
      <c r="C807" s="17">
        <f>'Sampling Data'!B807</f>
        <v>159</v>
      </c>
      <c r="D807" s="17">
        <f>'Sampling Data'!C807</f>
        <v>244</v>
      </c>
      <c r="E807" s="18">
        <f>'Sampling Data'!D807</f>
        <v>0</v>
      </c>
      <c r="F807" s="18">
        <f>'Sampling Data'!E807</f>
        <v>0</v>
      </c>
      <c r="G807" s="18">
        <f>'Sampling Data'!F807</f>
        <v>0</v>
      </c>
      <c r="H807" s="18">
        <f>'Sampling Data'!G807</f>
        <v>0</v>
      </c>
      <c r="I807" s="18">
        <f>'Sampling Data'!H807</f>
        <v>0</v>
      </c>
      <c r="J807" s="18">
        <f>'Sampling Data'!I807</f>
        <v>0</v>
      </c>
      <c r="K807" s="18">
        <f>'Sampling Data'!J807</f>
        <v>0</v>
      </c>
      <c r="L807" s="18">
        <f>'Sampling Data'!K807</f>
        <v>0</v>
      </c>
      <c r="M807" s="18">
        <f>'Sampling Data'!L807</f>
        <v>0</v>
      </c>
      <c r="N807" s="18">
        <f>'Sampling Data'!M807</f>
        <v>0</v>
      </c>
      <c r="O807" s="17">
        <f>'Sampling Data'!N807</f>
        <v>0</v>
      </c>
      <c r="P807" s="17">
        <f>'Sampling Data'!O807</f>
        <v>39</v>
      </c>
      <c r="Q807" s="17">
        <f>'Sampling Data'!P807</f>
        <v>442</v>
      </c>
      <c r="R807" s="17">
        <f>'Sampling Data'!AJ807</f>
        <v>0</v>
      </c>
      <c r="S807" s="111"/>
      <c r="T807" s="111"/>
      <c r="U807" s="112"/>
      <c r="V807" s="112"/>
      <c r="W807" s="111"/>
      <c r="X807" s="111"/>
      <c r="Y807" s="111"/>
      <c r="Z807" s="111"/>
      <c r="AA807" s="14"/>
      <c r="AB807" s="14"/>
      <c r="AC807" s="14"/>
      <c r="AD807" s="14"/>
      <c r="AE807" s="113" t="str">
        <f>IF(NOT(ISBLANK(Audit[[#This Row],[Audit Winning Candidate]])), Audit[[#This Row],[Audit Winning Candidate]]-Audit[[#This Row],[Winning Candidate]], "")</f>
        <v/>
      </c>
      <c r="AF807" s="17" t="str">
        <f>IF(NOT(ISBLANK(Audit[[#This Row],[Audit Losing Candidate]])), Audit[[#This Row],[Audit Losing Candidate]]-Audit[[#This Row],[Losing Candidate]], "")</f>
        <v/>
      </c>
      <c r="AG807" s="17" t="str">
        <f>IF(NOT(ISBLANK(Audit[[#This Row],[Audit Candidate 3]])), Audit[[#This Row],[Audit Candidate 3]]-Audit[[#This Row],[Candidate 3]], "")</f>
        <v/>
      </c>
      <c r="AH807" s="17" t="str">
        <f>IF(NOT(ISBLANK(Audit[[#This Row],[Audit Candidate 4]])),Audit[[#This Row],[Audit Candidate 4]]-Audit[[#This Row],[Candidate 4]], "")</f>
        <v/>
      </c>
      <c r="AI807" s="17" t="str">
        <f>IF(NOT(ISBLANK(Audit[[#This Row],[Audit Candidate 5]])), Audit[[#This Row],[Audit Candidate 5]]-Audit[[#This Row],[Candidate 5]], "")</f>
        <v/>
      </c>
      <c r="AJ807" s="17" t="str">
        <f>IF(NOT(ISBLANK(Audit[[#This Row],[Audit Candidate 6]])), Audit[[#This Row],[Audit Candidate 6]]-Audit[[#This Row],[Candidate 6]], "")</f>
        <v/>
      </c>
      <c r="AK807" s="17" t="str">
        <f>IF(NOT(ISBLANK(Audit[[#This Row],[Audit Candidate 7]])), Audit[[#This Row],[Audit Candidate 7]]-Audit[[#This Row],[Candidate 7]], "")</f>
        <v/>
      </c>
      <c r="AL807" s="17" t="str">
        <f>IF(NOT(ISBLANK(Audit[[#This Row],[Audit Candidate 8]])), Audit[[#This Row],[Audit Candidate 8]]-Audit[[#This Row],[Candidate 8]], "")</f>
        <v/>
      </c>
      <c r="AM807" s="17" t="str">
        <f>IF(NOT(ISBLANK(Audit[[#This Row],[Audit Candidate 9]])), Audit[[#This Row],[Audit Candidate 9]]-Audit[[#This Row],[Candidate 9]], "")</f>
        <v/>
      </c>
      <c r="AN807" s="17" t="str">
        <f>IF(NOT(ISBLANK(Audit[[#This Row],[Audit Candidate 10]])), Audit[[#This Row],[Audit Candidate 10]]-Audit[[#This Row],[Candidate 10]], "")</f>
        <v/>
      </c>
      <c r="AO807" s="17" t="str">
        <f>IF(NOT(ISBLANK(Audit[[#This Row],[Audit Candidate 11]])), Audit[[#This Row],[Audit Candidate 11]]-Audit[[#This Row],[Candidate 11]], "")</f>
        <v/>
      </c>
      <c r="AP807" s="17" t="str">
        <f>IF(NOT(ISBLANK(Audit[[#This Row],[Audit Candidate 12]])), Audit[[#This Row],[Audit Candidate 12]]-Audit[[#This Row],[Candidate 12]], "")</f>
        <v/>
      </c>
      <c r="AQ807" s="17">
        <f>SUMIF(Audit[[#This Row],[Difference Winner]:[Difference Candidate 12]], "&gt;0")</f>
        <v>0</v>
      </c>
      <c r="AR807" s="17">
        <f>SUM(Audit[[#This Row],[Difference Winner]:[Difference Candidate 12]])</f>
        <v>0</v>
      </c>
      <c r="AS807" s="17">
        <f>IF(Audit[[#This Row],[Times p Drawn - With Replacement]]&gt;0, IF(Audit[[#This Row],[Canceled Differences]]&lt;0, Audit[[#This Row],[Max Differences]]+ABS(Audit[[#This Row],[Canceled Differences]]), Audit[[#This Row],[Max Differences]]), 0)</f>
        <v>0</v>
      </c>
      <c r="AT807" s="17">
        <f>'Sampling Data'!AB807</f>
        <v>1.5150229163130198E-2</v>
      </c>
      <c r="AU807" s="17">
        <f>IF(
      SUM(Audit[[#This Row],[Audit Losing Candidate]:[Audit Candidate 12]])
      &lt;&gt;0,
      (Audit[[#This Row],[Winning Candidate]]-Audit[[#This Row],[Losing Candidate]]-(Audit[[#This Row],[Audit Winning Candidate]]-Audit[[#This Row],[Audit Losing Candidate]]))/(Audit[[#Totals],[Winning Candidate]]-Audit[[#Totals],[Losing Candidate]]),
      0
)</f>
        <v>0</v>
      </c>
      <c r="AV8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7" s="17">
        <f>IF(Audit[[#This Row],[Max Relative Error (ep)]] = 0, 0, Audit[[#This Row],[Max Relative Error (ep)]]/Audit[[#This Row],[Error Bound (up) - Max. possible relative overstatement]])</f>
        <v>0</v>
      </c>
      <c r="BH8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07" s="17">
        <f t="shared" si="13"/>
        <v>1</v>
      </c>
      <c r="BJ807" s="17">
        <f>PRODUCT($BI$5:BI807)</f>
        <v>0.20274654467839762</v>
      </c>
      <c r="BK807" s="19">
        <f>1 - Audit[[#This Row],[K-M P Value]]</f>
        <v>0.79725345532160241</v>
      </c>
      <c r="BL807" s="17" t="str">
        <f>IF(Audit[[#This Row],[K-M P Value]]&gt;1-'General Info'!$B$12,"Continue", "Stop")</f>
        <v>Continue</v>
      </c>
      <c r="BM807" s="22" t="b">
        <f>IF(Audit[[#This Row],[Status - Continue or stop audit]] = "Continue", TRUE, IF(BL806 = "Continue", TRUE, FALSE))</f>
        <v>1</v>
      </c>
      <c r="BN807" s="22"/>
    </row>
    <row r="808" spans="1:66" ht="15" hidden="1" customHeight="1" x14ac:dyDescent="0.35">
      <c r="A808" s="17" t="str">
        <f>'Sampling Data'!AI808</f>
        <v/>
      </c>
      <c r="B808" s="17" t="str">
        <f>'Sampling Data'!A808</f>
        <v>3707 LOVE G   (ED)</v>
      </c>
      <c r="C808" s="17">
        <f>'Sampling Data'!B808</f>
        <v>111</v>
      </c>
      <c r="D808" s="17">
        <f>'Sampling Data'!C808</f>
        <v>186</v>
      </c>
      <c r="E808" s="18">
        <f>'Sampling Data'!D808</f>
        <v>0</v>
      </c>
      <c r="F808" s="18">
        <f>'Sampling Data'!E808</f>
        <v>0</v>
      </c>
      <c r="G808" s="18">
        <f>'Sampling Data'!F808</f>
        <v>0</v>
      </c>
      <c r="H808" s="18">
        <f>'Sampling Data'!G808</f>
        <v>0</v>
      </c>
      <c r="I808" s="18">
        <f>'Sampling Data'!H808</f>
        <v>0</v>
      </c>
      <c r="J808" s="18">
        <f>'Sampling Data'!I808</f>
        <v>0</v>
      </c>
      <c r="K808" s="18">
        <f>'Sampling Data'!J808</f>
        <v>0</v>
      </c>
      <c r="L808" s="18">
        <f>'Sampling Data'!K808</f>
        <v>0</v>
      </c>
      <c r="M808" s="18">
        <f>'Sampling Data'!L808</f>
        <v>0</v>
      </c>
      <c r="N808" s="18">
        <f>'Sampling Data'!M808</f>
        <v>0</v>
      </c>
      <c r="O808" s="17">
        <f>'Sampling Data'!N808</f>
        <v>0</v>
      </c>
      <c r="P808" s="17">
        <f>'Sampling Data'!O808</f>
        <v>27</v>
      </c>
      <c r="Q808" s="17">
        <f>'Sampling Data'!P808</f>
        <v>324</v>
      </c>
      <c r="R808" s="17">
        <f>'Sampling Data'!AJ808</f>
        <v>0</v>
      </c>
      <c r="S808" s="111"/>
      <c r="T808" s="111"/>
      <c r="U808" s="112"/>
      <c r="V808" s="112"/>
      <c r="W808" s="111"/>
      <c r="X808" s="111"/>
      <c r="Y808" s="111"/>
      <c r="Z808" s="111"/>
      <c r="AA808" s="14"/>
      <c r="AB808" s="14"/>
      <c r="AC808" s="14"/>
      <c r="AD808" s="14"/>
      <c r="AE808" s="113" t="str">
        <f>IF(NOT(ISBLANK(Audit[[#This Row],[Audit Winning Candidate]])), Audit[[#This Row],[Audit Winning Candidate]]-Audit[[#This Row],[Winning Candidate]], "")</f>
        <v/>
      </c>
      <c r="AF808" s="17" t="str">
        <f>IF(NOT(ISBLANK(Audit[[#This Row],[Audit Losing Candidate]])), Audit[[#This Row],[Audit Losing Candidate]]-Audit[[#This Row],[Losing Candidate]], "")</f>
        <v/>
      </c>
      <c r="AG808" s="17" t="str">
        <f>IF(NOT(ISBLANK(Audit[[#This Row],[Audit Candidate 3]])), Audit[[#This Row],[Audit Candidate 3]]-Audit[[#This Row],[Candidate 3]], "")</f>
        <v/>
      </c>
      <c r="AH808" s="17" t="str">
        <f>IF(NOT(ISBLANK(Audit[[#This Row],[Audit Candidate 4]])),Audit[[#This Row],[Audit Candidate 4]]-Audit[[#This Row],[Candidate 4]], "")</f>
        <v/>
      </c>
      <c r="AI808" s="17" t="str">
        <f>IF(NOT(ISBLANK(Audit[[#This Row],[Audit Candidate 5]])), Audit[[#This Row],[Audit Candidate 5]]-Audit[[#This Row],[Candidate 5]], "")</f>
        <v/>
      </c>
      <c r="AJ808" s="17" t="str">
        <f>IF(NOT(ISBLANK(Audit[[#This Row],[Audit Candidate 6]])), Audit[[#This Row],[Audit Candidate 6]]-Audit[[#This Row],[Candidate 6]], "")</f>
        <v/>
      </c>
      <c r="AK808" s="17" t="str">
        <f>IF(NOT(ISBLANK(Audit[[#This Row],[Audit Candidate 7]])), Audit[[#This Row],[Audit Candidate 7]]-Audit[[#This Row],[Candidate 7]], "")</f>
        <v/>
      </c>
      <c r="AL808" s="17" t="str">
        <f>IF(NOT(ISBLANK(Audit[[#This Row],[Audit Candidate 8]])), Audit[[#This Row],[Audit Candidate 8]]-Audit[[#This Row],[Candidate 8]], "")</f>
        <v/>
      </c>
      <c r="AM808" s="17" t="str">
        <f>IF(NOT(ISBLANK(Audit[[#This Row],[Audit Candidate 9]])), Audit[[#This Row],[Audit Candidate 9]]-Audit[[#This Row],[Candidate 9]], "")</f>
        <v/>
      </c>
      <c r="AN808" s="17" t="str">
        <f>IF(NOT(ISBLANK(Audit[[#This Row],[Audit Candidate 10]])), Audit[[#This Row],[Audit Candidate 10]]-Audit[[#This Row],[Candidate 10]], "")</f>
        <v/>
      </c>
      <c r="AO808" s="17" t="str">
        <f>IF(NOT(ISBLANK(Audit[[#This Row],[Audit Candidate 11]])), Audit[[#This Row],[Audit Candidate 11]]-Audit[[#This Row],[Candidate 11]], "")</f>
        <v/>
      </c>
      <c r="AP808" s="17" t="str">
        <f>IF(NOT(ISBLANK(Audit[[#This Row],[Audit Candidate 12]])), Audit[[#This Row],[Audit Candidate 12]]-Audit[[#This Row],[Candidate 12]], "")</f>
        <v/>
      </c>
      <c r="AQ808" s="17">
        <f>SUMIF(Audit[[#This Row],[Difference Winner]:[Difference Candidate 12]], "&gt;0")</f>
        <v>0</v>
      </c>
      <c r="AR808" s="17">
        <f>SUM(Audit[[#This Row],[Difference Winner]:[Difference Candidate 12]])</f>
        <v>0</v>
      </c>
      <c r="AS808" s="17">
        <f>IF(Audit[[#This Row],[Times p Drawn - With Replacement]]&gt;0, IF(Audit[[#This Row],[Canceled Differences]]&lt;0, Audit[[#This Row],[Max Differences]]+ABS(Audit[[#This Row],[Canceled Differences]]), Audit[[#This Row],[Max Differences]]), 0)</f>
        <v>0</v>
      </c>
      <c r="AT808" s="17">
        <f>'Sampling Data'!AB808</f>
        <v>1.0566966559158038E-2</v>
      </c>
      <c r="AU808" s="17">
        <f>IF(
      SUM(Audit[[#This Row],[Audit Losing Candidate]:[Audit Candidate 12]])
      &lt;&gt;0,
      (Audit[[#This Row],[Winning Candidate]]-Audit[[#This Row],[Losing Candidate]]-(Audit[[#This Row],[Audit Winning Candidate]]-Audit[[#This Row],[Audit Losing Candidate]]))/(Audit[[#Totals],[Winning Candidate]]-Audit[[#Totals],[Losing Candidate]]),
      0
)</f>
        <v>0</v>
      </c>
      <c r="AV8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8" s="17">
        <f>IF(Audit[[#This Row],[Max Relative Error (ep)]] = 0, 0, Audit[[#This Row],[Max Relative Error (ep)]]/Audit[[#This Row],[Error Bound (up) - Max. possible relative overstatement]])</f>
        <v>0</v>
      </c>
      <c r="BH8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08" s="17">
        <f t="shared" si="13"/>
        <v>1</v>
      </c>
      <c r="BJ808" s="17">
        <f>PRODUCT($BI$5:BI808)</f>
        <v>0.20274654467839762</v>
      </c>
      <c r="BK808" s="19">
        <f>1 - Audit[[#This Row],[K-M P Value]]</f>
        <v>0.79725345532160241</v>
      </c>
      <c r="BL808" s="17" t="str">
        <f>IF(Audit[[#This Row],[K-M P Value]]&gt;1-'General Info'!$B$12,"Continue", "Stop")</f>
        <v>Continue</v>
      </c>
      <c r="BM808" s="22" t="b">
        <f>IF(Audit[[#This Row],[Status - Continue or stop audit]] = "Continue", TRUE, IF(BL807 = "Continue", TRUE, FALSE))</f>
        <v>1</v>
      </c>
      <c r="BN808" s="22"/>
    </row>
    <row r="809" spans="1:66" ht="15" hidden="1" customHeight="1" x14ac:dyDescent="0.35">
      <c r="A809" s="17" t="str">
        <f>'Sampling Data'!AI809</f>
        <v/>
      </c>
      <c r="B809" s="17" t="str">
        <f>'Sampling Data'!A809</f>
        <v>3801 MADRA A   (ED)</v>
      </c>
      <c r="C809" s="17">
        <f>'Sampling Data'!B809</f>
        <v>178</v>
      </c>
      <c r="D809" s="17">
        <f>'Sampling Data'!C809</f>
        <v>284</v>
      </c>
      <c r="E809" s="18">
        <f>'Sampling Data'!D809</f>
        <v>0</v>
      </c>
      <c r="F809" s="18">
        <f>'Sampling Data'!E809</f>
        <v>0</v>
      </c>
      <c r="G809" s="18">
        <f>'Sampling Data'!F809</f>
        <v>0</v>
      </c>
      <c r="H809" s="18">
        <f>'Sampling Data'!G809</f>
        <v>0</v>
      </c>
      <c r="I809" s="18">
        <f>'Sampling Data'!H809</f>
        <v>0</v>
      </c>
      <c r="J809" s="18">
        <f>'Sampling Data'!I809</f>
        <v>0</v>
      </c>
      <c r="K809" s="18">
        <f>'Sampling Data'!J809</f>
        <v>0</v>
      </c>
      <c r="L809" s="18">
        <f>'Sampling Data'!K809</f>
        <v>0</v>
      </c>
      <c r="M809" s="18">
        <f>'Sampling Data'!L809</f>
        <v>0</v>
      </c>
      <c r="N809" s="18">
        <f>'Sampling Data'!M809</f>
        <v>0</v>
      </c>
      <c r="O809" s="17">
        <f>'Sampling Data'!N809</f>
        <v>0</v>
      </c>
      <c r="P809" s="17">
        <f>'Sampling Data'!O809</f>
        <v>36</v>
      </c>
      <c r="Q809" s="17">
        <f>'Sampling Data'!P809</f>
        <v>498</v>
      </c>
      <c r="R809" s="17">
        <f>'Sampling Data'!AJ809</f>
        <v>0</v>
      </c>
      <c r="S809" s="111"/>
      <c r="T809" s="111"/>
      <c r="U809" s="112"/>
      <c r="V809" s="112"/>
      <c r="W809" s="111"/>
      <c r="X809" s="111"/>
      <c r="Y809" s="111"/>
      <c r="Z809" s="111"/>
      <c r="AA809" s="14"/>
      <c r="AB809" s="14"/>
      <c r="AC809" s="14"/>
      <c r="AD809" s="14"/>
      <c r="AE809" s="113" t="str">
        <f>IF(NOT(ISBLANK(Audit[[#This Row],[Audit Winning Candidate]])), Audit[[#This Row],[Audit Winning Candidate]]-Audit[[#This Row],[Winning Candidate]], "")</f>
        <v/>
      </c>
      <c r="AF809" s="17" t="str">
        <f>IF(NOT(ISBLANK(Audit[[#This Row],[Audit Losing Candidate]])), Audit[[#This Row],[Audit Losing Candidate]]-Audit[[#This Row],[Losing Candidate]], "")</f>
        <v/>
      </c>
      <c r="AG809" s="17" t="str">
        <f>IF(NOT(ISBLANK(Audit[[#This Row],[Audit Candidate 3]])), Audit[[#This Row],[Audit Candidate 3]]-Audit[[#This Row],[Candidate 3]], "")</f>
        <v/>
      </c>
      <c r="AH809" s="17" t="str">
        <f>IF(NOT(ISBLANK(Audit[[#This Row],[Audit Candidate 4]])),Audit[[#This Row],[Audit Candidate 4]]-Audit[[#This Row],[Candidate 4]], "")</f>
        <v/>
      </c>
      <c r="AI809" s="17" t="str">
        <f>IF(NOT(ISBLANK(Audit[[#This Row],[Audit Candidate 5]])), Audit[[#This Row],[Audit Candidate 5]]-Audit[[#This Row],[Candidate 5]], "")</f>
        <v/>
      </c>
      <c r="AJ809" s="17" t="str">
        <f>IF(NOT(ISBLANK(Audit[[#This Row],[Audit Candidate 6]])), Audit[[#This Row],[Audit Candidate 6]]-Audit[[#This Row],[Candidate 6]], "")</f>
        <v/>
      </c>
      <c r="AK809" s="17" t="str">
        <f>IF(NOT(ISBLANK(Audit[[#This Row],[Audit Candidate 7]])), Audit[[#This Row],[Audit Candidate 7]]-Audit[[#This Row],[Candidate 7]], "")</f>
        <v/>
      </c>
      <c r="AL809" s="17" t="str">
        <f>IF(NOT(ISBLANK(Audit[[#This Row],[Audit Candidate 8]])), Audit[[#This Row],[Audit Candidate 8]]-Audit[[#This Row],[Candidate 8]], "")</f>
        <v/>
      </c>
      <c r="AM809" s="17" t="str">
        <f>IF(NOT(ISBLANK(Audit[[#This Row],[Audit Candidate 9]])), Audit[[#This Row],[Audit Candidate 9]]-Audit[[#This Row],[Candidate 9]], "")</f>
        <v/>
      </c>
      <c r="AN809" s="17" t="str">
        <f>IF(NOT(ISBLANK(Audit[[#This Row],[Audit Candidate 10]])), Audit[[#This Row],[Audit Candidate 10]]-Audit[[#This Row],[Candidate 10]], "")</f>
        <v/>
      </c>
      <c r="AO809" s="17" t="str">
        <f>IF(NOT(ISBLANK(Audit[[#This Row],[Audit Candidate 11]])), Audit[[#This Row],[Audit Candidate 11]]-Audit[[#This Row],[Candidate 11]], "")</f>
        <v/>
      </c>
      <c r="AP809" s="17" t="str">
        <f>IF(NOT(ISBLANK(Audit[[#This Row],[Audit Candidate 12]])), Audit[[#This Row],[Audit Candidate 12]]-Audit[[#This Row],[Candidate 12]], "")</f>
        <v/>
      </c>
      <c r="AQ809" s="17">
        <f>SUMIF(Audit[[#This Row],[Difference Winner]:[Difference Candidate 12]], "&gt;0")</f>
        <v>0</v>
      </c>
      <c r="AR809" s="17">
        <f>SUM(Audit[[#This Row],[Difference Winner]:[Difference Candidate 12]])</f>
        <v>0</v>
      </c>
      <c r="AS809" s="17">
        <f>IF(Audit[[#This Row],[Times p Drawn - With Replacement]]&gt;0, IF(Audit[[#This Row],[Canceled Differences]]&lt;0, Audit[[#This Row],[Max Differences]]+ABS(Audit[[#This Row],[Canceled Differences]]), Audit[[#This Row],[Max Differences]]), 0)</f>
        <v>0</v>
      </c>
      <c r="AT809" s="17">
        <f>'Sampling Data'!AB809</f>
        <v>1.6635545747750807E-2</v>
      </c>
      <c r="AU809" s="17">
        <f>IF(
      SUM(Audit[[#This Row],[Audit Losing Candidate]:[Audit Candidate 12]])
      &lt;&gt;0,
      (Audit[[#This Row],[Winning Candidate]]-Audit[[#This Row],[Losing Candidate]]-(Audit[[#This Row],[Audit Winning Candidate]]-Audit[[#This Row],[Audit Losing Candidate]]))/(Audit[[#Totals],[Winning Candidate]]-Audit[[#Totals],[Losing Candidate]]),
      0
)</f>
        <v>0</v>
      </c>
      <c r="AV8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9" s="17">
        <f>IF(Audit[[#This Row],[Max Relative Error (ep)]] = 0, 0, Audit[[#This Row],[Max Relative Error (ep)]]/Audit[[#This Row],[Error Bound (up) - Max. possible relative overstatement]])</f>
        <v>0</v>
      </c>
      <c r="BH8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09" s="17">
        <f t="shared" si="13"/>
        <v>1</v>
      </c>
      <c r="BJ809" s="17">
        <f>PRODUCT($BI$5:BI809)</f>
        <v>0.20274654467839762</v>
      </c>
      <c r="BK809" s="19">
        <f>1 - Audit[[#This Row],[K-M P Value]]</f>
        <v>0.79725345532160241</v>
      </c>
      <c r="BL809" s="17" t="str">
        <f>IF(Audit[[#This Row],[K-M P Value]]&gt;1-'General Info'!$B$12,"Continue", "Stop")</f>
        <v>Continue</v>
      </c>
      <c r="BM809" s="22" t="b">
        <f>IF(Audit[[#This Row],[Status - Continue or stop audit]] = "Continue", TRUE, IF(BL808 = "Continue", TRUE, FALSE))</f>
        <v>1</v>
      </c>
      <c r="BN809" s="22"/>
    </row>
    <row r="810" spans="1:66" ht="15" hidden="1" customHeight="1" x14ac:dyDescent="0.35">
      <c r="A810" s="17" t="str">
        <f>'Sampling Data'!AI810</f>
        <v/>
      </c>
      <c r="B810" s="17" t="str">
        <f>'Sampling Data'!A810</f>
        <v>3802 MADRA B   (ED)</v>
      </c>
      <c r="C810" s="17">
        <f>'Sampling Data'!B810</f>
        <v>147</v>
      </c>
      <c r="D810" s="17">
        <f>'Sampling Data'!C810</f>
        <v>191</v>
      </c>
      <c r="E810" s="18">
        <f>'Sampling Data'!D810</f>
        <v>0</v>
      </c>
      <c r="F810" s="18">
        <f>'Sampling Data'!E810</f>
        <v>0</v>
      </c>
      <c r="G810" s="18">
        <f>'Sampling Data'!F810</f>
        <v>0</v>
      </c>
      <c r="H810" s="18">
        <f>'Sampling Data'!G810</f>
        <v>0</v>
      </c>
      <c r="I810" s="18">
        <f>'Sampling Data'!H810</f>
        <v>0</v>
      </c>
      <c r="J810" s="18">
        <f>'Sampling Data'!I810</f>
        <v>0</v>
      </c>
      <c r="K810" s="18">
        <f>'Sampling Data'!J810</f>
        <v>0</v>
      </c>
      <c r="L810" s="18">
        <f>'Sampling Data'!K810</f>
        <v>0</v>
      </c>
      <c r="M810" s="18">
        <f>'Sampling Data'!L810</f>
        <v>0</v>
      </c>
      <c r="N810" s="18">
        <f>'Sampling Data'!M810</f>
        <v>0</v>
      </c>
      <c r="O810" s="17">
        <f>'Sampling Data'!N810</f>
        <v>0</v>
      </c>
      <c r="P810" s="17">
        <f>'Sampling Data'!O810</f>
        <v>31</v>
      </c>
      <c r="Q810" s="17">
        <f>'Sampling Data'!P810</f>
        <v>369</v>
      </c>
      <c r="R810" s="17">
        <f>'Sampling Data'!AJ810</f>
        <v>0</v>
      </c>
      <c r="S810" s="111"/>
      <c r="T810" s="111"/>
      <c r="U810" s="112"/>
      <c r="V810" s="112"/>
      <c r="W810" s="111"/>
      <c r="X810" s="111"/>
      <c r="Y810" s="111"/>
      <c r="Z810" s="111"/>
      <c r="AA810" s="14"/>
      <c r="AB810" s="14"/>
      <c r="AC810" s="14"/>
      <c r="AD810" s="14"/>
      <c r="AE810" s="113" t="str">
        <f>IF(NOT(ISBLANK(Audit[[#This Row],[Audit Winning Candidate]])), Audit[[#This Row],[Audit Winning Candidate]]-Audit[[#This Row],[Winning Candidate]], "")</f>
        <v/>
      </c>
      <c r="AF810" s="17" t="str">
        <f>IF(NOT(ISBLANK(Audit[[#This Row],[Audit Losing Candidate]])), Audit[[#This Row],[Audit Losing Candidate]]-Audit[[#This Row],[Losing Candidate]], "")</f>
        <v/>
      </c>
      <c r="AG810" s="17" t="str">
        <f>IF(NOT(ISBLANK(Audit[[#This Row],[Audit Candidate 3]])), Audit[[#This Row],[Audit Candidate 3]]-Audit[[#This Row],[Candidate 3]], "")</f>
        <v/>
      </c>
      <c r="AH810" s="17" t="str">
        <f>IF(NOT(ISBLANK(Audit[[#This Row],[Audit Candidate 4]])),Audit[[#This Row],[Audit Candidate 4]]-Audit[[#This Row],[Candidate 4]], "")</f>
        <v/>
      </c>
      <c r="AI810" s="17" t="str">
        <f>IF(NOT(ISBLANK(Audit[[#This Row],[Audit Candidate 5]])), Audit[[#This Row],[Audit Candidate 5]]-Audit[[#This Row],[Candidate 5]], "")</f>
        <v/>
      </c>
      <c r="AJ810" s="17" t="str">
        <f>IF(NOT(ISBLANK(Audit[[#This Row],[Audit Candidate 6]])), Audit[[#This Row],[Audit Candidate 6]]-Audit[[#This Row],[Candidate 6]], "")</f>
        <v/>
      </c>
      <c r="AK810" s="17" t="str">
        <f>IF(NOT(ISBLANK(Audit[[#This Row],[Audit Candidate 7]])), Audit[[#This Row],[Audit Candidate 7]]-Audit[[#This Row],[Candidate 7]], "")</f>
        <v/>
      </c>
      <c r="AL810" s="17" t="str">
        <f>IF(NOT(ISBLANK(Audit[[#This Row],[Audit Candidate 8]])), Audit[[#This Row],[Audit Candidate 8]]-Audit[[#This Row],[Candidate 8]], "")</f>
        <v/>
      </c>
      <c r="AM810" s="17" t="str">
        <f>IF(NOT(ISBLANK(Audit[[#This Row],[Audit Candidate 9]])), Audit[[#This Row],[Audit Candidate 9]]-Audit[[#This Row],[Candidate 9]], "")</f>
        <v/>
      </c>
      <c r="AN810" s="17" t="str">
        <f>IF(NOT(ISBLANK(Audit[[#This Row],[Audit Candidate 10]])), Audit[[#This Row],[Audit Candidate 10]]-Audit[[#This Row],[Candidate 10]], "")</f>
        <v/>
      </c>
      <c r="AO810" s="17" t="str">
        <f>IF(NOT(ISBLANK(Audit[[#This Row],[Audit Candidate 11]])), Audit[[#This Row],[Audit Candidate 11]]-Audit[[#This Row],[Candidate 11]], "")</f>
        <v/>
      </c>
      <c r="AP810" s="17" t="str">
        <f>IF(NOT(ISBLANK(Audit[[#This Row],[Audit Candidate 12]])), Audit[[#This Row],[Audit Candidate 12]]-Audit[[#This Row],[Candidate 12]], "")</f>
        <v/>
      </c>
      <c r="AQ810" s="17">
        <f>SUMIF(Audit[[#This Row],[Difference Winner]:[Difference Candidate 12]], "&gt;0")</f>
        <v>0</v>
      </c>
      <c r="AR810" s="17">
        <f>SUM(Audit[[#This Row],[Difference Winner]:[Difference Candidate 12]])</f>
        <v>0</v>
      </c>
      <c r="AS810" s="17">
        <f>IF(Audit[[#This Row],[Times p Drawn - With Replacement]]&gt;0, IF(Audit[[#This Row],[Canceled Differences]]&lt;0, Audit[[#This Row],[Max Differences]]+ABS(Audit[[#This Row],[Canceled Differences]]), Audit[[#This Row],[Max Differences]]), 0)</f>
        <v>0</v>
      </c>
      <c r="AT810" s="17">
        <f>'Sampling Data'!AB810</f>
        <v>1.3792225428619929E-2</v>
      </c>
      <c r="AU810" s="17">
        <f>IF(
      SUM(Audit[[#This Row],[Audit Losing Candidate]:[Audit Candidate 12]])
      &lt;&gt;0,
      (Audit[[#This Row],[Winning Candidate]]-Audit[[#This Row],[Losing Candidate]]-(Audit[[#This Row],[Audit Winning Candidate]]-Audit[[#This Row],[Audit Losing Candidate]]))/(Audit[[#Totals],[Winning Candidate]]-Audit[[#Totals],[Losing Candidate]]),
      0
)</f>
        <v>0</v>
      </c>
      <c r="AV8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0" s="17">
        <f>IF(Audit[[#This Row],[Max Relative Error (ep)]] = 0, 0, Audit[[#This Row],[Max Relative Error (ep)]]/Audit[[#This Row],[Error Bound (up) - Max. possible relative overstatement]])</f>
        <v>0</v>
      </c>
      <c r="BH8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10" s="17">
        <f t="shared" si="13"/>
        <v>1</v>
      </c>
      <c r="BJ810" s="17">
        <f>PRODUCT($BI$5:BI810)</f>
        <v>0.20274654467839762</v>
      </c>
      <c r="BK810" s="19">
        <f>1 - Audit[[#This Row],[K-M P Value]]</f>
        <v>0.79725345532160241</v>
      </c>
      <c r="BL810" s="17" t="str">
        <f>IF(Audit[[#This Row],[K-M P Value]]&gt;1-'General Info'!$B$12,"Continue", "Stop")</f>
        <v>Continue</v>
      </c>
      <c r="BM810" s="22" t="b">
        <f>IF(Audit[[#This Row],[Status - Continue or stop audit]] = "Continue", TRUE, IF(BL809 = "Continue", TRUE, FALSE))</f>
        <v>1</v>
      </c>
      <c r="BN810" s="22"/>
    </row>
    <row r="811" spans="1:66" ht="15" hidden="1" customHeight="1" x14ac:dyDescent="0.35">
      <c r="A811" s="17" t="str">
        <f>'Sampling Data'!AI811</f>
        <v/>
      </c>
      <c r="B811" s="17" t="str">
        <f>'Sampling Data'!A811</f>
        <v>3803 MADRA C   (ED)</v>
      </c>
      <c r="C811" s="17">
        <f>'Sampling Data'!B811</f>
        <v>117</v>
      </c>
      <c r="D811" s="17">
        <f>'Sampling Data'!C811</f>
        <v>205</v>
      </c>
      <c r="E811" s="18">
        <f>'Sampling Data'!D811</f>
        <v>0</v>
      </c>
      <c r="F811" s="18">
        <f>'Sampling Data'!E811</f>
        <v>0</v>
      </c>
      <c r="G811" s="18">
        <f>'Sampling Data'!F811</f>
        <v>0</v>
      </c>
      <c r="H811" s="18">
        <f>'Sampling Data'!G811</f>
        <v>0</v>
      </c>
      <c r="I811" s="18">
        <f>'Sampling Data'!H811</f>
        <v>0</v>
      </c>
      <c r="J811" s="18">
        <f>'Sampling Data'!I811</f>
        <v>0</v>
      </c>
      <c r="K811" s="18">
        <f>'Sampling Data'!J811</f>
        <v>0</v>
      </c>
      <c r="L811" s="18">
        <f>'Sampling Data'!K811</f>
        <v>0</v>
      </c>
      <c r="M811" s="18">
        <f>'Sampling Data'!L811</f>
        <v>0</v>
      </c>
      <c r="N811" s="18">
        <f>'Sampling Data'!M811</f>
        <v>0</v>
      </c>
      <c r="O811" s="17">
        <f>'Sampling Data'!N811</f>
        <v>0</v>
      </c>
      <c r="P811" s="17">
        <f>'Sampling Data'!O811</f>
        <v>39</v>
      </c>
      <c r="Q811" s="17">
        <f>'Sampling Data'!P811</f>
        <v>361</v>
      </c>
      <c r="R811" s="17">
        <f>'Sampling Data'!AJ811</f>
        <v>0</v>
      </c>
      <c r="S811" s="111"/>
      <c r="T811" s="111"/>
      <c r="U811" s="112"/>
      <c r="V811" s="112"/>
      <c r="W811" s="111"/>
      <c r="X811" s="111"/>
      <c r="Y811" s="111"/>
      <c r="Z811" s="111"/>
      <c r="AA811" s="14"/>
      <c r="AB811" s="14"/>
      <c r="AC811" s="14"/>
      <c r="AD811" s="14"/>
      <c r="AE811" s="113" t="str">
        <f>IF(NOT(ISBLANK(Audit[[#This Row],[Audit Winning Candidate]])), Audit[[#This Row],[Audit Winning Candidate]]-Audit[[#This Row],[Winning Candidate]], "")</f>
        <v/>
      </c>
      <c r="AF811" s="17" t="str">
        <f>IF(NOT(ISBLANK(Audit[[#This Row],[Audit Losing Candidate]])), Audit[[#This Row],[Audit Losing Candidate]]-Audit[[#This Row],[Losing Candidate]], "")</f>
        <v/>
      </c>
      <c r="AG811" s="17" t="str">
        <f>IF(NOT(ISBLANK(Audit[[#This Row],[Audit Candidate 3]])), Audit[[#This Row],[Audit Candidate 3]]-Audit[[#This Row],[Candidate 3]], "")</f>
        <v/>
      </c>
      <c r="AH811" s="17" t="str">
        <f>IF(NOT(ISBLANK(Audit[[#This Row],[Audit Candidate 4]])),Audit[[#This Row],[Audit Candidate 4]]-Audit[[#This Row],[Candidate 4]], "")</f>
        <v/>
      </c>
      <c r="AI811" s="17" t="str">
        <f>IF(NOT(ISBLANK(Audit[[#This Row],[Audit Candidate 5]])), Audit[[#This Row],[Audit Candidate 5]]-Audit[[#This Row],[Candidate 5]], "")</f>
        <v/>
      </c>
      <c r="AJ811" s="17" t="str">
        <f>IF(NOT(ISBLANK(Audit[[#This Row],[Audit Candidate 6]])), Audit[[#This Row],[Audit Candidate 6]]-Audit[[#This Row],[Candidate 6]], "")</f>
        <v/>
      </c>
      <c r="AK811" s="17" t="str">
        <f>IF(NOT(ISBLANK(Audit[[#This Row],[Audit Candidate 7]])), Audit[[#This Row],[Audit Candidate 7]]-Audit[[#This Row],[Candidate 7]], "")</f>
        <v/>
      </c>
      <c r="AL811" s="17" t="str">
        <f>IF(NOT(ISBLANK(Audit[[#This Row],[Audit Candidate 8]])), Audit[[#This Row],[Audit Candidate 8]]-Audit[[#This Row],[Candidate 8]], "")</f>
        <v/>
      </c>
      <c r="AM811" s="17" t="str">
        <f>IF(NOT(ISBLANK(Audit[[#This Row],[Audit Candidate 9]])), Audit[[#This Row],[Audit Candidate 9]]-Audit[[#This Row],[Candidate 9]], "")</f>
        <v/>
      </c>
      <c r="AN811" s="17" t="str">
        <f>IF(NOT(ISBLANK(Audit[[#This Row],[Audit Candidate 10]])), Audit[[#This Row],[Audit Candidate 10]]-Audit[[#This Row],[Candidate 10]], "")</f>
        <v/>
      </c>
      <c r="AO811" s="17" t="str">
        <f>IF(NOT(ISBLANK(Audit[[#This Row],[Audit Candidate 11]])), Audit[[#This Row],[Audit Candidate 11]]-Audit[[#This Row],[Candidate 11]], "")</f>
        <v/>
      </c>
      <c r="AP811" s="17" t="str">
        <f>IF(NOT(ISBLANK(Audit[[#This Row],[Audit Candidate 12]])), Audit[[#This Row],[Audit Candidate 12]]-Audit[[#This Row],[Candidate 12]], "")</f>
        <v/>
      </c>
      <c r="AQ811" s="17">
        <f>SUMIF(Audit[[#This Row],[Difference Winner]:[Difference Candidate 12]], "&gt;0")</f>
        <v>0</v>
      </c>
      <c r="AR811" s="17">
        <f>SUM(Audit[[#This Row],[Difference Winner]:[Difference Candidate 12]])</f>
        <v>0</v>
      </c>
      <c r="AS811" s="17">
        <f>IF(Audit[[#This Row],[Times p Drawn - With Replacement]]&gt;0, IF(Audit[[#This Row],[Canceled Differences]]&lt;0, Audit[[#This Row],[Max Differences]]+ABS(Audit[[#This Row],[Canceled Differences]]), Audit[[#This Row],[Max Differences]]), 0)</f>
        <v>0</v>
      </c>
      <c r="AT811" s="17">
        <f>'Sampling Data'!AB811</f>
        <v>1.158546936004074E-2</v>
      </c>
      <c r="AU811" s="17">
        <f>IF(
      SUM(Audit[[#This Row],[Audit Losing Candidate]:[Audit Candidate 12]])
      &lt;&gt;0,
      (Audit[[#This Row],[Winning Candidate]]-Audit[[#This Row],[Losing Candidate]]-(Audit[[#This Row],[Audit Winning Candidate]]-Audit[[#This Row],[Audit Losing Candidate]]))/(Audit[[#Totals],[Winning Candidate]]-Audit[[#Totals],[Losing Candidate]]),
      0
)</f>
        <v>0</v>
      </c>
      <c r="AV8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1" s="17">
        <f>IF(Audit[[#This Row],[Max Relative Error (ep)]] = 0, 0, Audit[[#This Row],[Max Relative Error (ep)]]/Audit[[#This Row],[Error Bound (up) - Max. possible relative overstatement]])</f>
        <v>0</v>
      </c>
      <c r="BH8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11" s="17">
        <f t="shared" si="13"/>
        <v>1</v>
      </c>
      <c r="BJ811" s="17">
        <f>PRODUCT($BI$5:BI811)</f>
        <v>0.20274654467839762</v>
      </c>
      <c r="BK811" s="19">
        <f>1 - Audit[[#This Row],[K-M P Value]]</f>
        <v>0.79725345532160241</v>
      </c>
      <c r="BL811" s="17" t="str">
        <f>IF(Audit[[#This Row],[K-M P Value]]&gt;1-'General Info'!$B$12,"Continue", "Stop")</f>
        <v>Continue</v>
      </c>
      <c r="BM811" s="22" t="b">
        <f>IF(Audit[[#This Row],[Status - Continue or stop audit]] = "Continue", TRUE, IF(BL810 = "Continue", TRUE, FALSE))</f>
        <v>1</v>
      </c>
      <c r="BN811" s="22"/>
    </row>
    <row r="812" spans="1:66" ht="15" hidden="1" customHeight="1" x14ac:dyDescent="0.35">
      <c r="A812" s="17" t="str">
        <f>'Sampling Data'!AI812</f>
        <v/>
      </c>
      <c r="B812" s="17" t="str">
        <f>'Sampling Data'!A812</f>
        <v>3804 MADRA D   (ED)</v>
      </c>
      <c r="C812" s="17">
        <f>'Sampling Data'!B812</f>
        <v>238</v>
      </c>
      <c r="D812" s="17">
        <f>'Sampling Data'!C812</f>
        <v>304</v>
      </c>
      <c r="E812" s="18">
        <f>'Sampling Data'!D812</f>
        <v>0</v>
      </c>
      <c r="F812" s="18">
        <f>'Sampling Data'!E812</f>
        <v>0</v>
      </c>
      <c r="G812" s="18">
        <f>'Sampling Data'!F812</f>
        <v>0</v>
      </c>
      <c r="H812" s="18">
        <f>'Sampling Data'!G812</f>
        <v>0</v>
      </c>
      <c r="I812" s="18">
        <f>'Sampling Data'!H812</f>
        <v>0</v>
      </c>
      <c r="J812" s="18">
        <f>'Sampling Data'!I812</f>
        <v>0</v>
      </c>
      <c r="K812" s="18">
        <f>'Sampling Data'!J812</f>
        <v>0</v>
      </c>
      <c r="L812" s="18">
        <f>'Sampling Data'!K812</f>
        <v>0</v>
      </c>
      <c r="M812" s="18">
        <f>'Sampling Data'!L812</f>
        <v>0</v>
      </c>
      <c r="N812" s="18">
        <f>'Sampling Data'!M812</f>
        <v>0</v>
      </c>
      <c r="O812" s="17">
        <f>'Sampling Data'!N812</f>
        <v>0</v>
      </c>
      <c r="P812" s="17">
        <f>'Sampling Data'!O812</f>
        <v>45</v>
      </c>
      <c r="Q812" s="17">
        <f>'Sampling Data'!P812</f>
        <v>587</v>
      </c>
      <c r="R812" s="17">
        <f>'Sampling Data'!AJ812</f>
        <v>0</v>
      </c>
      <c r="S812" s="111"/>
      <c r="T812" s="111"/>
      <c r="U812" s="112"/>
      <c r="V812" s="112"/>
      <c r="W812" s="111"/>
      <c r="X812" s="111"/>
      <c r="Y812" s="111"/>
      <c r="Z812" s="111"/>
      <c r="AA812" s="14"/>
      <c r="AB812" s="14"/>
      <c r="AC812" s="14"/>
      <c r="AD812" s="14"/>
      <c r="AE812" s="113" t="str">
        <f>IF(NOT(ISBLANK(Audit[[#This Row],[Audit Winning Candidate]])), Audit[[#This Row],[Audit Winning Candidate]]-Audit[[#This Row],[Winning Candidate]], "")</f>
        <v/>
      </c>
      <c r="AF812" s="17" t="str">
        <f>IF(NOT(ISBLANK(Audit[[#This Row],[Audit Losing Candidate]])), Audit[[#This Row],[Audit Losing Candidate]]-Audit[[#This Row],[Losing Candidate]], "")</f>
        <v/>
      </c>
      <c r="AG812" s="17" t="str">
        <f>IF(NOT(ISBLANK(Audit[[#This Row],[Audit Candidate 3]])), Audit[[#This Row],[Audit Candidate 3]]-Audit[[#This Row],[Candidate 3]], "")</f>
        <v/>
      </c>
      <c r="AH812" s="17" t="str">
        <f>IF(NOT(ISBLANK(Audit[[#This Row],[Audit Candidate 4]])),Audit[[#This Row],[Audit Candidate 4]]-Audit[[#This Row],[Candidate 4]], "")</f>
        <v/>
      </c>
      <c r="AI812" s="17" t="str">
        <f>IF(NOT(ISBLANK(Audit[[#This Row],[Audit Candidate 5]])), Audit[[#This Row],[Audit Candidate 5]]-Audit[[#This Row],[Candidate 5]], "")</f>
        <v/>
      </c>
      <c r="AJ812" s="17" t="str">
        <f>IF(NOT(ISBLANK(Audit[[#This Row],[Audit Candidate 6]])), Audit[[#This Row],[Audit Candidate 6]]-Audit[[#This Row],[Candidate 6]], "")</f>
        <v/>
      </c>
      <c r="AK812" s="17" t="str">
        <f>IF(NOT(ISBLANK(Audit[[#This Row],[Audit Candidate 7]])), Audit[[#This Row],[Audit Candidate 7]]-Audit[[#This Row],[Candidate 7]], "")</f>
        <v/>
      </c>
      <c r="AL812" s="17" t="str">
        <f>IF(NOT(ISBLANK(Audit[[#This Row],[Audit Candidate 8]])), Audit[[#This Row],[Audit Candidate 8]]-Audit[[#This Row],[Candidate 8]], "")</f>
        <v/>
      </c>
      <c r="AM812" s="17" t="str">
        <f>IF(NOT(ISBLANK(Audit[[#This Row],[Audit Candidate 9]])), Audit[[#This Row],[Audit Candidate 9]]-Audit[[#This Row],[Candidate 9]], "")</f>
        <v/>
      </c>
      <c r="AN812" s="17" t="str">
        <f>IF(NOT(ISBLANK(Audit[[#This Row],[Audit Candidate 10]])), Audit[[#This Row],[Audit Candidate 10]]-Audit[[#This Row],[Candidate 10]], "")</f>
        <v/>
      </c>
      <c r="AO812" s="17" t="str">
        <f>IF(NOT(ISBLANK(Audit[[#This Row],[Audit Candidate 11]])), Audit[[#This Row],[Audit Candidate 11]]-Audit[[#This Row],[Candidate 11]], "")</f>
        <v/>
      </c>
      <c r="AP812" s="17" t="str">
        <f>IF(NOT(ISBLANK(Audit[[#This Row],[Audit Candidate 12]])), Audit[[#This Row],[Audit Candidate 12]]-Audit[[#This Row],[Candidate 12]], "")</f>
        <v/>
      </c>
      <c r="AQ812" s="17">
        <f>SUMIF(Audit[[#This Row],[Difference Winner]:[Difference Candidate 12]], "&gt;0")</f>
        <v>0</v>
      </c>
      <c r="AR812" s="17">
        <f>SUM(Audit[[#This Row],[Difference Winner]:[Difference Candidate 12]])</f>
        <v>0</v>
      </c>
      <c r="AS812" s="17">
        <f>IF(Audit[[#This Row],[Times p Drawn - With Replacement]]&gt;0, IF(Audit[[#This Row],[Canceled Differences]]&lt;0, Audit[[#This Row],[Max Differences]]+ABS(Audit[[#This Row],[Canceled Differences]]), Audit[[#This Row],[Max Differences]]), 0)</f>
        <v>0</v>
      </c>
      <c r="AT812" s="17">
        <f>'Sampling Data'!AB812</f>
        <v>2.2109998302495333E-2</v>
      </c>
      <c r="AU812" s="17">
        <f>IF(
      SUM(Audit[[#This Row],[Audit Losing Candidate]:[Audit Candidate 12]])
      &lt;&gt;0,
      (Audit[[#This Row],[Winning Candidate]]-Audit[[#This Row],[Losing Candidate]]-(Audit[[#This Row],[Audit Winning Candidate]]-Audit[[#This Row],[Audit Losing Candidate]]))/(Audit[[#Totals],[Winning Candidate]]-Audit[[#Totals],[Losing Candidate]]),
      0
)</f>
        <v>0</v>
      </c>
      <c r="AV8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2" s="17">
        <f>IF(Audit[[#This Row],[Max Relative Error (ep)]] = 0, 0, Audit[[#This Row],[Max Relative Error (ep)]]/Audit[[#This Row],[Error Bound (up) - Max. possible relative overstatement]])</f>
        <v>0</v>
      </c>
      <c r="BH8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12" s="17">
        <f t="shared" si="13"/>
        <v>1</v>
      </c>
      <c r="BJ812" s="17">
        <f>PRODUCT($BI$5:BI812)</f>
        <v>0.20274654467839762</v>
      </c>
      <c r="BK812" s="19">
        <f>1 - Audit[[#This Row],[K-M P Value]]</f>
        <v>0.79725345532160241</v>
      </c>
      <c r="BL812" s="17" t="str">
        <f>IF(Audit[[#This Row],[K-M P Value]]&gt;1-'General Info'!$B$12,"Continue", "Stop")</f>
        <v>Continue</v>
      </c>
      <c r="BM812" s="22" t="b">
        <f>IF(Audit[[#This Row],[Status - Continue or stop audit]] = "Continue", TRUE, IF(BL811 = "Continue", TRUE, FALSE))</f>
        <v>1</v>
      </c>
      <c r="BN812" s="22"/>
    </row>
    <row r="813" spans="1:66" ht="15" hidden="1" customHeight="1" x14ac:dyDescent="0.35">
      <c r="A813" s="17" t="str">
        <f>'Sampling Data'!AI813</f>
        <v/>
      </c>
      <c r="B813" s="17" t="str">
        <f>'Sampling Data'!A813</f>
        <v>3805 MADRA E   (ED)</v>
      </c>
      <c r="C813" s="17">
        <f>'Sampling Data'!B813</f>
        <v>126</v>
      </c>
      <c r="D813" s="17">
        <f>'Sampling Data'!C813</f>
        <v>159</v>
      </c>
      <c r="E813" s="18">
        <f>'Sampling Data'!D813</f>
        <v>0</v>
      </c>
      <c r="F813" s="18">
        <f>'Sampling Data'!E813</f>
        <v>0</v>
      </c>
      <c r="G813" s="18">
        <f>'Sampling Data'!F813</f>
        <v>0</v>
      </c>
      <c r="H813" s="18">
        <f>'Sampling Data'!G813</f>
        <v>0</v>
      </c>
      <c r="I813" s="18">
        <f>'Sampling Data'!H813</f>
        <v>0</v>
      </c>
      <c r="J813" s="18">
        <f>'Sampling Data'!I813</f>
        <v>0</v>
      </c>
      <c r="K813" s="18">
        <f>'Sampling Data'!J813</f>
        <v>0</v>
      </c>
      <c r="L813" s="18">
        <f>'Sampling Data'!K813</f>
        <v>0</v>
      </c>
      <c r="M813" s="18">
        <f>'Sampling Data'!L813</f>
        <v>0</v>
      </c>
      <c r="N813" s="18">
        <f>'Sampling Data'!M813</f>
        <v>0</v>
      </c>
      <c r="O813" s="17">
        <f>'Sampling Data'!N813</f>
        <v>0</v>
      </c>
      <c r="P813" s="17">
        <f>'Sampling Data'!O813</f>
        <v>14</v>
      </c>
      <c r="Q813" s="17">
        <f>'Sampling Data'!P813</f>
        <v>299</v>
      </c>
      <c r="R813" s="17">
        <f>'Sampling Data'!AJ813</f>
        <v>0</v>
      </c>
      <c r="S813" s="111"/>
      <c r="T813" s="111"/>
      <c r="U813" s="112"/>
      <c r="V813" s="112"/>
      <c r="W813" s="111"/>
      <c r="X813" s="111"/>
      <c r="Y813" s="111"/>
      <c r="Z813" s="111"/>
      <c r="AA813" s="14"/>
      <c r="AB813" s="14"/>
      <c r="AC813" s="14"/>
      <c r="AD813" s="14"/>
      <c r="AE813" s="113" t="str">
        <f>IF(NOT(ISBLANK(Audit[[#This Row],[Audit Winning Candidate]])), Audit[[#This Row],[Audit Winning Candidate]]-Audit[[#This Row],[Winning Candidate]], "")</f>
        <v/>
      </c>
      <c r="AF813" s="17" t="str">
        <f>IF(NOT(ISBLANK(Audit[[#This Row],[Audit Losing Candidate]])), Audit[[#This Row],[Audit Losing Candidate]]-Audit[[#This Row],[Losing Candidate]], "")</f>
        <v/>
      </c>
      <c r="AG813" s="17" t="str">
        <f>IF(NOT(ISBLANK(Audit[[#This Row],[Audit Candidate 3]])), Audit[[#This Row],[Audit Candidate 3]]-Audit[[#This Row],[Candidate 3]], "")</f>
        <v/>
      </c>
      <c r="AH813" s="17" t="str">
        <f>IF(NOT(ISBLANK(Audit[[#This Row],[Audit Candidate 4]])),Audit[[#This Row],[Audit Candidate 4]]-Audit[[#This Row],[Candidate 4]], "")</f>
        <v/>
      </c>
      <c r="AI813" s="17" t="str">
        <f>IF(NOT(ISBLANK(Audit[[#This Row],[Audit Candidate 5]])), Audit[[#This Row],[Audit Candidate 5]]-Audit[[#This Row],[Candidate 5]], "")</f>
        <v/>
      </c>
      <c r="AJ813" s="17" t="str">
        <f>IF(NOT(ISBLANK(Audit[[#This Row],[Audit Candidate 6]])), Audit[[#This Row],[Audit Candidate 6]]-Audit[[#This Row],[Candidate 6]], "")</f>
        <v/>
      </c>
      <c r="AK813" s="17" t="str">
        <f>IF(NOT(ISBLANK(Audit[[#This Row],[Audit Candidate 7]])), Audit[[#This Row],[Audit Candidate 7]]-Audit[[#This Row],[Candidate 7]], "")</f>
        <v/>
      </c>
      <c r="AL813" s="17" t="str">
        <f>IF(NOT(ISBLANK(Audit[[#This Row],[Audit Candidate 8]])), Audit[[#This Row],[Audit Candidate 8]]-Audit[[#This Row],[Candidate 8]], "")</f>
        <v/>
      </c>
      <c r="AM813" s="17" t="str">
        <f>IF(NOT(ISBLANK(Audit[[#This Row],[Audit Candidate 9]])), Audit[[#This Row],[Audit Candidate 9]]-Audit[[#This Row],[Candidate 9]], "")</f>
        <v/>
      </c>
      <c r="AN813" s="17" t="str">
        <f>IF(NOT(ISBLANK(Audit[[#This Row],[Audit Candidate 10]])), Audit[[#This Row],[Audit Candidate 10]]-Audit[[#This Row],[Candidate 10]], "")</f>
        <v/>
      </c>
      <c r="AO813" s="17" t="str">
        <f>IF(NOT(ISBLANK(Audit[[#This Row],[Audit Candidate 11]])), Audit[[#This Row],[Audit Candidate 11]]-Audit[[#This Row],[Candidate 11]], "")</f>
        <v/>
      </c>
      <c r="AP813" s="17" t="str">
        <f>IF(NOT(ISBLANK(Audit[[#This Row],[Audit Candidate 12]])), Audit[[#This Row],[Audit Candidate 12]]-Audit[[#This Row],[Candidate 12]], "")</f>
        <v/>
      </c>
      <c r="AQ813" s="17">
        <f>SUMIF(Audit[[#This Row],[Difference Winner]:[Difference Candidate 12]], "&gt;0")</f>
        <v>0</v>
      </c>
      <c r="AR813" s="17">
        <f>SUM(Audit[[#This Row],[Difference Winner]:[Difference Candidate 12]])</f>
        <v>0</v>
      </c>
      <c r="AS813" s="17">
        <f>IF(Audit[[#This Row],[Times p Drawn - With Replacement]]&gt;0, IF(Audit[[#This Row],[Canceled Differences]]&lt;0, Audit[[#This Row],[Max Differences]]+ABS(Audit[[#This Row],[Canceled Differences]]), Audit[[#This Row],[Max Differences]]), 0)</f>
        <v>0</v>
      </c>
      <c r="AT813" s="17">
        <f>'Sampling Data'!AB813</f>
        <v>1.1288406043116619E-2</v>
      </c>
      <c r="AU813" s="17">
        <f>IF(
      SUM(Audit[[#This Row],[Audit Losing Candidate]:[Audit Candidate 12]])
      &lt;&gt;0,
      (Audit[[#This Row],[Winning Candidate]]-Audit[[#This Row],[Losing Candidate]]-(Audit[[#This Row],[Audit Winning Candidate]]-Audit[[#This Row],[Audit Losing Candidate]]))/(Audit[[#Totals],[Winning Candidate]]-Audit[[#Totals],[Losing Candidate]]),
      0
)</f>
        <v>0</v>
      </c>
      <c r="AV8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3" s="17">
        <f>IF(Audit[[#This Row],[Max Relative Error (ep)]] = 0, 0, Audit[[#This Row],[Max Relative Error (ep)]]/Audit[[#This Row],[Error Bound (up) - Max. possible relative overstatement]])</f>
        <v>0</v>
      </c>
      <c r="BH8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13" s="17">
        <f t="shared" si="13"/>
        <v>1</v>
      </c>
      <c r="BJ813" s="17">
        <f>PRODUCT($BI$5:BI813)</f>
        <v>0.20274654467839762</v>
      </c>
      <c r="BK813" s="19">
        <f>1 - Audit[[#This Row],[K-M P Value]]</f>
        <v>0.79725345532160241</v>
      </c>
      <c r="BL813" s="17" t="str">
        <f>IF(Audit[[#This Row],[K-M P Value]]&gt;1-'General Info'!$B$12,"Continue", "Stop")</f>
        <v>Continue</v>
      </c>
      <c r="BM813" s="22" t="b">
        <f>IF(Audit[[#This Row],[Status - Continue or stop audit]] = "Continue", TRUE, IF(BL812 = "Continue", TRUE, FALSE))</f>
        <v>1</v>
      </c>
      <c r="BN813" s="22"/>
    </row>
    <row r="814" spans="1:66" ht="15" hidden="1" customHeight="1" x14ac:dyDescent="0.35">
      <c r="A814" s="17" t="str">
        <f>'Sampling Data'!AI814</f>
        <v/>
      </c>
      <c r="B814" s="17" t="str">
        <f>'Sampling Data'!A814</f>
        <v>3806 MADRA F   (ED)</v>
      </c>
      <c r="C814" s="17">
        <f>'Sampling Data'!B814</f>
        <v>196</v>
      </c>
      <c r="D814" s="17">
        <f>'Sampling Data'!C814</f>
        <v>341</v>
      </c>
      <c r="E814" s="18">
        <f>'Sampling Data'!D814</f>
        <v>0</v>
      </c>
      <c r="F814" s="18">
        <f>'Sampling Data'!E814</f>
        <v>0</v>
      </c>
      <c r="G814" s="18">
        <f>'Sampling Data'!F814</f>
        <v>0</v>
      </c>
      <c r="H814" s="18">
        <f>'Sampling Data'!G814</f>
        <v>0</v>
      </c>
      <c r="I814" s="18">
        <f>'Sampling Data'!H814</f>
        <v>0</v>
      </c>
      <c r="J814" s="18">
        <f>'Sampling Data'!I814</f>
        <v>0</v>
      </c>
      <c r="K814" s="18">
        <f>'Sampling Data'!J814</f>
        <v>0</v>
      </c>
      <c r="L814" s="18">
        <f>'Sampling Data'!K814</f>
        <v>0</v>
      </c>
      <c r="M814" s="18">
        <f>'Sampling Data'!L814</f>
        <v>0</v>
      </c>
      <c r="N814" s="18">
        <f>'Sampling Data'!M814</f>
        <v>0</v>
      </c>
      <c r="O814" s="17">
        <f>'Sampling Data'!N814</f>
        <v>0</v>
      </c>
      <c r="P814" s="17">
        <f>'Sampling Data'!O814</f>
        <v>45</v>
      </c>
      <c r="Q814" s="17">
        <f>'Sampling Data'!P814</f>
        <v>582</v>
      </c>
      <c r="R814" s="17">
        <f>'Sampling Data'!AJ814</f>
        <v>0</v>
      </c>
      <c r="S814" s="111"/>
      <c r="T814" s="111"/>
      <c r="U814" s="112"/>
      <c r="V814" s="112"/>
      <c r="W814" s="111"/>
      <c r="X814" s="111"/>
      <c r="Y814" s="111"/>
      <c r="Z814" s="111"/>
      <c r="AA814" s="14"/>
      <c r="AB814" s="14"/>
      <c r="AC814" s="14"/>
      <c r="AD814" s="14"/>
      <c r="AE814" s="113" t="str">
        <f>IF(NOT(ISBLANK(Audit[[#This Row],[Audit Winning Candidate]])), Audit[[#This Row],[Audit Winning Candidate]]-Audit[[#This Row],[Winning Candidate]], "")</f>
        <v/>
      </c>
      <c r="AF814" s="17" t="str">
        <f>IF(NOT(ISBLANK(Audit[[#This Row],[Audit Losing Candidate]])), Audit[[#This Row],[Audit Losing Candidate]]-Audit[[#This Row],[Losing Candidate]], "")</f>
        <v/>
      </c>
      <c r="AG814" s="17" t="str">
        <f>IF(NOT(ISBLANK(Audit[[#This Row],[Audit Candidate 3]])), Audit[[#This Row],[Audit Candidate 3]]-Audit[[#This Row],[Candidate 3]], "")</f>
        <v/>
      </c>
      <c r="AH814" s="17" t="str">
        <f>IF(NOT(ISBLANK(Audit[[#This Row],[Audit Candidate 4]])),Audit[[#This Row],[Audit Candidate 4]]-Audit[[#This Row],[Candidate 4]], "")</f>
        <v/>
      </c>
      <c r="AI814" s="17" t="str">
        <f>IF(NOT(ISBLANK(Audit[[#This Row],[Audit Candidate 5]])), Audit[[#This Row],[Audit Candidate 5]]-Audit[[#This Row],[Candidate 5]], "")</f>
        <v/>
      </c>
      <c r="AJ814" s="17" t="str">
        <f>IF(NOT(ISBLANK(Audit[[#This Row],[Audit Candidate 6]])), Audit[[#This Row],[Audit Candidate 6]]-Audit[[#This Row],[Candidate 6]], "")</f>
        <v/>
      </c>
      <c r="AK814" s="17" t="str">
        <f>IF(NOT(ISBLANK(Audit[[#This Row],[Audit Candidate 7]])), Audit[[#This Row],[Audit Candidate 7]]-Audit[[#This Row],[Candidate 7]], "")</f>
        <v/>
      </c>
      <c r="AL814" s="17" t="str">
        <f>IF(NOT(ISBLANK(Audit[[#This Row],[Audit Candidate 8]])), Audit[[#This Row],[Audit Candidate 8]]-Audit[[#This Row],[Candidate 8]], "")</f>
        <v/>
      </c>
      <c r="AM814" s="17" t="str">
        <f>IF(NOT(ISBLANK(Audit[[#This Row],[Audit Candidate 9]])), Audit[[#This Row],[Audit Candidate 9]]-Audit[[#This Row],[Candidate 9]], "")</f>
        <v/>
      </c>
      <c r="AN814" s="17" t="str">
        <f>IF(NOT(ISBLANK(Audit[[#This Row],[Audit Candidate 10]])), Audit[[#This Row],[Audit Candidate 10]]-Audit[[#This Row],[Candidate 10]], "")</f>
        <v/>
      </c>
      <c r="AO814" s="17" t="str">
        <f>IF(NOT(ISBLANK(Audit[[#This Row],[Audit Candidate 11]])), Audit[[#This Row],[Audit Candidate 11]]-Audit[[#This Row],[Candidate 11]], "")</f>
        <v/>
      </c>
      <c r="AP814" s="17" t="str">
        <f>IF(NOT(ISBLANK(Audit[[#This Row],[Audit Candidate 12]])), Audit[[#This Row],[Audit Candidate 12]]-Audit[[#This Row],[Candidate 12]], "")</f>
        <v/>
      </c>
      <c r="AQ814" s="17">
        <f>SUMIF(Audit[[#This Row],[Difference Winner]:[Difference Candidate 12]], "&gt;0")</f>
        <v>0</v>
      </c>
      <c r="AR814" s="17">
        <f>SUM(Audit[[#This Row],[Difference Winner]:[Difference Candidate 12]])</f>
        <v>0</v>
      </c>
      <c r="AS814" s="17">
        <f>IF(Audit[[#This Row],[Times p Drawn - With Replacement]]&gt;0, IF(Audit[[#This Row],[Canceled Differences]]&lt;0, Audit[[#This Row],[Max Differences]]+ABS(Audit[[#This Row],[Canceled Differences]]), Audit[[#This Row],[Max Differences]]), 0)</f>
        <v>0</v>
      </c>
      <c r="AT814" s="17">
        <f>'Sampling Data'!AB814</f>
        <v>1.8545238499405873E-2</v>
      </c>
      <c r="AU814" s="17">
        <f>IF(
      SUM(Audit[[#This Row],[Audit Losing Candidate]:[Audit Candidate 12]])
      &lt;&gt;0,
      (Audit[[#This Row],[Winning Candidate]]-Audit[[#This Row],[Losing Candidate]]-(Audit[[#This Row],[Audit Winning Candidate]]-Audit[[#This Row],[Audit Losing Candidate]]))/(Audit[[#Totals],[Winning Candidate]]-Audit[[#Totals],[Losing Candidate]]),
      0
)</f>
        <v>0</v>
      </c>
      <c r="AV8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4" s="17">
        <f>IF(Audit[[#This Row],[Max Relative Error (ep)]] = 0, 0, Audit[[#This Row],[Max Relative Error (ep)]]/Audit[[#This Row],[Error Bound (up) - Max. possible relative overstatement]])</f>
        <v>0</v>
      </c>
      <c r="BH8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14" s="17">
        <f t="shared" si="13"/>
        <v>1</v>
      </c>
      <c r="BJ814" s="17">
        <f>PRODUCT($BI$5:BI814)</f>
        <v>0.20274654467839762</v>
      </c>
      <c r="BK814" s="19">
        <f>1 - Audit[[#This Row],[K-M P Value]]</f>
        <v>0.79725345532160241</v>
      </c>
      <c r="BL814" s="17" t="str">
        <f>IF(Audit[[#This Row],[K-M P Value]]&gt;1-'General Info'!$B$12,"Continue", "Stop")</f>
        <v>Continue</v>
      </c>
      <c r="BM814" s="22" t="b">
        <f>IF(Audit[[#This Row],[Status - Continue or stop audit]] = "Continue", TRUE, IF(BL813 = "Continue", TRUE, FALSE))</f>
        <v>1</v>
      </c>
      <c r="BN814" s="22"/>
    </row>
    <row r="815" spans="1:66" ht="15" hidden="1" customHeight="1" x14ac:dyDescent="0.35">
      <c r="A815" s="17" t="str">
        <f>'Sampling Data'!AI815</f>
        <v/>
      </c>
      <c r="B815" s="17" t="str">
        <f>'Sampling Data'!A815</f>
        <v>3807 MADRA G   (ED)</v>
      </c>
      <c r="C815" s="17">
        <f>'Sampling Data'!B815</f>
        <v>148</v>
      </c>
      <c r="D815" s="17">
        <f>'Sampling Data'!C815</f>
        <v>183</v>
      </c>
      <c r="E815" s="18">
        <f>'Sampling Data'!D815</f>
        <v>0</v>
      </c>
      <c r="F815" s="18">
        <f>'Sampling Data'!E815</f>
        <v>0</v>
      </c>
      <c r="G815" s="18">
        <f>'Sampling Data'!F815</f>
        <v>0</v>
      </c>
      <c r="H815" s="18">
        <f>'Sampling Data'!G815</f>
        <v>0</v>
      </c>
      <c r="I815" s="18">
        <f>'Sampling Data'!H815</f>
        <v>0</v>
      </c>
      <c r="J815" s="18">
        <f>'Sampling Data'!I815</f>
        <v>0</v>
      </c>
      <c r="K815" s="18">
        <f>'Sampling Data'!J815</f>
        <v>0</v>
      </c>
      <c r="L815" s="18">
        <f>'Sampling Data'!K815</f>
        <v>0</v>
      </c>
      <c r="M815" s="18">
        <f>'Sampling Data'!L815</f>
        <v>0</v>
      </c>
      <c r="N815" s="18">
        <f>'Sampling Data'!M815</f>
        <v>0</v>
      </c>
      <c r="O815" s="17">
        <f>'Sampling Data'!N815</f>
        <v>0</v>
      </c>
      <c r="P815" s="17">
        <f>'Sampling Data'!O815</f>
        <v>44</v>
      </c>
      <c r="Q815" s="17">
        <f>'Sampling Data'!P815</f>
        <v>375</v>
      </c>
      <c r="R815" s="17">
        <f>'Sampling Data'!AJ815</f>
        <v>0</v>
      </c>
      <c r="S815" s="111"/>
      <c r="T815" s="111"/>
      <c r="U815" s="112"/>
      <c r="V815" s="112"/>
      <c r="W815" s="111"/>
      <c r="X815" s="111"/>
      <c r="Y815" s="111"/>
      <c r="Z815" s="111"/>
      <c r="AA815" s="14"/>
      <c r="AB815" s="14"/>
      <c r="AC815" s="14"/>
      <c r="AD815" s="14"/>
      <c r="AE815" s="113" t="str">
        <f>IF(NOT(ISBLANK(Audit[[#This Row],[Audit Winning Candidate]])), Audit[[#This Row],[Audit Winning Candidate]]-Audit[[#This Row],[Winning Candidate]], "")</f>
        <v/>
      </c>
      <c r="AF815" s="17" t="str">
        <f>IF(NOT(ISBLANK(Audit[[#This Row],[Audit Losing Candidate]])), Audit[[#This Row],[Audit Losing Candidate]]-Audit[[#This Row],[Losing Candidate]], "")</f>
        <v/>
      </c>
      <c r="AG815" s="17" t="str">
        <f>IF(NOT(ISBLANK(Audit[[#This Row],[Audit Candidate 3]])), Audit[[#This Row],[Audit Candidate 3]]-Audit[[#This Row],[Candidate 3]], "")</f>
        <v/>
      </c>
      <c r="AH815" s="17" t="str">
        <f>IF(NOT(ISBLANK(Audit[[#This Row],[Audit Candidate 4]])),Audit[[#This Row],[Audit Candidate 4]]-Audit[[#This Row],[Candidate 4]], "")</f>
        <v/>
      </c>
      <c r="AI815" s="17" t="str">
        <f>IF(NOT(ISBLANK(Audit[[#This Row],[Audit Candidate 5]])), Audit[[#This Row],[Audit Candidate 5]]-Audit[[#This Row],[Candidate 5]], "")</f>
        <v/>
      </c>
      <c r="AJ815" s="17" t="str">
        <f>IF(NOT(ISBLANK(Audit[[#This Row],[Audit Candidate 6]])), Audit[[#This Row],[Audit Candidate 6]]-Audit[[#This Row],[Candidate 6]], "")</f>
        <v/>
      </c>
      <c r="AK815" s="17" t="str">
        <f>IF(NOT(ISBLANK(Audit[[#This Row],[Audit Candidate 7]])), Audit[[#This Row],[Audit Candidate 7]]-Audit[[#This Row],[Candidate 7]], "")</f>
        <v/>
      </c>
      <c r="AL815" s="17" t="str">
        <f>IF(NOT(ISBLANK(Audit[[#This Row],[Audit Candidate 8]])), Audit[[#This Row],[Audit Candidate 8]]-Audit[[#This Row],[Candidate 8]], "")</f>
        <v/>
      </c>
      <c r="AM815" s="17" t="str">
        <f>IF(NOT(ISBLANK(Audit[[#This Row],[Audit Candidate 9]])), Audit[[#This Row],[Audit Candidate 9]]-Audit[[#This Row],[Candidate 9]], "")</f>
        <v/>
      </c>
      <c r="AN815" s="17" t="str">
        <f>IF(NOT(ISBLANK(Audit[[#This Row],[Audit Candidate 10]])), Audit[[#This Row],[Audit Candidate 10]]-Audit[[#This Row],[Candidate 10]], "")</f>
        <v/>
      </c>
      <c r="AO815" s="17" t="str">
        <f>IF(NOT(ISBLANK(Audit[[#This Row],[Audit Candidate 11]])), Audit[[#This Row],[Audit Candidate 11]]-Audit[[#This Row],[Candidate 11]], "")</f>
        <v/>
      </c>
      <c r="AP815" s="17" t="str">
        <f>IF(NOT(ISBLANK(Audit[[#This Row],[Audit Candidate 12]])), Audit[[#This Row],[Audit Candidate 12]]-Audit[[#This Row],[Candidate 12]], "")</f>
        <v/>
      </c>
      <c r="AQ815" s="17">
        <f>SUMIF(Audit[[#This Row],[Difference Winner]:[Difference Candidate 12]], "&gt;0")</f>
        <v>0</v>
      </c>
      <c r="AR815" s="17">
        <f>SUM(Audit[[#This Row],[Difference Winner]:[Difference Candidate 12]])</f>
        <v>0</v>
      </c>
      <c r="AS815" s="17">
        <f>IF(Audit[[#This Row],[Times p Drawn - With Replacement]]&gt;0, IF(Audit[[#This Row],[Canceled Differences]]&lt;0, Audit[[#This Row],[Max Differences]]+ABS(Audit[[#This Row],[Canceled Differences]]), Audit[[#This Row],[Max Differences]]), 0)</f>
        <v>0</v>
      </c>
      <c r="AT815" s="17">
        <f>'Sampling Data'!AB815</f>
        <v>1.4428789679171617E-2</v>
      </c>
      <c r="AU815" s="17">
        <f>IF(
      SUM(Audit[[#This Row],[Audit Losing Candidate]:[Audit Candidate 12]])
      &lt;&gt;0,
      (Audit[[#This Row],[Winning Candidate]]-Audit[[#This Row],[Losing Candidate]]-(Audit[[#This Row],[Audit Winning Candidate]]-Audit[[#This Row],[Audit Losing Candidate]]))/(Audit[[#Totals],[Winning Candidate]]-Audit[[#Totals],[Losing Candidate]]),
      0
)</f>
        <v>0</v>
      </c>
      <c r="AV8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5" s="17">
        <f>IF(Audit[[#This Row],[Max Relative Error (ep)]] = 0, 0, Audit[[#This Row],[Max Relative Error (ep)]]/Audit[[#This Row],[Error Bound (up) - Max. possible relative overstatement]])</f>
        <v>0</v>
      </c>
      <c r="BH8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15" s="17">
        <f t="shared" si="13"/>
        <v>1</v>
      </c>
      <c r="BJ815" s="17">
        <f>PRODUCT($BI$5:BI815)</f>
        <v>0.20274654467839762</v>
      </c>
      <c r="BK815" s="19">
        <f>1 - Audit[[#This Row],[K-M P Value]]</f>
        <v>0.79725345532160241</v>
      </c>
      <c r="BL815" s="17" t="str">
        <f>IF(Audit[[#This Row],[K-M P Value]]&gt;1-'General Info'!$B$12,"Continue", "Stop")</f>
        <v>Continue</v>
      </c>
      <c r="BM815" s="22" t="b">
        <f>IF(Audit[[#This Row],[Status - Continue or stop audit]] = "Continue", TRUE, IF(BL814 = "Continue", TRUE, FALSE))</f>
        <v>1</v>
      </c>
      <c r="BN815" s="22"/>
    </row>
    <row r="816" spans="1:66" ht="15" hidden="1" customHeight="1" x14ac:dyDescent="0.35">
      <c r="A816" s="17" t="str">
        <f>'Sampling Data'!AI816</f>
        <v/>
      </c>
      <c r="B816" s="17" t="str">
        <f>'Sampling Data'!A816</f>
        <v>3808 MADRA H   (ED)</v>
      </c>
      <c r="C816" s="17">
        <f>'Sampling Data'!B816</f>
        <v>123</v>
      </c>
      <c r="D816" s="17">
        <f>'Sampling Data'!C816</f>
        <v>160</v>
      </c>
      <c r="E816" s="18">
        <f>'Sampling Data'!D816</f>
        <v>0</v>
      </c>
      <c r="F816" s="18">
        <f>'Sampling Data'!E816</f>
        <v>0</v>
      </c>
      <c r="G816" s="18">
        <f>'Sampling Data'!F816</f>
        <v>0</v>
      </c>
      <c r="H816" s="18">
        <f>'Sampling Data'!G816</f>
        <v>0</v>
      </c>
      <c r="I816" s="18">
        <f>'Sampling Data'!H816</f>
        <v>0</v>
      </c>
      <c r="J816" s="18">
        <f>'Sampling Data'!I816</f>
        <v>0</v>
      </c>
      <c r="K816" s="18">
        <f>'Sampling Data'!J816</f>
        <v>0</v>
      </c>
      <c r="L816" s="18">
        <f>'Sampling Data'!K816</f>
        <v>0</v>
      </c>
      <c r="M816" s="18">
        <f>'Sampling Data'!L816</f>
        <v>0</v>
      </c>
      <c r="N816" s="18">
        <f>'Sampling Data'!M816</f>
        <v>0</v>
      </c>
      <c r="O816" s="17">
        <f>'Sampling Data'!N816</f>
        <v>1</v>
      </c>
      <c r="P816" s="17">
        <f>'Sampling Data'!O816</f>
        <v>31</v>
      </c>
      <c r="Q816" s="17">
        <f>'Sampling Data'!P816</f>
        <v>315</v>
      </c>
      <c r="R816" s="17">
        <f>'Sampling Data'!AJ816</f>
        <v>0</v>
      </c>
      <c r="S816" s="111"/>
      <c r="T816" s="111"/>
      <c r="U816" s="112"/>
      <c r="V816" s="112"/>
      <c r="W816" s="111"/>
      <c r="X816" s="111"/>
      <c r="Y816" s="111"/>
      <c r="Z816" s="111"/>
      <c r="AA816" s="14"/>
      <c r="AB816" s="14"/>
      <c r="AC816" s="14"/>
      <c r="AD816" s="14"/>
      <c r="AE816" s="113" t="str">
        <f>IF(NOT(ISBLANK(Audit[[#This Row],[Audit Winning Candidate]])), Audit[[#This Row],[Audit Winning Candidate]]-Audit[[#This Row],[Winning Candidate]], "")</f>
        <v/>
      </c>
      <c r="AF816" s="17" t="str">
        <f>IF(NOT(ISBLANK(Audit[[#This Row],[Audit Losing Candidate]])), Audit[[#This Row],[Audit Losing Candidate]]-Audit[[#This Row],[Losing Candidate]], "")</f>
        <v/>
      </c>
      <c r="AG816" s="17" t="str">
        <f>IF(NOT(ISBLANK(Audit[[#This Row],[Audit Candidate 3]])), Audit[[#This Row],[Audit Candidate 3]]-Audit[[#This Row],[Candidate 3]], "")</f>
        <v/>
      </c>
      <c r="AH816" s="17" t="str">
        <f>IF(NOT(ISBLANK(Audit[[#This Row],[Audit Candidate 4]])),Audit[[#This Row],[Audit Candidate 4]]-Audit[[#This Row],[Candidate 4]], "")</f>
        <v/>
      </c>
      <c r="AI816" s="17" t="str">
        <f>IF(NOT(ISBLANK(Audit[[#This Row],[Audit Candidate 5]])), Audit[[#This Row],[Audit Candidate 5]]-Audit[[#This Row],[Candidate 5]], "")</f>
        <v/>
      </c>
      <c r="AJ816" s="17" t="str">
        <f>IF(NOT(ISBLANK(Audit[[#This Row],[Audit Candidate 6]])), Audit[[#This Row],[Audit Candidate 6]]-Audit[[#This Row],[Candidate 6]], "")</f>
        <v/>
      </c>
      <c r="AK816" s="17" t="str">
        <f>IF(NOT(ISBLANK(Audit[[#This Row],[Audit Candidate 7]])), Audit[[#This Row],[Audit Candidate 7]]-Audit[[#This Row],[Candidate 7]], "")</f>
        <v/>
      </c>
      <c r="AL816" s="17" t="str">
        <f>IF(NOT(ISBLANK(Audit[[#This Row],[Audit Candidate 8]])), Audit[[#This Row],[Audit Candidate 8]]-Audit[[#This Row],[Candidate 8]], "")</f>
        <v/>
      </c>
      <c r="AM816" s="17" t="str">
        <f>IF(NOT(ISBLANK(Audit[[#This Row],[Audit Candidate 9]])), Audit[[#This Row],[Audit Candidate 9]]-Audit[[#This Row],[Candidate 9]], "")</f>
        <v/>
      </c>
      <c r="AN816" s="17" t="str">
        <f>IF(NOT(ISBLANK(Audit[[#This Row],[Audit Candidate 10]])), Audit[[#This Row],[Audit Candidate 10]]-Audit[[#This Row],[Candidate 10]], "")</f>
        <v/>
      </c>
      <c r="AO816" s="17" t="str">
        <f>IF(NOT(ISBLANK(Audit[[#This Row],[Audit Candidate 11]])), Audit[[#This Row],[Audit Candidate 11]]-Audit[[#This Row],[Candidate 11]], "")</f>
        <v/>
      </c>
      <c r="AP816" s="17" t="str">
        <f>IF(NOT(ISBLANK(Audit[[#This Row],[Audit Candidate 12]])), Audit[[#This Row],[Audit Candidate 12]]-Audit[[#This Row],[Candidate 12]], "")</f>
        <v/>
      </c>
      <c r="AQ816" s="17">
        <f>SUMIF(Audit[[#This Row],[Difference Winner]:[Difference Candidate 12]], "&gt;0")</f>
        <v>0</v>
      </c>
      <c r="AR816" s="17">
        <f>SUM(Audit[[#This Row],[Difference Winner]:[Difference Candidate 12]])</f>
        <v>0</v>
      </c>
      <c r="AS816" s="17">
        <f>IF(Audit[[#This Row],[Times p Drawn - With Replacement]]&gt;0, IF(Audit[[#This Row],[Canceled Differences]]&lt;0, Audit[[#This Row],[Max Differences]]+ABS(Audit[[#This Row],[Canceled Differences]]), Audit[[#This Row],[Max Differences]]), 0)</f>
        <v>0</v>
      </c>
      <c r="AT816" s="17">
        <f>'Sampling Data'!AB816</f>
        <v>1.1797657443557969E-2</v>
      </c>
      <c r="AU816" s="17">
        <f>IF(
      SUM(Audit[[#This Row],[Audit Losing Candidate]:[Audit Candidate 12]])
      &lt;&gt;0,
      (Audit[[#This Row],[Winning Candidate]]-Audit[[#This Row],[Losing Candidate]]-(Audit[[#This Row],[Audit Winning Candidate]]-Audit[[#This Row],[Audit Losing Candidate]]))/(Audit[[#Totals],[Winning Candidate]]-Audit[[#Totals],[Losing Candidate]]),
      0
)</f>
        <v>0</v>
      </c>
      <c r="AV8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6" s="17">
        <f>IF(Audit[[#This Row],[Max Relative Error (ep)]] = 0, 0, Audit[[#This Row],[Max Relative Error (ep)]]/Audit[[#This Row],[Error Bound (up) - Max. possible relative overstatement]])</f>
        <v>0</v>
      </c>
      <c r="BH8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16" s="17">
        <f t="shared" si="13"/>
        <v>1</v>
      </c>
      <c r="BJ816" s="17">
        <f>PRODUCT($BI$5:BI816)</f>
        <v>0.20274654467839762</v>
      </c>
      <c r="BK816" s="19">
        <f>1 - Audit[[#This Row],[K-M P Value]]</f>
        <v>0.79725345532160241</v>
      </c>
      <c r="BL816" s="17" t="str">
        <f>IF(Audit[[#This Row],[K-M P Value]]&gt;1-'General Info'!$B$12,"Continue", "Stop")</f>
        <v>Continue</v>
      </c>
      <c r="BM816" s="22" t="b">
        <f>IF(Audit[[#This Row],[Status - Continue or stop audit]] = "Continue", TRUE, IF(BL815 = "Continue", TRUE, FALSE))</f>
        <v>1</v>
      </c>
      <c r="BN816" s="22"/>
    </row>
    <row r="817" spans="1:66" ht="15" hidden="1" customHeight="1" x14ac:dyDescent="0.35">
      <c r="A817" s="17" t="str">
        <f>'Sampling Data'!AI817</f>
        <v/>
      </c>
      <c r="B817" s="17" t="str">
        <f>'Sampling Data'!A817</f>
        <v>3901 MILF A  (ED)</v>
      </c>
      <c r="C817" s="17">
        <f>'Sampling Data'!B817</f>
        <v>2</v>
      </c>
      <c r="D817" s="17">
        <f>'Sampling Data'!C817</f>
        <v>13</v>
      </c>
      <c r="E817" s="18">
        <f>'Sampling Data'!D817</f>
        <v>0</v>
      </c>
      <c r="F817" s="18">
        <f>'Sampling Data'!E817</f>
        <v>0</v>
      </c>
      <c r="G817" s="18">
        <f>'Sampling Data'!F817</f>
        <v>0</v>
      </c>
      <c r="H817" s="18">
        <f>'Sampling Data'!G817</f>
        <v>0</v>
      </c>
      <c r="I817" s="18">
        <f>'Sampling Data'!H817</f>
        <v>0</v>
      </c>
      <c r="J817" s="18">
        <f>'Sampling Data'!I817</f>
        <v>0</v>
      </c>
      <c r="K817" s="18">
        <f>'Sampling Data'!J817</f>
        <v>0</v>
      </c>
      <c r="L817" s="18">
        <f>'Sampling Data'!K817</f>
        <v>0</v>
      </c>
      <c r="M817" s="18">
        <f>'Sampling Data'!L817</f>
        <v>0</v>
      </c>
      <c r="N817" s="18">
        <f>'Sampling Data'!M817</f>
        <v>0</v>
      </c>
      <c r="O817" s="17">
        <f>'Sampling Data'!N817</f>
        <v>0</v>
      </c>
      <c r="P817" s="17">
        <f>'Sampling Data'!O817</f>
        <v>0</v>
      </c>
      <c r="Q817" s="17">
        <f>'Sampling Data'!P817</f>
        <v>15</v>
      </c>
      <c r="R817" s="17">
        <f>'Sampling Data'!AJ817</f>
        <v>0</v>
      </c>
      <c r="S817" s="111"/>
      <c r="T817" s="111"/>
      <c r="U817" s="112"/>
      <c r="V817" s="112"/>
      <c r="W817" s="111"/>
      <c r="X817" s="111"/>
      <c r="Y817" s="111"/>
      <c r="Z817" s="111"/>
      <c r="AA817" s="14"/>
      <c r="AB817" s="14"/>
      <c r="AC817" s="14"/>
      <c r="AD817" s="14"/>
      <c r="AE817" s="113" t="str">
        <f>IF(NOT(ISBLANK(Audit[[#This Row],[Audit Winning Candidate]])), Audit[[#This Row],[Audit Winning Candidate]]-Audit[[#This Row],[Winning Candidate]], "")</f>
        <v/>
      </c>
      <c r="AF817" s="17" t="str">
        <f>IF(NOT(ISBLANK(Audit[[#This Row],[Audit Losing Candidate]])), Audit[[#This Row],[Audit Losing Candidate]]-Audit[[#This Row],[Losing Candidate]], "")</f>
        <v/>
      </c>
      <c r="AG817" s="17" t="str">
        <f>IF(NOT(ISBLANK(Audit[[#This Row],[Audit Candidate 3]])), Audit[[#This Row],[Audit Candidate 3]]-Audit[[#This Row],[Candidate 3]], "")</f>
        <v/>
      </c>
      <c r="AH817" s="17" t="str">
        <f>IF(NOT(ISBLANK(Audit[[#This Row],[Audit Candidate 4]])),Audit[[#This Row],[Audit Candidate 4]]-Audit[[#This Row],[Candidate 4]], "")</f>
        <v/>
      </c>
      <c r="AI817" s="17" t="str">
        <f>IF(NOT(ISBLANK(Audit[[#This Row],[Audit Candidate 5]])), Audit[[#This Row],[Audit Candidate 5]]-Audit[[#This Row],[Candidate 5]], "")</f>
        <v/>
      </c>
      <c r="AJ817" s="17" t="str">
        <f>IF(NOT(ISBLANK(Audit[[#This Row],[Audit Candidate 6]])), Audit[[#This Row],[Audit Candidate 6]]-Audit[[#This Row],[Candidate 6]], "")</f>
        <v/>
      </c>
      <c r="AK817" s="17" t="str">
        <f>IF(NOT(ISBLANK(Audit[[#This Row],[Audit Candidate 7]])), Audit[[#This Row],[Audit Candidate 7]]-Audit[[#This Row],[Candidate 7]], "")</f>
        <v/>
      </c>
      <c r="AL817" s="17" t="str">
        <f>IF(NOT(ISBLANK(Audit[[#This Row],[Audit Candidate 8]])), Audit[[#This Row],[Audit Candidate 8]]-Audit[[#This Row],[Candidate 8]], "")</f>
        <v/>
      </c>
      <c r="AM817" s="17" t="str">
        <f>IF(NOT(ISBLANK(Audit[[#This Row],[Audit Candidate 9]])), Audit[[#This Row],[Audit Candidate 9]]-Audit[[#This Row],[Candidate 9]], "")</f>
        <v/>
      </c>
      <c r="AN817" s="17" t="str">
        <f>IF(NOT(ISBLANK(Audit[[#This Row],[Audit Candidate 10]])), Audit[[#This Row],[Audit Candidate 10]]-Audit[[#This Row],[Candidate 10]], "")</f>
        <v/>
      </c>
      <c r="AO817" s="17" t="str">
        <f>IF(NOT(ISBLANK(Audit[[#This Row],[Audit Candidate 11]])), Audit[[#This Row],[Audit Candidate 11]]-Audit[[#This Row],[Candidate 11]], "")</f>
        <v/>
      </c>
      <c r="AP817" s="17" t="str">
        <f>IF(NOT(ISBLANK(Audit[[#This Row],[Audit Candidate 12]])), Audit[[#This Row],[Audit Candidate 12]]-Audit[[#This Row],[Candidate 12]], "")</f>
        <v/>
      </c>
      <c r="AQ817" s="17">
        <f>SUMIF(Audit[[#This Row],[Difference Winner]:[Difference Candidate 12]], "&gt;0")</f>
        <v>0</v>
      </c>
      <c r="AR817" s="17">
        <f>SUM(Audit[[#This Row],[Difference Winner]:[Difference Candidate 12]])</f>
        <v>0</v>
      </c>
      <c r="AS817" s="17">
        <f>IF(Audit[[#This Row],[Times p Drawn - With Replacement]]&gt;0, IF(Audit[[#This Row],[Canceled Differences]]&lt;0, Audit[[#This Row],[Max Differences]]+ABS(Audit[[#This Row],[Canceled Differences]]), Audit[[#This Row],[Max Differences]]), 0)</f>
        <v>0</v>
      </c>
      <c r="AT817" s="17">
        <f>'Sampling Data'!AB817</f>
        <v>1.6975046681378373E-4</v>
      </c>
      <c r="AU817" s="17">
        <f>IF(
      SUM(Audit[[#This Row],[Audit Losing Candidate]:[Audit Candidate 12]])
      &lt;&gt;0,
      (Audit[[#This Row],[Winning Candidate]]-Audit[[#This Row],[Losing Candidate]]-(Audit[[#This Row],[Audit Winning Candidate]]-Audit[[#This Row],[Audit Losing Candidate]]))/(Audit[[#Totals],[Winning Candidate]]-Audit[[#Totals],[Losing Candidate]]),
      0
)</f>
        <v>0</v>
      </c>
      <c r="AV8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7" s="17">
        <f>IF(Audit[[#This Row],[Max Relative Error (ep)]] = 0, 0, Audit[[#This Row],[Max Relative Error (ep)]]/Audit[[#This Row],[Error Bound (up) - Max. possible relative overstatement]])</f>
        <v>0</v>
      </c>
      <c r="BH8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17" s="17">
        <f t="shared" si="13"/>
        <v>1</v>
      </c>
      <c r="BJ817" s="17">
        <f>PRODUCT($BI$5:BI817)</f>
        <v>0.20274654467839762</v>
      </c>
      <c r="BK817" s="19">
        <f>1 - Audit[[#This Row],[K-M P Value]]</f>
        <v>0.79725345532160241</v>
      </c>
      <c r="BL817" s="17" t="str">
        <f>IF(Audit[[#This Row],[K-M P Value]]&gt;1-'General Info'!$B$12,"Continue", "Stop")</f>
        <v>Continue</v>
      </c>
      <c r="BM817" s="22" t="b">
        <f>IF(Audit[[#This Row],[Status - Continue or stop audit]] = "Continue", TRUE, IF(BL816 = "Continue", TRUE, FALSE))</f>
        <v>1</v>
      </c>
      <c r="BN817" s="22"/>
    </row>
    <row r="818" spans="1:66" ht="15" hidden="1" customHeight="1" x14ac:dyDescent="0.35">
      <c r="A818" s="17" t="str">
        <f>'Sampling Data'!AI818</f>
        <v/>
      </c>
      <c r="B818" s="17" t="str">
        <f>'Sampling Data'!A818</f>
        <v>4001 MONT A   (ED)</v>
      </c>
      <c r="C818" s="17">
        <f>'Sampling Data'!B818</f>
        <v>230</v>
      </c>
      <c r="D818" s="17">
        <f>'Sampling Data'!C818</f>
        <v>329</v>
      </c>
      <c r="E818" s="18">
        <f>'Sampling Data'!D818</f>
        <v>0</v>
      </c>
      <c r="F818" s="18">
        <f>'Sampling Data'!E818</f>
        <v>0</v>
      </c>
      <c r="G818" s="18">
        <f>'Sampling Data'!F818</f>
        <v>0</v>
      </c>
      <c r="H818" s="18">
        <f>'Sampling Data'!G818</f>
        <v>0</v>
      </c>
      <c r="I818" s="18">
        <f>'Sampling Data'!H818</f>
        <v>0</v>
      </c>
      <c r="J818" s="18">
        <f>'Sampling Data'!I818</f>
        <v>0</v>
      </c>
      <c r="K818" s="18">
        <f>'Sampling Data'!J818</f>
        <v>0</v>
      </c>
      <c r="L818" s="18">
        <f>'Sampling Data'!K818</f>
        <v>0</v>
      </c>
      <c r="M818" s="18">
        <f>'Sampling Data'!L818</f>
        <v>0</v>
      </c>
      <c r="N818" s="18">
        <f>'Sampling Data'!M818</f>
        <v>0</v>
      </c>
      <c r="O818" s="17">
        <f>'Sampling Data'!N818</f>
        <v>0</v>
      </c>
      <c r="P818" s="17">
        <f>'Sampling Data'!O818</f>
        <v>53</v>
      </c>
      <c r="Q818" s="17">
        <f>'Sampling Data'!P818</f>
        <v>612</v>
      </c>
      <c r="R818" s="17">
        <f>'Sampling Data'!AJ818</f>
        <v>0</v>
      </c>
      <c r="S818" s="111"/>
      <c r="T818" s="111"/>
      <c r="U818" s="112"/>
      <c r="V818" s="112"/>
      <c r="W818" s="111"/>
      <c r="X818" s="111"/>
      <c r="Y818" s="111"/>
      <c r="Z818" s="111"/>
      <c r="AA818" s="14"/>
      <c r="AB818" s="14"/>
      <c r="AC818" s="14"/>
      <c r="AD818" s="14"/>
      <c r="AE818" s="113" t="str">
        <f>IF(NOT(ISBLANK(Audit[[#This Row],[Audit Winning Candidate]])), Audit[[#This Row],[Audit Winning Candidate]]-Audit[[#This Row],[Winning Candidate]], "")</f>
        <v/>
      </c>
      <c r="AF818" s="17" t="str">
        <f>IF(NOT(ISBLANK(Audit[[#This Row],[Audit Losing Candidate]])), Audit[[#This Row],[Audit Losing Candidate]]-Audit[[#This Row],[Losing Candidate]], "")</f>
        <v/>
      </c>
      <c r="AG818" s="17" t="str">
        <f>IF(NOT(ISBLANK(Audit[[#This Row],[Audit Candidate 3]])), Audit[[#This Row],[Audit Candidate 3]]-Audit[[#This Row],[Candidate 3]], "")</f>
        <v/>
      </c>
      <c r="AH818" s="17" t="str">
        <f>IF(NOT(ISBLANK(Audit[[#This Row],[Audit Candidate 4]])),Audit[[#This Row],[Audit Candidate 4]]-Audit[[#This Row],[Candidate 4]], "")</f>
        <v/>
      </c>
      <c r="AI818" s="17" t="str">
        <f>IF(NOT(ISBLANK(Audit[[#This Row],[Audit Candidate 5]])), Audit[[#This Row],[Audit Candidate 5]]-Audit[[#This Row],[Candidate 5]], "")</f>
        <v/>
      </c>
      <c r="AJ818" s="17" t="str">
        <f>IF(NOT(ISBLANK(Audit[[#This Row],[Audit Candidate 6]])), Audit[[#This Row],[Audit Candidate 6]]-Audit[[#This Row],[Candidate 6]], "")</f>
        <v/>
      </c>
      <c r="AK818" s="17" t="str">
        <f>IF(NOT(ISBLANK(Audit[[#This Row],[Audit Candidate 7]])), Audit[[#This Row],[Audit Candidate 7]]-Audit[[#This Row],[Candidate 7]], "")</f>
        <v/>
      </c>
      <c r="AL818" s="17" t="str">
        <f>IF(NOT(ISBLANK(Audit[[#This Row],[Audit Candidate 8]])), Audit[[#This Row],[Audit Candidate 8]]-Audit[[#This Row],[Candidate 8]], "")</f>
        <v/>
      </c>
      <c r="AM818" s="17" t="str">
        <f>IF(NOT(ISBLANK(Audit[[#This Row],[Audit Candidate 9]])), Audit[[#This Row],[Audit Candidate 9]]-Audit[[#This Row],[Candidate 9]], "")</f>
        <v/>
      </c>
      <c r="AN818" s="17" t="str">
        <f>IF(NOT(ISBLANK(Audit[[#This Row],[Audit Candidate 10]])), Audit[[#This Row],[Audit Candidate 10]]-Audit[[#This Row],[Candidate 10]], "")</f>
        <v/>
      </c>
      <c r="AO818" s="17" t="str">
        <f>IF(NOT(ISBLANK(Audit[[#This Row],[Audit Candidate 11]])), Audit[[#This Row],[Audit Candidate 11]]-Audit[[#This Row],[Candidate 11]], "")</f>
        <v/>
      </c>
      <c r="AP818" s="17" t="str">
        <f>IF(NOT(ISBLANK(Audit[[#This Row],[Audit Candidate 12]])), Audit[[#This Row],[Audit Candidate 12]]-Audit[[#This Row],[Candidate 12]], "")</f>
        <v/>
      </c>
      <c r="AQ818" s="17">
        <f>SUMIF(Audit[[#This Row],[Difference Winner]:[Difference Candidate 12]], "&gt;0")</f>
        <v>0</v>
      </c>
      <c r="AR818" s="17">
        <f>SUM(Audit[[#This Row],[Difference Winner]:[Difference Candidate 12]])</f>
        <v>0</v>
      </c>
      <c r="AS818" s="17">
        <f>IF(Audit[[#This Row],[Times p Drawn - With Replacement]]&gt;0, IF(Audit[[#This Row],[Canceled Differences]]&lt;0, Audit[[#This Row],[Max Differences]]+ABS(Audit[[#This Row],[Canceled Differences]]), Audit[[#This Row],[Max Differences]]), 0)</f>
        <v>0</v>
      </c>
      <c r="AT818" s="17">
        <f>'Sampling Data'!AB818</f>
        <v>2.1770497368867766E-2</v>
      </c>
      <c r="AU818" s="17">
        <f>IF(
      SUM(Audit[[#This Row],[Audit Losing Candidate]:[Audit Candidate 12]])
      &lt;&gt;0,
      (Audit[[#This Row],[Winning Candidate]]-Audit[[#This Row],[Losing Candidate]]-(Audit[[#This Row],[Audit Winning Candidate]]-Audit[[#This Row],[Audit Losing Candidate]]))/(Audit[[#Totals],[Winning Candidate]]-Audit[[#Totals],[Losing Candidate]]),
      0
)</f>
        <v>0</v>
      </c>
      <c r="AV8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8" s="17">
        <f>IF(Audit[[#This Row],[Max Relative Error (ep)]] = 0, 0, Audit[[#This Row],[Max Relative Error (ep)]]/Audit[[#This Row],[Error Bound (up) - Max. possible relative overstatement]])</f>
        <v>0</v>
      </c>
      <c r="BH8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18" s="17">
        <f t="shared" si="13"/>
        <v>1</v>
      </c>
      <c r="BJ818" s="17">
        <f>PRODUCT($BI$5:BI818)</f>
        <v>0.20274654467839762</v>
      </c>
      <c r="BK818" s="19">
        <f>1 - Audit[[#This Row],[K-M P Value]]</f>
        <v>0.79725345532160241</v>
      </c>
      <c r="BL818" s="17" t="str">
        <f>IF(Audit[[#This Row],[K-M P Value]]&gt;1-'General Info'!$B$12,"Continue", "Stop")</f>
        <v>Continue</v>
      </c>
      <c r="BM818" s="22" t="b">
        <f>IF(Audit[[#This Row],[Status - Continue or stop audit]] = "Continue", TRUE, IF(BL817 = "Continue", TRUE, FALSE))</f>
        <v>1</v>
      </c>
      <c r="BN818" s="22"/>
    </row>
    <row r="819" spans="1:66" ht="15" hidden="1" customHeight="1" x14ac:dyDescent="0.35">
      <c r="A819" s="17" t="str">
        <f>'Sampling Data'!AI819</f>
        <v/>
      </c>
      <c r="B819" s="17" t="str">
        <f>'Sampling Data'!A819</f>
        <v>4002 MONT B   (ED)</v>
      </c>
      <c r="C819" s="17">
        <f>'Sampling Data'!B819</f>
        <v>230</v>
      </c>
      <c r="D819" s="17">
        <f>'Sampling Data'!C819</f>
        <v>310</v>
      </c>
      <c r="E819" s="18">
        <f>'Sampling Data'!D819</f>
        <v>0</v>
      </c>
      <c r="F819" s="18">
        <f>'Sampling Data'!E819</f>
        <v>0</v>
      </c>
      <c r="G819" s="18">
        <f>'Sampling Data'!F819</f>
        <v>0</v>
      </c>
      <c r="H819" s="18">
        <f>'Sampling Data'!G819</f>
        <v>0</v>
      </c>
      <c r="I819" s="18">
        <f>'Sampling Data'!H819</f>
        <v>0</v>
      </c>
      <c r="J819" s="18">
        <f>'Sampling Data'!I819</f>
        <v>0</v>
      </c>
      <c r="K819" s="18">
        <f>'Sampling Data'!J819</f>
        <v>0</v>
      </c>
      <c r="L819" s="18">
        <f>'Sampling Data'!K819</f>
        <v>0</v>
      </c>
      <c r="M819" s="18">
        <f>'Sampling Data'!L819</f>
        <v>0</v>
      </c>
      <c r="N819" s="18">
        <f>'Sampling Data'!M819</f>
        <v>0</v>
      </c>
      <c r="O819" s="17">
        <f>'Sampling Data'!N819</f>
        <v>0</v>
      </c>
      <c r="P819" s="17">
        <f>'Sampling Data'!O819</f>
        <v>39</v>
      </c>
      <c r="Q819" s="17">
        <f>'Sampling Data'!P819</f>
        <v>579</v>
      </c>
      <c r="R819" s="17">
        <f>'Sampling Data'!AJ819</f>
        <v>0</v>
      </c>
      <c r="S819" s="111"/>
      <c r="T819" s="111"/>
      <c r="U819" s="112"/>
      <c r="V819" s="112"/>
      <c r="W819" s="111"/>
      <c r="X819" s="111"/>
      <c r="Y819" s="111"/>
      <c r="Z819" s="111"/>
      <c r="AA819" s="14"/>
      <c r="AB819" s="14"/>
      <c r="AC819" s="14"/>
      <c r="AD819" s="14"/>
      <c r="AE819" s="113" t="str">
        <f>IF(NOT(ISBLANK(Audit[[#This Row],[Audit Winning Candidate]])), Audit[[#This Row],[Audit Winning Candidate]]-Audit[[#This Row],[Winning Candidate]], "")</f>
        <v/>
      </c>
      <c r="AF819" s="17" t="str">
        <f>IF(NOT(ISBLANK(Audit[[#This Row],[Audit Losing Candidate]])), Audit[[#This Row],[Audit Losing Candidate]]-Audit[[#This Row],[Losing Candidate]], "")</f>
        <v/>
      </c>
      <c r="AG819" s="17" t="str">
        <f>IF(NOT(ISBLANK(Audit[[#This Row],[Audit Candidate 3]])), Audit[[#This Row],[Audit Candidate 3]]-Audit[[#This Row],[Candidate 3]], "")</f>
        <v/>
      </c>
      <c r="AH819" s="17" t="str">
        <f>IF(NOT(ISBLANK(Audit[[#This Row],[Audit Candidate 4]])),Audit[[#This Row],[Audit Candidate 4]]-Audit[[#This Row],[Candidate 4]], "")</f>
        <v/>
      </c>
      <c r="AI819" s="17" t="str">
        <f>IF(NOT(ISBLANK(Audit[[#This Row],[Audit Candidate 5]])), Audit[[#This Row],[Audit Candidate 5]]-Audit[[#This Row],[Candidate 5]], "")</f>
        <v/>
      </c>
      <c r="AJ819" s="17" t="str">
        <f>IF(NOT(ISBLANK(Audit[[#This Row],[Audit Candidate 6]])), Audit[[#This Row],[Audit Candidate 6]]-Audit[[#This Row],[Candidate 6]], "")</f>
        <v/>
      </c>
      <c r="AK819" s="17" t="str">
        <f>IF(NOT(ISBLANK(Audit[[#This Row],[Audit Candidate 7]])), Audit[[#This Row],[Audit Candidate 7]]-Audit[[#This Row],[Candidate 7]], "")</f>
        <v/>
      </c>
      <c r="AL819" s="17" t="str">
        <f>IF(NOT(ISBLANK(Audit[[#This Row],[Audit Candidate 8]])), Audit[[#This Row],[Audit Candidate 8]]-Audit[[#This Row],[Candidate 8]], "")</f>
        <v/>
      </c>
      <c r="AM819" s="17" t="str">
        <f>IF(NOT(ISBLANK(Audit[[#This Row],[Audit Candidate 9]])), Audit[[#This Row],[Audit Candidate 9]]-Audit[[#This Row],[Candidate 9]], "")</f>
        <v/>
      </c>
      <c r="AN819" s="17" t="str">
        <f>IF(NOT(ISBLANK(Audit[[#This Row],[Audit Candidate 10]])), Audit[[#This Row],[Audit Candidate 10]]-Audit[[#This Row],[Candidate 10]], "")</f>
        <v/>
      </c>
      <c r="AO819" s="17" t="str">
        <f>IF(NOT(ISBLANK(Audit[[#This Row],[Audit Candidate 11]])), Audit[[#This Row],[Audit Candidate 11]]-Audit[[#This Row],[Candidate 11]], "")</f>
        <v/>
      </c>
      <c r="AP819" s="17" t="str">
        <f>IF(NOT(ISBLANK(Audit[[#This Row],[Audit Candidate 12]])), Audit[[#This Row],[Audit Candidate 12]]-Audit[[#This Row],[Candidate 12]], "")</f>
        <v/>
      </c>
      <c r="AQ819" s="17">
        <f>SUMIF(Audit[[#This Row],[Difference Winner]:[Difference Candidate 12]], "&gt;0")</f>
        <v>0</v>
      </c>
      <c r="AR819" s="17">
        <f>SUM(Audit[[#This Row],[Difference Winner]:[Difference Candidate 12]])</f>
        <v>0</v>
      </c>
      <c r="AS819" s="17">
        <f>IF(Audit[[#This Row],[Times p Drawn - With Replacement]]&gt;0, IF(Audit[[#This Row],[Canceled Differences]]&lt;0, Audit[[#This Row],[Max Differences]]+ABS(Audit[[#This Row],[Canceled Differences]]), Audit[[#This Row],[Max Differences]]), 0)</f>
        <v>0</v>
      </c>
      <c r="AT819" s="17">
        <f>'Sampling Data'!AB819</f>
        <v>2.1176370735019521E-2</v>
      </c>
      <c r="AU819" s="17">
        <f>IF(
      SUM(Audit[[#This Row],[Audit Losing Candidate]:[Audit Candidate 12]])
      &lt;&gt;0,
      (Audit[[#This Row],[Winning Candidate]]-Audit[[#This Row],[Losing Candidate]]-(Audit[[#This Row],[Audit Winning Candidate]]-Audit[[#This Row],[Audit Losing Candidate]]))/(Audit[[#Totals],[Winning Candidate]]-Audit[[#Totals],[Losing Candidate]]),
      0
)</f>
        <v>0</v>
      </c>
      <c r="AV8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9" s="17">
        <f>IF(Audit[[#This Row],[Max Relative Error (ep)]] = 0, 0, Audit[[#This Row],[Max Relative Error (ep)]]/Audit[[#This Row],[Error Bound (up) - Max. possible relative overstatement]])</f>
        <v>0</v>
      </c>
      <c r="BH8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19" s="17">
        <f t="shared" si="13"/>
        <v>1</v>
      </c>
      <c r="BJ819" s="17">
        <f>PRODUCT($BI$5:BI819)</f>
        <v>0.20274654467839762</v>
      </c>
      <c r="BK819" s="19">
        <f>1 - Audit[[#This Row],[K-M P Value]]</f>
        <v>0.79725345532160241</v>
      </c>
      <c r="BL819" s="17" t="str">
        <f>IF(Audit[[#This Row],[K-M P Value]]&gt;1-'General Info'!$B$12,"Continue", "Stop")</f>
        <v>Continue</v>
      </c>
      <c r="BM819" s="22" t="b">
        <f>IF(Audit[[#This Row],[Status - Continue or stop audit]] = "Continue", TRUE, IF(BL818 = "Continue", TRUE, FALSE))</f>
        <v>1</v>
      </c>
      <c r="BN819" s="22"/>
    </row>
    <row r="820" spans="1:66" ht="15" hidden="1" customHeight="1" x14ac:dyDescent="0.35">
      <c r="A820" s="17" t="str">
        <f>'Sampling Data'!AI820</f>
        <v/>
      </c>
      <c r="B820" s="17" t="str">
        <f>'Sampling Data'!A820</f>
        <v>4003 MONT C   (ED)</v>
      </c>
      <c r="C820" s="17">
        <f>'Sampling Data'!B820</f>
        <v>248</v>
      </c>
      <c r="D820" s="17">
        <f>'Sampling Data'!C820</f>
        <v>282</v>
      </c>
      <c r="E820" s="18">
        <f>'Sampling Data'!D820</f>
        <v>0</v>
      </c>
      <c r="F820" s="18">
        <f>'Sampling Data'!E820</f>
        <v>0</v>
      </c>
      <c r="G820" s="18">
        <f>'Sampling Data'!F820</f>
        <v>0</v>
      </c>
      <c r="H820" s="18">
        <f>'Sampling Data'!G820</f>
        <v>0</v>
      </c>
      <c r="I820" s="18">
        <f>'Sampling Data'!H820</f>
        <v>0</v>
      </c>
      <c r="J820" s="18">
        <f>'Sampling Data'!I820</f>
        <v>0</v>
      </c>
      <c r="K820" s="18">
        <f>'Sampling Data'!J820</f>
        <v>0</v>
      </c>
      <c r="L820" s="18">
        <f>'Sampling Data'!K820</f>
        <v>0</v>
      </c>
      <c r="M820" s="18">
        <f>'Sampling Data'!L820</f>
        <v>0</v>
      </c>
      <c r="N820" s="18">
        <f>'Sampling Data'!M820</f>
        <v>0</v>
      </c>
      <c r="O820" s="17">
        <f>'Sampling Data'!N820</f>
        <v>0</v>
      </c>
      <c r="P820" s="17">
        <f>'Sampling Data'!O820</f>
        <v>54</v>
      </c>
      <c r="Q820" s="17">
        <f>'Sampling Data'!P820</f>
        <v>584</v>
      </c>
      <c r="R820" s="17">
        <f>'Sampling Data'!AJ820</f>
        <v>0</v>
      </c>
      <c r="S820" s="111"/>
      <c r="T820" s="111"/>
      <c r="U820" s="112"/>
      <c r="V820" s="112"/>
      <c r="W820" s="111"/>
      <c r="X820" s="111"/>
      <c r="Y820" s="111"/>
      <c r="Z820" s="111"/>
      <c r="AA820" s="14"/>
      <c r="AB820" s="14"/>
      <c r="AC820" s="14"/>
      <c r="AD820" s="14"/>
      <c r="AE820" s="113" t="str">
        <f>IF(NOT(ISBLANK(Audit[[#This Row],[Audit Winning Candidate]])), Audit[[#This Row],[Audit Winning Candidate]]-Audit[[#This Row],[Winning Candidate]], "")</f>
        <v/>
      </c>
      <c r="AF820" s="17" t="str">
        <f>IF(NOT(ISBLANK(Audit[[#This Row],[Audit Losing Candidate]])), Audit[[#This Row],[Audit Losing Candidate]]-Audit[[#This Row],[Losing Candidate]], "")</f>
        <v/>
      </c>
      <c r="AG820" s="17" t="str">
        <f>IF(NOT(ISBLANK(Audit[[#This Row],[Audit Candidate 3]])), Audit[[#This Row],[Audit Candidate 3]]-Audit[[#This Row],[Candidate 3]], "")</f>
        <v/>
      </c>
      <c r="AH820" s="17" t="str">
        <f>IF(NOT(ISBLANK(Audit[[#This Row],[Audit Candidate 4]])),Audit[[#This Row],[Audit Candidate 4]]-Audit[[#This Row],[Candidate 4]], "")</f>
        <v/>
      </c>
      <c r="AI820" s="17" t="str">
        <f>IF(NOT(ISBLANK(Audit[[#This Row],[Audit Candidate 5]])), Audit[[#This Row],[Audit Candidate 5]]-Audit[[#This Row],[Candidate 5]], "")</f>
        <v/>
      </c>
      <c r="AJ820" s="17" t="str">
        <f>IF(NOT(ISBLANK(Audit[[#This Row],[Audit Candidate 6]])), Audit[[#This Row],[Audit Candidate 6]]-Audit[[#This Row],[Candidate 6]], "")</f>
        <v/>
      </c>
      <c r="AK820" s="17" t="str">
        <f>IF(NOT(ISBLANK(Audit[[#This Row],[Audit Candidate 7]])), Audit[[#This Row],[Audit Candidate 7]]-Audit[[#This Row],[Candidate 7]], "")</f>
        <v/>
      </c>
      <c r="AL820" s="17" t="str">
        <f>IF(NOT(ISBLANK(Audit[[#This Row],[Audit Candidate 8]])), Audit[[#This Row],[Audit Candidate 8]]-Audit[[#This Row],[Candidate 8]], "")</f>
        <v/>
      </c>
      <c r="AM820" s="17" t="str">
        <f>IF(NOT(ISBLANK(Audit[[#This Row],[Audit Candidate 9]])), Audit[[#This Row],[Audit Candidate 9]]-Audit[[#This Row],[Candidate 9]], "")</f>
        <v/>
      </c>
      <c r="AN820" s="17" t="str">
        <f>IF(NOT(ISBLANK(Audit[[#This Row],[Audit Candidate 10]])), Audit[[#This Row],[Audit Candidate 10]]-Audit[[#This Row],[Candidate 10]], "")</f>
        <v/>
      </c>
      <c r="AO820" s="17" t="str">
        <f>IF(NOT(ISBLANK(Audit[[#This Row],[Audit Candidate 11]])), Audit[[#This Row],[Audit Candidate 11]]-Audit[[#This Row],[Candidate 11]], "")</f>
        <v/>
      </c>
      <c r="AP820" s="17" t="str">
        <f>IF(NOT(ISBLANK(Audit[[#This Row],[Audit Candidate 12]])), Audit[[#This Row],[Audit Candidate 12]]-Audit[[#This Row],[Candidate 12]], "")</f>
        <v/>
      </c>
      <c r="AQ820" s="17">
        <f>SUMIF(Audit[[#This Row],[Difference Winner]:[Difference Candidate 12]], "&gt;0")</f>
        <v>0</v>
      </c>
      <c r="AR820" s="17">
        <f>SUM(Audit[[#This Row],[Difference Winner]:[Difference Candidate 12]])</f>
        <v>0</v>
      </c>
      <c r="AS820" s="17">
        <f>IF(Audit[[#This Row],[Times p Drawn - With Replacement]]&gt;0, IF(Audit[[#This Row],[Canceled Differences]]&lt;0, Audit[[#This Row],[Max Differences]]+ABS(Audit[[#This Row],[Canceled Differences]]), Audit[[#This Row],[Max Differences]]), 0)</f>
        <v>0</v>
      </c>
      <c r="AT820" s="17">
        <f>'Sampling Data'!AB820</f>
        <v>2.3340689186895264E-2</v>
      </c>
      <c r="AU820" s="17">
        <f>IF(
      SUM(Audit[[#This Row],[Audit Losing Candidate]:[Audit Candidate 12]])
      &lt;&gt;0,
      (Audit[[#This Row],[Winning Candidate]]-Audit[[#This Row],[Losing Candidate]]-(Audit[[#This Row],[Audit Winning Candidate]]-Audit[[#This Row],[Audit Losing Candidate]]))/(Audit[[#Totals],[Winning Candidate]]-Audit[[#Totals],[Losing Candidate]]),
      0
)</f>
        <v>0</v>
      </c>
      <c r="AV8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0" s="17">
        <f>IF(Audit[[#This Row],[Max Relative Error (ep)]] = 0, 0, Audit[[#This Row],[Max Relative Error (ep)]]/Audit[[#This Row],[Error Bound (up) - Max. possible relative overstatement]])</f>
        <v>0</v>
      </c>
      <c r="BH8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20" s="17">
        <f t="shared" si="13"/>
        <v>1</v>
      </c>
      <c r="BJ820" s="17">
        <f>PRODUCT($BI$5:BI820)</f>
        <v>0.20274654467839762</v>
      </c>
      <c r="BK820" s="19">
        <f>1 - Audit[[#This Row],[K-M P Value]]</f>
        <v>0.79725345532160241</v>
      </c>
      <c r="BL820" s="17" t="str">
        <f>IF(Audit[[#This Row],[K-M P Value]]&gt;1-'General Info'!$B$12,"Continue", "Stop")</f>
        <v>Continue</v>
      </c>
      <c r="BM820" s="22" t="b">
        <f>IF(Audit[[#This Row],[Status - Continue or stop audit]] = "Continue", TRUE, IF(BL819 = "Continue", TRUE, FALSE))</f>
        <v>1</v>
      </c>
      <c r="BN820" s="22"/>
    </row>
    <row r="821" spans="1:66" ht="15" hidden="1" customHeight="1" x14ac:dyDescent="0.35">
      <c r="A821" s="17" t="str">
        <f>'Sampling Data'!AI821</f>
        <v/>
      </c>
      <c r="B821" s="17" t="str">
        <f>'Sampling Data'!A821</f>
        <v>4004 MONT D   (ED)</v>
      </c>
      <c r="C821" s="17">
        <f>'Sampling Data'!B821</f>
        <v>107</v>
      </c>
      <c r="D821" s="17">
        <f>'Sampling Data'!C821</f>
        <v>120</v>
      </c>
      <c r="E821" s="18">
        <f>'Sampling Data'!D821</f>
        <v>0</v>
      </c>
      <c r="F821" s="18">
        <f>'Sampling Data'!E821</f>
        <v>0</v>
      </c>
      <c r="G821" s="18">
        <f>'Sampling Data'!F821</f>
        <v>0</v>
      </c>
      <c r="H821" s="18">
        <f>'Sampling Data'!G821</f>
        <v>0</v>
      </c>
      <c r="I821" s="18">
        <f>'Sampling Data'!H821</f>
        <v>0</v>
      </c>
      <c r="J821" s="18">
        <f>'Sampling Data'!I821</f>
        <v>0</v>
      </c>
      <c r="K821" s="18">
        <f>'Sampling Data'!J821</f>
        <v>0</v>
      </c>
      <c r="L821" s="18">
        <f>'Sampling Data'!K821</f>
        <v>0</v>
      </c>
      <c r="M821" s="18">
        <f>'Sampling Data'!L821</f>
        <v>0</v>
      </c>
      <c r="N821" s="18">
        <f>'Sampling Data'!M821</f>
        <v>0</v>
      </c>
      <c r="O821" s="17">
        <f>'Sampling Data'!N821</f>
        <v>0</v>
      </c>
      <c r="P821" s="17">
        <f>'Sampling Data'!O821</f>
        <v>24</v>
      </c>
      <c r="Q821" s="17">
        <f>'Sampling Data'!P821</f>
        <v>251</v>
      </c>
      <c r="R821" s="17">
        <f>'Sampling Data'!AJ821</f>
        <v>0</v>
      </c>
      <c r="S821" s="111"/>
      <c r="T821" s="111"/>
      <c r="U821" s="112"/>
      <c r="V821" s="112"/>
      <c r="W821" s="111"/>
      <c r="X821" s="111"/>
      <c r="Y821" s="111"/>
      <c r="Z821" s="111"/>
      <c r="AA821" s="14"/>
      <c r="AB821" s="14"/>
      <c r="AC821" s="14"/>
      <c r="AD821" s="14"/>
      <c r="AE821" s="113" t="str">
        <f>IF(NOT(ISBLANK(Audit[[#This Row],[Audit Winning Candidate]])), Audit[[#This Row],[Audit Winning Candidate]]-Audit[[#This Row],[Winning Candidate]], "")</f>
        <v/>
      </c>
      <c r="AF821" s="17" t="str">
        <f>IF(NOT(ISBLANK(Audit[[#This Row],[Audit Losing Candidate]])), Audit[[#This Row],[Audit Losing Candidate]]-Audit[[#This Row],[Losing Candidate]], "")</f>
        <v/>
      </c>
      <c r="AG821" s="17" t="str">
        <f>IF(NOT(ISBLANK(Audit[[#This Row],[Audit Candidate 3]])), Audit[[#This Row],[Audit Candidate 3]]-Audit[[#This Row],[Candidate 3]], "")</f>
        <v/>
      </c>
      <c r="AH821" s="17" t="str">
        <f>IF(NOT(ISBLANK(Audit[[#This Row],[Audit Candidate 4]])),Audit[[#This Row],[Audit Candidate 4]]-Audit[[#This Row],[Candidate 4]], "")</f>
        <v/>
      </c>
      <c r="AI821" s="17" t="str">
        <f>IF(NOT(ISBLANK(Audit[[#This Row],[Audit Candidate 5]])), Audit[[#This Row],[Audit Candidate 5]]-Audit[[#This Row],[Candidate 5]], "")</f>
        <v/>
      </c>
      <c r="AJ821" s="17" t="str">
        <f>IF(NOT(ISBLANK(Audit[[#This Row],[Audit Candidate 6]])), Audit[[#This Row],[Audit Candidate 6]]-Audit[[#This Row],[Candidate 6]], "")</f>
        <v/>
      </c>
      <c r="AK821" s="17" t="str">
        <f>IF(NOT(ISBLANK(Audit[[#This Row],[Audit Candidate 7]])), Audit[[#This Row],[Audit Candidate 7]]-Audit[[#This Row],[Candidate 7]], "")</f>
        <v/>
      </c>
      <c r="AL821" s="17" t="str">
        <f>IF(NOT(ISBLANK(Audit[[#This Row],[Audit Candidate 8]])), Audit[[#This Row],[Audit Candidate 8]]-Audit[[#This Row],[Candidate 8]], "")</f>
        <v/>
      </c>
      <c r="AM821" s="17" t="str">
        <f>IF(NOT(ISBLANK(Audit[[#This Row],[Audit Candidate 9]])), Audit[[#This Row],[Audit Candidate 9]]-Audit[[#This Row],[Candidate 9]], "")</f>
        <v/>
      </c>
      <c r="AN821" s="17" t="str">
        <f>IF(NOT(ISBLANK(Audit[[#This Row],[Audit Candidate 10]])), Audit[[#This Row],[Audit Candidate 10]]-Audit[[#This Row],[Candidate 10]], "")</f>
        <v/>
      </c>
      <c r="AO821" s="17" t="str">
        <f>IF(NOT(ISBLANK(Audit[[#This Row],[Audit Candidate 11]])), Audit[[#This Row],[Audit Candidate 11]]-Audit[[#This Row],[Candidate 11]], "")</f>
        <v/>
      </c>
      <c r="AP821" s="17" t="str">
        <f>IF(NOT(ISBLANK(Audit[[#This Row],[Audit Candidate 12]])), Audit[[#This Row],[Audit Candidate 12]]-Audit[[#This Row],[Candidate 12]], "")</f>
        <v/>
      </c>
      <c r="AQ821" s="17">
        <f>SUMIF(Audit[[#This Row],[Difference Winner]:[Difference Candidate 12]], "&gt;0")</f>
        <v>0</v>
      </c>
      <c r="AR821" s="17">
        <f>SUM(Audit[[#This Row],[Difference Winner]:[Difference Candidate 12]])</f>
        <v>0</v>
      </c>
      <c r="AS821" s="17">
        <f>IF(Audit[[#This Row],[Times p Drawn - With Replacement]]&gt;0, IF(Audit[[#This Row],[Canceled Differences]]&lt;0, Audit[[#This Row],[Max Differences]]+ABS(Audit[[#This Row],[Canceled Differences]]), Audit[[#This Row],[Max Differences]]), 0)</f>
        <v>0</v>
      </c>
      <c r="AT821" s="17">
        <f>'Sampling Data'!AB821</f>
        <v>1.0100152775420132E-2</v>
      </c>
      <c r="AU821" s="17">
        <f>IF(
      SUM(Audit[[#This Row],[Audit Losing Candidate]:[Audit Candidate 12]])
      &lt;&gt;0,
      (Audit[[#This Row],[Winning Candidate]]-Audit[[#This Row],[Losing Candidate]]-(Audit[[#This Row],[Audit Winning Candidate]]-Audit[[#This Row],[Audit Losing Candidate]]))/(Audit[[#Totals],[Winning Candidate]]-Audit[[#Totals],[Losing Candidate]]),
      0
)</f>
        <v>0</v>
      </c>
      <c r="AV8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1" s="17">
        <f>IF(Audit[[#This Row],[Max Relative Error (ep)]] = 0, 0, Audit[[#This Row],[Max Relative Error (ep)]]/Audit[[#This Row],[Error Bound (up) - Max. possible relative overstatement]])</f>
        <v>0</v>
      </c>
      <c r="BH8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21" s="17">
        <f t="shared" si="13"/>
        <v>1</v>
      </c>
      <c r="BJ821" s="17">
        <f>PRODUCT($BI$5:BI821)</f>
        <v>0.20274654467839762</v>
      </c>
      <c r="BK821" s="19">
        <f>1 - Audit[[#This Row],[K-M P Value]]</f>
        <v>0.79725345532160241</v>
      </c>
      <c r="BL821" s="17" t="str">
        <f>IF(Audit[[#This Row],[K-M P Value]]&gt;1-'General Info'!$B$12,"Continue", "Stop")</f>
        <v>Continue</v>
      </c>
      <c r="BM821" s="22" t="b">
        <f>IF(Audit[[#This Row],[Status - Continue or stop audit]] = "Continue", TRUE, IF(BL820 = "Continue", TRUE, FALSE))</f>
        <v>1</v>
      </c>
      <c r="BN821" s="22"/>
    </row>
    <row r="822" spans="1:66" ht="15" hidden="1" customHeight="1" x14ac:dyDescent="0.35">
      <c r="A822" s="17" t="str">
        <f>'Sampling Data'!AI822</f>
        <v/>
      </c>
      <c r="B822" s="17" t="str">
        <f>'Sampling Data'!A822</f>
        <v>4005 MONT E   (ED)</v>
      </c>
      <c r="C822" s="17">
        <f>'Sampling Data'!B822</f>
        <v>93</v>
      </c>
      <c r="D822" s="17">
        <f>'Sampling Data'!C822</f>
        <v>146</v>
      </c>
      <c r="E822" s="18">
        <f>'Sampling Data'!D822</f>
        <v>0</v>
      </c>
      <c r="F822" s="18">
        <f>'Sampling Data'!E822</f>
        <v>0</v>
      </c>
      <c r="G822" s="18">
        <f>'Sampling Data'!F822</f>
        <v>0</v>
      </c>
      <c r="H822" s="18">
        <f>'Sampling Data'!G822</f>
        <v>0</v>
      </c>
      <c r="I822" s="18">
        <f>'Sampling Data'!H822</f>
        <v>0</v>
      </c>
      <c r="J822" s="18">
        <f>'Sampling Data'!I822</f>
        <v>0</v>
      </c>
      <c r="K822" s="18">
        <f>'Sampling Data'!J822</f>
        <v>0</v>
      </c>
      <c r="L822" s="18">
        <f>'Sampling Data'!K822</f>
        <v>0</v>
      </c>
      <c r="M822" s="18">
        <f>'Sampling Data'!L822</f>
        <v>0</v>
      </c>
      <c r="N822" s="18">
        <f>'Sampling Data'!M822</f>
        <v>0</v>
      </c>
      <c r="O822" s="17">
        <f>'Sampling Data'!N822</f>
        <v>0</v>
      </c>
      <c r="P822" s="17">
        <f>'Sampling Data'!O822</f>
        <v>18</v>
      </c>
      <c r="Q822" s="17">
        <f>'Sampling Data'!P822</f>
        <v>257</v>
      </c>
      <c r="R822" s="17">
        <f>'Sampling Data'!AJ822</f>
        <v>0</v>
      </c>
      <c r="S822" s="111"/>
      <c r="T822" s="111"/>
      <c r="U822" s="112"/>
      <c r="V822" s="112"/>
      <c r="W822" s="111"/>
      <c r="X822" s="111"/>
      <c r="Y822" s="111"/>
      <c r="Z822" s="111"/>
      <c r="AA822" s="14"/>
      <c r="AB822" s="14"/>
      <c r="AC822" s="14"/>
      <c r="AD822" s="14"/>
      <c r="AE822" s="113" t="str">
        <f>IF(NOT(ISBLANK(Audit[[#This Row],[Audit Winning Candidate]])), Audit[[#This Row],[Audit Winning Candidate]]-Audit[[#This Row],[Winning Candidate]], "")</f>
        <v/>
      </c>
      <c r="AF822" s="17" t="str">
        <f>IF(NOT(ISBLANK(Audit[[#This Row],[Audit Losing Candidate]])), Audit[[#This Row],[Audit Losing Candidate]]-Audit[[#This Row],[Losing Candidate]], "")</f>
        <v/>
      </c>
      <c r="AG822" s="17" t="str">
        <f>IF(NOT(ISBLANK(Audit[[#This Row],[Audit Candidate 3]])), Audit[[#This Row],[Audit Candidate 3]]-Audit[[#This Row],[Candidate 3]], "")</f>
        <v/>
      </c>
      <c r="AH822" s="17" t="str">
        <f>IF(NOT(ISBLANK(Audit[[#This Row],[Audit Candidate 4]])),Audit[[#This Row],[Audit Candidate 4]]-Audit[[#This Row],[Candidate 4]], "")</f>
        <v/>
      </c>
      <c r="AI822" s="17" t="str">
        <f>IF(NOT(ISBLANK(Audit[[#This Row],[Audit Candidate 5]])), Audit[[#This Row],[Audit Candidate 5]]-Audit[[#This Row],[Candidate 5]], "")</f>
        <v/>
      </c>
      <c r="AJ822" s="17" t="str">
        <f>IF(NOT(ISBLANK(Audit[[#This Row],[Audit Candidate 6]])), Audit[[#This Row],[Audit Candidate 6]]-Audit[[#This Row],[Candidate 6]], "")</f>
        <v/>
      </c>
      <c r="AK822" s="17" t="str">
        <f>IF(NOT(ISBLANK(Audit[[#This Row],[Audit Candidate 7]])), Audit[[#This Row],[Audit Candidate 7]]-Audit[[#This Row],[Candidate 7]], "")</f>
        <v/>
      </c>
      <c r="AL822" s="17" t="str">
        <f>IF(NOT(ISBLANK(Audit[[#This Row],[Audit Candidate 8]])), Audit[[#This Row],[Audit Candidate 8]]-Audit[[#This Row],[Candidate 8]], "")</f>
        <v/>
      </c>
      <c r="AM822" s="17" t="str">
        <f>IF(NOT(ISBLANK(Audit[[#This Row],[Audit Candidate 9]])), Audit[[#This Row],[Audit Candidate 9]]-Audit[[#This Row],[Candidate 9]], "")</f>
        <v/>
      </c>
      <c r="AN822" s="17" t="str">
        <f>IF(NOT(ISBLANK(Audit[[#This Row],[Audit Candidate 10]])), Audit[[#This Row],[Audit Candidate 10]]-Audit[[#This Row],[Candidate 10]], "")</f>
        <v/>
      </c>
      <c r="AO822" s="17" t="str">
        <f>IF(NOT(ISBLANK(Audit[[#This Row],[Audit Candidate 11]])), Audit[[#This Row],[Audit Candidate 11]]-Audit[[#This Row],[Candidate 11]], "")</f>
        <v/>
      </c>
      <c r="AP822" s="17" t="str">
        <f>IF(NOT(ISBLANK(Audit[[#This Row],[Audit Candidate 12]])), Audit[[#This Row],[Audit Candidate 12]]-Audit[[#This Row],[Candidate 12]], "")</f>
        <v/>
      </c>
      <c r="AQ822" s="17">
        <f>SUMIF(Audit[[#This Row],[Difference Winner]:[Difference Candidate 12]], "&gt;0")</f>
        <v>0</v>
      </c>
      <c r="AR822" s="17">
        <f>SUM(Audit[[#This Row],[Difference Winner]:[Difference Candidate 12]])</f>
        <v>0</v>
      </c>
      <c r="AS822" s="17">
        <f>IF(Audit[[#This Row],[Times p Drawn - With Replacement]]&gt;0, IF(Audit[[#This Row],[Canceled Differences]]&lt;0, Audit[[#This Row],[Max Differences]]+ABS(Audit[[#This Row],[Canceled Differences]]), Audit[[#This Row],[Max Differences]]), 0)</f>
        <v>0</v>
      </c>
      <c r="AT822" s="17">
        <f>'Sampling Data'!AB822</f>
        <v>8.6572738075029708E-3</v>
      </c>
      <c r="AU822" s="17">
        <f>IF(
      SUM(Audit[[#This Row],[Audit Losing Candidate]:[Audit Candidate 12]])
      &lt;&gt;0,
      (Audit[[#This Row],[Winning Candidate]]-Audit[[#This Row],[Losing Candidate]]-(Audit[[#This Row],[Audit Winning Candidate]]-Audit[[#This Row],[Audit Losing Candidate]]))/(Audit[[#Totals],[Winning Candidate]]-Audit[[#Totals],[Losing Candidate]]),
      0
)</f>
        <v>0</v>
      </c>
      <c r="AV8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2" s="17">
        <f>IF(Audit[[#This Row],[Max Relative Error (ep)]] = 0, 0, Audit[[#This Row],[Max Relative Error (ep)]]/Audit[[#This Row],[Error Bound (up) - Max. possible relative overstatement]])</f>
        <v>0</v>
      </c>
      <c r="BH8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22" s="17">
        <f t="shared" si="13"/>
        <v>1</v>
      </c>
      <c r="BJ822" s="17">
        <f>PRODUCT($BI$5:BI822)</f>
        <v>0.20274654467839762</v>
      </c>
      <c r="BK822" s="19">
        <f>1 - Audit[[#This Row],[K-M P Value]]</f>
        <v>0.79725345532160241</v>
      </c>
      <c r="BL822" s="17" t="str">
        <f>IF(Audit[[#This Row],[K-M P Value]]&gt;1-'General Info'!$B$12,"Continue", "Stop")</f>
        <v>Continue</v>
      </c>
      <c r="BM822" s="22" t="b">
        <f>IF(Audit[[#This Row],[Status - Continue or stop audit]] = "Continue", TRUE, IF(BL821 = "Continue", TRUE, FALSE))</f>
        <v>1</v>
      </c>
      <c r="BN822" s="22"/>
    </row>
    <row r="823" spans="1:66" ht="15" hidden="1" customHeight="1" x14ac:dyDescent="0.35">
      <c r="A823" s="17" t="str">
        <f>'Sampling Data'!AI823</f>
        <v/>
      </c>
      <c r="B823" s="17" t="str">
        <f>'Sampling Data'!A823</f>
        <v>4006 MONT F   (ED)</v>
      </c>
      <c r="C823" s="17">
        <f>'Sampling Data'!B823</f>
        <v>200</v>
      </c>
      <c r="D823" s="17">
        <f>'Sampling Data'!C823</f>
        <v>261</v>
      </c>
      <c r="E823" s="18">
        <f>'Sampling Data'!D823</f>
        <v>0</v>
      </c>
      <c r="F823" s="18">
        <f>'Sampling Data'!E823</f>
        <v>0</v>
      </c>
      <c r="G823" s="18">
        <f>'Sampling Data'!F823</f>
        <v>0</v>
      </c>
      <c r="H823" s="18">
        <f>'Sampling Data'!G823</f>
        <v>0</v>
      </c>
      <c r="I823" s="18">
        <f>'Sampling Data'!H823</f>
        <v>0</v>
      </c>
      <c r="J823" s="18">
        <f>'Sampling Data'!I823</f>
        <v>0</v>
      </c>
      <c r="K823" s="18">
        <f>'Sampling Data'!J823</f>
        <v>0</v>
      </c>
      <c r="L823" s="18">
        <f>'Sampling Data'!K823</f>
        <v>0</v>
      </c>
      <c r="M823" s="18">
        <f>'Sampling Data'!L823</f>
        <v>0</v>
      </c>
      <c r="N823" s="18">
        <f>'Sampling Data'!M823</f>
        <v>0</v>
      </c>
      <c r="O823" s="17">
        <f>'Sampling Data'!N823</f>
        <v>0</v>
      </c>
      <c r="P823" s="17">
        <f>'Sampling Data'!O823</f>
        <v>27</v>
      </c>
      <c r="Q823" s="17">
        <f>'Sampling Data'!P823</f>
        <v>488</v>
      </c>
      <c r="R823" s="17">
        <f>'Sampling Data'!AJ823</f>
        <v>0</v>
      </c>
      <c r="S823" s="111"/>
      <c r="T823" s="111"/>
      <c r="U823" s="112"/>
      <c r="V823" s="112"/>
      <c r="W823" s="111"/>
      <c r="X823" s="111"/>
      <c r="Y823" s="111"/>
      <c r="Z823" s="111"/>
      <c r="AA823" s="14"/>
      <c r="AB823" s="14"/>
      <c r="AC823" s="14"/>
      <c r="AD823" s="14"/>
      <c r="AE823" s="113" t="str">
        <f>IF(NOT(ISBLANK(Audit[[#This Row],[Audit Winning Candidate]])), Audit[[#This Row],[Audit Winning Candidate]]-Audit[[#This Row],[Winning Candidate]], "")</f>
        <v/>
      </c>
      <c r="AF823" s="17" t="str">
        <f>IF(NOT(ISBLANK(Audit[[#This Row],[Audit Losing Candidate]])), Audit[[#This Row],[Audit Losing Candidate]]-Audit[[#This Row],[Losing Candidate]], "")</f>
        <v/>
      </c>
      <c r="AG823" s="17" t="str">
        <f>IF(NOT(ISBLANK(Audit[[#This Row],[Audit Candidate 3]])), Audit[[#This Row],[Audit Candidate 3]]-Audit[[#This Row],[Candidate 3]], "")</f>
        <v/>
      </c>
      <c r="AH823" s="17" t="str">
        <f>IF(NOT(ISBLANK(Audit[[#This Row],[Audit Candidate 4]])),Audit[[#This Row],[Audit Candidate 4]]-Audit[[#This Row],[Candidate 4]], "")</f>
        <v/>
      </c>
      <c r="AI823" s="17" t="str">
        <f>IF(NOT(ISBLANK(Audit[[#This Row],[Audit Candidate 5]])), Audit[[#This Row],[Audit Candidate 5]]-Audit[[#This Row],[Candidate 5]], "")</f>
        <v/>
      </c>
      <c r="AJ823" s="17" t="str">
        <f>IF(NOT(ISBLANK(Audit[[#This Row],[Audit Candidate 6]])), Audit[[#This Row],[Audit Candidate 6]]-Audit[[#This Row],[Candidate 6]], "")</f>
        <v/>
      </c>
      <c r="AK823" s="17" t="str">
        <f>IF(NOT(ISBLANK(Audit[[#This Row],[Audit Candidate 7]])), Audit[[#This Row],[Audit Candidate 7]]-Audit[[#This Row],[Candidate 7]], "")</f>
        <v/>
      </c>
      <c r="AL823" s="17" t="str">
        <f>IF(NOT(ISBLANK(Audit[[#This Row],[Audit Candidate 8]])), Audit[[#This Row],[Audit Candidate 8]]-Audit[[#This Row],[Candidate 8]], "")</f>
        <v/>
      </c>
      <c r="AM823" s="17" t="str">
        <f>IF(NOT(ISBLANK(Audit[[#This Row],[Audit Candidate 9]])), Audit[[#This Row],[Audit Candidate 9]]-Audit[[#This Row],[Candidate 9]], "")</f>
        <v/>
      </c>
      <c r="AN823" s="17" t="str">
        <f>IF(NOT(ISBLANK(Audit[[#This Row],[Audit Candidate 10]])), Audit[[#This Row],[Audit Candidate 10]]-Audit[[#This Row],[Candidate 10]], "")</f>
        <v/>
      </c>
      <c r="AO823" s="17" t="str">
        <f>IF(NOT(ISBLANK(Audit[[#This Row],[Audit Candidate 11]])), Audit[[#This Row],[Audit Candidate 11]]-Audit[[#This Row],[Candidate 11]], "")</f>
        <v/>
      </c>
      <c r="AP823" s="17" t="str">
        <f>IF(NOT(ISBLANK(Audit[[#This Row],[Audit Candidate 12]])), Audit[[#This Row],[Audit Candidate 12]]-Audit[[#This Row],[Candidate 12]], "")</f>
        <v/>
      </c>
      <c r="AQ823" s="17">
        <f>SUMIF(Audit[[#This Row],[Difference Winner]:[Difference Candidate 12]], "&gt;0")</f>
        <v>0</v>
      </c>
      <c r="AR823" s="17">
        <f>SUM(Audit[[#This Row],[Difference Winner]:[Difference Candidate 12]])</f>
        <v>0</v>
      </c>
      <c r="AS823" s="17">
        <f>IF(Audit[[#This Row],[Times p Drawn - With Replacement]]&gt;0, IF(Audit[[#This Row],[Canceled Differences]]&lt;0, Audit[[#This Row],[Max Differences]]+ABS(Audit[[#This Row],[Canceled Differences]]), Audit[[#This Row],[Max Differences]]), 0)</f>
        <v>0</v>
      </c>
      <c r="AT823" s="17">
        <f>'Sampling Data'!AB823</f>
        <v>1.8120862332371413E-2</v>
      </c>
      <c r="AU823" s="17">
        <f>IF(
      SUM(Audit[[#This Row],[Audit Losing Candidate]:[Audit Candidate 12]])
      &lt;&gt;0,
      (Audit[[#This Row],[Winning Candidate]]-Audit[[#This Row],[Losing Candidate]]-(Audit[[#This Row],[Audit Winning Candidate]]-Audit[[#This Row],[Audit Losing Candidate]]))/(Audit[[#Totals],[Winning Candidate]]-Audit[[#Totals],[Losing Candidate]]),
      0
)</f>
        <v>0</v>
      </c>
      <c r="AV8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3" s="17">
        <f>IF(Audit[[#This Row],[Max Relative Error (ep)]] = 0, 0, Audit[[#This Row],[Max Relative Error (ep)]]/Audit[[#This Row],[Error Bound (up) - Max. possible relative overstatement]])</f>
        <v>0</v>
      </c>
      <c r="BH8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23" s="17">
        <f t="shared" si="13"/>
        <v>1</v>
      </c>
      <c r="BJ823" s="17">
        <f>PRODUCT($BI$5:BI823)</f>
        <v>0.20274654467839762</v>
      </c>
      <c r="BK823" s="19">
        <f>1 - Audit[[#This Row],[K-M P Value]]</f>
        <v>0.79725345532160241</v>
      </c>
      <c r="BL823" s="17" t="str">
        <f>IF(Audit[[#This Row],[K-M P Value]]&gt;1-'General Info'!$B$12,"Continue", "Stop")</f>
        <v>Continue</v>
      </c>
      <c r="BM823" s="22" t="b">
        <f>IF(Audit[[#This Row],[Status - Continue or stop audit]] = "Continue", TRUE, IF(BL822 = "Continue", TRUE, FALSE))</f>
        <v>1</v>
      </c>
      <c r="BN823" s="22"/>
    </row>
    <row r="824" spans="1:66" ht="15" hidden="1" customHeight="1" x14ac:dyDescent="0.35">
      <c r="A824" s="17" t="str">
        <f>'Sampling Data'!AI824</f>
        <v/>
      </c>
      <c r="B824" s="17" t="str">
        <f>'Sampling Data'!A824</f>
        <v>4007 MONT G   (ED)</v>
      </c>
      <c r="C824" s="17">
        <f>'Sampling Data'!B824</f>
        <v>127</v>
      </c>
      <c r="D824" s="17">
        <f>'Sampling Data'!C824</f>
        <v>166</v>
      </c>
      <c r="E824" s="18">
        <f>'Sampling Data'!D824</f>
        <v>0</v>
      </c>
      <c r="F824" s="18">
        <f>'Sampling Data'!E824</f>
        <v>0</v>
      </c>
      <c r="G824" s="18">
        <f>'Sampling Data'!F824</f>
        <v>0</v>
      </c>
      <c r="H824" s="18">
        <f>'Sampling Data'!G824</f>
        <v>0</v>
      </c>
      <c r="I824" s="18">
        <f>'Sampling Data'!H824</f>
        <v>0</v>
      </c>
      <c r="J824" s="18">
        <f>'Sampling Data'!I824</f>
        <v>0</v>
      </c>
      <c r="K824" s="18">
        <f>'Sampling Data'!J824</f>
        <v>0</v>
      </c>
      <c r="L824" s="18">
        <f>'Sampling Data'!K824</f>
        <v>0</v>
      </c>
      <c r="M824" s="18">
        <f>'Sampling Data'!L824</f>
        <v>0</v>
      </c>
      <c r="N824" s="18">
        <f>'Sampling Data'!M824</f>
        <v>0</v>
      </c>
      <c r="O824" s="17">
        <f>'Sampling Data'!N824</f>
        <v>0</v>
      </c>
      <c r="P824" s="17">
        <f>'Sampling Data'!O824</f>
        <v>25</v>
      </c>
      <c r="Q824" s="17">
        <f>'Sampling Data'!P824</f>
        <v>318</v>
      </c>
      <c r="R824" s="17">
        <f>'Sampling Data'!AJ824</f>
        <v>0</v>
      </c>
      <c r="S824" s="111"/>
      <c r="T824" s="111"/>
      <c r="U824" s="112"/>
      <c r="V824" s="112"/>
      <c r="W824" s="111"/>
      <c r="X824" s="111"/>
      <c r="Y824" s="111"/>
      <c r="Z824" s="111"/>
      <c r="AA824" s="14"/>
      <c r="AB824" s="14"/>
      <c r="AC824" s="14"/>
      <c r="AD824" s="14"/>
      <c r="AE824" s="113" t="str">
        <f>IF(NOT(ISBLANK(Audit[[#This Row],[Audit Winning Candidate]])), Audit[[#This Row],[Audit Winning Candidate]]-Audit[[#This Row],[Winning Candidate]], "")</f>
        <v/>
      </c>
      <c r="AF824" s="17" t="str">
        <f>IF(NOT(ISBLANK(Audit[[#This Row],[Audit Losing Candidate]])), Audit[[#This Row],[Audit Losing Candidate]]-Audit[[#This Row],[Losing Candidate]], "")</f>
        <v/>
      </c>
      <c r="AG824" s="17" t="str">
        <f>IF(NOT(ISBLANK(Audit[[#This Row],[Audit Candidate 3]])), Audit[[#This Row],[Audit Candidate 3]]-Audit[[#This Row],[Candidate 3]], "")</f>
        <v/>
      </c>
      <c r="AH824" s="17" t="str">
        <f>IF(NOT(ISBLANK(Audit[[#This Row],[Audit Candidate 4]])),Audit[[#This Row],[Audit Candidate 4]]-Audit[[#This Row],[Candidate 4]], "")</f>
        <v/>
      </c>
      <c r="AI824" s="17" t="str">
        <f>IF(NOT(ISBLANK(Audit[[#This Row],[Audit Candidate 5]])), Audit[[#This Row],[Audit Candidate 5]]-Audit[[#This Row],[Candidate 5]], "")</f>
        <v/>
      </c>
      <c r="AJ824" s="17" t="str">
        <f>IF(NOT(ISBLANK(Audit[[#This Row],[Audit Candidate 6]])), Audit[[#This Row],[Audit Candidate 6]]-Audit[[#This Row],[Candidate 6]], "")</f>
        <v/>
      </c>
      <c r="AK824" s="17" t="str">
        <f>IF(NOT(ISBLANK(Audit[[#This Row],[Audit Candidate 7]])), Audit[[#This Row],[Audit Candidate 7]]-Audit[[#This Row],[Candidate 7]], "")</f>
        <v/>
      </c>
      <c r="AL824" s="17" t="str">
        <f>IF(NOT(ISBLANK(Audit[[#This Row],[Audit Candidate 8]])), Audit[[#This Row],[Audit Candidate 8]]-Audit[[#This Row],[Candidate 8]], "")</f>
        <v/>
      </c>
      <c r="AM824" s="17" t="str">
        <f>IF(NOT(ISBLANK(Audit[[#This Row],[Audit Candidate 9]])), Audit[[#This Row],[Audit Candidate 9]]-Audit[[#This Row],[Candidate 9]], "")</f>
        <v/>
      </c>
      <c r="AN824" s="17" t="str">
        <f>IF(NOT(ISBLANK(Audit[[#This Row],[Audit Candidate 10]])), Audit[[#This Row],[Audit Candidate 10]]-Audit[[#This Row],[Candidate 10]], "")</f>
        <v/>
      </c>
      <c r="AO824" s="17" t="str">
        <f>IF(NOT(ISBLANK(Audit[[#This Row],[Audit Candidate 11]])), Audit[[#This Row],[Audit Candidate 11]]-Audit[[#This Row],[Candidate 11]], "")</f>
        <v/>
      </c>
      <c r="AP824" s="17" t="str">
        <f>IF(NOT(ISBLANK(Audit[[#This Row],[Audit Candidate 12]])), Audit[[#This Row],[Audit Candidate 12]]-Audit[[#This Row],[Candidate 12]], "")</f>
        <v/>
      </c>
      <c r="AQ824" s="17">
        <f>SUMIF(Audit[[#This Row],[Difference Winner]:[Difference Candidate 12]], "&gt;0")</f>
        <v>0</v>
      </c>
      <c r="AR824" s="17">
        <f>SUM(Audit[[#This Row],[Difference Winner]:[Difference Candidate 12]])</f>
        <v>0</v>
      </c>
      <c r="AS824" s="17">
        <f>IF(Audit[[#This Row],[Times p Drawn - With Replacement]]&gt;0, IF(Audit[[#This Row],[Canceled Differences]]&lt;0, Audit[[#This Row],[Max Differences]]+ABS(Audit[[#This Row],[Canceled Differences]]), Audit[[#This Row],[Max Differences]]), 0)</f>
        <v>0</v>
      </c>
      <c r="AT824" s="17">
        <f>'Sampling Data'!AB824</f>
        <v>1.1840095060261416E-2</v>
      </c>
      <c r="AU824" s="17">
        <f>IF(
      SUM(Audit[[#This Row],[Audit Losing Candidate]:[Audit Candidate 12]])
      &lt;&gt;0,
      (Audit[[#This Row],[Winning Candidate]]-Audit[[#This Row],[Losing Candidate]]-(Audit[[#This Row],[Audit Winning Candidate]]-Audit[[#This Row],[Audit Losing Candidate]]))/(Audit[[#Totals],[Winning Candidate]]-Audit[[#Totals],[Losing Candidate]]),
      0
)</f>
        <v>0</v>
      </c>
      <c r="AV8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4" s="17">
        <f>IF(Audit[[#This Row],[Max Relative Error (ep)]] = 0, 0, Audit[[#This Row],[Max Relative Error (ep)]]/Audit[[#This Row],[Error Bound (up) - Max. possible relative overstatement]])</f>
        <v>0</v>
      </c>
      <c r="BH8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24" s="17">
        <f t="shared" si="13"/>
        <v>1</v>
      </c>
      <c r="BJ824" s="17">
        <f>PRODUCT($BI$5:BI824)</f>
        <v>0.20274654467839762</v>
      </c>
      <c r="BK824" s="19">
        <f>1 - Audit[[#This Row],[K-M P Value]]</f>
        <v>0.79725345532160241</v>
      </c>
      <c r="BL824" s="17" t="str">
        <f>IF(Audit[[#This Row],[K-M P Value]]&gt;1-'General Info'!$B$12,"Continue", "Stop")</f>
        <v>Continue</v>
      </c>
      <c r="BM824" s="22" t="b">
        <f>IF(Audit[[#This Row],[Status - Continue or stop audit]] = "Continue", TRUE, IF(BL823 = "Continue", TRUE, FALSE))</f>
        <v>1</v>
      </c>
      <c r="BN824" s="22"/>
    </row>
    <row r="825" spans="1:66" ht="15" hidden="1" customHeight="1" x14ac:dyDescent="0.35">
      <c r="A825" s="17" t="str">
        <f>'Sampling Data'!AI825</f>
        <v/>
      </c>
      <c r="B825" s="17" t="str">
        <f>'Sampling Data'!A825</f>
        <v>4008 MONT H   (ED)</v>
      </c>
      <c r="C825" s="17">
        <f>'Sampling Data'!B825</f>
        <v>145</v>
      </c>
      <c r="D825" s="17">
        <f>'Sampling Data'!C825</f>
        <v>232</v>
      </c>
      <c r="E825" s="18">
        <f>'Sampling Data'!D825</f>
        <v>0</v>
      </c>
      <c r="F825" s="18">
        <f>'Sampling Data'!E825</f>
        <v>0</v>
      </c>
      <c r="G825" s="18">
        <f>'Sampling Data'!F825</f>
        <v>0</v>
      </c>
      <c r="H825" s="18">
        <f>'Sampling Data'!G825</f>
        <v>0</v>
      </c>
      <c r="I825" s="18">
        <f>'Sampling Data'!H825</f>
        <v>0</v>
      </c>
      <c r="J825" s="18">
        <f>'Sampling Data'!I825</f>
        <v>0</v>
      </c>
      <c r="K825" s="18">
        <f>'Sampling Data'!J825</f>
        <v>0</v>
      </c>
      <c r="L825" s="18">
        <f>'Sampling Data'!K825</f>
        <v>0</v>
      </c>
      <c r="M825" s="18">
        <f>'Sampling Data'!L825</f>
        <v>0</v>
      </c>
      <c r="N825" s="18">
        <f>'Sampling Data'!M825</f>
        <v>0</v>
      </c>
      <c r="O825" s="17">
        <f>'Sampling Data'!N825</f>
        <v>0</v>
      </c>
      <c r="P825" s="17">
        <f>'Sampling Data'!O825</f>
        <v>39</v>
      </c>
      <c r="Q825" s="17">
        <f>'Sampling Data'!P825</f>
        <v>416</v>
      </c>
      <c r="R825" s="17">
        <f>'Sampling Data'!AJ825</f>
        <v>0</v>
      </c>
      <c r="S825" s="111"/>
      <c r="T825" s="111"/>
      <c r="U825" s="112"/>
      <c r="V825" s="112"/>
      <c r="W825" s="111"/>
      <c r="X825" s="111"/>
      <c r="Y825" s="111"/>
      <c r="Z825" s="111"/>
      <c r="AA825" s="14"/>
      <c r="AB825" s="14"/>
      <c r="AC825" s="14"/>
      <c r="AD825" s="14"/>
      <c r="AE825" s="113" t="str">
        <f>IF(NOT(ISBLANK(Audit[[#This Row],[Audit Winning Candidate]])), Audit[[#This Row],[Audit Winning Candidate]]-Audit[[#This Row],[Winning Candidate]], "")</f>
        <v/>
      </c>
      <c r="AF825" s="17" t="str">
        <f>IF(NOT(ISBLANK(Audit[[#This Row],[Audit Losing Candidate]])), Audit[[#This Row],[Audit Losing Candidate]]-Audit[[#This Row],[Losing Candidate]], "")</f>
        <v/>
      </c>
      <c r="AG825" s="17" t="str">
        <f>IF(NOT(ISBLANK(Audit[[#This Row],[Audit Candidate 3]])), Audit[[#This Row],[Audit Candidate 3]]-Audit[[#This Row],[Candidate 3]], "")</f>
        <v/>
      </c>
      <c r="AH825" s="17" t="str">
        <f>IF(NOT(ISBLANK(Audit[[#This Row],[Audit Candidate 4]])),Audit[[#This Row],[Audit Candidate 4]]-Audit[[#This Row],[Candidate 4]], "")</f>
        <v/>
      </c>
      <c r="AI825" s="17" t="str">
        <f>IF(NOT(ISBLANK(Audit[[#This Row],[Audit Candidate 5]])), Audit[[#This Row],[Audit Candidate 5]]-Audit[[#This Row],[Candidate 5]], "")</f>
        <v/>
      </c>
      <c r="AJ825" s="17" t="str">
        <f>IF(NOT(ISBLANK(Audit[[#This Row],[Audit Candidate 6]])), Audit[[#This Row],[Audit Candidate 6]]-Audit[[#This Row],[Candidate 6]], "")</f>
        <v/>
      </c>
      <c r="AK825" s="17" t="str">
        <f>IF(NOT(ISBLANK(Audit[[#This Row],[Audit Candidate 7]])), Audit[[#This Row],[Audit Candidate 7]]-Audit[[#This Row],[Candidate 7]], "")</f>
        <v/>
      </c>
      <c r="AL825" s="17" t="str">
        <f>IF(NOT(ISBLANK(Audit[[#This Row],[Audit Candidate 8]])), Audit[[#This Row],[Audit Candidate 8]]-Audit[[#This Row],[Candidate 8]], "")</f>
        <v/>
      </c>
      <c r="AM825" s="17" t="str">
        <f>IF(NOT(ISBLANK(Audit[[#This Row],[Audit Candidate 9]])), Audit[[#This Row],[Audit Candidate 9]]-Audit[[#This Row],[Candidate 9]], "")</f>
        <v/>
      </c>
      <c r="AN825" s="17" t="str">
        <f>IF(NOT(ISBLANK(Audit[[#This Row],[Audit Candidate 10]])), Audit[[#This Row],[Audit Candidate 10]]-Audit[[#This Row],[Candidate 10]], "")</f>
        <v/>
      </c>
      <c r="AO825" s="17" t="str">
        <f>IF(NOT(ISBLANK(Audit[[#This Row],[Audit Candidate 11]])), Audit[[#This Row],[Audit Candidate 11]]-Audit[[#This Row],[Candidate 11]], "")</f>
        <v/>
      </c>
      <c r="AP825" s="17" t="str">
        <f>IF(NOT(ISBLANK(Audit[[#This Row],[Audit Candidate 12]])), Audit[[#This Row],[Audit Candidate 12]]-Audit[[#This Row],[Candidate 12]], "")</f>
        <v/>
      </c>
      <c r="AQ825" s="17">
        <f>SUMIF(Audit[[#This Row],[Difference Winner]:[Difference Candidate 12]], "&gt;0")</f>
        <v>0</v>
      </c>
      <c r="AR825" s="17">
        <f>SUM(Audit[[#This Row],[Difference Winner]:[Difference Candidate 12]])</f>
        <v>0</v>
      </c>
      <c r="AS825" s="17">
        <f>IF(Audit[[#This Row],[Times p Drawn - With Replacement]]&gt;0, IF(Audit[[#This Row],[Canceled Differences]]&lt;0, Audit[[#This Row],[Max Differences]]+ABS(Audit[[#This Row],[Canceled Differences]]), Audit[[#This Row],[Max Differences]]), 0)</f>
        <v>0</v>
      </c>
      <c r="AT825" s="17">
        <f>'Sampling Data'!AB825</f>
        <v>1.3961975895433713E-2</v>
      </c>
      <c r="AU825" s="17">
        <f>IF(
      SUM(Audit[[#This Row],[Audit Losing Candidate]:[Audit Candidate 12]])
      &lt;&gt;0,
      (Audit[[#This Row],[Winning Candidate]]-Audit[[#This Row],[Losing Candidate]]-(Audit[[#This Row],[Audit Winning Candidate]]-Audit[[#This Row],[Audit Losing Candidate]]))/(Audit[[#Totals],[Winning Candidate]]-Audit[[#Totals],[Losing Candidate]]),
      0
)</f>
        <v>0</v>
      </c>
      <c r="AV8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5" s="17">
        <f>IF(Audit[[#This Row],[Max Relative Error (ep)]] = 0, 0, Audit[[#This Row],[Max Relative Error (ep)]]/Audit[[#This Row],[Error Bound (up) - Max. possible relative overstatement]])</f>
        <v>0</v>
      </c>
      <c r="BH8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25" s="17">
        <f t="shared" si="13"/>
        <v>1</v>
      </c>
      <c r="BJ825" s="17">
        <f>PRODUCT($BI$5:BI825)</f>
        <v>0.20274654467839762</v>
      </c>
      <c r="BK825" s="19">
        <f>1 - Audit[[#This Row],[K-M P Value]]</f>
        <v>0.79725345532160241</v>
      </c>
      <c r="BL825" s="17" t="str">
        <f>IF(Audit[[#This Row],[K-M P Value]]&gt;1-'General Info'!$B$12,"Continue", "Stop")</f>
        <v>Continue</v>
      </c>
      <c r="BM825" s="22" t="b">
        <f>IF(Audit[[#This Row],[Status - Continue or stop audit]] = "Continue", TRUE, IF(BL824 = "Continue", TRUE, FALSE))</f>
        <v>1</v>
      </c>
      <c r="BN825" s="22"/>
    </row>
    <row r="826" spans="1:66" ht="15" hidden="1" customHeight="1" x14ac:dyDescent="0.35">
      <c r="A826" s="17" t="str">
        <f>'Sampling Data'!AI826</f>
        <v/>
      </c>
      <c r="B826" s="17" t="str">
        <f>'Sampling Data'!A826</f>
        <v>4009 MONT I   (ED)</v>
      </c>
      <c r="C826" s="17">
        <f>'Sampling Data'!B826</f>
        <v>137</v>
      </c>
      <c r="D826" s="17">
        <f>'Sampling Data'!C826</f>
        <v>172</v>
      </c>
      <c r="E826" s="18">
        <f>'Sampling Data'!D826</f>
        <v>0</v>
      </c>
      <c r="F826" s="18">
        <f>'Sampling Data'!E826</f>
        <v>0</v>
      </c>
      <c r="G826" s="18">
        <f>'Sampling Data'!F826</f>
        <v>0</v>
      </c>
      <c r="H826" s="18">
        <f>'Sampling Data'!G826</f>
        <v>0</v>
      </c>
      <c r="I826" s="18">
        <f>'Sampling Data'!H826</f>
        <v>0</v>
      </c>
      <c r="J826" s="18">
        <f>'Sampling Data'!I826</f>
        <v>0</v>
      </c>
      <c r="K826" s="18">
        <f>'Sampling Data'!J826</f>
        <v>0</v>
      </c>
      <c r="L826" s="18">
        <f>'Sampling Data'!K826</f>
        <v>0</v>
      </c>
      <c r="M826" s="18">
        <f>'Sampling Data'!L826</f>
        <v>0</v>
      </c>
      <c r="N826" s="18">
        <f>'Sampling Data'!M826</f>
        <v>0</v>
      </c>
      <c r="O826" s="17">
        <f>'Sampling Data'!N826</f>
        <v>0</v>
      </c>
      <c r="P826" s="17">
        <f>'Sampling Data'!O826</f>
        <v>28</v>
      </c>
      <c r="Q826" s="17">
        <f>'Sampling Data'!P826</f>
        <v>337</v>
      </c>
      <c r="R826" s="17">
        <f>'Sampling Data'!AJ826</f>
        <v>0</v>
      </c>
      <c r="S826" s="111"/>
      <c r="T826" s="111"/>
      <c r="U826" s="112"/>
      <c r="V826" s="112"/>
      <c r="W826" s="111"/>
      <c r="X826" s="111"/>
      <c r="Y826" s="111"/>
      <c r="Z826" s="111"/>
      <c r="AA826" s="14"/>
      <c r="AB826" s="14"/>
      <c r="AC826" s="14"/>
      <c r="AD826" s="14"/>
      <c r="AE826" s="113" t="str">
        <f>IF(NOT(ISBLANK(Audit[[#This Row],[Audit Winning Candidate]])), Audit[[#This Row],[Audit Winning Candidate]]-Audit[[#This Row],[Winning Candidate]], "")</f>
        <v/>
      </c>
      <c r="AF826" s="17" t="str">
        <f>IF(NOT(ISBLANK(Audit[[#This Row],[Audit Losing Candidate]])), Audit[[#This Row],[Audit Losing Candidate]]-Audit[[#This Row],[Losing Candidate]], "")</f>
        <v/>
      </c>
      <c r="AG826" s="17" t="str">
        <f>IF(NOT(ISBLANK(Audit[[#This Row],[Audit Candidate 3]])), Audit[[#This Row],[Audit Candidate 3]]-Audit[[#This Row],[Candidate 3]], "")</f>
        <v/>
      </c>
      <c r="AH826" s="17" t="str">
        <f>IF(NOT(ISBLANK(Audit[[#This Row],[Audit Candidate 4]])),Audit[[#This Row],[Audit Candidate 4]]-Audit[[#This Row],[Candidate 4]], "")</f>
        <v/>
      </c>
      <c r="AI826" s="17" t="str">
        <f>IF(NOT(ISBLANK(Audit[[#This Row],[Audit Candidate 5]])), Audit[[#This Row],[Audit Candidate 5]]-Audit[[#This Row],[Candidate 5]], "")</f>
        <v/>
      </c>
      <c r="AJ826" s="17" t="str">
        <f>IF(NOT(ISBLANK(Audit[[#This Row],[Audit Candidate 6]])), Audit[[#This Row],[Audit Candidate 6]]-Audit[[#This Row],[Candidate 6]], "")</f>
        <v/>
      </c>
      <c r="AK826" s="17" t="str">
        <f>IF(NOT(ISBLANK(Audit[[#This Row],[Audit Candidate 7]])), Audit[[#This Row],[Audit Candidate 7]]-Audit[[#This Row],[Candidate 7]], "")</f>
        <v/>
      </c>
      <c r="AL826" s="17" t="str">
        <f>IF(NOT(ISBLANK(Audit[[#This Row],[Audit Candidate 8]])), Audit[[#This Row],[Audit Candidate 8]]-Audit[[#This Row],[Candidate 8]], "")</f>
        <v/>
      </c>
      <c r="AM826" s="17" t="str">
        <f>IF(NOT(ISBLANK(Audit[[#This Row],[Audit Candidate 9]])), Audit[[#This Row],[Audit Candidate 9]]-Audit[[#This Row],[Candidate 9]], "")</f>
        <v/>
      </c>
      <c r="AN826" s="17" t="str">
        <f>IF(NOT(ISBLANK(Audit[[#This Row],[Audit Candidate 10]])), Audit[[#This Row],[Audit Candidate 10]]-Audit[[#This Row],[Candidate 10]], "")</f>
        <v/>
      </c>
      <c r="AO826" s="17" t="str">
        <f>IF(NOT(ISBLANK(Audit[[#This Row],[Audit Candidate 11]])), Audit[[#This Row],[Audit Candidate 11]]-Audit[[#This Row],[Candidate 11]], "")</f>
        <v/>
      </c>
      <c r="AP826" s="17" t="str">
        <f>IF(NOT(ISBLANK(Audit[[#This Row],[Audit Candidate 12]])), Audit[[#This Row],[Audit Candidate 12]]-Audit[[#This Row],[Candidate 12]], "")</f>
        <v/>
      </c>
      <c r="AQ826" s="17">
        <f>SUMIF(Audit[[#This Row],[Difference Winner]:[Difference Candidate 12]], "&gt;0")</f>
        <v>0</v>
      </c>
      <c r="AR826" s="17">
        <f>SUM(Audit[[#This Row],[Difference Winner]:[Difference Candidate 12]])</f>
        <v>0</v>
      </c>
      <c r="AS826" s="17">
        <f>IF(Audit[[#This Row],[Times p Drawn - With Replacement]]&gt;0, IF(Audit[[#This Row],[Canceled Differences]]&lt;0, Audit[[#This Row],[Max Differences]]+ABS(Audit[[#This Row],[Canceled Differences]]), Audit[[#This Row],[Max Differences]]), 0)</f>
        <v>0</v>
      </c>
      <c r="AT826" s="17">
        <f>'Sampling Data'!AB826</f>
        <v>1.2816160244440673E-2</v>
      </c>
      <c r="AU826" s="17">
        <f>IF(
      SUM(Audit[[#This Row],[Audit Losing Candidate]:[Audit Candidate 12]])
      &lt;&gt;0,
      (Audit[[#This Row],[Winning Candidate]]-Audit[[#This Row],[Losing Candidate]]-(Audit[[#This Row],[Audit Winning Candidate]]-Audit[[#This Row],[Audit Losing Candidate]]))/(Audit[[#Totals],[Winning Candidate]]-Audit[[#Totals],[Losing Candidate]]),
      0
)</f>
        <v>0</v>
      </c>
      <c r="AV8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6" s="17">
        <f>IF(Audit[[#This Row],[Max Relative Error (ep)]] = 0, 0, Audit[[#This Row],[Max Relative Error (ep)]]/Audit[[#This Row],[Error Bound (up) - Max. possible relative overstatement]])</f>
        <v>0</v>
      </c>
      <c r="BH8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26" s="17">
        <f t="shared" si="13"/>
        <v>1</v>
      </c>
      <c r="BJ826" s="17">
        <f>PRODUCT($BI$5:BI826)</f>
        <v>0.20274654467839762</v>
      </c>
      <c r="BK826" s="19">
        <f>1 - Audit[[#This Row],[K-M P Value]]</f>
        <v>0.79725345532160241</v>
      </c>
      <c r="BL826" s="17" t="str">
        <f>IF(Audit[[#This Row],[K-M P Value]]&gt;1-'General Info'!$B$12,"Continue", "Stop")</f>
        <v>Continue</v>
      </c>
      <c r="BM826" s="22" t="b">
        <f>IF(Audit[[#This Row],[Status - Continue or stop audit]] = "Continue", TRUE, IF(BL825 = "Continue", TRUE, FALSE))</f>
        <v>1</v>
      </c>
      <c r="BN826" s="22"/>
    </row>
    <row r="827" spans="1:66" ht="15" hidden="1" customHeight="1" x14ac:dyDescent="0.35">
      <c r="A827" s="17" t="str">
        <f>'Sampling Data'!AI827</f>
        <v/>
      </c>
      <c r="B827" s="17" t="str">
        <f>'Sampling Data'!A827</f>
        <v>4111 MTHY 1-A   (ED)</v>
      </c>
      <c r="C827" s="17">
        <f>'Sampling Data'!B827</f>
        <v>330</v>
      </c>
      <c r="D827" s="17">
        <f>'Sampling Data'!C827</f>
        <v>135</v>
      </c>
      <c r="E827" s="18">
        <f>'Sampling Data'!D827</f>
        <v>0</v>
      </c>
      <c r="F827" s="18">
        <f>'Sampling Data'!E827</f>
        <v>0</v>
      </c>
      <c r="G827" s="18">
        <f>'Sampling Data'!F827</f>
        <v>0</v>
      </c>
      <c r="H827" s="18">
        <f>'Sampling Data'!G827</f>
        <v>0</v>
      </c>
      <c r="I827" s="18">
        <f>'Sampling Data'!H827</f>
        <v>0</v>
      </c>
      <c r="J827" s="18">
        <f>'Sampling Data'!I827</f>
        <v>0</v>
      </c>
      <c r="K827" s="18">
        <f>'Sampling Data'!J827</f>
        <v>0</v>
      </c>
      <c r="L827" s="18">
        <f>'Sampling Data'!K827</f>
        <v>0</v>
      </c>
      <c r="M827" s="18">
        <f>'Sampling Data'!L827</f>
        <v>0</v>
      </c>
      <c r="N827" s="18">
        <f>'Sampling Data'!M827</f>
        <v>0</v>
      </c>
      <c r="O827" s="17">
        <f>'Sampling Data'!N827</f>
        <v>0</v>
      </c>
      <c r="P827" s="17">
        <f>'Sampling Data'!O827</f>
        <v>36</v>
      </c>
      <c r="Q827" s="17">
        <f>'Sampling Data'!P827</f>
        <v>501</v>
      </c>
      <c r="R827" s="17">
        <f>'Sampling Data'!AJ827</f>
        <v>0</v>
      </c>
      <c r="S827" s="111"/>
      <c r="T827" s="111"/>
      <c r="U827" s="112"/>
      <c r="V827" s="112"/>
      <c r="W827" s="111"/>
      <c r="X827" s="111"/>
      <c r="Y827" s="111"/>
      <c r="Z827" s="111"/>
      <c r="AA827" s="14"/>
      <c r="AB827" s="14"/>
      <c r="AC827" s="14"/>
      <c r="AD827" s="14"/>
      <c r="AE827" s="113" t="str">
        <f>IF(NOT(ISBLANK(Audit[[#This Row],[Audit Winning Candidate]])), Audit[[#This Row],[Audit Winning Candidate]]-Audit[[#This Row],[Winning Candidate]], "")</f>
        <v/>
      </c>
      <c r="AF827" s="17" t="str">
        <f>IF(NOT(ISBLANK(Audit[[#This Row],[Audit Losing Candidate]])), Audit[[#This Row],[Audit Losing Candidate]]-Audit[[#This Row],[Losing Candidate]], "")</f>
        <v/>
      </c>
      <c r="AG827" s="17" t="str">
        <f>IF(NOT(ISBLANK(Audit[[#This Row],[Audit Candidate 3]])), Audit[[#This Row],[Audit Candidate 3]]-Audit[[#This Row],[Candidate 3]], "")</f>
        <v/>
      </c>
      <c r="AH827" s="17" t="str">
        <f>IF(NOT(ISBLANK(Audit[[#This Row],[Audit Candidate 4]])),Audit[[#This Row],[Audit Candidate 4]]-Audit[[#This Row],[Candidate 4]], "")</f>
        <v/>
      </c>
      <c r="AI827" s="17" t="str">
        <f>IF(NOT(ISBLANK(Audit[[#This Row],[Audit Candidate 5]])), Audit[[#This Row],[Audit Candidate 5]]-Audit[[#This Row],[Candidate 5]], "")</f>
        <v/>
      </c>
      <c r="AJ827" s="17" t="str">
        <f>IF(NOT(ISBLANK(Audit[[#This Row],[Audit Candidate 6]])), Audit[[#This Row],[Audit Candidate 6]]-Audit[[#This Row],[Candidate 6]], "")</f>
        <v/>
      </c>
      <c r="AK827" s="17" t="str">
        <f>IF(NOT(ISBLANK(Audit[[#This Row],[Audit Candidate 7]])), Audit[[#This Row],[Audit Candidate 7]]-Audit[[#This Row],[Candidate 7]], "")</f>
        <v/>
      </c>
      <c r="AL827" s="17" t="str">
        <f>IF(NOT(ISBLANK(Audit[[#This Row],[Audit Candidate 8]])), Audit[[#This Row],[Audit Candidate 8]]-Audit[[#This Row],[Candidate 8]], "")</f>
        <v/>
      </c>
      <c r="AM827" s="17" t="str">
        <f>IF(NOT(ISBLANK(Audit[[#This Row],[Audit Candidate 9]])), Audit[[#This Row],[Audit Candidate 9]]-Audit[[#This Row],[Candidate 9]], "")</f>
        <v/>
      </c>
      <c r="AN827" s="17" t="str">
        <f>IF(NOT(ISBLANK(Audit[[#This Row],[Audit Candidate 10]])), Audit[[#This Row],[Audit Candidate 10]]-Audit[[#This Row],[Candidate 10]], "")</f>
        <v/>
      </c>
      <c r="AO827" s="17" t="str">
        <f>IF(NOT(ISBLANK(Audit[[#This Row],[Audit Candidate 11]])), Audit[[#This Row],[Audit Candidate 11]]-Audit[[#This Row],[Candidate 11]], "")</f>
        <v/>
      </c>
      <c r="AP827" s="17" t="str">
        <f>IF(NOT(ISBLANK(Audit[[#This Row],[Audit Candidate 12]])), Audit[[#This Row],[Audit Candidate 12]]-Audit[[#This Row],[Candidate 12]], "")</f>
        <v/>
      </c>
      <c r="AQ827" s="17">
        <f>SUMIF(Audit[[#This Row],[Difference Winner]:[Difference Candidate 12]], "&gt;0")</f>
        <v>0</v>
      </c>
      <c r="AR827" s="17">
        <f>SUM(Audit[[#This Row],[Difference Winner]:[Difference Candidate 12]])</f>
        <v>0</v>
      </c>
      <c r="AS827" s="17">
        <f>IF(Audit[[#This Row],[Times p Drawn - With Replacement]]&gt;0, IF(Audit[[#This Row],[Canceled Differences]]&lt;0, Audit[[#This Row],[Max Differences]]+ABS(Audit[[#This Row],[Canceled Differences]]), Audit[[#This Row],[Max Differences]]), 0)</f>
        <v>0</v>
      </c>
      <c r="AT827" s="17">
        <f>'Sampling Data'!AB827</f>
        <v>2.9536581225598369E-2</v>
      </c>
      <c r="AU827" s="17">
        <f>IF(
      SUM(Audit[[#This Row],[Audit Losing Candidate]:[Audit Candidate 12]])
      &lt;&gt;0,
      (Audit[[#This Row],[Winning Candidate]]-Audit[[#This Row],[Losing Candidate]]-(Audit[[#This Row],[Audit Winning Candidate]]-Audit[[#This Row],[Audit Losing Candidate]]))/(Audit[[#Totals],[Winning Candidate]]-Audit[[#Totals],[Losing Candidate]]),
      0
)</f>
        <v>0</v>
      </c>
      <c r="AV8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7" s="17">
        <f>IF(Audit[[#This Row],[Max Relative Error (ep)]] = 0, 0, Audit[[#This Row],[Max Relative Error (ep)]]/Audit[[#This Row],[Error Bound (up) - Max. possible relative overstatement]])</f>
        <v>0</v>
      </c>
      <c r="BH8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27" s="17">
        <f t="shared" si="13"/>
        <v>1</v>
      </c>
      <c r="BJ827" s="17">
        <f>PRODUCT($BI$5:BI827)</f>
        <v>0.20274654467839762</v>
      </c>
      <c r="BK827" s="19">
        <f>1 - Audit[[#This Row],[K-M P Value]]</f>
        <v>0.79725345532160241</v>
      </c>
      <c r="BL827" s="17" t="str">
        <f>IF(Audit[[#This Row],[K-M P Value]]&gt;1-'General Info'!$B$12,"Continue", "Stop")</f>
        <v>Continue</v>
      </c>
      <c r="BM827" s="22" t="b">
        <f>IF(Audit[[#This Row],[Status - Continue or stop audit]] = "Continue", TRUE, IF(BL826 = "Continue", TRUE, FALSE))</f>
        <v>1</v>
      </c>
      <c r="BN827" s="22"/>
    </row>
    <row r="828" spans="1:66" ht="15" hidden="1" customHeight="1" x14ac:dyDescent="0.35">
      <c r="A828" s="17" t="str">
        <f>'Sampling Data'!AI828</f>
        <v/>
      </c>
      <c r="B828" s="17" t="str">
        <f>'Sampling Data'!A828</f>
        <v>4121 MTHY 2-A   (ED)</v>
      </c>
      <c r="C828" s="17">
        <f>'Sampling Data'!B828</f>
        <v>220</v>
      </c>
      <c r="D828" s="17">
        <f>'Sampling Data'!C828</f>
        <v>204</v>
      </c>
      <c r="E828" s="18">
        <f>'Sampling Data'!D828</f>
        <v>0</v>
      </c>
      <c r="F828" s="18">
        <f>'Sampling Data'!E828</f>
        <v>0</v>
      </c>
      <c r="G828" s="18">
        <f>'Sampling Data'!F828</f>
        <v>0</v>
      </c>
      <c r="H828" s="18">
        <f>'Sampling Data'!G828</f>
        <v>0</v>
      </c>
      <c r="I828" s="18">
        <f>'Sampling Data'!H828</f>
        <v>0</v>
      </c>
      <c r="J828" s="18">
        <f>'Sampling Data'!I828</f>
        <v>0</v>
      </c>
      <c r="K828" s="18">
        <f>'Sampling Data'!J828</f>
        <v>0</v>
      </c>
      <c r="L828" s="18">
        <f>'Sampling Data'!K828</f>
        <v>0</v>
      </c>
      <c r="M828" s="18">
        <f>'Sampling Data'!L828</f>
        <v>0</v>
      </c>
      <c r="N828" s="18">
        <f>'Sampling Data'!M828</f>
        <v>0</v>
      </c>
      <c r="O828" s="17">
        <f>'Sampling Data'!N828</f>
        <v>0</v>
      </c>
      <c r="P828" s="17">
        <f>'Sampling Data'!O828</f>
        <v>46</v>
      </c>
      <c r="Q828" s="17">
        <f>'Sampling Data'!P828</f>
        <v>470</v>
      </c>
      <c r="R828" s="17">
        <f>'Sampling Data'!AJ828</f>
        <v>0</v>
      </c>
      <c r="S828" s="111"/>
      <c r="T828" s="111"/>
      <c r="U828" s="112"/>
      <c r="V828" s="112"/>
      <c r="W828" s="111"/>
      <c r="X828" s="111"/>
      <c r="Y828" s="111"/>
      <c r="Z828" s="111"/>
      <c r="AA828" s="14"/>
      <c r="AB828" s="14"/>
      <c r="AC828" s="14"/>
      <c r="AD828" s="14"/>
      <c r="AE828" s="113" t="str">
        <f>IF(NOT(ISBLANK(Audit[[#This Row],[Audit Winning Candidate]])), Audit[[#This Row],[Audit Winning Candidate]]-Audit[[#This Row],[Winning Candidate]], "")</f>
        <v/>
      </c>
      <c r="AF828" s="17" t="str">
        <f>IF(NOT(ISBLANK(Audit[[#This Row],[Audit Losing Candidate]])), Audit[[#This Row],[Audit Losing Candidate]]-Audit[[#This Row],[Losing Candidate]], "")</f>
        <v/>
      </c>
      <c r="AG828" s="17" t="str">
        <f>IF(NOT(ISBLANK(Audit[[#This Row],[Audit Candidate 3]])), Audit[[#This Row],[Audit Candidate 3]]-Audit[[#This Row],[Candidate 3]], "")</f>
        <v/>
      </c>
      <c r="AH828" s="17" t="str">
        <f>IF(NOT(ISBLANK(Audit[[#This Row],[Audit Candidate 4]])),Audit[[#This Row],[Audit Candidate 4]]-Audit[[#This Row],[Candidate 4]], "")</f>
        <v/>
      </c>
      <c r="AI828" s="17" t="str">
        <f>IF(NOT(ISBLANK(Audit[[#This Row],[Audit Candidate 5]])), Audit[[#This Row],[Audit Candidate 5]]-Audit[[#This Row],[Candidate 5]], "")</f>
        <v/>
      </c>
      <c r="AJ828" s="17" t="str">
        <f>IF(NOT(ISBLANK(Audit[[#This Row],[Audit Candidate 6]])), Audit[[#This Row],[Audit Candidate 6]]-Audit[[#This Row],[Candidate 6]], "")</f>
        <v/>
      </c>
      <c r="AK828" s="17" t="str">
        <f>IF(NOT(ISBLANK(Audit[[#This Row],[Audit Candidate 7]])), Audit[[#This Row],[Audit Candidate 7]]-Audit[[#This Row],[Candidate 7]], "")</f>
        <v/>
      </c>
      <c r="AL828" s="17" t="str">
        <f>IF(NOT(ISBLANK(Audit[[#This Row],[Audit Candidate 8]])), Audit[[#This Row],[Audit Candidate 8]]-Audit[[#This Row],[Candidate 8]], "")</f>
        <v/>
      </c>
      <c r="AM828" s="17" t="str">
        <f>IF(NOT(ISBLANK(Audit[[#This Row],[Audit Candidate 9]])), Audit[[#This Row],[Audit Candidate 9]]-Audit[[#This Row],[Candidate 9]], "")</f>
        <v/>
      </c>
      <c r="AN828" s="17" t="str">
        <f>IF(NOT(ISBLANK(Audit[[#This Row],[Audit Candidate 10]])), Audit[[#This Row],[Audit Candidate 10]]-Audit[[#This Row],[Candidate 10]], "")</f>
        <v/>
      </c>
      <c r="AO828" s="17" t="str">
        <f>IF(NOT(ISBLANK(Audit[[#This Row],[Audit Candidate 11]])), Audit[[#This Row],[Audit Candidate 11]]-Audit[[#This Row],[Candidate 11]], "")</f>
        <v/>
      </c>
      <c r="AP828" s="17" t="str">
        <f>IF(NOT(ISBLANK(Audit[[#This Row],[Audit Candidate 12]])), Audit[[#This Row],[Audit Candidate 12]]-Audit[[#This Row],[Candidate 12]], "")</f>
        <v/>
      </c>
      <c r="AQ828" s="17">
        <f>SUMIF(Audit[[#This Row],[Difference Winner]:[Difference Candidate 12]], "&gt;0")</f>
        <v>0</v>
      </c>
      <c r="AR828" s="17">
        <f>SUM(Audit[[#This Row],[Difference Winner]:[Difference Candidate 12]])</f>
        <v>0</v>
      </c>
      <c r="AS828" s="17">
        <f>IF(Audit[[#This Row],[Times p Drawn - With Replacement]]&gt;0, IF(Audit[[#This Row],[Canceled Differences]]&lt;0, Audit[[#This Row],[Max Differences]]+ABS(Audit[[#This Row],[Canceled Differences]]), Audit[[#This Row],[Max Differences]]), 0)</f>
        <v>0</v>
      </c>
      <c r="AT828" s="17">
        <f>'Sampling Data'!AB828</f>
        <v>2.0624681717874724E-2</v>
      </c>
      <c r="AU828" s="17">
        <f>IF(
      SUM(Audit[[#This Row],[Audit Losing Candidate]:[Audit Candidate 12]])
      &lt;&gt;0,
      (Audit[[#This Row],[Winning Candidate]]-Audit[[#This Row],[Losing Candidate]]-(Audit[[#This Row],[Audit Winning Candidate]]-Audit[[#This Row],[Audit Losing Candidate]]))/(Audit[[#Totals],[Winning Candidate]]-Audit[[#Totals],[Losing Candidate]]),
      0
)</f>
        <v>0</v>
      </c>
      <c r="AV8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8" s="17">
        <f>IF(Audit[[#This Row],[Max Relative Error (ep)]] = 0, 0, Audit[[#This Row],[Max Relative Error (ep)]]/Audit[[#This Row],[Error Bound (up) - Max. possible relative overstatement]])</f>
        <v>0</v>
      </c>
      <c r="BH8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28" s="17">
        <f t="shared" si="13"/>
        <v>1</v>
      </c>
      <c r="BJ828" s="17">
        <f>PRODUCT($BI$5:BI828)</f>
        <v>0.20274654467839762</v>
      </c>
      <c r="BK828" s="19">
        <f>1 - Audit[[#This Row],[K-M P Value]]</f>
        <v>0.79725345532160241</v>
      </c>
      <c r="BL828" s="17" t="str">
        <f>IF(Audit[[#This Row],[K-M P Value]]&gt;1-'General Info'!$B$12,"Continue", "Stop")</f>
        <v>Continue</v>
      </c>
      <c r="BM828" s="22" t="b">
        <f>IF(Audit[[#This Row],[Status - Continue or stop audit]] = "Continue", TRUE, IF(BL827 = "Continue", TRUE, FALSE))</f>
        <v>1</v>
      </c>
      <c r="BN828" s="22"/>
    </row>
    <row r="829" spans="1:66" ht="15" hidden="1" customHeight="1" x14ac:dyDescent="0.35">
      <c r="A829" s="17" t="str">
        <f>'Sampling Data'!AI829</f>
        <v/>
      </c>
      <c r="B829" s="17" t="str">
        <f>'Sampling Data'!A829</f>
        <v>4131 MTHY 3-A   (ED)</v>
      </c>
      <c r="C829" s="17">
        <f>'Sampling Data'!B829</f>
        <v>249</v>
      </c>
      <c r="D829" s="17">
        <f>'Sampling Data'!C829</f>
        <v>133</v>
      </c>
      <c r="E829" s="18">
        <f>'Sampling Data'!D829</f>
        <v>0</v>
      </c>
      <c r="F829" s="18">
        <f>'Sampling Data'!E829</f>
        <v>0</v>
      </c>
      <c r="G829" s="18">
        <f>'Sampling Data'!F829</f>
        <v>0</v>
      </c>
      <c r="H829" s="18">
        <f>'Sampling Data'!G829</f>
        <v>0</v>
      </c>
      <c r="I829" s="18">
        <f>'Sampling Data'!H829</f>
        <v>0</v>
      </c>
      <c r="J829" s="18">
        <f>'Sampling Data'!I829</f>
        <v>0</v>
      </c>
      <c r="K829" s="18">
        <f>'Sampling Data'!J829</f>
        <v>0</v>
      </c>
      <c r="L829" s="18">
        <f>'Sampling Data'!K829</f>
        <v>0</v>
      </c>
      <c r="M829" s="18">
        <f>'Sampling Data'!L829</f>
        <v>0</v>
      </c>
      <c r="N829" s="18">
        <f>'Sampling Data'!M829</f>
        <v>0</v>
      </c>
      <c r="O829" s="17">
        <f>'Sampling Data'!N829</f>
        <v>0</v>
      </c>
      <c r="P829" s="17">
        <f>'Sampling Data'!O829</f>
        <v>39</v>
      </c>
      <c r="Q829" s="17">
        <f>'Sampling Data'!P829</f>
        <v>421</v>
      </c>
      <c r="R829" s="17">
        <f>'Sampling Data'!AJ829</f>
        <v>0</v>
      </c>
      <c r="S829" s="111"/>
      <c r="T829" s="111"/>
      <c r="U829" s="112"/>
      <c r="V829" s="112"/>
      <c r="W829" s="111"/>
      <c r="X829" s="111"/>
      <c r="Y829" s="111"/>
      <c r="Z829" s="111"/>
      <c r="AA829" s="14"/>
      <c r="AB829" s="14"/>
      <c r="AC829" s="14"/>
      <c r="AD829" s="14"/>
      <c r="AE829" s="113" t="str">
        <f>IF(NOT(ISBLANK(Audit[[#This Row],[Audit Winning Candidate]])), Audit[[#This Row],[Audit Winning Candidate]]-Audit[[#This Row],[Winning Candidate]], "")</f>
        <v/>
      </c>
      <c r="AF829" s="17" t="str">
        <f>IF(NOT(ISBLANK(Audit[[#This Row],[Audit Losing Candidate]])), Audit[[#This Row],[Audit Losing Candidate]]-Audit[[#This Row],[Losing Candidate]], "")</f>
        <v/>
      </c>
      <c r="AG829" s="17" t="str">
        <f>IF(NOT(ISBLANK(Audit[[#This Row],[Audit Candidate 3]])), Audit[[#This Row],[Audit Candidate 3]]-Audit[[#This Row],[Candidate 3]], "")</f>
        <v/>
      </c>
      <c r="AH829" s="17" t="str">
        <f>IF(NOT(ISBLANK(Audit[[#This Row],[Audit Candidate 4]])),Audit[[#This Row],[Audit Candidate 4]]-Audit[[#This Row],[Candidate 4]], "")</f>
        <v/>
      </c>
      <c r="AI829" s="17" t="str">
        <f>IF(NOT(ISBLANK(Audit[[#This Row],[Audit Candidate 5]])), Audit[[#This Row],[Audit Candidate 5]]-Audit[[#This Row],[Candidate 5]], "")</f>
        <v/>
      </c>
      <c r="AJ829" s="17" t="str">
        <f>IF(NOT(ISBLANK(Audit[[#This Row],[Audit Candidate 6]])), Audit[[#This Row],[Audit Candidate 6]]-Audit[[#This Row],[Candidate 6]], "")</f>
        <v/>
      </c>
      <c r="AK829" s="17" t="str">
        <f>IF(NOT(ISBLANK(Audit[[#This Row],[Audit Candidate 7]])), Audit[[#This Row],[Audit Candidate 7]]-Audit[[#This Row],[Candidate 7]], "")</f>
        <v/>
      </c>
      <c r="AL829" s="17" t="str">
        <f>IF(NOT(ISBLANK(Audit[[#This Row],[Audit Candidate 8]])), Audit[[#This Row],[Audit Candidate 8]]-Audit[[#This Row],[Candidate 8]], "")</f>
        <v/>
      </c>
      <c r="AM829" s="17" t="str">
        <f>IF(NOT(ISBLANK(Audit[[#This Row],[Audit Candidate 9]])), Audit[[#This Row],[Audit Candidate 9]]-Audit[[#This Row],[Candidate 9]], "")</f>
        <v/>
      </c>
      <c r="AN829" s="17" t="str">
        <f>IF(NOT(ISBLANK(Audit[[#This Row],[Audit Candidate 10]])), Audit[[#This Row],[Audit Candidate 10]]-Audit[[#This Row],[Candidate 10]], "")</f>
        <v/>
      </c>
      <c r="AO829" s="17" t="str">
        <f>IF(NOT(ISBLANK(Audit[[#This Row],[Audit Candidate 11]])), Audit[[#This Row],[Audit Candidate 11]]-Audit[[#This Row],[Candidate 11]], "")</f>
        <v/>
      </c>
      <c r="AP829" s="17" t="str">
        <f>IF(NOT(ISBLANK(Audit[[#This Row],[Audit Candidate 12]])), Audit[[#This Row],[Audit Candidate 12]]-Audit[[#This Row],[Candidate 12]], "")</f>
        <v/>
      </c>
      <c r="AQ829" s="17">
        <f>SUMIF(Audit[[#This Row],[Difference Winner]:[Difference Candidate 12]], "&gt;0")</f>
        <v>0</v>
      </c>
      <c r="AR829" s="17">
        <f>SUM(Audit[[#This Row],[Difference Winner]:[Difference Candidate 12]])</f>
        <v>0</v>
      </c>
      <c r="AS829" s="17">
        <f>IF(Audit[[#This Row],[Times p Drawn - With Replacement]]&gt;0, IF(Audit[[#This Row],[Canceled Differences]]&lt;0, Audit[[#This Row],[Max Differences]]+ABS(Audit[[#This Row],[Canceled Differences]]), Audit[[#This Row],[Max Differences]]), 0)</f>
        <v>0</v>
      </c>
      <c r="AT829" s="17">
        <f>'Sampling Data'!AB829</f>
        <v>2.2789000169750467E-2</v>
      </c>
      <c r="AU829" s="17">
        <f>IF(
      SUM(Audit[[#This Row],[Audit Losing Candidate]:[Audit Candidate 12]])
      &lt;&gt;0,
      (Audit[[#This Row],[Winning Candidate]]-Audit[[#This Row],[Losing Candidate]]-(Audit[[#This Row],[Audit Winning Candidate]]-Audit[[#This Row],[Audit Losing Candidate]]))/(Audit[[#Totals],[Winning Candidate]]-Audit[[#Totals],[Losing Candidate]]),
      0
)</f>
        <v>0</v>
      </c>
      <c r="AV8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9" s="17">
        <f>IF(Audit[[#This Row],[Max Relative Error (ep)]] = 0, 0, Audit[[#This Row],[Max Relative Error (ep)]]/Audit[[#This Row],[Error Bound (up) - Max. possible relative overstatement]])</f>
        <v>0</v>
      </c>
      <c r="BH8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29" s="17">
        <f t="shared" si="13"/>
        <v>1</v>
      </c>
      <c r="BJ829" s="17">
        <f>PRODUCT($BI$5:BI829)</f>
        <v>0.20274654467839762</v>
      </c>
      <c r="BK829" s="19">
        <f>1 - Audit[[#This Row],[K-M P Value]]</f>
        <v>0.79725345532160241</v>
      </c>
      <c r="BL829" s="17" t="str">
        <f>IF(Audit[[#This Row],[K-M P Value]]&gt;1-'General Info'!$B$12,"Continue", "Stop")</f>
        <v>Continue</v>
      </c>
      <c r="BM829" s="22" t="b">
        <f>IF(Audit[[#This Row],[Status - Continue or stop audit]] = "Continue", TRUE, IF(BL828 = "Continue", TRUE, FALSE))</f>
        <v>1</v>
      </c>
      <c r="BN829" s="22"/>
    </row>
    <row r="830" spans="1:66" ht="15" hidden="1" customHeight="1" x14ac:dyDescent="0.35">
      <c r="A830" s="17" t="str">
        <f>'Sampling Data'!AI830</f>
        <v/>
      </c>
      <c r="B830" s="17" t="str">
        <f>'Sampling Data'!A830</f>
        <v>4141 MTHY 4-A   (ED)</v>
      </c>
      <c r="C830" s="17">
        <f>'Sampling Data'!B830</f>
        <v>226</v>
      </c>
      <c r="D830" s="17">
        <f>'Sampling Data'!C830</f>
        <v>128</v>
      </c>
      <c r="E830" s="18">
        <f>'Sampling Data'!D830</f>
        <v>0</v>
      </c>
      <c r="F830" s="18">
        <f>'Sampling Data'!E830</f>
        <v>0</v>
      </c>
      <c r="G830" s="18">
        <f>'Sampling Data'!F830</f>
        <v>0</v>
      </c>
      <c r="H830" s="18">
        <f>'Sampling Data'!G830</f>
        <v>0</v>
      </c>
      <c r="I830" s="18">
        <f>'Sampling Data'!H830</f>
        <v>0</v>
      </c>
      <c r="J830" s="18">
        <f>'Sampling Data'!I830</f>
        <v>0</v>
      </c>
      <c r="K830" s="18">
        <f>'Sampling Data'!J830</f>
        <v>0</v>
      </c>
      <c r="L830" s="18">
        <f>'Sampling Data'!K830</f>
        <v>0</v>
      </c>
      <c r="M830" s="18">
        <f>'Sampling Data'!L830</f>
        <v>0</v>
      </c>
      <c r="N830" s="18">
        <f>'Sampling Data'!M830</f>
        <v>0</v>
      </c>
      <c r="O830" s="17">
        <f>'Sampling Data'!N830</f>
        <v>0</v>
      </c>
      <c r="P830" s="17">
        <f>'Sampling Data'!O830</f>
        <v>34</v>
      </c>
      <c r="Q830" s="17">
        <f>'Sampling Data'!P830</f>
        <v>388</v>
      </c>
      <c r="R830" s="17">
        <f>'Sampling Data'!AJ830</f>
        <v>0</v>
      </c>
      <c r="S830" s="111"/>
      <c r="T830" s="111"/>
      <c r="U830" s="112"/>
      <c r="V830" s="112"/>
      <c r="W830" s="111"/>
      <c r="X830" s="111"/>
      <c r="Y830" s="111"/>
      <c r="Z830" s="111"/>
      <c r="AA830" s="14"/>
      <c r="AB830" s="14"/>
      <c r="AC830" s="14"/>
      <c r="AD830" s="14"/>
      <c r="AE830" s="113" t="str">
        <f>IF(NOT(ISBLANK(Audit[[#This Row],[Audit Winning Candidate]])), Audit[[#This Row],[Audit Winning Candidate]]-Audit[[#This Row],[Winning Candidate]], "")</f>
        <v/>
      </c>
      <c r="AF830" s="17" t="str">
        <f>IF(NOT(ISBLANK(Audit[[#This Row],[Audit Losing Candidate]])), Audit[[#This Row],[Audit Losing Candidate]]-Audit[[#This Row],[Losing Candidate]], "")</f>
        <v/>
      </c>
      <c r="AG830" s="17" t="str">
        <f>IF(NOT(ISBLANK(Audit[[#This Row],[Audit Candidate 3]])), Audit[[#This Row],[Audit Candidate 3]]-Audit[[#This Row],[Candidate 3]], "")</f>
        <v/>
      </c>
      <c r="AH830" s="17" t="str">
        <f>IF(NOT(ISBLANK(Audit[[#This Row],[Audit Candidate 4]])),Audit[[#This Row],[Audit Candidate 4]]-Audit[[#This Row],[Candidate 4]], "")</f>
        <v/>
      </c>
      <c r="AI830" s="17" t="str">
        <f>IF(NOT(ISBLANK(Audit[[#This Row],[Audit Candidate 5]])), Audit[[#This Row],[Audit Candidate 5]]-Audit[[#This Row],[Candidate 5]], "")</f>
        <v/>
      </c>
      <c r="AJ830" s="17" t="str">
        <f>IF(NOT(ISBLANK(Audit[[#This Row],[Audit Candidate 6]])), Audit[[#This Row],[Audit Candidate 6]]-Audit[[#This Row],[Candidate 6]], "")</f>
        <v/>
      </c>
      <c r="AK830" s="17" t="str">
        <f>IF(NOT(ISBLANK(Audit[[#This Row],[Audit Candidate 7]])), Audit[[#This Row],[Audit Candidate 7]]-Audit[[#This Row],[Candidate 7]], "")</f>
        <v/>
      </c>
      <c r="AL830" s="17" t="str">
        <f>IF(NOT(ISBLANK(Audit[[#This Row],[Audit Candidate 8]])), Audit[[#This Row],[Audit Candidate 8]]-Audit[[#This Row],[Candidate 8]], "")</f>
        <v/>
      </c>
      <c r="AM830" s="17" t="str">
        <f>IF(NOT(ISBLANK(Audit[[#This Row],[Audit Candidate 9]])), Audit[[#This Row],[Audit Candidate 9]]-Audit[[#This Row],[Candidate 9]], "")</f>
        <v/>
      </c>
      <c r="AN830" s="17" t="str">
        <f>IF(NOT(ISBLANK(Audit[[#This Row],[Audit Candidate 10]])), Audit[[#This Row],[Audit Candidate 10]]-Audit[[#This Row],[Candidate 10]], "")</f>
        <v/>
      </c>
      <c r="AO830" s="17" t="str">
        <f>IF(NOT(ISBLANK(Audit[[#This Row],[Audit Candidate 11]])), Audit[[#This Row],[Audit Candidate 11]]-Audit[[#This Row],[Candidate 11]], "")</f>
        <v/>
      </c>
      <c r="AP830" s="17" t="str">
        <f>IF(NOT(ISBLANK(Audit[[#This Row],[Audit Candidate 12]])), Audit[[#This Row],[Audit Candidate 12]]-Audit[[#This Row],[Candidate 12]], "")</f>
        <v/>
      </c>
      <c r="AQ830" s="17">
        <f>SUMIF(Audit[[#This Row],[Difference Winner]:[Difference Candidate 12]], "&gt;0")</f>
        <v>0</v>
      </c>
      <c r="AR830" s="17">
        <f>SUM(Audit[[#This Row],[Difference Winner]:[Difference Candidate 12]])</f>
        <v>0</v>
      </c>
      <c r="AS830" s="17">
        <f>IF(Audit[[#This Row],[Times p Drawn - With Replacement]]&gt;0, IF(Audit[[#This Row],[Canceled Differences]]&lt;0, Audit[[#This Row],[Max Differences]]+ABS(Audit[[#This Row],[Canceled Differences]]), Audit[[#This Row],[Max Differences]]), 0)</f>
        <v>0</v>
      </c>
      <c r="AT830" s="17">
        <f>'Sampling Data'!AB830</f>
        <v>2.0624681717874724E-2</v>
      </c>
      <c r="AU830" s="17">
        <f>IF(
      SUM(Audit[[#This Row],[Audit Losing Candidate]:[Audit Candidate 12]])
      &lt;&gt;0,
      (Audit[[#This Row],[Winning Candidate]]-Audit[[#This Row],[Losing Candidate]]-(Audit[[#This Row],[Audit Winning Candidate]]-Audit[[#This Row],[Audit Losing Candidate]]))/(Audit[[#Totals],[Winning Candidate]]-Audit[[#Totals],[Losing Candidate]]),
      0
)</f>
        <v>0</v>
      </c>
      <c r="AV8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0" s="17">
        <f>IF(Audit[[#This Row],[Max Relative Error (ep)]] = 0, 0, Audit[[#This Row],[Max Relative Error (ep)]]/Audit[[#This Row],[Error Bound (up) - Max. possible relative overstatement]])</f>
        <v>0</v>
      </c>
      <c r="BH8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30" s="17">
        <f t="shared" si="13"/>
        <v>1</v>
      </c>
      <c r="BJ830" s="17">
        <f>PRODUCT($BI$5:BI830)</f>
        <v>0.20274654467839762</v>
      </c>
      <c r="BK830" s="19">
        <f>1 - Audit[[#This Row],[K-M P Value]]</f>
        <v>0.79725345532160241</v>
      </c>
      <c r="BL830" s="17" t="str">
        <f>IF(Audit[[#This Row],[K-M P Value]]&gt;1-'General Info'!$B$12,"Continue", "Stop")</f>
        <v>Continue</v>
      </c>
      <c r="BM830" s="22" t="b">
        <f>IF(Audit[[#This Row],[Status - Continue or stop audit]] = "Continue", TRUE, IF(BL829 = "Continue", TRUE, FALSE))</f>
        <v>1</v>
      </c>
      <c r="BN830" s="22"/>
    </row>
    <row r="831" spans="1:66" ht="15" customHeight="1" x14ac:dyDescent="0.35">
      <c r="A831" s="17">
        <f>'Sampling Data'!AI831</f>
        <v>14</v>
      </c>
      <c r="B831" s="17" t="str">
        <f>'Sampling Data'!A831</f>
        <v>4311 NCH 1-A   (ED)</v>
      </c>
      <c r="C831" s="17">
        <f>'Sampling Data'!B831</f>
        <v>165</v>
      </c>
      <c r="D831" s="17">
        <f>'Sampling Data'!C831</f>
        <v>60</v>
      </c>
      <c r="E831" s="18">
        <f>'Sampling Data'!D831</f>
        <v>0</v>
      </c>
      <c r="F831" s="18">
        <f>'Sampling Data'!E831</f>
        <v>0</v>
      </c>
      <c r="G831" s="18">
        <f>'Sampling Data'!F831</f>
        <v>0</v>
      </c>
      <c r="H831" s="18">
        <f>'Sampling Data'!G831</f>
        <v>0</v>
      </c>
      <c r="I831" s="18">
        <f>'Sampling Data'!H831</f>
        <v>0</v>
      </c>
      <c r="J831" s="18">
        <f>'Sampling Data'!I831</f>
        <v>0</v>
      </c>
      <c r="K831" s="18">
        <f>'Sampling Data'!J831</f>
        <v>0</v>
      </c>
      <c r="L831" s="18">
        <f>'Sampling Data'!K831</f>
        <v>0</v>
      </c>
      <c r="M831" s="18">
        <f>'Sampling Data'!L831</f>
        <v>0</v>
      </c>
      <c r="N831" s="18">
        <f>'Sampling Data'!M831</f>
        <v>0</v>
      </c>
      <c r="O831" s="17">
        <f>'Sampling Data'!N831</f>
        <v>0</v>
      </c>
      <c r="P831" s="17">
        <f>'Sampling Data'!O831</f>
        <v>16</v>
      </c>
      <c r="Q831" s="17">
        <f>'Sampling Data'!P831</f>
        <v>241</v>
      </c>
      <c r="R831" s="17">
        <f>'Sampling Data'!AJ831</f>
        <v>1</v>
      </c>
      <c r="S831" s="111">
        <v>165</v>
      </c>
      <c r="T831" s="111">
        <v>60</v>
      </c>
      <c r="U831" s="112"/>
      <c r="V831" s="112"/>
      <c r="W831" s="111"/>
      <c r="X831" s="111"/>
      <c r="Y831" s="111"/>
      <c r="Z831" s="111"/>
      <c r="AA831" s="14"/>
      <c r="AB831" s="14"/>
      <c r="AC831" s="14"/>
      <c r="AD831" s="14"/>
      <c r="AE831" s="113">
        <f>IF(NOT(ISBLANK(Audit[[#This Row],[Audit Winning Candidate]])), Audit[[#This Row],[Audit Winning Candidate]]-Audit[[#This Row],[Winning Candidate]], "")</f>
        <v>0</v>
      </c>
      <c r="AF831" s="17">
        <f>IF(NOT(ISBLANK(Audit[[#This Row],[Audit Losing Candidate]])), Audit[[#This Row],[Audit Losing Candidate]]-Audit[[#This Row],[Losing Candidate]], "")</f>
        <v>0</v>
      </c>
      <c r="AG831" s="17" t="str">
        <f>IF(NOT(ISBLANK(Audit[[#This Row],[Audit Candidate 3]])), Audit[[#This Row],[Audit Candidate 3]]-Audit[[#This Row],[Candidate 3]], "")</f>
        <v/>
      </c>
      <c r="AH831" s="17" t="str">
        <f>IF(NOT(ISBLANK(Audit[[#This Row],[Audit Candidate 4]])),Audit[[#This Row],[Audit Candidate 4]]-Audit[[#This Row],[Candidate 4]], "")</f>
        <v/>
      </c>
      <c r="AI831" s="17" t="str">
        <f>IF(NOT(ISBLANK(Audit[[#This Row],[Audit Candidate 5]])), Audit[[#This Row],[Audit Candidate 5]]-Audit[[#This Row],[Candidate 5]], "")</f>
        <v/>
      </c>
      <c r="AJ831" s="17" t="str">
        <f>IF(NOT(ISBLANK(Audit[[#This Row],[Audit Candidate 6]])), Audit[[#This Row],[Audit Candidate 6]]-Audit[[#This Row],[Candidate 6]], "")</f>
        <v/>
      </c>
      <c r="AK831" s="17" t="str">
        <f>IF(NOT(ISBLANK(Audit[[#This Row],[Audit Candidate 7]])), Audit[[#This Row],[Audit Candidate 7]]-Audit[[#This Row],[Candidate 7]], "")</f>
        <v/>
      </c>
      <c r="AL831" s="17" t="str">
        <f>IF(NOT(ISBLANK(Audit[[#This Row],[Audit Candidate 8]])), Audit[[#This Row],[Audit Candidate 8]]-Audit[[#This Row],[Candidate 8]], "")</f>
        <v/>
      </c>
      <c r="AM831" s="17" t="str">
        <f>IF(NOT(ISBLANK(Audit[[#This Row],[Audit Candidate 9]])), Audit[[#This Row],[Audit Candidate 9]]-Audit[[#This Row],[Candidate 9]], "")</f>
        <v/>
      </c>
      <c r="AN831" s="17" t="str">
        <f>IF(NOT(ISBLANK(Audit[[#This Row],[Audit Candidate 10]])), Audit[[#This Row],[Audit Candidate 10]]-Audit[[#This Row],[Candidate 10]], "")</f>
        <v/>
      </c>
      <c r="AO831" s="17" t="str">
        <f>IF(NOT(ISBLANK(Audit[[#This Row],[Audit Candidate 11]])), Audit[[#This Row],[Audit Candidate 11]]-Audit[[#This Row],[Candidate 11]], "")</f>
        <v/>
      </c>
      <c r="AP831" s="17" t="str">
        <f>IF(NOT(ISBLANK(Audit[[#This Row],[Audit Candidate 12]])), Audit[[#This Row],[Audit Candidate 12]]-Audit[[#This Row],[Candidate 12]], "")</f>
        <v/>
      </c>
      <c r="AQ831" s="17">
        <f>SUMIF(Audit[[#This Row],[Difference Winner]:[Difference Candidate 12]], "&gt;0")</f>
        <v>0</v>
      </c>
      <c r="AR831" s="17">
        <f>SUM(Audit[[#This Row],[Difference Winner]:[Difference Candidate 12]])</f>
        <v>0</v>
      </c>
      <c r="AS831" s="17">
        <f>IF(Audit[[#This Row],[Times p Drawn - With Replacement]]&gt;0, IF(Audit[[#This Row],[Canceled Differences]]&lt;0, Audit[[#This Row],[Max Differences]]+ABS(Audit[[#This Row],[Canceled Differences]]), Audit[[#This Row],[Max Differences]]), 0)</f>
        <v>0</v>
      </c>
      <c r="AT831" s="17">
        <f>'Sampling Data'!AB831</f>
        <v>1.4683415379392294E-2</v>
      </c>
      <c r="AU831" s="17">
        <f>IF(
      SUM(Audit[[#This Row],[Audit Losing Candidate]:[Audit Candidate 12]])
      &lt;&gt;0,
      (Audit[[#This Row],[Winning Candidate]]-Audit[[#This Row],[Losing Candidate]]-(Audit[[#This Row],[Audit Winning Candidate]]-Audit[[#This Row],[Audit Losing Candidate]]))/(Audit[[#Totals],[Winning Candidate]]-Audit[[#Totals],[Losing Candidate]]),
      0
)</f>
        <v>0</v>
      </c>
      <c r="AV8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1" s="17">
        <f>IF(Audit[[#This Row],[Max Relative Error (ep)]] = 0, 0, Audit[[#This Row],[Max Relative Error (ep)]]/Audit[[#This Row],[Error Bound (up) - Max. possible relative overstatement]])</f>
        <v>0</v>
      </c>
      <c r="BH8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31" s="17">
        <f t="shared" si="13"/>
        <v>0.94645908314247273</v>
      </c>
      <c r="BJ831" s="17">
        <f>PRODUCT($BI$5:BI831)</f>
        <v>0.19189130878662058</v>
      </c>
      <c r="BK831" s="19">
        <f>1 - Audit[[#This Row],[K-M P Value]]</f>
        <v>0.80810869121337947</v>
      </c>
      <c r="BL831" s="17" t="str">
        <f>IF(Audit[[#This Row],[K-M P Value]]&gt;1-'General Info'!$B$12,"Continue", "Stop")</f>
        <v>Continue</v>
      </c>
      <c r="BM831" s="22" t="b">
        <f>IF(Audit[[#This Row],[Status - Continue or stop audit]] = "Continue", TRUE, IF(BL830 = "Continue", TRUE, FALSE))</f>
        <v>1</v>
      </c>
      <c r="BN831" s="22"/>
    </row>
    <row r="832" spans="1:66" ht="15" hidden="1" customHeight="1" x14ac:dyDescent="0.35">
      <c r="A832" s="17" t="str">
        <f>'Sampling Data'!AI832</f>
        <v/>
      </c>
      <c r="B832" s="17" t="str">
        <f>'Sampling Data'!A832</f>
        <v>4312 NCH 1-B   (ED)</v>
      </c>
      <c r="C832" s="17">
        <f>'Sampling Data'!B832</f>
        <v>248</v>
      </c>
      <c r="D832" s="17">
        <f>'Sampling Data'!C832</f>
        <v>150</v>
      </c>
      <c r="E832" s="18">
        <f>'Sampling Data'!D832</f>
        <v>0</v>
      </c>
      <c r="F832" s="18">
        <f>'Sampling Data'!E832</f>
        <v>0</v>
      </c>
      <c r="G832" s="18">
        <f>'Sampling Data'!F832</f>
        <v>0</v>
      </c>
      <c r="H832" s="18">
        <f>'Sampling Data'!G832</f>
        <v>0</v>
      </c>
      <c r="I832" s="18">
        <f>'Sampling Data'!H832</f>
        <v>0</v>
      </c>
      <c r="J832" s="18">
        <f>'Sampling Data'!I832</f>
        <v>0</v>
      </c>
      <c r="K832" s="18">
        <f>'Sampling Data'!J832</f>
        <v>0</v>
      </c>
      <c r="L832" s="18">
        <f>'Sampling Data'!K832</f>
        <v>0</v>
      </c>
      <c r="M832" s="18">
        <f>'Sampling Data'!L832</f>
        <v>0</v>
      </c>
      <c r="N832" s="18">
        <f>'Sampling Data'!M832</f>
        <v>0</v>
      </c>
      <c r="O832" s="17">
        <f>'Sampling Data'!N832</f>
        <v>1</v>
      </c>
      <c r="P832" s="17">
        <f>'Sampling Data'!O832</f>
        <v>33</v>
      </c>
      <c r="Q832" s="17">
        <f>'Sampling Data'!P832</f>
        <v>432</v>
      </c>
      <c r="R832" s="17">
        <f>'Sampling Data'!AJ832</f>
        <v>0</v>
      </c>
      <c r="S832" s="111"/>
      <c r="T832" s="111"/>
      <c r="U832" s="112"/>
      <c r="V832" s="112"/>
      <c r="W832" s="111"/>
      <c r="X832" s="111"/>
      <c r="Y832" s="111"/>
      <c r="Z832" s="111"/>
      <c r="AA832" s="14"/>
      <c r="AB832" s="14"/>
      <c r="AC832" s="14"/>
      <c r="AD832" s="14"/>
      <c r="AE832" s="113" t="str">
        <f>IF(NOT(ISBLANK(Audit[[#This Row],[Audit Winning Candidate]])), Audit[[#This Row],[Audit Winning Candidate]]-Audit[[#This Row],[Winning Candidate]], "")</f>
        <v/>
      </c>
      <c r="AF832" s="17" t="str">
        <f>IF(NOT(ISBLANK(Audit[[#This Row],[Audit Losing Candidate]])), Audit[[#This Row],[Audit Losing Candidate]]-Audit[[#This Row],[Losing Candidate]], "")</f>
        <v/>
      </c>
      <c r="AG832" s="17" t="str">
        <f>IF(NOT(ISBLANK(Audit[[#This Row],[Audit Candidate 3]])), Audit[[#This Row],[Audit Candidate 3]]-Audit[[#This Row],[Candidate 3]], "")</f>
        <v/>
      </c>
      <c r="AH832" s="17" t="str">
        <f>IF(NOT(ISBLANK(Audit[[#This Row],[Audit Candidate 4]])),Audit[[#This Row],[Audit Candidate 4]]-Audit[[#This Row],[Candidate 4]], "")</f>
        <v/>
      </c>
      <c r="AI832" s="17" t="str">
        <f>IF(NOT(ISBLANK(Audit[[#This Row],[Audit Candidate 5]])), Audit[[#This Row],[Audit Candidate 5]]-Audit[[#This Row],[Candidate 5]], "")</f>
        <v/>
      </c>
      <c r="AJ832" s="17" t="str">
        <f>IF(NOT(ISBLANK(Audit[[#This Row],[Audit Candidate 6]])), Audit[[#This Row],[Audit Candidate 6]]-Audit[[#This Row],[Candidate 6]], "")</f>
        <v/>
      </c>
      <c r="AK832" s="17" t="str">
        <f>IF(NOT(ISBLANK(Audit[[#This Row],[Audit Candidate 7]])), Audit[[#This Row],[Audit Candidate 7]]-Audit[[#This Row],[Candidate 7]], "")</f>
        <v/>
      </c>
      <c r="AL832" s="17" t="str">
        <f>IF(NOT(ISBLANK(Audit[[#This Row],[Audit Candidate 8]])), Audit[[#This Row],[Audit Candidate 8]]-Audit[[#This Row],[Candidate 8]], "")</f>
        <v/>
      </c>
      <c r="AM832" s="17" t="str">
        <f>IF(NOT(ISBLANK(Audit[[#This Row],[Audit Candidate 9]])), Audit[[#This Row],[Audit Candidate 9]]-Audit[[#This Row],[Candidate 9]], "")</f>
        <v/>
      </c>
      <c r="AN832" s="17" t="str">
        <f>IF(NOT(ISBLANK(Audit[[#This Row],[Audit Candidate 10]])), Audit[[#This Row],[Audit Candidate 10]]-Audit[[#This Row],[Candidate 10]], "")</f>
        <v/>
      </c>
      <c r="AO832" s="17" t="str">
        <f>IF(NOT(ISBLANK(Audit[[#This Row],[Audit Candidate 11]])), Audit[[#This Row],[Audit Candidate 11]]-Audit[[#This Row],[Candidate 11]], "")</f>
        <v/>
      </c>
      <c r="AP832" s="17" t="str">
        <f>IF(NOT(ISBLANK(Audit[[#This Row],[Audit Candidate 12]])), Audit[[#This Row],[Audit Candidate 12]]-Audit[[#This Row],[Candidate 12]], "")</f>
        <v/>
      </c>
      <c r="AQ832" s="17">
        <f>SUMIF(Audit[[#This Row],[Difference Winner]:[Difference Candidate 12]], "&gt;0")</f>
        <v>0</v>
      </c>
      <c r="AR832" s="17">
        <f>SUM(Audit[[#This Row],[Difference Winner]:[Difference Candidate 12]])</f>
        <v>0</v>
      </c>
      <c r="AS832" s="17">
        <f>IF(Audit[[#This Row],[Times p Drawn - With Replacement]]&gt;0, IF(Audit[[#This Row],[Canceled Differences]]&lt;0, Audit[[#This Row],[Max Differences]]+ABS(Audit[[#This Row],[Canceled Differences]]), Audit[[#This Row],[Max Differences]]), 0)</f>
        <v>0</v>
      </c>
      <c r="AT832" s="17">
        <f>'Sampling Data'!AB832</f>
        <v>2.2491936852826345E-2</v>
      </c>
      <c r="AU832" s="17">
        <f>IF(
      SUM(Audit[[#This Row],[Audit Losing Candidate]:[Audit Candidate 12]])
      &lt;&gt;0,
      (Audit[[#This Row],[Winning Candidate]]-Audit[[#This Row],[Losing Candidate]]-(Audit[[#This Row],[Audit Winning Candidate]]-Audit[[#This Row],[Audit Losing Candidate]]))/(Audit[[#Totals],[Winning Candidate]]-Audit[[#Totals],[Losing Candidate]]),
      0
)</f>
        <v>0</v>
      </c>
      <c r="AV8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2" s="17">
        <f>IF(Audit[[#This Row],[Max Relative Error (ep)]] = 0, 0, Audit[[#This Row],[Max Relative Error (ep)]]/Audit[[#This Row],[Error Bound (up) - Max. possible relative overstatement]])</f>
        <v>0</v>
      </c>
      <c r="BH8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32" s="17">
        <f t="shared" si="13"/>
        <v>1</v>
      </c>
      <c r="BJ832" s="17">
        <f>PRODUCT($BI$5:BI832)</f>
        <v>0.19189130878662058</v>
      </c>
      <c r="BK832" s="19">
        <f>1 - Audit[[#This Row],[K-M P Value]]</f>
        <v>0.80810869121337947</v>
      </c>
      <c r="BL832" s="17" t="str">
        <f>IF(Audit[[#This Row],[K-M P Value]]&gt;1-'General Info'!$B$12,"Continue", "Stop")</f>
        <v>Continue</v>
      </c>
      <c r="BM832" s="22" t="b">
        <f>IF(Audit[[#This Row],[Status - Continue or stop audit]] = "Continue", TRUE, IF(BL831 = "Continue", TRUE, FALSE))</f>
        <v>1</v>
      </c>
      <c r="BN832" s="22"/>
    </row>
    <row r="833" spans="1:66" ht="15" hidden="1" customHeight="1" x14ac:dyDescent="0.35">
      <c r="A833" s="17" t="str">
        <f>'Sampling Data'!AI833</f>
        <v/>
      </c>
      <c r="B833" s="17" t="str">
        <f>'Sampling Data'!A833</f>
        <v>4321 NCH 2-A   (ED)</v>
      </c>
      <c r="C833" s="17">
        <f>'Sampling Data'!B833</f>
        <v>244</v>
      </c>
      <c r="D833" s="17">
        <f>'Sampling Data'!C833</f>
        <v>89</v>
      </c>
      <c r="E833" s="18">
        <f>'Sampling Data'!D833</f>
        <v>0</v>
      </c>
      <c r="F833" s="18">
        <f>'Sampling Data'!E833</f>
        <v>0</v>
      </c>
      <c r="G833" s="18">
        <f>'Sampling Data'!F833</f>
        <v>0</v>
      </c>
      <c r="H833" s="18">
        <f>'Sampling Data'!G833</f>
        <v>0</v>
      </c>
      <c r="I833" s="18">
        <f>'Sampling Data'!H833</f>
        <v>0</v>
      </c>
      <c r="J833" s="18">
        <f>'Sampling Data'!I833</f>
        <v>0</v>
      </c>
      <c r="K833" s="18">
        <f>'Sampling Data'!J833</f>
        <v>0</v>
      </c>
      <c r="L833" s="18">
        <f>'Sampling Data'!K833</f>
        <v>0</v>
      </c>
      <c r="M833" s="18">
        <f>'Sampling Data'!L833</f>
        <v>0</v>
      </c>
      <c r="N833" s="18">
        <f>'Sampling Data'!M833</f>
        <v>0</v>
      </c>
      <c r="O833" s="17">
        <f>'Sampling Data'!N833</f>
        <v>0</v>
      </c>
      <c r="P833" s="17">
        <f>'Sampling Data'!O833</f>
        <v>18</v>
      </c>
      <c r="Q833" s="17">
        <f>'Sampling Data'!P833</f>
        <v>351</v>
      </c>
      <c r="R833" s="17">
        <f>'Sampling Data'!AJ833</f>
        <v>0</v>
      </c>
      <c r="S833" s="111"/>
      <c r="T833" s="111"/>
      <c r="U833" s="112"/>
      <c r="V833" s="112"/>
      <c r="W833" s="111"/>
      <c r="X833" s="111"/>
      <c r="Y833" s="111"/>
      <c r="Z833" s="111"/>
      <c r="AA833" s="14"/>
      <c r="AB833" s="14"/>
      <c r="AC833" s="14"/>
      <c r="AD833" s="14"/>
      <c r="AE833" s="113" t="str">
        <f>IF(NOT(ISBLANK(Audit[[#This Row],[Audit Winning Candidate]])), Audit[[#This Row],[Audit Winning Candidate]]-Audit[[#This Row],[Winning Candidate]], "")</f>
        <v/>
      </c>
      <c r="AF833" s="17" t="str">
        <f>IF(NOT(ISBLANK(Audit[[#This Row],[Audit Losing Candidate]])), Audit[[#This Row],[Audit Losing Candidate]]-Audit[[#This Row],[Losing Candidate]], "")</f>
        <v/>
      </c>
      <c r="AG833" s="17" t="str">
        <f>IF(NOT(ISBLANK(Audit[[#This Row],[Audit Candidate 3]])), Audit[[#This Row],[Audit Candidate 3]]-Audit[[#This Row],[Candidate 3]], "")</f>
        <v/>
      </c>
      <c r="AH833" s="17" t="str">
        <f>IF(NOT(ISBLANK(Audit[[#This Row],[Audit Candidate 4]])),Audit[[#This Row],[Audit Candidate 4]]-Audit[[#This Row],[Candidate 4]], "")</f>
        <v/>
      </c>
      <c r="AI833" s="17" t="str">
        <f>IF(NOT(ISBLANK(Audit[[#This Row],[Audit Candidate 5]])), Audit[[#This Row],[Audit Candidate 5]]-Audit[[#This Row],[Candidate 5]], "")</f>
        <v/>
      </c>
      <c r="AJ833" s="17" t="str">
        <f>IF(NOT(ISBLANK(Audit[[#This Row],[Audit Candidate 6]])), Audit[[#This Row],[Audit Candidate 6]]-Audit[[#This Row],[Candidate 6]], "")</f>
        <v/>
      </c>
      <c r="AK833" s="17" t="str">
        <f>IF(NOT(ISBLANK(Audit[[#This Row],[Audit Candidate 7]])), Audit[[#This Row],[Audit Candidate 7]]-Audit[[#This Row],[Candidate 7]], "")</f>
        <v/>
      </c>
      <c r="AL833" s="17" t="str">
        <f>IF(NOT(ISBLANK(Audit[[#This Row],[Audit Candidate 8]])), Audit[[#This Row],[Audit Candidate 8]]-Audit[[#This Row],[Candidate 8]], "")</f>
        <v/>
      </c>
      <c r="AM833" s="17" t="str">
        <f>IF(NOT(ISBLANK(Audit[[#This Row],[Audit Candidate 9]])), Audit[[#This Row],[Audit Candidate 9]]-Audit[[#This Row],[Candidate 9]], "")</f>
        <v/>
      </c>
      <c r="AN833" s="17" t="str">
        <f>IF(NOT(ISBLANK(Audit[[#This Row],[Audit Candidate 10]])), Audit[[#This Row],[Audit Candidate 10]]-Audit[[#This Row],[Candidate 10]], "")</f>
        <v/>
      </c>
      <c r="AO833" s="17" t="str">
        <f>IF(NOT(ISBLANK(Audit[[#This Row],[Audit Candidate 11]])), Audit[[#This Row],[Audit Candidate 11]]-Audit[[#This Row],[Candidate 11]], "")</f>
        <v/>
      </c>
      <c r="AP833" s="17" t="str">
        <f>IF(NOT(ISBLANK(Audit[[#This Row],[Audit Candidate 12]])), Audit[[#This Row],[Audit Candidate 12]]-Audit[[#This Row],[Candidate 12]], "")</f>
        <v/>
      </c>
      <c r="AQ833" s="17">
        <f>SUMIF(Audit[[#This Row],[Difference Winner]:[Difference Candidate 12]], "&gt;0")</f>
        <v>0</v>
      </c>
      <c r="AR833" s="17">
        <f>SUM(Audit[[#This Row],[Difference Winner]:[Difference Candidate 12]])</f>
        <v>0</v>
      </c>
      <c r="AS833" s="17">
        <f>IF(Audit[[#This Row],[Times p Drawn - With Replacement]]&gt;0, IF(Audit[[#This Row],[Canceled Differences]]&lt;0, Audit[[#This Row],[Max Differences]]+ABS(Audit[[#This Row],[Canceled Differences]]), Audit[[#This Row],[Max Differences]]), 0)</f>
        <v>0</v>
      </c>
      <c r="AT833" s="17">
        <f>'Sampling Data'!AB833</f>
        <v>2.1473434051943643E-2</v>
      </c>
      <c r="AU833" s="17">
        <f>IF(
      SUM(Audit[[#This Row],[Audit Losing Candidate]:[Audit Candidate 12]])
      &lt;&gt;0,
      (Audit[[#This Row],[Winning Candidate]]-Audit[[#This Row],[Losing Candidate]]-(Audit[[#This Row],[Audit Winning Candidate]]-Audit[[#This Row],[Audit Losing Candidate]]))/(Audit[[#Totals],[Winning Candidate]]-Audit[[#Totals],[Losing Candidate]]),
      0
)</f>
        <v>0</v>
      </c>
      <c r="AV8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3" s="17">
        <f>IF(Audit[[#This Row],[Max Relative Error (ep)]] = 0, 0, Audit[[#This Row],[Max Relative Error (ep)]]/Audit[[#This Row],[Error Bound (up) - Max. possible relative overstatement]])</f>
        <v>0</v>
      </c>
      <c r="BH8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33" s="17">
        <f t="shared" si="13"/>
        <v>1</v>
      </c>
      <c r="BJ833" s="17">
        <f>PRODUCT($BI$5:BI833)</f>
        <v>0.19189130878662058</v>
      </c>
      <c r="BK833" s="19">
        <f>1 - Audit[[#This Row],[K-M P Value]]</f>
        <v>0.80810869121337947</v>
      </c>
      <c r="BL833" s="17" t="str">
        <f>IF(Audit[[#This Row],[K-M P Value]]&gt;1-'General Info'!$B$12,"Continue", "Stop")</f>
        <v>Continue</v>
      </c>
      <c r="BM833" s="22" t="b">
        <f>IF(Audit[[#This Row],[Status - Continue or stop audit]] = "Continue", TRUE, IF(BL832 = "Continue", TRUE, FALSE))</f>
        <v>1</v>
      </c>
      <c r="BN833" s="22"/>
    </row>
    <row r="834" spans="1:66" ht="15" hidden="1" customHeight="1" x14ac:dyDescent="0.35">
      <c r="A834" s="17" t="str">
        <f>'Sampling Data'!AI834</f>
        <v/>
      </c>
      <c r="B834" s="17" t="str">
        <f>'Sampling Data'!A834</f>
        <v>4331 NCH 3-A   (ED)</v>
      </c>
      <c r="C834" s="17">
        <f>'Sampling Data'!B834</f>
        <v>289</v>
      </c>
      <c r="D834" s="17">
        <f>'Sampling Data'!C834</f>
        <v>136</v>
      </c>
      <c r="E834" s="18">
        <f>'Sampling Data'!D834</f>
        <v>0</v>
      </c>
      <c r="F834" s="18">
        <f>'Sampling Data'!E834</f>
        <v>0</v>
      </c>
      <c r="G834" s="18">
        <f>'Sampling Data'!F834</f>
        <v>0</v>
      </c>
      <c r="H834" s="18">
        <f>'Sampling Data'!G834</f>
        <v>0</v>
      </c>
      <c r="I834" s="18">
        <f>'Sampling Data'!H834</f>
        <v>0</v>
      </c>
      <c r="J834" s="18">
        <f>'Sampling Data'!I834</f>
        <v>0</v>
      </c>
      <c r="K834" s="18">
        <f>'Sampling Data'!J834</f>
        <v>0</v>
      </c>
      <c r="L834" s="18">
        <f>'Sampling Data'!K834</f>
        <v>0</v>
      </c>
      <c r="M834" s="18">
        <f>'Sampling Data'!L834</f>
        <v>0</v>
      </c>
      <c r="N834" s="18">
        <f>'Sampling Data'!M834</f>
        <v>0</v>
      </c>
      <c r="O834" s="17">
        <f>'Sampling Data'!N834</f>
        <v>0</v>
      </c>
      <c r="P834" s="17">
        <f>'Sampling Data'!O834</f>
        <v>37</v>
      </c>
      <c r="Q834" s="17">
        <f>'Sampling Data'!P834</f>
        <v>462</v>
      </c>
      <c r="R834" s="17">
        <f>'Sampling Data'!AJ834</f>
        <v>0</v>
      </c>
      <c r="S834" s="111"/>
      <c r="T834" s="111"/>
      <c r="U834" s="112"/>
      <c r="V834" s="112"/>
      <c r="W834" s="111"/>
      <c r="X834" s="111"/>
      <c r="Y834" s="111"/>
      <c r="Z834" s="111"/>
      <c r="AA834" s="14"/>
      <c r="AB834" s="14"/>
      <c r="AC834" s="14"/>
      <c r="AD834" s="14"/>
      <c r="AE834" s="113" t="str">
        <f>IF(NOT(ISBLANK(Audit[[#This Row],[Audit Winning Candidate]])), Audit[[#This Row],[Audit Winning Candidate]]-Audit[[#This Row],[Winning Candidate]], "")</f>
        <v/>
      </c>
      <c r="AF834" s="17" t="str">
        <f>IF(NOT(ISBLANK(Audit[[#This Row],[Audit Losing Candidate]])), Audit[[#This Row],[Audit Losing Candidate]]-Audit[[#This Row],[Losing Candidate]], "")</f>
        <v/>
      </c>
      <c r="AG834" s="17" t="str">
        <f>IF(NOT(ISBLANK(Audit[[#This Row],[Audit Candidate 3]])), Audit[[#This Row],[Audit Candidate 3]]-Audit[[#This Row],[Candidate 3]], "")</f>
        <v/>
      </c>
      <c r="AH834" s="17" t="str">
        <f>IF(NOT(ISBLANK(Audit[[#This Row],[Audit Candidate 4]])),Audit[[#This Row],[Audit Candidate 4]]-Audit[[#This Row],[Candidate 4]], "")</f>
        <v/>
      </c>
      <c r="AI834" s="17" t="str">
        <f>IF(NOT(ISBLANK(Audit[[#This Row],[Audit Candidate 5]])), Audit[[#This Row],[Audit Candidate 5]]-Audit[[#This Row],[Candidate 5]], "")</f>
        <v/>
      </c>
      <c r="AJ834" s="17" t="str">
        <f>IF(NOT(ISBLANK(Audit[[#This Row],[Audit Candidate 6]])), Audit[[#This Row],[Audit Candidate 6]]-Audit[[#This Row],[Candidate 6]], "")</f>
        <v/>
      </c>
      <c r="AK834" s="17" t="str">
        <f>IF(NOT(ISBLANK(Audit[[#This Row],[Audit Candidate 7]])), Audit[[#This Row],[Audit Candidate 7]]-Audit[[#This Row],[Candidate 7]], "")</f>
        <v/>
      </c>
      <c r="AL834" s="17" t="str">
        <f>IF(NOT(ISBLANK(Audit[[#This Row],[Audit Candidate 8]])), Audit[[#This Row],[Audit Candidate 8]]-Audit[[#This Row],[Candidate 8]], "")</f>
        <v/>
      </c>
      <c r="AM834" s="17" t="str">
        <f>IF(NOT(ISBLANK(Audit[[#This Row],[Audit Candidate 9]])), Audit[[#This Row],[Audit Candidate 9]]-Audit[[#This Row],[Candidate 9]], "")</f>
        <v/>
      </c>
      <c r="AN834" s="17" t="str">
        <f>IF(NOT(ISBLANK(Audit[[#This Row],[Audit Candidate 10]])), Audit[[#This Row],[Audit Candidate 10]]-Audit[[#This Row],[Candidate 10]], "")</f>
        <v/>
      </c>
      <c r="AO834" s="17" t="str">
        <f>IF(NOT(ISBLANK(Audit[[#This Row],[Audit Candidate 11]])), Audit[[#This Row],[Audit Candidate 11]]-Audit[[#This Row],[Candidate 11]], "")</f>
        <v/>
      </c>
      <c r="AP834" s="17" t="str">
        <f>IF(NOT(ISBLANK(Audit[[#This Row],[Audit Candidate 12]])), Audit[[#This Row],[Audit Candidate 12]]-Audit[[#This Row],[Candidate 12]], "")</f>
        <v/>
      </c>
      <c r="AQ834" s="17">
        <f>SUMIF(Audit[[#This Row],[Difference Winner]:[Difference Candidate 12]], "&gt;0")</f>
        <v>0</v>
      </c>
      <c r="AR834" s="17">
        <f>SUM(Audit[[#This Row],[Difference Winner]:[Difference Candidate 12]])</f>
        <v>0</v>
      </c>
      <c r="AS834" s="17">
        <f>IF(Audit[[#This Row],[Times p Drawn - With Replacement]]&gt;0, IF(Audit[[#This Row],[Canceled Differences]]&lt;0, Audit[[#This Row],[Max Differences]]+ABS(Audit[[#This Row],[Canceled Differences]]), Audit[[#This Row],[Max Differences]]), 0)</f>
        <v>0</v>
      </c>
      <c r="AT834" s="17">
        <f>'Sampling Data'!AB834</f>
        <v>2.609913427261925E-2</v>
      </c>
      <c r="AU834" s="17">
        <f>IF(
      SUM(Audit[[#This Row],[Audit Losing Candidate]:[Audit Candidate 12]])
      &lt;&gt;0,
      (Audit[[#This Row],[Winning Candidate]]-Audit[[#This Row],[Losing Candidate]]-(Audit[[#This Row],[Audit Winning Candidate]]-Audit[[#This Row],[Audit Losing Candidate]]))/(Audit[[#Totals],[Winning Candidate]]-Audit[[#Totals],[Losing Candidate]]),
      0
)</f>
        <v>0</v>
      </c>
      <c r="AV8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4" s="17">
        <f>IF(Audit[[#This Row],[Max Relative Error (ep)]] = 0, 0, Audit[[#This Row],[Max Relative Error (ep)]]/Audit[[#This Row],[Error Bound (up) - Max. possible relative overstatement]])</f>
        <v>0</v>
      </c>
      <c r="BH8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34" s="17">
        <f t="shared" si="13"/>
        <v>1</v>
      </c>
      <c r="BJ834" s="17">
        <f>PRODUCT($BI$5:BI834)</f>
        <v>0.19189130878662058</v>
      </c>
      <c r="BK834" s="19">
        <f>1 - Audit[[#This Row],[K-M P Value]]</f>
        <v>0.80810869121337947</v>
      </c>
      <c r="BL834" s="17" t="str">
        <f>IF(Audit[[#This Row],[K-M P Value]]&gt;1-'General Info'!$B$12,"Continue", "Stop")</f>
        <v>Continue</v>
      </c>
      <c r="BM834" s="22" t="b">
        <f>IF(Audit[[#This Row],[Status - Continue or stop audit]] = "Continue", TRUE, IF(BL833 = "Continue", TRUE, FALSE))</f>
        <v>1</v>
      </c>
      <c r="BN834" s="22"/>
    </row>
    <row r="835" spans="1:66" ht="15" hidden="1" customHeight="1" x14ac:dyDescent="0.35">
      <c r="A835" s="17" t="str">
        <f>'Sampling Data'!AI835</f>
        <v/>
      </c>
      <c r="B835" s="17" t="str">
        <f>'Sampling Data'!A835</f>
        <v>4341 NCH 4-A   (ED)</v>
      </c>
      <c r="C835" s="17">
        <f>'Sampling Data'!B835</f>
        <v>276</v>
      </c>
      <c r="D835" s="17">
        <f>'Sampling Data'!C835</f>
        <v>140</v>
      </c>
      <c r="E835" s="18">
        <f>'Sampling Data'!D835</f>
        <v>0</v>
      </c>
      <c r="F835" s="18">
        <f>'Sampling Data'!E835</f>
        <v>0</v>
      </c>
      <c r="G835" s="18">
        <f>'Sampling Data'!F835</f>
        <v>0</v>
      </c>
      <c r="H835" s="18">
        <f>'Sampling Data'!G835</f>
        <v>0</v>
      </c>
      <c r="I835" s="18">
        <f>'Sampling Data'!H835</f>
        <v>0</v>
      </c>
      <c r="J835" s="18">
        <f>'Sampling Data'!I835</f>
        <v>0</v>
      </c>
      <c r="K835" s="18">
        <f>'Sampling Data'!J835</f>
        <v>0</v>
      </c>
      <c r="L835" s="18">
        <f>'Sampling Data'!K835</f>
        <v>0</v>
      </c>
      <c r="M835" s="18">
        <f>'Sampling Data'!L835</f>
        <v>0</v>
      </c>
      <c r="N835" s="18">
        <f>'Sampling Data'!M835</f>
        <v>0</v>
      </c>
      <c r="O835" s="17">
        <f>'Sampling Data'!N835</f>
        <v>0</v>
      </c>
      <c r="P835" s="17">
        <f>'Sampling Data'!O835</f>
        <v>28</v>
      </c>
      <c r="Q835" s="17">
        <f>'Sampling Data'!P835</f>
        <v>444</v>
      </c>
      <c r="R835" s="17">
        <f>'Sampling Data'!AJ835</f>
        <v>0</v>
      </c>
      <c r="S835" s="111"/>
      <c r="T835" s="111"/>
      <c r="U835" s="112"/>
      <c r="V835" s="112"/>
      <c r="W835" s="111"/>
      <c r="X835" s="111"/>
      <c r="Y835" s="111"/>
      <c r="Z835" s="111"/>
      <c r="AA835" s="14"/>
      <c r="AB835" s="14"/>
      <c r="AC835" s="14"/>
      <c r="AD835" s="14"/>
      <c r="AE835" s="113" t="str">
        <f>IF(NOT(ISBLANK(Audit[[#This Row],[Audit Winning Candidate]])), Audit[[#This Row],[Audit Winning Candidate]]-Audit[[#This Row],[Winning Candidate]], "")</f>
        <v/>
      </c>
      <c r="AF835" s="17" t="str">
        <f>IF(NOT(ISBLANK(Audit[[#This Row],[Audit Losing Candidate]])), Audit[[#This Row],[Audit Losing Candidate]]-Audit[[#This Row],[Losing Candidate]], "")</f>
        <v/>
      </c>
      <c r="AG835" s="17" t="str">
        <f>IF(NOT(ISBLANK(Audit[[#This Row],[Audit Candidate 3]])), Audit[[#This Row],[Audit Candidate 3]]-Audit[[#This Row],[Candidate 3]], "")</f>
        <v/>
      </c>
      <c r="AH835" s="17" t="str">
        <f>IF(NOT(ISBLANK(Audit[[#This Row],[Audit Candidate 4]])),Audit[[#This Row],[Audit Candidate 4]]-Audit[[#This Row],[Candidate 4]], "")</f>
        <v/>
      </c>
      <c r="AI835" s="17" t="str">
        <f>IF(NOT(ISBLANK(Audit[[#This Row],[Audit Candidate 5]])), Audit[[#This Row],[Audit Candidate 5]]-Audit[[#This Row],[Candidate 5]], "")</f>
        <v/>
      </c>
      <c r="AJ835" s="17" t="str">
        <f>IF(NOT(ISBLANK(Audit[[#This Row],[Audit Candidate 6]])), Audit[[#This Row],[Audit Candidate 6]]-Audit[[#This Row],[Candidate 6]], "")</f>
        <v/>
      </c>
      <c r="AK835" s="17" t="str">
        <f>IF(NOT(ISBLANK(Audit[[#This Row],[Audit Candidate 7]])), Audit[[#This Row],[Audit Candidate 7]]-Audit[[#This Row],[Candidate 7]], "")</f>
        <v/>
      </c>
      <c r="AL835" s="17" t="str">
        <f>IF(NOT(ISBLANK(Audit[[#This Row],[Audit Candidate 8]])), Audit[[#This Row],[Audit Candidate 8]]-Audit[[#This Row],[Candidate 8]], "")</f>
        <v/>
      </c>
      <c r="AM835" s="17" t="str">
        <f>IF(NOT(ISBLANK(Audit[[#This Row],[Audit Candidate 9]])), Audit[[#This Row],[Audit Candidate 9]]-Audit[[#This Row],[Candidate 9]], "")</f>
        <v/>
      </c>
      <c r="AN835" s="17" t="str">
        <f>IF(NOT(ISBLANK(Audit[[#This Row],[Audit Candidate 10]])), Audit[[#This Row],[Audit Candidate 10]]-Audit[[#This Row],[Candidate 10]], "")</f>
        <v/>
      </c>
      <c r="AO835" s="17" t="str">
        <f>IF(NOT(ISBLANK(Audit[[#This Row],[Audit Candidate 11]])), Audit[[#This Row],[Audit Candidate 11]]-Audit[[#This Row],[Candidate 11]], "")</f>
        <v/>
      </c>
      <c r="AP835" s="17" t="str">
        <f>IF(NOT(ISBLANK(Audit[[#This Row],[Audit Candidate 12]])), Audit[[#This Row],[Audit Candidate 12]]-Audit[[#This Row],[Candidate 12]], "")</f>
        <v/>
      </c>
      <c r="AQ835" s="17">
        <f>SUMIF(Audit[[#This Row],[Difference Winner]:[Difference Candidate 12]], "&gt;0")</f>
        <v>0</v>
      </c>
      <c r="AR835" s="17">
        <f>SUM(Audit[[#This Row],[Difference Winner]:[Difference Candidate 12]])</f>
        <v>0</v>
      </c>
      <c r="AS835" s="17">
        <f>IF(Audit[[#This Row],[Times p Drawn - With Replacement]]&gt;0, IF(Audit[[#This Row],[Canceled Differences]]&lt;0, Audit[[#This Row],[Max Differences]]+ABS(Audit[[#This Row],[Canceled Differences]]), Audit[[#This Row],[Max Differences]]), 0)</f>
        <v>0</v>
      </c>
      <c r="AT835" s="17">
        <f>'Sampling Data'!AB835</f>
        <v>2.461381768799864E-2</v>
      </c>
      <c r="AU835" s="17">
        <f>IF(
      SUM(Audit[[#This Row],[Audit Losing Candidate]:[Audit Candidate 12]])
      &lt;&gt;0,
      (Audit[[#This Row],[Winning Candidate]]-Audit[[#This Row],[Losing Candidate]]-(Audit[[#This Row],[Audit Winning Candidate]]-Audit[[#This Row],[Audit Losing Candidate]]))/(Audit[[#Totals],[Winning Candidate]]-Audit[[#Totals],[Losing Candidate]]),
      0
)</f>
        <v>0</v>
      </c>
      <c r="AV8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5" s="17">
        <f>IF(Audit[[#This Row],[Max Relative Error (ep)]] = 0, 0, Audit[[#This Row],[Max Relative Error (ep)]]/Audit[[#This Row],[Error Bound (up) - Max. possible relative overstatement]])</f>
        <v>0</v>
      </c>
      <c r="BH8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35" s="17">
        <f t="shared" si="13"/>
        <v>1</v>
      </c>
      <c r="BJ835" s="17">
        <f>PRODUCT($BI$5:BI835)</f>
        <v>0.19189130878662058</v>
      </c>
      <c r="BK835" s="19">
        <f>1 - Audit[[#This Row],[K-M P Value]]</f>
        <v>0.80810869121337947</v>
      </c>
      <c r="BL835" s="17" t="str">
        <f>IF(Audit[[#This Row],[K-M P Value]]&gt;1-'General Info'!$B$12,"Continue", "Stop")</f>
        <v>Continue</v>
      </c>
      <c r="BM835" s="22" t="b">
        <f>IF(Audit[[#This Row],[Status - Continue or stop audit]] = "Continue", TRUE, IF(BL834 = "Continue", TRUE, FALSE))</f>
        <v>1</v>
      </c>
      <c r="BN835" s="22"/>
    </row>
    <row r="836" spans="1:66" ht="15" hidden="1" customHeight="1" x14ac:dyDescent="0.35">
      <c r="A836" s="17" t="str">
        <f>'Sampling Data'!AI836</f>
        <v/>
      </c>
      <c r="B836" s="17" t="str">
        <f>'Sampling Data'!A836</f>
        <v>4342 NCH 4-B   (ED)</v>
      </c>
      <c r="C836" s="17">
        <f>'Sampling Data'!B836</f>
        <v>163</v>
      </c>
      <c r="D836" s="17">
        <f>'Sampling Data'!C836</f>
        <v>64</v>
      </c>
      <c r="E836" s="18">
        <f>'Sampling Data'!D836</f>
        <v>0</v>
      </c>
      <c r="F836" s="18">
        <f>'Sampling Data'!E836</f>
        <v>0</v>
      </c>
      <c r="G836" s="18">
        <f>'Sampling Data'!F836</f>
        <v>0</v>
      </c>
      <c r="H836" s="18">
        <f>'Sampling Data'!G836</f>
        <v>0</v>
      </c>
      <c r="I836" s="18">
        <f>'Sampling Data'!H836</f>
        <v>0</v>
      </c>
      <c r="J836" s="18">
        <f>'Sampling Data'!I836</f>
        <v>0</v>
      </c>
      <c r="K836" s="18">
        <f>'Sampling Data'!J836</f>
        <v>0</v>
      </c>
      <c r="L836" s="18">
        <f>'Sampling Data'!K836</f>
        <v>0</v>
      </c>
      <c r="M836" s="18">
        <f>'Sampling Data'!L836</f>
        <v>0</v>
      </c>
      <c r="N836" s="18">
        <f>'Sampling Data'!M836</f>
        <v>0</v>
      </c>
      <c r="O836" s="17">
        <f>'Sampling Data'!N836</f>
        <v>0</v>
      </c>
      <c r="P836" s="17">
        <f>'Sampling Data'!O836</f>
        <v>23</v>
      </c>
      <c r="Q836" s="17">
        <f>'Sampling Data'!P836</f>
        <v>250</v>
      </c>
      <c r="R836" s="17">
        <f>'Sampling Data'!AJ836</f>
        <v>0</v>
      </c>
      <c r="S836" s="111"/>
      <c r="T836" s="111"/>
      <c r="U836" s="112"/>
      <c r="V836" s="112"/>
      <c r="W836" s="111"/>
      <c r="X836" s="111"/>
      <c r="Y836" s="111"/>
      <c r="Z836" s="111"/>
      <c r="AA836" s="14"/>
      <c r="AB836" s="14"/>
      <c r="AC836" s="14"/>
      <c r="AD836" s="14"/>
      <c r="AE836" s="113" t="str">
        <f>IF(NOT(ISBLANK(Audit[[#This Row],[Audit Winning Candidate]])), Audit[[#This Row],[Audit Winning Candidate]]-Audit[[#This Row],[Winning Candidate]], "")</f>
        <v/>
      </c>
      <c r="AF836" s="17" t="str">
        <f>IF(NOT(ISBLANK(Audit[[#This Row],[Audit Losing Candidate]])), Audit[[#This Row],[Audit Losing Candidate]]-Audit[[#This Row],[Losing Candidate]], "")</f>
        <v/>
      </c>
      <c r="AG836" s="17" t="str">
        <f>IF(NOT(ISBLANK(Audit[[#This Row],[Audit Candidate 3]])), Audit[[#This Row],[Audit Candidate 3]]-Audit[[#This Row],[Candidate 3]], "")</f>
        <v/>
      </c>
      <c r="AH836" s="17" t="str">
        <f>IF(NOT(ISBLANK(Audit[[#This Row],[Audit Candidate 4]])),Audit[[#This Row],[Audit Candidate 4]]-Audit[[#This Row],[Candidate 4]], "")</f>
        <v/>
      </c>
      <c r="AI836" s="17" t="str">
        <f>IF(NOT(ISBLANK(Audit[[#This Row],[Audit Candidate 5]])), Audit[[#This Row],[Audit Candidate 5]]-Audit[[#This Row],[Candidate 5]], "")</f>
        <v/>
      </c>
      <c r="AJ836" s="17" t="str">
        <f>IF(NOT(ISBLANK(Audit[[#This Row],[Audit Candidate 6]])), Audit[[#This Row],[Audit Candidate 6]]-Audit[[#This Row],[Candidate 6]], "")</f>
        <v/>
      </c>
      <c r="AK836" s="17" t="str">
        <f>IF(NOT(ISBLANK(Audit[[#This Row],[Audit Candidate 7]])), Audit[[#This Row],[Audit Candidate 7]]-Audit[[#This Row],[Candidate 7]], "")</f>
        <v/>
      </c>
      <c r="AL836" s="17" t="str">
        <f>IF(NOT(ISBLANK(Audit[[#This Row],[Audit Candidate 8]])), Audit[[#This Row],[Audit Candidate 8]]-Audit[[#This Row],[Candidate 8]], "")</f>
        <v/>
      </c>
      <c r="AM836" s="17" t="str">
        <f>IF(NOT(ISBLANK(Audit[[#This Row],[Audit Candidate 9]])), Audit[[#This Row],[Audit Candidate 9]]-Audit[[#This Row],[Candidate 9]], "")</f>
        <v/>
      </c>
      <c r="AN836" s="17" t="str">
        <f>IF(NOT(ISBLANK(Audit[[#This Row],[Audit Candidate 10]])), Audit[[#This Row],[Audit Candidate 10]]-Audit[[#This Row],[Candidate 10]], "")</f>
        <v/>
      </c>
      <c r="AO836" s="17" t="str">
        <f>IF(NOT(ISBLANK(Audit[[#This Row],[Audit Candidate 11]])), Audit[[#This Row],[Audit Candidate 11]]-Audit[[#This Row],[Candidate 11]], "")</f>
        <v/>
      </c>
      <c r="AP836" s="17" t="str">
        <f>IF(NOT(ISBLANK(Audit[[#This Row],[Audit Candidate 12]])), Audit[[#This Row],[Audit Candidate 12]]-Audit[[#This Row],[Candidate 12]], "")</f>
        <v/>
      </c>
      <c r="AQ836" s="17">
        <f>SUMIF(Audit[[#This Row],[Difference Winner]:[Difference Candidate 12]], "&gt;0")</f>
        <v>0</v>
      </c>
      <c r="AR836" s="17">
        <f>SUM(Audit[[#This Row],[Difference Winner]:[Difference Candidate 12]])</f>
        <v>0</v>
      </c>
      <c r="AS836" s="17">
        <f>IF(Audit[[#This Row],[Times p Drawn - With Replacement]]&gt;0, IF(Audit[[#This Row],[Canceled Differences]]&lt;0, Audit[[#This Row],[Max Differences]]+ABS(Audit[[#This Row],[Canceled Differences]]), Audit[[#This Row],[Max Differences]]), 0)</f>
        <v>0</v>
      </c>
      <c r="AT836" s="17">
        <f>'Sampling Data'!AB836</f>
        <v>1.4810728229502631E-2</v>
      </c>
      <c r="AU836" s="17">
        <f>IF(
      SUM(Audit[[#This Row],[Audit Losing Candidate]:[Audit Candidate 12]])
      &lt;&gt;0,
      (Audit[[#This Row],[Winning Candidate]]-Audit[[#This Row],[Losing Candidate]]-(Audit[[#This Row],[Audit Winning Candidate]]-Audit[[#This Row],[Audit Losing Candidate]]))/(Audit[[#Totals],[Winning Candidate]]-Audit[[#Totals],[Losing Candidate]]),
      0
)</f>
        <v>0</v>
      </c>
      <c r="AV8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6" s="17">
        <f>IF(Audit[[#This Row],[Max Relative Error (ep)]] = 0, 0, Audit[[#This Row],[Max Relative Error (ep)]]/Audit[[#This Row],[Error Bound (up) - Max. possible relative overstatement]])</f>
        <v>0</v>
      </c>
      <c r="BH8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36" s="17">
        <f t="shared" si="13"/>
        <v>1</v>
      </c>
      <c r="BJ836" s="17">
        <f>PRODUCT($BI$5:BI836)</f>
        <v>0.19189130878662058</v>
      </c>
      <c r="BK836" s="19">
        <f>1 - Audit[[#This Row],[K-M P Value]]</f>
        <v>0.80810869121337947</v>
      </c>
      <c r="BL836" s="17" t="str">
        <f>IF(Audit[[#This Row],[K-M P Value]]&gt;1-'General Info'!$B$12,"Continue", "Stop")</f>
        <v>Continue</v>
      </c>
      <c r="BM836" s="22" t="b">
        <f>IF(Audit[[#This Row],[Status - Continue or stop audit]] = "Continue", TRUE, IF(BL835 = "Continue", TRUE, FALSE))</f>
        <v>1</v>
      </c>
      <c r="BN836" s="22"/>
    </row>
    <row r="837" spans="1:66" ht="15" hidden="1" customHeight="1" x14ac:dyDescent="0.35">
      <c r="A837" s="17" t="str">
        <f>'Sampling Data'!AI837</f>
        <v/>
      </c>
      <c r="B837" s="17" t="str">
        <f>'Sampling Data'!A837</f>
        <v>4343 NCH 4-C   (ED)</v>
      </c>
      <c r="C837" s="17">
        <f>'Sampling Data'!B837</f>
        <v>245</v>
      </c>
      <c r="D837" s="17">
        <f>'Sampling Data'!C837</f>
        <v>42</v>
      </c>
      <c r="E837" s="18">
        <f>'Sampling Data'!D837</f>
        <v>0</v>
      </c>
      <c r="F837" s="18">
        <f>'Sampling Data'!E837</f>
        <v>0</v>
      </c>
      <c r="G837" s="18">
        <f>'Sampling Data'!F837</f>
        <v>0</v>
      </c>
      <c r="H837" s="18">
        <f>'Sampling Data'!G837</f>
        <v>0</v>
      </c>
      <c r="I837" s="18">
        <f>'Sampling Data'!H837</f>
        <v>0</v>
      </c>
      <c r="J837" s="18">
        <f>'Sampling Data'!I837</f>
        <v>0</v>
      </c>
      <c r="K837" s="18">
        <f>'Sampling Data'!J837</f>
        <v>0</v>
      </c>
      <c r="L837" s="18">
        <f>'Sampling Data'!K837</f>
        <v>0</v>
      </c>
      <c r="M837" s="18">
        <f>'Sampling Data'!L837</f>
        <v>0</v>
      </c>
      <c r="N837" s="18">
        <f>'Sampling Data'!M837</f>
        <v>0</v>
      </c>
      <c r="O837" s="17">
        <f>'Sampling Data'!N837</f>
        <v>0</v>
      </c>
      <c r="P837" s="17">
        <f>'Sampling Data'!O837</f>
        <v>12</v>
      </c>
      <c r="Q837" s="17">
        <f>'Sampling Data'!P837</f>
        <v>299</v>
      </c>
      <c r="R837" s="17">
        <f>'Sampling Data'!AJ837</f>
        <v>0</v>
      </c>
      <c r="S837" s="111"/>
      <c r="T837" s="111"/>
      <c r="U837" s="112"/>
      <c r="V837" s="112"/>
      <c r="W837" s="111"/>
      <c r="X837" s="111"/>
      <c r="Y837" s="111"/>
      <c r="Z837" s="111"/>
      <c r="AA837" s="14"/>
      <c r="AB837" s="14"/>
      <c r="AC837" s="14"/>
      <c r="AD837" s="14"/>
      <c r="AE837" s="113" t="str">
        <f>IF(NOT(ISBLANK(Audit[[#This Row],[Audit Winning Candidate]])), Audit[[#This Row],[Audit Winning Candidate]]-Audit[[#This Row],[Winning Candidate]], "")</f>
        <v/>
      </c>
      <c r="AF837" s="17" t="str">
        <f>IF(NOT(ISBLANK(Audit[[#This Row],[Audit Losing Candidate]])), Audit[[#This Row],[Audit Losing Candidate]]-Audit[[#This Row],[Losing Candidate]], "")</f>
        <v/>
      </c>
      <c r="AG837" s="17" t="str">
        <f>IF(NOT(ISBLANK(Audit[[#This Row],[Audit Candidate 3]])), Audit[[#This Row],[Audit Candidate 3]]-Audit[[#This Row],[Candidate 3]], "")</f>
        <v/>
      </c>
      <c r="AH837" s="17" t="str">
        <f>IF(NOT(ISBLANK(Audit[[#This Row],[Audit Candidate 4]])),Audit[[#This Row],[Audit Candidate 4]]-Audit[[#This Row],[Candidate 4]], "")</f>
        <v/>
      </c>
      <c r="AI837" s="17" t="str">
        <f>IF(NOT(ISBLANK(Audit[[#This Row],[Audit Candidate 5]])), Audit[[#This Row],[Audit Candidate 5]]-Audit[[#This Row],[Candidate 5]], "")</f>
        <v/>
      </c>
      <c r="AJ837" s="17" t="str">
        <f>IF(NOT(ISBLANK(Audit[[#This Row],[Audit Candidate 6]])), Audit[[#This Row],[Audit Candidate 6]]-Audit[[#This Row],[Candidate 6]], "")</f>
        <v/>
      </c>
      <c r="AK837" s="17" t="str">
        <f>IF(NOT(ISBLANK(Audit[[#This Row],[Audit Candidate 7]])), Audit[[#This Row],[Audit Candidate 7]]-Audit[[#This Row],[Candidate 7]], "")</f>
        <v/>
      </c>
      <c r="AL837" s="17" t="str">
        <f>IF(NOT(ISBLANK(Audit[[#This Row],[Audit Candidate 8]])), Audit[[#This Row],[Audit Candidate 8]]-Audit[[#This Row],[Candidate 8]], "")</f>
        <v/>
      </c>
      <c r="AM837" s="17" t="str">
        <f>IF(NOT(ISBLANK(Audit[[#This Row],[Audit Candidate 9]])), Audit[[#This Row],[Audit Candidate 9]]-Audit[[#This Row],[Candidate 9]], "")</f>
        <v/>
      </c>
      <c r="AN837" s="17" t="str">
        <f>IF(NOT(ISBLANK(Audit[[#This Row],[Audit Candidate 10]])), Audit[[#This Row],[Audit Candidate 10]]-Audit[[#This Row],[Candidate 10]], "")</f>
        <v/>
      </c>
      <c r="AO837" s="17" t="str">
        <f>IF(NOT(ISBLANK(Audit[[#This Row],[Audit Candidate 11]])), Audit[[#This Row],[Audit Candidate 11]]-Audit[[#This Row],[Candidate 11]], "")</f>
        <v/>
      </c>
      <c r="AP837" s="17" t="str">
        <f>IF(NOT(ISBLANK(Audit[[#This Row],[Audit Candidate 12]])), Audit[[#This Row],[Audit Candidate 12]]-Audit[[#This Row],[Candidate 12]], "")</f>
        <v/>
      </c>
      <c r="AQ837" s="17">
        <f>SUMIF(Audit[[#This Row],[Difference Winner]:[Difference Candidate 12]], "&gt;0")</f>
        <v>0</v>
      </c>
      <c r="AR837" s="17">
        <f>SUM(Audit[[#This Row],[Difference Winner]:[Difference Candidate 12]])</f>
        <v>0</v>
      </c>
      <c r="AS837" s="17">
        <f>IF(Audit[[#This Row],[Times p Drawn - With Replacement]]&gt;0, IF(Audit[[#This Row],[Canceled Differences]]&lt;0, Audit[[#This Row],[Max Differences]]+ABS(Audit[[#This Row],[Canceled Differences]]), Audit[[#This Row],[Max Differences]]), 0)</f>
        <v>0</v>
      </c>
      <c r="AT837" s="17">
        <f>'Sampling Data'!AB837</f>
        <v>2.1303683585129858E-2</v>
      </c>
      <c r="AU837" s="17">
        <f>IF(
      SUM(Audit[[#This Row],[Audit Losing Candidate]:[Audit Candidate 12]])
      &lt;&gt;0,
      (Audit[[#This Row],[Winning Candidate]]-Audit[[#This Row],[Losing Candidate]]-(Audit[[#This Row],[Audit Winning Candidate]]-Audit[[#This Row],[Audit Losing Candidate]]))/(Audit[[#Totals],[Winning Candidate]]-Audit[[#Totals],[Losing Candidate]]),
      0
)</f>
        <v>0</v>
      </c>
      <c r="AV8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7" s="17">
        <f>IF(Audit[[#This Row],[Max Relative Error (ep)]] = 0, 0, Audit[[#This Row],[Max Relative Error (ep)]]/Audit[[#This Row],[Error Bound (up) - Max. possible relative overstatement]])</f>
        <v>0</v>
      </c>
      <c r="BH8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37" s="17">
        <f t="shared" si="13"/>
        <v>1</v>
      </c>
      <c r="BJ837" s="17">
        <f>PRODUCT($BI$5:BI837)</f>
        <v>0.19189130878662058</v>
      </c>
      <c r="BK837" s="19">
        <f>1 - Audit[[#This Row],[K-M P Value]]</f>
        <v>0.80810869121337947</v>
      </c>
      <c r="BL837" s="17" t="str">
        <f>IF(Audit[[#This Row],[K-M P Value]]&gt;1-'General Info'!$B$12,"Continue", "Stop")</f>
        <v>Continue</v>
      </c>
      <c r="BM837" s="22" t="b">
        <f>IF(Audit[[#This Row],[Status - Continue or stop audit]] = "Continue", TRUE, IF(BL836 = "Continue", TRUE, FALSE))</f>
        <v>1</v>
      </c>
      <c r="BN837" s="22"/>
    </row>
    <row r="838" spans="1:66" ht="15" hidden="1" customHeight="1" x14ac:dyDescent="0.35">
      <c r="A838" s="17" t="str">
        <f>'Sampling Data'!AI838</f>
        <v/>
      </c>
      <c r="B838" s="17" t="str">
        <f>'Sampling Data'!A838</f>
        <v>4411 NORW 1-A   (ED)</v>
      </c>
      <c r="C838" s="17">
        <f>'Sampling Data'!B838</f>
        <v>121</v>
      </c>
      <c r="D838" s="17">
        <f>'Sampling Data'!C838</f>
        <v>68</v>
      </c>
      <c r="E838" s="18">
        <f>'Sampling Data'!D838</f>
        <v>0</v>
      </c>
      <c r="F838" s="18">
        <f>'Sampling Data'!E838</f>
        <v>0</v>
      </c>
      <c r="G838" s="18">
        <f>'Sampling Data'!F838</f>
        <v>0</v>
      </c>
      <c r="H838" s="18">
        <f>'Sampling Data'!G838</f>
        <v>0</v>
      </c>
      <c r="I838" s="18">
        <f>'Sampling Data'!H838</f>
        <v>0</v>
      </c>
      <c r="J838" s="18">
        <f>'Sampling Data'!I838</f>
        <v>0</v>
      </c>
      <c r="K838" s="18">
        <f>'Sampling Data'!J838</f>
        <v>0</v>
      </c>
      <c r="L838" s="18">
        <f>'Sampling Data'!K838</f>
        <v>0</v>
      </c>
      <c r="M838" s="18">
        <f>'Sampling Data'!L838</f>
        <v>0</v>
      </c>
      <c r="N838" s="18">
        <f>'Sampling Data'!M838</f>
        <v>0</v>
      </c>
      <c r="O838" s="17">
        <f>'Sampling Data'!N838</f>
        <v>0</v>
      </c>
      <c r="P838" s="17">
        <f>'Sampling Data'!O838</f>
        <v>21</v>
      </c>
      <c r="Q838" s="17">
        <f>'Sampling Data'!P838</f>
        <v>210</v>
      </c>
      <c r="R838" s="17">
        <f>'Sampling Data'!AJ838</f>
        <v>0</v>
      </c>
      <c r="S838" s="111"/>
      <c r="T838" s="111"/>
      <c r="U838" s="112"/>
      <c r="V838" s="112"/>
      <c r="W838" s="111"/>
      <c r="X838" s="111"/>
      <c r="Y838" s="111"/>
      <c r="Z838" s="111"/>
      <c r="AA838" s="14"/>
      <c r="AB838" s="14"/>
      <c r="AC838" s="14"/>
      <c r="AD838" s="14"/>
      <c r="AE838" s="113" t="str">
        <f>IF(NOT(ISBLANK(Audit[[#This Row],[Audit Winning Candidate]])), Audit[[#This Row],[Audit Winning Candidate]]-Audit[[#This Row],[Winning Candidate]], "")</f>
        <v/>
      </c>
      <c r="AF838" s="17" t="str">
        <f>IF(NOT(ISBLANK(Audit[[#This Row],[Audit Losing Candidate]])), Audit[[#This Row],[Audit Losing Candidate]]-Audit[[#This Row],[Losing Candidate]], "")</f>
        <v/>
      </c>
      <c r="AG838" s="17" t="str">
        <f>IF(NOT(ISBLANK(Audit[[#This Row],[Audit Candidate 3]])), Audit[[#This Row],[Audit Candidate 3]]-Audit[[#This Row],[Candidate 3]], "")</f>
        <v/>
      </c>
      <c r="AH838" s="17" t="str">
        <f>IF(NOT(ISBLANK(Audit[[#This Row],[Audit Candidate 4]])),Audit[[#This Row],[Audit Candidate 4]]-Audit[[#This Row],[Candidate 4]], "")</f>
        <v/>
      </c>
      <c r="AI838" s="17" t="str">
        <f>IF(NOT(ISBLANK(Audit[[#This Row],[Audit Candidate 5]])), Audit[[#This Row],[Audit Candidate 5]]-Audit[[#This Row],[Candidate 5]], "")</f>
        <v/>
      </c>
      <c r="AJ838" s="17" t="str">
        <f>IF(NOT(ISBLANK(Audit[[#This Row],[Audit Candidate 6]])), Audit[[#This Row],[Audit Candidate 6]]-Audit[[#This Row],[Candidate 6]], "")</f>
        <v/>
      </c>
      <c r="AK838" s="17" t="str">
        <f>IF(NOT(ISBLANK(Audit[[#This Row],[Audit Candidate 7]])), Audit[[#This Row],[Audit Candidate 7]]-Audit[[#This Row],[Candidate 7]], "")</f>
        <v/>
      </c>
      <c r="AL838" s="17" t="str">
        <f>IF(NOT(ISBLANK(Audit[[#This Row],[Audit Candidate 8]])), Audit[[#This Row],[Audit Candidate 8]]-Audit[[#This Row],[Candidate 8]], "")</f>
        <v/>
      </c>
      <c r="AM838" s="17" t="str">
        <f>IF(NOT(ISBLANK(Audit[[#This Row],[Audit Candidate 9]])), Audit[[#This Row],[Audit Candidate 9]]-Audit[[#This Row],[Candidate 9]], "")</f>
        <v/>
      </c>
      <c r="AN838" s="17" t="str">
        <f>IF(NOT(ISBLANK(Audit[[#This Row],[Audit Candidate 10]])), Audit[[#This Row],[Audit Candidate 10]]-Audit[[#This Row],[Candidate 10]], "")</f>
        <v/>
      </c>
      <c r="AO838" s="17" t="str">
        <f>IF(NOT(ISBLANK(Audit[[#This Row],[Audit Candidate 11]])), Audit[[#This Row],[Audit Candidate 11]]-Audit[[#This Row],[Candidate 11]], "")</f>
        <v/>
      </c>
      <c r="AP838" s="17" t="str">
        <f>IF(NOT(ISBLANK(Audit[[#This Row],[Audit Candidate 12]])), Audit[[#This Row],[Audit Candidate 12]]-Audit[[#This Row],[Candidate 12]], "")</f>
        <v/>
      </c>
      <c r="AQ838" s="17">
        <f>SUMIF(Audit[[#This Row],[Difference Winner]:[Difference Candidate 12]], "&gt;0")</f>
        <v>0</v>
      </c>
      <c r="AR838" s="17">
        <f>SUM(Audit[[#This Row],[Difference Winner]:[Difference Candidate 12]])</f>
        <v>0</v>
      </c>
      <c r="AS838" s="17">
        <f>IF(Audit[[#This Row],[Times p Drawn - With Replacement]]&gt;0, IF(Audit[[#This Row],[Canceled Differences]]&lt;0, Audit[[#This Row],[Max Differences]]+ABS(Audit[[#This Row],[Canceled Differences]]), Audit[[#This Row],[Max Differences]]), 0)</f>
        <v>0</v>
      </c>
      <c r="AT838" s="17">
        <f>'Sampling Data'!AB838</f>
        <v>1.1161093193006281E-2</v>
      </c>
      <c r="AU838" s="17">
        <f>IF(
      SUM(Audit[[#This Row],[Audit Losing Candidate]:[Audit Candidate 12]])
      &lt;&gt;0,
      (Audit[[#This Row],[Winning Candidate]]-Audit[[#This Row],[Losing Candidate]]-(Audit[[#This Row],[Audit Winning Candidate]]-Audit[[#This Row],[Audit Losing Candidate]]))/(Audit[[#Totals],[Winning Candidate]]-Audit[[#Totals],[Losing Candidate]]),
      0
)</f>
        <v>0</v>
      </c>
      <c r="AV8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8" s="17">
        <f>IF(Audit[[#This Row],[Max Relative Error (ep)]] = 0, 0, Audit[[#This Row],[Max Relative Error (ep)]]/Audit[[#This Row],[Error Bound (up) - Max. possible relative overstatement]])</f>
        <v>0</v>
      </c>
      <c r="BH8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38" s="17">
        <f t="shared" si="13"/>
        <v>1</v>
      </c>
      <c r="BJ838" s="17">
        <f>PRODUCT($BI$5:BI838)</f>
        <v>0.19189130878662058</v>
      </c>
      <c r="BK838" s="19">
        <f>1 - Audit[[#This Row],[K-M P Value]]</f>
        <v>0.80810869121337947</v>
      </c>
      <c r="BL838" s="17" t="str">
        <f>IF(Audit[[#This Row],[K-M P Value]]&gt;1-'General Info'!$B$12,"Continue", "Stop")</f>
        <v>Continue</v>
      </c>
      <c r="BM838" s="22" t="b">
        <f>IF(Audit[[#This Row],[Status - Continue or stop audit]] = "Continue", TRUE, IF(BL837 = "Continue", TRUE, FALSE))</f>
        <v>1</v>
      </c>
      <c r="BN838" s="22"/>
    </row>
    <row r="839" spans="1:66" ht="15" hidden="1" customHeight="1" x14ac:dyDescent="0.35">
      <c r="A839" s="17" t="str">
        <f>'Sampling Data'!AI839</f>
        <v/>
      </c>
      <c r="B839" s="17" t="str">
        <f>'Sampling Data'!A839</f>
        <v>4412 NORW 1-B   (ED)</v>
      </c>
      <c r="C839" s="17">
        <f>'Sampling Data'!B839</f>
        <v>146</v>
      </c>
      <c r="D839" s="17">
        <f>'Sampling Data'!C839</f>
        <v>163</v>
      </c>
      <c r="E839" s="18">
        <f>'Sampling Data'!D839</f>
        <v>0</v>
      </c>
      <c r="F839" s="18">
        <f>'Sampling Data'!E839</f>
        <v>0</v>
      </c>
      <c r="G839" s="18">
        <f>'Sampling Data'!F839</f>
        <v>0</v>
      </c>
      <c r="H839" s="18">
        <f>'Sampling Data'!G839</f>
        <v>0</v>
      </c>
      <c r="I839" s="18">
        <f>'Sampling Data'!H839</f>
        <v>0</v>
      </c>
      <c r="J839" s="18">
        <f>'Sampling Data'!I839</f>
        <v>0</v>
      </c>
      <c r="K839" s="18">
        <f>'Sampling Data'!J839</f>
        <v>0</v>
      </c>
      <c r="L839" s="18">
        <f>'Sampling Data'!K839</f>
        <v>0</v>
      </c>
      <c r="M839" s="18">
        <f>'Sampling Data'!L839</f>
        <v>0</v>
      </c>
      <c r="N839" s="18">
        <f>'Sampling Data'!M839</f>
        <v>0</v>
      </c>
      <c r="O839" s="17">
        <f>'Sampling Data'!N839</f>
        <v>0</v>
      </c>
      <c r="P839" s="17">
        <f>'Sampling Data'!O839</f>
        <v>26</v>
      </c>
      <c r="Q839" s="17">
        <f>'Sampling Data'!P839</f>
        <v>335</v>
      </c>
      <c r="R839" s="17">
        <f>'Sampling Data'!AJ839</f>
        <v>0</v>
      </c>
      <c r="S839" s="111"/>
      <c r="T839" s="111"/>
      <c r="U839" s="112"/>
      <c r="V839" s="112"/>
      <c r="W839" s="111"/>
      <c r="X839" s="111"/>
      <c r="Y839" s="111"/>
      <c r="Z839" s="111"/>
      <c r="AA839" s="14"/>
      <c r="AB839" s="14"/>
      <c r="AC839" s="14"/>
      <c r="AD839" s="14"/>
      <c r="AE839" s="113" t="str">
        <f>IF(NOT(ISBLANK(Audit[[#This Row],[Audit Winning Candidate]])), Audit[[#This Row],[Audit Winning Candidate]]-Audit[[#This Row],[Winning Candidate]], "")</f>
        <v/>
      </c>
      <c r="AF839" s="17" t="str">
        <f>IF(NOT(ISBLANK(Audit[[#This Row],[Audit Losing Candidate]])), Audit[[#This Row],[Audit Losing Candidate]]-Audit[[#This Row],[Losing Candidate]], "")</f>
        <v/>
      </c>
      <c r="AG839" s="17" t="str">
        <f>IF(NOT(ISBLANK(Audit[[#This Row],[Audit Candidate 3]])), Audit[[#This Row],[Audit Candidate 3]]-Audit[[#This Row],[Candidate 3]], "")</f>
        <v/>
      </c>
      <c r="AH839" s="17" t="str">
        <f>IF(NOT(ISBLANK(Audit[[#This Row],[Audit Candidate 4]])),Audit[[#This Row],[Audit Candidate 4]]-Audit[[#This Row],[Candidate 4]], "")</f>
        <v/>
      </c>
      <c r="AI839" s="17" t="str">
        <f>IF(NOT(ISBLANK(Audit[[#This Row],[Audit Candidate 5]])), Audit[[#This Row],[Audit Candidate 5]]-Audit[[#This Row],[Candidate 5]], "")</f>
        <v/>
      </c>
      <c r="AJ839" s="17" t="str">
        <f>IF(NOT(ISBLANK(Audit[[#This Row],[Audit Candidate 6]])), Audit[[#This Row],[Audit Candidate 6]]-Audit[[#This Row],[Candidate 6]], "")</f>
        <v/>
      </c>
      <c r="AK839" s="17" t="str">
        <f>IF(NOT(ISBLANK(Audit[[#This Row],[Audit Candidate 7]])), Audit[[#This Row],[Audit Candidate 7]]-Audit[[#This Row],[Candidate 7]], "")</f>
        <v/>
      </c>
      <c r="AL839" s="17" t="str">
        <f>IF(NOT(ISBLANK(Audit[[#This Row],[Audit Candidate 8]])), Audit[[#This Row],[Audit Candidate 8]]-Audit[[#This Row],[Candidate 8]], "")</f>
        <v/>
      </c>
      <c r="AM839" s="17" t="str">
        <f>IF(NOT(ISBLANK(Audit[[#This Row],[Audit Candidate 9]])), Audit[[#This Row],[Audit Candidate 9]]-Audit[[#This Row],[Candidate 9]], "")</f>
        <v/>
      </c>
      <c r="AN839" s="17" t="str">
        <f>IF(NOT(ISBLANK(Audit[[#This Row],[Audit Candidate 10]])), Audit[[#This Row],[Audit Candidate 10]]-Audit[[#This Row],[Candidate 10]], "")</f>
        <v/>
      </c>
      <c r="AO839" s="17" t="str">
        <f>IF(NOT(ISBLANK(Audit[[#This Row],[Audit Candidate 11]])), Audit[[#This Row],[Audit Candidate 11]]-Audit[[#This Row],[Candidate 11]], "")</f>
        <v/>
      </c>
      <c r="AP839" s="17" t="str">
        <f>IF(NOT(ISBLANK(Audit[[#This Row],[Audit Candidate 12]])), Audit[[#This Row],[Audit Candidate 12]]-Audit[[#This Row],[Candidate 12]], "")</f>
        <v/>
      </c>
      <c r="AQ839" s="17">
        <f>SUMIF(Audit[[#This Row],[Difference Winner]:[Difference Candidate 12]], "&gt;0")</f>
        <v>0</v>
      </c>
      <c r="AR839" s="17">
        <f>SUM(Audit[[#This Row],[Difference Winner]:[Difference Candidate 12]])</f>
        <v>0</v>
      </c>
      <c r="AS839" s="17">
        <f>IF(Audit[[#This Row],[Times p Drawn - With Replacement]]&gt;0, IF(Audit[[#This Row],[Canceled Differences]]&lt;0, Audit[[#This Row],[Max Differences]]+ABS(Audit[[#This Row],[Canceled Differences]]), Audit[[#This Row],[Max Differences]]), 0)</f>
        <v>0</v>
      </c>
      <c r="AT839" s="17">
        <f>'Sampling Data'!AB839</f>
        <v>1.3495162111695807E-2</v>
      </c>
      <c r="AU839" s="17">
        <f>IF(
      SUM(Audit[[#This Row],[Audit Losing Candidate]:[Audit Candidate 12]])
      &lt;&gt;0,
      (Audit[[#This Row],[Winning Candidate]]-Audit[[#This Row],[Losing Candidate]]-(Audit[[#This Row],[Audit Winning Candidate]]-Audit[[#This Row],[Audit Losing Candidate]]))/(Audit[[#Totals],[Winning Candidate]]-Audit[[#Totals],[Losing Candidate]]),
      0
)</f>
        <v>0</v>
      </c>
      <c r="AV8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9" s="17">
        <f>IF(Audit[[#This Row],[Max Relative Error (ep)]] = 0, 0, Audit[[#This Row],[Max Relative Error (ep)]]/Audit[[#This Row],[Error Bound (up) - Max. possible relative overstatement]])</f>
        <v>0</v>
      </c>
      <c r="BH8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39" s="17">
        <f t="shared" si="13"/>
        <v>1</v>
      </c>
      <c r="BJ839" s="17">
        <f>PRODUCT($BI$5:BI839)</f>
        <v>0.19189130878662058</v>
      </c>
      <c r="BK839" s="19">
        <f>1 - Audit[[#This Row],[K-M P Value]]</f>
        <v>0.80810869121337947</v>
      </c>
      <c r="BL839" s="17" t="str">
        <f>IF(Audit[[#This Row],[K-M P Value]]&gt;1-'General Info'!$B$12,"Continue", "Stop")</f>
        <v>Continue</v>
      </c>
      <c r="BM839" s="22" t="b">
        <f>IF(Audit[[#This Row],[Status - Continue or stop audit]] = "Continue", TRUE, IF(BL838 = "Continue", TRUE, FALSE))</f>
        <v>1</v>
      </c>
      <c r="BN839" s="22"/>
    </row>
    <row r="840" spans="1:66" ht="15" hidden="1" customHeight="1" x14ac:dyDescent="0.35">
      <c r="A840" s="17" t="str">
        <f>'Sampling Data'!AI840</f>
        <v/>
      </c>
      <c r="B840" s="17" t="str">
        <f>'Sampling Data'!A840</f>
        <v>4413 NORW 1-C   (ED)</v>
      </c>
      <c r="C840" s="17">
        <f>'Sampling Data'!B840</f>
        <v>186</v>
      </c>
      <c r="D840" s="17">
        <f>'Sampling Data'!C840</f>
        <v>160</v>
      </c>
      <c r="E840" s="18">
        <f>'Sampling Data'!D840</f>
        <v>0</v>
      </c>
      <c r="F840" s="18">
        <f>'Sampling Data'!E840</f>
        <v>0</v>
      </c>
      <c r="G840" s="18">
        <f>'Sampling Data'!F840</f>
        <v>0</v>
      </c>
      <c r="H840" s="18">
        <f>'Sampling Data'!G840</f>
        <v>0</v>
      </c>
      <c r="I840" s="18">
        <f>'Sampling Data'!H840</f>
        <v>0</v>
      </c>
      <c r="J840" s="18">
        <f>'Sampling Data'!I840</f>
        <v>0</v>
      </c>
      <c r="K840" s="18">
        <f>'Sampling Data'!J840</f>
        <v>0</v>
      </c>
      <c r="L840" s="18">
        <f>'Sampling Data'!K840</f>
        <v>0</v>
      </c>
      <c r="M840" s="18">
        <f>'Sampling Data'!L840</f>
        <v>0</v>
      </c>
      <c r="N840" s="18">
        <f>'Sampling Data'!M840</f>
        <v>0</v>
      </c>
      <c r="O840" s="17">
        <f>'Sampling Data'!N840</f>
        <v>0</v>
      </c>
      <c r="P840" s="17">
        <f>'Sampling Data'!O840</f>
        <v>35</v>
      </c>
      <c r="Q840" s="17">
        <f>'Sampling Data'!P840</f>
        <v>381</v>
      </c>
      <c r="R840" s="17">
        <f>'Sampling Data'!AJ840</f>
        <v>0</v>
      </c>
      <c r="S840" s="111"/>
      <c r="T840" s="111"/>
      <c r="U840" s="112"/>
      <c r="V840" s="112"/>
      <c r="W840" s="111"/>
      <c r="X840" s="111"/>
      <c r="Y840" s="111"/>
      <c r="Z840" s="111"/>
      <c r="AA840" s="14"/>
      <c r="AB840" s="14"/>
      <c r="AC840" s="14"/>
      <c r="AD840" s="14"/>
      <c r="AE840" s="113" t="str">
        <f>IF(NOT(ISBLANK(Audit[[#This Row],[Audit Winning Candidate]])), Audit[[#This Row],[Audit Winning Candidate]]-Audit[[#This Row],[Winning Candidate]], "")</f>
        <v/>
      </c>
      <c r="AF840" s="17" t="str">
        <f>IF(NOT(ISBLANK(Audit[[#This Row],[Audit Losing Candidate]])), Audit[[#This Row],[Audit Losing Candidate]]-Audit[[#This Row],[Losing Candidate]], "")</f>
        <v/>
      </c>
      <c r="AG840" s="17" t="str">
        <f>IF(NOT(ISBLANK(Audit[[#This Row],[Audit Candidate 3]])), Audit[[#This Row],[Audit Candidate 3]]-Audit[[#This Row],[Candidate 3]], "")</f>
        <v/>
      </c>
      <c r="AH840" s="17" t="str">
        <f>IF(NOT(ISBLANK(Audit[[#This Row],[Audit Candidate 4]])),Audit[[#This Row],[Audit Candidate 4]]-Audit[[#This Row],[Candidate 4]], "")</f>
        <v/>
      </c>
      <c r="AI840" s="17" t="str">
        <f>IF(NOT(ISBLANK(Audit[[#This Row],[Audit Candidate 5]])), Audit[[#This Row],[Audit Candidate 5]]-Audit[[#This Row],[Candidate 5]], "")</f>
        <v/>
      </c>
      <c r="AJ840" s="17" t="str">
        <f>IF(NOT(ISBLANK(Audit[[#This Row],[Audit Candidate 6]])), Audit[[#This Row],[Audit Candidate 6]]-Audit[[#This Row],[Candidate 6]], "")</f>
        <v/>
      </c>
      <c r="AK840" s="17" t="str">
        <f>IF(NOT(ISBLANK(Audit[[#This Row],[Audit Candidate 7]])), Audit[[#This Row],[Audit Candidate 7]]-Audit[[#This Row],[Candidate 7]], "")</f>
        <v/>
      </c>
      <c r="AL840" s="17" t="str">
        <f>IF(NOT(ISBLANK(Audit[[#This Row],[Audit Candidate 8]])), Audit[[#This Row],[Audit Candidate 8]]-Audit[[#This Row],[Candidate 8]], "")</f>
        <v/>
      </c>
      <c r="AM840" s="17" t="str">
        <f>IF(NOT(ISBLANK(Audit[[#This Row],[Audit Candidate 9]])), Audit[[#This Row],[Audit Candidate 9]]-Audit[[#This Row],[Candidate 9]], "")</f>
        <v/>
      </c>
      <c r="AN840" s="17" t="str">
        <f>IF(NOT(ISBLANK(Audit[[#This Row],[Audit Candidate 10]])), Audit[[#This Row],[Audit Candidate 10]]-Audit[[#This Row],[Candidate 10]], "")</f>
        <v/>
      </c>
      <c r="AO840" s="17" t="str">
        <f>IF(NOT(ISBLANK(Audit[[#This Row],[Audit Candidate 11]])), Audit[[#This Row],[Audit Candidate 11]]-Audit[[#This Row],[Candidate 11]], "")</f>
        <v/>
      </c>
      <c r="AP840" s="17" t="str">
        <f>IF(NOT(ISBLANK(Audit[[#This Row],[Audit Candidate 12]])), Audit[[#This Row],[Audit Candidate 12]]-Audit[[#This Row],[Candidate 12]], "")</f>
        <v/>
      </c>
      <c r="AQ840" s="17">
        <f>SUMIF(Audit[[#This Row],[Difference Winner]:[Difference Candidate 12]], "&gt;0")</f>
        <v>0</v>
      </c>
      <c r="AR840" s="17">
        <f>SUM(Audit[[#This Row],[Difference Winner]:[Difference Candidate 12]])</f>
        <v>0</v>
      </c>
      <c r="AS840" s="17">
        <f>IF(Audit[[#This Row],[Times p Drawn - With Replacement]]&gt;0, IF(Audit[[#This Row],[Canceled Differences]]&lt;0, Audit[[#This Row],[Max Differences]]+ABS(Audit[[#This Row],[Canceled Differences]]), Audit[[#This Row],[Max Differences]]), 0)</f>
        <v>0</v>
      </c>
      <c r="AT840" s="17">
        <f>'Sampling Data'!AB840</f>
        <v>1.7272109998302497E-2</v>
      </c>
      <c r="AU840" s="17">
        <f>IF(
      SUM(Audit[[#This Row],[Audit Losing Candidate]:[Audit Candidate 12]])
      &lt;&gt;0,
      (Audit[[#This Row],[Winning Candidate]]-Audit[[#This Row],[Losing Candidate]]-(Audit[[#This Row],[Audit Winning Candidate]]-Audit[[#This Row],[Audit Losing Candidate]]))/(Audit[[#Totals],[Winning Candidate]]-Audit[[#Totals],[Losing Candidate]]),
      0
)</f>
        <v>0</v>
      </c>
      <c r="AV8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0" s="17">
        <f>IF(Audit[[#This Row],[Max Relative Error (ep)]] = 0, 0, Audit[[#This Row],[Max Relative Error (ep)]]/Audit[[#This Row],[Error Bound (up) - Max. possible relative overstatement]])</f>
        <v>0</v>
      </c>
      <c r="BH8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40" s="17">
        <f t="shared" si="13"/>
        <v>1</v>
      </c>
      <c r="BJ840" s="17">
        <f>PRODUCT($BI$5:BI840)</f>
        <v>0.19189130878662058</v>
      </c>
      <c r="BK840" s="19">
        <f>1 - Audit[[#This Row],[K-M P Value]]</f>
        <v>0.80810869121337947</v>
      </c>
      <c r="BL840" s="17" t="str">
        <f>IF(Audit[[#This Row],[K-M P Value]]&gt;1-'General Info'!$B$12,"Continue", "Stop")</f>
        <v>Continue</v>
      </c>
      <c r="BM840" s="22" t="b">
        <f>IF(Audit[[#This Row],[Status - Continue or stop audit]] = "Continue", TRUE, IF(BL839 = "Continue", TRUE, FALSE))</f>
        <v>1</v>
      </c>
      <c r="BN840" s="22"/>
    </row>
    <row r="841" spans="1:66" ht="15" hidden="1" customHeight="1" x14ac:dyDescent="0.35">
      <c r="A841" s="17" t="str">
        <f>'Sampling Data'!AI841</f>
        <v/>
      </c>
      <c r="B841" s="17" t="str">
        <f>'Sampling Data'!A841</f>
        <v>4421 NORW 2-A   (ED)</v>
      </c>
      <c r="C841" s="17">
        <f>'Sampling Data'!B841</f>
        <v>157</v>
      </c>
      <c r="D841" s="17">
        <f>'Sampling Data'!C841</f>
        <v>190</v>
      </c>
      <c r="E841" s="18">
        <f>'Sampling Data'!D841</f>
        <v>0</v>
      </c>
      <c r="F841" s="18">
        <f>'Sampling Data'!E841</f>
        <v>0</v>
      </c>
      <c r="G841" s="18">
        <f>'Sampling Data'!F841</f>
        <v>0</v>
      </c>
      <c r="H841" s="18">
        <f>'Sampling Data'!G841</f>
        <v>0</v>
      </c>
      <c r="I841" s="18">
        <f>'Sampling Data'!H841</f>
        <v>0</v>
      </c>
      <c r="J841" s="18">
        <f>'Sampling Data'!I841</f>
        <v>0</v>
      </c>
      <c r="K841" s="18">
        <f>'Sampling Data'!J841</f>
        <v>0</v>
      </c>
      <c r="L841" s="18">
        <f>'Sampling Data'!K841</f>
        <v>0</v>
      </c>
      <c r="M841" s="18">
        <f>'Sampling Data'!L841</f>
        <v>0</v>
      </c>
      <c r="N841" s="18">
        <f>'Sampling Data'!M841</f>
        <v>0</v>
      </c>
      <c r="O841" s="17">
        <f>'Sampling Data'!N841</f>
        <v>0</v>
      </c>
      <c r="P841" s="17">
        <f>'Sampling Data'!O841</f>
        <v>38</v>
      </c>
      <c r="Q841" s="17">
        <f>'Sampling Data'!P841</f>
        <v>385</v>
      </c>
      <c r="R841" s="17">
        <f>'Sampling Data'!AJ841</f>
        <v>0</v>
      </c>
      <c r="S841" s="111"/>
      <c r="T841" s="111"/>
      <c r="U841" s="112"/>
      <c r="V841" s="112"/>
      <c r="W841" s="111"/>
      <c r="X841" s="111"/>
      <c r="Y841" s="111"/>
      <c r="Z841" s="111"/>
      <c r="AA841" s="14"/>
      <c r="AB841" s="14"/>
      <c r="AC841" s="14"/>
      <c r="AD841" s="14"/>
      <c r="AE841" s="113" t="str">
        <f>IF(NOT(ISBLANK(Audit[[#This Row],[Audit Winning Candidate]])), Audit[[#This Row],[Audit Winning Candidate]]-Audit[[#This Row],[Winning Candidate]], "")</f>
        <v/>
      </c>
      <c r="AF841" s="17" t="str">
        <f>IF(NOT(ISBLANK(Audit[[#This Row],[Audit Losing Candidate]])), Audit[[#This Row],[Audit Losing Candidate]]-Audit[[#This Row],[Losing Candidate]], "")</f>
        <v/>
      </c>
      <c r="AG841" s="17" t="str">
        <f>IF(NOT(ISBLANK(Audit[[#This Row],[Audit Candidate 3]])), Audit[[#This Row],[Audit Candidate 3]]-Audit[[#This Row],[Candidate 3]], "")</f>
        <v/>
      </c>
      <c r="AH841" s="17" t="str">
        <f>IF(NOT(ISBLANK(Audit[[#This Row],[Audit Candidate 4]])),Audit[[#This Row],[Audit Candidate 4]]-Audit[[#This Row],[Candidate 4]], "")</f>
        <v/>
      </c>
      <c r="AI841" s="17" t="str">
        <f>IF(NOT(ISBLANK(Audit[[#This Row],[Audit Candidate 5]])), Audit[[#This Row],[Audit Candidate 5]]-Audit[[#This Row],[Candidate 5]], "")</f>
        <v/>
      </c>
      <c r="AJ841" s="17" t="str">
        <f>IF(NOT(ISBLANK(Audit[[#This Row],[Audit Candidate 6]])), Audit[[#This Row],[Audit Candidate 6]]-Audit[[#This Row],[Candidate 6]], "")</f>
        <v/>
      </c>
      <c r="AK841" s="17" t="str">
        <f>IF(NOT(ISBLANK(Audit[[#This Row],[Audit Candidate 7]])), Audit[[#This Row],[Audit Candidate 7]]-Audit[[#This Row],[Candidate 7]], "")</f>
        <v/>
      </c>
      <c r="AL841" s="17" t="str">
        <f>IF(NOT(ISBLANK(Audit[[#This Row],[Audit Candidate 8]])), Audit[[#This Row],[Audit Candidate 8]]-Audit[[#This Row],[Candidate 8]], "")</f>
        <v/>
      </c>
      <c r="AM841" s="17" t="str">
        <f>IF(NOT(ISBLANK(Audit[[#This Row],[Audit Candidate 9]])), Audit[[#This Row],[Audit Candidate 9]]-Audit[[#This Row],[Candidate 9]], "")</f>
        <v/>
      </c>
      <c r="AN841" s="17" t="str">
        <f>IF(NOT(ISBLANK(Audit[[#This Row],[Audit Candidate 10]])), Audit[[#This Row],[Audit Candidate 10]]-Audit[[#This Row],[Candidate 10]], "")</f>
        <v/>
      </c>
      <c r="AO841" s="17" t="str">
        <f>IF(NOT(ISBLANK(Audit[[#This Row],[Audit Candidate 11]])), Audit[[#This Row],[Audit Candidate 11]]-Audit[[#This Row],[Candidate 11]], "")</f>
        <v/>
      </c>
      <c r="AP841" s="17" t="str">
        <f>IF(NOT(ISBLANK(Audit[[#This Row],[Audit Candidate 12]])), Audit[[#This Row],[Audit Candidate 12]]-Audit[[#This Row],[Candidate 12]], "")</f>
        <v/>
      </c>
      <c r="AQ841" s="17">
        <f>SUMIF(Audit[[#This Row],[Difference Winner]:[Difference Candidate 12]], "&gt;0")</f>
        <v>0</v>
      </c>
      <c r="AR841" s="17">
        <f>SUM(Audit[[#This Row],[Difference Winner]:[Difference Candidate 12]])</f>
        <v>0</v>
      </c>
      <c r="AS841" s="17">
        <f>IF(Audit[[#This Row],[Times p Drawn - With Replacement]]&gt;0, IF(Audit[[#This Row],[Canceled Differences]]&lt;0, Audit[[#This Row],[Max Differences]]+ABS(Audit[[#This Row],[Canceled Differences]]), Audit[[#This Row],[Max Differences]]), 0)</f>
        <v>0</v>
      </c>
      <c r="AT841" s="17">
        <f>'Sampling Data'!AB841</f>
        <v>1.4938041079612968E-2</v>
      </c>
      <c r="AU841" s="17">
        <f>IF(
      SUM(Audit[[#This Row],[Audit Losing Candidate]:[Audit Candidate 12]])
      &lt;&gt;0,
      (Audit[[#This Row],[Winning Candidate]]-Audit[[#This Row],[Losing Candidate]]-(Audit[[#This Row],[Audit Winning Candidate]]-Audit[[#This Row],[Audit Losing Candidate]]))/(Audit[[#Totals],[Winning Candidate]]-Audit[[#Totals],[Losing Candidate]]),
      0
)</f>
        <v>0</v>
      </c>
      <c r="AV8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1" s="17">
        <f>IF(Audit[[#This Row],[Max Relative Error (ep)]] = 0, 0, Audit[[#This Row],[Max Relative Error (ep)]]/Audit[[#This Row],[Error Bound (up) - Max. possible relative overstatement]])</f>
        <v>0</v>
      </c>
      <c r="BH8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41" s="17">
        <f t="shared" si="13"/>
        <v>1</v>
      </c>
      <c r="BJ841" s="17">
        <f>PRODUCT($BI$5:BI841)</f>
        <v>0.19189130878662058</v>
      </c>
      <c r="BK841" s="19">
        <f>1 - Audit[[#This Row],[K-M P Value]]</f>
        <v>0.80810869121337947</v>
      </c>
      <c r="BL841" s="17" t="str">
        <f>IF(Audit[[#This Row],[K-M P Value]]&gt;1-'General Info'!$B$12,"Continue", "Stop")</f>
        <v>Continue</v>
      </c>
      <c r="BM841" s="22" t="b">
        <f>IF(Audit[[#This Row],[Status - Continue or stop audit]] = "Continue", TRUE, IF(BL840 = "Continue", TRUE, FALSE))</f>
        <v>1</v>
      </c>
      <c r="BN841" s="22"/>
    </row>
    <row r="842" spans="1:66" ht="15" hidden="1" customHeight="1" x14ac:dyDescent="0.35">
      <c r="A842" s="17" t="str">
        <f>'Sampling Data'!AI842</f>
        <v/>
      </c>
      <c r="B842" s="17" t="str">
        <f>'Sampling Data'!A842</f>
        <v>4422 NORW 2-B   (ED)</v>
      </c>
      <c r="C842" s="17">
        <f>'Sampling Data'!B842</f>
        <v>167</v>
      </c>
      <c r="D842" s="17">
        <f>'Sampling Data'!C842</f>
        <v>200</v>
      </c>
      <c r="E842" s="18">
        <f>'Sampling Data'!D842</f>
        <v>0</v>
      </c>
      <c r="F842" s="18">
        <f>'Sampling Data'!E842</f>
        <v>0</v>
      </c>
      <c r="G842" s="18">
        <f>'Sampling Data'!F842</f>
        <v>0</v>
      </c>
      <c r="H842" s="18">
        <f>'Sampling Data'!G842</f>
        <v>0</v>
      </c>
      <c r="I842" s="18">
        <f>'Sampling Data'!H842</f>
        <v>0</v>
      </c>
      <c r="J842" s="18">
        <f>'Sampling Data'!I842</f>
        <v>0</v>
      </c>
      <c r="K842" s="18">
        <f>'Sampling Data'!J842</f>
        <v>0</v>
      </c>
      <c r="L842" s="18">
        <f>'Sampling Data'!K842</f>
        <v>0</v>
      </c>
      <c r="M842" s="18">
        <f>'Sampling Data'!L842</f>
        <v>0</v>
      </c>
      <c r="N842" s="18">
        <f>'Sampling Data'!M842</f>
        <v>0</v>
      </c>
      <c r="O842" s="17">
        <f>'Sampling Data'!N842</f>
        <v>0</v>
      </c>
      <c r="P842" s="17">
        <f>'Sampling Data'!O842</f>
        <v>36</v>
      </c>
      <c r="Q842" s="17">
        <f>'Sampling Data'!P842</f>
        <v>403</v>
      </c>
      <c r="R842" s="17">
        <f>'Sampling Data'!AJ842</f>
        <v>0</v>
      </c>
      <c r="S842" s="111"/>
      <c r="T842" s="111"/>
      <c r="U842" s="112"/>
      <c r="V842" s="112"/>
      <c r="W842" s="111"/>
      <c r="X842" s="111"/>
      <c r="Y842" s="111"/>
      <c r="Z842" s="111"/>
      <c r="AA842" s="14"/>
      <c r="AB842" s="14"/>
      <c r="AC842" s="14"/>
      <c r="AD842" s="14"/>
      <c r="AE842" s="113" t="str">
        <f>IF(NOT(ISBLANK(Audit[[#This Row],[Audit Winning Candidate]])), Audit[[#This Row],[Audit Winning Candidate]]-Audit[[#This Row],[Winning Candidate]], "")</f>
        <v/>
      </c>
      <c r="AF842" s="17" t="str">
        <f>IF(NOT(ISBLANK(Audit[[#This Row],[Audit Losing Candidate]])), Audit[[#This Row],[Audit Losing Candidate]]-Audit[[#This Row],[Losing Candidate]], "")</f>
        <v/>
      </c>
      <c r="AG842" s="17" t="str">
        <f>IF(NOT(ISBLANK(Audit[[#This Row],[Audit Candidate 3]])), Audit[[#This Row],[Audit Candidate 3]]-Audit[[#This Row],[Candidate 3]], "")</f>
        <v/>
      </c>
      <c r="AH842" s="17" t="str">
        <f>IF(NOT(ISBLANK(Audit[[#This Row],[Audit Candidate 4]])),Audit[[#This Row],[Audit Candidate 4]]-Audit[[#This Row],[Candidate 4]], "")</f>
        <v/>
      </c>
      <c r="AI842" s="17" t="str">
        <f>IF(NOT(ISBLANK(Audit[[#This Row],[Audit Candidate 5]])), Audit[[#This Row],[Audit Candidate 5]]-Audit[[#This Row],[Candidate 5]], "")</f>
        <v/>
      </c>
      <c r="AJ842" s="17" t="str">
        <f>IF(NOT(ISBLANK(Audit[[#This Row],[Audit Candidate 6]])), Audit[[#This Row],[Audit Candidate 6]]-Audit[[#This Row],[Candidate 6]], "")</f>
        <v/>
      </c>
      <c r="AK842" s="17" t="str">
        <f>IF(NOT(ISBLANK(Audit[[#This Row],[Audit Candidate 7]])), Audit[[#This Row],[Audit Candidate 7]]-Audit[[#This Row],[Candidate 7]], "")</f>
        <v/>
      </c>
      <c r="AL842" s="17" t="str">
        <f>IF(NOT(ISBLANK(Audit[[#This Row],[Audit Candidate 8]])), Audit[[#This Row],[Audit Candidate 8]]-Audit[[#This Row],[Candidate 8]], "")</f>
        <v/>
      </c>
      <c r="AM842" s="17" t="str">
        <f>IF(NOT(ISBLANK(Audit[[#This Row],[Audit Candidate 9]])), Audit[[#This Row],[Audit Candidate 9]]-Audit[[#This Row],[Candidate 9]], "")</f>
        <v/>
      </c>
      <c r="AN842" s="17" t="str">
        <f>IF(NOT(ISBLANK(Audit[[#This Row],[Audit Candidate 10]])), Audit[[#This Row],[Audit Candidate 10]]-Audit[[#This Row],[Candidate 10]], "")</f>
        <v/>
      </c>
      <c r="AO842" s="17" t="str">
        <f>IF(NOT(ISBLANK(Audit[[#This Row],[Audit Candidate 11]])), Audit[[#This Row],[Audit Candidate 11]]-Audit[[#This Row],[Candidate 11]], "")</f>
        <v/>
      </c>
      <c r="AP842" s="17" t="str">
        <f>IF(NOT(ISBLANK(Audit[[#This Row],[Audit Candidate 12]])), Audit[[#This Row],[Audit Candidate 12]]-Audit[[#This Row],[Candidate 12]], "")</f>
        <v/>
      </c>
      <c r="AQ842" s="17">
        <f>SUMIF(Audit[[#This Row],[Difference Winner]:[Difference Candidate 12]], "&gt;0")</f>
        <v>0</v>
      </c>
      <c r="AR842" s="17">
        <f>SUM(Audit[[#This Row],[Difference Winner]:[Difference Candidate 12]])</f>
        <v>0</v>
      </c>
      <c r="AS842" s="17">
        <f>IF(Audit[[#This Row],[Times p Drawn - With Replacement]]&gt;0, IF(Audit[[#This Row],[Canceled Differences]]&lt;0, Audit[[#This Row],[Max Differences]]+ABS(Audit[[#This Row],[Canceled Differences]]), Audit[[#This Row],[Max Differences]]), 0)</f>
        <v>0</v>
      </c>
      <c r="AT842" s="17">
        <f>'Sampling Data'!AB842</f>
        <v>1.5701918180274995E-2</v>
      </c>
      <c r="AU842" s="17">
        <f>IF(
      SUM(Audit[[#This Row],[Audit Losing Candidate]:[Audit Candidate 12]])
      &lt;&gt;0,
      (Audit[[#This Row],[Winning Candidate]]-Audit[[#This Row],[Losing Candidate]]-(Audit[[#This Row],[Audit Winning Candidate]]-Audit[[#This Row],[Audit Losing Candidate]]))/(Audit[[#Totals],[Winning Candidate]]-Audit[[#Totals],[Losing Candidate]]),
      0
)</f>
        <v>0</v>
      </c>
      <c r="AV8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2" s="17">
        <f>IF(Audit[[#This Row],[Max Relative Error (ep)]] = 0, 0, Audit[[#This Row],[Max Relative Error (ep)]]/Audit[[#This Row],[Error Bound (up) - Max. possible relative overstatement]])</f>
        <v>0</v>
      </c>
      <c r="BH8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42" s="17">
        <f t="shared" si="13"/>
        <v>1</v>
      </c>
      <c r="BJ842" s="17">
        <f>PRODUCT($BI$5:BI842)</f>
        <v>0.19189130878662058</v>
      </c>
      <c r="BK842" s="19">
        <f>1 - Audit[[#This Row],[K-M P Value]]</f>
        <v>0.80810869121337947</v>
      </c>
      <c r="BL842" s="17" t="str">
        <f>IF(Audit[[#This Row],[K-M P Value]]&gt;1-'General Info'!$B$12,"Continue", "Stop")</f>
        <v>Continue</v>
      </c>
      <c r="BM842" s="22" t="b">
        <f>IF(Audit[[#This Row],[Status - Continue or stop audit]] = "Continue", TRUE, IF(BL841 = "Continue", TRUE, FALSE))</f>
        <v>1</v>
      </c>
      <c r="BN842" s="22"/>
    </row>
    <row r="843" spans="1:66" ht="15" hidden="1" customHeight="1" x14ac:dyDescent="0.35">
      <c r="A843" s="17" t="str">
        <f>'Sampling Data'!AI843</f>
        <v/>
      </c>
      <c r="B843" s="17" t="str">
        <f>'Sampling Data'!A843</f>
        <v>4423 NORW 2-C   (ED)</v>
      </c>
      <c r="C843" s="17">
        <f>'Sampling Data'!B843</f>
        <v>148</v>
      </c>
      <c r="D843" s="17">
        <f>'Sampling Data'!C843</f>
        <v>171</v>
      </c>
      <c r="E843" s="18">
        <f>'Sampling Data'!D843</f>
        <v>0</v>
      </c>
      <c r="F843" s="18">
        <f>'Sampling Data'!E843</f>
        <v>0</v>
      </c>
      <c r="G843" s="18">
        <f>'Sampling Data'!F843</f>
        <v>0</v>
      </c>
      <c r="H843" s="18">
        <f>'Sampling Data'!G843</f>
        <v>0</v>
      </c>
      <c r="I843" s="18">
        <f>'Sampling Data'!H843</f>
        <v>0</v>
      </c>
      <c r="J843" s="18">
        <f>'Sampling Data'!I843</f>
        <v>0</v>
      </c>
      <c r="K843" s="18">
        <f>'Sampling Data'!J843</f>
        <v>0</v>
      </c>
      <c r="L843" s="18">
        <f>'Sampling Data'!K843</f>
        <v>0</v>
      </c>
      <c r="M843" s="18">
        <f>'Sampling Data'!L843</f>
        <v>0</v>
      </c>
      <c r="N843" s="18">
        <f>'Sampling Data'!M843</f>
        <v>0</v>
      </c>
      <c r="O843" s="17">
        <f>'Sampling Data'!N843</f>
        <v>0</v>
      </c>
      <c r="P843" s="17">
        <f>'Sampling Data'!O843</f>
        <v>23</v>
      </c>
      <c r="Q843" s="17">
        <f>'Sampling Data'!P843</f>
        <v>342</v>
      </c>
      <c r="R843" s="17">
        <f>'Sampling Data'!AJ843</f>
        <v>0</v>
      </c>
      <c r="S843" s="111"/>
      <c r="T843" s="111"/>
      <c r="U843" s="112"/>
      <c r="V843" s="112"/>
      <c r="W843" s="111"/>
      <c r="X843" s="111"/>
      <c r="Y843" s="111"/>
      <c r="Z843" s="111"/>
      <c r="AA843" s="14"/>
      <c r="AB843" s="14"/>
      <c r="AC843" s="14"/>
      <c r="AD843" s="14"/>
      <c r="AE843" s="113" t="str">
        <f>IF(NOT(ISBLANK(Audit[[#This Row],[Audit Winning Candidate]])), Audit[[#This Row],[Audit Winning Candidate]]-Audit[[#This Row],[Winning Candidate]], "")</f>
        <v/>
      </c>
      <c r="AF843" s="17" t="str">
        <f>IF(NOT(ISBLANK(Audit[[#This Row],[Audit Losing Candidate]])), Audit[[#This Row],[Audit Losing Candidate]]-Audit[[#This Row],[Losing Candidate]], "")</f>
        <v/>
      </c>
      <c r="AG843" s="17" t="str">
        <f>IF(NOT(ISBLANK(Audit[[#This Row],[Audit Candidate 3]])), Audit[[#This Row],[Audit Candidate 3]]-Audit[[#This Row],[Candidate 3]], "")</f>
        <v/>
      </c>
      <c r="AH843" s="17" t="str">
        <f>IF(NOT(ISBLANK(Audit[[#This Row],[Audit Candidate 4]])),Audit[[#This Row],[Audit Candidate 4]]-Audit[[#This Row],[Candidate 4]], "")</f>
        <v/>
      </c>
      <c r="AI843" s="17" t="str">
        <f>IF(NOT(ISBLANK(Audit[[#This Row],[Audit Candidate 5]])), Audit[[#This Row],[Audit Candidate 5]]-Audit[[#This Row],[Candidate 5]], "")</f>
        <v/>
      </c>
      <c r="AJ843" s="17" t="str">
        <f>IF(NOT(ISBLANK(Audit[[#This Row],[Audit Candidate 6]])), Audit[[#This Row],[Audit Candidate 6]]-Audit[[#This Row],[Candidate 6]], "")</f>
        <v/>
      </c>
      <c r="AK843" s="17" t="str">
        <f>IF(NOT(ISBLANK(Audit[[#This Row],[Audit Candidate 7]])), Audit[[#This Row],[Audit Candidate 7]]-Audit[[#This Row],[Candidate 7]], "")</f>
        <v/>
      </c>
      <c r="AL843" s="17" t="str">
        <f>IF(NOT(ISBLANK(Audit[[#This Row],[Audit Candidate 8]])), Audit[[#This Row],[Audit Candidate 8]]-Audit[[#This Row],[Candidate 8]], "")</f>
        <v/>
      </c>
      <c r="AM843" s="17" t="str">
        <f>IF(NOT(ISBLANK(Audit[[#This Row],[Audit Candidate 9]])), Audit[[#This Row],[Audit Candidate 9]]-Audit[[#This Row],[Candidate 9]], "")</f>
        <v/>
      </c>
      <c r="AN843" s="17" t="str">
        <f>IF(NOT(ISBLANK(Audit[[#This Row],[Audit Candidate 10]])), Audit[[#This Row],[Audit Candidate 10]]-Audit[[#This Row],[Candidate 10]], "")</f>
        <v/>
      </c>
      <c r="AO843" s="17" t="str">
        <f>IF(NOT(ISBLANK(Audit[[#This Row],[Audit Candidate 11]])), Audit[[#This Row],[Audit Candidate 11]]-Audit[[#This Row],[Candidate 11]], "")</f>
        <v/>
      </c>
      <c r="AP843" s="17" t="str">
        <f>IF(NOT(ISBLANK(Audit[[#This Row],[Audit Candidate 12]])), Audit[[#This Row],[Audit Candidate 12]]-Audit[[#This Row],[Candidate 12]], "")</f>
        <v/>
      </c>
      <c r="AQ843" s="17">
        <f>SUMIF(Audit[[#This Row],[Difference Winner]:[Difference Candidate 12]], "&gt;0")</f>
        <v>0</v>
      </c>
      <c r="AR843" s="17">
        <f>SUM(Audit[[#This Row],[Difference Winner]:[Difference Candidate 12]])</f>
        <v>0</v>
      </c>
      <c r="AS843" s="17">
        <f>IF(Audit[[#This Row],[Times p Drawn - With Replacement]]&gt;0, IF(Audit[[#This Row],[Canceled Differences]]&lt;0, Audit[[#This Row],[Max Differences]]+ABS(Audit[[#This Row],[Canceled Differences]]), Audit[[#This Row],[Max Differences]]), 0)</f>
        <v>0</v>
      </c>
      <c r="AT843" s="17">
        <f>'Sampling Data'!AB843</f>
        <v>1.3537599728399253E-2</v>
      </c>
      <c r="AU843" s="17">
        <f>IF(
      SUM(Audit[[#This Row],[Audit Losing Candidate]:[Audit Candidate 12]])
      &lt;&gt;0,
      (Audit[[#This Row],[Winning Candidate]]-Audit[[#This Row],[Losing Candidate]]-(Audit[[#This Row],[Audit Winning Candidate]]-Audit[[#This Row],[Audit Losing Candidate]]))/(Audit[[#Totals],[Winning Candidate]]-Audit[[#Totals],[Losing Candidate]]),
      0
)</f>
        <v>0</v>
      </c>
      <c r="AV8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3" s="17">
        <f>IF(Audit[[#This Row],[Max Relative Error (ep)]] = 0, 0, Audit[[#This Row],[Max Relative Error (ep)]]/Audit[[#This Row],[Error Bound (up) - Max. possible relative overstatement]])</f>
        <v>0</v>
      </c>
      <c r="BH8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43" s="17">
        <f t="shared" si="13"/>
        <v>1</v>
      </c>
      <c r="BJ843" s="17">
        <f>PRODUCT($BI$5:BI843)</f>
        <v>0.19189130878662058</v>
      </c>
      <c r="BK843" s="19">
        <f>1 - Audit[[#This Row],[K-M P Value]]</f>
        <v>0.80810869121337947</v>
      </c>
      <c r="BL843" s="17" t="str">
        <f>IF(Audit[[#This Row],[K-M P Value]]&gt;1-'General Info'!$B$12,"Continue", "Stop")</f>
        <v>Continue</v>
      </c>
      <c r="BM843" s="22" t="b">
        <f>IF(Audit[[#This Row],[Status - Continue or stop audit]] = "Continue", TRUE, IF(BL842 = "Continue", TRUE, FALSE))</f>
        <v>1</v>
      </c>
      <c r="BN843" s="22"/>
    </row>
    <row r="844" spans="1:66" ht="15" hidden="1" customHeight="1" x14ac:dyDescent="0.35">
      <c r="A844" s="17" t="str">
        <f>'Sampling Data'!AI844</f>
        <v/>
      </c>
      <c r="B844" s="17" t="str">
        <f>'Sampling Data'!A844</f>
        <v>4431 NORW 3-A   (ED)</v>
      </c>
      <c r="C844" s="17">
        <f>'Sampling Data'!B844</f>
        <v>193</v>
      </c>
      <c r="D844" s="17">
        <f>'Sampling Data'!C844</f>
        <v>189</v>
      </c>
      <c r="E844" s="18">
        <f>'Sampling Data'!D844</f>
        <v>0</v>
      </c>
      <c r="F844" s="18">
        <f>'Sampling Data'!E844</f>
        <v>0</v>
      </c>
      <c r="G844" s="18">
        <f>'Sampling Data'!F844</f>
        <v>0</v>
      </c>
      <c r="H844" s="18">
        <f>'Sampling Data'!G844</f>
        <v>0</v>
      </c>
      <c r="I844" s="18">
        <f>'Sampling Data'!H844</f>
        <v>0</v>
      </c>
      <c r="J844" s="18">
        <f>'Sampling Data'!I844</f>
        <v>0</v>
      </c>
      <c r="K844" s="18">
        <f>'Sampling Data'!J844</f>
        <v>0</v>
      </c>
      <c r="L844" s="18">
        <f>'Sampling Data'!K844</f>
        <v>0</v>
      </c>
      <c r="M844" s="18">
        <f>'Sampling Data'!L844</f>
        <v>0</v>
      </c>
      <c r="N844" s="18">
        <f>'Sampling Data'!M844</f>
        <v>0</v>
      </c>
      <c r="O844" s="17">
        <f>'Sampling Data'!N844</f>
        <v>0</v>
      </c>
      <c r="P844" s="17">
        <f>'Sampling Data'!O844</f>
        <v>39</v>
      </c>
      <c r="Q844" s="17">
        <f>'Sampling Data'!P844</f>
        <v>421</v>
      </c>
      <c r="R844" s="17">
        <f>'Sampling Data'!AJ844</f>
        <v>0</v>
      </c>
      <c r="S844" s="111"/>
      <c r="T844" s="111"/>
      <c r="U844" s="112"/>
      <c r="V844" s="112"/>
      <c r="W844" s="111"/>
      <c r="X844" s="111"/>
      <c r="Y844" s="111"/>
      <c r="Z844" s="111"/>
      <c r="AA844" s="14"/>
      <c r="AB844" s="14"/>
      <c r="AC844" s="14"/>
      <c r="AD844" s="14"/>
      <c r="AE844" s="113" t="str">
        <f>IF(NOT(ISBLANK(Audit[[#This Row],[Audit Winning Candidate]])), Audit[[#This Row],[Audit Winning Candidate]]-Audit[[#This Row],[Winning Candidate]], "")</f>
        <v/>
      </c>
      <c r="AF844" s="17" t="str">
        <f>IF(NOT(ISBLANK(Audit[[#This Row],[Audit Losing Candidate]])), Audit[[#This Row],[Audit Losing Candidate]]-Audit[[#This Row],[Losing Candidate]], "")</f>
        <v/>
      </c>
      <c r="AG844" s="17" t="str">
        <f>IF(NOT(ISBLANK(Audit[[#This Row],[Audit Candidate 3]])), Audit[[#This Row],[Audit Candidate 3]]-Audit[[#This Row],[Candidate 3]], "")</f>
        <v/>
      </c>
      <c r="AH844" s="17" t="str">
        <f>IF(NOT(ISBLANK(Audit[[#This Row],[Audit Candidate 4]])),Audit[[#This Row],[Audit Candidate 4]]-Audit[[#This Row],[Candidate 4]], "")</f>
        <v/>
      </c>
      <c r="AI844" s="17" t="str">
        <f>IF(NOT(ISBLANK(Audit[[#This Row],[Audit Candidate 5]])), Audit[[#This Row],[Audit Candidate 5]]-Audit[[#This Row],[Candidate 5]], "")</f>
        <v/>
      </c>
      <c r="AJ844" s="17" t="str">
        <f>IF(NOT(ISBLANK(Audit[[#This Row],[Audit Candidate 6]])), Audit[[#This Row],[Audit Candidate 6]]-Audit[[#This Row],[Candidate 6]], "")</f>
        <v/>
      </c>
      <c r="AK844" s="17" t="str">
        <f>IF(NOT(ISBLANK(Audit[[#This Row],[Audit Candidate 7]])), Audit[[#This Row],[Audit Candidate 7]]-Audit[[#This Row],[Candidate 7]], "")</f>
        <v/>
      </c>
      <c r="AL844" s="17" t="str">
        <f>IF(NOT(ISBLANK(Audit[[#This Row],[Audit Candidate 8]])), Audit[[#This Row],[Audit Candidate 8]]-Audit[[#This Row],[Candidate 8]], "")</f>
        <v/>
      </c>
      <c r="AM844" s="17" t="str">
        <f>IF(NOT(ISBLANK(Audit[[#This Row],[Audit Candidate 9]])), Audit[[#This Row],[Audit Candidate 9]]-Audit[[#This Row],[Candidate 9]], "")</f>
        <v/>
      </c>
      <c r="AN844" s="17" t="str">
        <f>IF(NOT(ISBLANK(Audit[[#This Row],[Audit Candidate 10]])), Audit[[#This Row],[Audit Candidate 10]]-Audit[[#This Row],[Candidate 10]], "")</f>
        <v/>
      </c>
      <c r="AO844" s="17" t="str">
        <f>IF(NOT(ISBLANK(Audit[[#This Row],[Audit Candidate 11]])), Audit[[#This Row],[Audit Candidate 11]]-Audit[[#This Row],[Candidate 11]], "")</f>
        <v/>
      </c>
      <c r="AP844" s="17" t="str">
        <f>IF(NOT(ISBLANK(Audit[[#This Row],[Audit Candidate 12]])), Audit[[#This Row],[Audit Candidate 12]]-Audit[[#This Row],[Candidate 12]], "")</f>
        <v/>
      </c>
      <c r="AQ844" s="17">
        <f>SUMIF(Audit[[#This Row],[Difference Winner]:[Difference Candidate 12]], "&gt;0")</f>
        <v>0</v>
      </c>
      <c r="AR844" s="17">
        <f>SUM(Audit[[#This Row],[Difference Winner]:[Difference Candidate 12]])</f>
        <v>0</v>
      </c>
      <c r="AS844" s="17">
        <f>IF(Audit[[#This Row],[Times p Drawn - With Replacement]]&gt;0, IF(Audit[[#This Row],[Canceled Differences]]&lt;0, Audit[[#This Row],[Max Differences]]+ABS(Audit[[#This Row],[Canceled Differences]]), Audit[[#This Row],[Max Differences]]), 0)</f>
        <v>0</v>
      </c>
      <c r="AT844" s="17">
        <f>'Sampling Data'!AB844</f>
        <v>1.803598709896452E-2</v>
      </c>
      <c r="AU844" s="17">
        <f>IF(
      SUM(Audit[[#This Row],[Audit Losing Candidate]:[Audit Candidate 12]])
      &lt;&gt;0,
      (Audit[[#This Row],[Winning Candidate]]-Audit[[#This Row],[Losing Candidate]]-(Audit[[#This Row],[Audit Winning Candidate]]-Audit[[#This Row],[Audit Losing Candidate]]))/(Audit[[#Totals],[Winning Candidate]]-Audit[[#Totals],[Losing Candidate]]),
      0
)</f>
        <v>0</v>
      </c>
      <c r="AV8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4" s="17">
        <f>IF(Audit[[#This Row],[Max Relative Error (ep)]] = 0, 0, Audit[[#This Row],[Max Relative Error (ep)]]/Audit[[#This Row],[Error Bound (up) - Max. possible relative overstatement]])</f>
        <v>0</v>
      </c>
      <c r="BH8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44" s="17">
        <f t="shared" si="13"/>
        <v>1</v>
      </c>
      <c r="BJ844" s="17">
        <f>PRODUCT($BI$5:BI844)</f>
        <v>0.19189130878662058</v>
      </c>
      <c r="BK844" s="19">
        <f>1 - Audit[[#This Row],[K-M P Value]]</f>
        <v>0.80810869121337947</v>
      </c>
      <c r="BL844" s="17" t="str">
        <f>IF(Audit[[#This Row],[K-M P Value]]&gt;1-'General Info'!$B$12,"Continue", "Stop")</f>
        <v>Continue</v>
      </c>
      <c r="BM844" s="22" t="b">
        <f>IF(Audit[[#This Row],[Status - Continue or stop audit]] = "Continue", TRUE, IF(BL843 = "Continue", TRUE, FALSE))</f>
        <v>1</v>
      </c>
      <c r="BN844" s="22"/>
    </row>
    <row r="845" spans="1:66" ht="15" hidden="1" customHeight="1" x14ac:dyDescent="0.35">
      <c r="A845" s="17" t="str">
        <f>'Sampling Data'!AI845</f>
        <v/>
      </c>
      <c r="B845" s="17" t="str">
        <f>'Sampling Data'!A845</f>
        <v>4432 NORW 3-B   (ED)</v>
      </c>
      <c r="C845" s="17">
        <f>'Sampling Data'!B845</f>
        <v>96</v>
      </c>
      <c r="D845" s="17">
        <f>'Sampling Data'!C845</f>
        <v>128</v>
      </c>
      <c r="E845" s="18">
        <f>'Sampling Data'!D845</f>
        <v>0</v>
      </c>
      <c r="F845" s="18">
        <f>'Sampling Data'!E845</f>
        <v>0</v>
      </c>
      <c r="G845" s="18">
        <f>'Sampling Data'!F845</f>
        <v>0</v>
      </c>
      <c r="H845" s="18">
        <f>'Sampling Data'!G845</f>
        <v>0</v>
      </c>
      <c r="I845" s="18">
        <f>'Sampling Data'!H845</f>
        <v>0</v>
      </c>
      <c r="J845" s="18">
        <f>'Sampling Data'!I845</f>
        <v>0</v>
      </c>
      <c r="K845" s="18">
        <f>'Sampling Data'!J845</f>
        <v>0</v>
      </c>
      <c r="L845" s="18">
        <f>'Sampling Data'!K845</f>
        <v>0</v>
      </c>
      <c r="M845" s="18">
        <f>'Sampling Data'!L845</f>
        <v>0</v>
      </c>
      <c r="N845" s="18">
        <f>'Sampling Data'!M845</f>
        <v>0</v>
      </c>
      <c r="O845" s="17">
        <f>'Sampling Data'!N845</f>
        <v>0</v>
      </c>
      <c r="P845" s="17">
        <f>'Sampling Data'!O845</f>
        <v>27</v>
      </c>
      <c r="Q845" s="17">
        <f>'Sampling Data'!P845</f>
        <v>251</v>
      </c>
      <c r="R845" s="17">
        <f>'Sampling Data'!AJ845</f>
        <v>0</v>
      </c>
      <c r="S845" s="111"/>
      <c r="T845" s="111"/>
      <c r="U845" s="112"/>
      <c r="V845" s="112"/>
      <c r="W845" s="111"/>
      <c r="X845" s="111"/>
      <c r="Y845" s="111"/>
      <c r="Z845" s="111"/>
      <c r="AA845" s="14"/>
      <c r="AB845" s="14"/>
      <c r="AC845" s="14"/>
      <c r="AD845" s="14"/>
      <c r="AE845" s="113" t="str">
        <f>IF(NOT(ISBLANK(Audit[[#This Row],[Audit Winning Candidate]])), Audit[[#This Row],[Audit Winning Candidate]]-Audit[[#This Row],[Winning Candidate]], "")</f>
        <v/>
      </c>
      <c r="AF845" s="17" t="str">
        <f>IF(NOT(ISBLANK(Audit[[#This Row],[Audit Losing Candidate]])), Audit[[#This Row],[Audit Losing Candidate]]-Audit[[#This Row],[Losing Candidate]], "")</f>
        <v/>
      </c>
      <c r="AG845" s="17" t="str">
        <f>IF(NOT(ISBLANK(Audit[[#This Row],[Audit Candidate 3]])), Audit[[#This Row],[Audit Candidate 3]]-Audit[[#This Row],[Candidate 3]], "")</f>
        <v/>
      </c>
      <c r="AH845" s="17" t="str">
        <f>IF(NOT(ISBLANK(Audit[[#This Row],[Audit Candidate 4]])),Audit[[#This Row],[Audit Candidate 4]]-Audit[[#This Row],[Candidate 4]], "")</f>
        <v/>
      </c>
      <c r="AI845" s="17" t="str">
        <f>IF(NOT(ISBLANK(Audit[[#This Row],[Audit Candidate 5]])), Audit[[#This Row],[Audit Candidate 5]]-Audit[[#This Row],[Candidate 5]], "")</f>
        <v/>
      </c>
      <c r="AJ845" s="17" t="str">
        <f>IF(NOT(ISBLANK(Audit[[#This Row],[Audit Candidate 6]])), Audit[[#This Row],[Audit Candidate 6]]-Audit[[#This Row],[Candidate 6]], "")</f>
        <v/>
      </c>
      <c r="AK845" s="17" t="str">
        <f>IF(NOT(ISBLANK(Audit[[#This Row],[Audit Candidate 7]])), Audit[[#This Row],[Audit Candidate 7]]-Audit[[#This Row],[Candidate 7]], "")</f>
        <v/>
      </c>
      <c r="AL845" s="17" t="str">
        <f>IF(NOT(ISBLANK(Audit[[#This Row],[Audit Candidate 8]])), Audit[[#This Row],[Audit Candidate 8]]-Audit[[#This Row],[Candidate 8]], "")</f>
        <v/>
      </c>
      <c r="AM845" s="17" t="str">
        <f>IF(NOT(ISBLANK(Audit[[#This Row],[Audit Candidate 9]])), Audit[[#This Row],[Audit Candidate 9]]-Audit[[#This Row],[Candidate 9]], "")</f>
        <v/>
      </c>
      <c r="AN845" s="17" t="str">
        <f>IF(NOT(ISBLANK(Audit[[#This Row],[Audit Candidate 10]])), Audit[[#This Row],[Audit Candidate 10]]-Audit[[#This Row],[Candidate 10]], "")</f>
        <v/>
      </c>
      <c r="AO845" s="17" t="str">
        <f>IF(NOT(ISBLANK(Audit[[#This Row],[Audit Candidate 11]])), Audit[[#This Row],[Audit Candidate 11]]-Audit[[#This Row],[Candidate 11]], "")</f>
        <v/>
      </c>
      <c r="AP845" s="17" t="str">
        <f>IF(NOT(ISBLANK(Audit[[#This Row],[Audit Candidate 12]])), Audit[[#This Row],[Audit Candidate 12]]-Audit[[#This Row],[Candidate 12]], "")</f>
        <v/>
      </c>
      <c r="AQ845" s="17">
        <f>SUMIF(Audit[[#This Row],[Difference Winner]:[Difference Candidate 12]], "&gt;0")</f>
        <v>0</v>
      </c>
      <c r="AR845" s="17">
        <f>SUM(Audit[[#This Row],[Difference Winner]:[Difference Candidate 12]])</f>
        <v>0</v>
      </c>
      <c r="AS845" s="17">
        <f>IF(Audit[[#This Row],[Times p Drawn - With Replacement]]&gt;0, IF(Audit[[#This Row],[Canceled Differences]]&lt;0, Audit[[#This Row],[Max Differences]]+ABS(Audit[[#This Row],[Canceled Differences]]), Audit[[#This Row],[Max Differences]]), 0)</f>
        <v>0</v>
      </c>
      <c r="AT845" s="17">
        <f>'Sampling Data'!AB845</f>
        <v>9.2938380580546605E-3</v>
      </c>
      <c r="AU845" s="17">
        <f>IF(
      SUM(Audit[[#This Row],[Audit Losing Candidate]:[Audit Candidate 12]])
      &lt;&gt;0,
      (Audit[[#This Row],[Winning Candidate]]-Audit[[#This Row],[Losing Candidate]]-(Audit[[#This Row],[Audit Winning Candidate]]-Audit[[#This Row],[Audit Losing Candidate]]))/(Audit[[#Totals],[Winning Candidate]]-Audit[[#Totals],[Losing Candidate]]),
      0
)</f>
        <v>0</v>
      </c>
      <c r="AV8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5" s="17">
        <f>IF(Audit[[#This Row],[Max Relative Error (ep)]] = 0, 0, Audit[[#This Row],[Max Relative Error (ep)]]/Audit[[#This Row],[Error Bound (up) - Max. possible relative overstatement]])</f>
        <v>0</v>
      </c>
      <c r="BH8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45" s="17">
        <f t="shared" si="13"/>
        <v>1</v>
      </c>
      <c r="BJ845" s="17">
        <f>PRODUCT($BI$5:BI845)</f>
        <v>0.19189130878662058</v>
      </c>
      <c r="BK845" s="19">
        <f>1 - Audit[[#This Row],[K-M P Value]]</f>
        <v>0.80810869121337947</v>
      </c>
      <c r="BL845" s="17" t="str">
        <f>IF(Audit[[#This Row],[K-M P Value]]&gt;1-'General Info'!$B$12,"Continue", "Stop")</f>
        <v>Continue</v>
      </c>
      <c r="BM845" s="22" t="b">
        <f>IF(Audit[[#This Row],[Status - Continue or stop audit]] = "Continue", TRUE, IF(BL844 = "Continue", TRUE, FALSE))</f>
        <v>1</v>
      </c>
      <c r="BN845" s="22"/>
    </row>
    <row r="846" spans="1:66" ht="15" hidden="1" customHeight="1" x14ac:dyDescent="0.35">
      <c r="A846" s="17" t="str">
        <f>'Sampling Data'!AI846</f>
        <v/>
      </c>
      <c r="B846" s="17" t="str">
        <f>'Sampling Data'!A846</f>
        <v>4433 NORW 3-C   (ED)</v>
      </c>
      <c r="C846" s="17">
        <f>'Sampling Data'!B846</f>
        <v>241</v>
      </c>
      <c r="D846" s="17">
        <f>'Sampling Data'!C846</f>
        <v>295</v>
      </c>
      <c r="E846" s="18">
        <f>'Sampling Data'!D846</f>
        <v>0</v>
      </c>
      <c r="F846" s="18">
        <f>'Sampling Data'!E846</f>
        <v>0</v>
      </c>
      <c r="G846" s="18">
        <f>'Sampling Data'!F846</f>
        <v>0</v>
      </c>
      <c r="H846" s="18">
        <f>'Sampling Data'!G846</f>
        <v>0</v>
      </c>
      <c r="I846" s="18">
        <f>'Sampling Data'!H846</f>
        <v>0</v>
      </c>
      <c r="J846" s="18">
        <f>'Sampling Data'!I846</f>
        <v>0</v>
      </c>
      <c r="K846" s="18">
        <f>'Sampling Data'!J846</f>
        <v>0</v>
      </c>
      <c r="L846" s="18">
        <f>'Sampling Data'!K846</f>
        <v>0</v>
      </c>
      <c r="M846" s="18">
        <f>'Sampling Data'!L846</f>
        <v>0</v>
      </c>
      <c r="N846" s="18">
        <f>'Sampling Data'!M846</f>
        <v>0</v>
      </c>
      <c r="O846" s="17">
        <f>'Sampling Data'!N846</f>
        <v>0</v>
      </c>
      <c r="P846" s="17">
        <f>'Sampling Data'!O846</f>
        <v>61</v>
      </c>
      <c r="Q846" s="17">
        <f>'Sampling Data'!P846</f>
        <v>597</v>
      </c>
      <c r="R846" s="17">
        <f>'Sampling Data'!AJ846</f>
        <v>0</v>
      </c>
      <c r="S846" s="111"/>
      <c r="T846" s="111"/>
      <c r="U846" s="112"/>
      <c r="V846" s="112"/>
      <c r="W846" s="111"/>
      <c r="X846" s="111"/>
      <c r="Y846" s="111"/>
      <c r="Z846" s="111"/>
      <c r="AA846" s="14"/>
      <c r="AB846" s="14"/>
      <c r="AC846" s="14"/>
      <c r="AD846" s="14"/>
      <c r="AE846" s="113" t="str">
        <f>IF(NOT(ISBLANK(Audit[[#This Row],[Audit Winning Candidate]])), Audit[[#This Row],[Audit Winning Candidate]]-Audit[[#This Row],[Winning Candidate]], "")</f>
        <v/>
      </c>
      <c r="AF846" s="17" t="str">
        <f>IF(NOT(ISBLANK(Audit[[#This Row],[Audit Losing Candidate]])), Audit[[#This Row],[Audit Losing Candidate]]-Audit[[#This Row],[Losing Candidate]], "")</f>
        <v/>
      </c>
      <c r="AG846" s="17" t="str">
        <f>IF(NOT(ISBLANK(Audit[[#This Row],[Audit Candidate 3]])), Audit[[#This Row],[Audit Candidate 3]]-Audit[[#This Row],[Candidate 3]], "")</f>
        <v/>
      </c>
      <c r="AH846" s="17" t="str">
        <f>IF(NOT(ISBLANK(Audit[[#This Row],[Audit Candidate 4]])),Audit[[#This Row],[Audit Candidate 4]]-Audit[[#This Row],[Candidate 4]], "")</f>
        <v/>
      </c>
      <c r="AI846" s="17" t="str">
        <f>IF(NOT(ISBLANK(Audit[[#This Row],[Audit Candidate 5]])), Audit[[#This Row],[Audit Candidate 5]]-Audit[[#This Row],[Candidate 5]], "")</f>
        <v/>
      </c>
      <c r="AJ846" s="17" t="str">
        <f>IF(NOT(ISBLANK(Audit[[#This Row],[Audit Candidate 6]])), Audit[[#This Row],[Audit Candidate 6]]-Audit[[#This Row],[Candidate 6]], "")</f>
        <v/>
      </c>
      <c r="AK846" s="17" t="str">
        <f>IF(NOT(ISBLANK(Audit[[#This Row],[Audit Candidate 7]])), Audit[[#This Row],[Audit Candidate 7]]-Audit[[#This Row],[Candidate 7]], "")</f>
        <v/>
      </c>
      <c r="AL846" s="17" t="str">
        <f>IF(NOT(ISBLANK(Audit[[#This Row],[Audit Candidate 8]])), Audit[[#This Row],[Audit Candidate 8]]-Audit[[#This Row],[Candidate 8]], "")</f>
        <v/>
      </c>
      <c r="AM846" s="17" t="str">
        <f>IF(NOT(ISBLANK(Audit[[#This Row],[Audit Candidate 9]])), Audit[[#This Row],[Audit Candidate 9]]-Audit[[#This Row],[Candidate 9]], "")</f>
        <v/>
      </c>
      <c r="AN846" s="17" t="str">
        <f>IF(NOT(ISBLANK(Audit[[#This Row],[Audit Candidate 10]])), Audit[[#This Row],[Audit Candidate 10]]-Audit[[#This Row],[Candidate 10]], "")</f>
        <v/>
      </c>
      <c r="AO846" s="17" t="str">
        <f>IF(NOT(ISBLANK(Audit[[#This Row],[Audit Candidate 11]])), Audit[[#This Row],[Audit Candidate 11]]-Audit[[#This Row],[Candidate 11]], "")</f>
        <v/>
      </c>
      <c r="AP846" s="17" t="str">
        <f>IF(NOT(ISBLANK(Audit[[#This Row],[Audit Candidate 12]])), Audit[[#This Row],[Audit Candidate 12]]-Audit[[#This Row],[Candidate 12]], "")</f>
        <v/>
      </c>
      <c r="AQ846" s="17">
        <f>SUMIF(Audit[[#This Row],[Difference Winner]:[Difference Candidate 12]], "&gt;0")</f>
        <v>0</v>
      </c>
      <c r="AR846" s="17">
        <f>SUM(Audit[[#This Row],[Difference Winner]:[Difference Candidate 12]])</f>
        <v>0</v>
      </c>
      <c r="AS846" s="17">
        <f>IF(Audit[[#This Row],[Times p Drawn - With Replacement]]&gt;0, IF(Audit[[#This Row],[Canceled Differences]]&lt;0, Audit[[#This Row],[Max Differences]]+ABS(Audit[[#This Row],[Canceled Differences]]), Audit[[#This Row],[Max Differences]]), 0)</f>
        <v>0</v>
      </c>
      <c r="AT846" s="17">
        <f>'Sampling Data'!AB846</f>
        <v>2.3043625869971142E-2</v>
      </c>
      <c r="AU846" s="17">
        <f>IF(
      SUM(Audit[[#This Row],[Audit Losing Candidate]:[Audit Candidate 12]])
      &lt;&gt;0,
      (Audit[[#This Row],[Winning Candidate]]-Audit[[#This Row],[Losing Candidate]]-(Audit[[#This Row],[Audit Winning Candidate]]-Audit[[#This Row],[Audit Losing Candidate]]))/(Audit[[#Totals],[Winning Candidate]]-Audit[[#Totals],[Losing Candidate]]),
      0
)</f>
        <v>0</v>
      </c>
      <c r="AV8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6" s="17">
        <f>IF(Audit[[#This Row],[Max Relative Error (ep)]] = 0, 0, Audit[[#This Row],[Max Relative Error (ep)]]/Audit[[#This Row],[Error Bound (up) - Max. possible relative overstatement]])</f>
        <v>0</v>
      </c>
      <c r="BH8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46" s="17">
        <f t="shared" si="13"/>
        <v>1</v>
      </c>
      <c r="BJ846" s="17">
        <f>PRODUCT($BI$5:BI846)</f>
        <v>0.19189130878662058</v>
      </c>
      <c r="BK846" s="19">
        <f>1 - Audit[[#This Row],[K-M P Value]]</f>
        <v>0.80810869121337947</v>
      </c>
      <c r="BL846" s="17" t="str">
        <f>IF(Audit[[#This Row],[K-M P Value]]&gt;1-'General Info'!$B$12,"Continue", "Stop")</f>
        <v>Continue</v>
      </c>
      <c r="BM846" s="22" t="b">
        <f>IF(Audit[[#This Row],[Status - Continue or stop audit]] = "Continue", TRUE, IF(BL845 = "Continue", TRUE, FALSE))</f>
        <v>1</v>
      </c>
      <c r="BN846" s="22"/>
    </row>
    <row r="847" spans="1:66" ht="15" hidden="1" customHeight="1" x14ac:dyDescent="0.35">
      <c r="A847" s="17" t="str">
        <f>'Sampling Data'!AI847</f>
        <v/>
      </c>
      <c r="B847" s="17" t="str">
        <f>'Sampling Data'!A847</f>
        <v>4441 NORW 4-A   (ED)</v>
      </c>
      <c r="C847" s="17">
        <f>'Sampling Data'!B847</f>
        <v>133</v>
      </c>
      <c r="D847" s="17">
        <f>'Sampling Data'!C847</f>
        <v>123</v>
      </c>
      <c r="E847" s="18">
        <f>'Sampling Data'!D847</f>
        <v>0</v>
      </c>
      <c r="F847" s="18">
        <f>'Sampling Data'!E847</f>
        <v>0</v>
      </c>
      <c r="G847" s="18">
        <f>'Sampling Data'!F847</f>
        <v>0</v>
      </c>
      <c r="H847" s="18">
        <f>'Sampling Data'!G847</f>
        <v>0</v>
      </c>
      <c r="I847" s="18">
        <f>'Sampling Data'!H847</f>
        <v>0</v>
      </c>
      <c r="J847" s="18">
        <f>'Sampling Data'!I847</f>
        <v>0</v>
      </c>
      <c r="K847" s="18">
        <f>'Sampling Data'!J847</f>
        <v>0</v>
      </c>
      <c r="L847" s="18">
        <f>'Sampling Data'!K847</f>
        <v>0</v>
      </c>
      <c r="M847" s="18">
        <f>'Sampling Data'!L847</f>
        <v>0</v>
      </c>
      <c r="N847" s="18">
        <f>'Sampling Data'!M847</f>
        <v>0</v>
      </c>
      <c r="O847" s="17">
        <f>'Sampling Data'!N847</f>
        <v>1</v>
      </c>
      <c r="P847" s="17">
        <f>'Sampling Data'!O847</f>
        <v>26</v>
      </c>
      <c r="Q847" s="17">
        <f>'Sampling Data'!P847</f>
        <v>283</v>
      </c>
      <c r="R847" s="17">
        <f>'Sampling Data'!AJ847</f>
        <v>0</v>
      </c>
      <c r="S847" s="111"/>
      <c r="T847" s="111"/>
      <c r="U847" s="112"/>
      <c r="V847" s="112"/>
      <c r="W847" s="111"/>
      <c r="X847" s="111"/>
      <c r="Y847" s="111"/>
      <c r="Z847" s="111"/>
      <c r="AA847" s="14"/>
      <c r="AB847" s="14"/>
      <c r="AC847" s="14"/>
      <c r="AD847" s="14"/>
      <c r="AE847" s="113" t="str">
        <f>IF(NOT(ISBLANK(Audit[[#This Row],[Audit Winning Candidate]])), Audit[[#This Row],[Audit Winning Candidate]]-Audit[[#This Row],[Winning Candidate]], "")</f>
        <v/>
      </c>
      <c r="AF847" s="17" t="str">
        <f>IF(NOT(ISBLANK(Audit[[#This Row],[Audit Losing Candidate]])), Audit[[#This Row],[Audit Losing Candidate]]-Audit[[#This Row],[Losing Candidate]], "")</f>
        <v/>
      </c>
      <c r="AG847" s="17" t="str">
        <f>IF(NOT(ISBLANK(Audit[[#This Row],[Audit Candidate 3]])), Audit[[#This Row],[Audit Candidate 3]]-Audit[[#This Row],[Candidate 3]], "")</f>
        <v/>
      </c>
      <c r="AH847" s="17" t="str">
        <f>IF(NOT(ISBLANK(Audit[[#This Row],[Audit Candidate 4]])),Audit[[#This Row],[Audit Candidate 4]]-Audit[[#This Row],[Candidate 4]], "")</f>
        <v/>
      </c>
      <c r="AI847" s="17" t="str">
        <f>IF(NOT(ISBLANK(Audit[[#This Row],[Audit Candidate 5]])), Audit[[#This Row],[Audit Candidate 5]]-Audit[[#This Row],[Candidate 5]], "")</f>
        <v/>
      </c>
      <c r="AJ847" s="17" t="str">
        <f>IF(NOT(ISBLANK(Audit[[#This Row],[Audit Candidate 6]])), Audit[[#This Row],[Audit Candidate 6]]-Audit[[#This Row],[Candidate 6]], "")</f>
        <v/>
      </c>
      <c r="AK847" s="17" t="str">
        <f>IF(NOT(ISBLANK(Audit[[#This Row],[Audit Candidate 7]])), Audit[[#This Row],[Audit Candidate 7]]-Audit[[#This Row],[Candidate 7]], "")</f>
        <v/>
      </c>
      <c r="AL847" s="17" t="str">
        <f>IF(NOT(ISBLANK(Audit[[#This Row],[Audit Candidate 8]])), Audit[[#This Row],[Audit Candidate 8]]-Audit[[#This Row],[Candidate 8]], "")</f>
        <v/>
      </c>
      <c r="AM847" s="17" t="str">
        <f>IF(NOT(ISBLANK(Audit[[#This Row],[Audit Candidate 9]])), Audit[[#This Row],[Audit Candidate 9]]-Audit[[#This Row],[Candidate 9]], "")</f>
        <v/>
      </c>
      <c r="AN847" s="17" t="str">
        <f>IF(NOT(ISBLANK(Audit[[#This Row],[Audit Candidate 10]])), Audit[[#This Row],[Audit Candidate 10]]-Audit[[#This Row],[Candidate 10]], "")</f>
        <v/>
      </c>
      <c r="AO847" s="17" t="str">
        <f>IF(NOT(ISBLANK(Audit[[#This Row],[Audit Candidate 11]])), Audit[[#This Row],[Audit Candidate 11]]-Audit[[#This Row],[Candidate 11]], "")</f>
        <v/>
      </c>
      <c r="AP847" s="17" t="str">
        <f>IF(NOT(ISBLANK(Audit[[#This Row],[Audit Candidate 12]])), Audit[[#This Row],[Audit Candidate 12]]-Audit[[#This Row],[Candidate 12]], "")</f>
        <v/>
      </c>
      <c r="AQ847" s="17">
        <f>SUMIF(Audit[[#This Row],[Difference Winner]:[Difference Candidate 12]], "&gt;0")</f>
        <v>0</v>
      </c>
      <c r="AR847" s="17">
        <f>SUM(Audit[[#This Row],[Difference Winner]:[Difference Candidate 12]])</f>
        <v>0</v>
      </c>
      <c r="AS847" s="17">
        <f>IF(Audit[[#This Row],[Times p Drawn - With Replacement]]&gt;0, IF(Audit[[#This Row],[Canceled Differences]]&lt;0, Audit[[#This Row],[Max Differences]]+ABS(Audit[[#This Row],[Canceled Differences]]), Audit[[#This Row],[Max Differences]]), 0)</f>
        <v>0</v>
      </c>
      <c r="AT847" s="17">
        <f>'Sampling Data'!AB847</f>
        <v>1.2434221694109659E-2</v>
      </c>
      <c r="AU847" s="17">
        <f>IF(
      SUM(Audit[[#This Row],[Audit Losing Candidate]:[Audit Candidate 12]])
      &lt;&gt;0,
      (Audit[[#This Row],[Winning Candidate]]-Audit[[#This Row],[Losing Candidate]]-(Audit[[#This Row],[Audit Winning Candidate]]-Audit[[#This Row],[Audit Losing Candidate]]))/(Audit[[#Totals],[Winning Candidate]]-Audit[[#Totals],[Losing Candidate]]),
      0
)</f>
        <v>0</v>
      </c>
      <c r="AV8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7" s="17">
        <f>IF(Audit[[#This Row],[Max Relative Error (ep)]] = 0, 0, Audit[[#This Row],[Max Relative Error (ep)]]/Audit[[#This Row],[Error Bound (up) - Max. possible relative overstatement]])</f>
        <v>0</v>
      </c>
      <c r="BH8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47" s="17">
        <f t="shared" ref="BI847:BI910" si="14">IF(ISERR(POWER(BH847,R847)), 0, POWER(BH847,R847))</f>
        <v>1</v>
      </c>
      <c r="BJ847" s="17">
        <f>PRODUCT($BI$5:BI847)</f>
        <v>0.19189130878662058</v>
      </c>
      <c r="BK847" s="19">
        <f>1 - Audit[[#This Row],[K-M P Value]]</f>
        <v>0.80810869121337947</v>
      </c>
      <c r="BL847" s="17" t="str">
        <f>IF(Audit[[#This Row],[K-M P Value]]&gt;1-'General Info'!$B$12,"Continue", "Stop")</f>
        <v>Continue</v>
      </c>
      <c r="BM847" s="22" t="b">
        <f>IF(Audit[[#This Row],[Status - Continue or stop audit]] = "Continue", TRUE, IF(BL846 = "Continue", TRUE, FALSE))</f>
        <v>1</v>
      </c>
      <c r="BN847" s="22"/>
    </row>
    <row r="848" spans="1:66" ht="15" hidden="1" customHeight="1" x14ac:dyDescent="0.35">
      <c r="A848" s="17" t="str">
        <f>'Sampling Data'!AI848</f>
        <v/>
      </c>
      <c r="B848" s="17" t="str">
        <f>'Sampling Data'!A848</f>
        <v>4442 NORW 4-B   (ED)</v>
      </c>
      <c r="C848" s="17">
        <f>'Sampling Data'!B848</f>
        <v>164</v>
      </c>
      <c r="D848" s="17">
        <f>'Sampling Data'!C848</f>
        <v>145</v>
      </c>
      <c r="E848" s="18">
        <f>'Sampling Data'!D848</f>
        <v>0</v>
      </c>
      <c r="F848" s="18">
        <f>'Sampling Data'!E848</f>
        <v>0</v>
      </c>
      <c r="G848" s="18">
        <f>'Sampling Data'!F848</f>
        <v>0</v>
      </c>
      <c r="H848" s="18">
        <f>'Sampling Data'!G848</f>
        <v>0</v>
      </c>
      <c r="I848" s="18">
        <f>'Sampling Data'!H848</f>
        <v>0</v>
      </c>
      <c r="J848" s="18">
        <f>'Sampling Data'!I848</f>
        <v>0</v>
      </c>
      <c r="K848" s="18">
        <f>'Sampling Data'!J848</f>
        <v>0</v>
      </c>
      <c r="L848" s="18">
        <f>'Sampling Data'!K848</f>
        <v>0</v>
      </c>
      <c r="M848" s="18">
        <f>'Sampling Data'!L848</f>
        <v>0</v>
      </c>
      <c r="N848" s="18">
        <f>'Sampling Data'!M848</f>
        <v>0</v>
      </c>
      <c r="O848" s="17">
        <f>'Sampling Data'!N848</f>
        <v>0</v>
      </c>
      <c r="P848" s="17">
        <f>'Sampling Data'!O848</f>
        <v>29</v>
      </c>
      <c r="Q848" s="17">
        <f>'Sampling Data'!P848</f>
        <v>338</v>
      </c>
      <c r="R848" s="17">
        <f>'Sampling Data'!AJ848</f>
        <v>0</v>
      </c>
      <c r="S848" s="111"/>
      <c r="T848" s="111"/>
      <c r="U848" s="112"/>
      <c r="V848" s="112"/>
      <c r="W848" s="111"/>
      <c r="X848" s="111"/>
      <c r="Y848" s="111"/>
      <c r="Z848" s="111"/>
      <c r="AA848" s="14"/>
      <c r="AB848" s="14"/>
      <c r="AC848" s="14"/>
      <c r="AD848" s="14"/>
      <c r="AE848" s="113" t="str">
        <f>IF(NOT(ISBLANK(Audit[[#This Row],[Audit Winning Candidate]])), Audit[[#This Row],[Audit Winning Candidate]]-Audit[[#This Row],[Winning Candidate]], "")</f>
        <v/>
      </c>
      <c r="AF848" s="17" t="str">
        <f>IF(NOT(ISBLANK(Audit[[#This Row],[Audit Losing Candidate]])), Audit[[#This Row],[Audit Losing Candidate]]-Audit[[#This Row],[Losing Candidate]], "")</f>
        <v/>
      </c>
      <c r="AG848" s="17" t="str">
        <f>IF(NOT(ISBLANK(Audit[[#This Row],[Audit Candidate 3]])), Audit[[#This Row],[Audit Candidate 3]]-Audit[[#This Row],[Candidate 3]], "")</f>
        <v/>
      </c>
      <c r="AH848" s="17" t="str">
        <f>IF(NOT(ISBLANK(Audit[[#This Row],[Audit Candidate 4]])),Audit[[#This Row],[Audit Candidate 4]]-Audit[[#This Row],[Candidate 4]], "")</f>
        <v/>
      </c>
      <c r="AI848" s="17" t="str">
        <f>IF(NOT(ISBLANK(Audit[[#This Row],[Audit Candidate 5]])), Audit[[#This Row],[Audit Candidate 5]]-Audit[[#This Row],[Candidate 5]], "")</f>
        <v/>
      </c>
      <c r="AJ848" s="17" t="str">
        <f>IF(NOT(ISBLANK(Audit[[#This Row],[Audit Candidate 6]])), Audit[[#This Row],[Audit Candidate 6]]-Audit[[#This Row],[Candidate 6]], "")</f>
        <v/>
      </c>
      <c r="AK848" s="17" t="str">
        <f>IF(NOT(ISBLANK(Audit[[#This Row],[Audit Candidate 7]])), Audit[[#This Row],[Audit Candidate 7]]-Audit[[#This Row],[Candidate 7]], "")</f>
        <v/>
      </c>
      <c r="AL848" s="17" t="str">
        <f>IF(NOT(ISBLANK(Audit[[#This Row],[Audit Candidate 8]])), Audit[[#This Row],[Audit Candidate 8]]-Audit[[#This Row],[Candidate 8]], "")</f>
        <v/>
      </c>
      <c r="AM848" s="17" t="str">
        <f>IF(NOT(ISBLANK(Audit[[#This Row],[Audit Candidate 9]])), Audit[[#This Row],[Audit Candidate 9]]-Audit[[#This Row],[Candidate 9]], "")</f>
        <v/>
      </c>
      <c r="AN848" s="17" t="str">
        <f>IF(NOT(ISBLANK(Audit[[#This Row],[Audit Candidate 10]])), Audit[[#This Row],[Audit Candidate 10]]-Audit[[#This Row],[Candidate 10]], "")</f>
        <v/>
      </c>
      <c r="AO848" s="17" t="str">
        <f>IF(NOT(ISBLANK(Audit[[#This Row],[Audit Candidate 11]])), Audit[[#This Row],[Audit Candidate 11]]-Audit[[#This Row],[Candidate 11]], "")</f>
        <v/>
      </c>
      <c r="AP848" s="17" t="str">
        <f>IF(NOT(ISBLANK(Audit[[#This Row],[Audit Candidate 12]])), Audit[[#This Row],[Audit Candidate 12]]-Audit[[#This Row],[Candidate 12]], "")</f>
        <v/>
      </c>
      <c r="AQ848" s="17">
        <f>SUMIF(Audit[[#This Row],[Difference Winner]:[Difference Candidate 12]], "&gt;0")</f>
        <v>0</v>
      </c>
      <c r="AR848" s="17">
        <f>SUM(Audit[[#This Row],[Difference Winner]:[Difference Candidate 12]])</f>
        <v>0</v>
      </c>
      <c r="AS848" s="17">
        <f>IF(Audit[[#This Row],[Times p Drawn - With Replacement]]&gt;0, IF(Audit[[#This Row],[Canceled Differences]]&lt;0, Audit[[#This Row],[Max Differences]]+ABS(Audit[[#This Row],[Canceled Differences]]), Audit[[#This Row],[Max Differences]]), 0)</f>
        <v>0</v>
      </c>
      <c r="AT848" s="17">
        <f>'Sampling Data'!AB848</f>
        <v>1.5150229163130198E-2</v>
      </c>
      <c r="AU848" s="17">
        <f>IF(
      SUM(Audit[[#This Row],[Audit Losing Candidate]:[Audit Candidate 12]])
      &lt;&gt;0,
      (Audit[[#This Row],[Winning Candidate]]-Audit[[#This Row],[Losing Candidate]]-(Audit[[#This Row],[Audit Winning Candidate]]-Audit[[#This Row],[Audit Losing Candidate]]))/(Audit[[#Totals],[Winning Candidate]]-Audit[[#Totals],[Losing Candidate]]),
      0
)</f>
        <v>0</v>
      </c>
      <c r="AV8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8" s="17">
        <f>IF(Audit[[#This Row],[Max Relative Error (ep)]] = 0, 0, Audit[[#This Row],[Max Relative Error (ep)]]/Audit[[#This Row],[Error Bound (up) - Max. possible relative overstatement]])</f>
        <v>0</v>
      </c>
      <c r="BH8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48" s="17">
        <f t="shared" si="14"/>
        <v>1</v>
      </c>
      <c r="BJ848" s="17">
        <f>PRODUCT($BI$5:BI848)</f>
        <v>0.19189130878662058</v>
      </c>
      <c r="BK848" s="19">
        <f>1 - Audit[[#This Row],[K-M P Value]]</f>
        <v>0.80810869121337947</v>
      </c>
      <c r="BL848" s="17" t="str">
        <f>IF(Audit[[#This Row],[K-M P Value]]&gt;1-'General Info'!$B$12,"Continue", "Stop")</f>
        <v>Continue</v>
      </c>
      <c r="BM848" s="22" t="b">
        <f>IF(Audit[[#This Row],[Status - Continue or stop audit]] = "Continue", TRUE, IF(BL847 = "Continue", TRUE, FALSE))</f>
        <v>1</v>
      </c>
      <c r="BN848" s="22"/>
    </row>
    <row r="849" spans="1:66" ht="15" hidden="1" customHeight="1" x14ac:dyDescent="0.35">
      <c r="A849" s="17" t="str">
        <f>'Sampling Data'!AI849</f>
        <v/>
      </c>
      <c r="B849" s="17" t="str">
        <f>'Sampling Data'!A849</f>
        <v>4443 NORW 4-C   (ED)</v>
      </c>
      <c r="C849" s="17">
        <f>'Sampling Data'!B849</f>
        <v>177</v>
      </c>
      <c r="D849" s="17">
        <f>'Sampling Data'!C849</f>
        <v>186</v>
      </c>
      <c r="E849" s="18">
        <f>'Sampling Data'!D849</f>
        <v>0</v>
      </c>
      <c r="F849" s="18">
        <f>'Sampling Data'!E849</f>
        <v>0</v>
      </c>
      <c r="G849" s="18">
        <f>'Sampling Data'!F849</f>
        <v>0</v>
      </c>
      <c r="H849" s="18">
        <f>'Sampling Data'!G849</f>
        <v>0</v>
      </c>
      <c r="I849" s="18">
        <f>'Sampling Data'!H849</f>
        <v>0</v>
      </c>
      <c r="J849" s="18">
        <f>'Sampling Data'!I849</f>
        <v>0</v>
      </c>
      <c r="K849" s="18">
        <f>'Sampling Data'!J849</f>
        <v>0</v>
      </c>
      <c r="L849" s="18">
        <f>'Sampling Data'!K849</f>
        <v>0</v>
      </c>
      <c r="M849" s="18">
        <f>'Sampling Data'!L849</f>
        <v>0</v>
      </c>
      <c r="N849" s="18">
        <f>'Sampling Data'!M849</f>
        <v>0</v>
      </c>
      <c r="O849" s="17">
        <f>'Sampling Data'!N849</f>
        <v>1</v>
      </c>
      <c r="P849" s="17">
        <f>'Sampling Data'!O849</f>
        <v>28</v>
      </c>
      <c r="Q849" s="17">
        <f>'Sampling Data'!P849</f>
        <v>392</v>
      </c>
      <c r="R849" s="17">
        <f>'Sampling Data'!AJ849</f>
        <v>0</v>
      </c>
      <c r="S849" s="111"/>
      <c r="T849" s="111"/>
      <c r="U849" s="112"/>
      <c r="V849" s="112"/>
      <c r="W849" s="111"/>
      <c r="X849" s="111"/>
      <c r="Y849" s="111"/>
      <c r="Z849" s="111"/>
      <c r="AA849" s="14"/>
      <c r="AB849" s="14"/>
      <c r="AC849" s="14"/>
      <c r="AD849" s="14"/>
      <c r="AE849" s="113" t="str">
        <f>IF(NOT(ISBLANK(Audit[[#This Row],[Audit Winning Candidate]])), Audit[[#This Row],[Audit Winning Candidate]]-Audit[[#This Row],[Winning Candidate]], "")</f>
        <v/>
      </c>
      <c r="AF849" s="17" t="str">
        <f>IF(NOT(ISBLANK(Audit[[#This Row],[Audit Losing Candidate]])), Audit[[#This Row],[Audit Losing Candidate]]-Audit[[#This Row],[Losing Candidate]], "")</f>
        <v/>
      </c>
      <c r="AG849" s="17" t="str">
        <f>IF(NOT(ISBLANK(Audit[[#This Row],[Audit Candidate 3]])), Audit[[#This Row],[Audit Candidate 3]]-Audit[[#This Row],[Candidate 3]], "")</f>
        <v/>
      </c>
      <c r="AH849" s="17" t="str">
        <f>IF(NOT(ISBLANK(Audit[[#This Row],[Audit Candidate 4]])),Audit[[#This Row],[Audit Candidate 4]]-Audit[[#This Row],[Candidate 4]], "")</f>
        <v/>
      </c>
      <c r="AI849" s="17" t="str">
        <f>IF(NOT(ISBLANK(Audit[[#This Row],[Audit Candidate 5]])), Audit[[#This Row],[Audit Candidate 5]]-Audit[[#This Row],[Candidate 5]], "")</f>
        <v/>
      </c>
      <c r="AJ849" s="17" t="str">
        <f>IF(NOT(ISBLANK(Audit[[#This Row],[Audit Candidate 6]])), Audit[[#This Row],[Audit Candidate 6]]-Audit[[#This Row],[Candidate 6]], "")</f>
        <v/>
      </c>
      <c r="AK849" s="17" t="str">
        <f>IF(NOT(ISBLANK(Audit[[#This Row],[Audit Candidate 7]])), Audit[[#This Row],[Audit Candidate 7]]-Audit[[#This Row],[Candidate 7]], "")</f>
        <v/>
      </c>
      <c r="AL849" s="17" t="str">
        <f>IF(NOT(ISBLANK(Audit[[#This Row],[Audit Candidate 8]])), Audit[[#This Row],[Audit Candidate 8]]-Audit[[#This Row],[Candidate 8]], "")</f>
        <v/>
      </c>
      <c r="AM849" s="17" t="str">
        <f>IF(NOT(ISBLANK(Audit[[#This Row],[Audit Candidate 9]])), Audit[[#This Row],[Audit Candidate 9]]-Audit[[#This Row],[Candidate 9]], "")</f>
        <v/>
      </c>
      <c r="AN849" s="17" t="str">
        <f>IF(NOT(ISBLANK(Audit[[#This Row],[Audit Candidate 10]])), Audit[[#This Row],[Audit Candidate 10]]-Audit[[#This Row],[Candidate 10]], "")</f>
        <v/>
      </c>
      <c r="AO849" s="17" t="str">
        <f>IF(NOT(ISBLANK(Audit[[#This Row],[Audit Candidate 11]])), Audit[[#This Row],[Audit Candidate 11]]-Audit[[#This Row],[Candidate 11]], "")</f>
        <v/>
      </c>
      <c r="AP849" s="17" t="str">
        <f>IF(NOT(ISBLANK(Audit[[#This Row],[Audit Candidate 12]])), Audit[[#This Row],[Audit Candidate 12]]-Audit[[#This Row],[Candidate 12]], "")</f>
        <v/>
      </c>
      <c r="AQ849" s="17">
        <f>SUMIF(Audit[[#This Row],[Difference Winner]:[Difference Candidate 12]], "&gt;0")</f>
        <v>0</v>
      </c>
      <c r="AR849" s="17">
        <f>SUM(Audit[[#This Row],[Difference Winner]:[Difference Candidate 12]])</f>
        <v>0</v>
      </c>
      <c r="AS849" s="17">
        <f>IF(Audit[[#This Row],[Times p Drawn - With Replacement]]&gt;0, IF(Audit[[#This Row],[Canceled Differences]]&lt;0, Audit[[#This Row],[Max Differences]]+ABS(Audit[[#This Row],[Canceled Differences]]), Audit[[#This Row],[Max Differences]]), 0)</f>
        <v>0</v>
      </c>
      <c r="AT849" s="17">
        <f>'Sampling Data'!AB849</f>
        <v>1.6253607197419792E-2</v>
      </c>
      <c r="AU849" s="17">
        <f>IF(
      SUM(Audit[[#This Row],[Audit Losing Candidate]:[Audit Candidate 12]])
      &lt;&gt;0,
      (Audit[[#This Row],[Winning Candidate]]-Audit[[#This Row],[Losing Candidate]]-(Audit[[#This Row],[Audit Winning Candidate]]-Audit[[#This Row],[Audit Losing Candidate]]))/(Audit[[#Totals],[Winning Candidate]]-Audit[[#Totals],[Losing Candidate]]),
      0
)</f>
        <v>0</v>
      </c>
      <c r="AV8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9" s="17">
        <f>IF(Audit[[#This Row],[Max Relative Error (ep)]] = 0, 0, Audit[[#This Row],[Max Relative Error (ep)]]/Audit[[#This Row],[Error Bound (up) - Max. possible relative overstatement]])</f>
        <v>0</v>
      </c>
      <c r="BH8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49" s="17">
        <f t="shared" si="14"/>
        <v>1</v>
      </c>
      <c r="BJ849" s="17">
        <f>PRODUCT($BI$5:BI849)</f>
        <v>0.19189130878662058</v>
      </c>
      <c r="BK849" s="19">
        <f>1 - Audit[[#This Row],[K-M P Value]]</f>
        <v>0.80810869121337947</v>
      </c>
      <c r="BL849" s="17" t="str">
        <f>IF(Audit[[#This Row],[K-M P Value]]&gt;1-'General Info'!$B$12,"Continue", "Stop")</f>
        <v>Continue</v>
      </c>
      <c r="BM849" s="22" t="b">
        <f>IF(Audit[[#This Row],[Status - Continue or stop audit]] = "Continue", TRUE, IF(BL848 = "Continue", TRUE, FALSE))</f>
        <v>1</v>
      </c>
      <c r="BN849" s="22"/>
    </row>
    <row r="850" spans="1:66" ht="15" hidden="1" customHeight="1" x14ac:dyDescent="0.35">
      <c r="A850" s="17" t="str">
        <f>'Sampling Data'!AI850</f>
        <v/>
      </c>
      <c r="B850" s="17" t="str">
        <f>'Sampling Data'!A850</f>
        <v>4611 READ 1-A   (ED)</v>
      </c>
      <c r="C850" s="17">
        <f>'Sampling Data'!B850</f>
        <v>207</v>
      </c>
      <c r="D850" s="17">
        <f>'Sampling Data'!C850</f>
        <v>358</v>
      </c>
      <c r="E850" s="18">
        <f>'Sampling Data'!D850</f>
        <v>0</v>
      </c>
      <c r="F850" s="18">
        <f>'Sampling Data'!E850</f>
        <v>0</v>
      </c>
      <c r="G850" s="18">
        <f>'Sampling Data'!F850</f>
        <v>0</v>
      </c>
      <c r="H850" s="18">
        <f>'Sampling Data'!G850</f>
        <v>0</v>
      </c>
      <c r="I850" s="18">
        <f>'Sampling Data'!H850</f>
        <v>0</v>
      </c>
      <c r="J850" s="18">
        <f>'Sampling Data'!I850</f>
        <v>0</v>
      </c>
      <c r="K850" s="18">
        <f>'Sampling Data'!J850</f>
        <v>0</v>
      </c>
      <c r="L850" s="18">
        <f>'Sampling Data'!K850</f>
        <v>0</v>
      </c>
      <c r="M850" s="18">
        <f>'Sampling Data'!L850</f>
        <v>0</v>
      </c>
      <c r="N850" s="18">
        <f>'Sampling Data'!M850</f>
        <v>0</v>
      </c>
      <c r="O850" s="17">
        <f>'Sampling Data'!N850</f>
        <v>0</v>
      </c>
      <c r="P850" s="17">
        <f>'Sampling Data'!O850</f>
        <v>31</v>
      </c>
      <c r="Q850" s="17">
        <f>'Sampling Data'!P850</f>
        <v>596</v>
      </c>
      <c r="R850" s="17">
        <f>'Sampling Data'!AJ850</f>
        <v>0</v>
      </c>
      <c r="S850" s="111"/>
      <c r="T850" s="111"/>
      <c r="U850" s="112"/>
      <c r="V850" s="112"/>
      <c r="W850" s="111"/>
      <c r="X850" s="111"/>
      <c r="Y850" s="111"/>
      <c r="Z850" s="111"/>
      <c r="AA850" s="14"/>
      <c r="AB850" s="14"/>
      <c r="AC850" s="14"/>
      <c r="AD850" s="14"/>
      <c r="AE850" s="113" t="str">
        <f>IF(NOT(ISBLANK(Audit[[#This Row],[Audit Winning Candidate]])), Audit[[#This Row],[Audit Winning Candidate]]-Audit[[#This Row],[Winning Candidate]], "")</f>
        <v/>
      </c>
      <c r="AF850" s="17" t="str">
        <f>IF(NOT(ISBLANK(Audit[[#This Row],[Audit Losing Candidate]])), Audit[[#This Row],[Audit Losing Candidate]]-Audit[[#This Row],[Losing Candidate]], "")</f>
        <v/>
      </c>
      <c r="AG850" s="17" t="str">
        <f>IF(NOT(ISBLANK(Audit[[#This Row],[Audit Candidate 3]])), Audit[[#This Row],[Audit Candidate 3]]-Audit[[#This Row],[Candidate 3]], "")</f>
        <v/>
      </c>
      <c r="AH850" s="17" t="str">
        <f>IF(NOT(ISBLANK(Audit[[#This Row],[Audit Candidate 4]])),Audit[[#This Row],[Audit Candidate 4]]-Audit[[#This Row],[Candidate 4]], "")</f>
        <v/>
      </c>
      <c r="AI850" s="17" t="str">
        <f>IF(NOT(ISBLANK(Audit[[#This Row],[Audit Candidate 5]])), Audit[[#This Row],[Audit Candidate 5]]-Audit[[#This Row],[Candidate 5]], "")</f>
        <v/>
      </c>
      <c r="AJ850" s="17" t="str">
        <f>IF(NOT(ISBLANK(Audit[[#This Row],[Audit Candidate 6]])), Audit[[#This Row],[Audit Candidate 6]]-Audit[[#This Row],[Candidate 6]], "")</f>
        <v/>
      </c>
      <c r="AK850" s="17" t="str">
        <f>IF(NOT(ISBLANK(Audit[[#This Row],[Audit Candidate 7]])), Audit[[#This Row],[Audit Candidate 7]]-Audit[[#This Row],[Candidate 7]], "")</f>
        <v/>
      </c>
      <c r="AL850" s="17" t="str">
        <f>IF(NOT(ISBLANK(Audit[[#This Row],[Audit Candidate 8]])), Audit[[#This Row],[Audit Candidate 8]]-Audit[[#This Row],[Candidate 8]], "")</f>
        <v/>
      </c>
      <c r="AM850" s="17" t="str">
        <f>IF(NOT(ISBLANK(Audit[[#This Row],[Audit Candidate 9]])), Audit[[#This Row],[Audit Candidate 9]]-Audit[[#This Row],[Candidate 9]], "")</f>
        <v/>
      </c>
      <c r="AN850" s="17" t="str">
        <f>IF(NOT(ISBLANK(Audit[[#This Row],[Audit Candidate 10]])), Audit[[#This Row],[Audit Candidate 10]]-Audit[[#This Row],[Candidate 10]], "")</f>
        <v/>
      </c>
      <c r="AO850" s="17" t="str">
        <f>IF(NOT(ISBLANK(Audit[[#This Row],[Audit Candidate 11]])), Audit[[#This Row],[Audit Candidate 11]]-Audit[[#This Row],[Candidate 11]], "")</f>
        <v/>
      </c>
      <c r="AP850" s="17" t="str">
        <f>IF(NOT(ISBLANK(Audit[[#This Row],[Audit Candidate 12]])), Audit[[#This Row],[Audit Candidate 12]]-Audit[[#This Row],[Candidate 12]], "")</f>
        <v/>
      </c>
      <c r="AQ850" s="17">
        <f>SUMIF(Audit[[#This Row],[Difference Winner]:[Difference Candidate 12]], "&gt;0")</f>
        <v>0</v>
      </c>
      <c r="AR850" s="17">
        <f>SUM(Audit[[#This Row],[Difference Winner]:[Difference Candidate 12]])</f>
        <v>0</v>
      </c>
      <c r="AS850" s="17">
        <f>IF(Audit[[#This Row],[Times p Drawn - With Replacement]]&gt;0, IF(Audit[[#This Row],[Canceled Differences]]&lt;0, Audit[[#This Row],[Max Differences]]+ABS(Audit[[#This Row],[Canceled Differences]]), Audit[[#This Row],[Max Differences]]), 0)</f>
        <v>0</v>
      </c>
      <c r="AT850" s="17">
        <f>'Sampling Data'!AB850</f>
        <v>1.888473943303344E-2</v>
      </c>
      <c r="AU850" s="17">
        <f>IF(
      SUM(Audit[[#This Row],[Audit Losing Candidate]:[Audit Candidate 12]])
      &lt;&gt;0,
      (Audit[[#This Row],[Winning Candidate]]-Audit[[#This Row],[Losing Candidate]]-(Audit[[#This Row],[Audit Winning Candidate]]-Audit[[#This Row],[Audit Losing Candidate]]))/(Audit[[#Totals],[Winning Candidate]]-Audit[[#Totals],[Losing Candidate]]),
      0
)</f>
        <v>0</v>
      </c>
      <c r="AV8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0" s="17">
        <f>IF(Audit[[#This Row],[Max Relative Error (ep)]] = 0, 0, Audit[[#This Row],[Max Relative Error (ep)]]/Audit[[#This Row],[Error Bound (up) - Max. possible relative overstatement]])</f>
        <v>0</v>
      </c>
      <c r="BH8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50" s="17">
        <f t="shared" si="14"/>
        <v>1</v>
      </c>
      <c r="BJ850" s="17">
        <f>PRODUCT($BI$5:BI850)</f>
        <v>0.19189130878662058</v>
      </c>
      <c r="BK850" s="19">
        <f>1 - Audit[[#This Row],[K-M P Value]]</f>
        <v>0.80810869121337947</v>
      </c>
      <c r="BL850" s="17" t="str">
        <f>IF(Audit[[#This Row],[K-M P Value]]&gt;1-'General Info'!$B$12,"Continue", "Stop")</f>
        <v>Continue</v>
      </c>
      <c r="BM850" s="22" t="b">
        <f>IF(Audit[[#This Row],[Status - Continue or stop audit]] = "Continue", TRUE, IF(BL849 = "Continue", TRUE, FALSE))</f>
        <v>1</v>
      </c>
      <c r="BN850" s="22"/>
    </row>
    <row r="851" spans="1:66" ht="15" hidden="1" customHeight="1" x14ac:dyDescent="0.35">
      <c r="A851" s="17" t="str">
        <f>'Sampling Data'!AI851</f>
        <v/>
      </c>
      <c r="B851" s="17" t="str">
        <f>'Sampling Data'!A851</f>
        <v>4612 READ 1-B   (ED)</v>
      </c>
      <c r="C851" s="17">
        <f>'Sampling Data'!B851</f>
        <v>100</v>
      </c>
      <c r="D851" s="17">
        <f>'Sampling Data'!C851</f>
        <v>78</v>
      </c>
      <c r="E851" s="18">
        <f>'Sampling Data'!D851</f>
        <v>0</v>
      </c>
      <c r="F851" s="18">
        <f>'Sampling Data'!E851</f>
        <v>0</v>
      </c>
      <c r="G851" s="18">
        <f>'Sampling Data'!F851</f>
        <v>0</v>
      </c>
      <c r="H851" s="18">
        <f>'Sampling Data'!G851</f>
        <v>0</v>
      </c>
      <c r="I851" s="18">
        <f>'Sampling Data'!H851</f>
        <v>0</v>
      </c>
      <c r="J851" s="18">
        <f>'Sampling Data'!I851</f>
        <v>0</v>
      </c>
      <c r="K851" s="18">
        <f>'Sampling Data'!J851</f>
        <v>0</v>
      </c>
      <c r="L851" s="18">
        <f>'Sampling Data'!K851</f>
        <v>0</v>
      </c>
      <c r="M851" s="18">
        <f>'Sampling Data'!L851</f>
        <v>0</v>
      </c>
      <c r="N851" s="18">
        <f>'Sampling Data'!M851</f>
        <v>0</v>
      </c>
      <c r="O851" s="17">
        <f>'Sampling Data'!N851</f>
        <v>1</v>
      </c>
      <c r="P851" s="17">
        <f>'Sampling Data'!O851</f>
        <v>11</v>
      </c>
      <c r="Q851" s="17">
        <f>'Sampling Data'!P851</f>
        <v>190</v>
      </c>
      <c r="R851" s="17">
        <f>'Sampling Data'!AJ851</f>
        <v>0</v>
      </c>
      <c r="S851" s="111"/>
      <c r="T851" s="111"/>
      <c r="U851" s="112"/>
      <c r="V851" s="112"/>
      <c r="W851" s="111"/>
      <c r="X851" s="111"/>
      <c r="Y851" s="111"/>
      <c r="Z851" s="111"/>
      <c r="AA851" s="14"/>
      <c r="AB851" s="14"/>
      <c r="AC851" s="14"/>
      <c r="AD851" s="14"/>
      <c r="AE851" s="113" t="str">
        <f>IF(NOT(ISBLANK(Audit[[#This Row],[Audit Winning Candidate]])), Audit[[#This Row],[Audit Winning Candidate]]-Audit[[#This Row],[Winning Candidate]], "")</f>
        <v/>
      </c>
      <c r="AF851" s="17" t="str">
        <f>IF(NOT(ISBLANK(Audit[[#This Row],[Audit Losing Candidate]])), Audit[[#This Row],[Audit Losing Candidate]]-Audit[[#This Row],[Losing Candidate]], "")</f>
        <v/>
      </c>
      <c r="AG851" s="17" t="str">
        <f>IF(NOT(ISBLANK(Audit[[#This Row],[Audit Candidate 3]])), Audit[[#This Row],[Audit Candidate 3]]-Audit[[#This Row],[Candidate 3]], "")</f>
        <v/>
      </c>
      <c r="AH851" s="17" t="str">
        <f>IF(NOT(ISBLANK(Audit[[#This Row],[Audit Candidate 4]])),Audit[[#This Row],[Audit Candidate 4]]-Audit[[#This Row],[Candidate 4]], "")</f>
        <v/>
      </c>
      <c r="AI851" s="17" t="str">
        <f>IF(NOT(ISBLANK(Audit[[#This Row],[Audit Candidate 5]])), Audit[[#This Row],[Audit Candidate 5]]-Audit[[#This Row],[Candidate 5]], "")</f>
        <v/>
      </c>
      <c r="AJ851" s="17" t="str">
        <f>IF(NOT(ISBLANK(Audit[[#This Row],[Audit Candidate 6]])), Audit[[#This Row],[Audit Candidate 6]]-Audit[[#This Row],[Candidate 6]], "")</f>
        <v/>
      </c>
      <c r="AK851" s="17" t="str">
        <f>IF(NOT(ISBLANK(Audit[[#This Row],[Audit Candidate 7]])), Audit[[#This Row],[Audit Candidate 7]]-Audit[[#This Row],[Candidate 7]], "")</f>
        <v/>
      </c>
      <c r="AL851" s="17" t="str">
        <f>IF(NOT(ISBLANK(Audit[[#This Row],[Audit Candidate 8]])), Audit[[#This Row],[Audit Candidate 8]]-Audit[[#This Row],[Candidate 8]], "")</f>
        <v/>
      </c>
      <c r="AM851" s="17" t="str">
        <f>IF(NOT(ISBLANK(Audit[[#This Row],[Audit Candidate 9]])), Audit[[#This Row],[Audit Candidate 9]]-Audit[[#This Row],[Candidate 9]], "")</f>
        <v/>
      </c>
      <c r="AN851" s="17" t="str">
        <f>IF(NOT(ISBLANK(Audit[[#This Row],[Audit Candidate 10]])), Audit[[#This Row],[Audit Candidate 10]]-Audit[[#This Row],[Candidate 10]], "")</f>
        <v/>
      </c>
      <c r="AO851" s="17" t="str">
        <f>IF(NOT(ISBLANK(Audit[[#This Row],[Audit Candidate 11]])), Audit[[#This Row],[Audit Candidate 11]]-Audit[[#This Row],[Candidate 11]], "")</f>
        <v/>
      </c>
      <c r="AP851" s="17" t="str">
        <f>IF(NOT(ISBLANK(Audit[[#This Row],[Audit Candidate 12]])), Audit[[#This Row],[Audit Candidate 12]]-Audit[[#This Row],[Candidate 12]], "")</f>
        <v/>
      </c>
      <c r="AQ851" s="17">
        <f>SUMIF(Audit[[#This Row],[Difference Winner]:[Difference Candidate 12]], "&gt;0")</f>
        <v>0</v>
      </c>
      <c r="AR851" s="17">
        <f>SUM(Audit[[#This Row],[Difference Winner]:[Difference Candidate 12]])</f>
        <v>0</v>
      </c>
      <c r="AS851" s="17">
        <f>IF(Audit[[#This Row],[Times p Drawn - With Replacement]]&gt;0, IF(Audit[[#This Row],[Canceled Differences]]&lt;0, Audit[[#This Row],[Max Differences]]+ABS(Audit[[#This Row],[Canceled Differences]]), Audit[[#This Row],[Max Differences]]), 0)</f>
        <v>0</v>
      </c>
      <c r="AT851" s="17">
        <f>'Sampling Data'!AB851</f>
        <v>8.9967747411305379E-3</v>
      </c>
      <c r="AU851" s="17">
        <f>IF(
      SUM(Audit[[#This Row],[Audit Losing Candidate]:[Audit Candidate 12]])
      &lt;&gt;0,
      (Audit[[#This Row],[Winning Candidate]]-Audit[[#This Row],[Losing Candidate]]-(Audit[[#This Row],[Audit Winning Candidate]]-Audit[[#This Row],[Audit Losing Candidate]]))/(Audit[[#Totals],[Winning Candidate]]-Audit[[#Totals],[Losing Candidate]]),
      0
)</f>
        <v>0</v>
      </c>
      <c r="AV8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1" s="17">
        <f>IF(Audit[[#This Row],[Max Relative Error (ep)]] = 0, 0, Audit[[#This Row],[Max Relative Error (ep)]]/Audit[[#This Row],[Error Bound (up) - Max. possible relative overstatement]])</f>
        <v>0</v>
      </c>
      <c r="BH8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51" s="17">
        <f t="shared" si="14"/>
        <v>1</v>
      </c>
      <c r="BJ851" s="17">
        <f>PRODUCT($BI$5:BI851)</f>
        <v>0.19189130878662058</v>
      </c>
      <c r="BK851" s="19">
        <f>1 - Audit[[#This Row],[K-M P Value]]</f>
        <v>0.80810869121337947</v>
      </c>
      <c r="BL851" s="17" t="str">
        <f>IF(Audit[[#This Row],[K-M P Value]]&gt;1-'General Info'!$B$12,"Continue", "Stop")</f>
        <v>Continue</v>
      </c>
      <c r="BM851" s="22" t="b">
        <f>IF(Audit[[#This Row],[Status - Continue or stop audit]] = "Continue", TRUE, IF(BL850 = "Continue", TRUE, FALSE))</f>
        <v>1</v>
      </c>
      <c r="BN851" s="22"/>
    </row>
    <row r="852" spans="1:66" ht="15" hidden="1" customHeight="1" x14ac:dyDescent="0.35">
      <c r="A852" s="17" t="str">
        <f>'Sampling Data'!AI852</f>
        <v/>
      </c>
      <c r="B852" s="17" t="str">
        <f>'Sampling Data'!A852</f>
        <v>4621 READ 2-A   (ED)</v>
      </c>
      <c r="C852" s="17">
        <f>'Sampling Data'!B852</f>
        <v>149</v>
      </c>
      <c r="D852" s="17">
        <f>'Sampling Data'!C852</f>
        <v>263</v>
      </c>
      <c r="E852" s="18">
        <f>'Sampling Data'!D852</f>
        <v>0</v>
      </c>
      <c r="F852" s="18">
        <f>'Sampling Data'!E852</f>
        <v>0</v>
      </c>
      <c r="G852" s="18">
        <f>'Sampling Data'!F852</f>
        <v>0</v>
      </c>
      <c r="H852" s="18">
        <f>'Sampling Data'!G852</f>
        <v>0</v>
      </c>
      <c r="I852" s="18">
        <f>'Sampling Data'!H852</f>
        <v>0</v>
      </c>
      <c r="J852" s="18">
        <f>'Sampling Data'!I852</f>
        <v>0</v>
      </c>
      <c r="K852" s="18">
        <f>'Sampling Data'!J852</f>
        <v>0</v>
      </c>
      <c r="L852" s="18">
        <f>'Sampling Data'!K852</f>
        <v>0</v>
      </c>
      <c r="M852" s="18">
        <f>'Sampling Data'!L852</f>
        <v>0</v>
      </c>
      <c r="N852" s="18">
        <f>'Sampling Data'!M852</f>
        <v>0</v>
      </c>
      <c r="O852" s="17">
        <f>'Sampling Data'!N852</f>
        <v>0</v>
      </c>
      <c r="P852" s="17">
        <f>'Sampling Data'!O852</f>
        <v>29</v>
      </c>
      <c r="Q852" s="17">
        <f>'Sampling Data'!P852</f>
        <v>441</v>
      </c>
      <c r="R852" s="17">
        <f>'Sampling Data'!AJ852</f>
        <v>0</v>
      </c>
      <c r="S852" s="111"/>
      <c r="T852" s="111"/>
      <c r="U852" s="112"/>
      <c r="V852" s="112"/>
      <c r="W852" s="111"/>
      <c r="X852" s="111"/>
      <c r="Y852" s="111"/>
      <c r="Z852" s="111"/>
      <c r="AA852" s="14"/>
      <c r="AB852" s="14"/>
      <c r="AC852" s="14"/>
      <c r="AD852" s="14"/>
      <c r="AE852" s="113" t="str">
        <f>IF(NOT(ISBLANK(Audit[[#This Row],[Audit Winning Candidate]])), Audit[[#This Row],[Audit Winning Candidate]]-Audit[[#This Row],[Winning Candidate]], "")</f>
        <v/>
      </c>
      <c r="AF852" s="17" t="str">
        <f>IF(NOT(ISBLANK(Audit[[#This Row],[Audit Losing Candidate]])), Audit[[#This Row],[Audit Losing Candidate]]-Audit[[#This Row],[Losing Candidate]], "")</f>
        <v/>
      </c>
      <c r="AG852" s="17" t="str">
        <f>IF(NOT(ISBLANK(Audit[[#This Row],[Audit Candidate 3]])), Audit[[#This Row],[Audit Candidate 3]]-Audit[[#This Row],[Candidate 3]], "")</f>
        <v/>
      </c>
      <c r="AH852" s="17" t="str">
        <f>IF(NOT(ISBLANK(Audit[[#This Row],[Audit Candidate 4]])),Audit[[#This Row],[Audit Candidate 4]]-Audit[[#This Row],[Candidate 4]], "")</f>
        <v/>
      </c>
      <c r="AI852" s="17" t="str">
        <f>IF(NOT(ISBLANK(Audit[[#This Row],[Audit Candidate 5]])), Audit[[#This Row],[Audit Candidate 5]]-Audit[[#This Row],[Candidate 5]], "")</f>
        <v/>
      </c>
      <c r="AJ852" s="17" t="str">
        <f>IF(NOT(ISBLANK(Audit[[#This Row],[Audit Candidate 6]])), Audit[[#This Row],[Audit Candidate 6]]-Audit[[#This Row],[Candidate 6]], "")</f>
        <v/>
      </c>
      <c r="AK852" s="17" t="str">
        <f>IF(NOT(ISBLANK(Audit[[#This Row],[Audit Candidate 7]])), Audit[[#This Row],[Audit Candidate 7]]-Audit[[#This Row],[Candidate 7]], "")</f>
        <v/>
      </c>
      <c r="AL852" s="17" t="str">
        <f>IF(NOT(ISBLANK(Audit[[#This Row],[Audit Candidate 8]])), Audit[[#This Row],[Audit Candidate 8]]-Audit[[#This Row],[Candidate 8]], "")</f>
        <v/>
      </c>
      <c r="AM852" s="17" t="str">
        <f>IF(NOT(ISBLANK(Audit[[#This Row],[Audit Candidate 9]])), Audit[[#This Row],[Audit Candidate 9]]-Audit[[#This Row],[Candidate 9]], "")</f>
        <v/>
      </c>
      <c r="AN852" s="17" t="str">
        <f>IF(NOT(ISBLANK(Audit[[#This Row],[Audit Candidate 10]])), Audit[[#This Row],[Audit Candidate 10]]-Audit[[#This Row],[Candidate 10]], "")</f>
        <v/>
      </c>
      <c r="AO852" s="17" t="str">
        <f>IF(NOT(ISBLANK(Audit[[#This Row],[Audit Candidate 11]])), Audit[[#This Row],[Audit Candidate 11]]-Audit[[#This Row],[Candidate 11]], "")</f>
        <v/>
      </c>
      <c r="AP852" s="17" t="str">
        <f>IF(NOT(ISBLANK(Audit[[#This Row],[Audit Candidate 12]])), Audit[[#This Row],[Audit Candidate 12]]-Audit[[#This Row],[Candidate 12]], "")</f>
        <v/>
      </c>
      <c r="AQ852" s="17">
        <f>SUMIF(Audit[[#This Row],[Difference Winner]:[Difference Candidate 12]], "&gt;0")</f>
        <v>0</v>
      </c>
      <c r="AR852" s="17">
        <f>SUM(Audit[[#This Row],[Difference Winner]:[Difference Candidate 12]])</f>
        <v>0</v>
      </c>
      <c r="AS852" s="17">
        <f>IF(Audit[[#This Row],[Times p Drawn - With Replacement]]&gt;0, IF(Audit[[#This Row],[Canceled Differences]]&lt;0, Audit[[#This Row],[Max Differences]]+ABS(Audit[[#This Row],[Canceled Differences]]), Audit[[#This Row],[Max Differences]]), 0)</f>
        <v>0</v>
      </c>
      <c r="AT852" s="17">
        <f>'Sampling Data'!AB852</f>
        <v>1.387710066202682E-2</v>
      </c>
      <c r="AU852" s="17">
        <f>IF(
      SUM(Audit[[#This Row],[Audit Losing Candidate]:[Audit Candidate 12]])
      &lt;&gt;0,
      (Audit[[#This Row],[Winning Candidate]]-Audit[[#This Row],[Losing Candidate]]-(Audit[[#This Row],[Audit Winning Candidate]]-Audit[[#This Row],[Audit Losing Candidate]]))/(Audit[[#Totals],[Winning Candidate]]-Audit[[#Totals],[Losing Candidate]]),
      0
)</f>
        <v>0</v>
      </c>
      <c r="AV8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2" s="17">
        <f>IF(Audit[[#This Row],[Max Relative Error (ep)]] = 0, 0, Audit[[#This Row],[Max Relative Error (ep)]]/Audit[[#This Row],[Error Bound (up) - Max. possible relative overstatement]])</f>
        <v>0</v>
      </c>
      <c r="BH8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52" s="17">
        <f t="shared" si="14"/>
        <v>1</v>
      </c>
      <c r="BJ852" s="17">
        <f>PRODUCT($BI$5:BI852)</f>
        <v>0.19189130878662058</v>
      </c>
      <c r="BK852" s="19">
        <f>1 - Audit[[#This Row],[K-M P Value]]</f>
        <v>0.80810869121337947</v>
      </c>
      <c r="BL852" s="17" t="str">
        <f>IF(Audit[[#This Row],[K-M P Value]]&gt;1-'General Info'!$B$12,"Continue", "Stop")</f>
        <v>Continue</v>
      </c>
      <c r="BM852" s="22" t="b">
        <f>IF(Audit[[#This Row],[Status - Continue or stop audit]] = "Continue", TRUE, IF(BL851 = "Continue", TRUE, FALSE))</f>
        <v>1</v>
      </c>
      <c r="BN852" s="22"/>
    </row>
    <row r="853" spans="1:66" ht="15" hidden="1" customHeight="1" x14ac:dyDescent="0.35">
      <c r="A853" s="17" t="str">
        <f>'Sampling Data'!AI853</f>
        <v/>
      </c>
      <c r="B853" s="17" t="str">
        <f>'Sampling Data'!A853</f>
        <v>4622 READ 2-B   (ED)</v>
      </c>
      <c r="C853" s="17">
        <f>'Sampling Data'!B853</f>
        <v>79</v>
      </c>
      <c r="D853" s="17">
        <f>'Sampling Data'!C853</f>
        <v>190</v>
      </c>
      <c r="E853" s="18">
        <f>'Sampling Data'!D853</f>
        <v>0</v>
      </c>
      <c r="F853" s="18">
        <f>'Sampling Data'!E853</f>
        <v>0</v>
      </c>
      <c r="G853" s="18">
        <f>'Sampling Data'!F853</f>
        <v>0</v>
      </c>
      <c r="H853" s="18">
        <f>'Sampling Data'!G853</f>
        <v>0</v>
      </c>
      <c r="I853" s="18">
        <f>'Sampling Data'!H853</f>
        <v>0</v>
      </c>
      <c r="J853" s="18">
        <f>'Sampling Data'!I853</f>
        <v>0</v>
      </c>
      <c r="K853" s="18">
        <f>'Sampling Data'!J853</f>
        <v>0</v>
      </c>
      <c r="L853" s="18">
        <f>'Sampling Data'!K853</f>
        <v>0</v>
      </c>
      <c r="M853" s="18">
        <f>'Sampling Data'!L853</f>
        <v>0</v>
      </c>
      <c r="N853" s="18">
        <f>'Sampling Data'!M853</f>
        <v>0</v>
      </c>
      <c r="O853" s="17">
        <f>'Sampling Data'!N853</f>
        <v>0</v>
      </c>
      <c r="P853" s="17">
        <f>'Sampling Data'!O853</f>
        <v>20</v>
      </c>
      <c r="Q853" s="17">
        <f>'Sampling Data'!P853</f>
        <v>289</v>
      </c>
      <c r="R853" s="17">
        <f>'Sampling Data'!AJ853</f>
        <v>0</v>
      </c>
      <c r="S853" s="111"/>
      <c r="T853" s="111"/>
      <c r="U853" s="112"/>
      <c r="V853" s="112"/>
      <c r="W853" s="111"/>
      <c r="X853" s="111"/>
      <c r="Y853" s="111"/>
      <c r="Z853" s="111"/>
      <c r="AA853" s="14"/>
      <c r="AB853" s="14"/>
      <c r="AC853" s="14"/>
      <c r="AD853" s="14"/>
      <c r="AE853" s="113" t="str">
        <f>IF(NOT(ISBLANK(Audit[[#This Row],[Audit Winning Candidate]])), Audit[[#This Row],[Audit Winning Candidate]]-Audit[[#This Row],[Winning Candidate]], "")</f>
        <v/>
      </c>
      <c r="AF853" s="17" t="str">
        <f>IF(NOT(ISBLANK(Audit[[#This Row],[Audit Losing Candidate]])), Audit[[#This Row],[Audit Losing Candidate]]-Audit[[#This Row],[Losing Candidate]], "")</f>
        <v/>
      </c>
      <c r="AG853" s="17" t="str">
        <f>IF(NOT(ISBLANK(Audit[[#This Row],[Audit Candidate 3]])), Audit[[#This Row],[Audit Candidate 3]]-Audit[[#This Row],[Candidate 3]], "")</f>
        <v/>
      </c>
      <c r="AH853" s="17" t="str">
        <f>IF(NOT(ISBLANK(Audit[[#This Row],[Audit Candidate 4]])),Audit[[#This Row],[Audit Candidate 4]]-Audit[[#This Row],[Candidate 4]], "")</f>
        <v/>
      </c>
      <c r="AI853" s="17" t="str">
        <f>IF(NOT(ISBLANK(Audit[[#This Row],[Audit Candidate 5]])), Audit[[#This Row],[Audit Candidate 5]]-Audit[[#This Row],[Candidate 5]], "")</f>
        <v/>
      </c>
      <c r="AJ853" s="17" t="str">
        <f>IF(NOT(ISBLANK(Audit[[#This Row],[Audit Candidate 6]])), Audit[[#This Row],[Audit Candidate 6]]-Audit[[#This Row],[Candidate 6]], "")</f>
        <v/>
      </c>
      <c r="AK853" s="17" t="str">
        <f>IF(NOT(ISBLANK(Audit[[#This Row],[Audit Candidate 7]])), Audit[[#This Row],[Audit Candidate 7]]-Audit[[#This Row],[Candidate 7]], "")</f>
        <v/>
      </c>
      <c r="AL853" s="17" t="str">
        <f>IF(NOT(ISBLANK(Audit[[#This Row],[Audit Candidate 8]])), Audit[[#This Row],[Audit Candidate 8]]-Audit[[#This Row],[Candidate 8]], "")</f>
        <v/>
      </c>
      <c r="AM853" s="17" t="str">
        <f>IF(NOT(ISBLANK(Audit[[#This Row],[Audit Candidate 9]])), Audit[[#This Row],[Audit Candidate 9]]-Audit[[#This Row],[Candidate 9]], "")</f>
        <v/>
      </c>
      <c r="AN853" s="17" t="str">
        <f>IF(NOT(ISBLANK(Audit[[#This Row],[Audit Candidate 10]])), Audit[[#This Row],[Audit Candidate 10]]-Audit[[#This Row],[Candidate 10]], "")</f>
        <v/>
      </c>
      <c r="AO853" s="17" t="str">
        <f>IF(NOT(ISBLANK(Audit[[#This Row],[Audit Candidate 11]])), Audit[[#This Row],[Audit Candidate 11]]-Audit[[#This Row],[Candidate 11]], "")</f>
        <v/>
      </c>
      <c r="AP853" s="17" t="str">
        <f>IF(NOT(ISBLANK(Audit[[#This Row],[Audit Candidate 12]])), Audit[[#This Row],[Audit Candidate 12]]-Audit[[#This Row],[Candidate 12]], "")</f>
        <v/>
      </c>
      <c r="AQ853" s="17">
        <f>SUMIF(Audit[[#This Row],[Difference Winner]:[Difference Candidate 12]], "&gt;0")</f>
        <v>0</v>
      </c>
      <c r="AR853" s="17">
        <f>SUM(Audit[[#This Row],[Difference Winner]:[Difference Candidate 12]])</f>
        <v>0</v>
      </c>
      <c r="AS853" s="17">
        <f>IF(Audit[[#This Row],[Times p Drawn - With Replacement]]&gt;0, IF(Audit[[#This Row],[Canceled Differences]]&lt;0, Audit[[#This Row],[Max Differences]]+ABS(Audit[[#This Row],[Canceled Differences]]), Audit[[#This Row],[Max Differences]]), 0)</f>
        <v>0</v>
      </c>
      <c r="AT853" s="17">
        <f>'Sampling Data'!AB853</f>
        <v>7.5538957732133767E-3</v>
      </c>
      <c r="AU853" s="17">
        <f>IF(
      SUM(Audit[[#This Row],[Audit Losing Candidate]:[Audit Candidate 12]])
      &lt;&gt;0,
      (Audit[[#This Row],[Winning Candidate]]-Audit[[#This Row],[Losing Candidate]]-(Audit[[#This Row],[Audit Winning Candidate]]-Audit[[#This Row],[Audit Losing Candidate]]))/(Audit[[#Totals],[Winning Candidate]]-Audit[[#Totals],[Losing Candidate]]),
      0
)</f>
        <v>0</v>
      </c>
      <c r="AV8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3" s="17">
        <f>IF(Audit[[#This Row],[Max Relative Error (ep)]] = 0, 0, Audit[[#This Row],[Max Relative Error (ep)]]/Audit[[#This Row],[Error Bound (up) - Max. possible relative overstatement]])</f>
        <v>0</v>
      </c>
      <c r="BH8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53" s="17">
        <f t="shared" si="14"/>
        <v>1</v>
      </c>
      <c r="BJ853" s="17">
        <f>PRODUCT($BI$5:BI853)</f>
        <v>0.19189130878662058</v>
      </c>
      <c r="BK853" s="19">
        <f>1 - Audit[[#This Row],[K-M P Value]]</f>
        <v>0.80810869121337947</v>
      </c>
      <c r="BL853" s="17" t="str">
        <f>IF(Audit[[#This Row],[K-M P Value]]&gt;1-'General Info'!$B$12,"Continue", "Stop")</f>
        <v>Continue</v>
      </c>
      <c r="BM853" s="22" t="b">
        <f>IF(Audit[[#This Row],[Status - Continue or stop audit]] = "Continue", TRUE, IF(BL852 = "Continue", TRUE, FALSE))</f>
        <v>1</v>
      </c>
      <c r="BN853" s="22"/>
    </row>
    <row r="854" spans="1:66" ht="15" hidden="1" customHeight="1" x14ac:dyDescent="0.35">
      <c r="A854" s="17" t="str">
        <f>'Sampling Data'!AI854</f>
        <v/>
      </c>
      <c r="B854" s="17" t="str">
        <f>'Sampling Data'!A854</f>
        <v>4631 READ 3-A   (ED)</v>
      </c>
      <c r="C854" s="17">
        <f>'Sampling Data'!B854</f>
        <v>158</v>
      </c>
      <c r="D854" s="17">
        <f>'Sampling Data'!C854</f>
        <v>313</v>
      </c>
      <c r="E854" s="18">
        <f>'Sampling Data'!D854</f>
        <v>0</v>
      </c>
      <c r="F854" s="18">
        <f>'Sampling Data'!E854</f>
        <v>0</v>
      </c>
      <c r="G854" s="18">
        <f>'Sampling Data'!F854</f>
        <v>0</v>
      </c>
      <c r="H854" s="18">
        <f>'Sampling Data'!G854</f>
        <v>0</v>
      </c>
      <c r="I854" s="18">
        <f>'Sampling Data'!H854</f>
        <v>0</v>
      </c>
      <c r="J854" s="18">
        <f>'Sampling Data'!I854</f>
        <v>0</v>
      </c>
      <c r="K854" s="18">
        <f>'Sampling Data'!J854</f>
        <v>0</v>
      </c>
      <c r="L854" s="18">
        <f>'Sampling Data'!K854</f>
        <v>0</v>
      </c>
      <c r="M854" s="18">
        <f>'Sampling Data'!L854</f>
        <v>0</v>
      </c>
      <c r="N854" s="18">
        <f>'Sampling Data'!M854</f>
        <v>0</v>
      </c>
      <c r="O854" s="17">
        <f>'Sampling Data'!N854</f>
        <v>0</v>
      </c>
      <c r="P854" s="17">
        <f>'Sampling Data'!O854</f>
        <v>44</v>
      </c>
      <c r="Q854" s="17">
        <f>'Sampling Data'!P854</f>
        <v>515</v>
      </c>
      <c r="R854" s="17">
        <f>'Sampling Data'!AJ854</f>
        <v>0</v>
      </c>
      <c r="S854" s="111"/>
      <c r="T854" s="111"/>
      <c r="U854" s="112"/>
      <c r="V854" s="112"/>
      <c r="W854" s="111"/>
      <c r="X854" s="111"/>
      <c r="Y854" s="111"/>
      <c r="Z854" s="111"/>
      <c r="AA854" s="14"/>
      <c r="AB854" s="14"/>
      <c r="AC854" s="14"/>
      <c r="AD854" s="14"/>
      <c r="AE854" s="113" t="str">
        <f>IF(NOT(ISBLANK(Audit[[#This Row],[Audit Winning Candidate]])), Audit[[#This Row],[Audit Winning Candidate]]-Audit[[#This Row],[Winning Candidate]], "")</f>
        <v/>
      </c>
      <c r="AF854" s="17" t="str">
        <f>IF(NOT(ISBLANK(Audit[[#This Row],[Audit Losing Candidate]])), Audit[[#This Row],[Audit Losing Candidate]]-Audit[[#This Row],[Losing Candidate]], "")</f>
        <v/>
      </c>
      <c r="AG854" s="17" t="str">
        <f>IF(NOT(ISBLANK(Audit[[#This Row],[Audit Candidate 3]])), Audit[[#This Row],[Audit Candidate 3]]-Audit[[#This Row],[Candidate 3]], "")</f>
        <v/>
      </c>
      <c r="AH854" s="17" t="str">
        <f>IF(NOT(ISBLANK(Audit[[#This Row],[Audit Candidate 4]])),Audit[[#This Row],[Audit Candidate 4]]-Audit[[#This Row],[Candidate 4]], "")</f>
        <v/>
      </c>
      <c r="AI854" s="17" t="str">
        <f>IF(NOT(ISBLANK(Audit[[#This Row],[Audit Candidate 5]])), Audit[[#This Row],[Audit Candidate 5]]-Audit[[#This Row],[Candidate 5]], "")</f>
        <v/>
      </c>
      <c r="AJ854" s="17" t="str">
        <f>IF(NOT(ISBLANK(Audit[[#This Row],[Audit Candidate 6]])), Audit[[#This Row],[Audit Candidate 6]]-Audit[[#This Row],[Candidate 6]], "")</f>
        <v/>
      </c>
      <c r="AK854" s="17" t="str">
        <f>IF(NOT(ISBLANK(Audit[[#This Row],[Audit Candidate 7]])), Audit[[#This Row],[Audit Candidate 7]]-Audit[[#This Row],[Candidate 7]], "")</f>
        <v/>
      </c>
      <c r="AL854" s="17" t="str">
        <f>IF(NOT(ISBLANK(Audit[[#This Row],[Audit Candidate 8]])), Audit[[#This Row],[Audit Candidate 8]]-Audit[[#This Row],[Candidate 8]], "")</f>
        <v/>
      </c>
      <c r="AM854" s="17" t="str">
        <f>IF(NOT(ISBLANK(Audit[[#This Row],[Audit Candidate 9]])), Audit[[#This Row],[Audit Candidate 9]]-Audit[[#This Row],[Candidate 9]], "")</f>
        <v/>
      </c>
      <c r="AN854" s="17" t="str">
        <f>IF(NOT(ISBLANK(Audit[[#This Row],[Audit Candidate 10]])), Audit[[#This Row],[Audit Candidate 10]]-Audit[[#This Row],[Candidate 10]], "")</f>
        <v/>
      </c>
      <c r="AO854" s="17" t="str">
        <f>IF(NOT(ISBLANK(Audit[[#This Row],[Audit Candidate 11]])), Audit[[#This Row],[Audit Candidate 11]]-Audit[[#This Row],[Candidate 11]], "")</f>
        <v/>
      </c>
      <c r="AP854" s="17" t="str">
        <f>IF(NOT(ISBLANK(Audit[[#This Row],[Audit Candidate 12]])), Audit[[#This Row],[Audit Candidate 12]]-Audit[[#This Row],[Candidate 12]], "")</f>
        <v/>
      </c>
      <c r="AQ854" s="17">
        <f>SUMIF(Audit[[#This Row],[Difference Winner]:[Difference Candidate 12]], "&gt;0")</f>
        <v>0</v>
      </c>
      <c r="AR854" s="17">
        <f>SUM(Audit[[#This Row],[Difference Winner]:[Difference Candidate 12]])</f>
        <v>0</v>
      </c>
      <c r="AS854" s="17">
        <f>IF(Audit[[#This Row],[Times p Drawn - With Replacement]]&gt;0, IF(Audit[[#This Row],[Canceled Differences]]&lt;0, Audit[[#This Row],[Max Differences]]+ABS(Audit[[#This Row],[Canceled Differences]]), Audit[[#This Row],[Max Differences]]), 0)</f>
        <v>0</v>
      </c>
      <c r="AT854" s="17">
        <f>'Sampling Data'!AB854</f>
        <v>1.5277542013240537E-2</v>
      </c>
      <c r="AU854" s="17">
        <f>IF(
      SUM(Audit[[#This Row],[Audit Losing Candidate]:[Audit Candidate 12]])
      &lt;&gt;0,
      (Audit[[#This Row],[Winning Candidate]]-Audit[[#This Row],[Losing Candidate]]-(Audit[[#This Row],[Audit Winning Candidate]]-Audit[[#This Row],[Audit Losing Candidate]]))/(Audit[[#Totals],[Winning Candidate]]-Audit[[#Totals],[Losing Candidate]]),
      0
)</f>
        <v>0</v>
      </c>
      <c r="AV8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4" s="17">
        <f>IF(Audit[[#This Row],[Max Relative Error (ep)]] = 0, 0, Audit[[#This Row],[Max Relative Error (ep)]]/Audit[[#This Row],[Error Bound (up) - Max. possible relative overstatement]])</f>
        <v>0</v>
      </c>
      <c r="BH8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54" s="17">
        <f t="shared" si="14"/>
        <v>1</v>
      </c>
      <c r="BJ854" s="17">
        <f>PRODUCT($BI$5:BI854)</f>
        <v>0.19189130878662058</v>
      </c>
      <c r="BK854" s="19">
        <f>1 - Audit[[#This Row],[K-M P Value]]</f>
        <v>0.80810869121337947</v>
      </c>
      <c r="BL854" s="17" t="str">
        <f>IF(Audit[[#This Row],[K-M P Value]]&gt;1-'General Info'!$B$12,"Continue", "Stop")</f>
        <v>Continue</v>
      </c>
      <c r="BM854" s="22" t="b">
        <f>IF(Audit[[#This Row],[Status - Continue or stop audit]] = "Continue", TRUE, IF(BL853 = "Continue", TRUE, FALSE))</f>
        <v>1</v>
      </c>
      <c r="BN854" s="22"/>
    </row>
    <row r="855" spans="1:66" ht="15" hidden="1" customHeight="1" x14ac:dyDescent="0.35">
      <c r="A855" s="17" t="str">
        <f>'Sampling Data'!AI855</f>
        <v/>
      </c>
      <c r="B855" s="17" t="str">
        <f>'Sampling Data'!A855</f>
        <v>4632 READ 3-B   (ED)</v>
      </c>
      <c r="C855" s="17">
        <f>'Sampling Data'!B855</f>
        <v>99</v>
      </c>
      <c r="D855" s="17">
        <f>'Sampling Data'!C855</f>
        <v>237</v>
      </c>
      <c r="E855" s="18">
        <f>'Sampling Data'!D855</f>
        <v>0</v>
      </c>
      <c r="F855" s="18">
        <f>'Sampling Data'!E855</f>
        <v>0</v>
      </c>
      <c r="G855" s="18">
        <f>'Sampling Data'!F855</f>
        <v>0</v>
      </c>
      <c r="H855" s="18">
        <f>'Sampling Data'!G855</f>
        <v>0</v>
      </c>
      <c r="I855" s="18">
        <f>'Sampling Data'!H855</f>
        <v>0</v>
      </c>
      <c r="J855" s="18">
        <f>'Sampling Data'!I855</f>
        <v>0</v>
      </c>
      <c r="K855" s="18">
        <f>'Sampling Data'!J855</f>
        <v>0</v>
      </c>
      <c r="L855" s="18">
        <f>'Sampling Data'!K855</f>
        <v>0</v>
      </c>
      <c r="M855" s="18">
        <f>'Sampling Data'!L855</f>
        <v>0</v>
      </c>
      <c r="N855" s="18">
        <f>'Sampling Data'!M855</f>
        <v>0</v>
      </c>
      <c r="O855" s="17">
        <f>'Sampling Data'!N855</f>
        <v>0</v>
      </c>
      <c r="P855" s="17">
        <f>'Sampling Data'!O855</f>
        <v>29</v>
      </c>
      <c r="Q855" s="17">
        <f>'Sampling Data'!P855</f>
        <v>365</v>
      </c>
      <c r="R855" s="17">
        <f>'Sampling Data'!AJ855</f>
        <v>0</v>
      </c>
      <c r="S855" s="111"/>
      <c r="T855" s="111"/>
      <c r="U855" s="112"/>
      <c r="V855" s="112"/>
      <c r="W855" s="111"/>
      <c r="X855" s="111"/>
      <c r="Y855" s="111"/>
      <c r="Z855" s="111"/>
      <c r="AA855" s="14"/>
      <c r="AB855" s="14"/>
      <c r="AC855" s="14"/>
      <c r="AD855" s="14"/>
      <c r="AE855" s="113" t="str">
        <f>IF(NOT(ISBLANK(Audit[[#This Row],[Audit Winning Candidate]])), Audit[[#This Row],[Audit Winning Candidate]]-Audit[[#This Row],[Winning Candidate]], "")</f>
        <v/>
      </c>
      <c r="AF855" s="17" t="str">
        <f>IF(NOT(ISBLANK(Audit[[#This Row],[Audit Losing Candidate]])), Audit[[#This Row],[Audit Losing Candidate]]-Audit[[#This Row],[Losing Candidate]], "")</f>
        <v/>
      </c>
      <c r="AG855" s="17" t="str">
        <f>IF(NOT(ISBLANK(Audit[[#This Row],[Audit Candidate 3]])), Audit[[#This Row],[Audit Candidate 3]]-Audit[[#This Row],[Candidate 3]], "")</f>
        <v/>
      </c>
      <c r="AH855" s="17" t="str">
        <f>IF(NOT(ISBLANK(Audit[[#This Row],[Audit Candidate 4]])),Audit[[#This Row],[Audit Candidate 4]]-Audit[[#This Row],[Candidate 4]], "")</f>
        <v/>
      </c>
      <c r="AI855" s="17" t="str">
        <f>IF(NOT(ISBLANK(Audit[[#This Row],[Audit Candidate 5]])), Audit[[#This Row],[Audit Candidate 5]]-Audit[[#This Row],[Candidate 5]], "")</f>
        <v/>
      </c>
      <c r="AJ855" s="17" t="str">
        <f>IF(NOT(ISBLANK(Audit[[#This Row],[Audit Candidate 6]])), Audit[[#This Row],[Audit Candidate 6]]-Audit[[#This Row],[Candidate 6]], "")</f>
        <v/>
      </c>
      <c r="AK855" s="17" t="str">
        <f>IF(NOT(ISBLANK(Audit[[#This Row],[Audit Candidate 7]])), Audit[[#This Row],[Audit Candidate 7]]-Audit[[#This Row],[Candidate 7]], "")</f>
        <v/>
      </c>
      <c r="AL855" s="17" t="str">
        <f>IF(NOT(ISBLANK(Audit[[#This Row],[Audit Candidate 8]])), Audit[[#This Row],[Audit Candidate 8]]-Audit[[#This Row],[Candidate 8]], "")</f>
        <v/>
      </c>
      <c r="AM855" s="17" t="str">
        <f>IF(NOT(ISBLANK(Audit[[#This Row],[Audit Candidate 9]])), Audit[[#This Row],[Audit Candidate 9]]-Audit[[#This Row],[Candidate 9]], "")</f>
        <v/>
      </c>
      <c r="AN855" s="17" t="str">
        <f>IF(NOT(ISBLANK(Audit[[#This Row],[Audit Candidate 10]])), Audit[[#This Row],[Audit Candidate 10]]-Audit[[#This Row],[Candidate 10]], "")</f>
        <v/>
      </c>
      <c r="AO855" s="17" t="str">
        <f>IF(NOT(ISBLANK(Audit[[#This Row],[Audit Candidate 11]])), Audit[[#This Row],[Audit Candidate 11]]-Audit[[#This Row],[Candidate 11]], "")</f>
        <v/>
      </c>
      <c r="AP855" s="17" t="str">
        <f>IF(NOT(ISBLANK(Audit[[#This Row],[Audit Candidate 12]])), Audit[[#This Row],[Audit Candidate 12]]-Audit[[#This Row],[Candidate 12]], "")</f>
        <v/>
      </c>
      <c r="AQ855" s="17">
        <f>SUMIF(Audit[[#This Row],[Difference Winner]:[Difference Candidate 12]], "&gt;0")</f>
        <v>0</v>
      </c>
      <c r="AR855" s="17">
        <f>SUM(Audit[[#This Row],[Difference Winner]:[Difference Candidate 12]])</f>
        <v>0</v>
      </c>
      <c r="AS855" s="17">
        <f>IF(Audit[[#This Row],[Times p Drawn - With Replacement]]&gt;0, IF(Audit[[#This Row],[Canceled Differences]]&lt;0, Audit[[#This Row],[Max Differences]]+ABS(Audit[[#This Row],[Canceled Differences]]), Audit[[#This Row],[Max Differences]]), 0)</f>
        <v>0</v>
      </c>
      <c r="AT855" s="17">
        <f>'Sampling Data'!AB855</f>
        <v>9.6333389916822276E-3</v>
      </c>
      <c r="AU855" s="17">
        <f>IF(
      SUM(Audit[[#This Row],[Audit Losing Candidate]:[Audit Candidate 12]])
      &lt;&gt;0,
      (Audit[[#This Row],[Winning Candidate]]-Audit[[#This Row],[Losing Candidate]]-(Audit[[#This Row],[Audit Winning Candidate]]-Audit[[#This Row],[Audit Losing Candidate]]))/(Audit[[#Totals],[Winning Candidate]]-Audit[[#Totals],[Losing Candidate]]),
      0
)</f>
        <v>0</v>
      </c>
      <c r="AV8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5" s="17">
        <f>IF(Audit[[#This Row],[Max Relative Error (ep)]] = 0, 0, Audit[[#This Row],[Max Relative Error (ep)]]/Audit[[#This Row],[Error Bound (up) - Max. possible relative overstatement]])</f>
        <v>0</v>
      </c>
      <c r="BH8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55" s="17">
        <f t="shared" si="14"/>
        <v>1</v>
      </c>
      <c r="BJ855" s="17">
        <f>PRODUCT($BI$5:BI855)</f>
        <v>0.19189130878662058</v>
      </c>
      <c r="BK855" s="19">
        <f>1 - Audit[[#This Row],[K-M P Value]]</f>
        <v>0.80810869121337947</v>
      </c>
      <c r="BL855" s="17" t="str">
        <f>IF(Audit[[#This Row],[K-M P Value]]&gt;1-'General Info'!$B$12,"Continue", "Stop")</f>
        <v>Continue</v>
      </c>
      <c r="BM855" s="22" t="b">
        <f>IF(Audit[[#This Row],[Status - Continue or stop audit]] = "Continue", TRUE, IF(BL854 = "Continue", TRUE, FALSE))</f>
        <v>1</v>
      </c>
      <c r="BN855" s="22"/>
    </row>
    <row r="856" spans="1:66" ht="15" hidden="1" customHeight="1" x14ac:dyDescent="0.35">
      <c r="A856" s="17" t="str">
        <f>'Sampling Data'!AI856</f>
        <v/>
      </c>
      <c r="B856" s="17" t="str">
        <f>'Sampling Data'!A856</f>
        <v>4641 READ 4-A   (ED)</v>
      </c>
      <c r="C856" s="17">
        <f>'Sampling Data'!B856</f>
        <v>95</v>
      </c>
      <c r="D856" s="17">
        <f>'Sampling Data'!C856</f>
        <v>299</v>
      </c>
      <c r="E856" s="18">
        <f>'Sampling Data'!D856</f>
        <v>0</v>
      </c>
      <c r="F856" s="18">
        <f>'Sampling Data'!E856</f>
        <v>0</v>
      </c>
      <c r="G856" s="18">
        <f>'Sampling Data'!F856</f>
        <v>0</v>
      </c>
      <c r="H856" s="18">
        <f>'Sampling Data'!G856</f>
        <v>0</v>
      </c>
      <c r="I856" s="18">
        <f>'Sampling Data'!H856</f>
        <v>0</v>
      </c>
      <c r="J856" s="18">
        <f>'Sampling Data'!I856</f>
        <v>0</v>
      </c>
      <c r="K856" s="18">
        <f>'Sampling Data'!J856</f>
        <v>0</v>
      </c>
      <c r="L856" s="18">
        <f>'Sampling Data'!K856</f>
        <v>0</v>
      </c>
      <c r="M856" s="18">
        <f>'Sampling Data'!L856</f>
        <v>0</v>
      </c>
      <c r="N856" s="18">
        <f>'Sampling Data'!M856</f>
        <v>0</v>
      </c>
      <c r="O856" s="17">
        <f>'Sampling Data'!N856</f>
        <v>0</v>
      </c>
      <c r="P856" s="17">
        <f>'Sampling Data'!O856</f>
        <v>45</v>
      </c>
      <c r="Q856" s="17">
        <f>'Sampling Data'!P856</f>
        <v>439</v>
      </c>
      <c r="R856" s="17">
        <f>'Sampling Data'!AJ856</f>
        <v>0</v>
      </c>
      <c r="S856" s="111"/>
      <c r="T856" s="111"/>
      <c r="U856" s="112"/>
      <c r="V856" s="112"/>
      <c r="W856" s="111"/>
      <c r="X856" s="111"/>
      <c r="Y856" s="111"/>
      <c r="Z856" s="111"/>
      <c r="AA856" s="14"/>
      <c r="AB856" s="14"/>
      <c r="AC856" s="14"/>
      <c r="AD856" s="14"/>
      <c r="AE856" s="113" t="str">
        <f>IF(NOT(ISBLANK(Audit[[#This Row],[Audit Winning Candidate]])), Audit[[#This Row],[Audit Winning Candidate]]-Audit[[#This Row],[Winning Candidate]], "")</f>
        <v/>
      </c>
      <c r="AF856" s="17" t="str">
        <f>IF(NOT(ISBLANK(Audit[[#This Row],[Audit Losing Candidate]])), Audit[[#This Row],[Audit Losing Candidate]]-Audit[[#This Row],[Losing Candidate]], "")</f>
        <v/>
      </c>
      <c r="AG856" s="17" t="str">
        <f>IF(NOT(ISBLANK(Audit[[#This Row],[Audit Candidate 3]])), Audit[[#This Row],[Audit Candidate 3]]-Audit[[#This Row],[Candidate 3]], "")</f>
        <v/>
      </c>
      <c r="AH856" s="17" t="str">
        <f>IF(NOT(ISBLANK(Audit[[#This Row],[Audit Candidate 4]])),Audit[[#This Row],[Audit Candidate 4]]-Audit[[#This Row],[Candidate 4]], "")</f>
        <v/>
      </c>
      <c r="AI856" s="17" t="str">
        <f>IF(NOT(ISBLANK(Audit[[#This Row],[Audit Candidate 5]])), Audit[[#This Row],[Audit Candidate 5]]-Audit[[#This Row],[Candidate 5]], "")</f>
        <v/>
      </c>
      <c r="AJ856" s="17" t="str">
        <f>IF(NOT(ISBLANK(Audit[[#This Row],[Audit Candidate 6]])), Audit[[#This Row],[Audit Candidate 6]]-Audit[[#This Row],[Candidate 6]], "")</f>
        <v/>
      </c>
      <c r="AK856" s="17" t="str">
        <f>IF(NOT(ISBLANK(Audit[[#This Row],[Audit Candidate 7]])), Audit[[#This Row],[Audit Candidate 7]]-Audit[[#This Row],[Candidate 7]], "")</f>
        <v/>
      </c>
      <c r="AL856" s="17" t="str">
        <f>IF(NOT(ISBLANK(Audit[[#This Row],[Audit Candidate 8]])), Audit[[#This Row],[Audit Candidate 8]]-Audit[[#This Row],[Candidate 8]], "")</f>
        <v/>
      </c>
      <c r="AM856" s="17" t="str">
        <f>IF(NOT(ISBLANK(Audit[[#This Row],[Audit Candidate 9]])), Audit[[#This Row],[Audit Candidate 9]]-Audit[[#This Row],[Candidate 9]], "")</f>
        <v/>
      </c>
      <c r="AN856" s="17" t="str">
        <f>IF(NOT(ISBLANK(Audit[[#This Row],[Audit Candidate 10]])), Audit[[#This Row],[Audit Candidate 10]]-Audit[[#This Row],[Candidate 10]], "")</f>
        <v/>
      </c>
      <c r="AO856" s="17" t="str">
        <f>IF(NOT(ISBLANK(Audit[[#This Row],[Audit Candidate 11]])), Audit[[#This Row],[Audit Candidate 11]]-Audit[[#This Row],[Candidate 11]], "")</f>
        <v/>
      </c>
      <c r="AP856" s="17" t="str">
        <f>IF(NOT(ISBLANK(Audit[[#This Row],[Audit Candidate 12]])), Audit[[#This Row],[Audit Candidate 12]]-Audit[[#This Row],[Candidate 12]], "")</f>
        <v/>
      </c>
      <c r="AQ856" s="17">
        <f>SUMIF(Audit[[#This Row],[Difference Winner]:[Difference Candidate 12]], "&gt;0")</f>
        <v>0</v>
      </c>
      <c r="AR856" s="17">
        <f>SUM(Audit[[#This Row],[Difference Winner]:[Difference Candidate 12]])</f>
        <v>0</v>
      </c>
      <c r="AS856" s="17">
        <f>IF(Audit[[#This Row],[Times p Drawn - With Replacement]]&gt;0, IF(Audit[[#This Row],[Canceled Differences]]&lt;0, Audit[[#This Row],[Max Differences]]+ABS(Audit[[#This Row],[Canceled Differences]]), Audit[[#This Row],[Max Differences]]), 0)</f>
        <v>0</v>
      </c>
      <c r="AT856" s="17">
        <f>'Sampling Data'!AB856</f>
        <v>9.9728399253097948E-3</v>
      </c>
      <c r="AU856" s="17">
        <f>IF(
      SUM(Audit[[#This Row],[Audit Losing Candidate]:[Audit Candidate 12]])
      &lt;&gt;0,
      (Audit[[#This Row],[Winning Candidate]]-Audit[[#This Row],[Losing Candidate]]-(Audit[[#This Row],[Audit Winning Candidate]]-Audit[[#This Row],[Audit Losing Candidate]]))/(Audit[[#Totals],[Winning Candidate]]-Audit[[#Totals],[Losing Candidate]]),
      0
)</f>
        <v>0</v>
      </c>
      <c r="AV8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6" s="17">
        <f>IF(Audit[[#This Row],[Max Relative Error (ep)]] = 0, 0, Audit[[#This Row],[Max Relative Error (ep)]]/Audit[[#This Row],[Error Bound (up) - Max. possible relative overstatement]])</f>
        <v>0</v>
      </c>
      <c r="BH8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56" s="17">
        <f t="shared" si="14"/>
        <v>1</v>
      </c>
      <c r="BJ856" s="17">
        <f>PRODUCT($BI$5:BI856)</f>
        <v>0.19189130878662058</v>
      </c>
      <c r="BK856" s="19">
        <f>1 - Audit[[#This Row],[K-M P Value]]</f>
        <v>0.80810869121337947</v>
      </c>
      <c r="BL856" s="17" t="str">
        <f>IF(Audit[[#This Row],[K-M P Value]]&gt;1-'General Info'!$B$12,"Continue", "Stop")</f>
        <v>Continue</v>
      </c>
      <c r="BM856" s="22" t="b">
        <f>IF(Audit[[#This Row],[Status - Continue or stop audit]] = "Continue", TRUE, IF(BL855 = "Continue", TRUE, FALSE))</f>
        <v>1</v>
      </c>
      <c r="BN856" s="22"/>
    </row>
    <row r="857" spans="1:66" ht="15" hidden="1" customHeight="1" x14ac:dyDescent="0.35">
      <c r="A857" s="17" t="str">
        <f>'Sampling Data'!AI857</f>
        <v/>
      </c>
      <c r="B857" s="17" t="str">
        <f>'Sampling Data'!A857</f>
        <v>4642 READ 4-B   (ED)</v>
      </c>
      <c r="C857" s="17">
        <f>'Sampling Data'!B857</f>
        <v>127</v>
      </c>
      <c r="D857" s="17">
        <f>'Sampling Data'!C857</f>
        <v>426</v>
      </c>
      <c r="E857" s="18">
        <f>'Sampling Data'!D857</f>
        <v>0</v>
      </c>
      <c r="F857" s="18">
        <f>'Sampling Data'!E857</f>
        <v>0</v>
      </c>
      <c r="G857" s="18">
        <f>'Sampling Data'!F857</f>
        <v>0</v>
      </c>
      <c r="H857" s="18">
        <f>'Sampling Data'!G857</f>
        <v>0</v>
      </c>
      <c r="I857" s="18">
        <f>'Sampling Data'!H857</f>
        <v>0</v>
      </c>
      <c r="J857" s="18">
        <f>'Sampling Data'!I857</f>
        <v>0</v>
      </c>
      <c r="K857" s="18">
        <f>'Sampling Data'!J857</f>
        <v>0</v>
      </c>
      <c r="L857" s="18">
        <f>'Sampling Data'!K857</f>
        <v>0</v>
      </c>
      <c r="M857" s="18">
        <f>'Sampling Data'!L857</f>
        <v>0</v>
      </c>
      <c r="N857" s="18">
        <f>'Sampling Data'!M857</f>
        <v>0</v>
      </c>
      <c r="O857" s="17">
        <f>'Sampling Data'!N857</f>
        <v>0</v>
      </c>
      <c r="P857" s="17">
        <f>'Sampling Data'!O857</f>
        <v>37</v>
      </c>
      <c r="Q857" s="17">
        <f>'Sampling Data'!P857</f>
        <v>590</v>
      </c>
      <c r="R857" s="17">
        <f>'Sampling Data'!AJ857</f>
        <v>0</v>
      </c>
      <c r="S857" s="111"/>
      <c r="T857" s="111"/>
      <c r="U857" s="112"/>
      <c r="V857" s="112"/>
      <c r="W857" s="111"/>
      <c r="X857" s="111"/>
      <c r="Y857" s="111"/>
      <c r="Z857" s="111"/>
      <c r="AA857" s="14"/>
      <c r="AB857" s="14"/>
      <c r="AC857" s="14"/>
      <c r="AD857" s="14"/>
      <c r="AE857" s="113" t="str">
        <f>IF(NOT(ISBLANK(Audit[[#This Row],[Audit Winning Candidate]])), Audit[[#This Row],[Audit Winning Candidate]]-Audit[[#This Row],[Winning Candidate]], "")</f>
        <v/>
      </c>
      <c r="AF857" s="17" t="str">
        <f>IF(NOT(ISBLANK(Audit[[#This Row],[Audit Losing Candidate]])), Audit[[#This Row],[Audit Losing Candidate]]-Audit[[#This Row],[Losing Candidate]], "")</f>
        <v/>
      </c>
      <c r="AG857" s="17" t="str">
        <f>IF(NOT(ISBLANK(Audit[[#This Row],[Audit Candidate 3]])), Audit[[#This Row],[Audit Candidate 3]]-Audit[[#This Row],[Candidate 3]], "")</f>
        <v/>
      </c>
      <c r="AH857" s="17" t="str">
        <f>IF(NOT(ISBLANK(Audit[[#This Row],[Audit Candidate 4]])),Audit[[#This Row],[Audit Candidate 4]]-Audit[[#This Row],[Candidate 4]], "")</f>
        <v/>
      </c>
      <c r="AI857" s="17" t="str">
        <f>IF(NOT(ISBLANK(Audit[[#This Row],[Audit Candidate 5]])), Audit[[#This Row],[Audit Candidate 5]]-Audit[[#This Row],[Candidate 5]], "")</f>
        <v/>
      </c>
      <c r="AJ857" s="17" t="str">
        <f>IF(NOT(ISBLANK(Audit[[#This Row],[Audit Candidate 6]])), Audit[[#This Row],[Audit Candidate 6]]-Audit[[#This Row],[Candidate 6]], "")</f>
        <v/>
      </c>
      <c r="AK857" s="17" t="str">
        <f>IF(NOT(ISBLANK(Audit[[#This Row],[Audit Candidate 7]])), Audit[[#This Row],[Audit Candidate 7]]-Audit[[#This Row],[Candidate 7]], "")</f>
        <v/>
      </c>
      <c r="AL857" s="17" t="str">
        <f>IF(NOT(ISBLANK(Audit[[#This Row],[Audit Candidate 8]])), Audit[[#This Row],[Audit Candidate 8]]-Audit[[#This Row],[Candidate 8]], "")</f>
        <v/>
      </c>
      <c r="AM857" s="17" t="str">
        <f>IF(NOT(ISBLANK(Audit[[#This Row],[Audit Candidate 9]])), Audit[[#This Row],[Audit Candidate 9]]-Audit[[#This Row],[Candidate 9]], "")</f>
        <v/>
      </c>
      <c r="AN857" s="17" t="str">
        <f>IF(NOT(ISBLANK(Audit[[#This Row],[Audit Candidate 10]])), Audit[[#This Row],[Audit Candidate 10]]-Audit[[#This Row],[Candidate 10]], "")</f>
        <v/>
      </c>
      <c r="AO857" s="17" t="str">
        <f>IF(NOT(ISBLANK(Audit[[#This Row],[Audit Candidate 11]])), Audit[[#This Row],[Audit Candidate 11]]-Audit[[#This Row],[Candidate 11]], "")</f>
        <v/>
      </c>
      <c r="AP857" s="17" t="str">
        <f>IF(NOT(ISBLANK(Audit[[#This Row],[Audit Candidate 12]])), Audit[[#This Row],[Audit Candidate 12]]-Audit[[#This Row],[Candidate 12]], "")</f>
        <v/>
      </c>
      <c r="AQ857" s="17">
        <f>SUMIF(Audit[[#This Row],[Difference Winner]:[Difference Candidate 12]], "&gt;0")</f>
        <v>0</v>
      </c>
      <c r="AR857" s="17">
        <f>SUM(Audit[[#This Row],[Difference Winner]:[Difference Candidate 12]])</f>
        <v>0</v>
      </c>
      <c r="AS857" s="17">
        <f>IF(Audit[[#This Row],[Times p Drawn - With Replacement]]&gt;0, IF(Audit[[#This Row],[Canceled Differences]]&lt;0, Audit[[#This Row],[Max Differences]]+ABS(Audit[[#This Row],[Canceled Differences]]), Audit[[#This Row],[Max Differences]]), 0)</f>
        <v>0</v>
      </c>
      <c r="AT857" s="17">
        <f>'Sampling Data'!AB857</f>
        <v>1.2349346460702766E-2</v>
      </c>
      <c r="AU857" s="17">
        <f>IF(
      SUM(Audit[[#This Row],[Audit Losing Candidate]:[Audit Candidate 12]])
      &lt;&gt;0,
      (Audit[[#This Row],[Winning Candidate]]-Audit[[#This Row],[Losing Candidate]]-(Audit[[#This Row],[Audit Winning Candidate]]-Audit[[#This Row],[Audit Losing Candidate]]))/(Audit[[#Totals],[Winning Candidate]]-Audit[[#Totals],[Losing Candidate]]),
      0
)</f>
        <v>0</v>
      </c>
      <c r="AV8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7" s="17">
        <f>IF(Audit[[#This Row],[Max Relative Error (ep)]] = 0, 0, Audit[[#This Row],[Max Relative Error (ep)]]/Audit[[#This Row],[Error Bound (up) - Max. possible relative overstatement]])</f>
        <v>0</v>
      </c>
      <c r="BH8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57" s="17">
        <f t="shared" si="14"/>
        <v>1</v>
      </c>
      <c r="BJ857" s="17">
        <f>PRODUCT($BI$5:BI857)</f>
        <v>0.19189130878662058</v>
      </c>
      <c r="BK857" s="19">
        <f>1 - Audit[[#This Row],[K-M P Value]]</f>
        <v>0.80810869121337947</v>
      </c>
      <c r="BL857" s="17" t="str">
        <f>IF(Audit[[#This Row],[K-M P Value]]&gt;1-'General Info'!$B$12,"Continue", "Stop")</f>
        <v>Continue</v>
      </c>
      <c r="BM857" s="22" t="b">
        <f>IF(Audit[[#This Row],[Status - Continue or stop audit]] = "Continue", TRUE, IF(BL856 = "Continue", TRUE, FALSE))</f>
        <v>1</v>
      </c>
      <c r="BN857" s="22"/>
    </row>
    <row r="858" spans="1:66" ht="15" hidden="1" customHeight="1" x14ac:dyDescent="0.35">
      <c r="A858" s="17" t="str">
        <f>'Sampling Data'!AI858</f>
        <v/>
      </c>
      <c r="B858" s="17" t="str">
        <f>'Sampling Data'!A858</f>
        <v>4911 SHAR 1-A   (ED)</v>
      </c>
      <c r="C858" s="17">
        <f>'Sampling Data'!B858</f>
        <v>154</v>
      </c>
      <c r="D858" s="17">
        <f>'Sampling Data'!C858</f>
        <v>190</v>
      </c>
      <c r="E858" s="18">
        <f>'Sampling Data'!D858</f>
        <v>0</v>
      </c>
      <c r="F858" s="18">
        <f>'Sampling Data'!E858</f>
        <v>0</v>
      </c>
      <c r="G858" s="18">
        <f>'Sampling Data'!F858</f>
        <v>0</v>
      </c>
      <c r="H858" s="18">
        <f>'Sampling Data'!G858</f>
        <v>0</v>
      </c>
      <c r="I858" s="18">
        <f>'Sampling Data'!H858</f>
        <v>0</v>
      </c>
      <c r="J858" s="18">
        <f>'Sampling Data'!I858</f>
        <v>0</v>
      </c>
      <c r="K858" s="18">
        <f>'Sampling Data'!J858</f>
        <v>0</v>
      </c>
      <c r="L858" s="18">
        <f>'Sampling Data'!K858</f>
        <v>0</v>
      </c>
      <c r="M858" s="18">
        <f>'Sampling Data'!L858</f>
        <v>0</v>
      </c>
      <c r="N858" s="18">
        <f>'Sampling Data'!M858</f>
        <v>0</v>
      </c>
      <c r="O858" s="17">
        <f>'Sampling Data'!N858</f>
        <v>0</v>
      </c>
      <c r="P858" s="17">
        <f>'Sampling Data'!O858</f>
        <v>23</v>
      </c>
      <c r="Q858" s="17">
        <f>'Sampling Data'!P858</f>
        <v>367</v>
      </c>
      <c r="R858" s="17">
        <f>'Sampling Data'!AJ858</f>
        <v>0</v>
      </c>
      <c r="S858" s="111"/>
      <c r="T858" s="111"/>
      <c r="U858" s="112"/>
      <c r="V858" s="112"/>
      <c r="W858" s="111"/>
      <c r="X858" s="111"/>
      <c r="Y858" s="111"/>
      <c r="Z858" s="111"/>
      <c r="AA858" s="14"/>
      <c r="AB858" s="14"/>
      <c r="AC858" s="14"/>
      <c r="AD858" s="14"/>
      <c r="AE858" s="113" t="str">
        <f>IF(NOT(ISBLANK(Audit[[#This Row],[Audit Winning Candidate]])), Audit[[#This Row],[Audit Winning Candidate]]-Audit[[#This Row],[Winning Candidate]], "")</f>
        <v/>
      </c>
      <c r="AF858" s="17" t="str">
        <f>IF(NOT(ISBLANK(Audit[[#This Row],[Audit Losing Candidate]])), Audit[[#This Row],[Audit Losing Candidate]]-Audit[[#This Row],[Losing Candidate]], "")</f>
        <v/>
      </c>
      <c r="AG858" s="17" t="str">
        <f>IF(NOT(ISBLANK(Audit[[#This Row],[Audit Candidate 3]])), Audit[[#This Row],[Audit Candidate 3]]-Audit[[#This Row],[Candidate 3]], "")</f>
        <v/>
      </c>
      <c r="AH858" s="17" t="str">
        <f>IF(NOT(ISBLANK(Audit[[#This Row],[Audit Candidate 4]])),Audit[[#This Row],[Audit Candidate 4]]-Audit[[#This Row],[Candidate 4]], "")</f>
        <v/>
      </c>
      <c r="AI858" s="17" t="str">
        <f>IF(NOT(ISBLANK(Audit[[#This Row],[Audit Candidate 5]])), Audit[[#This Row],[Audit Candidate 5]]-Audit[[#This Row],[Candidate 5]], "")</f>
        <v/>
      </c>
      <c r="AJ858" s="17" t="str">
        <f>IF(NOT(ISBLANK(Audit[[#This Row],[Audit Candidate 6]])), Audit[[#This Row],[Audit Candidate 6]]-Audit[[#This Row],[Candidate 6]], "")</f>
        <v/>
      </c>
      <c r="AK858" s="17" t="str">
        <f>IF(NOT(ISBLANK(Audit[[#This Row],[Audit Candidate 7]])), Audit[[#This Row],[Audit Candidate 7]]-Audit[[#This Row],[Candidate 7]], "")</f>
        <v/>
      </c>
      <c r="AL858" s="17" t="str">
        <f>IF(NOT(ISBLANK(Audit[[#This Row],[Audit Candidate 8]])), Audit[[#This Row],[Audit Candidate 8]]-Audit[[#This Row],[Candidate 8]], "")</f>
        <v/>
      </c>
      <c r="AM858" s="17" t="str">
        <f>IF(NOT(ISBLANK(Audit[[#This Row],[Audit Candidate 9]])), Audit[[#This Row],[Audit Candidate 9]]-Audit[[#This Row],[Candidate 9]], "")</f>
        <v/>
      </c>
      <c r="AN858" s="17" t="str">
        <f>IF(NOT(ISBLANK(Audit[[#This Row],[Audit Candidate 10]])), Audit[[#This Row],[Audit Candidate 10]]-Audit[[#This Row],[Candidate 10]], "")</f>
        <v/>
      </c>
      <c r="AO858" s="17" t="str">
        <f>IF(NOT(ISBLANK(Audit[[#This Row],[Audit Candidate 11]])), Audit[[#This Row],[Audit Candidate 11]]-Audit[[#This Row],[Candidate 11]], "")</f>
        <v/>
      </c>
      <c r="AP858" s="17" t="str">
        <f>IF(NOT(ISBLANK(Audit[[#This Row],[Audit Candidate 12]])), Audit[[#This Row],[Audit Candidate 12]]-Audit[[#This Row],[Candidate 12]], "")</f>
        <v/>
      </c>
      <c r="AQ858" s="17">
        <f>SUMIF(Audit[[#This Row],[Difference Winner]:[Difference Candidate 12]], "&gt;0")</f>
        <v>0</v>
      </c>
      <c r="AR858" s="17">
        <f>SUM(Audit[[#This Row],[Difference Winner]:[Difference Candidate 12]])</f>
        <v>0</v>
      </c>
      <c r="AS858" s="17">
        <f>IF(Audit[[#This Row],[Times p Drawn - With Replacement]]&gt;0, IF(Audit[[#This Row],[Canceled Differences]]&lt;0, Audit[[#This Row],[Max Differences]]+ABS(Audit[[#This Row],[Canceled Differences]]), Audit[[#This Row],[Max Differences]]), 0)</f>
        <v>0</v>
      </c>
      <c r="AT858" s="17">
        <f>'Sampling Data'!AB858</f>
        <v>1.4046851128840604E-2</v>
      </c>
      <c r="AU858" s="17">
        <f>IF(
      SUM(Audit[[#This Row],[Audit Losing Candidate]:[Audit Candidate 12]])
      &lt;&gt;0,
      (Audit[[#This Row],[Winning Candidate]]-Audit[[#This Row],[Losing Candidate]]-(Audit[[#This Row],[Audit Winning Candidate]]-Audit[[#This Row],[Audit Losing Candidate]]))/(Audit[[#Totals],[Winning Candidate]]-Audit[[#Totals],[Losing Candidate]]),
      0
)</f>
        <v>0</v>
      </c>
      <c r="AV8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8" s="17">
        <f>IF(Audit[[#This Row],[Max Relative Error (ep)]] = 0, 0, Audit[[#This Row],[Max Relative Error (ep)]]/Audit[[#This Row],[Error Bound (up) - Max. possible relative overstatement]])</f>
        <v>0</v>
      </c>
      <c r="BH8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58" s="17">
        <f t="shared" si="14"/>
        <v>1</v>
      </c>
      <c r="BJ858" s="17">
        <f>PRODUCT($BI$5:BI858)</f>
        <v>0.19189130878662058</v>
      </c>
      <c r="BK858" s="19">
        <f>1 - Audit[[#This Row],[K-M P Value]]</f>
        <v>0.80810869121337947</v>
      </c>
      <c r="BL858" s="17" t="str">
        <f>IF(Audit[[#This Row],[K-M P Value]]&gt;1-'General Info'!$B$12,"Continue", "Stop")</f>
        <v>Continue</v>
      </c>
      <c r="BM858" s="22" t="b">
        <f>IF(Audit[[#This Row],[Status - Continue or stop audit]] = "Continue", TRUE, IF(BL857 = "Continue", TRUE, FALSE))</f>
        <v>1</v>
      </c>
      <c r="BN858" s="22"/>
    </row>
    <row r="859" spans="1:66" ht="15" hidden="1" customHeight="1" x14ac:dyDescent="0.35">
      <c r="A859" s="17" t="str">
        <f>'Sampling Data'!AI859</f>
        <v/>
      </c>
      <c r="B859" s="17" t="str">
        <f>'Sampling Data'!A859</f>
        <v>4912 SHAR 1-B   (ED)</v>
      </c>
      <c r="C859" s="17">
        <f>'Sampling Data'!B859</f>
        <v>141</v>
      </c>
      <c r="D859" s="17">
        <f>'Sampling Data'!C859</f>
        <v>121</v>
      </c>
      <c r="E859" s="18">
        <f>'Sampling Data'!D859</f>
        <v>0</v>
      </c>
      <c r="F859" s="18">
        <f>'Sampling Data'!E859</f>
        <v>0</v>
      </c>
      <c r="G859" s="18">
        <f>'Sampling Data'!F859</f>
        <v>0</v>
      </c>
      <c r="H859" s="18">
        <f>'Sampling Data'!G859</f>
        <v>0</v>
      </c>
      <c r="I859" s="18">
        <f>'Sampling Data'!H859</f>
        <v>0</v>
      </c>
      <c r="J859" s="18">
        <f>'Sampling Data'!I859</f>
        <v>0</v>
      </c>
      <c r="K859" s="18">
        <f>'Sampling Data'!J859</f>
        <v>0</v>
      </c>
      <c r="L859" s="18">
        <f>'Sampling Data'!K859</f>
        <v>0</v>
      </c>
      <c r="M859" s="18">
        <f>'Sampling Data'!L859</f>
        <v>0</v>
      </c>
      <c r="N859" s="18">
        <f>'Sampling Data'!M859</f>
        <v>0</v>
      </c>
      <c r="O859" s="17">
        <f>'Sampling Data'!N859</f>
        <v>1</v>
      </c>
      <c r="P859" s="17">
        <f>'Sampling Data'!O859</f>
        <v>29</v>
      </c>
      <c r="Q859" s="17">
        <f>'Sampling Data'!P859</f>
        <v>292</v>
      </c>
      <c r="R859" s="17">
        <f>'Sampling Data'!AJ859</f>
        <v>0</v>
      </c>
      <c r="S859" s="111"/>
      <c r="T859" s="111"/>
      <c r="U859" s="112"/>
      <c r="V859" s="112"/>
      <c r="W859" s="111"/>
      <c r="X859" s="111"/>
      <c r="Y859" s="111"/>
      <c r="Z859" s="111"/>
      <c r="AA859" s="14"/>
      <c r="AB859" s="14"/>
      <c r="AC859" s="14"/>
      <c r="AD859" s="14"/>
      <c r="AE859" s="113" t="str">
        <f>IF(NOT(ISBLANK(Audit[[#This Row],[Audit Winning Candidate]])), Audit[[#This Row],[Audit Winning Candidate]]-Audit[[#This Row],[Winning Candidate]], "")</f>
        <v/>
      </c>
      <c r="AF859" s="17" t="str">
        <f>IF(NOT(ISBLANK(Audit[[#This Row],[Audit Losing Candidate]])), Audit[[#This Row],[Audit Losing Candidate]]-Audit[[#This Row],[Losing Candidate]], "")</f>
        <v/>
      </c>
      <c r="AG859" s="17" t="str">
        <f>IF(NOT(ISBLANK(Audit[[#This Row],[Audit Candidate 3]])), Audit[[#This Row],[Audit Candidate 3]]-Audit[[#This Row],[Candidate 3]], "")</f>
        <v/>
      </c>
      <c r="AH859" s="17" t="str">
        <f>IF(NOT(ISBLANK(Audit[[#This Row],[Audit Candidate 4]])),Audit[[#This Row],[Audit Candidate 4]]-Audit[[#This Row],[Candidate 4]], "")</f>
        <v/>
      </c>
      <c r="AI859" s="17" t="str">
        <f>IF(NOT(ISBLANK(Audit[[#This Row],[Audit Candidate 5]])), Audit[[#This Row],[Audit Candidate 5]]-Audit[[#This Row],[Candidate 5]], "")</f>
        <v/>
      </c>
      <c r="AJ859" s="17" t="str">
        <f>IF(NOT(ISBLANK(Audit[[#This Row],[Audit Candidate 6]])), Audit[[#This Row],[Audit Candidate 6]]-Audit[[#This Row],[Candidate 6]], "")</f>
        <v/>
      </c>
      <c r="AK859" s="17" t="str">
        <f>IF(NOT(ISBLANK(Audit[[#This Row],[Audit Candidate 7]])), Audit[[#This Row],[Audit Candidate 7]]-Audit[[#This Row],[Candidate 7]], "")</f>
        <v/>
      </c>
      <c r="AL859" s="17" t="str">
        <f>IF(NOT(ISBLANK(Audit[[#This Row],[Audit Candidate 8]])), Audit[[#This Row],[Audit Candidate 8]]-Audit[[#This Row],[Candidate 8]], "")</f>
        <v/>
      </c>
      <c r="AM859" s="17" t="str">
        <f>IF(NOT(ISBLANK(Audit[[#This Row],[Audit Candidate 9]])), Audit[[#This Row],[Audit Candidate 9]]-Audit[[#This Row],[Candidate 9]], "")</f>
        <v/>
      </c>
      <c r="AN859" s="17" t="str">
        <f>IF(NOT(ISBLANK(Audit[[#This Row],[Audit Candidate 10]])), Audit[[#This Row],[Audit Candidate 10]]-Audit[[#This Row],[Candidate 10]], "")</f>
        <v/>
      </c>
      <c r="AO859" s="17" t="str">
        <f>IF(NOT(ISBLANK(Audit[[#This Row],[Audit Candidate 11]])), Audit[[#This Row],[Audit Candidate 11]]-Audit[[#This Row],[Candidate 11]], "")</f>
        <v/>
      </c>
      <c r="AP859" s="17" t="str">
        <f>IF(NOT(ISBLANK(Audit[[#This Row],[Audit Candidate 12]])), Audit[[#This Row],[Audit Candidate 12]]-Audit[[#This Row],[Candidate 12]], "")</f>
        <v/>
      </c>
      <c r="AQ859" s="17">
        <f>SUMIF(Audit[[#This Row],[Difference Winner]:[Difference Candidate 12]], "&gt;0")</f>
        <v>0</v>
      </c>
      <c r="AR859" s="17">
        <f>SUM(Audit[[#This Row],[Difference Winner]:[Difference Candidate 12]])</f>
        <v>0</v>
      </c>
      <c r="AS859" s="17">
        <f>IF(Audit[[#This Row],[Times p Drawn - With Replacement]]&gt;0, IF(Audit[[#This Row],[Canceled Differences]]&lt;0, Audit[[#This Row],[Max Differences]]+ABS(Audit[[#This Row],[Canceled Differences]]), Audit[[#This Row],[Max Differences]]), 0)</f>
        <v>0</v>
      </c>
      <c r="AT859" s="17">
        <f>'Sampling Data'!AB859</f>
        <v>1.3240536411475132E-2</v>
      </c>
      <c r="AU859" s="17">
        <f>IF(
      SUM(Audit[[#This Row],[Audit Losing Candidate]:[Audit Candidate 12]])
      &lt;&gt;0,
      (Audit[[#This Row],[Winning Candidate]]-Audit[[#This Row],[Losing Candidate]]-(Audit[[#This Row],[Audit Winning Candidate]]-Audit[[#This Row],[Audit Losing Candidate]]))/(Audit[[#Totals],[Winning Candidate]]-Audit[[#Totals],[Losing Candidate]]),
      0
)</f>
        <v>0</v>
      </c>
      <c r="AV8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9" s="17">
        <f>IF(Audit[[#This Row],[Max Relative Error (ep)]] = 0, 0, Audit[[#This Row],[Max Relative Error (ep)]]/Audit[[#This Row],[Error Bound (up) - Max. possible relative overstatement]])</f>
        <v>0</v>
      </c>
      <c r="BH8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59" s="17">
        <f t="shared" si="14"/>
        <v>1</v>
      </c>
      <c r="BJ859" s="17">
        <f>PRODUCT($BI$5:BI859)</f>
        <v>0.19189130878662058</v>
      </c>
      <c r="BK859" s="19">
        <f>1 - Audit[[#This Row],[K-M P Value]]</f>
        <v>0.80810869121337947</v>
      </c>
      <c r="BL859" s="17" t="str">
        <f>IF(Audit[[#This Row],[K-M P Value]]&gt;1-'General Info'!$B$12,"Continue", "Stop")</f>
        <v>Continue</v>
      </c>
      <c r="BM859" s="22" t="b">
        <f>IF(Audit[[#This Row],[Status - Continue or stop audit]] = "Continue", TRUE, IF(BL858 = "Continue", TRUE, FALSE))</f>
        <v>1</v>
      </c>
      <c r="BN859" s="22"/>
    </row>
    <row r="860" spans="1:66" ht="15" hidden="1" customHeight="1" x14ac:dyDescent="0.35">
      <c r="A860" s="17" t="str">
        <f>'Sampling Data'!AI860</f>
        <v/>
      </c>
      <c r="B860" s="17" t="str">
        <f>'Sampling Data'!A860</f>
        <v>4921 SHAR 2-A   (ED)</v>
      </c>
      <c r="C860" s="17">
        <f>'Sampling Data'!B860</f>
        <v>188</v>
      </c>
      <c r="D860" s="17">
        <f>'Sampling Data'!C860</f>
        <v>224</v>
      </c>
      <c r="E860" s="18">
        <f>'Sampling Data'!D860</f>
        <v>0</v>
      </c>
      <c r="F860" s="18">
        <f>'Sampling Data'!E860</f>
        <v>0</v>
      </c>
      <c r="G860" s="18">
        <f>'Sampling Data'!F860</f>
        <v>0</v>
      </c>
      <c r="H860" s="18">
        <f>'Sampling Data'!G860</f>
        <v>0</v>
      </c>
      <c r="I860" s="18">
        <f>'Sampling Data'!H860</f>
        <v>0</v>
      </c>
      <c r="J860" s="18">
        <f>'Sampling Data'!I860</f>
        <v>0</v>
      </c>
      <c r="K860" s="18">
        <f>'Sampling Data'!J860</f>
        <v>0</v>
      </c>
      <c r="L860" s="18">
        <f>'Sampling Data'!K860</f>
        <v>0</v>
      </c>
      <c r="M860" s="18">
        <f>'Sampling Data'!L860</f>
        <v>0</v>
      </c>
      <c r="N860" s="18">
        <f>'Sampling Data'!M860</f>
        <v>0</v>
      </c>
      <c r="O860" s="17">
        <f>'Sampling Data'!N860</f>
        <v>0</v>
      </c>
      <c r="P860" s="17">
        <f>'Sampling Data'!O860</f>
        <v>27</v>
      </c>
      <c r="Q860" s="17">
        <f>'Sampling Data'!P860</f>
        <v>439</v>
      </c>
      <c r="R860" s="17">
        <f>'Sampling Data'!AJ860</f>
        <v>0</v>
      </c>
      <c r="S860" s="111"/>
      <c r="T860" s="111"/>
      <c r="U860" s="112"/>
      <c r="V860" s="112"/>
      <c r="W860" s="111"/>
      <c r="X860" s="111"/>
      <c r="Y860" s="111"/>
      <c r="Z860" s="111"/>
      <c r="AA860" s="14"/>
      <c r="AB860" s="14"/>
      <c r="AC860" s="14"/>
      <c r="AD860" s="14"/>
      <c r="AE860" s="113" t="str">
        <f>IF(NOT(ISBLANK(Audit[[#This Row],[Audit Winning Candidate]])), Audit[[#This Row],[Audit Winning Candidate]]-Audit[[#This Row],[Winning Candidate]], "")</f>
        <v/>
      </c>
      <c r="AF860" s="17" t="str">
        <f>IF(NOT(ISBLANK(Audit[[#This Row],[Audit Losing Candidate]])), Audit[[#This Row],[Audit Losing Candidate]]-Audit[[#This Row],[Losing Candidate]], "")</f>
        <v/>
      </c>
      <c r="AG860" s="17" t="str">
        <f>IF(NOT(ISBLANK(Audit[[#This Row],[Audit Candidate 3]])), Audit[[#This Row],[Audit Candidate 3]]-Audit[[#This Row],[Candidate 3]], "")</f>
        <v/>
      </c>
      <c r="AH860" s="17" t="str">
        <f>IF(NOT(ISBLANK(Audit[[#This Row],[Audit Candidate 4]])),Audit[[#This Row],[Audit Candidate 4]]-Audit[[#This Row],[Candidate 4]], "")</f>
        <v/>
      </c>
      <c r="AI860" s="17" t="str">
        <f>IF(NOT(ISBLANK(Audit[[#This Row],[Audit Candidate 5]])), Audit[[#This Row],[Audit Candidate 5]]-Audit[[#This Row],[Candidate 5]], "")</f>
        <v/>
      </c>
      <c r="AJ860" s="17" t="str">
        <f>IF(NOT(ISBLANK(Audit[[#This Row],[Audit Candidate 6]])), Audit[[#This Row],[Audit Candidate 6]]-Audit[[#This Row],[Candidate 6]], "")</f>
        <v/>
      </c>
      <c r="AK860" s="17" t="str">
        <f>IF(NOT(ISBLANK(Audit[[#This Row],[Audit Candidate 7]])), Audit[[#This Row],[Audit Candidate 7]]-Audit[[#This Row],[Candidate 7]], "")</f>
        <v/>
      </c>
      <c r="AL860" s="17" t="str">
        <f>IF(NOT(ISBLANK(Audit[[#This Row],[Audit Candidate 8]])), Audit[[#This Row],[Audit Candidate 8]]-Audit[[#This Row],[Candidate 8]], "")</f>
        <v/>
      </c>
      <c r="AM860" s="17" t="str">
        <f>IF(NOT(ISBLANK(Audit[[#This Row],[Audit Candidate 9]])), Audit[[#This Row],[Audit Candidate 9]]-Audit[[#This Row],[Candidate 9]], "")</f>
        <v/>
      </c>
      <c r="AN860" s="17" t="str">
        <f>IF(NOT(ISBLANK(Audit[[#This Row],[Audit Candidate 10]])), Audit[[#This Row],[Audit Candidate 10]]-Audit[[#This Row],[Candidate 10]], "")</f>
        <v/>
      </c>
      <c r="AO860" s="17" t="str">
        <f>IF(NOT(ISBLANK(Audit[[#This Row],[Audit Candidate 11]])), Audit[[#This Row],[Audit Candidate 11]]-Audit[[#This Row],[Candidate 11]], "")</f>
        <v/>
      </c>
      <c r="AP860" s="17" t="str">
        <f>IF(NOT(ISBLANK(Audit[[#This Row],[Audit Candidate 12]])), Audit[[#This Row],[Audit Candidate 12]]-Audit[[#This Row],[Candidate 12]], "")</f>
        <v/>
      </c>
      <c r="AQ860" s="17">
        <f>SUMIF(Audit[[#This Row],[Difference Winner]:[Difference Candidate 12]], "&gt;0")</f>
        <v>0</v>
      </c>
      <c r="AR860" s="17">
        <f>SUM(Audit[[#This Row],[Difference Winner]:[Difference Candidate 12]])</f>
        <v>0</v>
      </c>
      <c r="AS860" s="17">
        <f>IF(Audit[[#This Row],[Times p Drawn - With Replacement]]&gt;0, IF(Audit[[#This Row],[Canceled Differences]]&lt;0, Audit[[#This Row],[Max Differences]]+ABS(Audit[[#This Row],[Canceled Differences]]), Audit[[#This Row],[Max Differences]]), 0)</f>
        <v>0</v>
      </c>
      <c r="AT860" s="17">
        <f>'Sampling Data'!AB860</f>
        <v>1.7102359531488712E-2</v>
      </c>
      <c r="AU860" s="17">
        <f>IF(
      SUM(Audit[[#This Row],[Audit Losing Candidate]:[Audit Candidate 12]])
      &lt;&gt;0,
      (Audit[[#This Row],[Winning Candidate]]-Audit[[#This Row],[Losing Candidate]]-(Audit[[#This Row],[Audit Winning Candidate]]-Audit[[#This Row],[Audit Losing Candidate]]))/(Audit[[#Totals],[Winning Candidate]]-Audit[[#Totals],[Losing Candidate]]),
      0
)</f>
        <v>0</v>
      </c>
      <c r="AV8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0" s="17">
        <f>IF(Audit[[#This Row],[Max Relative Error (ep)]] = 0, 0, Audit[[#This Row],[Max Relative Error (ep)]]/Audit[[#This Row],[Error Bound (up) - Max. possible relative overstatement]])</f>
        <v>0</v>
      </c>
      <c r="BH8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60" s="17">
        <f t="shared" si="14"/>
        <v>1</v>
      </c>
      <c r="BJ860" s="17">
        <f>PRODUCT($BI$5:BI860)</f>
        <v>0.19189130878662058</v>
      </c>
      <c r="BK860" s="19">
        <f>1 - Audit[[#This Row],[K-M P Value]]</f>
        <v>0.80810869121337947</v>
      </c>
      <c r="BL860" s="17" t="str">
        <f>IF(Audit[[#This Row],[K-M P Value]]&gt;1-'General Info'!$B$12,"Continue", "Stop")</f>
        <v>Continue</v>
      </c>
      <c r="BM860" s="22" t="b">
        <f>IF(Audit[[#This Row],[Status - Continue or stop audit]] = "Continue", TRUE, IF(BL859 = "Continue", TRUE, FALSE))</f>
        <v>1</v>
      </c>
      <c r="BN860" s="22"/>
    </row>
    <row r="861" spans="1:66" ht="15" hidden="1" customHeight="1" x14ac:dyDescent="0.35">
      <c r="A861" s="17" t="str">
        <f>'Sampling Data'!AI861</f>
        <v/>
      </c>
      <c r="B861" s="17" t="str">
        <f>'Sampling Data'!A861</f>
        <v>4931 SHAR 3-A   (ED)</v>
      </c>
      <c r="C861" s="17">
        <f>'Sampling Data'!B861</f>
        <v>224</v>
      </c>
      <c r="D861" s="17">
        <f>'Sampling Data'!C861</f>
        <v>325</v>
      </c>
      <c r="E861" s="18">
        <f>'Sampling Data'!D861</f>
        <v>0</v>
      </c>
      <c r="F861" s="18">
        <f>'Sampling Data'!E861</f>
        <v>0</v>
      </c>
      <c r="G861" s="18">
        <f>'Sampling Data'!F861</f>
        <v>0</v>
      </c>
      <c r="H861" s="18">
        <f>'Sampling Data'!G861</f>
        <v>0</v>
      </c>
      <c r="I861" s="18">
        <f>'Sampling Data'!H861</f>
        <v>0</v>
      </c>
      <c r="J861" s="18">
        <f>'Sampling Data'!I861</f>
        <v>0</v>
      </c>
      <c r="K861" s="18">
        <f>'Sampling Data'!J861</f>
        <v>0</v>
      </c>
      <c r="L861" s="18">
        <f>'Sampling Data'!K861</f>
        <v>0</v>
      </c>
      <c r="M861" s="18">
        <f>'Sampling Data'!L861</f>
        <v>0</v>
      </c>
      <c r="N861" s="18">
        <f>'Sampling Data'!M861</f>
        <v>0</v>
      </c>
      <c r="O861" s="17">
        <f>'Sampling Data'!N861</f>
        <v>2</v>
      </c>
      <c r="P861" s="17">
        <f>'Sampling Data'!O861</f>
        <v>59</v>
      </c>
      <c r="Q861" s="17">
        <f>'Sampling Data'!P861</f>
        <v>610</v>
      </c>
      <c r="R861" s="17">
        <f>'Sampling Data'!AJ861</f>
        <v>0</v>
      </c>
      <c r="S861" s="111"/>
      <c r="T861" s="111"/>
      <c r="U861" s="112"/>
      <c r="V861" s="112"/>
      <c r="W861" s="111"/>
      <c r="X861" s="111"/>
      <c r="Y861" s="111"/>
      <c r="Z861" s="111"/>
      <c r="AA861" s="14"/>
      <c r="AB861" s="14"/>
      <c r="AC861" s="14"/>
      <c r="AD861" s="14"/>
      <c r="AE861" s="113" t="str">
        <f>IF(NOT(ISBLANK(Audit[[#This Row],[Audit Winning Candidate]])), Audit[[#This Row],[Audit Winning Candidate]]-Audit[[#This Row],[Winning Candidate]], "")</f>
        <v/>
      </c>
      <c r="AF861" s="17" t="str">
        <f>IF(NOT(ISBLANK(Audit[[#This Row],[Audit Losing Candidate]])), Audit[[#This Row],[Audit Losing Candidate]]-Audit[[#This Row],[Losing Candidate]], "")</f>
        <v/>
      </c>
      <c r="AG861" s="17" t="str">
        <f>IF(NOT(ISBLANK(Audit[[#This Row],[Audit Candidate 3]])), Audit[[#This Row],[Audit Candidate 3]]-Audit[[#This Row],[Candidate 3]], "")</f>
        <v/>
      </c>
      <c r="AH861" s="17" t="str">
        <f>IF(NOT(ISBLANK(Audit[[#This Row],[Audit Candidate 4]])),Audit[[#This Row],[Audit Candidate 4]]-Audit[[#This Row],[Candidate 4]], "")</f>
        <v/>
      </c>
      <c r="AI861" s="17" t="str">
        <f>IF(NOT(ISBLANK(Audit[[#This Row],[Audit Candidate 5]])), Audit[[#This Row],[Audit Candidate 5]]-Audit[[#This Row],[Candidate 5]], "")</f>
        <v/>
      </c>
      <c r="AJ861" s="17" t="str">
        <f>IF(NOT(ISBLANK(Audit[[#This Row],[Audit Candidate 6]])), Audit[[#This Row],[Audit Candidate 6]]-Audit[[#This Row],[Candidate 6]], "")</f>
        <v/>
      </c>
      <c r="AK861" s="17" t="str">
        <f>IF(NOT(ISBLANK(Audit[[#This Row],[Audit Candidate 7]])), Audit[[#This Row],[Audit Candidate 7]]-Audit[[#This Row],[Candidate 7]], "")</f>
        <v/>
      </c>
      <c r="AL861" s="17" t="str">
        <f>IF(NOT(ISBLANK(Audit[[#This Row],[Audit Candidate 8]])), Audit[[#This Row],[Audit Candidate 8]]-Audit[[#This Row],[Candidate 8]], "")</f>
        <v/>
      </c>
      <c r="AM861" s="17" t="str">
        <f>IF(NOT(ISBLANK(Audit[[#This Row],[Audit Candidate 9]])), Audit[[#This Row],[Audit Candidate 9]]-Audit[[#This Row],[Candidate 9]], "")</f>
        <v/>
      </c>
      <c r="AN861" s="17" t="str">
        <f>IF(NOT(ISBLANK(Audit[[#This Row],[Audit Candidate 10]])), Audit[[#This Row],[Audit Candidate 10]]-Audit[[#This Row],[Candidate 10]], "")</f>
        <v/>
      </c>
      <c r="AO861" s="17" t="str">
        <f>IF(NOT(ISBLANK(Audit[[#This Row],[Audit Candidate 11]])), Audit[[#This Row],[Audit Candidate 11]]-Audit[[#This Row],[Candidate 11]], "")</f>
        <v/>
      </c>
      <c r="AP861" s="17" t="str">
        <f>IF(NOT(ISBLANK(Audit[[#This Row],[Audit Candidate 12]])), Audit[[#This Row],[Audit Candidate 12]]-Audit[[#This Row],[Candidate 12]], "")</f>
        <v/>
      </c>
      <c r="AQ861" s="17">
        <f>SUMIF(Audit[[#This Row],[Difference Winner]:[Difference Candidate 12]], "&gt;0")</f>
        <v>0</v>
      </c>
      <c r="AR861" s="17">
        <f>SUM(Audit[[#This Row],[Difference Winner]:[Difference Candidate 12]])</f>
        <v>0</v>
      </c>
      <c r="AS861" s="17">
        <f>IF(Audit[[#This Row],[Times p Drawn - With Replacement]]&gt;0, IF(Audit[[#This Row],[Canceled Differences]]&lt;0, Audit[[#This Row],[Max Differences]]+ABS(Audit[[#This Row],[Canceled Differences]]), Audit[[#This Row],[Max Differences]]), 0)</f>
        <v>0</v>
      </c>
      <c r="AT861" s="17">
        <f>'Sampling Data'!AB861</f>
        <v>2.1600746902053981E-2</v>
      </c>
      <c r="AU861" s="17">
        <f>IF(
      SUM(Audit[[#This Row],[Audit Losing Candidate]:[Audit Candidate 12]])
      &lt;&gt;0,
      (Audit[[#This Row],[Winning Candidate]]-Audit[[#This Row],[Losing Candidate]]-(Audit[[#This Row],[Audit Winning Candidate]]-Audit[[#This Row],[Audit Losing Candidate]]))/(Audit[[#Totals],[Winning Candidate]]-Audit[[#Totals],[Losing Candidate]]),
      0
)</f>
        <v>0</v>
      </c>
      <c r="AV8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1" s="17">
        <f>IF(Audit[[#This Row],[Max Relative Error (ep)]] = 0, 0, Audit[[#This Row],[Max Relative Error (ep)]]/Audit[[#This Row],[Error Bound (up) - Max. possible relative overstatement]])</f>
        <v>0</v>
      </c>
      <c r="BH8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61" s="17">
        <f t="shared" si="14"/>
        <v>1</v>
      </c>
      <c r="BJ861" s="17">
        <f>PRODUCT($BI$5:BI861)</f>
        <v>0.19189130878662058</v>
      </c>
      <c r="BK861" s="19">
        <f>1 - Audit[[#This Row],[K-M P Value]]</f>
        <v>0.80810869121337947</v>
      </c>
      <c r="BL861" s="17" t="str">
        <f>IF(Audit[[#This Row],[K-M P Value]]&gt;1-'General Info'!$B$12,"Continue", "Stop")</f>
        <v>Continue</v>
      </c>
      <c r="BM861" s="22" t="b">
        <f>IF(Audit[[#This Row],[Status - Continue or stop audit]] = "Continue", TRUE, IF(BL860 = "Continue", TRUE, FALSE))</f>
        <v>1</v>
      </c>
      <c r="BN861" s="22"/>
    </row>
    <row r="862" spans="1:66" ht="15" customHeight="1" x14ac:dyDescent="0.35">
      <c r="A862" s="17">
        <f>'Sampling Data'!AI862</f>
        <v>11</v>
      </c>
      <c r="B862" s="17" t="str">
        <f>'Sampling Data'!A862</f>
        <v>4932 SHAR 3-B   (ED)</v>
      </c>
      <c r="C862" s="17">
        <f>'Sampling Data'!B862</f>
        <v>116</v>
      </c>
      <c r="D862" s="17">
        <f>'Sampling Data'!C862</f>
        <v>268</v>
      </c>
      <c r="E862" s="18">
        <f>'Sampling Data'!D862</f>
        <v>0</v>
      </c>
      <c r="F862" s="18">
        <f>'Sampling Data'!E862</f>
        <v>0</v>
      </c>
      <c r="G862" s="18">
        <f>'Sampling Data'!F862</f>
        <v>0</v>
      </c>
      <c r="H862" s="18">
        <f>'Sampling Data'!G862</f>
        <v>0</v>
      </c>
      <c r="I862" s="18">
        <f>'Sampling Data'!H862</f>
        <v>0</v>
      </c>
      <c r="J862" s="18">
        <f>'Sampling Data'!I862</f>
        <v>0</v>
      </c>
      <c r="K862" s="18">
        <f>'Sampling Data'!J862</f>
        <v>0</v>
      </c>
      <c r="L862" s="18">
        <f>'Sampling Data'!K862</f>
        <v>0</v>
      </c>
      <c r="M862" s="18">
        <f>'Sampling Data'!L862</f>
        <v>0</v>
      </c>
      <c r="N862" s="18">
        <f>'Sampling Data'!M862</f>
        <v>0</v>
      </c>
      <c r="O862" s="17">
        <f>'Sampling Data'!N862</f>
        <v>0</v>
      </c>
      <c r="P862" s="17">
        <f>'Sampling Data'!O862</f>
        <v>34</v>
      </c>
      <c r="Q862" s="17">
        <f>'Sampling Data'!P862</f>
        <v>418</v>
      </c>
      <c r="R862" s="17">
        <f>'Sampling Data'!AJ862</f>
        <v>1</v>
      </c>
      <c r="S862" s="111">
        <v>116</v>
      </c>
      <c r="T862" s="111">
        <v>268</v>
      </c>
      <c r="U862" s="112"/>
      <c r="V862" s="112"/>
      <c r="W862" s="111"/>
      <c r="X862" s="111"/>
      <c r="Y862" s="111"/>
      <c r="Z862" s="111"/>
      <c r="AA862" s="14"/>
      <c r="AB862" s="14"/>
      <c r="AC862" s="14"/>
      <c r="AD862" s="14"/>
      <c r="AE862" s="113">
        <f>IF(NOT(ISBLANK(Audit[[#This Row],[Audit Winning Candidate]])), Audit[[#This Row],[Audit Winning Candidate]]-Audit[[#This Row],[Winning Candidate]], "")</f>
        <v>0</v>
      </c>
      <c r="AF862" s="17">
        <f>IF(NOT(ISBLANK(Audit[[#This Row],[Audit Losing Candidate]])), Audit[[#This Row],[Audit Losing Candidate]]-Audit[[#This Row],[Losing Candidate]], "")</f>
        <v>0</v>
      </c>
      <c r="AG862" s="17" t="str">
        <f>IF(NOT(ISBLANK(Audit[[#This Row],[Audit Candidate 3]])), Audit[[#This Row],[Audit Candidate 3]]-Audit[[#This Row],[Candidate 3]], "")</f>
        <v/>
      </c>
      <c r="AH862" s="17" t="str">
        <f>IF(NOT(ISBLANK(Audit[[#This Row],[Audit Candidate 4]])),Audit[[#This Row],[Audit Candidate 4]]-Audit[[#This Row],[Candidate 4]], "")</f>
        <v/>
      </c>
      <c r="AI862" s="17" t="str">
        <f>IF(NOT(ISBLANK(Audit[[#This Row],[Audit Candidate 5]])), Audit[[#This Row],[Audit Candidate 5]]-Audit[[#This Row],[Candidate 5]], "")</f>
        <v/>
      </c>
      <c r="AJ862" s="17" t="str">
        <f>IF(NOT(ISBLANK(Audit[[#This Row],[Audit Candidate 6]])), Audit[[#This Row],[Audit Candidate 6]]-Audit[[#This Row],[Candidate 6]], "")</f>
        <v/>
      </c>
      <c r="AK862" s="17" t="str">
        <f>IF(NOT(ISBLANK(Audit[[#This Row],[Audit Candidate 7]])), Audit[[#This Row],[Audit Candidate 7]]-Audit[[#This Row],[Candidate 7]], "")</f>
        <v/>
      </c>
      <c r="AL862" s="17" t="str">
        <f>IF(NOT(ISBLANK(Audit[[#This Row],[Audit Candidate 8]])), Audit[[#This Row],[Audit Candidate 8]]-Audit[[#This Row],[Candidate 8]], "")</f>
        <v/>
      </c>
      <c r="AM862" s="17" t="str">
        <f>IF(NOT(ISBLANK(Audit[[#This Row],[Audit Candidate 9]])), Audit[[#This Row],[Audit Candidate 9]]-Audit[[#This Row],[Candidate 9]], "")</f>
        <v/>
      </c>
      <c r="AN862" s="17" t="str">
        <f>IF(NOT(ISBLANK(Audit[[#This Row],[Audit Candidate 10]])), Audit[[#This Row],[Audit Candidate 10]]-Audit[[#This Row],[Candidate 10]], "")</f>
        <v/>
      </c>
      <c r="AO862" s="17" t="str">
        <f>IF(NOT(ISBLANK(Audit[[#This Row],[Audit Candidate 11]])), Audit[[#This Row],[Audit Candidate 11]]-Audit[[#This Row],[Candidate 11]], "")</f>
        <v/>
      </c>
      <c r="AP862" s="17" t="str">
        <f>IF(NOT(ISBLANK(Audit[[#This Row],[Audit Candidate 12]])), Audit[[#This Row],[Audit Candidate 12]]-Audit[[#This Row],[Candidate 12]], "")</f>
        <v/>
      </c>
      <c r="AQ862" s="17">
        <f>SUMIF(Audit[[#This Row],[Difference Winner]:[Difference Candidate 12]], "&gt;0")</f>
        <v>0</v>
      </c>
      <c r="AR862" s="17">
        <f>SUM(Audit[[#This Row],[Difference Winner]:[Difference Candidate 12]])</f>
        <v>0</v>
      </c>
      <c r="AS862" s="17">
        <f>IF(Audit[[#This Row],[Times p Drawn - With Replacement]]&gt;0, IF(Audit[[#This Row],[Canceled Differences]]&lt;0, Audit[[#This Row],[Max Differences]]+ABS(Audit[[#This Row],[Canceled Differences]]), Audit[[#This Row],[Max Differences]]), 0)</f>
        <v>0</v>
      </c>
      <c r="AT862" s="17">
        <f>'Sampling Data'!AB862</f>
        <v>1.1288406043116619E-2</v>
      </c>
      <c r="AU862" s="17">
        <f>IF(
      SUM(Audit[[#This Row],[Audit Losing Candidate]:[Audit Candidate 12]])
      &lt;&gt;0,
      (Audit[[#This Row],[Winning Candidate]]-Audit[[#This Row],[Losing Candidate]]-(Audit[[#This Row],[Audit Winning Candidate]]-Audit[[#This Row],[Audit Losing Candidate]]))/(Audit[[#Totals],[Winning Candidate]]-Audit[[#Totals],[Losing Candidate]]),
      0
)</f>
        <v>0</v>
      </c>
      <c r="AV8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2" s="17">
        <f>IF(Audit[[#This Row],[Max Relative Error (ep)]] = 0, 0, Audit[[#This Row],[Max Relative Error (ep)]]/Audit[[#This Row],[Error Bound (up) - Max. possible relative overstatement]])</f>
        <v>0</v>
      </c>
      <c r="BH8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62" s="17">
        <f t="shared" si="14"/>
        <v>0.94645908314247273</v>
      </c>
      <c r="BJ862" s="17">
        <f>PRODUCT($BI$5:BI862)</f>
        <v>0.18161727217719403</v>
      </c>
      <c r="BK862" s="19">
        <f>1 - Audit[[#This Row],[K-M P Value]]</f>
        <v>0.81838272782280597</v>
      </c>
      <c r="BL862" s="17" t="str">
        <f>IF(Audit[[#This Row],[K-M P Value]]&gt;1-'General Info'!$B$12,"Continue", "Stop")</f>
        <v>Continue</v>
      </c>
      <c r="BM862" s="22" t="b">
        <f>IF(Audit[[#This Row],[Status - Continue or stop audit]] = "Continue", TRUE, IF(BL861 = "Continue", TRUE, FALSE))</f>
        <v>1</v>
      </c>
      <c r="BN862" s="22"/>
    </row>
    <row r="863" spans="1:66" ht="15" hidden="1" customHeight="1" x14ac:dyDescent="0.35">
      <c r="A863" s="17" t="str">
        <f>'Sampling Data'!AI863</f>
        <v/>
      </c>
      <c r="B863" s="17" t="str">
        <f>'Sampling Data'!A863</f>
        <v>4941 SHAR 4-A   (ED)</v>
      </c>
      <c r="C863" s="17">
        <f>'Sampling Data'!B863</f>
        <v>181</v>
      </c>
      <c r="D863" s="17">
        <f>'Sampling Data'!C863</f>
        <v>313</v>
      </c>
      <c r="E863" s="18">
        <f>'Sampling Data'!D863</f>
        <v>0</v>
      </c>
      <c r="F863" s="18">
        <f>'Sampling Data'!E863</f>
        <v>0</v>
      </c>
      <c r="G863" s="18">
        <f>'Sampling Data'!F863</f>
        <v>0</v>
      </c>
      <c r="H863" s="18">
        <f>'Sampling Data'!G863</f>
        <v>0</v>
      </c>
      <c r="I863" s="18">
        <f>'Sampling Data'!H863</f>
        <v>0</v>
      </c>
      <c r="J863" s="18">
        <f>'Sampling Data'!I863</f>
        <v>0</v>
      </c>
      <c r="K863" s="18">
        <f>'Sampling Data'!J863</f>
        <v>0</v>
      </c>
      <c r="L863" s="18">
        <f>'Sampling Data'!K863</f>
        <v>0</v>
      </c>
      <c r="M863" s="18">
        <f>'Sampling Data'!L863</f>
        <v>0</v>
      </c>
      <c r="N863" s="18">
        <f>'Sampling Data'!M863</f>
        <v>0</v>
      </c>
      <c r="O863" s="17">
        <f>'Sampling Data'!N863</f>
        <v>1</v>
      </c>
      <c r="P863" s="17">
        <f>'Sampling Data'!O863</f>
        <v>32</v>
      </c>
      <c r="Q863" s="17">
        <f>'Sampling Data'!P863</f>
        <v>527</v>
      </c>
      <c r="R863" s="17">
        <f>'Sampling Data'!AJ863</f>
        <v>0</v>
      </c>
      <c r="S863" s="111"/>
      <c r="T863" s="111"/>
      <c r="U863" s="112"/>
      <c r="V863" s="112"/>
      <c r="W863" s="111"/>
      <c r="X863" s="111"/>
      <c r="Y863" s="111"/>
      <c r="Z863" s="111"/>
      <c r="AA863" s="14"/>
      <c r="AB863" s="14"/>
      <c r="AC863" s="14"/>
      <c r="AD863" s="14"/>
      <c r="AE863" s="113" t="str">
        <f>IF(NOT(ISBLANK(Audit[[#This Row],[Audit Winning Candidate]])), Audit[[#This Row],[Audit Winning Candidate]]-Audit[[#This Row],[Winning Candidate]], "")</f>
        <v/>
      </c>
      <c r="AF863" s="17" t="str">
        <f>IF(NOT(ISBLANK(Audit[[#This Row],[Audit Losing Candidate]])), Audit[[#This Row],[Audit Losing Candidate]]-Audit[[#This Row],[Losing Candidate]], "")</f>
        <v/>
      </c>
      <c r="AG863" s="17" t="str">
        <f>IF(NOT(ISBLANK(Audit[[#This Row],[Audit Candidate 3]])), Audit[[#This Row],[Audit Candidate 3]]-Audit[[#This Row],[Candidate 3]], "")</f>
        <v/>
      </c>
      <c r="AH863" s="17" t="str">
        <f>IF(NOT(ISBLANK(Audit[[#This Row],[Audit Candidate 4]])),Audit[[#This Row],[Audit Candidate 4]]-Audit[[#This Row],[Candidate 4]], "")</f>
        <v/>
      </c>
      <c r="AI863" s="17" t="str">
        <f>IF(NOT(ISBLANK(Audit[[#This Row],[Audit Candidate 5]])), Audit[[#This Row],[Audit Candidate 5]]-Audit[[#This Row],[Candidate 5]], "")</f>
        <v/>
      </c>
      <c r="AJ863" s="17" t="str">
        <f>IF(NOT(ISBLANK(Audit[[#This Row],[Audit Candidate 6]])), Audit[[#This Row],[Audit Candidate 6]]-Audit[[#This Row],[Candidate 6]], "")</f>
        <v/>
      </c>
      <c r="AK863" s="17" t="str">
        <f>IF(NOT(ISBLANK(Audit[[#This Row],[Audit Candidate 7]])), Audit[[#This Row],[Audit Candidate 7]]-Audit[[#This Row],[Candidate 7]], "")</f>
        <v/>
      </c>
      <c r="AL863" s="17" t="str">
        <f>IF(NOT(ISBLANK(Audit[[#This Row],[Audit Candidate 8]])), Audit[[#This Row],[Audit Candidate 8]]-Audit[[#This Row],[Candidate 8]], "")</f>
        <v/>
      </c>
      <c r="AM863" s="17" t="str">
        <f>IF(NOT(ISBLANK(Audit[[#This Row],[Audit Candidate 9]])), Audit[[#This Row],[Audit Candidate 9]]-Audit[[#This Row],[Candidate 9]], "")</f>
        <v/>
      </c>
      <c r="AN863" s="17" t="str">
        <f>IF(NOT(ISBLANK(Audit[[#This Row],[Audit Candidate 10]])), Audit[[#This Row],[Audit Candidate 10]]-Audit[[#This Row],[Candidate 10]], "")</f>
        <v/>
      </c>
      <c r="AO863" s="17" t="str">
        <f>IF(NOT(ISBLANK(Audit[[#This Row],[Audit Candidate 11]])), Audit[[#This Row],[Audit Candidate 11]]-Audit[[#This Row],[Candidate 11]], "")</f>
        <v/>
      </c>
      <c r="AP863" s="17" t="str">
        <f>IF(NOT(ISBLANK(Audit[[#This Row],[Audit Candidate 12]])), Audit[[#This Row],[Audit Candidate 12]]-Audit[[#This Row],[Candidate 12]], "")</f>
        <v/>
      </c>
      <c r="AQ863" s="17">
        <f>SUMIF(Audit[[#This Row],[Difference Winner]:[Difference Candidate 12]], "&gt;0")</f>
        <v>0</v>
      </c>
      <c r="AR863" s="17">
        <f>SUM(Audit[[#This Row],[Difference Winner]:[Difference Candidate 12]])</f>
        <v>0</v>
      </c>
      <c r="AS863" s="17">
        <f>IF(Audit[[#This Row],[Times p Drawn - With Replacement]]&gt;0, IF(Audit[[#This Row],[Canceled Differences]]&lt;0, Audit[[#This Row],[Max Differences]]+ABS(Audit[[#This Row],[Canceled Differences]]), Audit[[#This Row],[Max Differences]]), 0)</f>
        <v>0</v>
      </c>
      <c r="AT863" s="17">
        <f>'Sampling Data'!AB863</f>
        <v>1.6762858597861145E-2</v>
      </c>
      <c r="AU863" s="17">
        <f>IF(
      SUM(Audit[[#This Row],[Audit Losing Candidate]:[Audit Candidate 12]])
      &lt;&gt;0,
      (Audit[[#This Row],[Winning Candidate]]-Audit[[#This Row],[Losing Candidate]]-(Audit[[#This Row],[Audit Winning Candidate]]-Audit[[#This Row],[Audit Losing Candidate]]))/(Audit[[#Totals],[Winning Candidate]]-Audit[[#Totals],[Losing Candidate]]),
      0
)</f>
        <v>0</v>
      </c>
      <c r="AV8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3" s="17">
        <f>IF(Audit[[#This Row],[Max Relative Error (ep)]] = 0, 0, Audit[[#This Row],[Max Relative Error (ep)]]/Audit[[#This Row],[Error Bound (up) - Max. possible relative overstatement]])</f>
        <v>0</v>
      </c>
      <c r="BH8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63" s="17">
        <f t="shared" si="14"/>
        <v>1</v>
      </c>
      <c r="BJ863" s="17">
        <f>PRODUCT($BI$5:BI863)</f>
        <v>0.18161727217719403</v>
      </c>
      <c r="BK863" s="19">
        <f>1 - Audit[[#This Row],[K-M P Value]]</f>
        <v>0.81838272782280597</v>
      </c>
      <c r="BL863" s="17" t="str">
        <f>IF(Audit[[#This Row],[K-M P Value]]&gt;1-'General Info'!$B$12,"Continue", "Stop")</f>
        <v>Continue</v>
      </c>
      <c r="BM863" s="22" t="b">
        <f>IF(Audit[[#This Row],[Status - Continue or stop audit]] = "Continue", TRUE, IF(BL862 = "Continue", TRUE, FALSE))</f>
        <v>1</v>
      </c>
      <c r="BN863" s="22"/>
    </row>
    <row r="864" spans="1:66" ht="15" hidden="1" customHeight="1" x14ac:dyDescent="0.35">
      <c r="A864" s="17" t="str">
        <f>'Sampling Data'!AI864</f>
        <v/>
      </c>
      <c r="B864" s="17" t="str">
        <f>'Sampling Data'!A864</f>
        <v>4942 SHAR 4-B   (ED)</v>
      </c>
      <c r="C864" s="17">
        <f>'Sampling Data'!B864</f>
        <v>287</v>
      </c>
      <c r="D864" s="17">
        <f>'Sampling Data'!C864</f>
        <v>443</v>
      </c>
      <c r="E864" s="18">
        <f>'Sampling Data'!D864</f>
        <v>0</v>
      </c>
      <c r="F864" s="18">
        <f>'Sampling Data'!E864</f>
        <v>0</v>
      </c>
      <c r="G864" s="18">
        <f>'Sampling Data'!F864</f>
        <v>0</v>
      </c>
      <c r="H864" s="18">
        <f>'Sampling Data'!G864</f>
        <v>0</v>
      </c>
      <c r="I864" s="18">
        <f>'Sampling Data'!H864</f>
        <v>0</v>
      </c>
      <c r="J864" s="18">
        <f>'Sampling Data'!I864</f>
        <v>0</v>
      </c>
      <c r="K864" s="18">
        <f>'Sampling Data'!J864</f>
        <v>0</v>
      </c>
      <c r="L864" s="18">
        <f>'Sampling Data'!K864</f>
        <v>0</v>
      </c>
      <c r="M864" s="18">
        <f>'Sampling Data'!L864</f>
        <v>0</v>
      </c>
      <c r="N864" s="18">
        <f>'Sampling Data'!M864</f>
        <v>0</v>
      </c>
      <c r="O864" s="17">
        <f>'Sampling Data'!N864</f>
        <v>0</v>
      </c>
      <c r="P864" s="17">
        <f>'Sampling Data'!O864</f>
        <v>72</v>
      </c>
      <c r="Q864" s="17">
        <f>'Sampling Data'!P864</f>
        <v>802</v>
      </c>
      <c r="R864" s="17">
        <f>'Sampling Data'!AJ864</f>
        <v>0</v>
      </c>
      <c r="S864" s="111"/>
      <c r="T864" s="111"/>
      <c r="U864" s="112"/>
      <c r="V864" s="112"/>
      <c r="W864" s="111"/>
      <c r="X864" s="111"/>
      <c r="Y864" s="111"/>
      <c r="Z864" s="111"/>
      <c r="AA864" s="14"/>
      <c r="AB864" s="14"/>
      <c r="AC864" s="14"/>
      <c r="AD864" s="14"/>
      <c r="AE864" s="113" t="str">
        <f>IF(NOT(ISBLANK(Audit[[#This Row],[Audit Winning Candidate]])), Audit[[#This Row],[Audit Winning Candidate]]-Audit[[#This Row],[Winning Candidate]], "")</f>
        <v/>
      </c>
      <c r="AF864" s="17" t="str">
        <f>IF(NOT(ISBLANK(Audit[[#This Row],[Audit Losing Candidate]])), Audit[[#This Row],[Audit Losing Candidate]]-Audit[[#This Row],[Losing Candidate]], "")</f>
        <v/>
      </c>
      <c r="AG864" s="17" t="str">
        <f>IF(NOT(ISBLANK(Audit[[#This Row],[Audit Candidate 3]])), Audit[[#This Row],[Audit Candidate 3]]-Audit[[#This Row],[Candidate 3]], "")</f>
        <v/>
      </c>
      <c r="AH864" s="17" t="str">
        <f>IF(NOT(ISBLANK(Audit[[#This Row],[Audit Candidate 4]])),Audit[[#This Row],[Audit Candidate 4]]-Audit[[#This Row],[Candidate 4]], "")</f>
        <v/>
      </c>
      <c r="AI864" s="17" t="str">
        <f>IF(NOT(ISBLANK(Audit[[#This Row],[Audit Candidate 5]])), Audit[[#This Row],[Audit Candidate 5]]-Audit[[#This Row],[Candidate 5]], "")</f>
        <v/>
      </c>
      <c r="AJ864" s="17" t="str">
        <f>IF(NOT(ISBLANK(Audit[[#This Row],[Audit Candidate 6]])), Audit[[#This Row],[Audit Candidate 6]]-Audit[[#This Row],[Candidate 6]], "")</f>
        <v/>
      </c>
      <c r="AK864" s="17" t="str">
        <f>IF(NOT(ISBLANK(Audit[[#This Row],[Audit Candidate 7]])), Audit[[#This Row],[Audit Candidate 7]]-Audit[[#This Row],[Candidate 7]], "")</f>
        <v/>
      </c>
      <c r="AL864" s="17" t="str">
        <f>IF(NOT(ISBLANK(Audit[[#This Row],[Audit Candidate 8]])), Audit[[#This Row],[Audit Candidate 8]]-Audit[[#This Row],[Candidate 8]], "")</f>
        <v/>
      </c>
      <c r="AM864" s="17" t="str">
        <f>IF(NOT(ISBLANK(Audit[[#This Row],[Audit Candidate 9]])), Audit[[#This Row],[Audit Candidate 9]]-Audit[[#This Row],[Candidate 9]], "")</f>
        <v/>
      </c>
      <c r="AN864" s="17" t="str">
        <f>IF(NOT(ISBLANK(Audit[[#This Row],[Audit Candidate 10]])), Audit[[#This Row],[Audit Candidate 10]]-Audit[[#This Row],[Candidate 10]], "")</f>
        <v/>
      </c>
      <c r="AO864" s="17" t="str">
        <f>IF(NOT(ISBLANK(Audit[[#This Row],[Audit Candidate 11]])), Audit[[#This Row],[Audit Candidate 11]]-Audit[[#This Row],[Candidate 11]], "")</f>
        <v/>
      </c>
      <c r="AP864" s="17" t="str">
        <f>IF(NOT(ISBLANK(Audit[[#This Row],[Audit Candidate 12]])), Audit[[#This Row],[Audit Candidate 12]]-Audit[[#This Row],[Candidate 12]], "")</f>
        <v/>
      </c>
      <c r="AQ864" s="17">
        <f>SUMIF(Audit[[#This Row],[Difference Winner]:[Difference Candidate 12]], "&gt;0")</f>
        <v>0</v>
      </c>
      <c r="AR864" s="17">
        <f>SUM(Audit[[#This Row],[Difference Winner]:[Difference Candidate 12]])</f>
        <v>0</v>
      </c>
      <c r="AS864" s="17">
        <f>IF(Audit[[#This Row],[Times p Drawn - With Replacement]]&gt;0, IF(Audit[[#This Row],[Canceled Differences]]&lt;0, Audit[[#This Row],[Max Differences]]+ABS(Audit[[#This Row],[Canceled Differences]]), Audit[[#This Row],[Max Differences]]), 0)</f>
        <v>0</v>
      </c>
      <c r="AT864" s="17">
        <f>'Sampling Data'!AB864</f>
        <v>2.7414700390426074E-2</v>
      </c>
      <c r="AU864" s="17">
        <f>IF(
      SUM(Audit[[#This Row],[Audit Losing Candidate]:[Audit Candidate 12]])
      &lt;&gt;0,
      (Audit[[#This Row],[Winning Candidate]]-Audit[[#This Row],[Losing Candidate]]-(Audit[[#This Row],[Audit Winning Candidate]]-Audit[[#This Row],[Audit Losing Candidate]]))/(Audit[[#Totals],[Winning Candidate]]-Audit[[#Totals],[Losing Candidate]]),
      0
)</f>
        <v>0</v>
      </c>
      <c r="AV8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4" s="17">
        <f>IF(Audit[[#This Row],[Max Relative Error (ep)]] = 0, 0, Audit[[#This Row],[Max Relative Error (ep)]]/Audit[[#This Row],[Error Bound (up) - Max. possible relative overstatement]])</f>
        <v>0</v>
      </c>
      <c r="BH8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64" s="17">
        <f t="shared" si="14"/>
        <v>1</v>
      </c>
      <c r="BJ864" s="17">
        <f>PRODUCT($BI$5:BI864)</f>
        <v>0.18161727217719403</v>
      </c>
      <c r="BK864" s="19">
        <f>1 - Audit[[#This Row],[K-M P Value]]</f>
        <v>0.81838272782280597</v>
      </c>
      <c r="BL864" s="17" t="str">
        <f>IF(Audit[[#This Row],[K-M P Value]]&gt;1-'General Info'!$B$12,"Continue", "Stop")</f>
        <v>Continue</v>
      </c>
      <c r="BM864" s="22" t="b">
        <f>IF(Audit[[#This Row],[Status - Continue or stop audit]] = "Continue", TRUE, IF(BL863 = "Continue", TRUE, FALSE))</f>
        <v>1</v>
      </c>
      <c r="BN864" s="22"/>
    </row>
    <row r="865" spans="1:66" ht="15" hidden="1" customHeight="1" x14ac:dyDescent="0.35">
      <c r="A865" s="17" t="str">
        <f>'Sampling Data'!AI865</f>
        <v/>
      </c>
      <c r="B865" s="17" t="str">
        <f>'Sampling Data'!A865</f>
        <v>5201 SPDALE A   (ED)</v>
      </c>
      <c r="C865" s="17">
        <f>'Sampling Data'!B865</f>
        <v>210</v>
      </c>
      <c r="D865" s="17">
        <f>'Sampling Data'!C865</f>
        <v>122</v>
      </c>
      <c r="E865" s="18">
        <f>'Sampling Data'!D865</f>
        <v>0</v>
      </c>
      <c r="F865" s="18">
        <f>'Sampling Data'!E865</f>
        <v>0</v>
      </c>
      <c r="G865" s="18">
        <f>'Sampling Data'!F865</f>
        <v>0</v>
      </c>
      <c r="H865" s="18">
        <f>'Sampling Data'!G865</f>
        <v>0</v>
      </c>
      <c r="I865" s="18">
        <f>'Sampling Data'!H865</f>
        <v>0</v>
      </c>
      <c r="J865" s="18">
        <f>'Sampling Data'!I865</f>
        <v>0</v>
      </c>
      <c r="K865" s="18">
        <f>'Sampling Data'!J865</f>
        <v>0</v>
      </c>
      <c r="L865" s="18">
        <f>'Sampling Data'!K865</f>
        <v>0</v>
      </c>
      <c r="M865" s="18">
        <f>'Sampling Data'!L865</f>
        <v>0</v>
      </c>
      <c r="N865" s="18">
        <f>'Sampling Data'!M865</f>
        <v>0</v>
      </c>
      <c r="O865" s="17">
        <f>'Sampling Data'!N865</f>
        <v>0</v>
      </c>
      <c r="P865" s="17">
        <f>'Sampling Data'!O865</f>
        <v>29</v>
      </c>
      <c r="Q865" s="17">
        <f>'Sampling Data'!P865</f>
        <v>361</v>
      </c>
      <c r="R865" s="17">
        <f>'Sampling Data'!AJ865</f>
        <v>0</v>
      </c>
      <c r="S865" s="111"/>
      <c r="T865" s="111"/>
      <c r="U865" s="112"/>
      <c r="V865" s="112"/>
      <c r="W865" s="111"/>
      <c r="X865" s="111"/>
      <c r="Y865" s="111"/>
      <c r="Z865" s="111"/>
      <c r="AA865" s="14"/>
      <c r="AB865" s="14"/>
      <c r="AC865" s="14"/>
      <c r="AD865" s="14"/>
      <c r="AE865" s="113" t="str">
        <f>IF(NOT(ISBLANK(Audit[[#This Row],[Audit Winning Candidate]])), Audit[[#This Row],[Audit Winning Candidate]]-Audit[[#This Row],[Winning Candidate]], "")</f>
        <v/>
      </c>
      <c r="AF865" s="17" t="str">
        <f>IF(NOT(ISBLANK(Audit[[#This Row],[Audit Losing Candidate]])), Audit[[#This Row],[Audit Losing Candidate]]-Audit[[#This Row],[Losing Candidate]], "")</f>
        <v/>
      </c>
      <c r="AG865" s="17" t="str">
        <f>IF(NOT(ISBLANK(Audit[[#This Row],[Audit Candidate 3]])), Audit[[#This Row],[Audit Candidate 3]]-Audit[[#This Row],[Candidate 3]], "")</f>
        <v/>
      </c>
      <c r="AH865" s="17" t="str">
        <f>IF(NOT(ISBLANK(Audit[[#This Row],[Audit Candidate 4]])),Audit[[#This Row],[Audit Candidate 4]]-Audit[[#This Row],[Candidate 4]], "")</f>
        <v/>
      </c>
      <c r="AI865" s="17" t="str">
        <f>IF(NOT(ISBLANK(Audit[[#This Row],[Audit Candidate 5]])), Audit[[#This Row],[Audit Candidate 5]]-Audit[[#This Row],[Candidate 5]], "")</f>
        <v/>
      </c>
      <c r="AJ865" s="17" t="str">
        <f>IF(NOT(ISBLANK(Audit[[#This Row],[Audit Candidate 6]])), Audit[[#This Row],[Audit Candidate 6]]-Audit[[#This Row],[Candidate 6]], "")</f>
        <v/>
      </c>
      <c r="AK865" s="17" t="str">
        <f>IF(NOT(ISBLANK(Audit[[#This Row],[Audit Candidate 7]])), Audit[[#This Row],[Audit Candidate 7]]-Audit[[#This Row],[Candidate 7]], "")</f>
        <v/>
      </c>
      <c r="AL865" s="17" t="str">
        <f>IF(NOT(ISBLANK(Audit[[#This Row],[Audit Candidate 8]])), Audit[[#This Row],[Audit Candidate 8]]-Audit[[#This Row],[Candidate 8]], "")</f>
        <v/>
      </c>
      <c r="AM865" s="17" t="str">
        <f>IF(NOT(ISBLANK(Audit[[#This Row],[Audit Candidate 9]])), Audit[[#This Row],[Audit Candidate 9]]-Audit[[#This Row],[Candidate 9]], "")</f>
        <v/>
      </c>
      <c r="AN865" s="17" t="str">
        <f>IF(NOT(ISBLANK(Audit[[#This Row],[Audit Candidate 10]])), Audit[[#This Row],[Audit Candidate 10]]-Audit[[#This Row],[Candidate 10]], "")</f>
        <v/>
      </c>
      <c r="AO865" s="17" t="str">
        <f>IF(NOT(ISBLANK(Audit[[#This Row],[Audit Candidate 11]])), Audit[[#This Row],[Audit Candidate 11]]-Audit[[#This Row],[Candidate 11]], "")</f>
        <v/>
      </c>
      <c r="AP865" s="17" t="str">
        <f>IF(NOT(ISBLANK(Audit[[#This Row],[Audit Candidate 12]])), Audit[[#This Row],[Audit Candidate 12]]-Audit[[#This Row],[Candidate 12]], "")</f>
        <v/>
      </c>
      <c r="AQ865" s="17">
        <f>SUMIF(Audit[[#This Row],[Difference Winner]:[Difference Candidate 12]], "&gt;0")</f>
        <v>0</v>
      </c>
      <c r="AR865" s="17">
        <f>SUM(Audit[[#This Row],[Difference Winner]:[Difference Candidate 12]])</f>
        <v>0</v>
      </c>
      <c r="AS865" s="17">
        <f>IF(Audit[[#This Row],[Times p Drawn - With Replacement]]&gt;0, IF(Audit[[#This Row],[Canceled Differences]]&lt;0, Audit[[#This Row],[Max Differences]]+ABS(Audit[[#This Row],[Canceled Differences]]), Audit[[#This Row],[Max Differences]]), 0)</f>
        <v>0</v>
      </c>
      <c r="AT865" s="17">
        <f>'Sampling Data'!AB865</f>
        <v>1.9054489899847225E-2</v>
      </c>
      <c r="AU865" s="17">
        <f>IF(
      SUM(Audit[[#This Row],[Audit Losing Candidate]:[Audit Candidate 12]])
      &lt;&gt;0,
      (Audit[[#This Row],[Winning Candidate]]-Audit[[#This Row],[Losing Candidate]]-(Audit[[#This Row],[Audit Winning Candidate]]-Audit[[#This Row],[Audit Losing Candidate]]))/(Audit[[#Totals],[Winning Candidate]]-Audit[[#Totals],[Losing Candidate]]),
      0
)</f>
        <v>0</v>
      </c>
      <c r="AV8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5" s="17">
        <f>IF(Audit[[#This Row],[Max Relative Error (ep)]] = 0, 0, Audit[[#This Row],[Max Relative Error (ep)]]/Audit[[#This Row],[Error Bound (up) - Max. possible relative overstatement]])</f>
        <v>0</v>
      </c>
      <c r="BH8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65" s="17">
        <f t="shared" si="14"/>
        <v>1</v>
      </c>
      <c r="BJ865" s="17">
        <f>PRODUCT($BI$5:BI865)</f>
        <v>0.18161727217719403</v>
      </c>
      <c r="BK865" s="19">
        <f>1 - Audit[[#This Row],[K-M P Value]]</f>
        <v>0.81838272782280597</v>
      </c>
      <c r="BL865" s="17" t="str">
        <f>IF(Audit[[#This Row],[K-M P Value]]&gt;1-'General Info'!$B$12,"Continue", "Stop")</f>
        <v>Continue</v>
      </c>
      <c r="BM865" s="22" t="b">
        <f>IF(Audit[[#This Row],[Status - Continue or stop audit]] = "Continue", TRUE, IF(BL864 = "Continue", TRUE, FALSE))</f>
        <v>1</v>
      </c>
      <c r="BN865" s="22"/>
    </row>
    <row r="866" spans="1:66" ht="15" hidden="1" customHeight="1" x14ac:dyDescent="0.35">
      <c r="A866" s="17" t="str">
        <f>'Sampling Data'!AI866</f>
        <v/>
      </c>
      <c r="B866" s="17" t="str">
        <f>'Sampling Data'!A866</f>
        <v>5202 SPDALE B   (ED)</v>
      </c>
      <c r="C866" s="17">
        <f>'Sampling Data'!B866</f>
        <v>226</v>
      </c>
      <c r="D866" s="17">
        <f>'Sampling Data'!C866</f>
        <v>151</v>
      </c>
      <c r="E866" s="18">
        <f>'Sampling Data'!D866</f>
        <v>0</v>
      </c>
      <c r="F866" s="18">
        <f>'Sampling Data'!E866</f>
        <v>0</v>
      </c>
      <c r="G866" s="18">
        <f>'Sampling Data'!F866</f>
        <v>0</v>
      </c>
      <c r="H866" s="18">
        <f>'Sampling Data'!G866</f>
        <v>0</v>
      </c>
      <c r="I866" s="18">
        <f>'Sampling Data'!H866</f>
        <v>0</v>
      </c>
      <c r="J866" s="18">
        <f>'Sampling Data'!I866</f>
        <v>0</v>
      </c>
      <c r="K866" s="18">
        <f>'Sampling Data'!J866</f>
        <v>0</v>
      </c>
      <c r="L866" s="18">
        <f>'Sampling Data'!K866</f>
        <v>0</v>
      </c>
      <c r="M866" s="18">
        <f>'Sampling Data'!L866</f>
        <v>0</v>
      </c>
      <c r="N866" s="18">
        <f>'Sampling Data'!M866</f>
        <v>0</v>
      </c>
      <c r="O866" s="17">
        <f>'Sampling Data'!N866</f>
        <v>0</v>
      </c>
      <c r="P866" s="17">
        <f>'Sampling Data'!O866</f>
        <v>29</v>
      </c>
      <c r="Q866" s="17">
        <f>'Sampling Data'!P866</f>
        <v>406</v>
      </c>
      <c r="R866" s="17">
        <f>'Sampling Data'!AJ866</f>
        <v>0</v>
      </c>
      <c r="S866" s="111"/>
      <c r="T866" s="111"/>
      <c r="U866" s="112"/>
      <c r="V866" s="112"/>
      <c r="W866" s="111"/>
      <c r="X866" s="111"/>
      <c r="Y866" s="111"/>
      <c r="Z866" s="111"/>
      <c r="AA866" s="14"/>
      <c r="AB866" s="14"/>
      <c r="AC866" s="14"/>
      <c r="AD866" s="14"/>
      <c r="AE866" s="113" t="str">
        <f>IF(NOT(ISBLANK(Audit[[#This Row],[Audit Winning Candidate]])), Audit[[#This Row],[Audit Winning Candidate]]-Audit[[#This Row],[Winning Candidate]], "")</f>
        <v/>
      </c>
      <c r="AF866" s="17" t="str">
        <f>IF(NOT(ISBLANK(Audit[[#This Row],[Audit Losing Candidate]])), Audit[[#This Row],[Audit Losing Candidate]]-Audit[[#This Row],[Losing Candidate]], "")</f>
        <v/>
      </c>
      <c r="AG866" s="17" t="str">
        <f>IF(NOT(ISBLANK(Audit[[#This Row],[Audit Candidate 3]])), Audit[[#This Row],[Audit Candidate 3]]-Audit[[#This Row],[Candidate 3]], "")</f>
        <v/>
      </c>
      <c r="AH866" s="17" t="str">
        <f>IF(NOT(ISBLANK(Audit[[#This Row],[Audit Candidate 4]])),Audit[[#This Row],[Audit Candidate 4]]-Audit[[#This Row],[Candidate 4]], "")</f>
        <v/>
      </c>
      <c r="AI866" s="17" t="str">
        <f>IF(NOT(ISBLANK(Audit[[#This Row],[Audit Candidate 5]])), Audit[[#This Row],[Audit Candidate 5]]-Audit[[#This Row],[Candidate 5]], "")</f>
        <v/>
      </c>
      <c r="AJ866" s="17" t="str">
        <f>IF(NOT(ISBLANK(Audit[[#This Row],[Audit Candidate 6]])), Audit[[#This Row],[Audit Candidate 6]]-Audit[[#This Row],[Candidate 6]], "")</f>
        <v/>
      </c>
      <c r="AK866" s="17" t="str">
        <f>IF(NOT(ISBLANK(Audit[[#This Row],[Audit Candidate 7]])), Audit[[#This Row],[Audit Candidate 7]]-Audit[[#This Row],[Candidate 7]], "")</f>
        <v/>
      </c>
      <c r="AL866" s="17" t="str">
        <f>IF(NOT(ISBLANK(Audit[[#This Row],[Audit Candidate 8]])), Audit[[#This Row],[Audit Candidate 8]]-Audit[[#This Row],[Candidate 8]], "")</f>
        <v/>
      </c>
      <c r="AM866" s="17" t="str">
        <f>IF(NOT(ISBLANK(Audit[[#This Row],[Audit Candidate 9]])), Audit[[#This Row],[Audit Candidate 9]]-Audit[[#This Row],[Candidate 9]], "")</f>
        <v/>
      </c>
      <c r="AN866" s="17" t="str">
        <f>IF(NOT(ISBLANK(Audit[[#This Row],[Audit Candidate 10]])), Audit[[#This Row],[Audit Candidate 10]]-Audit[[#This Row],[Candidate 10]], "")</f>
        <v/>
      </c>
      <c r="AO866" s="17" t="str">
        <f>IF(NOT(ISBLANK(Audit[[#This Row],[Audit Candidate 11]])), Audit[[#This Row],[Audit Candidate 11]]-Audit[[#This Row],[Candidate 11]], "")</f>
        <v/>
      </c>
      <c r="AP866" s="17" t="str">
        <f>IF(NOT(ISBLANK(Audit[[#This Row],[Audit Candidate 12]])), Audit[[#This Row],[Audit Candidate 12]]-Audit[[#This Row],[Candidate 12]], "")</f>
        <v/>
      </c>
      <c r="AQ866" s="17">
        <f>SUMIF(Audit[[#This Row],[Difference Winner]:[Difference Candidate 12]], "&gt;0")</f>
        <v>0</v>
      </c>
      <c r="AR866" s="17">
        <f>SUM(Audit[[#This Row],[Difference Winner]:[Difference Candidate 12]])</f>
        <v>0</v>
      </c>
      <c r="AS866" s="17">
        <f>IF(Audit[[#This Row],[Times p Drawn - With Replacement]]&gt;0, IF(Audit[[#This Row],[Canceled Differences]]&lt;0, Audit[[#This Row],[Max Differences]]+ABS(Audit[[#This Row],[Canceled Differences]]), Audit[[#This Row],[Max Differences]]), 0)</f>
        <v>0</v>
      </c>
      <c r="AT866" s="17">
        <f>'Sampling Data'!AB866</f>
        <v>2.0412493634357494E-2</v>
      </c>
      <c r="AU866" s="17">
        <f>IF(
      SUM(Audit[[#This Row],[Audit Losing Candidate]:[Audit Candidate 12]])
      &lt;&gt;0,
      (Audit[[#This Row],[Winning Candidate]]-Audit[[#This Row],[Losing Candidate]]-(Audit[[#This Row],[Audit Winning Candidate]]-Audit[[#This Row],[Audit Losing Candidate]]))/(Audit[[#Totals],[Winning Candidate]]-Audit[[#Totals],[Losing Candidate]]),
      0
)</f>
        <v>0</v>
      </c>
      <c r="AV8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6" s="17">
        <f>IF(Audit[[#This Row],[Max Relative Error (ep)]] = 0, 0, Audit[[#This Row],[Max Relative Error (ep)]]/Audit[[#This Row],[Error Bound (up) - Max. possible relative overstatement]])</f>
        <v>0</v>
      </c>
      <c r="BH8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66" s="17">
        <f t="shared" si="14"/>
        <v>1</v>
      </c>
      <c r="BJ866" s="17">
        <f>PRODUCT($BI$5:BI866)</f>
        <v>0.18161727217719403</v>
      </c>
      <c r="BK866" s="19">
        <f>1 - Audit[[#This Row],[K-M P Value]]</f>
        <v>0.81838272782280597</v>
      </c>
      <c r="BL866" s="17" t="str">
        <f>IF(Audit[[#This Row],[K-M P Value]]&gt;1-'General Info'!$B$12,"Continue", "Stop")</f>
        <v>Continue</v>
      </c>
      <c r="BM866" s="22" t="b">
        <f>IF(Audit[[#This Row],[Status - Continue or stop audit]] = "Continue", TRUE, IF(BL865 = "Continue", TRUE, FALSE))</f>
        <v>1</v>
      </c>
      <c r="BN866" s="22"/>
    </row>
    <row r="867" spans="1:66" ht="15" hidden="1" customHeight="1" x14ac:dyDescent="0.35">
      <c r="A867" s="17" t="str">
        <f>'Sampling Data'!AI867</f>
        <v/>
      </c>
      <c r="B867" s="17" t="str">
        <f>'Sampling Data'!A867</f>
        <v>5203 SPDALE C   (ED)</v>
      </c>
      <c r="C867" s="17">
        <f>'Sampling Data'!B867</f>
        <v>190</v>
      </c>
      <c r="D867" s="17">
        <f>'Sampling Data'!C867</f>
        <v>161</v>
      </c>
      <c r="E867" s="18">
        <f>'Sampling Data'!D867</f>
        <v>0</v>
      </c>
      <c r="F867" s="18">
        <f>'Sampling Data'!E867</f>
        <v>0</v>
      </c>
      <c r="G867" s="18">
        <f>'Sampling Data'!F867</f>
        <v>0</v>
      </c>
      <c r="H867" s="18">
        <f>'Sampling Data'!G867</f>
        <v>0</v>
      </c>
      <c r="I867" s="18">
        <f>'Sampling Data'!H867</f>
        <v>0</v>
      </c>
      <c r="J867" s="18">
        <f>'Sampling Data'!I867</f>
        <v>0</v>
      </c>
      <c r="K867" s="18">
        <f>'Sampling Data'!J867</f>
        <v>0</v>
      </c>
      <c r="L867" s="18">
        <f>'Sampling Data'!K867</f>
        <v>0</v>
      </c>
      <c r="M867" s="18">
        <f>'Sampling Data'!L867</f>
        <v>0</v>
      </c>
      <c r="N867" s="18">
        <f>'Sampling Data'!M867</f>
        <v>0</v>
      </c>
      <c r="O867" s="17">
        <f>'Sampling Data'!N867</f>
        <v>0</v>
      </c>
      <c r="P867" s="17">
        <f>'Sampling Data'!O867</f>
        <v>20</v>
      </c>
      <c r="Q867" s="17">
        <f>'Sampling Data'!P867</f>
        <v>371</v>
      </c>
      <c r="R867" s="17">
        <f>'Sampling Data'!AJ867</f>
        <v>0</v>
      </c>
      <c r="S867" s="111"/>
      <c r="T867" s="111"/>
      <c r="U867" s="112"/>
      <c r="V867" s="112"/>
      <c r="W867" s="111"/>
      <c r="X867" s="111"/>
      <c r="Y867" s="111"/>
      <c r="Z867" s="111"/>
      <c r="AA867" s="14"/>
      <c r="AB867" s="14"/>
      <c r="AC867" s="14"/>
      <c r="AD867" s="14"/>
      <c r="AE867" s="113" t="str">
        <f>IF(NOT(ISBLANK(Audit[[#This Row],[Audit Winning Candidate]])), Audit[[#This Row],[Audit Winning Candidate]]-Audit[[#This Row],[Winning Candidate]], "")</f>
        <v/>
      </c>
      <c r="AF867" s="17" t="str">
        <f>IF(NOT(ISBLANK(Audit[[#This Row],[Audit Losing Candidate]])), Audit[[#This Row],[Audit Losing Candidate]]-Audit[[#This Row],[Losing Candidate]], "")</f>
        <v/>
      </c>
      <c r="AG867" s="17" t="str">
        <f>IF(NOT(ISBLANK(Audit[[#This Row],[Audit Candidate 3]])), Audit[[#This Row],[Audit Candidate 3]]-Audit[[#This Row],[Candidate 3]], "")</f>
        <v/>
      </c>
      <c r="AH867" s="17" t="str">
        <f>IF(NOT(ISBLANK(Audit[[#This Row],[Audit Candidate 4]])),Audit[[#This Row],[Audit Candidate 4]]-Audit[[#This Row],[Candidate 4]], "")</f>
        <v/>
      </c>
      <c r="AI867" s="17" t="str">
        <f>IF(NOT(ISBLANK(Audit[[#This Row],[Audit Candidate 5]])), Audit[[#This Row],[Audit Candidate 5]]-Audit[[#This Row],[Candidate 5]], "")</f>
        <v/>
      </c>
      <c r="AJ867" s="17" t="str">
        <f>IF(NOT(ISBLANK(Audit[[#This Row],[Audit Candidate 6]])), Audit[[#This Row],[Audit Candidate 6]]-Audit[[#This Row],[Candidate 6]], "")</f>
        <v/>
      </c>
      <c r="AK867" s="17" t="str">
        <f>IF(NOT(ISBLANK(Audit[[#This Row],[Audit Candidate 7]])), Audit[[#This Row],[Audit Candidate 7]]-Audit[[#This Row],[Candidate 7]], "")</f>
        <v/>
      </c>
      <c r="AL867" s="17" t="str">
        <f>IF(NOT(ISBLANK(Audit[[#This Row],[Audit Candidate 8]])), Audit[[#This Row],[Audit Candidate 8]]-Audit[[#This Row],[Candidate 8]], "")</f>
        <v/>
      </c>
      <c r="AM867" s="17" t="str">
        <f>IF(NOT(ISBLANK(Audit[[#This Row],[Audit Candidate 9]])), Audit[[#This Row],[Audit Candidate 9]]-Audit[[#This Row],[Candidate 9]], "")</f>
        <v/>
      </c>
      <c r="AN867" s="17" t="str">
        <f>IF(NOT(ISBLANK(Audit[[#This Row],[Audit Candidate 10]])), Audit[[#This Row],[Audit Candidate 10]]-Audit[[#This Row],[Candidate 10]], "")</f>
        <v/>
      </c>
      <c r="AO867" s="17" t="str">
        <f>IF(NOT(ISBLANK(Audit[[#This Row],[Audit Candidate 11]])), Audit[[#This Row],[Audit Candidate 11]]-Audit[[#This Row],[Candidate 11]], "")</f>
        <v/>
      </c>
      <c r="AP867" s="17" t="str">
        <f>IF(NOT(ISBLANK(Audit[[#This Row],[Audit Candidate 12]])), Audit[[#This Row],[Audit Candidate 12]]-Audit[[#This Row],[Candidate 12]], "")</f>
        <v/>
      </c>
      <c r="AQ867" s="17">
        <f>SUMIF(Audit[[#This Row],[Difference Winner]:[Difference Candidate 12]], "&gt;0")</f>
        <v>0</v>
      </c>
      <c r="AR867" s="17">
        <f>SUM(Audit[[#This Row],[Difference Winner]:[Difference Candidate 12]])</f>
        <v>0</v>
      </c>
      <c r="AS867" s="17">
        <f>IF(Audit[[#This Row],[Times p Drawn - With Replacement]]&gt;0, IF(Audit[[#This Row],[Canceled Differences]]&lt;0, Audit[[#This Row],[Max Differences]]+ABS(Audit[[#This Row],[Canceled Differences]]), Audit[[#This Row],[Max Differences]]), 0)</f>
        <v>0</v>
      </c>
      <c r="AT867" s="17">
        <f>'Sampling Data'!AB867</f>
        <v>1.6975046681378374E-2</v>
      </c>
      <c r="AU867" s="17">
        <f>IF(
      SUM(Audit[[#This Row],[Audit Losing Candidate]:[Audit Candidate 12]])
      &lt;&gt;0,
      (Audit[[#This Row],[Winning Candidate]]-Audit[[#This Row],[Losing Candidate]]-(Audit[[#This Row],[Audit Winning Candidate]]-Audit[[#This Row],[Audit Losing Candidate]]))/(Audit[[#Totals],[Winning Candidate]]-Audit[[#Totals],[Losing Candidate]]),
      0
)</f>
        <v>0</v>
      </c>
      <c r="AV8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7" s="17">
        <f>IF(Audit[[#This Row],[Max Relative Error (ep)]] = 0, 0, Audit[[#This Row],[Max Relative Error (ep)]]/Audit[[#This Row],[Error Bound (up) - Max. possible relative overstatement]])</f>
        <v>0</v>
      </c>
      <c r="BH8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67" s="17">
        <f t="shared" si="14"/>
        <v>1</v>
      </c>
      <c r="BJ867" s="17">
        <f>PRODUCT($BI$5:BI867)</f>
        <v>0.18161727217719403</v>
      </c>
      <c r="BK867" s="19">
        <f>1 - Audit[[#This Row],[K-M P Value]]</f>
        <v>0.81838272782280597</v>
      </c>
      <c r="BL867" s="17" t="str">
        <f>IF(Audit[[#This Row],[K-M P Value]]&gt;1-'General Info'!$B$12,"Continue", "Stop")</f>
        <v>Continue</v>
      </c>
      <c r="BM867" s="22" t="b">
        <f>IF(Audit[[#This Row],[Status - Continue or stop audit]] = "Continue", TRUE, IF(BL866 = "Continue", TRUE, FALSE))</f>
        <v>1</v>
      </c>
      <c r="BN867" s="22"/>
    </row>
    <row r="868" spans="1:66" ht="15" customHeight="1" x14ac:dyDescent="0.35">
      <c r="A868" s="17">
        <f>'Sampling Data'!AI868</f>
        <v>13</v>
      </c>
      <c r="B868" s="17" t="str">
        <f>'Sampling Data'!A868</f>
        <v>5204 SPDALE D   (ED)</v>
      </c>
      <c r="C868" s="17">
        <f>'Sampling Data'!B868</f>
        <v>179</v>
      </c>
      <c r="D868" s="17">
        <f>'Sampling Data'!C868</f>
        <v>187</v>
      </c>
      <c r="E868" s="18">
        <f>'Sampling Data'!D868</f>
        <v>0</v>
      </c>
      <c r="F868" s="18">
        <f>'Sampling Data'!E868</f>
        <v>0</v>
      </c>
      <c r="G868" s="18">
        <f>'Sampling Data'!F868</f>
        <v>0</v>
      </c>
      <c r="H868" s="18">
        <f>'Sampling Data'!G868</f>
        <v>0</v>
      </c>
      <c r="I868" s="18">
        <f>'Sampling Data'!H868</f>
        <v>0</v>
      </c>
      <c r="J868" s="18">
        <f>'Sampling Data'!I868</f>
        <v>0</v>
      </c>
      <c r="K868" s="18">
        <f>'Sampling Data'!J868</f>
        <v>0</v>
      </c>
      <c r="L868" s="18">
        <f>'Sampling Data'!K868</f>
        <v>0</v>
      </c>
      <c r="M868" s="18">
        <f>'Sampling Data'!L868</f>
        <v>0</v>
      </c>
      <c r="N868" s="18">
        <f>'Sampling Data'!M868</f>
        <v>0</v>
      </c>
      <c r="O868" s="17">
        <f>'Sampling Data'!N868</f>
        <v>1</v>
      </c>
      <c r="P868" s="17">
        <f>'Sampling Data'!O868</f>
        <v>42</v>
      </c>
      <c r="Q868" s="17">
        <f>'Sampling Data'!P868</f>
        <v>409</v>
      </c>
      <c r="R868" s="17">
        <f>'Sampling Data'!AJ868</f>
        <v>1</v>
      </c>
      <c r="S868" s="111">
        <v>179</v>
      </c>
      <c r="T868" s="111">
        <v>187</v>
      </c>
      <c r="U868" s="112"/>
      <c r="V868" s="112"/>
      <c r="W868" s="111"/>
      <c r="X868" s="111"/>
      <c r="Y868" s="111"/>
      <c r="Z868" s="111"/>
      <c r="AA868" s="14"/>
      <c r="AB868" s="14"/>
      <c r="AC868" s="14"/>
      <c r="AD868" s="14"/>
      <c r="AE868" s="113">
        <f>IF(NOT(ISBLANK(Audit[[#This Row],[Audit Winning Candidate]])), Audit[[#This Row],[Audit Winning Candidate]]-Audit[[#This Row],[Winning Candidate]], "")</f>
        <v>0</v>
      </c>
      <c r="AF868" s="17">
        <f>IF(NOT(ISBLANK(Audit[[#This Row],[Audit Losing Candidate]])), Audit[[#This Row],[Audit Losing Candidate]]-Audit[[#This Row],[Losing Candidate]], "")</f>
        <v>0</v>
      </c>
      <c r="AG868" s="17" t="str">
        <f>IF(NOT(ISBLANK(Audit[[#This Row],[Audit Candidate 3]])), Audit[[#This Row],[Audit Candidate 3]]-Audit[[#This Row],[Candidate 3]], "")</f>
        <v/>
      </c>
      <c r="AH868" s="17" t="str">
        <f>IF(NOT(ISBLANK(Audit[[#This Row],[Audit Candidate 4]])),Audit[[#This Row],[Audit Candidate 4]]-Audit[[#This Row],[Candidate 4]], "")</f>
        <v/>
      </c>
      <c r="AI868" s="17" t="str">
        <f>IF(NOT(ISBLANK(Audit[[#This Row],[Audit Candidate 5]])), Audit[[#This Row],[Audit Candidate 5]]-Audit[[#This Row],[Candidate 5]], "")</f>
        <v/>
      </c>
      <c r="AJ868" s="17" t="str">
        <f>IF(NOT(ISBLANK(Audit[[#This Row],[Audit Candidate 6]])), Audit[[#This Row],[Audit Candidate 6]]-Audit[[#This Row],[Candidate 6]], "")</f>
        <v/>
      </c>
      <c r="AK868" s="17" t="str">
        <f>IF(NOT(ISBLANK(Audit[[#This Row],[Audit Candidate 7]])), Audit[[#This Row],[Audit Candidate 7]]-Audit[[#This Row],[Candidate 7]], "")</f>
        <v/>
      </c>
      <c r="AL868" s="17" t="str">
        <f>IF(NOT(ISBLANK(Audit[[#This Row],[Audit Candidate 8]])), Audit[[#This Row],[Audit Candidate 8]]-Audit[[#This Row],[Candidate 8]], "")</f>
        <v/>
      </c>
      <c r="AM868" s="17" t="str">
        <f>IF(NOT(ISBLANK(Audit[[#This Row],[Audit Candidate 9]])), Audit[[#This Row],[Audit Candidate 9]]-Audit[[#This Row],[Candidate 9]], "")</f>
        <v/>
      </c>
      <c r="AN868" s="17" t="str">
        <f>IF(NOT(ISBLANK(Audit[[#This Row],[Audit Candidate 10]])), Audit[[#This Row],[Audit Candidate 10]]-Audit[[#This Row],[Candidate 10]], "")</f>
        <v/>
      </c>
      <c r="AO868" s="17" t="str">
        <f>IF(NOT(ISBLANK(Audit[[#This Row],[Audit Candidate 11]])), Audit[[#This Row],[Audit Candidate 11]]-Audit[[#This Row],[Candidate 11]], "")</f>
        <v/>
      </c>
      <c r="AP868" s="17" t="str">
        <f>IF(NOT(ISBLANK(Audit[[#This Row],[Audit Candidate 12]])), Audit[[#This Row],[Audit Candidate 12]]-Audit[[#This Row],[Candidate 12]], "")</f>
        <v/>
      </c>
      <c r="AQ868" s="17">
        <f>SUMIF(Audit[[#This Row],[Difference Winner]:[Difference Candidate 12]], "&gt;0")</f>
        <v>0</v>
      </c>
      <c r="AR868" s="17">
        <f>SUM(Audit[[#This Row],[Difference Winner]:[Difference Candidate 12]])</f>
        <v>0</v>
      </c>
      <c r="AS868" s="17">
        <f>IF(Audit[[#This Row],[Times p Drawn - With Replacement]]&gt;0, IF(Audit[[#This Row],[Canceled Differences]]&lt;0, Audit[[#This Row],[Max Differences]]+ABS(Audit[[#This Row],[Canceled Differences]]), Audit[[#This Row],[Max Differences]]), 0)</f>
        <v>0</v>
      </c>
      <c r="AT868" s="17">
        <f>'Sampling Data'!AB868</f>
        <v>1.7017484298081819E-2</v>
      </c>
      <c r="AU868" s="17">
        <f>IF(
      SUM(Audit[[#This Row],[Audit Losing Candidate]:[Audit Candidate 12]])
      &lt;&gt;0,
      (Audit[[#This Row],[Winning Candidate]]-Audit[[#This Row],[Losing Candidate]]-(Audit[[#This Row],[Audit Winning Candidate]]-Audit[[#This Row],[Audit Losing Candidate]]))/(Audit[[#Totals],[Winning Candidate]]-Audit[[#Totals],[Losing Candidate]]),
      0
)</f>
        <v>0</v>
      </c>
      <c r="AV8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8" s="17">
        <f>IF(Audit[[#This Row],[Max Relative Error (ep)]] = 0, 0, Audit[[#This Row],[Max Relative Error (ep)]]/Audit[[#This Row],[Error Bound (up) - Max. possible relative overstatement]])</f>
        <v>0</v>
      </c>
      <c r="BH8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68" s="17">
        <f t="shared" si="14"/>
        <v>0.94645908314247273</v>
      </c>
      <c r="BJ868" s="17">
        <f>PRODUCT($BI$5:BI868)</f>
        <v>0.17189331690766399</v>
      </c>
      <c r="BK868" s="19">
        <f>1 - Audit[[#This Row],[K-M P Value]]</f>
        <v>0.82810668309233604</v>
      </c>
      <c r="BL868" s="17" t="str">
        <f>IF(Audit[[#This Row],[K-M P Value]]&gt;1-'General Info'!$B$12,"Continue", "Stop")</f>
        <v>Continue</v>
      </c>
      <c r="BM868" s="22" t="b">
        <f>IF(Audit[[#This Row],[Status - Continue or stop audit]] = "Continue", TRUE, IF(BL867 = "Continue", TRUE, FALSE))</f>
        <v>1</v>
      </c>
      <c r="BN868" s="22"/>
    </row>
    <row r="869" spans="1:66" ht="15" hidden="1" customHeight="1" x14ac:dyDescent="0.35">
      <c r="A869" s="17" t="str">
        <f>'Sampling Data'!AI869</f>
        <v/>
      </c>
      <c r="B869" s="17" t="str">
        <f>'Sampling Data'!A869</f>
        <v>5205 SPDALE E   (ED)</v>
      </c>
      <c r="C869" s="17">
        <f>'Sampling Data'!B869</f>
        <v>223</v>
      </c>
      <c r="D869" s="17">
        <f>'Sampling Data'!C869</f>
        <v>177</v>
      </c>
      <c r="E869" s="18">
        <f>'Sampling Data'!D869</f>
        <v>0</v>
      </c>
      <c r="F869" s="18">
        <f>'Sampling Data'!E869</f>
        <v>0</v>
      </c>
      <c r="G869" s="18">
        <f>'Sampling Data'!F869</f>
        <v>0</v>
      </c>
      <c r="H869" s="18">
        <f>'Sampling Data'!G869</f>
        <v>0</v>
      </c>
      <c r="I869" s="18">
        <f>'Sampling Data'!H869</f>
        <v>0</v>
      </c>
      <c r="J869" s="18">
        <f>'Sampling Data'!I869</f>
        <v>0</v>
      </c>
      <c r="K869" s="18">
        <f>'Sampling Data'!J869</f>
        <v>0</v>
      </c>
      <c r="L869" s="18">
        <f>'Sampling Data'!K869</f>
        <v>0</v>
      </c>
      <c r="M869" s="18">
        <f>'Sampling Data'!L869</f>
        <v>0</v>
      </c>
      <c r="N869" s="18">
        <f>'Sampling Data'!M869</f>
        <v>0</v>
      </c>
      <c r="O869" s="17">
        <f>'Sampling Data'!N869</f>
        <v>0</v>
      </c>
      <c r="P869" s="17">
        <f>'Sampling Data'!O869</f>
        <v>36</v>
      </c>
      <c r="Q869" s="17">
        <f>'Sampling Data'!P869</f>
        <v>436</v>
      </c>
      <c r="R869" s="17">
        <f>'Sampling Data'!AJ869</f>
        <v>0</v>
      </c>
      <c r="S869" s="111"/>
      <c r="T869" s="111"/>
      <c r="U869" s="112"/>
      <c r="V869" s="112"/>
      <c r="W869" s="111"/>
      <c r="X869" s="111"/>
      <c r="Y869" s="111"/>
      <c r="Z869" s="111"/>
      <c r="AA869" s="14"/>
      <c r="AB869" s="14"/>
      <c r="AC869" s="14"/>
      <c r="AD869" s="14"/>
      <c r="AE869" s="113" t="str">
        <f>IF(NOT(ISBLANK(Audit[[#This Row],[Audit Winning Candidate]])), Audit[[#This Row],[Audit Winning Candidate]]-Audit[[#This Row],[Winning Candidate]], "")</f>
        <v/>
      </c>
      <c r="AF869" s="17" t="str">
        <f>IF(NOT(ISBLANK(Audit[[#This Row],[Audit Losing Candidate]])), Audit[[#This Row],[Audit Losing Candidate]]-Audit[[#This Row],[Losing Candidate]], "")</f>
        <v/>
      </c>
      <c r="AG869" s="17" t="str">
        <f>IF(NOT(ISBLANK(Audit[[#This Row],[Audit Candidate 3]])), Audit[[#This Row],[Audit Candidate 3]]-Audit[[#This Row],[Candidate 3]], "")</f>
        <v/>
      </c>
      <c r="AH869" s="17" t="str">
        <f>IF(NOT(ISBLANK(Audit[[#This Row],[Audit Candidate 4]])),Audit[[#This Row],[Audit Candidate 4]]-Audit[[#This Row],[Candidate 4]], "")</f>
        <v/>
      </c>
      <c r="AI869" s="17" t="str">
        <f>IF(NOT(ISBLANK(Audit[[#This Row],[Audit Candidate 5]])), Audit[[#This Row],[Audit Candidate 5]]-Audit[[#This Row],[Candidate 5]], "")</f>
        <v/>
      </c>
      <c r="AJ869" s="17" t="str">
        <f>IF(NOT(ISBLANK(Audit[[#This Row],[Audit Candidate 6]])), Audit[[#This Row],[Audit Candidate 6]]-Audit[[#This Row],[Candidate 6]], "")</f>
        <v/>
      </c>
      <c r="AK869" s="17" t="str">
        <f>IF(NOT(ISBLANK(Audit[[#This Row],[Audit Candidate 7]])), Audit[[#This Row],[Audit Candidate 7]]-Audit[[#This Row],[Candidate 7]], "")</f>
        <v/>
      </c>
      <c r="AL869" s="17" t="str">
        <f>IF(NOT(ISBLANK(Audit[[#This Row],[Audit Candidate 8]])), Audit[[#This Row],[Audit Candidate 8]]-Audit[[#This Row],[Candidate 8]], "")</f>
        <v/>
      </c>
      <c r="AM869" s="17" t="str">
        <f>IF(NOT(ISBLANK(Audit[[#This Row],[Audit Candidate 9]])), Audit[[#This Row],[Audit Candidate 9]]-Audit[[#This Row],[Candidate 9]], "")</f>
        <v/>
      </c>
      <c r="AN869" s="17" t="str">
        <f>IF(NOT(ISBLANK(Audit[[#This Row],[Audit Candidate 10]])), Audit[[#This Row],[Audit Candidate 10]]-Audit[[#This Row],[Candidate 10]], "")</f>
        <v/>
      </c>
      <c r="AO869" s="17" t="str">
        <f>IF(NOT(ISBLANK(Audit[[#This Row],[Audit Candidate 11]])), Audit[[#This Row],[Audit Candidate 11]]-Audit[[#This Row],[Candidate 11]], "")</f>
        <v/>
      </c>
      <c r="AP869" s="17" t="str">
        <f>IF(NOT(ISBLANK(Audit[[#This Row],[Audit Candidate 12]])), Audit[[#This Row],[Audit Candidate 12]]-Audit[[#This Row],[Candidate 12]], "")</f>
        <v/>
      </c>
      <c r="AQ869" s="17">
        <f>SUMIF(Audit[[#This Row],[Difference Winner]:[Difference Candidate 12]], "&gt;0")</f>
        <v>0</v>
      </c>
      <c r="AR869" s="17">
        <f>SUM(Audit[[#This Row],[Difference Winner]:[Difference Candidate 12]])</f>
        <v>0</v>
      </c>
      <c r="AS869" s="17">
        <f>IF(Audit[[#This Row],[Times p Drawn - With Replacement]]&gt;0, IF(Audit[[#This Row],[Canceled Differences]]&lt;0, Audit[[#This Row],[Max Differences]]+ABS(Audit[[#This Row],[Canceled Differences]]), Audit[[#This Row],[Max Differences]]), 0)</f>
        <v>0</v>
      </c>
      <c r="AT869" s="17">
        <f>'Sampling Data'!AB869</f>
        <v>2.0454931251060942E-2</v>
      </c>
      <c r="AU869" s="17">
        <f>IF(
      SUM(Audit[[#This Row],[Audit Losing Candidate]:[Audit Candidate 12]])
      &lt;&gt;0,
      (Audit[[#This Row],[Winning Candidate]]-Audit[[#This Row],[Losing Candidate]]-(Audit[[#This Row],[Audit Winning Candidate]]-Audit[[#This Row],[Audit Losing Candidate]]))/(Audit[[#Totals],[Winning Candidate]]-Audit[[#Totals],[Losing Candidate]]),
      0
)</f>
        <v>0</v>
      </c>
      <c r="AV8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9" s="17">
        <f>IF(Audit[[#This Row],[Max Relative Error (ep)]] = 0, 0, Audit[[#This Row],[Max Relative Error (ep)]]/Audit[[#This Row],[Error Bound (up) - Max. possible relative overstatement]])</f>
        <v>0</v>
      </c>
      <c r="BH8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69" s="17">
        <f t="shared" si="14"/>
        <v>1</v>
      </c>
      <c r="BJ869" s="17">
        <f>PRODUCT($BI$5:BI869)</f>
        <v>0.17189331690766399</v>
      </c>
      <c r="BK869" s="19">
        <f>1 - Audit[[#This Row],[K-M P Value]]</f>
        <v>0.82810668309233604</v>
      </c>
      <c r="BL869" s="17" t="str">
        <f>IF(Audit[[#This Row],[K-M P Value]]&gt;1-'General Info'!$B$12,"Continue", "Stop")</f>
        <v>Continue</v>
      </c>
      <c r="BM869" s="22" t="b">
        <f>IF(Audit[[#This Row],[Status - Continue or stop audit]] = "Continue", TRUE, IF(BL868 = "Continue", TRUE, FALSE))</f>
        <v>1</v>
      </c>
      <c r="BN869" s="22"/>
    </row>
    <row r="870" spans="1:66" ht="15" hidden="1" customHeight="1" x14ac:dyDescent="0.35">
      <c r="A870" s="17" t="str">
        <f>'Sampling Data'!AI870</f>
        <v/>
      </c>
      <c r="B870" s="17" t="str">
        <f>'Sampling Data'!A870</f>
        <v>5206 SPDALE F   (ED)</v>
      </c>
      <c r="C870" s="17">
        <f>'Sampling Data'!B870</f>
        <v>187</v>
      </c>
      <c r="D870" s="17">
        <f>'Sampling Data'!C870</f>
        <v>156</v>
      </c>
      <c r="E870" s="18">
        <f>'Sampling Data'!D870</f>
        <v>0</v>
      </c>
      <c r="F870" s="18">
        <f>'Sampling Data'!E870</f>
        <v>0</v>
      </c>
      <c r="G870" s="18">
        <f>'Sampling Data'!F870</f>
        <v>0</v>
      </c>
      <c r="H870" s="18">
        <f>'Sampling Data'!G870</f>
        <v>0</v>
      </c>
      <c r="I870" s="18">
        <f>'Sampling Data'!H870</f>
        <v>0</v>
      </c>
      <c r="J870" s="18">
        <f>'Sampling Data'!I870</f>
        <v>0</v>
      </c>
      <c r="K870" s="18">
        <f>'Sampling Data'!J870</f>
        <v>0</v>
      </c>
      <c r="L870" s="18">
        <f>'Sampling Data'!K870</f>
        <v>0</v>
      </c>
      <c r="M870" s="18">
        <f>'Sampling Data'!L870</f>
        <v>0</v>
      </c>
      <c r="N870" s="18">
        <f>'Sampling Data'!M870</f>
        <v>0</v>
      </c>
      <c r="O870" s="17">
        <f>'Sampling Data'!N870</f>
        <v>0</v>
      </c>
      <c r="P870" s="17">
        <f>'Sampling Data'!O870</f>
        <v>36</v>
      </c>
      <c r="Q870" s="17">
        <f>'Sampling Data'!P870</f>
        <v>379</v>
      </c>
      <c r="R870" s="17">
        <f>'Sampling Data'!AJ870</f>
        <v>0</v>
      </c>
      <c r="S870" s="111"/>
      <c r="T870" s="111"/>
      <c r="U870" s="112"/>
      <c r="V870" s="112"/>
      <c r="W870" s="111"/>
      <c r="X870" s="111"/>
      <c r="Y870" s="111"/>
      <c r="Z870" s="111"/>
      <c r="AA870" s="14"/>
      <c r="AB870" s="14"/>
      <c r="AC870" s="14"/>
      <c r="AD870" s="14"/>
      <c r="AE870" s="113" t="str">
        <f>IF(NOT(ISBLANK(Audit[[#This Row],[Audit Winning Candidate]])), Audit[[#This Row],[Audit Winning Candidate]]-Audit[[#This Row],[Winning Candidate]], "")</f>
        <v/>
      </c>
      <c r="AF870" s="17" t="str">
        <f>IF(NOT(ISBLANK(Audit[[#This Row],[Audit Losing Candidate]])), Audit[[#This Row],[Audit Losing Candidate]]-Audit[[#This Row],[Losing Candidate]], "")</f>
        <v/>
      </c>
      <c r="AG870" s="17" t="str">
        <f>IF(NOT(ISBLANK(Audit[[#This Row],[Audit Candidate 3]])), Audit[[#This Row],[Audit Candidate 3]]-Audit[[#This Row],[Candidate 3]], "")</f>
        <v/>
      </c>
      <c r="AH870" s="17" t="str">
        <f>IF(NOT(ISBLANK(Audit[[#This Row],[Audit Candidate 4]])),Audit[[#This Row],[Audit Candidate 4]]-Audit[[#This Row],[Candidate 4]], "")</f>
        <v/>
      </c>
      <c r="AI870" s="17" t="str">
        <f>IF(NOT(ISBLANK(Audit[[#This Row],[Audit Candidate 5]])), Audit[[#This Row],[Audit Candidate 5]]-Audit[[#This Row],[Candidate 5]], "")</f>
        <v/>
      </c>
      <c r="AJ870" s="17" t="str">
        <f>IF(NOT(ISBLANK(Audit[[#This Row],[Audit Candidate 6]])), Audit[[#This Row],[Audit Candidate 6]]-Audit[[#This Row],[Candidate 6]], "")</f>
        <v/>
      </c>
      <c r="AK870" s="17" t="str">
        <f>IF(NOT(ISBLANK(Audit[[#This Row],[Audit Candidate 7]])), Audit[[#This Row],[Audit Candidate 7]]-Audit[[#This Row],[Candidate 7]], "")</f>
        <v/>
      </c>
      <c r="AL870" s="17" t="str">
        <f>IF(NOT(ISBLANK(Audit[[#This Row],[Audit Candidate 8]])), Audit[[#This Row],[Audit Candidate 8]]-Audit[[#This Row],[Candidate 8]], "")</f>
        <v/>
      </c>
      <c r="AM870" s="17" t="str">
        <f>IF(NOT(ISBLANK(Audit[[#This Row],[Audit Candidate 9]])), Audit[[#This Row],[Audit Candidate 9]]-Audit[[#This Row],[Candidate 9]], "")</f>
        <v/>
      </c>
      <c r="AN870" s="17" t="str">
        <f>IF(NOT(ISBLANK(Audit[[#This Row],[Audit Candidate 10]])), Audit[[#This Row],[Audit Candidate 10]]-Audit[[#This Row],[Candidate 10]], "")</f>
        <v/>
      </c>
      <c r="AO870" s="17" t="str">
        <f>IF(NOT(ISBLANK(Audit[[#This Row],[Audit Candidate 11]])), Audit[[#This Row],[Audit Candidate 11]]-Audit[[#This Row],[Candidate 11]], "")</f>
        <v/>
      </c>
      <c r="AP870" s="17" t="str">
        <f>IF(NOT(ISBLANK(Audit[[#This Row],[Audit Candidate 12]])), Audit[[#This Row],[Audit Candidate 12]]-Audit[[#This Row],[Candidate 12]], "")</f>
        <v/>
      </c>
      <c r="AQ870" s="17">
        <f>SUMIF(Audit[[#This Row],[Difference Winner]:[Difference Candidate 12]], "&gt;0")</f>
        <v>0</v>
      </c>
      <c r="AR870" s="17">
        <f>SUM(Audit[[#This Row],[Difference Winner]:[Difference Candidate 12]])</f>
        <v>0</v>
      </c>
      <c r="AS870" s="17">
        <f>IF(Audit[[#This Row],[Times p Drawn - With Replacement]]&gt;0, IF(Audit[[#This Row],[Canceled Differences]]&lt;0, Audit[[#This Row],[Max Differences]]+ABS(Audit[[#This Row],[Canceled Differences]]), Audit[[#This Row],[Max Differences]]), 0)</f>
        <v>0</v>
      </c>
      <c r="AT870" s="17">
        <f>'Sampling Data'!AB870</f>
        <v>1.7399422848412834E-2</v>
      </c>
      <c r="AU870" s="17">
        <f>IF(
      SUM(Audit[[#This Row],[Audit Losing Candidate]:[Audit Candidate 12]])
      &lt;&gt;0,
      (Audit[[#This Row],[Winning Candidate]]-Audit[[#This Row],[Losing Candidate]]-(Audit[[#This Row],[Audit Winning Candidate]]-Audit[[#This Row],[Audit Losing Candidate]]))/(Audit[[#Totals],[Winning Candidate]]-Audit[[#Totals],[Losing Candidate]]),
      0
)</f>
        <v>0</v>
      </c>
      <c r="AV8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0" s="17">
        <f>IF(Audit[[#This Row],[Max Relative Error (ep)]] = 0, 0, Audit[[#This Row],[Max Relative Error (ep)]]/Audit[[#This Row],[Error Bound (up) - Max. possible relative overstatement]])</f>
        <v>0</v>
      </c>
      <c r="BH8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70" s="17">
        <f t="shared" si="14"/>
        <v>1</v>
      </c>
      <c r="BJ870" s="17">
        <f>PRODUCT($BI$5:BI870)</f>
        <v>0.17189331690766399</v>
      </c>
      <c r="BK870" s="19">
        <f>1 - Audit[[#This Row],[K-M P Value]]</f>
        <v>0.82810668309233604</v>
      </c>
      <c r="BL870" s="17" t="str">
        <f>IF(Audit[[#This Row],[K-M P Value]]&gt;1-'General Info'!$B$12,"Continue", "Stop")</f>
        <v>Continue</v>
      </c>
      <c r="BM870" s="22" t="b">
        <f>IF(Audit[[#This Row],[Status - Continue or stop audit]] = "Continue", TRUE, IF(BL869 = "Continue", TRUE, FALSE))</f>
        <v>1</v>
      </c>
      <c r="BN870" s="22"/>
    </row>
    <row r="871" spans="1:66" ht="15" hidden="1" customHeight="1" x14ac:dyDescent="0.35">
      <c r="A871" s="17" t="str">
        <f>'Sampling Data'!AI871</f>
        <v/>
      </c>
      <c r="B871" s="17" t="str">
        <f>'Sampling Data'!A871</f>
        <v>5207 SPDALE G   (ED)</v>
      </c>
      <c r="C871" s="17">
        <f>'Sampling Data'!B871</f>
        <v>201</v>
      </c>
      <c r="D871" s="17">
        <f>'Sampling Data'!C871</f>
        <v>72</v>
      </c>
      <c r="E871" s="18">
        <f>'Sampling Data'!D871</f>
        <v>0</v>
      </c>
      <c r="F871" s="18">
        <f>'Sampling Data'!E871</f>
        <v>0</v>
      </c>
      <c r="G871" s="18">
        <f>'Sampling Data'!F871</f>
        <v>0</v>
      </c>
      <c r="H871" s="18">
        <f>'Sampling Data'!G871</f>
        <v>0</v>
      </c>
      <c r="I871" s="18">
        <f>'Sampling Data'!H871</f>
        <v>0</v>
      </c>
      <c r="J871" s="18">
        <f>'Sampling Data'!I871</f>
        <v>0</v>
      </c>
      <c r="K871" s="18">
        <f>'Sampling Data'!J871</f>
        <v>0</v>
      </c>
      <c r="L871" s="18">
        <f>'Sampling Data'!K871</f>
        <v>0</v>
      </c>
      <c r="M871" s="18">
        <f>'Sampling Data'!L871</f>
        <v>0</v>
      </c>
      <c r="N871" s="18">
        <f>'Sampling Data'!M871</f>
        <v>0</v>
      </c>
      <c r="O871" s="17">
        <f>'Sampling Data'!N871</f>
        <v>0</v>
      </c>
      <c r="P871" s="17">
        <f>'Sampling Data'!O871</f>
        <v>22</v>
      </c>
      <c r="Q871" s="17">
        <f>'Sampling Data'!P871</f>
        <v>295</v>
      </c>
      <c r="R871" s="17">
        <f>'Sampling Data'!AJ871</f>
        <v>0</v>
      </c>
      <c r="S871" s="111"/>
      <c r="T871" s="111"/>
      <c r="U871" s="112"/>
      <c r="V871" s="112"/>
      <c r="W871" s="111"/>
      <c r="X871" s="111"/>
      <c r="Y871" s="111"/>
      <c r="Z871" s="111"/>
      <c r="AA871" s="14"/>
      <c r="AB871" s="14"/>
      <c r="AC871" s="14"/>
      <c r="AD871" s="14"/>
      <c r="AE871" s="113" t="str">
        <f>IF(NOT(ISBLANK(Audit[[#This Row],[Audit Winning Candidate]])), Audit[[#This Row],[Audit Winning Candidate]]-Audit[[#This Row],[Winning Candidate]], "")</f>
        <v/>
      </c>
      <c r="AF871" s="17" t="str">
        <f>IF(NOT(ISBLANK(Audit[[#This Row],[Audit Losing Candidate]])), Audit[[#This Row],[Audit Losing Candidate]]-Audit[[#This Row],[Losing Candidate]], "")</f>
        <v/>
      </c>
      <c r="AG871" s="17" t="str">
        <f>IF(NOT(ISBLANK(Audit[[#This Row],[Audit Candidate 3]])), Audit[[#This Row],[Audit Candidate 3]]-Audit[[#This Row],[Candidate 3]], "")</f>
        <v/>
      </c>
      <c r="AH871" s="17" t="str">
        <f>IF(NOT(ISBLANK(Audit[[#This Row],[Audit Candidate 4]])),Audit[[#This Row],[Audit Candidate 4]]-Audit[[#This Row],[Candidate 4]], "")</f>
        <v/>
      </c>
      <c r="AI871" s="17" t="str">
        <f>IF(NOT(ISBLANK(Audit[[#This Row],[Audit Candidate 5]])), Audit[[#This Row],[Audit Candidate 5]]-Audit[[#This Row],[Candidate 5]], "")</f>
        <v/>
      </c>
      <c r="AJ871" s="17" t="str">
        <f>IF(NOT(ISBLANK(Audit[[#This Row],[Audit Candidate 6]])), Audit[[#This Row],[Audit Candidate 6]]-Audit[[#This Row],[Candidate 6]], "")</f>
        <v/>
      </c>
      <c r="AK871" s="17" t="str">
        <f>IF(NOT(ISBLANK(Audit[[#This Row],[Audit Candidate 7]])), Audit[[#This Row],[Audit Candidate 7]]-Audit[[#This Row],[Candidate 7]], "")</f>
        <v/>
      </c>
      <c r="AL871" s="17" t="str">
        <f>IF(NOT(ISBLANK(Audit[[#This Row],[Audit Candidate 8]])), Audit[[#This Row],[Audit Candidate 8]]-Audit[[#This Row],[Candidate 8]], "")</f>
        <v/>
      </c>
      <c r="AM871" s="17" t="str">
        <f>IF(NOT(ISBLANK(Audit[[#This Row],[Audit Candidate 9]])), Audit[[#This Row],[Audit Candidate 9]]-Audit[[#This Row],[Candidate 9]], "")</f>
        <v/>
      </c>
      <c r="AN871" s="17" t="str">
        <f>IF(NOT(ISBLANK(Audit[[#This Row],[Audit Candidate 10]])), Audit[[#This Row],[Audit Candidate 10]]-Audit[[#This Row],[Candidate 10]], "")</f>
        <v/>
      </c>
      <c r="AO871" s="17" t="str">
        <f>IF(NOT(ISBLANK(Audit[[#This Row],[Audit Candidate 11]])), Audit[[#This Row],[Audit Candidate 11]]-Audit[[#This Row],[Candidate 11]], "")</f>
        <v/>
      </c>
      <c r="AP871" s="17" t="str">
        <f>IF(NOT(ISBLANK(Audit[[#This Row],[Audit Candidate 12]])), Audit[[#This Row],[Audit Candidate 12]]-Audit[[#This Row],[Candidate 12]], "")</f>
        <v/>
      </c>
      <c r="AQ871" s="17">
        <f>SUMIF(Audit[[#This Row],[Difference Winner]:[Difference Candidate 12]], "&gt;0")</f>
        <v>0</v>
      </c>
      <c r="AR871" s="17">
        <f>SUM(Audit[[#This Row],[Difference Winner]:[Difference Candidate 12]])</f>
        <v>0</v>
      </c>
      <c r="AS871" s="17">
        <f>IF(Audit[[#This Row],[Times p Drawn - With Replacement]]&gt;0, IF(Audit[[#This Row],[Canceled Differences]]&lt;0, Audit[[#This Row],[Max Differences]]+ABS(Audit[[#This Row],[Canceled Differences]]), Audit[[#This Row],[Max Differences]]), 0)</f>
        <v>0</v>
      </c>
      <c r="AT871" s="17">
        <f>'Sampling Data'!AB871</f>
        <v>1.7993549482261076E-2</v>
      </c>
      <c r="AU871" s="17">
        <f>IF(
      SUM(Audit[[#This Row],[Audit Losing Candidate]:[Audit Candidate 12]])
      &lt;&gt;0,
      (Audit[[#This Row],[Winning Candidate]]-Audit[[#This Row],[Losing Candidate]]-(Audit[[#This Row],[Audit Winning Candidate]]-Audit[[#This Row],[Audit Losing Candidate]]))/(Audit[[#Totals],[Winning Candidate]]-Audit[[#Totals],[Losing Candidate]]),
      0
)</f>
        <v>0</v>
      </c>
      <c r="AV8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1" s="17">
        <f>IF(Audit[[#This Row],[Max Relative Error (ep)]] = 0, 0, Audit[[#This Row],[Max Relative Error (ep)]]/Audit[[#This Row],[Error Bound (up) - Max. possible relative overstatement]])</f>
        <v>0</v>
      </c>
      <c r="BH8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71" s="17">
        <f t="shared" si="14"/>
        <v>1</v>
      </c>
      <c r="BJ871" s="17">
        <f>PRODUCT($BI$5:BI871)</f>
        <v>0.17189331690766399</v>
      </c>
      <c r="BK871" s="19">
        <f>1 - Audit[[#This Row],[K-M P Value]]</f>
        <v>0.82810668309233604</v>
      </c>
      <c r="BL871" s="17" t="str">
        <f>IF(Audit[[#This Row],[K-M P Value]]&gt;1-'General Info'!$B$12,"Continue", "Stop")</f>
        <v>Continue</v>
      </c>
      <c r="BM871" s="22" t="b">
        <f>IF(Audit[[#This Row],[Status - Continue or stop audit]] = "Continue", TRUE, IF(BL870 = "Continue", TRUE, FALSE))</f>
        <v>1</v>
      </c>
      <c r="BN871" s="22"/>
    </row>
    <row r="872" spans="1:66" ht="15" customHeight="1" x14ac:dyDescent="0.35">
      <c r="A872" s="17">
        <f>'Sampling Data'!AI872</f>
        <v>12</v>
      </c>
      <c r="B872" s="17" t="str">
        <f>'Sampling Data'!A872</f>
        <v>5208 SPDALE H   (ED)</v>
      </c>
      <c r="C872" s="17">
        <f>'Sampling Data'!B872</f>
        <v>284</v>
      </c>
      <c r="D872" s="17">
        <f>'Sampling Data'!C872</f>
        <v>124</v>
      </c>
      <c r="E872" s="18">
        <f>'Sampling Data'!D872</f>
        <v>0</v>
      </c>
      <c r="F872" s="18">
        <f>'Sampling Data'!E872</f>
        <v>0</v>
      </c>
      <c r="G872" s="18">
        <f>'Sampling Data'!F872</f>
        <v>0</v>
      </c>
      <c r="H872" s="18">
        <f>'Sampling Data'!G872</f>
        <v>0</v>
      </c>
      <c r="I872" s="18">
        <f>'Sampling Data'!H872</f>
        <v>0</v>
      </c>
      <c r="J872" s="18">
        <f>'Sampling Data'!I872</f>
        <v>0</v>
      </c>
      <c r="K872" s="18">
        <f>'Sampling Data'!J872</f>
        <v>0</v>
      </c>
      <c r="L872" s="18">
        <f>'Sampling Data'!K872</f>
        <v>0</v>
      </c>
      <c r="M872" s="18">
        <f>'Sampling Data'!L872</f>
        <v>0</v>
      </c>
      <c r="N872" s="18">
        <f>'Sampling Data'!M872</f>
        <v>0</v>
      </c>
      <c r="O872" s="17">
        <f>'Sampling Data'!N872</f>
        <v>0</v>
      </c>
      <c r="P872" s="17">
        <f>'Sampling Data'!O872</f>
        <v>19</v>
      </c>
      <c r="Q872" s="17">
        <f>'Sampling Data'!P872</f>
        <v>427</v>
      </c>
      <c r="R872" s="17">
        <f>'Sampling Data'!AJ872</f>
        <v>1</v>
      </c>
      <c r="S872" s="111">
        <v>284</v>
      </c>
      <c r="T872" s="111">
        <v>124</v>
      </c>
      <c r="U872" s="112"/>
      <c r="V872" s="112"/>
      <c r="W872" s="111"/>
      <c r="X872" s="111"/>
      <c r="Y872" s="111"/>
      <c r="Z872" s="111"/>
      <c r="AA872" s="14"/>
      <c r="AB872" s="14"/>
      <c r="AC872" s="14"/>
      <c r="AD872" s="14"/>
      <c r="AE872" s="113">
        <f>IF(NOT(ISBLANK(Audit[[#This Row],[Audit Winning Candidate]])), Audit[[#This Row],[Audit Winning Candidate]]-Audit[[#This Row],[Winning Candidate]], "")</f>
        <v>0</v>
      </c>
      <c r="AF872" s="17">
        <f>IF(NOT(ISBLANK(Audit[[#This Row],[Audit Losing Candidate]])), Audit[[#This Row],[Audit Losing Candidate]]-Audit[[#This Row],[Losing Candidate]], "")</f>
        <v>0</v>
      </c>
      <c r="AG872" s="17" t="str">
        <f>IF(NOT(ISBLANK(Audit[[#This Row],[Audit Candidate 3]])), Audit[[#This Row],[Audit Candidate 3]]-Audit[[#This Row],[Candidate 3]], "")</f>
        <v/>
      </c>
      <c r="AH872" s="17" t="str">
        <f>IF(NOT(ISBLANK(Audit[[#This Row],[Audit Candidate 4]])),Audit[[#This Row],[Audit Candidate 4]]-Audit[[#This Row],[Candidate 4]], "")</f>
        <v/>
      </c>
      <c r="AI872" s="17" t="str">
        <f>IF(NOT(ISBLANK(Audit[[#This Row],[Audit Candidate 5]])), Audit[[#This Row],[Audit Candidate 5]]-Audit[[#This Row],[Candidate 5]], "")</f>
        <v/>
      </c>
      <c r="AJ872" s="17" t="str">
        <f>IF(NOT(ISBLANK(Audit[[#This Row],[Audit Candidate 6]])), Audit[[#This Row],[Audit Candidate 6]]-Audit[[#This Row],[Candidate 6]], "")</f>
        <v/>
      </c>
      <c r="AK872" s="17" t="str">
        <f>IF(NOT(ISBLANK(Audit[[#This Row],[Audit Candidate 7]])), Audit[[#This Row],[Audit Candidate 7]]-Audit[[#This Row],[Candidate 7]], "")</f>
        <v/>
      </c>
      <c r="AL872" s="17" t="str">
        <f>IF(NOT(ISBLANK(Audit[[#This Row],[Audit Candidate 8]])), Audit[[#This Row],[Audit Candidate 8]]-Audit[[#This Row],[Candidate 8]], "")</f>
        <v/>
      </c>
      <c r="AM872" s="17" t="str">
        <f>IF(NOT(ISBLANK(Audit[[#This Row],[Audit Candidate 9]])), Audit[[#This Row],[Audit Candidate 9]]-Audit[[#This Row],[Candidate 9]], "")</f>
        <v/>
      </c>
      <c r="AN872" s="17" t="str">
        <f>IF(NOT(ISBLANK(Audit[[#This Row],[Audit Candidate 10]])), Audit[[#This Row],[Audit Candidate 10]]-Audit[[#This Row],[Candidate 10]], "")</f>
        <v/>
      </c>
      <c r="AO872" s="17" t="str">
        <f>IF(NOT(ISBLANK(Audit[[#This Row],[Audit Candidate 11]])), Audit[[#This Row],[Audit Candidate 11]]-Audit[[#This Row],[Candidate 11]], "")</f>
        <v/>
      </c>
      <c r="AP872" s="17" t="str">
        <f>IF(NOT(ISBLANK(Audit[[#This Row],[Audit Candidate 12]])), Audit[[#This Row],[Audit Candidate 12]]-Audit[[#This Row],[Candidate 12]], "")</f>
        <v/>
      </c>
      <c r="AQ872" s="17">
        <f>SUMIF(Audit[[#This Row],[Difference Winner]:[Difference Candidate 12]], "&gt;0")</f>
        <v>0</v>
      </c>
      <c r="AR872" s="17">
        <f>SUM(Audit[[#This Row],[Difference Winner]:[Difference Candidate 12]])</f>
        <v>0</v>
      </c>
      <c r="AS872" s="17">
        <f>IF(Audit[[#This Row],[Times p Drawn - With Replacement]]&gt;0, IF(Audit[[#This Row],[Canceled Differences]]&lt;0, Audit[[#This Row],[Max Differences]]+ABS(Audit[[#This Row],[Canceled Differences]]), Audit[[#This Row],[Max Differences]]), 0)</f>
        <v>0</v>
      </c>
      <c r="AT872" s="17">
        <f>'Sampling Data'!AB872</f>
        <v>2.4910881004922763E-2</v>
      </c>
      <c r="AU872" s="17">
        <f>IF(
      SUM(Audit[[#This Row],[Audit Losing Candidate]:[Audit Candidate 12]])
      &lt;&gt;0,
      (Audit[[#This Row],[Winning Candidate]]-Audit[[#This Row],[Losing Candidate]]-(Audit[[#This Row],[Audit Winning Candidate]]-Audit[[#This Row],[Audit Losing Candidate]]))/(Audit[[#Totals],[Winning Candidate]]-Audit[[#Totals],[Losing Candidate]]),
      0
)</f>
        <v>0</v>
      </c>
      <c r="AV8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2" s="17">
        <f>IF(Audit[[#This Row],[Max Relative Error (ep)]] = 0, 0, Audit[[#This Row],[Max Relative Error (ep)]]/Audit[[#This Row],[Error Bound (up) - Max. possible relative overstatement]])</f>
        <v>0</v>
      </c>
      <c r="BH8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72" s="17">
        <f t="shared" si="14"/>
        <v>0.94645908314247273</v>
      </c>
      <c r="BJ872" s="17">
        <f>PRODUCT($BI$5:BI872)</f>
        <v>0.16268999111874616</v>
      </c>
      <c r="BK872" s="19">
        <f>1 - Audit[[#This Row],[K-M P Value]]</f>
        <v>0.83731000888125384</v>
      </c>
      <c r="BL872" s="17" t="str">
        <f>IF(Audit[[#This Row],[K-M P Value]]&gt;1-'General Info'!$B$12,"Continue", "Stop")</f>
        <v>Continue</v>
      </c>
      <c r="BM872" s="22" t="b">
        <f>IF(Audit[[#This Row],[Status - Continue or stop audit]] = "Continue", TRUE, IF(BL871 = "Continue", TRUE, FALSE))</f>
        <v>1</v>
      </c>
      <c r="BN872" s="22"/>
    </row>
    <row r="873" spans="1:66" ht="15" hidden="1" customHeight="1" x14ac:dyDescent="0.35">
      <c r="A873" s="17" t="str">
        <f>'Sampling Data'!AI873</f>
        <v/>
      </c>
      <c r="B873" s="17" t="str">
        <f>'Sampling Data'!A873</f>
        <v>5301 WYOM A   (ED)</v>
      </c>
      <c r="C873" s="17">
        <f>'Sampling Data'!B873</f>
        <v>358</v>
      </c>
      <c r="D873" s="17">
        <f>'Sampling Data'!C873</f>
        <v>257</v>
      </c>
      <c r="E873" s="18">
        <f>'Sampling Data'!D873</f>
        <v>0</v>
      </c>
      <c r="F873" s="18">
        <f>'Sampling Data'!E873</f>
        <v>0</v>
      </c>
      <c r="G873" s="18">
        <f>'Sampling Data'!F873</f>
        <v>0</v>
      </c>
      <c r="H873" s="18">
        <f>'Sampling Data'!G873</f>
        <v>0</v>
      </c>
      <c r="I873" s="18">
        <f>'Sampling Data'!H873</f>
        <v>0</v>
      </c>
      <c r="J873" s="18">
        <f>'Sampling Data'!I873</f>
        <v>0</v>
      </c>
      <c r="K873" s="18">
        <f>'Sampling Data'!J873</f>
        <v>0</v>
      </c>
      <c r="L873" s="18">
        <f>'Sampling Data'!K873</f>
        <v>0</v>
      </c>
      <c r="M873" s="18">
        <f>'Sampling Data'!L873</f>
        <v>0</v>
      </c>
      <c r="N873" s="18">
        <f>'Sampling Data'!M873</f>
        <v>0</v>
      </c>
      <c r="O873" s="17">
        <f>'Sampling Data'!N873</f>
        <v>0</v>
      </c>
      <c r="P873" s="17">
        <f>'Sampling Data'!O873</f>
        <v>33</v>
      </c>
      <c r="Q873" s="17">
        <f>'Sampling Data'!P873</f>
        <v>648</v>
      </c>
      <c r="R873" s="17">
        <f>'Sampling Data'!AJ873</f>
        <v>0</v>
      </c>
      <c r="S873" s="111"/>
      <c r="T873" s="111"/>
      <c r="U873" s="112"/>
      <c r="V873" s="112"/>
      <c r="W873" s="111"/>
      <c r="X873" s="111"/>
      <c r="Y873" s="111"/>
      <c r="Z873" s="111"/>
      <c r="AA873" s="14"/>
      <c r="AB873" s="14"/>
      <c r="AC873" s="14"/>
      <c r="AD873" s="14"/>
      <c r="AE873" s="113" t="str">
        <f>IF(NOT(ISBLANK(Audit[[#This Row],[Audit Winning Candidate]])), Audit[[#This Row],[Audit Winning Candidate]]-Audit[[#This Row],[Winning Candidate]], "")</f>
        <v/>
      </c>
      <c r="AF873" s="17" t="str">
        <f>IF(NOT(ISBLANK(Audit[[#This Row],[Audit Losing Candidate]])), Audit[[#This Row],[Audit Losing Candidate]]-Audit[[#This Row],[Losing Candidate]], "")</f>
        <v/>
      </c>
      <c r="AG873" s="17" t="str">
        <f>IF(NOT(ISBLANK(Audit[[#This Row],[Audit Candidate 3]])), Audit[[#This Row],[Audit Candidate 3]]-Audit[[#This Row],[Candidate 3]], "")</f>
        <v/>
      </c>
      <c r="AH873" s="17" t="str">
        <f>IF(NOT(ISBLANK(Audit[[#This Row],[Audit Candidate 4]])),Audit[[#This Row],[Audit Candidate 4]]-Audit[[#This Row],[Candidate 4]], "")</f>
        <v/>
      </c>
      <c r="AI873" s="17" t="str">
        <f>IF(NOT(ISBLANK(Audit[[#This Row],[Audit Candidate 5]])), Audit[[#This Row],[Audit Candidate 5]]-Audit[[#This Row],[Candidate 5]], "")</f>
        <v/>
      </c>
      <c r="AJ873" s="17" t="str">
        <f>IF(NOT(ISBLANK(Audit[[#This Row],[Audit Candidate 6]])), Audit[[#This Row],[Audit Candidate 6]]-Audit[[#This Row],[Candidate 6]], "")</f>
        <v/>
      </c>
      <c r="AK873" s="17" t="str">
        <f>IF(NOT(ISBLANK(Audit[[#This Row],[Audit Candidate 7]])), Audit[[#This Row],[Audit Candidate 7]]-Audit[[#This Row],[Candidate 7]], "")</f>
        <v/>
      </c>
      <c r="AL873" s="17" t="str">
        <f>IF(NOT(ISBLANK(Audit[[#This Row],[Audit Candidate 8]])), Audit[[#This Row],[Audit Candidate 8]]-Audit[[#This Row],[Candidate 8]], "")</f>
        <v/>
      </c>
      <c r="AM873" s="17" t="str">
        <f>IF(NOT(ISBLANK(Audit[[#This Row],[Audit Candidate 9]])), Audit[[#This Row],[Audit Candidate 9]]-Audit[[#This Row],[Candidate 9]], "")</f>
        <v/>
      </c>
      <c r="AN873" s="17" t="str">
        <f>IF(NOT(ISBLANK(Audit[[#This Row],[Audit Candidate 10]])), Audit[[#This Row],[Audit Candidate 10]]-Audit[[#This Row],[Candidate 10]], "")</f>
        <v/>
      </c>
      <c r="AO873" s="17" t="str">
        <f>IF(NOT(ISBLANK(Audit[[#This Row],[Audit Candidate 11]])), Audit[[#This Row],[Audit Candidate 11]]-Audit[[#This Row],[Candidate 11]], "")</f>
        <v/>
      </c>
      <c r="AP873" s="17" t="str">
        <f>IF(NOT(ISBLANK(Audit[[#This Row],[Audit Candidate 12]])), Audit[[#This Row],[Audit Candidate 12]]-Audit[[#This Row],[Candidate 12]], "")</f>
        <v/>
      </c>
      <c r="AQ873" s="17">
        <f>SUMIF(Audit[[#This Row],[Difference Winner]:[Difference Candidate 12]], "&gt;0")</f>
        <v>0</v>
      </c>
      <c r="AR873" s="17">
        <f>SUM(Audit[[#This Row],[Difference Winner]:[Difference Candidate 12]])</f>
        <v>0</v>
      </c>
      <c r="AS873" s="17">
        <f>IF(Audit[[#This Row],[Times p Drawn - With Replacement]]&gt;0, IF(Audit[[#This Row],[Canceled Differences]]&lt;0, Audit[[#This Row],[Max Differences]]+ABS(Audit[[#This Row],[Canceled Differences]]), Audit[[#This Row],[Max Differences]]), 0)</f>
        <v>0</v>
      </c>
      <c r="AT873" s="17">
        <f>'Sampling Data'!AB873</f>
        <v>3.1785774910881005E-2</v>
      </c>
      <c r="AU873" s="17">
        <f>IF(
      SUM(Audit[[#This Row],[Audit Losing Candidate]:[Audit Candidate 12]])
      &lt;&gt;0,
      (Audit[[#This Row],[Winning Candidate]]-Audit[[#This Row],[Losing Candidate]]-(Audit[[#This Row],[Audit Winning Candidate]]-Audit[[#This Row],[Audit Losing Candidate]]))/(Audit[[#Totals],[Winning Candidate]]-Audit[[#Totals],[Losing Candidate]]),
      0
)</f>
        <v>0</v>
      </c>
      <c r="AV8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3" s="17">
        <f>IF(Audit[[#This Row],[Max Relative Error (ep)]] = 0, 0, Audit[[#This Row],[Max Relative Error (ep)]]/Audit[[#This Row],[Error Bound (up) - Max. possible relative overstatement]])</f>
        <v>0</v>
      </c>
      <c r="BH8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73" s="17">
        <f t="shared" si="14"/>
        <v>1</v>
      </c>
      <c r="BJ873" s="17">
        <f>PRODUCT($BI$5:BI873)</f>
        <v>0.16268999111874616</v>
      </c>
      <c r="BK873" s="19">
        <f>1 - Audit[[#This Row],[K-M P Value]]</f>
        <v>0.83731000888125384</v>
      </c>
      <c r="BL873" s="17" t="str">
        <f>IF(Audit[[#This Row],[K-M P Value]]&gt;1-'General Info'!$B$12,"Continue", "Stop")</f>
        <v>Continue</v>
      </c>
      <c r="BM873" s="22" t="b">
        <f>IF(Audit[[#This Row],[Status - Continue or stop audit]] = "Continue", TRUE, IF(BL872 = "Continue", TRUE, FALSE))</f>
        <v>1</v>
      </c>
      <c r="BN873" s="22"/>
    </row>
    <row r="874" spans="1:66" ht="15" hidden="1" customHeight="1" x14ac:dyDescent="0.35">
      <c r="A874" s="17" t="str">
        <f>'Sampling Data'!AI874</f>
        <v/>
      </c>
      <c r="B874" s="17" t="str">
        <f>'Sampling Data'!A874</f>
        <v>5302 WYOM B   (ED)</v>
      </c>
      <c r="C874" s="17">
        <f>'Sampling Data'!B874</f>
        <v>348</v>
      </c>
      <c r="D874" s="17">
        <f>'Sampling Data'!C874</f>
        <v>249</v>
      </c>
      <c r="E874" s="18">
        <f>'Sampling Data'!D874</f>
        <v>0</v>
      </c>
      <c r="F874" s="18">
        <f>'Sampling Data'!E874</f>
        <v>0</v>
      </c>
      <c r="G874" s="18">
        <f>'Sampling Data'!F874</f>
        <v>0</v>
      </c>
      <c r="H874" s="18">
        <f>'Sampling Data'!G874</f>
        <v>0</v>
      </c>
      <c r="I874" s="18">
        <f>'Sampling Data'!H874</f>
        <v>0</v>
      </c>
      <c r="J874" s="18">
        <f>'Sampling Data'!I874</f>
        <v>0</v>
      </c>
      <c r="K874" s="18">
        <f>'Sampling Data'!J874</f>
        <v>0</v>
      </c>
      <c r="L874" s="18">
        <f>'Sampling Data'!K874</f>
        <v>0</v>
      </c>
      <c r="M874" s="18">
        <f>'Sampling Data'!L874</f>
        <v>0</v>
      </c>
      <c r="N874" s="18">
        <f>'Sampling Data'!M874</f>
        <v>0</v>
      </c>
      <c r="O874" s="17">
        <f>'Sampling Data'!N874</f>
        <v>0</v>
      </c>
      <c r="P874" s="17">
        <f>'Sampling Data'!O874</f>
        <v>36</v>
      </c>
      <c r="Q874" s="17">
        <f>'Sampling Data'!P874</f>
        <v>633</v>
      </c>
      <c r="R874" s="17">
        <f>'Sampling Data'!AJ874</f>
        <v>0</v>
      </c>
      <c r="S874" s="111"/>
      <c r="T874" s="111"/>
      <c r="U874" s="112"/>
      <c r="V874" s="112"/>
      <c r="W874" s="111"/>
      <c r="X874" s="111"/>
      <c r="Y874" s="111"/>
      <c r="Z874" s="111"/>
      <c r="AA874" s="14"/>
      <c r="AB874" s="14"/>
      <c r="AC874" s="14"/>
      <c r="AD874" s="14"/>
      <c r="AE874" s="113" t="str">
        <f>IF(NOT(ISBLANK(Audit[[#This Row],[Audit Winning Candidate]])), Audit[[#This Row],[Audit Winning Candidate]]-Audit[[#This Row],[Winning Candidate]], "")</f>
        <v/>
      </c>
      <c r="AF874" s="17" t="str">
        <f>IF(NOT(ISBLANK(Audit[[#This Row],[Audit Losing Candidate]])), Audit[[#This Row],[Audit Losing Candidate]]-Audit[[#This Row],[Losing Candidate]], "")</f>
        <v/>
      </c>
      <c r="AG874" s="17" t="str">
        <f>IF(NOT(ISBLANK(Audit[[#This Row],[Audit Candidate 3]])), Audit[[#This Row],[Audit Candidate 3]]-Audit[[#This Row],[Candidate 3]], "")</f>
        <v/>
      </c>
      <c r="AH874" s="17" t="str">
        <f>IF(NOT(ISBLANK(Audit[[#This Row],[Audit Candidate 4]])),Audit[[#This Row],[Audit Candidate 4]]-Audit[[#This Row],[Candidate 4]], "")</f>
        <v/>
      </c>
      <c r="AI874" s="17" t="str">
        <f>IF(NOT(ISBLANK(Audit[[#This Row],[Audit Candidate 5]])), Audit[[#This Row],[Audit Candidate 5]]-Audit[[#This Row],[Candidate 5]], "")</f>
        <v/>
      </c>
      <c r="AJ874" s="17" t="str">
        <f>IF(NOT(ISBLANK(Audit[[#This Row],[Audit Candidate 6]])), Audit[[#This Row],[Audit Candidate 6]]-Audit[[#This Row],[Candidate 6]], "")</f>
        <v/>
      </c>
      <c r="AK874" s="17" t="str">
        <f>IF(NOT(ISBLANK(Audit[[#This Row],[Audit Candidate 7]])), Audit[[#This Row],[Audit Candidate 7]]-Audit[[#This Row],[Candidate 7]], "")</f>
        <v/>
      </c>
      <c r="AL874" s="17" t="str">
        <f>IF(NOT(ISBLANK(Audit[[#This Row],[Audit Candidate 8]])), Audit[[#This Row],[Audit Candidate 8]]-Audit[[#This Row],[Candidate 8]], "")</f>
        <v/>
      </c>
      <c r="AM874" s="17" t="str">
        <f>IF(NOT(ISBLANK(Audit[[#This Row],[Audit Candidate 9]])), Audit[[#This Row],[Audit Candidate 9]]-Audit[[#This Row],[Candidate 9]], "")</f>
        <v/>
      </c>
      <c r="AN874" s="17" t="str">
        <f>IF(NOT(ISBLANK(Audit[[#This Row],[Audit Candidate 10]])), Audit[[#This Row],[Audit Candidate 10]]-Audit[[#This Row],[Candidate 10]], "")</f>
        <v/>
      </c>
      <c r="AO874" s="17" t="str">
        <f>IF(NOT(ISBLANK(Audit[[#This Row],[Audit Candidate 11]])), Audit[[#This Row],[Audit Candidate 11]]-Audit[[#This Row],[Candidate 11]], "")</f>
        <v/>
      </c>
      <c r="AP874" s="17" t="str">
        <f>IF(NOT(ISBLANK(Audit[[#This Row],[Audit Candidate 12]])), Audit[[#This Row],[Audit Candidate 12]]-Audit[[#This Row],[Candidate 12]], "")</f>
        <v/>
      </c>
      <c r="AQ874" s="17">
        <f>SUMIF(Audit[[#This Row],[Difference Winner]:[Difference Candidate 12]], "&gt;0")</f>
        <v>0</v>
      </c>
      <c r="AR874" s="17">
        <f>SUM(Audit[[#This Row],[Difference Winner]:[Difference Candidate 12]])</f>
        <v>0</v>
      </c>
      <c r="AS874" s="17">
        <f>IF(Audit[[#This Row],[Times p Drawn - With Replacement]]&gt;0, IF(Audit[[#This Row],[Canceled Differences]]&lt;0, Audit[[#This Row],[Max Differences]]+ABS(Audit[[#This Row],[Canceled Differences]]), Audit[[#This Row],[Max Differences]]), 0)</f>
        <v>0</v>
      </c>
      <c r="AT874" s="17">
        <f>'Sampling Data'!AB874</f>
        <v>3.1064335426922423E-2</v>
      </c>
      <c r="AU874" s="17">
        <f>IF(
      SUM(Audit[[#This Row],[Audit Losing Candidate]:[Audit Candidate 12]])
      &lt;&gt;0,
      (Audit[[#This Row],[Winning Candidate]]-Audit[[#This Row],[Losing Candidate]]-(Audit[[#This Row],[Audit Winning Candidate]]-Audit[[#This Row],[Audit Losing Candidate]]))/(Audit[[#Totals],[Winning Candidate]]-Audit[[#Totals],[Losing Candidate]]),
      0
)</f>
        <v>0</v>
      </c>
      <c r="AV8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4" s="17">
        <f>IF(Audit[[#This Row],[Max Relative Error (ep)]] = 0, 0, Audit[[#This Row],[Max Relative Error (ep)]]/Audit[[#This Row],[Error Bound (up) - Max. possible relative overstatement]])</f>
        <v>0</v>
      </c>
      <c r="BH8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74" s="17">
        <f t="shared" si="14"/>
        <v>1</v>
      </c>
      <c r="BJ874" s="17">
        <f>PRODUCT($BI$5:BI874)</f>
        <v>0.16268999111874616</v>
      </c>
      <c r="BK874" s="19">
        <f>1 - Audit[[#This Row],[K-M P Value]]</f>
        <v>0.83731000888125384</v>
      </c>
      <c r="BL874" s="17" t="str">
        <f>IF(Audit[[#This Row],[K-M P Value]]&gt;1-'General Info'!$B$12,"Continue", "Stop")</f>
        <v>Continue</v>
      </c>
      <c r="BM874" s="22" t="b">
        <f>IF(Audit[[#This Row],[Status - Continue or stop audit]] = "Continue", TRUE, IF(BL873 = "Continue", TRUE, FALSE))</f>
        <v>1</v>
      </c>
      <c r="BN874" s="22"/>
    </row>
    <row r="875" spans="1:66" ht="15" hidden="1" customHeight="1" x14ac:dyDescent="0.35">
      <c r="A875" s="17" t="str">
        <f>'Sampling Data'!AI875</f>
        <v/>
      </c>
      <c r="B875" s="17" t="str">
        <f>'Sampling Data'!A875</f>
        <v>5303 WYOM C   (ED)</v>
      </c>
      <c r="C875" s="17">
        <f>'Sampling Data'!B875</f>
        <v>416</v>
      </c>
      <c r="D875" s="17">
        <f>'Sampling Data'!C875</f>
        <v>269</v>
      </c>
      <c r="E875" s="18">
        <f>'Sampling Data'!D875</f>
        <v>0</v>
      </c>
      <c r="F875" s="18">
        <f>'Sampling Data'!E875</f>
        <v>0</v>
      </c>
      <c r="G875" s="18">
        <f>'Sampling Data'!F875</f>
        <v>0</v>
      </c>
      <c r="H875" s="18">
        <f>'Sampling Data'!G875</f>
        <v>0</v>
      </c>
      <c r="I875" s="18">
        <f>'Sampling Data'!H875</f>
        <v>0</v>
      </c>
      <c r="J875" s="18">
        <f>'Sampling Data'!I875</f>
        <v>0</v>
      </c>
      <c r="K875" s="18">
        <f>'Sampling Data'!J875</f>
        <v>0</v>
      </c>
      <c r="L875" s="18">
        <f>'Sampling Data'!K875</f>
        <v>0</v>
      </c>
      <c r="M875" s="18">
        <f>'Sampling Data'!L875</f>
        <v>0</v>
      </c>
      <c r="N875" s="18">
        <f>'Sampling Data'!M875</f>
        <v>0</v>
      </c>
      <c r="O875" s="17">
        <f>'Sampling Data'!N875</f>
        <v>0</v>
      </c>
      <c r="P875" s="17">
        <f>'Sampling Data'!O875</f>
        <v>44</v>
      </c>
      <c r="Q875" s="17">
        <f>'Sampling Data'!P875</f>
        <v>729</v>
      </c>
      <c r="R875" s="17">
        <f>'Sampling Data'!AJ875</f>
        <v>0</v>
      </c>
      <c r="S875" s="111"/>
      <c r="T875" s="111"/>
      <c r="U875" s="112"/>
      <c r="V875" s="112"/>
      <c r="W875" s="111"/>
      <c r="X875" s="111"/>
      <c r="Y875" s="111"/>
      <c r="Z875" s="111"/>
      <c r="AA875" s="14"/>
      <c r="AB875" s="14"/>
      <c r="AC875" s="14"/>
      <c r="AD875" s="14"/>
      <c r="AE875" s="113" t="str">
        <f>IF(NOT(ISBLANK(Audit[[#This Row],[Audit Winning Candidate]])), Audit[[#This Row],[Audit Winning Candidate]]-Audit[[#This Row],[Winning Candidate]], "")</f>
        <v/>
      </c>
      <c r="AF875" s="17" t="str">
        <f>IF(NOT(ISBLANK(Audit[[#This Row],[Audit Losing Candidate]])), Audit[[#This Row],[Audit Losing Candidate]]-Audit[[#This Row],[Losing Candidate]], "")</f>
        <v/>
      </c>
      <c r="AG875" s="17" t="str">
        <f>IF(NOT(ISBLANK(Audit[[#This Row],[Audit Candidate 3]])), Audit[[#This Row],[Audit Candidate 3]]-Audit[[#This Row],[Candidate 3]], "")</f>
        <v/>
      </c>
      <c r="AH875" s="17" t="str">
        <f>IF(NOT(ISBLANK(Audit[[#This Row],[Audit Candidate 4]])),Audit[[#This Row],[Audit Candidate 4]]-Audit[[#This Row],[Candidate 4]], "")</f>
        <v/>
      </c>
      <c r="AI875" s="17" t="str">
        <f>IF(NOT(ISBLANK(Audit[[#This Row],[Audit Candidate 5]])), Audit[[#This Row],[Audit Candidate 5]]-Audit[[#This Row],[Candidate 5]], "")</f>
        <v/>
      </c>
      <c r="AJ875" s="17" t="str">
        <f>IF(NOT(ISBLANK(Audit[[#This Row],[Audit Candidate 6]])), Audit[[#This Row],[Audit Candidate 6]]-Audit[[#This Row],[Candidate 6]], "")</f>
        <v/>
      </c>
      <c r="AK875" s="17" t="str">
        <f>IF(NOT(ISBLANK(Audit[[#This Row],[Audit Candidate 7]])), Audit[[#This Row],[Audit Candidate 7]]-Audit[[#This Row],[Candidate 7]], "")</f>
        <v/>
      </c>
      <c r="AL875" s="17" t="str">
        <f>IF(NOT(ISBLANK(Audit[[#This Row],[Audit Candidate 8]])), Audit[[#This Row],[Audit Candidate 8]]-Audit[[#This Row],[Candidate 8]], "")</f>
        <v/>
      </c>
      <c r="AM875" s="17" t="str">
        <f>IF(NOT(ISBLANK(Audit[[#This Row],[Audit Candidate 9]])), Audit[[#This Row],[Audit Candidate 9]]-Audit[[#This Row],[Candidate 9]], "")</f>
        <v/>
      </c>
      <c r="AN875" s="17" t="str">
        <f>IF(NOT(ISBLANK(Audit[[#This Row],[Audit Candidate 10]])), Audit[[#This Row],[Audit Candidate 10]]-Audit[[#This Row],[Candidate 10]], "")</f>
        <v/>
      </c>
      <c r="AO875" s="17" t="str">
        <f>IF(NOT(ISBLANK(Audit[[#This Row],[Audit Candidate 11]])), Audit[[#This Row],[Audit Candidate 11]]-Audit[[#This Row],[Candidate 11]], "")</f>
        <v/>
      </c>
      <c r="AP875" s="17" t="str">
        <f>IF(NOT(ISBLANK(Audit[[#This Row],[Audit Candidate 12]])), Audit[[#This Row],[Audit Candidate 12]]-Audit[[#This Row],[Candidate 12]], "")</f>
        <v/>
      </c>
      <c r="AQ875" s="17">
        <f>SUMIF(Audit[[#This Row],[Difference Winner]:[Difference Candidate 12]], "&gt;0")</f>
        <v>0</v>
      </c>
      <c r="AR875" s="17">
        <f>SUM(Audit[[#This Row],[Difference Winner]:[Difference Candidate 12]])</f>
        <v>0</v>
      </c>
      <c r="AS875" s="17">
        <f>IF(Audit[[#This Row],[Times p Drawn - With Replacement]]&gt;0, IF(Audit[[#This Row],[Canceled Differences]]&lt;0, Audit[[#This Row],[Max Differences]]+ABS(Audit[[#This Row],[Canceled Differences]]), Audit[[#This Row],[Max Differences]]), 0)</f>
        <v>0</v>
      </c>
      <c r="AT875" s="17">
        <f>'Sampling Data'!AB875</f>
        <v>3.7175352232218642E-2</v>
      </c>
      <c r="AU875" s="17">
        <f>IF(
      SUM(Audit[[#This Row],[Audit Losing Candidate]:[Audit Candidate 12]])
      &lt;&gt;0,
      (Audit[[#This Row],[Winning Candidate]]-Audit[[#This Row],[Losing Candidate]]-(Audit[[#This Row],[Audit Winning Candidate]]-Audit[[#This Row],[Audit Losing Candidate]]))/(Audit[[#Totals],[Winning Candidate]]-Audit[[#Totals],[Losing Candidate]]),
      0
)</f>
        <v>0</v>
      </c>
      <c r="AV8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5" s="17">
        <f>IF(Audit[[#This Row],[Max Relative Error (ep)]] = 0, 0, Audit[[#This Row],[Max Relative Error (ep)]]/Audit[[#This Row],[Error Bound (up) - Max. possible relative overstatement]])</f>
        <v>0</v>
      </c>
      <c r="BH8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75" s="17">
        <f t="shared" si="14"/>
        <v>1</v>
      </c>
      <c r="BJ875" s="17">
        <f>PRODUCT($BI$5:BI875)</f>
        <v>0.16268999111874616</v>
      </c>
      <c r="BK875" s="19">
        <f>1 - Audit[[#This Row],[K-M P Value]]</f>
        <v>0.83731000888125384</v>
      </c>
      <c r="BL875" s="17" t="str">
        <f>IF(Audit[[#This Row],[K-M P Value]]&gt;1-'General Info'!$B$12,"Continue", "Stop")</f>
        <v>Continue</v>
      </c>
      <c r="BM875" s="22" t="b">
        <f>IF(Audit[[#This Row],[Status - Continue or stop audit]] = "Continue", TRUE, IF(BL874 = "Continue", TRUE, FALSE))</f>
        <v>1</v>
      </c>
      <c r="BN875" s="22"/>
    </row>
    <row r="876" spans="1:66" ht="15" hidden="1" customHeight="1" x14ac:dyDescent="0.35">
      <c r="A876" s="17" t="str">
        <f>'Sampling Data'!AI876</f>
        <v/>
      </c>
      <c r="B876" s="17" t="str">
        <f>'Sampling Data'!A876</f>
        <v>5304 WYOM D   (ED)</v>
      </c>
      <c r="C876" s="17">
        <f>'Sampling Data'!B876</f>
        <v>381</v>
      </c>
      <c r="D876" s="17">
        <f>'Sampling Data'!C876</f>
        <v>202</v>
      </c>
      <c r="E876" s="18">
        <f>'Sampling Data'!D876</f>
        <v>0</v>
      </c>
      <c r="F876" s="18">
        <f>'Sampling Data'!E876</f>
        <v>0</v>
      </c>
      <c r="G876" s="18">
        <f>'Sampling Data'!F876</f>
        <v>0</v>
      </c>
      <c r="H876" s="18">
        <f>'Sampling Data'!G876</f>
        <v>0</v>
      </c>
      <c r="I876" s="18">
        <f>'Sampling Data'!H876</f>
        <v>0</v>
      </c>
      <c r="J876" s="18">
        <f>'Sampling Data'!I876</f>
        <v>0</v>
      </c>
      <c r="K876" s="18">
        <f>'Sampling Data'!J876</f>
        <v>0</v>
      </c>
      <c r="L876" s="18">
        <f>'Sampling Data'!K876</f>
        <v>0</v>
      </c>
      <c r="M876" s="18">
        <f>'Sampling Data'!L876</f>
        <v>0</v>
      </c>
      <c r="N876" s="18">
        <f>'Sampling Data'!M876</f>
        <v>0</v>
      </c>
      <c r="O876" s="17">
        <f>'Sampling Data'!N876</f>
        <v>0</v>
      </c>
      <c r="P876" s="17">
        <f>'Sampling Data'!O876</f>
        <v>46</v>
      </c>
      <c r="Q876" s="17">
        <f>'Sampling Data'!P876</f>
        <v>629</v>
      </c>
      <c r="R876" s="17">
        <f>'Sampling Data'!AJ876</f>
        <v>0</v>
      </c>
      <c r="S876" s="111"/>
      <c r="T876" s="111"/>
      <c r="U876" s="112"/>
      <c r="V876" s="112"/>
      <c r="W876" s="111"/>
      <c r="X876" s="111"/>
      <c r="Y876" s="111"/>
      <c r="Z876" s="111"/>
      <c r="AA876" s="14"/>
      <c r="AB876" s="14"/>
      <c r="AC876" s="14"/>
      <c r="AD876" s="14"/>
      <c r="AE876" s="113" t="str">
        <f>IF(NOT(ISBLANK(Audit[[#This Row],[Audit Winning Candidate]])), Audit[[#This Row],[Audit Winning Candidate]]-Audit[[#This Row],[Winning Candidate]], "")</f>
        <v/>
      </c>
      <c r="AF876" s="17" t="str">
        <f>IF(NOT(ISBLANK(Audit[[#This Row],[Audit Losing Candidate]])), Audit[[#This Row],[Audit Losing Candidate]]-Audit[[#This Row],[Losing Candidate]], "")</f>
        <v/>
      </c>
      <c r="AG876" s="17" t="str">
        <f>IF(NOT(ISBLANK(Audit[[#This Row],[Audit Candidate 3]])), Audit[[#This Row],[Audit Candidate 3]]-Audit[[#This Row],[Candidate 3]], "")</f>
        <v/>
      </c>
      <c r="AH876" s="17" t="str">
        <f>IF(NOT(ISBLANK(Audit[[#This Row],[Audit Candidate 4]])),Audit[[#This Row],[Audit Candidate 4]]-Audit[[#This Row],[Candidate 4]], "")</f>
        <v/>
      </c>
      <c r="AI876" s="17" t="str">
        <f>IF(NOT(ISBLANK(Audit[[#This Row],[Audit Candidate 5]])), Audit[[#This Row],[Audit Candidate 5]]-Audit[[#This Row],[Candidate 5]], "")</f>
        <v/>
      </c>
      <c r="AJ876" s="17" t="str">
        <f>IF(NOT(ISBLANK(Audit[[#This Row],[Audit Candidate 6]])), Audit[[#This Row],[Audit Candidate 6]]-Audit[[#This Row],[Candidate 6]], "")</f>
        <v/>
      </c>
      <c r="AK876" s="17" t="str">
        <f>IF(NOT(ISBLANK(Audit[[#This Row],[Audit Candidate 7]])), Audit[[#This Row],[Audit Candidate 7]]-Audit[[#This Row],[Candidate 7]], "")</f>
        <v/>
      </c>
      <c r="AL876" s="17" t="str">
        <f>IF(NOT(ISBLANK(Audit[[#This Row],[Audit Candidate 8]])), Audit[[#This Row],[Audit Candidate 8]]-Audit[[#This Row],[Candidate 8]], "")</f>
        <v/>
      </c>
      <c r="AM876" s="17" t="str">
        <f>IF(NOT(ISBLANK(Audit[[#This Row],[Audit Candidate 9]])), Audit[[#This Row],[Audit Candidate 9]]-Audit[[#This Row],[Candidate 9]], "")</f>
        <v/>
      </c>
      <c r="AN876" s="17" t="str">
        <f>IF(NOT(ISBLANK(Audit[[#This Row],[Audit Candidate 10]])), Audit[[#This Row],[Audit Candidate 10]]-Audit[[#This Row],[Candidate 10]], "")</f>
        <v/>
      </c>
      <c r="AO876" s="17" t="str">
        <f>IF(NOT(ISBLANK(Audit[[#This Row],[Audit Candidate 11]])), Audit[[#This Row],[Audit Candidate 11]]-Audit[[#This Row],[Candidate 11]], "")</f>
        <v/>
      </c>
      <c r="AP876" s="17" t="str">
        <f>IF(NOT(ISBLANK(Audit[[#This Row],[Audit Candidate 12]])), Audit[[#This Row],[Audit Candidate 12]]-Audit[[#This Row],[Candidate 12]], "")</f>
        <v/>
      </c>
      <c r="AQ876" s="17">
        <f>SUMIF(Audit[[#This Row],[Difference Winner]:[Difference Candidate 12]], "&gt;0")</f>
        <v>0</v>
      </c>
      <c r="AR876" s="17">
        <f>SUM(Audit[[#This Row],[Difference Winner]:[Difference Candidate 12]])</f>
        <v>0</v>
      </c>
      <c r="AS876" s="17">
        <f>IF(Audit[[#This Row],[Times p Drawn - With Replacement]]&gt;0, IF(Audit[[#This Row],[Canceled Differences]]&lt;0, Audit[[#This Row],[Max Differences]]+ABS(Audit[[#This Row],[Canceled Differences]]), Audit[[#This Row],[Max Differences]]), 0)</f>
        <v>0</v>
      </c>
      <c r="AT876" s="17">
        <f>'Sampling Data'!AB876</f>
        <v>3.4289594296384313E-2</v>
      </c>
      <c r="AU876" s="17">
        <f>IF(
      SUM(Audit[[#This Row],[Audit Losing Candidate]:[Audit Candidate 12]])
      &lt;&gt;0,
      (Audit[[#This Row],[Winning Candidate]]-Audit[[#This Row],[Losing Candidate]]-(Audit[[#This Row],[Audit Winning Candidate]]-Audit[[#This Row],[Audit Losing Candidate]]))/(Audit[[#Totals],[Winning Candidate]]-Audit[[#Totals],[Losing Candidate]]),
      0
)</f>
        <v>0</v>
      </c>
      <c r="AV8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6" s="17">
        <f>IF(Audit[[#This Row],[Max Relative Error (ep)]] = 0, 0, Audit[[#This Row],[Max Relative Error (ep)]]/Audit[[#This Row],[Error Bound (up) - Max. possible relative overstatement]])</f>
        <v>0</v>
      </c>
      <c r="BH8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76" s="17">
        <f t="shared" si="14"/>
        <v>1</v>
      </c>
      <c r="BJ876" s="17">
        <f>PRODUCT($BI$5:BI876)</f>
        <v>0.16268999111874616</v>
      </c>
      <c r="BK876" s="19">
        <f>1 - Audit[[#This Row],[K-M P Value]]</f>
        <v>0.83731000888125384</v>
      </c>
      <c r="BL876" s="17" t="str">
        <f>IF(Audit[[#This Row],[K-M P Value]]&gt;1-'General Info'!$B$12,"Continue", "Stop")</f>
        <v>Continue</v>
      </c>
      <c r="BM876" s="22" t="b">
        <f>IF(Audit[[#This Row],[Status - Continue or stop audit]] = "Continue", TRUE, IF(BL875 = "Continue", TRUE, FALSE))</f>
        <v>1</v>
      </c>
      <c r="BN876" s="22"/>
    </row>
    <row r="877" spans="1:66" ht="15" hidden="1" customHeight="1" x14ac:dyDescent="0.35">
      <c r="A877" s="17" t="str">
        <f>'Sampling Data'!AI877</f>
        <v/>
      </c>
      <c r="B877" s="17" t="str">
        <f>'Sampling Data'!A877</f>
        <v>5305 WYOM E   (ED)</v>
      </c>
      <c r="C877" s="17">
        <f>'Sampling Data'!B877</f>
        <v>287</v>
      </c>
      <c r="D877" s="17">
        <f>'Sampling Data'!C877</f>
        <v>206</v>
      </c>
      <c r="E877" s="18">
        <f>'Sampling Data'!D877</f>
        <v>0</v>
      </c>
      <c r="F877" s="18">
        <f>'Sampling Data'!E877</f>
        <v>0</v>
      </c>
      <c r="G877" s="18">
        <f>'Sampling Data'!F877</f>
        <v>0</v>
      </c>
      <c r="H877" s="18">
        <f>'Sampling Data'!G877</f>
        <v>0</v>
      </c>
      <c r="I877" s="18">
        <f>'Sampling Data'!H877</f>
        <v>0</v>
      </c>
      <c r="J877" s="18">
        <f>'Sampling Data'!I877</f>
        <v>0</v>
      </c>
      <c r="K877" s="18">
        <f>'Sampling Data'!J877</f>
        <v>0</v>
      </c>
      <c r="L877" s="18">
        <f>'Sampling Data'!K877</f>
        <v>0</v>
      </c>
      <c r="M877" s="18">
        <f>'Sampling Data'!L877</f>
        <v>0</v>
      </c>
      <c r="N877" s="18">
        <f>'Sampling Data'!M877</f>
        <v>0</v>
      </c>
      <c r="O877" s="17">
        <f>'Sampling Data'!N877</f>
        <v>0</v>
      </c>
      <c r="P877" s="17">
        <f>'Sampling Data'!O877</f>
        <v>50</v>
      </c>
      <c r="Q877" s="17">
        <f>'Sampling Data'!P877</f>
        <v>543</v>
      </c>
      <c r="R877" s="17">
        <f>'Sampling Data'!AJ877</f>
        <v>0</v>
      </c>
      <c r="S877" s="111"/>
      <c r="T877" s="111"/>
      <c r="U877" s="112"/>
      <c r="V877" s="112"/>
      <c r="W877" s="111"/>
      <c r="X877" s="111"/>
      <c r="Y877" s="111"/>
      <c r="Z877" s="111"/>
      <c r="AA877" s="14"/>
      <c r="AB877" s="14"/>
      <c r="AC877" s="14"/>
      <c r="AD877" s="14"/>
      <c r="AE877" s="113" t="str">
        <f>IF(NOT(ISBLANK(Audit[[#This Row],[Audit Winning Candidate]])), Audit[[#This Row],[Audit Winning Candidate]]-Audit[[#This Row],[Winning Candidate]], "")</f>
        <v/>
      </c>
      <c r="AF877" s="17" t="str">
        <f>IF(NOT(ISBLANK(Audit[[#This Row],[Audit Losing Candidate]])), Audit[[#This Row],[Audit Losing Candidate]]-Audit[[#This Row],[Losing Candidate]], "")</f>
        <v/>
      </c>
      <c r="AG877" s="17" t="str">
        <f>IF(NOT(ISBLANK(Audit[[#This Row],[Audit Candidate 3]])), Audit[[#This Row],[Audit Candidate 3]]-Audit[[#This Row],[Candidate 3]], "")</f>
        <v/>
      </c>
      <c r="AH877" s="17" t="str">
        <f>IF(NOT(ISBLANK(Audit[[#This Row],[Audit Candidate 4]])),Audit[[#This Row],[Audit Candidate 4]]-Audit[[#This Row],[Candidate 4]], "")</f>
        <v/>
      </c>
      <c r="AI877" s="17" t="str">
        <f>IF(NOT(ISBLANK(Audit[[#This Row],[Audit Candidate 5]])), Audit[[#This Row],[Audit Candidate 5]]-Audit[[#This Row],[Candidate 5]], "")</f>
        <v/>
      </c>
      <c r="AJ877" s="17" t="str">
        <f>IF(NOT(ISBLANK(Audit[[#This Row],[Audit Candidate 6]])), Audit[[#This Row],[Audit Candidate 6]]-Audit[[#This Row],[Candidate 6]], "")</f>
        <v/>
      </c>
      <c r="AK877" s="17" t="str">
        <f>IF(NOT(ISBLANK(Audit[[#This Row],[Audit Candidate 7]])), Audit[[#This Row],[Audit Candidate 7]]-Audit[[#This Row],[Candidate 7]], "")</f>
        <v/>
      </c>
      <c r="AL877" s="17" t="str">
        <f>IF(NOT(ISBLANK(Audit[[#This Row],[Audit Candidate 8]])), Audit[[#This Row],[Audit Candidate 8]]-Audit[[#This Row],[Candidate 8]], "")</f>
        <v/>
      </c>
      <c r="AM877" s="17" t="str">
        <f>IF(NOT(ISBLANK(Audit[[#This Row],[Audit Candidate 9]])), Audit[[#This Row],[Audit Candidate 9]]-Audit[[#This Row],[Candidate 9]], "")</f>
        <v/>
      </c>
      <c r="AN877" s="17" t="str">
        <f>IF(NOT(ISBLANK(Audit[[#This Row],[Audit Candidate 10]])), Audit[[#This Row],[Audit Candidate 10]]-Audit[[#This Row],[Candidate 10]], "")</f>
        <v/>
      </c>
      <c r="AO877" s="17" t="str">
        <f>IF(NOT(ISBLANK(Audit[[#This Row],[Audit Candidate 11]])), Audit[[#This Row],[Audit Candidate 11]]-Audit[[#This Row],[Candidate 11]], "")</f>
        <v/>
      </c>
      <c r="AP877" s="17" t="str">
        <f>IF(NOT(ISBLANK(Audit[[#This Row],[Audit Candidate 12]])), Audit[[#This Row],[Audit Candidate 12]]-Audit[[#This Row],[Candidate 12]], "")</f>
        <v/>
      </c>
      <c r="AQ877" s="17">
        <f>SUMIF(Audit[[#This Row],[Difference Winner]:[Difference Candidate 12]], "&gt;0")</f>
        <v>0</v>
      </c>
      <c r="AR877" s="17">
        <f>SUM(Audit[[#This Row],[Difference Winner]:[Difference Candidate 12]])</f>
        <v>0</v>
      </c>
      <c r="AS877" s="17">
        <f>IF(Audit[[#This Row],[Times p Drawn - With Replacement]]&gt;0, IF(Audit[[#This Row],[Canceled Differences]]&lt;0, Audit[[#This Row],[Max Differences]]+ABS(Audit[[#This Row],[Canceled Differences]]), Audit[[#This Row],[Max Differences]]), 0)</f>
        <v>0</v>
      </c>
      <c r="AT877" s="17">
        <f>'Sampling Data'!AB877</f>
        <v>2.6481072822950265E-2</v>
      </c>
      <c r="AU877" s="17">
        <f>IF(
      SUM(Audit[[#This Row],[Audit Losing Candidate]:[Audit Candidate 12]])
      &lt;&gt;0,
      (Audit[[#This Row],[Winning Candidate]]-Audit[[#This Row],[Losing Candidate]]-(Audit[[#This Row],[Audit Winning Candidate]]-Audit[[#This Row],[Audit Losing Candidate]]))/(Audit[[#Totals],[Winning Candidate]]-Audit[[#Totals],[Losing Candidate]]),
      0
)</f>
        <v>0</v>
      </c>
      <c r="AV8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7" s="17">
        <f>IF(Audit[[#This Row],[Max Relative Error (ep)]] = 0, 0, Audit[[#This Row],[Max Relative Error (ep)]]/Audit[[#This Row],[Error Bound (up) - Max. possible relative overstatement]])</f>
        <v>0</v>
      </c>
      <c r="BH8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77" s="17">
        <f t="shared" si="14"/>
        <v>1</v>
      </c>
      <c r="BJ877" s="17">
        <f>PRODUCT($BI$5:BI877)</f>
        <v>0.16268999111874616</v>
      </c>
      <c r="BK877" s="19">
        <f>1 - Audit[[#This Row],[K-M P Value]]</f>
        <v>0.83731000888125384</v>
      </c>
      <c r="BL877" s="17" t="str">
        <f>IF(Audit[[#This Row],[K-M P Value]]&gt;1-'General Info'!$B$12,"Continue", "Stop")</f>
        <v>Continue</v>
      </c>
      <c r="BM877" s="22" t="b">
        <f>IF(Audit[[#This Row],[Status - Continue or stop audit]] = "Continue", TRUE, IF(BL876 = "Continue", TRUE, FALSE))</f>
        <v>1</v>
      </c>
      <c r="BN877" s="22"/>
    </row>
    <row r="878" spans="1:66" ht="15" hidden="1" customHeight="1" x14ac:dyDescent="0.35">
      <c r="A878" s="17" t="str">
        <f>'Sampling Data'!AI878</f>
        <v/>
      </c>
      <c r="B878" s="17" t="str">
        <f>'Sampling Data'!A878</f>
        <v>5501 AMBER A   (ED)</v>
      </c>
      <c r="C878" s="17">
        <f>'Sampling Data'!B878</f>
        <v>121</v>
      </c>
      <c r="D878" s="17">
        <f>'Sampling Data'!C878</f>
        <v>160</v>
      </c>
      <c r="E878" s="18">
        <f>'Sampling Data'!D878</f>
        <v>0</v>
      </c>
      <c r="F878" s="18">
        <f>'Sampling Data'!E878</f>
        <v>0</v>
      </c>
      <c r="G878" s="18">
        <f>'Sampling Data'!F878</f>
        <v>0</v>
      </c>
      <c r="H878" s="18">
        <f>'Sampling Data'!G878</f>
        <v>0</v>
      </c>
      <c r="I878" s="18">
        <f>'Sampling Data'!H878</f>
        <v>0</v>
      </c>
      <c r="J878" s="18">
        <f>'Sampling Data'!I878</f>
        <v>0</v>
      </c>
      <c r="K878" s="18">
        <f>'Sampling Data'!J878</f>
        <v>0</v>
      </c>
      <c r="L878" s="18">
        <f>'Sampling Data'!K878</f>
        <v>0</v>
      </c>
      <c r="M878" s="18">
        <f>'Sampling Data'!L878</f>
        <v>0</v>
      </c>
      <c r="N878" s="18">
        <f>'Sampling Data'!M878</f>
        <v>0</v>
      </c>
      <c r="O878" s="17">
        <f>'Sampling Data'!N878</f>
        <v>0</v>
      </c>
      <c r="P878" s="17">
        <f>'Sampling Data'!O878</f>
        <v>20</v>
      </c>
      <c r="Q878" s="17">
        <f>'Sampling Data'!P878</f>
        <v>301</v>
      </c>
      <c r="R878" s="17">
        <f>'Sampling Data'!AJ878</f>
        <v>0</v>
      </c>
      <c r="S878" s="111"/>
      <c r="T878" s="111"/>
      <c r="U878" s="112"/>
      <c r="V878" s="112"/>
      <c r="W878" s="111"/>
      <c r="X878" s="111"/>
      <c r="Y878" s="111"/>
      <c r="Z878" s="111"/>
      <c r="AA878" s="14"/>
      <c r="AB878" s="14"/>
      <c r="AC878" s="14"/>
      <c r="AD878" s="14"/>
      <c r="AE878" s="113" t="str">
        <f>IF(NOT(ISBLANK(Audit[[#This Row],[Audit Winning Candidate]])), Audit[[#This Row],[Audit Winning Candidate]]-Audit[[#This Row],[Winning Candidate]], "")</f>
        <v/>
      </c>
      <c r="AF878" s="17" t="str">
        <f>IF(NOT(ISBLANK(Audit[[#This Row],[Audit Losing Candidate]])), Audit[[#This Row],[Audit Losing Candidate]]-Audit[[#This Row],[Losing Candidate]], "")</f>
        <v/>
      </c>
      <c r="AG878" s="17" t="str">
        <f>IF(NOT(ISBLANK(Audit[[#This Row],[Audit Candidate 3]])), Audit[[#This Row],[Audit Candidate 3]]-Audit[[#This Row],[Candidate 3]], "")</f>
        <v/>
      </c>
      <c r="AH878" s="17" t="str">
        <f>IF(NOT(ISBLANK(Audit[[#This Row],[Audit Candidate 4]])),Audit[[#This Row],[Audit Candidate 4]]-Audit[[#This Row],[Candidate 4]], "")</f>
        <v/>
      </c>
      <c r="AI878" s="17" t="str">
        <f>IF(NOT(ISBLANK(Audit[[#This Row],[Audit Candidate 5]])), Audit[[#This Row],[Audit Candidate 5]]-Audit[[#This Row],[Candidate 5]], "")</f>
        <v/>
      </c>
      <c r="AJ878" s="17" t="str">
        <f>IF(NOT(ISBLANK(Audit[[#This Row],[Audit Candidate 6]])), Audit[[#This Row],[Audit Candidate 6]]-Audit[[#This Row],[Candidate 6]], "")</f>
        <v/>
      </c>
      <c r="AK878" s="17" t="str">
        <f>IF(NOT(ISBLANK(Audit[[#This Row],[Audit Candidate 7]])), Audit[[#This Row],[Audit Candidate 7]]-Audit[[#This Row],[Candidate 7]], "")</f>
        <v/>
      </c>
      <c r="AL878" s="17" t="str">
        <f>IF(NOT(ISBLANK(Audit[[#This Row],[Audit Candidate 8]])), Audit[[#This Row],[Audit Candidate 8]]-Audit[[#This Row],[Candidate 8]], "")</f>
        <v/>
      </c>
      <c r="AM878" s="17" t="str">
        <f>IF(NOT(ISBLANK(Audit[[#This Row],[Audit Candidate 9]])), Audit[[#This Row],[Audit Candidate 9]]-Audit[[#This Row],[Candidate 9]], "")</f>
        <v/>
      </c>
      <c r="AN878" s="17" t="str">
        <f>IF(NOT(ISBLANK(Audit[[#This Row],[Audit Candidate 10]])), Audit[[#This Row],[Audit Candidate 10]]-Audit[[#This Row],[Candidate 10]], "")</f>
        <v/>
      </c>
      <c r="AO878" s="17" t="str">
        <f>IF(NOT(ISBLANK(Audit[[#This Row],[Audit Candidate 11]])), Audit[[#This Row],[Audit Candidate 11]]-Audit[[#This Row],[Candidate 11]], "")</f>
        <v/>
      </c>
      <c r="AP878" s="17" t="str">
        <f>IF(NOT(ISBLANK(Audit[[#This Row],[Audit Candidate 12]])), Audit[[#This Row],[Audit Candidate 12]]-Audit[[#This Row],[Candidate 12]], "")</f>
        <v/>
      </c>
      <c r="AQ878" s="17">
        <f>SUMIF(Audit[[#This Row],[Difference Winner]:[Difference Candidate 12]], "&gt;0")</f>
        <v>0</v>
      </c>
      <c r="AR878" s="17">
        <f>SUM(Audit[[#This Row],[Difference Winner]:[Difference Candidate 12]])</f>
        <v>0</v>
      </c>
      <c r="AS878" s="17">
        <f>IF(Audit[[#This Row],[Times p Drawn - With Replacement]]&gt;0, IF(Audit[[#This Row],[Canceled Differences]]&lt;0, Audit[[#This Row],[Max Differences]]+ABS(Audit[[#This Row],[Canceled Differences]]), Audit[[#This Row],[Max Differences]]), 0)</f>
        <v>0</v>
      </c>
      <c r="AT878" s="17">
        <f>'Sampling Data'!AB878</f>
        <v>1.1118655576302835E-2</v>
      </c>
      <c r="AU878" s="17">
        <f>IF(
      SUM(Audit[[#This Row],[Audit Losing Candidate]:[Audit Candidate 12]])
      &lt;&gt;0,
      (Audit[[#This Row],[Winning Candidate]]-Audit[[#This Row],[Losing Candidate]]-(Audit[[#This Row],[Audit Winning Candidate]]-Audit[[#This Row],[Audit Losing Candidate]]))/(Audit[[#Totals],[Winning Candidate]]-Audit[[#Totals],[Losing Candidate]]),
      0
)</f>
        <v>0</v>
      </c>
      <c r="AV8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8" s="17">
        <f>IF(Audit[[#This Row],[Max Relative Error (ep)]] = 0, 0, Audit[[#This Row],[Max Relative Error (ep)]]/Audit[[#This Row],[Error Bound (up) - Max. possible relative overstatement]])</f>
        <v>0</v>
      </c>
      <c r="BH8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78" s="17">
        <f t="shared" si="14"/>
        <v>1</v>
      </c>
      <c r="BJ878" s="17">
        <f>PRODUCT($BI$5:BI878)</f>
        <v>0.16268999111874616</v>
      </c>
      <c r="BK878" s="19">
        <f>1 - Audit[[#This Row],[K-M P Value]]</f>
        <v>0.83731000888125384</v>
      </c>
      <c r="BL878" s="17" t="str">
        <f>IF(Audit[[#This Row],[K-M P Value]]&gt;1-'General Info'!$B$12,"Continue", "Stop")</f>
        <v>Continue</v>
      </c>
      <c r="BM878" s="22" t="b">
        <f>IF(Audit[[#This Row],[Status - Continue or stop audit]] = "Continue", TRUE, IF(BL877 = "Continue", TRUE, FALSE))</f>
        <v>1</v>
      </c>
      <c r="BN878" s="22"/>
    </row>
    <row r="879" spans="1:66" ht="15" hidden="1" customHeight="1" x14ac:dyDescent="0.35">
      <c r="A879" s="17" t="str">
        <f>'Sampling Data'!AI879</f>
        <v/>
      </c>
      <c r="B879" s="17" t="str">
        <f>'Sampling Data'!A879</f>
        <v>5502 AMBER B   (ED)</v>
      </c>
      <c r="C879" s="17">
        <f>'Sampling Data'!B879</f>
        <v>118</v>
      </c>
      <c r="D879" s="17">
        <f>'Sampling Data'!C879</f>
        <v>205</v>
      </c>
      <c r="E879" s="18">
        <f>'Sampling Data'!D879</f>
        <v>0</v>
      </c>
      <c r="F879" s="18">
        <f>'Sampling Data'!E879</f>
        <v>0</v>
      </c>
      <c r="G879" s="18">
        <f>'Sampling Data'!F879</f>
        <v>0</v>
      </c>
      <c r="H879" s="18">
        <f>'Sampling Data'!G879</f>
        <v>0</v>
      </c>
      <c r="I879" s="18">
        <f>'Sampling Data'!H879</f>
        <v>0</v>
      </c>
      <c r="J879" s="18">
        <f>'Sampling Data'!I879</f>
        <v>0</v>
      </c>
      <c r="K879" s="18">
        <f>'Sampling Data'!J879</f>
        <v>0</v>
      </c>
      <c r="L879" s="18">
        <f>'Sampling Data'!K879</f>
        <v>0</v>
      </c>
      <c r="M879" s="18">
        <f>'Sampling Data'!L879</f>
        <v>0</v>
      </c>
      <c r="N879" s="18">
        <f>'Sampling Data'!M879</f>
        <v>0</v>
      </c>
      <c r="O879" s="17">
        <f>'Sampling Data'!N879</f>
        <v>0</v>
      </c>
      <c r="P879" s="17">
        <f>'Sampling Data'!O879</f>
        <v>20</v>
      </c>
      <c r="Q879" s="17">
        <f>'Sampling Data'!P879</f>
        <v>343</v>
      </c>
      <c r="R879" s="17">
        <f>'Sampling Data'!AJ879</f>
        <v>0</v>
      </c>
      <c r="S879" s="111"/>
      <c r="T879" s="111"/>
      <c r="U879" s="112"/>
      <c r="V879" s="112"/>
      <c r="W879" s="111"/>
      <c r="X879" s="111"/>
      <c r="Y879" s="111"/>
      <c r="Z879" s="111"/>
      <c r="AA879" s="14"/>
      <c r="AB879" s="14"/>
      <c r="AC879" s="14"/>
      <c r="AD879" s="14"/>
      <c r="AE879" s="113" t="str">
        <f>IF(NOT(ISBLANK(Audit[[#This Row],[Audit Winning Candidate]])), Audit[[#This Row],[Audit Winning Candidate]]-Audit[[#This Row],[Winning Candidate]], "")</f>
        <v/>
      </c>
      <c r="AF879" s="17" t="str">
        <f>IF(NOT(ISBLANK(Audit[[#This Row],[Audit Losing Candidate]])), Audit[[#This Row],[Audit Losing Candidate]]-Audit[[#This Row],[Losing Candidate]], "")</f>
        <v/>
      </c>
      <c r="AG879" s="17" t="str">
        <f>IF(NOT(ISBLANK(Audit[[#This Row],[Audit Candidate 3]])), Audit[[#This Row],[Audit Candidate 3]]-Audit[[#This Row],[Candidate 3]], "")</f>
        <v/>
      </c>
      <c r="AH879" s="17" t="str">
        <f>IF(NOT(ISBLANK(Audit[[#This Row],[Audit Candidate 4]])),Audit[[#This Row],[Audit Candidate 4]]-Audit[[#This Row],[Candidate 4]], "")</f>
        <v/>
      </c>
      <c r="AI879" s="17" t="str">
        <f>IF(NOT(ISBLANK(Audit[[#This Row],[Audit Candidate 5]])), Audit[[#This Row],[Audit Candidate 5]]-Audit[[#This Row],[Candidate 5]], "")</f>
        <v/>
      </c>
      <c r="AJ879" s="17" t="str">
        <f>IF(NOT(ISBLANK(Audit[[#This Row],[Audit Candidate 6]])), Audit[[#This Row],[Audit Candidate 6]]-Audit[[#This Row],[Candidate 6]], "")</f>
        <v/>
      </c>
      <c r="AK879" s="17" t="str">
        <f>IF(NOT(ISBLANK(Audit[[#This Row],[Audit Candidate 7]])), Audit[[#This Row],[Audit Candidate 7]]-Audit[[#This Row],[Candidate 7]], "")</f>
        <v/>
      </c>
      <c r="AL879" s="17" t="str">
        <f>IF(NOT(ISBLANK(Audit[[#This Row],[Audit Candidate 8]])), Audit[[#This Row],[Audit Candidate 8]]-Audit[[#This Row],[Candidate 8]], "")</f>
        <v/>
      </c>
      <c r="AM879" s="17" t="str">
        <f>IF(NOT(ISBLANK(Audit[[#This Row],[Audit Candidate 9]])), Audit[[#This Row],[Audit Candidate 9]]-Audit[[#This Row],[Candidate 9]], "")</f>
        <v/>
      </c>
      <c r="AN879" s="17" t="str">
        <f>IF(NOT(ISBLANK(Audit[[#This Row],[Audit Candidate 10]])), Audit[[#This Row],[Audit Candidate 10]]-Audit[[#This Row],[Candidate 10]], "")</f>
        <v/>
      </c>
      <c r="AO879" s="17" t="str">
        <f>IF(NOT(ISBLANK(Audit[[#This Row],[Audit Candidate 11]])), Audit[[#This Row],[Audit Candidate 11]]-Audit[[#This Row],[Candidate 11]], "")</f>
        <v/>
      </c>
      <c r="AP879" s="17" t="str">
        <f>IF(NOT(ISBLANK(Audit[[#This Row],[Audit Candidate 12]])), Audit[[#This Row],[Audit Candidate 12]]-Audit[[#This Row],[Candidate 12]], "")</f>
        <v/>
      </c>
      <c r="AQ879" s="17">
        <f>SUMIF(Audit[[#This Row],[Difference Winner]:[Difference Candidate 12]], "&gt;0")</f>
        <v>0</v>
      </c>
      <c r="AR879" s="17">
        <f>SUM(Audit[[#This Row],[Difference Winner]:[Difference Candidate 12]])</f>
        <v>0</v>
      </c>
      <c r="AS879" s="17">
        <f>IF(Audit[[#This Row],[Times p Drawn - With Replacement]]&gt;0, IF(Audit[[#This Row],[Canceled Differences]]&lt;0, Audit[[#This Row],[Max Differences]]+ABS(Audit[[#This Row],[Canceled Differences]]), Audit[[#This Row],[Max Differences]]), 0)</f>
        <v>0</v>
      </c>
      <c r="AT879" s="17">
        <f>'Sampling Data'!AB879</f>
        <v>1.0864029876082159E-2</v>
      </c>
      <c r="AU879" s="17">
        <f>IF(
      SUM(Audit[[#This Row],[Audit Losing Candidate]:[Audit Candidate 12]])
      &lt;&gt;0,
      (Audit[[#This Row],[Winning Candidate]]-Audit[[#This Row],[Losing Candidate]]-(Audit[[#This Row],[Audit Winning Candidate]]-Audit[[#This Row],[Audit Losing Candidate]]))/(Audit[[#Totals],[Winning Candidate]]-Audit[[#Totals],[Losing Candidate]]),
      0
)</f>
        <v>0</v>
      </c>
      <c r="AV8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9" s="17">
        <f>IF(Audit[[#This Row],[Max Relative Error (ep)]] = 0, 0, Audit[[#This Row],[Max Relative Error (ep)]]/Audit[[#This Row],[Error Bound (up) - Max. possible relative overstatement]])</f>
        <v>0</v>
      </c>
      <c r="BH8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79" s="17">
        <f t="shared" si="14"/>
        <v>1</v>
      </c>
      <c r="BJ879" s="17">
        <f>PRODUCT($BI$5:BI879)</f>
        <v>0.16268999111874616</v>
      </c>
      <c r="BK879" s="19">
        <f>1 - Audit[[#This Row],[K-M P Value]]</f>
        <v>0.83731000888125384</v>
      </c>
      <c r="BL879" s="17" t="str">
        <f>IF(Audit[[#This Row],[K-M P Value]]&gt;1-'General Info'!$B$12,"Continue", "Stop")</f>
        <v>Continue</v>
      </c>
      <c r="BM879" s="22" t="b">
        <f>IF(Audit[[#This Row],[Status - Continue or stop audit]] = "Continue", TRUE, IF(BL878 = "Continue", TRUE, FALSE))</f>
        <v>1</v>
      </c>
      <c r="BN879" s="22"/>
    </row>
    <row r="880" spans="1:66" ht="15" hidden="1" customHeight="1" x14ac:dyDescent="0.35">
      <c r="A880" s="17" t="str">
        <f>'Sampling Data'!AI880</f>
        <v/>
      </c>
      <c r="B880" s="17" t="str">
        <f>'Sampling Data'!A880</f>
        <v>5503 AMBER C   (ED)</v>
      </c>
      <c r="C880" s="17">
        <f>'Sampling Data'!B880</f>
        <v>153</v>
      </c>
      <c r="D880" s="17">
        <f>'Sampling Data'!C880</f>
        <v>152</v>
      </c>
      <c r="E880" s="18">
        <f>'Sampling Data'!D880</f>
        <v>0</v>
      </c>
      <c r="F880" s="18">
        <f>'Sampling Data'!E880</f>
        <v>0</v>
      </c>
      <c r="G880" s="18">
        <f>'Sampling Data'!F880</f>
        <v>0</v>
      </c>
      <c r="H880" s="18">
        <f>'Sampling Data'!G880</f>
        <v>0</v>
      </c>
      <c r="I880" s="18">
        <f>'Sampling Data'!H880</f>
        <v>0</v>
      </c>
      <c r="J880" s="18">
        <f>'Sampling Data'!I880</f>
        <v>0</v>
      </c>
      <c r="K880" s="18">
        <f>'Sampling Data'!J880</f>
        <v>0</v>
      </c>
      <c r="L880" s="18">
        <f>'Sampling Data'!K880</f>
        <v>0</v>
      </c>
      <c r="M880" s="18">
        <f>'Sampling Data'!L880</f>
        <v>0</v>
      </c>
      <c r="N880" s="18">
        <f>'Sampling Data'!M880</f>
        <v>0</v>
      </c>
      <c r="O880" s="17">
        <f>'Sampling Data'!N880</f>
        <v>0</v>
      </c>
      <c r="P880" s="17">
        <f>'Sampling Data'!O880</f>
        <v>18</v>
      </c>
      <c r="Q880" s="17">
        <f>'Sampling Data'!P880</f>
        <v>323</v>
      </c>
      <c r="R880" s="17">
        <f>'Sampling Data'!AJ880</f>
        <v>0</v>
      </c>
      <c r="S880" s="111"/>
      <c r="T880" s="111"/>
      <c r="U880" s="112"/>
      <c r="V880" s="112"/>
      <c r="W880" s="111"/>
      <c r="X880" s="111"/>
      <c r="Y880" s="111"/>
      <c r="Z880" s="111"/>
      <c r="AA880" s="14"/>
      <c r="AB880" s="14"/>
      <c r="AC880" s="14"/>
      <c r="AD880" s="14"/>
      <c r="AE880" s="113" t="str">
        <f>IF(NOT(ISBLANK(Audit[[#This Row],[Audit Winning Candidate]])), Audit[[#This Row],[Audit Winning Candidate]]-Audit[[#This Row],[Winning Candidate]], "")</f>
        <v/>
      </c>
      <c r="AF880" s="17" t="str">
        <f>IF(NOT(ISBLANK(Audit[[#This Row],[Audit Losing Candidate]])), Audit[[#This Row],[Audit Losing Candidate]]-Audit[[#This Row],[Losing Candidate]], "")</f>
        <v/>
      </c>
      <c r="AG880" s="17" t="str">
        <f>IF(NOT(ISBLANK(Audit[[#This Row],[Audit Candidate 3]])), Audit[[#This Row],[Audit Candidate 3]]-Audit[[#This Row],[Candidate 3]], "")</f>
        <v/>
      </c>
      <c r="AH880" s="17" t="str">
        <f>IF(NOT(ISBLANK(Audit[[#This Row],[Audit Candidate 4]])),Audit[[#This Row],[Audit Candidate 4]]-Audit[[#This Row],[Candidate 4]], "")</f>
        <v/>
      </c>
      <c r="AI880" s="17" t="str">
        <f>IF(NOT(ISBLANK(Audit[[#This Row],[Audit Candidate 5]])), Audit[[#This Row],[Audit Candidate 5]]-Audit[[#This Row],[Candidate 5]], "")</f>
        <v/>
      </c>
      <c r="AJ880" s="17" t="str">
        <f>IF(NOT(ISBLANK(Audit[[#This Row],[Audit Candidate 6]])), Audit[[#This Row],[Audit Candidate 6]]-Audit[[#This Row],[Candidate 6]], "")</f>
        <v/>
      </c>
      <c r="AK880" s="17" t="str">
        <f>IF(NOT(ISBLANK(Audit[[#This Row],[Audit Candidate 7]])), Audit[[#This Row],[Audit Candidate 7]]-Audit[[#This Row],[Candidate 7]], "")</f>
        <v/>
      </c>
      <c r="AL880" s="17" t="str">
        <f>IF(NOT(ISBLANK(Audit[[#This Row],[Audit Candidate 8]])), Audit[[#This Row],[Audit Candidate 8]]-Audit[[#This Row],[Candidate 8]], "")</f>
        <v/>
      </c>
      <c r="AM880" s="17" t="str">
        <f>IF(NOT(ISBLANK(Audit[[#This Row],[Audit Candidate 9]])), Audit[[#This Row],[Audit Candidate 9]]-Audit[[#This Row],[Candidate 9]], "")</f>
        <v/>
      </c>
      <c r="AN880" s="17" t="str">
        <f>IF(NOT(ISBLANK(Audit[[#This Row],[Audit Candidate 10]])), Audit[[#This Row],[Audit Candidate 10]]-Audit[[#This Row],[Candidate 10]], "")</f>
        <v/>
      </c>
      <c r="AO880" s="17" t="str">
        <f>IF(NOT(ISBLANK(Audit[[#This Row],[Audit Candidate 11]])), Audit[[#This Row],[Audit Candidate 11]]-Audit[[#This Row],[Candidate 11]], "")</f>
        <v/>
      </c>
      <c r="AP880" s="17" t="str">
        <f>IF(NOT(ISBLANK(Audit[[#This Row],[Audit Candidate 12]])), Audit[[#This Row],[Audit Candidate 12]]-Audit[[#This Row],[Candidate 12]], "")</f>
        <v/>
      </c>
      <c r="AQ880" s="17">
        <f>SUMIF(Audit[[#This Row],[Difference Winner]:[Difference Candidate 12]], "&gt;0")</f>
        <v>0</v>
      </c>
      <c r="AR880" s="17">
        <f>SUM(Audit[[#This Row],[Difference Winner]:[Difference Candidate 12]])</f>
        <v>0</v>
      </c>
      <c r="AS880" s="17">
        <f>IF(Audit[[#This Row],[Times p Drawn - With Replacement]]&gt;0, IF(Audit[[#This Row],[Canceled Differences]]&lt;0, Audit[[#This Row],[Max Differences]]+ABS(Audit[[#This Row],[Canceled Differences]]), Audit[[#This Row],[Max Differences]]), 0)</f>
        <v>0</v>
      </c>
      <c r="AT880" s="17">
        <f>'Sampling Data'!AB880</f>
        <v>1.3749787811916483E-2</v>
      </c>
      <c r="AU880" s="17">
        <f>IF(
      SUM(Audit[[#This Row],[Audit Losing Candidate]:[Audit Candidate 12]])
      &lt;&gt;0,
      (Audit[[#This Row],[Winning Candidate]]-Audit[[#This Row],[Losing Candidate]]-(Audit[[#This Row],[Audit Winning Candidate]]-Audit[[#This Row],[Audit Losing Candidate]]))/(Audit[[#Totals],[Winning Candidate]]-Audit[[#Totals],[Losing Candidate]]),
      0
)</f>
        <v>0</v>
      </c>
      <c r="AV8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0" s="17">
        <f>IF(Audit[[#This Row],[Max Relative Error (ep)]] = 0, 0, Audit[[#This Row],[Max Relative Error (ep)]]/Audit[[#This Row],[Error Bound (up) - Max. possible relative overstatement]])</f>
        <v>0</v>
      </c>
      <c r="BH8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80" s="17">
        <f t="shared" si="14"/>
        <v>1</v>
      </c>
      <c r="BJ880" s="17">
        <f>PRODUCT($BI$5:BI880)</f>
        <v>0.16268999111874616</v>
      </c>
      <c r="BK880" s="19">
        <f>1 - Audit[[#This Row],[K-M P Value]]</f>
        <v>0.83731000888125384</v>
      </c>
      <c r="BL880" s="17" t="str">
        <f>IF(Audit[[#This Row],[K-M P Value]]&gt;1-'General Info'!$B$12,"Continue", "Stop")</f>
        <v>Continue</v>
      </c>
      <c r="BM880" s="22" t="b">
        <f>IF(Audit[[#This Row],[Status - Continue or stop audit]] = "Continue", TRUE, IF(BL879 = "Continue", TRUE, FALSE))</f>
        <v>1</v>
      </c>
      <c r="BN880" s="22"/>
    </row>
    <row r="881" spans="1:66" ht="15" hidden="1" customHeight="1" x14ac:dyDescent="0.35">
      <c r="A881" s="17" t="str">
        <f>'Sampling Data'!AI881</f>
        <v/>
      </c>
      <c r="B881" s="17" t="str">
        <f>'Sampling Data'!A881</f>
        <v>5504 AMBER D   (ED)</v>
      </c>
      <c r="C881" s="17">
        <f>'Sampling Data'!B881</f>
        <v>141</v>
      </c>
      <c r="D881" s="17">
        <f>'Sampling Data'!C881</f>
        <v>161</v>
      </c>
      <c r="E881" s="18">
        <f>'Sampling Data'!D881</f>
        <v>0</v>
      </c>
      <c r="F881" s="18">
        <f>'Sampling Data'!E881</f>
        <v>0</v>
      </c>
      <c r="G881" s="18">
        <f>'Sampling Data'!F881</f>
        <v>0</v>
      </c>
      <c r="H881" s="18">
        <f>'Sampling Data'!G881</f>
        <v>0</v>
      </c>
      <c r="I881" s="18">
        <f>'Sampling Data'!H881</f>
        <v>0</v>
      </c>
      <c r="J881" s="18">
        <f>'Sampling Data'!I881</f>
        <v>0</v>
      </c>
      <c r="K881" s="18">
        <f>'Sampling Data'!J881</f>
        <v>0</v>
      </c>
      <c r="L881" s="18">
        <f>'Sampling Data'!K881</f>
        <v>0</v>
      </c>
      <c r="M881" s="18">
        <f>'Sampling Data'!L881</f>
        <v>0</v>
      </c>
      <c r="N881" s="18">
        <f>'Sampling Data'!M881</f>
        <v>0</v>
      </c>
      <c r="O881" s="17">
        <f>'Sampling Data'!N881</f>
        <v>0</v>
      </c>
      <c r="P881" s="17">
        <f>'Sampling Data'!O881</f>
        <v>25</v>
      </c>
      <c r="Q881" s="17">
        <f>'Sampling Data'!P881</f>
        <v>327</v>
      </c>
      <c r="R881" s="17">
        <f>'Sampling Data'!AJ881</f>
        <v>0</v>
      </c>
      <c r="S881" s="111"/>
      <c r="T881" s="111"/>
      <c r="U881" s="112"/>
      <c r="V881" s="112"/>
      <c r="W881" s="111"/>
      <c r="X881" s="111"/>
      <c r="Y881" s="111"/>
      <c r="Z881" s="111"/>
      <c r="AA881" s="14"/>
      <c r="AB881" s="14"/>
      <c r="AC881" s="14"/>
      <c r="AD881" s="14"/>
      <c r="AE881" s="113" t="str">
        <f>IF(NOT(ISBLANK(Audit[[#This Row],[Audit Winning Candidate]])), Audit[[#This Row],[Audit Winning Candidate]]-Audit[[#This Row],[Winning Candidate]], "")</f>
        <v/>
      </c>
      <c r="AF881" s="17" t="str">
        <f>IF(NOT(ISBLANK(Audit[[#This Row],[Audit Losing Candidate]])), Audit[[#This Row],[Audit Losing Candidate]]-Audit[[#This Row],[Losing Candidate]], "")</f>
        <v/>
      </c>
      <c r="AG881" s="17" t="str">
        <f>IF(NOT(ISBLANK(Audit[[#This Row],[Audit Candidate 3]])), Audit[[#This Row],[Audit Candidate 3]]-Audit[[#This Row],[Candidate 3]], "")</f>
        <v/>
      </c>
      <c r="AH881" s="17" t="str">
        <f>IF(NOT(ISBLANK(Audit[[#This Row],[Audit Candidate 4]])),Audit[[#This Row],[Audit Candidate 4]]-Audit[[#This Row],[Candidate 4]], "")</f>
        <v/>
      </c>
      <c r="AI881" s="17" t="str">
        <f>IF(NOT(ISBLANK(Audit[[#This Row],[Audit Candidate 5]])), Audit[[#This Row],[Audit Candidate 5]]-Audit[[#This Row],[Candidate 5]], "")</f>
        <v/>
      </c>
      <c r="AJ881" s="17" t="str">
        <f>IF(NOT(ISBLANK(Audit[[#This Row],[Audit Candidate 6]])), Audit[[#This Row],[Audit Candidate 6]]-Audit[[#This Row],[Candidate 6]], "")</f>
        <v/>
      </c>
      <c r="AK881" s="17" t="str">
        <f>IF(NOT(ISBLANK(Audit[[#This Row],[Audit Candidate 7]])), Audit[[#This Row],[Audit Candidate 7]]-Audit[[#This Row],[Candidate 7]], "")</f>
        <v/>
      </c>
      <c r="AL881" s="17" t="str">
        <f>IF(NOT(ISBLANK(Audit[[#This Row],[Audit Candidate 8]])), Audit[[#This Row],[Audit Candidate 8]]-Audit[[#This Row],[Candidate 8]], "")</f>
        <v/>
      </c>
      <c r="AM881" s="17" t="str">
        <f>IF(NOT(ISBLANK(Audit[[#This Row],[Audit Candidate 9]])), Audit[[#This Row],[Audit Candidate 9]]-Audit[[#This Row],[Candidate 9]], "")</f>
        <v/>
      </c>
      <c r="AN881" s="17" t="str">
        <f>IF(NOT(ISBLANK(Audit[[#This Row],[Audit Candidate 10]])), Audit[[#This Row],[Audit Candidate 10]]-Audit[[#This Row],[Candidate 10]], "")</f>
        <v/>
      </c>
      <c r="AO881" s="17" t="str">
        <f>IF(NOT(ISBLANK(Audit[[#This Row],[Audit Candidate 11]])), Audit[[#This Row],[Audit Candidate 11]]-Audit[[#This Row],[Candidate 11]], "")</f>
        <v/>
      </c>
      <c r="AP881" s="17" t="str">
        <f>IF(NOT(ISBLANK(Audit[[#This Row],[Audit Candidate 12]])), Audit[[#This Row],[Audit Candidate 12]]-Audit[[#This Row],[Candidate 12]], "")</f>
        <v/>
      </c>
      <c r="AQ881" s="17">
        <f>SUMIF(Audit[[#This Row],[Difference Winner]:[Difference Candidate 12]], "&gt;0")</f>
        <v>0</v>
      </c>
      <c r="AR881" s="17">
        <f>SUM(Audit[[#This Row],[Difference Winner]:[Difference Candidate 12]])</f>
        <v>0</v>
      </c>
      <c r="AS881" s="17">
        <f>IF(Audit[[#This Row],[Times p Drawn - With Replacement]]&gt;0, IF(Audit[[#This Row],[Canceled Differences]]&lt;0, Audit[[#This Row],[Max Differences]]+ABS(Audit[[#This Row],[Canceled Differences]]), Audit[[#This Row],[Max Differences]]), 0)</f>
        <v>0</v>
      </c>
      <c r="AT881" s="17">
        <f>'Sampling Data'!AB881</f>
        <v>1.3028348327957903E-2</v>
      </c>
      <c r="AU881" s="17">
        <f>IF(
      SUM(Audit[[#This Row],[Audit Losing Candidate]:[Audit Candidate 12]])
      &lt;&gt;0,
      (Audit[[#This Row],[Winning Candidate]]-Audit[[#This Row],[Losing Candidate]]-(Audit[[#This Row],[Audit Winning Candidate]]-Audit[[#This Row],[Audit Losing Candidate]]))/(Audit[[#Totals],[Winning Candidate]]-Audit[[#Totals],[Losing Candidate]]),
      0
)</f>
        <v>0</v>
      </c>
      <c r="AV8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1" s="17">
        <f>IF(Audit[[#This Row],[Max Relative Error (ep)]] = 0, 0, Audit[[#This Row],[Max Relative Error (ep)]]/Audit[[#This Row],[Error Bound (up) - Max. possible relative overstatement]])</f>
        <v>0</v>
      </c>
      <c r="BH8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81" s="17">
        <f t="shared" si="14"/>
        <v>1</v>
      </c>
      <c r="BJ881" s="17">
        <f>PRODUCT($BI$5:BI881)</f>
        <v>0.16268999111874616</v>
      </c>
      <c r="BK881" s="19">
        <f>1 - Audit[[#This Row],[K-M P Value]]</f>
        <v>0.83731000888125384</v>
      </c>
      <c r="BL881" s="17" t="str">
        <f>IF(Audit[[#This Row],[K-M P Value]]&gt;1-'General Info'!$B$12,"Continue", "Stop")</f>
        <v>Continue</v>
      </c>
      <c r="BM881" s="22" t="b">
        <f>IF(Audit[[#This Row],[Status - Continue or stop audit]] = "Continue", TRUE, IF(BL880 = "Continue", TRUE, FALSE))</f>
        <v>1</v>
      </c>
      <c r="BN881" s="22"/>
    </row>
    <row r="882" spans="1:66" ht="15" hidden="1" customHeight="1" x14ac:dyDescent="0.35">
      <c r="A882" s="17" t="str">
        <f>'Sampling Data'!AI882</f>
        <v/>
      </c>
      <c r="B882" s="17" t="str">
        <f>'Sampling Data'!A882</f>
        <v>5601 AND A   (ED)</v>
      </c>
      <c r="C882" s="17">
        <f>'Sampling Data'!B882</f>
        <v>192</v>
      </c>
      <c r="D882" s="17">
        <f>'Sampling Data'!C882</f>
        <v>330</v>
      </c>
      <c r="E882" s="18">
        <f>'Sampling Data'!D882</f>
        <v>0</v>
      </c>
      <c r="F882" s="18">
        <f>'Sampling Data'!E882</f>
        <v>0</v>
      </c>
      <c r="G882" s="18">
        <f>'Sampling Data'!F882</f>
        <v>0</v>
      </c>
      <c r="H882" s="18">
        <f>'Sampling Data'!G882</f>
        <v>0</v>
      </c>
      <c r="I882" s="18">
        <f>'Sampling Data'!H882</f>
        <v>0</v>
      </c>
      <c r="J882" s="18">
        <f>'Sampling Data'!I882</f>
        <v>0</v>
      </c>
      <c r="K882" s="18">
        <f>'Sampling Data'!J882</f>
        <v>0</v>
      </c>
      <c r="L882" s="18">
        <f>'Sampling Data'!K882</f>
        <v>0</v>
      </c>
      <c r="M882" s="18">
        <f>'Sampling Data'!L882</f>
        <v>0</v>
      </c>
      <c r="N882" s="18">
        <f>'Sampling Data'!M882</f>
        <v>0</v>
      </c>
      <c r="O882" s="17">
        <f>'Sampling Data'!N882</f>
        <v>0</v>
      </c>
      <c r="P882" s="17">
        <f>'Sampling Data'!O882</f>
        <v>47</v>
      </c>
      <c r="Q882" s="17">
        <f>'Sampling Data'!P882</f>
        <v>569</v>
      </c>
      <c r="R882" s="17">
        <f>'Sampling Data'!AJ882</f>
        <v>0</v>
      </c>
      <c r="S882" s="111"/>
      <c r="T882" s="111"/>
      <c r="U882" s="112"/>
      <c r="V882" s="112"/>
      <c r="W882" s="111"/>
      <c r="X882" s="111"/>
      <c r="Y882" s="111"/>
      <c r="Z882" s="111"/>
      <c r="AA882" s="14"/>
      <c r="AB882" s="14"/>
      <c r="AC882" s="14"/>
      <c r="AD882" s="14"/>
      <c r="AE882" s="113" t="str">
        <f>IF(NOT(ISBLANK(Audit[[#This Row],[Audit Winning Candidate]])), Audit[[#This Row],[Audit Winning Candidate]]-Audit[[#This Row],[Winning Candidate]], "")</f>
        <v/>
      </c>
      <c r="AF882" s="17" t="str">
        <f>IF(NOT(ISBLANK(Audit[[#This Row],[Audit Losing Candidate]])), Audit[[#This Row],[Audit Losing Candidate]]-Audit[[#This Row],[Losing Candidate]], "")</f>
        <v/>
      </c>
      <c r="AG882" s="17" t="str">
        <f>IF(NOT(ISBLANK(Audit[[#This Row],[Audit Candidate 3]])), Audit[[#This Row],[Audit Candidate 3]]-Audit[[#This Row],[Candidate 3]], "")</f>
        <v/>
      </c>
      <c r="AH882" s="17" t="str">
        <f>IF(NOT(ISBLANK(Audit[[#This Row],[Audit Candidate 4]])),Audit[[#This Row],[Audit Candidate 4]]-Audit[[#This Row],[Candidate 4]], "")</f>
        <v/>
      </c>
      <c r="AI882" s="17" t="str">
        <f>IF(NOT(ISBLANK(Audit[[#This Row],[Audit Candidate 5]])), Audit[[#This Row],[Audit Candidate 5]]-Audit[[#This Row],[Candidate 5]], "")</f>
        <v/>
      </c>
      <c r="AJ882" s="17" t="str">
        <f>IF(NOT(ISBLANK(Audit[[#This Row],[Audit Candidate 6]])), Audit[[#This Row],[Audit Candidate 6]]-Audit[[#This Row],[Candidate 6]], "")</f>
        <v/>
      </c>
      <c r="AK882" s="17" t="str">
        <f>IF(NOT(ISBLANK(Audit[[#This Row],[Audit Candidate 7]])), Audit[[#This Row],[Audit Candidate 7]]-Audit[[#This Row],[Candidate 7]], "")</f>
        <v/>
      </c>
      <c r="AL882" s="17" t="str">
        <f>IF(NOT(ISBLANK(Audit[[#This Row],[Audit Candidate 8]])), Audit[[#This Row],[Audit Candidate 8]]-Audit[[#This Row],[Candidate 8]], "")</f>
        <v/>
      </c>
      <c r="AM882" s="17" t="str">
        <f>IF(NOT(ISBLANK(Audit[[#This Row],[Audit Candidate 9]])), Audit[[#This Row],[Audit Candidate 9]]-Audit[[#This Row],[Candidate 9]], "")</f>
        <v/>
      </c>
      <c r="AN882" s="17" t="str">
        <f>IF(NOT(ISBLANK(Audit[[#This Row],[Audit Candidate 10]])), Audit[[#This Row],[Audit Candidate 10]]-Audit[[#This Row],[Candidate 10]], "")</f>
        <v/>
      </c>
      <c r="AO882" s="17" t="str">
        <f>IF(NOT(ISBLANK(Audit[[#This Row],[Audit Candidate 11]])), Audit[[#This Row],[Audit Candidate 11]]-Audit[[#This Row],[Candidate 11]], "")</f>
        <v/>
      </c>
      <c r="AP882" s="17" t="str">
        <f>IF(NOT(ISBLANK(Audit[[#This Row],[Audit Candidate 12]])), Audit[[#This Row],[Audit Candidate 12]]-Audit[[#This Row],[Candidate 12]], "")</f>
        <v/>
      </c>
      <c r="AQ882" s="17">
        <f>SUMIF(Audit[[#This Row],[Difference Winner]:[Difference Candidate 12]], "&gt;0")</f>
        <v>0</v>
      </c>
      <c r="AR882" s="17">
        <f>SUM(Audit[[#This Row],[Difference Winner]:[Difference Candidate 12]])</f>
        <v>0</v>
      </c>
      <c r="AS882" s="17">
        <f>IF(Audit[[#This Row],[Times p Drawn - With Replacement]]&gt;0, IF(Audit[[#This Row],[Canceled Differences]]&lt;0, Audit[[#This Row],[Max Differences]]+ABS(Audit[[#This Row],[Canceled Differences]]), Audit[[#This Row],[Max Differences]]), 0)</f>
        <v>0</v>
      </c>
      <c r="AT882" s="17">
        <f>'Sampling Data'!AB882</f>
        <v>1.8290612799185198E-2</v>
      </c>
      <c r="AU882" s="17">
        <f>IF(
      SUM(Audit[[#This Row],[Audit Losing Candidate]:[Audit Candidate 12]])
      &lt;&gt;0,
      (Audit[[#This Row],[Winning Candidate]]-Audit[[#This Row],[Losing Candidate]]-(Audit[[#This Row],[Audit Winning Candidate]]-Audit[[#This Row],[Audit Losing Candidate]]))/(Audit[[#Totals],[Winning Candidate]]-Audit[[#Totals],[Losing Candidate]]),
      0
)</f>
        <v>0</v>
      </c>
      <c r="AV8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2" s="17">
        <f>IF(Audit[[#This Row],[Max Relative Error (ep)]] = 0, 0, Audit[[#This Row],[Max Relative Error (ep)]]/Audit[[#This Row],[Error Bound (up) - Max. possible relative overstatement]])</f>
        <v>0</v>
      </c>
      <c r="BH8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82" s="17">
        <f t="shared" si="14"/>
        <v>1</v>
      </c>
      <c r="BJ882" s="17">
        <f>PRODUCT($BI$5:BI882)</f>
        <v>0.16268999111874616</v>
      </c>
      <c r="BK882" s="19">
        <f>1 - Audit[[#This Row],[K-M P Value]]</f>
        <v>0.83731000888125384</v>
      </c>
      <c r="BL882" s="17" t="str">
        <f>IF(Audit[[#This Row],[K-M P Value]]&gt;1-'General Info'!$B$12,"Continue", "Stop")</f>
        <v>Continue</v>
      </c>
      <c r="BM882" s="22" t="b">
        <f>IF(Audit[[#This Row],[Status - Continue or stop audit]] = "Continue", TRUE, IF(BL881 = "Continue", TRUE, FALSE))</f>
        <v>1</v>
      </c>
      <c r="BN882" s="22"/>
    </row>
    <row r="883" spans="1:66" ht="15" hidden="1" customHeight="1" x14ac:dyDescent="0.35">
      <c r="A883" s="17" t="str">
        <f>'Sampling Data'!AI883</f>
        <v/>
      </c>
      <c r="B883" s="17" t="str">
        <f>'Sampling Data'!A883</f>
        <v>5602 AND B   (ED)</v>
      </c>
      <c r="C883" s="17">
        <f>'Sampling Data'!B883</f>
        <v>118</v>
      </c>
      <c r="D883" s="17">
        <f>'Sampling Data'!C883</f>
        <v>244</v>
      </c>
      <c r="E883" s="18">
        <f>'Sampling Data'!D883</f>
        <v>0</v>
      </c>
      <c r="F883" s="18">
        <f>'Sampling Data'!E883</f>
        <v>0</v>
      </c>
      <c r="G883" s="18">
        <f>'Sampling Data'!F883</f>
        <v>0</v>
      </c>
      <c r="H883" s="18">
        <f>'Sampling Data'!G883</f>
        <v>0</v>
      </c>
      <c r="I883" s="18">
        <f>'Sampling Data'!H883</f>
        <v>0</v>
      </c>
      <c r="J883" s="18">
        <f>'Sampling Data'!I883</f>
        <v>0</v>
      </c>
      <c r="K883" s="18">
        <f>'Sampling Data'!J883</f>
        <v>0</v>
      </c>
      <c r="L883" s="18">
        <f>'Sampling Data'!K883</f>
        <v>0</v>
      </c>
      <c r="M883" s="18">
        <f>'Sampling Data'!L883</f>
        <v>0</v>
      </c>
      <c r="N883" s="18">
        <f>'Sampling Data'!M883</f>
        <v>0</v>
      </c>
      <c r="O883" s="17">
        <f>'Sampling Data'!N883</f>
        <v>0</v>
      </c>
      <c r="P883" s="17">
        <f>'Sampling Data'!O883</f>
        <v>30</v>
      </c>
      <c r="Q883" s="17">
        <f>'Sampling Data'!P883</f>
        <v>392</v>
      </c>
      <c r="R883" s="17">
        <f>'Sampling Data'!AJ883</f>
        <v>0</v>
      </c>
      <c r="S883" s="111"/>
      <c r="T883" s="111"/>
      <c r="U883" s="112"/>
      <c r="V883" s="112"/>
      <c r="W883" s="111"/>
      <c r="X883" s="111"/>
      <c r="Y883" s="111"/>
      <c r="Z883" s="111"/>
      <c r="AA883" s="14"/>
      <c r="AB883" s="14"/>
      <c r="AC883" s="14"/>
      <c r="AD883" s="14"/>
      <c r="AE883" s="113" t="str">
        <f>IF(NOT(ISBLANK(Audit[[#This Row],[Audit Winning Candidate]])), Audit[[#This Row],[Audit Winning Candidate]]-Audit[[#This Row],[Winning Candidate]], "")</f>
        <v/>
      </c>
      <c r="AF883" s="17" t="str">
        <f>IF(NOT(ISBLANK(Audit[[#This Row],[Audit Losing Candidate]])), Audit[[#This Row],[Audit Losing Candidate]]-Audit[[#This Row],[Losing Candidate]], "")</f>
        <v/>
      </c>
      <c r="AG883" s="17" t="str">
        <f>IF(NOT(ISBLANK(Audit[[#This Row],[Audit Candidate 3]])), Audit[[#This Row],[Audit Candidate 3]]-Audit[[#This Row],[Candidate 3]], "")</f>
        <v/>
      </c>
      <c r="AH883" s="17" t="str">
        <f>IF(NOT(ISBLANK(Audit[[#This Row],[Audit Candidate 4]])),Audit[[#This Row],[Audit Candidate 4]]-Audit[[#This Row],[Candidate 4]], "")</f>
        <v/>
      </c>
      <c r="AI883" s="17" t="str">
        <f>IF(NOT(ISBLANK(Audit[[#This Row],[Audit Candidate 5]])), Audit[[#This Row],[Audit Candidate 5]]-Audit[[#This Row],[Candidate 5]], "")</f>
        <v/>
      </c>
      <c r="AJ883" s="17" t="str">
        <f>IF(NOT(ISBLANK(Audit[[#This Row],[Audit Candidate 6]])), Audit[[#This Row],[Audit Candidate 6]]-Audit[[#This Row],[Candidate 6]], "")</f>
        <v/>
      </c>
      <c r="AK883" s="17" t="str">
        <f>IF(NOT(ISBLANK(Audit[[#This Row],[Audit Candidate 7]])), Audit[[#This Row],[Audit Candidate 7]]-Audit[[#This Row],[Candidate 7]], "")</f>
        <v/>
      </c>
      <c r="AL883" s="17" t="str">
        <f>IF(NOT(ISBLANK(Audit[[#This Row],[Audit Candidate 8]])), Audit[[#This Row],[Audit Candidate 8]]-Audit[[#This Row],[Candidate 8]], "")</f>
        <v/>
      </c>
      <c r="AM883" s="17" t="str">
        <f>IF(NOT(ISBLANK(Audit[[#This Row],[Audit Candidate 9]])), Audit[[#This Row],[Audit Candidate 9]]-Audit[[#This Row],[Candidate 9]], "")</f>
        <v/>
      </c>
      <c r="AN883" s="17" t="str">
        <f>IF(NOT(ISBLANK(Audit[[#This Row],[Audit Candidate 10]])), Audit[[#This Row],[Audit Candidate 10]]-Audit[[#This Row],[Candidate 10]], "")</f>
        <v/>
      </c>
      <c r="AO883" s="17" t="str">
        <f>IF(NOT(ISBLANK(Audit[[#This Row],[Audit Candidate 11]])), Audit[[#This Row],[Audit Candidate 11]]-Audit[[#This Row],[Candidate 11]], "")</f>
        <v/>
      </c>
      <c r="AP883" s="17" t="str">
        <f>IF(NOT(ISBLANK(Audit[[#This Row],[Audit Candidate 12]])), Audit[[#This Row],[Audit Candidate 12]]-Audit[[#This Row],[Candidate 12]], "")</f>
        <v/>
      </c>
      <c r="AQ883" s="17">
        <f>SUMIF(Audit[[#This Row],[Difference Winner]:[Difference Candidate 12]], "&gt;0")</f>
        <v>0</v>
      </c>
      <c r="AR883" s="17">
        <f>SUM(Audit[[#This Row],[Difference Winner]:[Difference Candidate 12]])</f>
        <v>0</v>
      </c>
      <c r="AS883" s="17">
        <f>IF(Audit[[#This Row],[Times p Drawn - With Replacement]]&gt;0, IF(Audit[[#This Row],[Canceled Differences]]&lt;0, Audit[[#This Row],[Max Differences]]+ABS(Audit[[#This Row],[Canceled Differences]]), Audit[[#This Row],[Max Differences]]), 0)</f>
        <v>0</v>
      </c>
      <c r="AT883" s="17">
        <f>'Sampling Data'!AB883</f>
        <v>1.1288406043116619E-2</v>
      </c>
      <c r="AU883" s="17">
        <f>IF(
      SUM(Audit[[#This Row],[Audit Losing Candidate]:[Audit Candidate 12]])
      &lt;&gt;0,
      (Audit[[#This Row],[Winning Candidate]]-Audit[[#This Row],[Losing Candidate]]-(Audit[[#This Row],[Audit Winning Candidate]]-Audit[[#This Row],[Audit Losing Candidate]]))/(Audit[[#Totals],[Winning Candidate]]-Audit[[#Totals],[Losing Candidate]]),
      0
)</f>
        <v>0</v>
      </c>
      <c r="AV8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3" s="17">
        <f>IF(Audit[[#This Row],[Max Relative Error (ep)]] = 0, 0, Audit[[#This Row],[Max Relative Error (ep)]]/Audit[[#This Row],[Error Bound (up) - Max. possible relative overstatement]])</f>
        <v>0</v>
      </c>
      <c r="BH8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83" s="17">
        <f t="shared" si="14"/>
        <v>1</v>
      </c>
      <c r="BJ883" s="17">
        <f>PRODUCT($BI$5:BI883)</f>
        <v>0.16268999111874616</v>
      </c>
      <c r="BK883" s="19">
        <f>1 - Audit[[#This Row],[K-M P Value]]</f>
        <v>0.83731000888125384</v>
      </c>
      <c r="BL883" s="17" t="str">
        <f>IF(Audit[[#This Row],[K-M P Value]]&gt;1-'General Info'!$B$12,"Continue", "Stop")</f>
        <v>Continue</v>
      </c>
      <c r="BM883" s="22" t="b">
        <f>IF(Audit[[#This Row],[Status - Continue or stop audit]] = "Continue", TRUE, IF(BL882 = "Continue", TRUE, FALSE))</f>
        <v>1</v>
      </c>
      <c r="BN883" s="22"/>
    </row>
    <row r="884" spans="1:66" ht="15" hidden="1" customHeight="1" x14ac:dyDescent="0.35">
      <c r="A884" s="17" t="str">
        <f>'Sampling Data'!AI884</f>
        <v/>
      </c>
      <c r="B884" s="17" t="str">
        <f>'Sampling Data'!A884</f>
        <v>5603 AND C   (ED)</v>
      </c>
      <c r="C884" s="17">
        <f>'Sampling Data'!B884</f>
        <v>241</v>
      </c>
      <c r="D884" s="17">
        <f>'Sampling Data'!C884</f>
        <v>309</v>
      </c>
      <c r="E884" s="18">
        <f>'Sampling Data'!D884</f>
        <v>0</v>
      </c>
      <c r="F884" s="18">
        <f>'Sampling Data'!E884</f>
        <v>0</v>
      </c>
      <c r="G884" s="18">
        <f>'Sampling Data'!F884</f>
        <v>0</v>
      </c>
      <c r="H884" s="18">
        <f>'Sampling Data'!G884</f>
        <v>0</v>
      </c>
      <c r="I884" s="18">
        <f>'Sampling Data'!H884</f>
        <v>0</v>
      </c>
      <c r="J884" s="18">
        <f>'Sampling Data'!I884</f>
        <v>0</v>
      </c>
      <c r="K884" s="18">
        <f>'Sampling Data'!J884</f>
        <v>0</v>
      </c>
      <c r="L884" s="18">
        <f>'Sampling Data'!K884</f>
        <v>0</v>
      </c>
      <c r="M884" s="18">
        <f>'Sampling Data'!L884</f>
        <v>0</v>
      </c>
      <c r="N884" s="18">
        <f>'Sampling Data'!M884</f>
        <v>0</v>
      </c>
      <c r="O884" s="17">
        <f>'Sampling Data'!N884</f>
        <v>0</v>
      </c>
      <c r="P884" s="17">
        <f>'Sampling Data'!O884</f>
        <v>47</v>
      </c>
      <c r="Q884" s="17">
        <f>'Sampling Data'!P884</f>
        <v>597</v>
      </c>
      <c r="R884" s="17">
        <f>'Sampling Data'!AJ884</f>
        <v>0</v>
      </c>
      <c r="S884" s="111"/>
      <c r="T884" s="111"/>
      <c r="U884" s="112"/>
      <c r="V884" s="112"/>
      <c r="W884" s="111"/>
      <c r="X884" s="111"/>
      <c r="Y884" s="111"/>
      <c r="Z884" s="111"/>
      <c r="AA884" s="14"/>
      <c r="AB884" s="14"/>
      <c r="AC884" s="14"/>
      <c r="AD884" s="14"/>
      <c r="AE884" s="113" t="str">
        <f>IF(NOT(ISBLANK(Audit[[#This Row],[Audit Winning Candidate]])), Audit[[#This Row],[Audit Winning Candidate]]-Audit[[#This Row],[Winning Candidate]], "")</f>
        <v/>
      </c>
      <c r="AF884" s="17" t="str">
        <f>IF(NOT(ISBLANK(Audit[[#This Row],[Audit Losing Candidate]])), Audit[[#This Row],[Audit Losing Candidate]]-Audit[[#This Row],[Losing Candidate]], "")</f>
        <v/>
      </c>
      <c r="AG884" s="17" t="str">
        <f>IF(NOT(ISBLANK(Audit[[#This Row],[Audit Candidate 3]])), Audit[[#This Row],[Audit Candidate 3]]-Audit[[#This Row],[Candidate 3]], "")</f>
        <v/>
      </c>
      <c r="AH884" s="17" t="str">
        <f>IF(NOT(ISBLANK(Audit[[#This Row],[Audit Candidate 4]])),Audit[[#This Row],[Audit Candidate 4]]-Audit[[#This Row],[Candidate 4]], "")</f>
        <v/>
      </c>
      <c r="AI884" s="17" t="str">
        <f>IF(NOT(ISBLANK(Audit[[#This Row],[Audit Candidate 5]])), Audit[[#This Row],[Audit Candidate 5]]-Audit[[#This Row],[Candidate 5]], "")</f>
        <v/>
      </c>
      <c r="AJ884" s="17" t="str">
        <f>IF(NOT(ISBLANK(Audit[[#This Row],[Audit Candidate 6]])), Audit[[#This Row],[Audit Candidate 6]]-Audit[[#This Row],[Candidate 6]], "")</f>
        <v/>
      </c>
      <c r="AK884" s="17" t="str">
        <f>IF(NOT(ISBLANK(Audit[[#This Row],[Audit Candidate 7]])), Audit[[#This Row],[Audit Candidate 7]]-Audit[[#This Row],[Candidate 7]], "")</f>
        <v/>
      </c>
      <c r="AL884" s="17" t="str">
        <f>IF(NOT(ISBLANK(Audit[[#This Row],[Audit Candidate 8]])), Audit[[#This Row],[Audit Candidate 8]]-Audit[[#This Row],[Candidate 8]], "")</f>
        <v/>
      </c>
      <c r="AM884" s="17" t="str">
        <f>IF(NOT(ISBLANK(Audit[[#This Row],[Audit Candidate 9]])), Audit[[#This Row],[Audit Candidate 9]]-Audit[[#This Row],[Candidate 9]], "")</f>
        <v/>
      </c>
      <c r="AN884" s="17" t="str">
        <f>IF(NOT(ISBLANK(Audit[[#This Row],[Audit Candidate 10]])), Audit[[#This Row],[Audit Candidate 10]]-Audit[[#This Row],[Candidate 10]], "")</f>
        <v/>
      </c>
      <c r="AO884" s="17" t="str">
        <f>IF(NOT(ISBLANK(Audit[[#This Row],[Audit Candidate 11]])), Audit[[#This Row],[Audit Candidate 11]]-Audit[[#This Row],[Candidate 11]], "")</f>
        <v/>
      </c>
      <c r="AP884" s="17" t="str">
        <f>IF(NOT(ISBLANK(Audit[[#This Row],[Audit Candidate 12]])), Audit[[#This Row],[Audit Candidate 12]]-Audit[[#This Row],[Candidate 12]], "")</f>
        <v/>
      </c>
      <c r="AQ884" s="17">
        <f>SUMIF(Audit[[#This Row],[Difference Winner]:[Difference Candidate 12]], "&gt;0")</f>
        <v>0</v>
      </c>
      <c r="AR884" s="17">
        <f>SUM(Audit[[#This Row],[Difference Winner]:[Difference Candidate 12]])</f>
        <v>0</v>
      </c>
      <c r="AS884" s="17">
        <f>IF(Audit[[#This Row],[Times p Drawn - With Replacement]]&gt;0, IF(Audit[[#This Row],[Canceled Differences]]&lt;0, Audit[[#This Row],[Max Differences]]+ABS(Audit[[#This Row],[Canceled Differences]]), Audit[[#This Row],[Max Differences]]), 0)</f>
        <v>0</v>
      </c>
      <c r="AT884" s="17">
        <f>'Sampling Data'!AB884</f>
        <v>2.24494992361229E-2</v>
      </c>
      <c r="AU884" s="17">
        <f>IF(
      SUM(Audit[[#This Row],[Audit Losing Candidate]:[Audit Candidate 12]])
      &lt;&gt;0,
      (Audit[[#This Row],[Winning Candidate]]-Audit[[#This Row],[Losing Candidate]]-(Audit[[#This Row],[Audit Winning Candidate]]-Audit[[#This Row],[Audit Losing Candidate]]))/(Audit[[#Totals],[Winning Candidate]]-Audit[[#Totals],[Losing Candidate]]),
      0
)</f>
        <v>0</v>
      </c>
      <c r="AV8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4" s="17">
        <f>IF(Audit[[#This Row],[Max Relative Error (ep)]] = 0, 0, Audit[[#This Row],[Max Relative Error (ep)]]/Audit[[#This Row],[Error Bound (up) - Max. possible relative overstatement]])</f>
        <v>0</v>
      </c>
      <c r="BH8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84" s="17">
        <f t="shared" si="14"/>
        <v>1</v>
      </c>
      <c r="BJ884" s="17">
        <f>PRODUCT($BI$5:BI884)</f>
        <v>0.16268999111874616</v>
      </c>
      <c r="BK884" s="19">
        <f>1 - Audit[[#This Row],[K-M P Value]]</f>
        <v>0.83731000888125384</v>
      </c>
      <c r="BL884" s="17" t="str">
        <f>IF(Audit[[#This Row],[K-M P Value]]&gt;1-'General Info'!$B$12,"Continue", "Stop")</f>
        <v>Continue</v>
      </c>
      <c r="BM884" s="22" t="b">
        <f>IF(Audit[[#This Row],[Status - Continue or stop audit]] = "Continue", TRUE, IF(BL883 = "Continue", TRUE, FALSE))</f>
        <v>1</v>
      </c>
      <c r="BN884" s="22"/>
    </row>
    <row r="885" spans="1:66" ht="15" hidden="1" customHeight="1" x14ac:dyDescent="0.35">
      <c r="A885" s="17" t="str">
        <f>'Sampling Data'!AI885</f>
        <v/>
      </c>
      <c r="B885" s="17" t="str">
        <f>'Sampling Data'!A885</f>
        <v>5604 AND D   (ED)</v>
      </c>
      <c r="C885" s="17">
        <f>'Sampling Data'!B885</f>
        <v>185</v>
      </c>
      <c r="D885" s="17">
        <f>'Sampling Data'!C885</f>
        <v>447</v>
      </c>
      <c r="E885" s="18">
        <f>'Sampling Data'!D885</f>
        <v>0</v>
      </c>
      <c r="F885" s="18">
        <f>'Sampling Data'!E885</f>
        <v>0</v>
      </c>
      <c r="G885" s="18">
        <f>'Sampling Data'!F885</f>
        <v>0</v>
      </c>
      <c r="H885" s="18">
        <f>'Sampling Data'!G885</f>
        <v>0</v>
      </c>
      <c r="I885" s="18">
        <f>'Sampling Data'!H885</f>
        <v>0</v>
      </c>
      <c r="J885" s="18">
        <f>'Sampling Data'!I885</f>
        <v>0</v>
      </c>
      <c r="K885" s="18">
        <f>'Sampling Data'!J885</f>
        <v>0</v>
      </c>
      <c r="L885" s="18">
        <f>'Sampling Data'!K885</f>
        <v>0</v>
      </c>
      <c r="M885" s="18">
        <f>'Sampling Data'!L885</f>
        <v>0</v>
      </c>
      <c r="N885" s="18">
        <f>'Sampling Data'!M885</f>
        <v>0</v>
      </c>
      <c r="O885" s="17">
        <f>'Sampling Data'!N885</f>
        <v>0</v>
      </c>
      <c r="P885" s="17">
        <f>'Sampling Data'!O885</f>
        <v>50</v>
      </c>
      <c r="Q885" s="17">
        <f>'Sampling Data'!P885</f>
        <v>682</v>
      </c>
      <c r="R885" s="17">
        <f>'Sampling Data'!AJ885</f>
        <v>0</v>
      </c>
      <c r="S885" s="111"/>
      <c r="T885" s="111"/>
      <c r="U885" s="112"/>
      <c r="V885" s="112"/>
      <c r="W885" s="111"/>
      <c r="X885" s="111"/>
      <c r="Y885" s="111"/>
      <c r="Z885" s="111"/>
      <c r="AA885" s="14"/>
      <c r="AB885" s="14"/>
      <c r="AC885" s="14"/>
      <c r="AD885" s="14"/>
      <c r="AE885" s="113" t="str">
        <f>IF(NOT(ISBLANK(Audit[[#This Row],[Audit Winning Candidate]])), Audit[[#This Row],[Audit Winning Candidate]]-Audit[[#This Row],[Winning Candidate]], "")</f>
        <v/>
      </c>
      <c r="AF885" s="17" t="str">
        <f>IF(NOT(ISBLANK(Audit[[#This Row],[Audit Losing Candidate]])), Audit[[#This Row],[Audit Losing Candidate]]-Audit[[#This Row],[Losing Candidate]], "")</f>
        <v/>
      </c>
      <c r="AG885" s="17" t="str">
        <f>IF(NOT(ISBLANK(Audit[[#This Row],[Audit Candidate 3]])), Audit[[#This Row],[Audit Candidate 3]]-Audit[[#This Row],[Candidate 3]], "")</f>
        <v/>
      </c>
      <c r="AH885" s="17" t="str">
        <f>IF(NOT(ISBLANK(Audit[[#This Row],[Audit Candidate 4]])),Audit[[#This Row],[Audit Candidate 4]]-Audit[[#This Row],[Candidate 4]], "")</f>
        <v/>
      </c>
      <c r="AI885" s="17" t="str">
        <f>IF(NOT(ISBLANK(Audit[[#This Row],[Audit Candidate 5]])), Audit[[#This Row],[Audit Candidate 5]]-Audit[[#This Row],[Candidate 5]], "")</f>
        <v/>
      </c>
      <c r="AJ885" s="17" t="str">
        <f>IF(NOT(ISBLANK(Audit[[#This Row],[Audit Candidate 6]])), Audit[[#This Row],[Audit Candidate 6]]-Audit[[#This Row],[Candidate 6]], "")</f>
        <v/>
      </c>
      <c r="AK885" s="17" t="str">
        <f>IF(NOT(ISBLANK(Audit[[#This Row],[Audit Candidate 7]])), Audit[[#This Row],[Audit Candidate 7]]-Audit[[#This Row],[Candidate 7]], "")</f>
        <v/>
      </c>
      <c r="AL885" s="17" t="str">
        <f>IF(NOT(ISBLANK(Audit[[#This Row],[Audit Candidate 8]])), Audit[[#This Row],[Audit Candidate 8]]-Audit[[#This Row],[Candidate 8]], "")</f>
        <v/>
      </c>
      <c r="AM885" s="17" t="str">
        <f>IF(NOT(ISBLANK(Audit[[#This Row],[Audit Candidate 9]])), Audit[[#This Row],[Audit Candidate 9]]-Audit[[#This Row],[Candidate 9]], "")</f>
        <v/>
      </c>
      <c r="AN885" s="17" t="str">
        <f>IF(NOT(ISBLANK(Audit[[#This Row],[Audit Candidate 10]])), Audit[[#This Row],[Audit Candidate 10]]-Audit[[#This Row],[Candidate 10]], "")</f>
        <v/>
      </c>
      <c r="AO885" s="17" t="str">
        <f>IF(NOT(ISBLANK(Audit[[#This Row],[Audit Candidate 11]])), Audit[[#This Row],[Audit Candidate 11]]-Audit[[#This Row],[Candidate 11]], "")</f>
        <v/>
      </c>
      <c r="AP885" s="17" t="str">
        <f>IF(NOT(ISBLANK(Audit[[#This Row],[Audit Candidate 12]])), Audit[[#This Row],[Audit Candidate 12]]-Audit[[#This Row],[Candidate 12]], "")</f>
        <v/>
      </c>
      <c r="AQ885" s="17">
        <f>SUMIF(Audit[[#This Row],[Difference Winner]:[Difference Candidate 12]], "&gt;0")</f>
        <v>0</v>
      </c>
      <c r="AR885" s="17">
        <f>SUM(Audit[[#This Row],[Difference Winner]:[Difference Candidate 12]])</f>
        <v>0</v>
      </c>
      <c r="AS885" s="17">
        <f>IF(Audit[[#This Row],[Times p Drawn - With Replacement]]&gt;0, IF(Audit[[#This Row],[Canceled Differences]]&lt;0, Audit[[#This Row],[Max Differences]]+ABS(Audit[[#This Row],[Canceled Differences]]), Audit[[#This Row],[Max Differences]]), 0)</f>
        <v>0</v>
      </c>
      <c r="AT885" s="17">
        <f>'Sampling Data'!AB885</f>
        <v>1.7823799015447294E-2</v>
      </c>
      <c r="AU885" s="17">
        <f>IF(
      SUM(Audit[[#This Row],[Audit Losing Candidate]:[Audit Candidate 12]])
      &lt;&gt;0,
      (Audit[[#This Row],[Winning Candidate]]-Audit[[#This Row],[Losing Candidate]]-(Audit[[#This Row],[Audit Winning Candidate]]-Audit[[#This Row],[Audit Losing Candidate]]))/(Audit[[#Totals],[Winning Candidate]]-Audit[[#Totals],[Losing Candidate]]),
      0
)</f>
        <v>0</v>
      </c>
      <c r="AV8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5" s="17">
        <f>IF(Audit[[#This Row],[Max Relative Error (ep)]] = 0, 0, Audit[[#This Row],[Max Relative Error (ep)]]/Audit[[#This Row],[Error Bound (up) - Max. possible relative overstatement]])</f>
        <v>0</v>
      </c>
      <c r="BH8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85" s="17">
        <f t="shared" si="14"/>
        <v>1</v>
      </c>
      <c r="BJ885" s="17">
        <f>PRODUCT($BI$5:BI885)</f>
        <v>0.16268999111874616</v>
      </c>
      <c r="BK885" s="19">
        <f>1 - Audit[[#This Row],[K-M P Value]]</f>
        <v>0.83731000888125384</v>
      </c>
      <c r="BL885" s="17" t="str">
        <f>IF(Audit[[#This Row],[K-M P Value]]&gt;1-'General Info'!$B$12,"Continue", "Stop")</f>
        <v>Continue</v>
      </c>
      <c r="BM885" s="22" t="b">
        <f>IF(Audit[[#This Row],[Status - Continue or stop audit]] = "Continue", TRUE, IF(BL884 = "Continue", TRUE, FALSE))</f>
        <v>1</v>
      </c>
      <c r="BN885" s="22"/>
    </row>
    <row r="886" spans="1:66" ht="15" hidden="1" customHeight="1" x14ac:dyDescent="0.35">
      <c r="A886" s="17" t="str">
        <f>'Sampling Data'!AI886</f>
        <v/>
      </c>
      <c r="B886" s="17" t="str">
        <f>'Sampling Data'!A886</f>
        <v>5605 AND E   (ED)</v>
      </c>
      <c r="C886" s="17">
        <f>'Sampling Data'!B886</f>
        <v>161</v>
      </c>
      <c r="D886" s="17">
        <f>'Sampling Data'!C886</f>
        <v>384</v>
      </c>
      <c r="E886" s="18">
        <f>'Sampling Data'!D886</f>
        <v>0</v>
      </c>
      <c r="F886" s="18">
        <f>'Sampling Data'!E886</f>
        <v>0</v>
      </c>
      <c r="G886" s="18">
        <f>'Sampling Data'!F886</f>
        <v>0</v>
      </c>
      <c r="H886" s="18">
        <f>'Sampling Data'!G886</f>
        <v>0</v>
      </c>
      <c r="I886" s="18">
        <f>'Sampling Data'!H886</f>
        <v>0</v>
      </c>
      <c r="J886" s="18">
        <f>'Sampling Data'!I886</f>
        <v>0</v>
      </c>
      <c r="K886" s="18">
        <f>'Sampling Data'!J886</f>
        <v>0</v>
      </c>
      <c r="L886" s="18">
        <f>'Sampling Data'!K886</f>
        <v>0</v>
      </c>
      <c r="M886" s="18">
        <f>'Sampling Data'!L886</f>
        <v>0</v>
      </c>
      <c r="N886" s="18">
        <f>'Sampling Data'!M886</f>
        <v>0</v>
      </c>
      <c r="O886" s="17">
        <f>'Sampling Data'!N886</f>
        <v>0</v>
      </c>
      <c r="P886" s="17">
        <f>'Sampling Data'!O886</f>
        <v>39</v>
      </c>
      <c r="Q886" s="17">
        <f>'Sampling Data'!P886</f>
        <v>584</v>
      </c>
      <c r="R886" s="17">
        <f>'Sampling Data'!AJ886</f>
        <v>0</v>
      </c>
      <c r="S886" s="111"/>
      <c r="T886" s="111"/>
      <c r="U886" s="112"/>
      <c r="V886" s="112"/>
      <c r="W886" s="111"/>
      <c r="X886" s="111"/>
      <c r="Y886" s="111"/>
      <c r="Z886" s="111"/>
      <c r="AA886" s="14"/>
      <c r="AB886" s="14"/>
      <c r="AC886" s="14"/>
      <c r="AD886" s="14"/>
      <c r="AE886" s="113" t="str">
        <f>IF(NOT(ISBLANK(Audit[[#This Row],[Audit Winning Candidate]])), Audit[[#This Row],[Audit Winning Candidate]]-Audit[[#This Row],[Winning Candidate]], "")</f>
        <v/>
      </c>
      <c r="AF886" s="17" t="str">
        <f>IF(NOT(ISBLANK(Audit[[#This Row],[Audit Losing Candidate]])), Audit[[#This Row],[Audit Losing Candidate]]-Audit[[#This Row],[Losing Candidate]], "")</f>
        <v/>
      </c>
      <c r="AG886" s="17" t="str">
        <f>IF(NOT(ISBLANK(Audit[[#This Row],[Audit Candidate 3]])), Audit[[#This Row],[Audit Candidate 3]]-Audit[[#This Row],[Candidate 3]], "")</f>
        <v/>
      </c>
      <c r="AH886" s="17" t="str">
        <f>IF(NOT(ISBLANK(Audit[[#This Row],[Audit Candidate 4]])),Audit[[#This Row],[Audit Candidate 4]]-Audit[[#This Row],[Candidate 4]], "")</f>
        <v/>
      </c>
      <c r="AI886" s="17" t="str">
        <f>IF(NOT(ISBLANK(Audit[[#This Row],[Audit Candidate 5]])), Audit[[#This Row],[Audit Candidate 5]]-Audit[[#This Row],[Candidate 5]], "")</f>
        <v/>
      </c>
      <c r="AJ886" s="17" t="str">
        <f>IF(NOT(ISBLANK(Audit[[#This Row],[Audit Candidate 6]])), Audit[[#This Row],[Audit Candidate 6]]-Audit[[#This Row],[Candidate 6]], "")</f>
        <v/>
      </c>
      <c r="AK886" s="17" t="str">
        <f>IF(NOT(ISBLANK(Audit[[#This Row],[Audit Candidate 7]])), Audit[[#This Row],[Audit Candidate 7]]-Audit[[#This Row],[Candidate 7]], "")</f>
        <v/>
      </c>
      <c r="AL886" s="17" t="str">
        <f>IF(NOT(ISBLANK(Audit[[#This Row],[Audit Candidate 8]])), Audit[[#This Row],[Audit Candidate 8]]-Audit[[#This Row],[Candidate 8]], "")</f>
        <v/>
      </c>
      <c r="AM886" s="17" t="str">
        <f>IF(NOT(ISBLANK(Audit[[#This Row],[Audit Candidate 9]])), Audit[[#This Row],[Audit Candidate 9]]-Audit[[#This Row],[Candidate 9]], "")</f>
        <v/>
      </c>
      <c r="AN886" s="17" t="str">
        <f>IF(NOT(ISBLANK(Audit[[#This Row],[Audit Candidate 10]])), Audit[[#This Row],[Audit Candidate 10]]-Audit[[#This Row],[Candidate 10]], "")</f>
        <v/>
      </c>
      <c r="AO886" s="17" t="str">
        <f>IF(NOT(ISBLANK(Audit[[#This Row],[Audit Candidate 11]])), Audit[[#This Row],[Audit Candidate 11]]-Audit[[#This Row],[Candidate 11]], "")</f>
        <v/>
      </c>
      <c r="AP886" s="17" t="str">
        <f>IF(NOT(ISBLANK(Audit[[#This Row],[Audit Candidate 12]])), Audit[[#This Row],[Audit Candidate 12]]-Audit[[#This Row],[Candidate 12]], "")</f>
        <v/>
      </c>
      <c r="AQ886" s="17">
        <f>SUMIF(Audit[[#This Row],[Difference Winner]:[Difference Candidate 12]], "&gt;0")</f>
        <v>0</v>
      </c>
      <c r="AR886" s="17">
        <f>SUM(Audit[[#This Row],[Difference Winner]:[Difference Candidate 12]])</f>
        <v>0</v>
      </c>
      <c r="AS886" s="17">
        <f>IF(Audit[[#This Row],[Times p Drawn - With Replacement]]&gt;0, IF(Audit[[#This Row],[Canceled Differences]]&lt;0, Audit[[#This Row],[Max Differences]]+ABS(Audit[[#This Row],[Canceled Differences]]), Audit[[#This Row],[Max Differences]]), 0)</f>
        <v>0</v>
      </c>
      <c r="AT886" s="17">
        <f>'Sampling Data'!AB886</f>
        <v>1.5319979629943982E-2</v>
      </c>
      <c r="AU886" s="17">
        <f>IF(
      SUM(Audit[[#This Row],[Audit Losing Candidate]:[Audit Candidate 12]])
      &lt;&gt;0,
      (Audit[[#This Row],[Winning Candidate]]-Audit[[#This Row],[Losing Candidate]]-(Audit[[#This Row],[Audit Winning Candidate]]-Audit[[#This Row],[Audit Losing Candidate]]))/(Audit[[#Totals],[Winning Candidate]]-Audit[[#Totals],[Losing Candidate]]),
      0
)</f>
        <v>0</v>
      </c>
      <c r="AV8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6" s="17">
        <f>IF(Audit[[#This Row],[Max Relative Error (ep)]] = 0, 0, Audit[[#This Row],[Max Relative Error (ep)]]/Audit[[#This Row],[Error Bound (up) - Max. possible relative overstatement]])</f>
        <v>0</v>
      </c>
      <c r="BH8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86" s="17">
        <f t="shared" si="14"/>
        <v>1</v>
      </c>
      <c r="BJ886" s="17">
        <f>PRODUCT($BI$5:BI886)</f>
        <v>0.16268999111874616</v>
      </c>
      <c r="BK886" s="19">
        <f>1 - Audit[[#This Row],[K-M P Value]]</f>
        <v>0.83731000888125384</v>
      </c>
      <c r="BL886" s="17" t="str">
        <f>IF(Audit[[#This Row],[K-M P Value]]&gt;1-'General Info'!$B$12,"Continue", "Stop")</f>
        <v>Continue</v>
      </c>
      <c r="BM886" s="22" t="b">
        <f>IF(Audit[[#This Row],[Status - Continue or stop audit]] = "Continue", TRUE, IF(BL885 = "Continue", TRUE, FALSE))</f>
        <v>1</v>
      </c>
      <c r="BN886" s="22"/>
    </row>
    <row r="887" spans="1:66" ht="15" hidden="1" customHeight="1" x14ac:dyDescent="0.35">
      <c r="A887" s="17" t="str">
        <f>'Sampling Data'!AI887</f>
        <v/>
      </c>
      <c r="B887" s="17" t="str">
        <f>'Sampling Data'!A887</f>
        <v>5606 AND F   (ED)</v>
      </c>
      <c r="C887" s="17">
        <f>'Sampling Data'!B887</f>
        <v>197</v>
      </c>
      <c r="D887" s="17">
        <f>'Sampling Data'!C887</f>
        <v>343</v>
      </c>
      <c r="E887" s="18">
        <f>'Sampling Data'!D887</f>
        <v>0</v>
      </c>
      <c r="F887" s="18">
        <f>'Sampling Data'!E887</f>
        <v>0</v>
      </c>
      <c r="G887" s="18">
        <f>'Sampling Data'!F887</f>
        <v>0</v>
      </c>
      <c r="H887" s="18">
        <f>'Sampling Data'!G887</f>
        <v>0</v>
      </c>
      <c r="I887" s="18">
        <f>'Sampling Data'!H887</f>
        <v>0</v>
      </c>
      <c r="J887" s="18">
        <f>'Sampling Data'!I887</f>
        <v>0</v>
      </c>
      <c r="K887" s="18">
        <f>'Sampling Data'!J887</f>
        <v>0</v>
      </c>
      <c r="L887" s="18">
        <f>'Sampling Data'!K887</f>
        <v>0</v>
      </c>
      <c r="M887" s="18">
        <f>'Sampling Data'!L887</f>
        <v>0</v>
      </c>
      <c r="N887" s="18">
        <f>'Sampling Data'!M887</f>
        <v>0</v>
      </c>
      <c r="O887" s="17">
        <f>'Sampling Data'!N887</f>
        <v>0</v>
      </c>
      <c r="P887" s="17">
        <f>'Sampling Data'!O887</f>
        <v>50</v>
      </c>
      <c r="Q887" s="17">
        <f>'Sampling Data'!P887</f>
        <v>590</v>
      </c>
      <c r="R887" s="17">
        <f>'Sampling Data'!AJ887</f>
        <v>0</v>
      </c>
      <c r="S887" s="111"/>
      <c r="T887" s="111"/>
      <c r="U887" s="112"/>
      <c r="V887" s="112"/>
      <c r="W887" s="111"/>
      <c r="X887" s="111"/>
      <c r="Y887" s="111"/>
      <c r="Z887" s="111"/>
      <c r="AA887" s="14"/>
      <c r="AB887" s="14"/>
      <c r="AC887" s="14"/>
      <c r="AD887" s="14"/>
      <c r="AE887" s="113" t="str">
        <f>IF(NOT(ISBLANK(Audit[[#This Row],[Audit Winning Candidate]])), Audit[[#This Row],[Audit Winning Candidate]]-Audit[[#This Row],[Winning Candidate]], "")</f>
        <v/>
      </c>
      <c r="AF887" s="17" t="str">
        <f>IF(NOT(ISBLANK(Audit[[#This Row],[Audit Losing Candidate]])), Audit[[#This Row],[Audit Losing Candidate]]-Audit[[#This Row],[Losing Candidate]], "")</f>
        <v/>
      </c>
      <c r="AG887" s="17" t="str">
        <f>IF(NOT(ISBLANK(Audit[[#This Row],[Audit Candidate 3]])), Audit[[#This Row],[Audit Candidate 3]]-Audit[[#This Row],[Candidate 3]], "")</f>
        <v/>
      </c>
      <c r="AH887" s="17" t="str">
        <f>IF(NOT(ISBLANK(Audit[[#This Row],[Audit Candidate 4]])),Audit[[#This Row],[Audit Candidate 4]]-Audit[[#This Row],[Candidate 4]], "")</f>
        <v/>
      </c>
      <c r="AI887" s="17" t="str">
        <f>IF(NOT(ISBLANK(Audit[[#This Row],[Audit Candidate 5]])), Audit[[#This Row],[Audit Candidate 5]]-Audit[[#This Row],[Candidate 5]], "")</f>
        <v/>
      </c>
      <c r="AJ887" s="17" t="str">
        <f>IF(NOT(ISBLANK(Audit[[#This Row],[Audit Candidate 6]])), Audit[[#This Row],[Audit Candidate 6]]-Audit[[#This Row],[Candidate 6]], "")</f>
        <v/>
      </c>
      <c r="AK887" s="17" t="str">
        <f>IF(NOT(ISBLANK(Audit[[#This Row],[Audit Candidate 7]])), Audit[[#This Row],[Audit Candidate 7]]-Audit[[#This Row],[Candidate 7]], "")</f>
        <v/>
      </c>
      <c r="AL887" s="17" t="str">
        <f>IF(NOT(ISBLANK(Audit[[#This Row],[Audit Candidate 8]])), Audit[[#This Row],[Audit Candidate 8]]-Audit[[#This Row],[Candidate 8]], "")</f>
        <v/>
      </c>
      <c r="AM887" s="17" t="str">
        <f>IF(NOT(ISBLANK(Audit[[#This Row],[Audit Candidate 9]])), Audit[[#This Row],[Audit Candidate 9]]-Audit[[#This Row],[Candidate 9]], "")</f>
        <v/>
      </c>
      <c r="AN887" s="17" t="str">
        <f>IF(NOT(ISBLANK(Audit[[#This Row],[Audit Candidate 10]])), Audit[[#This Row],[Audit Candidate 10]]-Audit[[#This Row],[Candidate 10]], "")</f>
        <v/>
      </c>
      <c r="AO887" s="17" t="str">
        <f>IF(NOT(ISBLANK(Audit[[#This Row],[Audit Candidate 11]])), Audit[[#This Row],[Audit Candidate 11]]-Audit[[#This Row],[Candidate 11]], "")</f>
        <v/>
      </c>
      <c r="AP887" s="17" t="str">
        <f>IF(NOT(ISBLANK(Audit[[#This Row],[Audit Candidate 12]])), Audit[[#This Row],[Audit Candidate 12]]-Audit[[#This Row],[Candidate 12]], "")</f>
        <v/>
      </c>
      <c r="AQ887" s="17">
        <f>SUMIF(Audit[[#This Row],[Difference Winner]:[Difference Candidate 12]], "&gt;0")</f>
        <v>0</v>
      </c>
      <c r="AR887" s="17">
        <f>SUM(Audit[[#This Row],[Difference Winner]:[Difference Candidate 12]])</f>
        <v>0</v>
      </c>
      <c r="AS887" s="17">
        <f>IF(Audit[[#This Row],[Times p Drawn - With Replacement]]&gt;0, IF(Audit[[#This Row],[Canceled Differences]]&lt;0, Audit[[#This Row],[Max Differences]]+ABS(Audit[[#This Row],[Canceled Differences]]), Audit[[#This Row],[Max Differences]]), 0)</f>
        <v>0</v>
      </c>
      <c r="AT887" s="17">
        <f>'Sampling Data'!AB887</f>
        <v>1.8842301816329995E-2</v>
      </c>
      <c r="AU887" s="17">
        <f>IF(
      SUM(Audit[[#This Row],[Audit Losing Candidate]:[Audit Candidate 12]])
      &lt;&gt;0,
      (Audit[[#This Row],[Winning Candidate]]-Audit[[#This Row],[Losing Candidate]]-(Audit[[#This Row],[Audit Winning Candidate]]-Audit[[#This Row],[Audit Losing Candidate]]))/(Audit[[#Totals],[Winning Candidate]]-Audit[[#Totals],[Losing Candidate]]),
      0
)</f>
        <v>0</v>
      </c>
      <c r="AV8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7" s="17">
        <f>IF(Audit[[#This Row],[Max Relative Error (ep)]] = 0, 0, Audit[[#This Row],[Max Relative Error (ep)]]/Audit[[#This Row],[Error Bound (up) - Max. possible relative overstatement]])</f>
        <v>0</v>
      </c>
      <c r="BH8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87" s="17">
        <f t="shared" si="14"/>
        <v>1</v>
      </c>
      <c r="BJ887" s="17">
        <f>PRODUCT($BI$5:BI887)</f>
        <v>0.16268999111874616</v>
      </c>
      <c r="BK887" s="19">
        <f>1 - Audit[[#This Row],[K-M P Value]]</f>
        <v>0.83731000888125384</v>
      </c>
      <c r="BL887" s="17" t="str">
        <f>IF(Audit[[#This Row],[K-M P Value]]&gt;1-'General Info'!$B$12,"Continue", "Stop")</f>
        <v>Continue</v>
      </c>
      <c r="BM887" s="22" t="b">
        <f>IF(Audit[[#This Row],[Status - Continue or stop audit]] = "Continue", TRUE, IF(BL886 = "Continue", TRUE, FALSE))</f>
        <v>1</v>
      </c>
      <c r="BN887" s="22"/>
    </row>
    <row r="888" spans="1:66" ht="15" hidden="1" customHeight="1" x14ac:dyDescent="0.35">
      <c r="A888" s="17" t="str">
        <f>'Sampling Data'!AI888</f>
        <v/>
      </c>
      <c r="B888" s="17" t="str">
        <f>'Sampling Data'!A888</f>
        <v>5607 AND G   (ED)</v>
      </c>
      <c r="C888" s="17">
        <f>'Sampling Data'!B888</f>
        <v>236</v>
      </c>
      <c r="D888" s="17">
        <f>'Sampling Data'!C888</f>
        <v>410</v>
      </c>
      <c r="E888" s="18">
        <f>'Sampling Data'!D888</f>
        <v>0</v>
      </c>
      <c r="F888" s="18">
        <f>'Sampling Data'!E888</f>
        <v>0</v>
      </c>
      <c r="G888" s="18">
        <f>'Sampling Data'!F888</f>
        <v>0</v>
      </c>
      <c r="H888" s="18">
        <f>'Sampling Data'!G888</f>
        <v>0</v>
      </c>
      <c r="I888" s="18">
        <f>'Sampling Data'!H888</f>
        <v>0</v>
      </c>
      <c r="J888" s="18">
        <f>'Sampling Data'!I888</f>
        <v>0</v>
      </c>
      <c r="K888" s="18">
        <f>'Sampling Data'!J888</f>
        <v>0</v>
      </c>
      <c r="L888" s="18">
        <f>'Sampling Data'!K888</f>
        <v>0</v>
      </c>
      <c r="M888" s="18">
        <f>'Sampling Data'!L888</f>
        <v>0</v>
      </c>
      <c r="N888" s="18">
        <f>'Sampling Data'!M888</f>
        <v>0</v>
      </c>
      <c r="O888" s="17">
        <f>'Sampling Data'!N888</f>
        <v>1</v>
      </c>
      <c r="P888" s="17">
        <f>'Sampling Data'!O888</f>
        <v>73</v>
      </c>
      <c r="Q888" s="17">
        <f>'Sampling Data'!P888</f>
        <v>720</v>
      </c>
      <c r="R888" s="17">
        <f>'Sampling Data'!AJ888</f>
        <v>0</v>
      </c>
      <c r="S888" s="111"/>
      <c r="T888" s="111"/>
      <c r="U888" s="112"/>
      <c r="V888" s="112"/>
      <c r="W888" s="111"/>
      <c r="X888" s="111"/>
      <c r="Y888" s="111"/>
      <c r="Z888" s="111"/>
      <c r="AA888" s="14"/>
      <c r="AB888" s="14"/>
      <c r="AC888" s="14"/>
      <c r="AD888" s="14"/>
      <c r="AE888" s="113" t="str">
        <f>IF(NOT(ISBLANK(Audit[[#This Row],[Audit Winning Candidate]])), Audit[[#This Row],[Audit Winning Candidate]]-Audit[[#This Row],[Winning Candidate]], "")</f>
        <v/>
      </c>
      <c r="AF888" s="17" t="str">
        <f>IF(NOT(ISBLANK(Audit[[#This Row],[Audit Losing Candidate]])), Audit[[#This Row],[Audit Losing Candidate]]-Audit[[#This Row],[Losing Candidate]], "")</f>
        <v/>
      </c>
      <c r="AG888" s="17" t="str">
        <f>IF(NOT(ISBLANK(Audit[[#This Row],[Audit Candidate 3]])), Audit[[#This Row],[Audit Candidate 3]]-Audit[[#This Row],[Candidate 3]], "")</f>
        <v/>
      </c>
      <c r="AH888" s="17" t="str">
        <f>IF(NOT(ISBLANK(Audit[[#This Row],[Audit Candidate 4]])),Audit[[#This Row],[Audit Candidate 4]]-Audit[[#This Row],[Candidate 4]], "")</f>
        <v/>
      </c>
      <c r="AI888" s="17" t="str">
        <f>IF(NOT(ISBLANK(Audit[[#This Row],[Audit Candidate 5]])), Audit[[#This Row],[Audit Candidate 5]]-Audit[[#This Row],[Candidate 5]], "")</f>
        <v/>
      </c>
      <c r="AJ888" s="17" t="str">
        <f>IF(NOT(ISBLANK(Audit[[#This Row],[Audit Candidate 6]])), Audit[[#This Row],[Audit Candidate 6]]-Audit[[#This Row],[Candidate 6]], "")</f>
        <v/>
      </c>
      <c r="AK888" s="17" t="str">
        <f>IF(NOT(ISBLANK(Audit[[#This Row],[Audit Candidate 7]])), Audit[[#This Row],[Audit Candidate 7]]-Audit[[#This Row],[Candidate 7]], "")</f>
        <v/>
      </c>
      <c r="AL888" s="17" t="str">
        <f>IF(NOT(ISBLANK(Audit[[#This Row],[Audit Candidate 8]])), Audit[[#This Row],[Audit Candidate 8]]-Audit[[#This Row],[Candidate 8]], "")</f>
        <v/>
      </c>
      <c r="AM888" s="17" t="str">
        <f>IF(NOT(ISBLANK(Audit[[#This Row],[Audit Candidate 9]])), Audit[[#This Row],[Audit Candidate 9]]-Audit[[#This Row],[Candidate 9]], "")</f>
        <v/>
      </c>
      <c r="AN888" s="17" t="str">
        <f>IF(NOT(ISBLANK(Audit[[#This Row],[Audit Candidate 10]])), Audit[[#This Row],[Audit Candidate 10]]-Audit[[#This Row],[Candidate 10]], "")</f>
        <v/>
      </c>
      <c r="AO888" s="17" t="str">
        <f>IF(NOT(ISBLANK(Audit[[#This Row],[Audit Candidate 11]])), Audit[[#This Row],[Audit Candidate 11]]-Audit[[#This Row],[Candidate 11]], "")</f>
        <v/>
      </c>
      <c r="AP888" s="17" t="str">
        <f>IF(NOT(ISBLANK(Audit[[#This Row],[Audit Candidate 12]])), Audit[[#This Row],[Audit Candidate 12]]-Audit[[#This Row],[Candidate 12]], "")</f>
        <v/>
      </c>
      <c r="AQ888" s="17">
        <f>SUMIF(Audit[[#This Row],[Difference Winner]:[Difference Candidate 12]], "&gt;0")</f>
        <v>0</v>
      </c>
      <c r="AR888" s="17">
        <f>SUM(Audit[[#This Row],[Difference Winner]:[Difference Candidate 12]])</f>
        <v>0</v>
      </c>
      <c r="AS888" s="17">
        <f>IF(Audit[[#This Row],[Times p Drawn - With Replacement]]&gt;0, IF(Audit[[#This Row],[Canceled Differences]]&lt;0, Audit[[#This Row],[Max Differences]]+ABS(Audit[[#This Row],[Canceled Differences]]), Audit[[#This Row],[Max Differences]]), 0)</f>
        <v>0</v>
      </c>
      <c r="AT888" s="17">
        <f>'Sampling Data'!AB888</f>
        <v>2.3170938720081479E-2</v>
      </c>
      <c r="AU888" s="17">
        <f>IF(
      SUM(Audit[[#This Row],[Audit Losing Candidate]:[Audit Candidate 12]])
      &lt;&gt;0,
      (Audit[[#This Row],[Winning Candidate]]-Audit[[#This Row],[Losing Candidate]]-(Audit[[#This Row],[Audit Winning Candidate]]-Audit[[#This Row],[Audit Losing Candidate]]))/(Audit[[#Totals],[Winning Candidate]]-Audit[[#Totals],[Losing Candidate]]),
      0
)</f>
        <v>0</v>
      </c>
      <c r="AV8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8" s="17">
        <f>IF(Audit[[#This Row],[Max Relative Error (ep)]] = 0, 0, Audit[[#This Row],[Max Relative Error (ep)]]/Audit[[#This Row],[Error Bound (up) - Max. possible relative overstatement]])</f>
        <v>0</v>
      </c>
      <c r="BH8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88" s="17">
        <f t="shared" si="14"/>
        <v>1</v>
      </c>
      <c r="BJ888" s="17">
        <f>PRODUCT($BI$5:BI888)</f>
        <v>0.16268999111874616</v>
      </c>
      <c r="BK888" s="19">
        <f>1 - Audit[[#This Row],[K-M P Value]]</f>
        <v>0.83731000888125384</v>
      </c>
      <c r="BL888" s="17" t="str">
        <f>IF(Audit[[#This Row],[K-M P Value]]&gt;1-'General Info'!$B$12,"Continue", "Stop")</f>
        <v>Continue</v>
      </c>
      <c r="BM888" s="22" t="b">
        <f>IF(Audit[[#This Row],[Status - Continue or stop audit]] = "Continue", TRUE, IF(BL887 = "Continue", TRUE, FALSE))</f>
        <v>1</v>
      </c>
      <c r="BN888" s="22"/>
    </row>
    <row r="889" spans="1:66" ht="15" hidden="1" customHeight="1" x14ac:dyDescent="0.35">
      <c r="A889" s="17" t="str">
        <f>'Sampling Data'!AI889</f>
        <v/>
      </c>
      <c r="B889" s="17" t="str">
        <f>'Sampling Data'!A889</f>
        <v>5608 AND H   (ED)</v>
      </c>
      <c r="C889" s="17">
        <f>'Sampling Data'!B889</f>
        <v>209</v>
      </c>
      <c r="D889" s="17">
        <f>'Sampling Data'!C889</f>
        <v>358</v>
      </c>
      <c r="E889" s="18">
        <f>'Sampling Data'!D889</f>
        <v>0</v>
      </c>
      <c r="F889" s="18">
        <f>'Sampling Data'!E889</f>
        <v>0</v>
      </c>
      <c r="G889" s="18">
        <f>'Sampling Data'!F889</f>
        <v>0</v>
      </c>
      <c r="H889" s="18">
        <f>'Sampling Data'!G889</f>
        <v>0</v>
      </c>
      <c r="I889" s="18">
        <f>'Sampling Data'!H889</f>
        <v>0</v>
      </c>
      <c r="J889" s="18">
        <f>'Sampling Data'!I889</f>
        <v>0</v>
      </c>
      <c r="K889" s="18">
        <f>'Sampling Data'!J889</f>
        <v>0</v>
      </c>
      <c r="L889" s="18">
        <f>'Sampling Data'!K889</f>
        <v>0</v>
      </c>
      <c r="M889" s="18">
        <f>'Sampling Data'!L889</f>
        <v>0</v>
      </c>
      <c r="N889" s="18">
        <f>'Sampling Data'!M889</f>
        <v>0</v>
      </c>
      <c r="O889" s="17">
        <f>'Sampling Data'!N889</f>
        <v>0</v>
      </c>
      <c r="P889" s="17">
        <f>'Sampling Data'!O889</f>
        <v>45</v>
      </c>
      <c r="Q889" s="17">
        <f>'Sampling Data'!P889</f>
        <v>612</v>
      </c>
      <c r="R889" s="17">
        <f>'Sampling Data'!AJ889</f>
        <v>0</v>
      </c>
      <c r="S889" s="111"/>
      <c r="T889" s="111"/>
      <c r="U889" s="112"/>
      <c r="V889" s="112"/>
      <c r="W889" s="111"/>
      <c r="X889" s="111"/>
      <c r="Y889" s="111"/>
      <c r="Z889" s="111"/>
      <c r="AA889" s="14"/>
      <c r="AB889" s="14"/>
      <c r="AC889" s="14"/>
      <c r="AD889" s="14"/>
      <c r="AE889" s="113" t="str">
        <f>IF(NOT(ISBLANK(Audit[[#This Row],[Audit Winning Candidate]])), Audit[[#This Row],[Audit Winning Candidate]]-Audit[[#This Row],[Winning Candidate]], "")</f>
        <v/>
      </c>
      <c r="AF889" s="17" t="str">
        <f>IF(NOT(ISBLANK(Audit[[#This Row],[Audit Losing Candidate]])), Audit[[#This Row],[Audit Losing Candidate]]-Audit[[#This Row],[Losing Candidate]], "")</f>
        <v/>
      </c>
      <c r="AG889" s="17" t="str">
        <f>IF(NOT(ISBLANK(Audit[[#This Row],[Audit Candidate 3]])), Audit[[#This Row],[Audit Candidate 3]]-Audit[[#This Row],[Candidate 3]], "")</f>
        <v/>
      </c>
      <c r="AH889" s="17" t="str">
        <f>IF(NOT(ISBLANK(Audit[[#This Row],[Audit Candidate 4]])),Audit[[#This Row],[Audit Candidate 4]]-Audit[[#This Row],[Candidate 4]], "")</f>
        <v/>
      </c>
      <c r="AI889" s="17" t="str">
        <f>IF(NOT(ISBLANK(Audit[[#This Row],[Audit Candidate 5]])), Audit[[#This Row],[Audit Candidate 5]]-Audit[[#This Row],[Candidate 5]], "")</f>
        <v/>
      </c>
      <c r="AJ889" s="17" t="str">
        <f>IF(NOT(ISBLANK(Audit[[#This Row],[Audit Candidate 6]])), Audit[[#This Row],[Audit Candidate 6]]-Audit[[#This Row],[Candidate 6]], "")</f>
        <v/>
      </c>
      <c r="AK889" s="17" t="str">
        <f>IF(NOT(ISBLANK(Audit[[#This Row],[Audit Candidate 7]])), Audit[[#This Row],[Audit Candidate 7]]-Audit[[#This Row],[Candidate 7]], "")</f>
        <v/>
      </c>
      <c r="AL889" s="17" t="str">
        <f>IF(NOT(ISBLANK(Audit[[#This Row],[Audit Candidate 8]])), Audit[[#This Row],[Audit Candidate 8]]-Audit[[#This Row],[Candidate 8]], "")</f>
        <v/>
      </c>
      <c r="AM889" s="17" t="str">
        <f>IF(NOT(ISBLANK(Audit[[#This Row],[Audit Candidate 9]])), Audit[[#This Row],[Audit Candidate 9]]-Audit[[#This Row],[Candidate 9]], "")</f>
        <v/>
      </c>
      <c r="AN889" s="17" t="str">
        <f>IF(NOT(ISBLANK(Audit[[#This Row],[Audit Candidate 10]])), Audit[[#This Row],[Audit Candidate 10]]-Audit[[#This Row],[Candidate 10]], "")</f>
        <v/>
      </c>
      <c r="AO889" s="17" t="str">
        <f>IF(NOT(ISBLANK(Audit[[#This Row],[Audit Candidate 11]])), Audit[[#This Row],[Audit Candidate 11]]-Audit[[#This Row],[Candidate 11]], "")</f>
        <v/>
      </c>
      <c r="AP889" s="17" t="str">
        <f>IF(NOT(ISBLANK(Audit[[#This Row],[Audit Candidate 12]])), Audit[[#This Row],[Audit Candidate 12]]-Audit[[#This Row],[Candidate 12]], "")</f>
        <v/>
      </c>
      <c r="AQ889" s="17">
        <f>SUMIF(Audit[[#This Row],[Difference Winner]:[Difference Candidate 12]], "&gt;0")</f>
        <v>0</v>
      </c>
      <c r="AR889" s="17">
        <f>SUM(Audit[[#This Row],[Difference Winner]:[Difference Candidate 12]])</f>
        <v>0</v>
      </c>
      <c r="AS889" s="17">
        <f>IF(Audit[[#This Row],[Times p Drawn - With Replacement]]&gt;0, IF(Audit[[#This Row],[Canceled Differences]]&lt;0, Audit[[#This Row],[Max Differences]]+ABS(Audit[[#This Row],[Canceled Differences]]), Audit[[#This Row],[Max Differences]]), 0)</f>
        <v>0</v>
      </c>
      <c r="AT889" s="17">
        <f>'Sampling Data'!AB889</f>
        <v>1.9648616533695467E-2</v>
      </c>
      <c r="AU889" s="17">
        <f>IF(
      SUM(Audit[[#This Row],[Audit Losing Candidate]:[Audit Candidate 12]])
      &lt;&gt;0,
      (Audit[[#This Row],[Winning Candidate]]-Audit[[#This Row],[Losing Candidate]]-(Audit[[#This Row],[Audit Winning Candidate]]-Audit[[#This Row],[Audit Losing Candidate]]))/(Audit[[#Totals],[Winning Candidate]]-Audit[[#Totals],[Losing Candidate]]),
      0
)</f>
        <v>0</v>
      </c>
      <c r="AV8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9" s="17">
        <f>IF(Audit[[#This Row],[Max Relative Error (ep)]] = 0, 0, Audit[[#This Row],[Max Relative Error (ep)]]/Audit[[#This Row],[Error Bound (up) - Max. possible relative overstatement]])</f>
        <v>0</v>
      </c>
      <c r="BH8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89" s="17">
        <f t="shared" si="14"/>
        <v>1</v>
      </c>
      <c r="BJ889" s="17">
        <f>PRODUCT($BI$5:BI889)</f>
        <v>0.16268999111874616</v>
      </c>
      <c r="BK889" s="19">
        <f>1 - Audit[[#This Row],[K-M P Value]]</f>
        <v>0.83731000888125384</v>
      </c>
      <c r="BL889" s="17" t="str">
        <f>IF(Audit[[#This Row],[K-M P Value]]&gt;1-'General Info'!$B$12,"Continue", "Stop")</f>
        <v>Continue</v>
      </c>
      <c r="BM889" s="22" t="b">
        <f>IF(Audit[[#This Row],[Status - Continue or stop audit]] = "Continue", TRUE, IF(BL888 = "Continue", TRUE, FALSE))</f>
        <v>1</v>
      </c>
      <c r="BN889" s="22"/>
    </row>
    <row r="890" spans="1:66" ht="15" hidden="1" customHeight="1" x14ac:dyDescent="0.35">
      <c r="A890" s="17" t="str">
        <f>'Sampling Data'!AI890</f>
        <v/>
      </c>
      <c r="B890" s="17" t="str">
        <f>'Sampling Data'!A890</f>
        <v>5609 AND I   (ED)</v>
      </c>
      <c r="C890" s="17">
        <f>'Sampling Data'!B890</f>
        <v>203</v>
      </c>
      <c r="D890" s="17">
        <f>'Sampling Data'!C890</f>
        <v>326</v>
      </c>
      <c r="E890" s="18">
        <f>'Sampling Data'!D890</f>
        <v>0</v>
      </c>
      <c r="F890" s="18">
        <f>'Sampling Data'!E890</f>
        <v>0</v>
      </c>
      <c r="G890" s="18">
        <f>'Sampling Data'!F890</f>
        <v>0</v>
      </c>
      <c r="H890" s="18">
        <f>'Sampling Data'!G890</f>
        <v>0</v>
      </c>
      <c r="I890" s="18">
        <f>'Sampling Data'!H890</f>
        <v>0</v>
      </c>
      <c r="J890" s="18">
        <f>'Sampling Data'!I890</f>
        <v>0</v>
      </c>
      <c r="K890" s="18">
        <f>'Sampling Data'!J890</f>
        <v>0</v>
      </c>
      <c r="L890" s="18">
        <f>'Sampling Data'!K890</f>
        <v>0</v>
      </c>
      <c r="M890" s="18">
        <f>'Sampling Data'!L890</f>
        <v>0</v>
      </c>
      <c r="N890" s="18">
        <f>'Sampling Data'!M890</f>
        <v>0</v>
      </c>
      <c r="O890" s="17">
        <f>'Sampling Data'!N890</f>
        <v>0</v>
      </c>
      <c r="P890" s="17">
        <f>'Sampling Data'!O890</f>
        <v>33</v>
      </c>
      <c r="Q890" s="17">
        <f>'Sampling Data'!P890</f>
        <v>562</v>
      </c>
      <c r="R890" s="17">
        <f>'Sampling Data'!AJ890</f>
        <v>0</v>
      </c>
      <c r="S890" s="111"/>
      <c r="T890" s="111"/>
      <c r="U890" s="112"/>
      <c r="V890" s="112"/>
      <c r="W890" s="111"/>
      <c r="X890" s="111"/>
      <c r="Y890" s="111"/>
      <c r="Z890" s="111"/>
      <c r="AA890" s="14"/>
      <c r="AB890" s="14"/>
      <c r="AC890" s="14"/>
      <c r="AD890" s="14"/>
      <c r="AE890" s="113" t="str">
        <f>IF(NOT(ISBLANK(Audit[[#This Row],[Audit Winning Candidate]])), Audit[[#This Row],[Audit Winning Candidate]]-Audit[[#This Row],[Winning Candidate]], "")</f>
        <v/>
      </c>
      <c r="AF890" s="17" t="str">
        <f>IF(NOT(ISBLANK(Audit[[#This Row],[Audit Losing Candidate]])), Audit[[#This Row],[Audit Losing Candidate]]-Audit[[#This Row],[Losing Candidate]], "")</f>
        <v/>
      </c>
      <c r="AG890" s="17" t="str">
        <f>IF(NOT(ISBLANK(Audit[[#This Row],[Audit Candidate 3]])), Audit[[#This Row],[Audit Candidate 3]]-Audit[[#This Row],[Candidate 3]], "")</f>
        <v/>
      </c>
      <c r="AH890" s="17" t="str">
        <f>IF(NOT(ISBLANK(Audit[[#This Row],[Audit Candidate 4]])),Audit[[#This Row],[Audit Candidate 4]]-Audit[[#This Row],[Candidate 4]], "")</f>
        <v/>
      </c>
      <c r="AI890" s="17" t="str">
        <f>IF(NOT(ISBLANK(Audit[[#This Row],[Audit Candidate 5]])), Audit[[#This Row],[Audit Candidate 5]]-Audit[[#This Row],[Candidate 5]], "")</f>
        <v/>
      </c>
      <c r="AJ890" s="17" t="str">
        <f>IF(NOT(ISBLANK(Audit[[#This Row],[Audit Candidate 6]])), Audit[[#This Row],[Audit Candidate 6]]-Audit[[#This Row],[Candidate 6]], "")</f>
        <v/>
      </c>
      <c r="AK890" s="17" t="str">
        <f>IF(NOT(ISBLANK(Audit[[#This Row],[Audit Candidate 7]])), Audit[[#This Row],[Audit Candidate 7]]-Audit[[#This Row],[Candidate 7]], "")</f>
        <v/>
      </c>
      <c r="AL890" s="17" t="str">
        <f>IF(NOT(ISBLANK(Audit[[#This Row],[Audit Candidate 8]])), Audit[[#This Row],[Audit Candidate 8]]-Audit[[#This Row],[Candidate 8]], "")</f>
        <v/>
      </c>
      <c r="AM890" s="17" t="str">
        <f>IF(NOT(ISBLANK(Audit[[#This Row],[Audit Candidate 9]])), Audit[[#This Row],[Audit Candidate 9]]-Audit[[#This Row],[Candidate 9]], "")</f>
        <v/>
      </c>
      <c r="AN890" s="17" t="str">
        <f>IF(NOT(ISBLANK(Audit[[#This Row],[Audit Candidate 10]])), Audit[[#This Row],[Audit Candidate 10]]-Audit[[#This Row],[Candidate 10]], "")</f>
        <v/>
      </c>
      <c r="AO890" s="17" t="str">
        <f>IF(NOT(ISBLANK(Audit[[#This Row],[Audit Candidate 11]])), Audit[[#This Row],[Audit Candidate 11]]-Audit[[#This Row],[Candidate 11]], "")</f>
        <v/>
      </c>
      <c r="AP890" s="17" t="str">
        <f>IF(NOT(ISBLANK(Audit[[#This Row],[Audit Candidate 12]])), Audit[[#This Row],[Audit Candidate 12]]-Audit[[#This Row],[Candidate 12]], "")</f>
        <v/>
      </c>
      <c r="AQ890" s="17">
        <f>SUMIF(Audit[[#This Row],[Difference Winner]:[Difference Candidate 12]], "&gt;0")</f>
        <v>0</v>
      </c>
      <c r="AR890" s="17">
        <f>SUM(Audit[[#This Row],[Difference Winner]:[Difference Candidate 12]])</f>
        <v>0</v>
      </c>
      <c r="AS890" s="17">
        <f>IF(Audit[[#This Row],[Times p Drawn - With Replacement]]&gt;0, IF(Audit[[#This Row],[Canceled Differences]]&lt;0, Audit[[#This Row],[Max Differences]]+ABS(Audit[[#This Row],[Canceled Differences]]), Audit[[#This Row],[Max Differences]]), 0)</f>
        <v>0</v>
      </c>
      <c r="AT890" s="17">
        <f>'Sampling Data'!AB890</f>
        <v>1.8630113732812766E-2</v>
      </c>
      <c r="AU890" s="17">
        <f>IF(
      SUM(Audit[[#This Row],[Audit Losing Candidate]:[Audit Candidate 12]])
      &lt;&gt;0,
      (Audit[[#This Row],[Winning Candidate]]-Audit[[#This Row],[Losing Candidate]]-(Audit[[#This Row],[Audit Winning Candidate]]-Audit[[#This Row],[Audit Losing Candidate]]))/(Audit[[#Totals],[Winning Candidate]]-Audit[[#Totals],[Losing Candidate]]),
      0
)</f>
        <v>0</v>
      </c>
      <c r="AV8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0" s="17">
        <f>IF(Audit[[#This Row],[Max Relative Error (ep)]] = 0, 0, Audit[[#This Row],[Max Relative Error (ep)]]/Audit[[#This Row],[Error Bound (up) - Max. possible relative overstatement]])</f>
        <v>0</v>
      </c>
      <c r="BH8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90" s="17">
        <f t="shared" si="14"/>
        <v>1</v>
      </c>
      <c r="BJ890" s="17">
        <f>PRODUCT($BI$5:BI890)</f>
        <v>0.16268999111874616</v>
      </c>
      <c r="BK890" s="19">
        <f>1 - Audit[[#This Row],[K-M P Value]]</f>
        <v>0.83731000888125384</v>
      </c>
      <c r="BL890" s="17" t="str">
        <f>IF(Audit[[#This Row],[K-M P Value]]&gt;1-'General Info'!$B$12,"Continue", "Stop")</f>
        <v>Continue</v>
      </c>
      <c r="BM890" s="22" t="b">
        <f>IF(Audit[[#This Row],[Status - Continue or stop audit]] = "Continue", TRUE, IF(BL889 = "Continue", TRUE, FALSE))</f>
        <v>1</v>
      </c>
      <c r="BN890" s="22"/>
    </row>
    <row r="891" spans="1:66" ht="15" hidden="1" customHeight="1" x14ac:dyDescent="0.35">
      <c r="A891" s="17" t="str">
        <f>'Sampling Data'!AI891</f>
        <v/>
      </c>
      <c r="B891" s="17" t="str">
        <f>'Sampling Data'!A891</f>
        <v>5610 AND J   (ED)</v>
      </c>
      <c r="C891" s="17">
        <f>'Sampling Data'!B891</f>
        <v>150</v>
      </c>
      <c r="D891" s="17">
        <f>'Sampling Data'!C891</f>
        <v>315</v>
      </c>
      <c r="E891" s="18">
        <f>'Sampling Data'!D891</f>
        <v>0</v>
      </c>
      <c r="F891" s="18">
        <f>'Sampling Data'!E891</f>
        <v>0</v>
      </c>
      <c r="G891" s="18">
        <f>'Sampling Data'!F891</f>
        <v>0</v>
      </c>
      <c r="H891" s="18">
        <f>'Sampling Data'!G891</f>
        <v>0</v>
      </c>
      <c r="I891" s="18">
        <f>'Sampling Data'!H891</f>
        <v>0</v>
      </c>
      <c r="J891" s="18">
        <f>'Sampling Data'!I891</f>
        <v>0</v>
      </c>
      <c r="K891" s="18">
        <f>'Sampling Data'!J891</f>
        <v>0</v>
      </c>
      <c r="L891" s="18">
        <f>'Sampling Data'!K891</f>
        <v>0</v>
      </c>
      <c r="M891" s="18">
        <f>'Sampling Data'!L891</f>
        <v>0</v>
      </c>
      <c r="N891" s="18">
        <f>'Sampling Data'!M891</f>
        <v>0</v>
      </c>
      <c r="O891" s="17">
        <f>'Sampling Data'!N891</f>
        <v>0</v>
      </c>
      <c r="P891" s="17">
        <f>'Sampling Data'!O891</f>
        <v>40</v>
      </c>
      <c r="Q891" s="17">
        <f>'Sampling Data'!P891</f>
        <v>505</v>
      </c>
      <c r="R891" s="17">
        <f>'Sampling Data'!AJ891</f>
        <v>0</v>
      </c>
      <c r="S891" s="111"/>
      <c r="T891" s="111"/>
      <c r="U891" s="112"/>
      <c r="V891" s="112"/>
      <c r="W891" s="111"/>
      <c r="X891" s="111"/>
      <c r="Y891" s="111"/>
      <c r="Z891" s="111"/>
      <c r="AA891" s="14"/>
      <c r="AB891" s="14"/>
      <c r="AC891" s="14"/>
      <c r="AD891" s="14"/>
      <c r="AE891" s="113" t="str">
        <f>IF(NOT(ISBLANK(Audit[[#This Row],[Audit Winning Candidate]])), Audit[[#This Row],[Audit Winning Candidate]]-Audit[[#This Row],[Winning Candidate]], "")</f>
        <v/>
      </c>
      <c r="AF891" s="17" t="str">
        <f>IF(NOT(ISBLANK(Audit[[#This Row],[Audit Losing Candidate]])), Audit[[#This Row],[Audit Losing Candidate]]-Audit[[#This Row],[Losing Candidate]], "")</f>
        <v/>
      </c>
      <c r="AG891" s="17" t="str">
        <f>IF(NOT(ISBLANK(Audit[[#This Row],[Audit Candidate 3]])), Audit[[#This Row],[Audit Candidate 3]]-Audit[[#This Row],[Candidate 3]], "")</f>
        <v/>
      </c>
      <c r="AH891" s="17" t="str">
        <f>IF(NOT(ISBLANK(Audit[[#This Row],[Audit Candidate 4]])),Audit[[#This Row],[Audit Candidate 4]]-Audit[[#This Row],[Candidate 4]], "")</f>
        <v/>
      </c>
      <c r="AI891" s="17" t="str">
        <f>IF(NOT(ISBLANK(Audit[[#This Row],[Audit Candidate 5]])), Audit[[#This Row],[Audit Candidate 5]]-Audit[[#This Row],[Candidate 5]], "")</f>
        <v/>
      </c>
      <c r="AJ891" s="17" t="str">
        <f>IF(NOT(ISBLANK(Audit[[#This Row],[Audit Candidate 6]])), Audit[[#This Row],[Audit Candidate 6]]-Audit[[#This Row],[Candidate 6]], "")</f>
        <v/>
      </c>
      <c r="AK891" s="17" t="str">
        <f>IF(NOT(ISBLANK(Audit[[#This Row],[Audit Candidate 7]])), Audit[[#This Row],[Audit Candidate 7]]-Audit[[#This Row],[Candidate 7]], "")</f>
        <v/>
      </c>
      <c r="AL891" s="17" t="str">
        <f>IF(NOT(ISBLANK(Audit[[#This Row],[Audit Candidate 8]])), Audit[[#This Row],[Audit Candidate 8]]-Audit[[#This Row],[Candidate 8]], "")</f>
        <v/>
      </c>
      <c r="AM891" s="17" t="str">
        <f>IF(NOT(ISBLANK(Audit[[#This Row],[Audit Candidate 9]])), Audit[[#This Row],[Audit Candidate 9]]-Audit[[#This Row],[Candidate 9]], "")</f>
        <v/>
      </c>
      <c r="AN891" s="17" t="str">
        <f>IF(NOT(ISBLANK(Audit[[#This Row],[Audit Candidate 10]])), Audit[[#This Row],[Audit Candidate 10]]-Audit[[#This Row],[Candidate 10]], "")</f>
        <v/>
      </c>
      <c r="AO891" s="17" t="str">
        <f>IF(NOT(ISBLANK(Audit[[#This Row],[Audit Candidate 11]])), Audit[[#This Row],[Audit Candidate 11]]-Audit[[#This Row],[Candidate 11]], "")</f>
        <v/>
      </c>
      <c r="AP891" s="17" t="str">
        <f>IF(NOT(ISBLANK(Audit[[#This Row],[Audit Candidate 12]])), Audit[[#This Row],[Audit Candidate 12]]-Audit[[#This Row],[Candidate 12]], "")</f>
        <v/>
      </c>
      <c r="AQ891" s="17">
        <f>SUMIF(Audit[[#This Row],[Difference Winner]:[Difference Candidate 12]], "&gt;0")</f>
        <v>0</v>
      </c>
      <c r="AR891" s="17">
        <f>SUM(Audit[[#This Row],[Difference Winner]:[Difference Candidate 12]])</f>
        <v>0</v>
      </c>
      <c r="AS891" s="17">
        <f>IF(Audit[[#This Row],[Times p Drawn - With Replacement]]&gt;0, IF(Audit[[#This Row],[Canceled Differences]]&lt;0, Audit[[#This Row],[Max Differences]]+ABS(Audit[[#This Row],[Canceled Differences]]), Audit[[#This Row],[Max Differences]]), 0)</f>
        <v>0</v>
      </c>
      <c r="AT891" s="17">
        <f>'Sampling Data'!AB891</f>
        <v>1.4428789679171617E-2</v>
      </c>
      <c r="AU891" s="17">
        <f>IF(
      SUM(Audit[[#This Row],[Audit Losing Candidate]:[Audit Candidate 12]])
      &lt;&gt;0,
      (Audit[[#This Row],[Winning Candidate]]-Audit[[#This Row],[Losing Candidate]]-(Audit[[#This Row],[Audit Winning Candidate]]-Audit[[#This Row],[Audit Losing Candidate]]))/(Audit[[#Totals],[Winning Candidate]]-Audit[[#Totals],[Losing Candidate]]),
      0
)</f>
        <v>0</v>
      </c>
      <c r="AV8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1" s="17">
        <f>IF(Audit[[#This Row],[Max Relative Error (ep)]] = 0, 0, Audit[[#This Row],[Max Relative Error (ep)]]/Audit[[#This Row],[Error Bound (up) - Max. possible relative overstatement]])</f>
        <v>0</v>
      </c>
      <c r="BH8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91" s="17">
        <f t="shared" si="14"/>
        <v>1</v>
      </c>
      <c r="BJ891" s="17">
        <f>PRODUCT($BI$5:BI891)</f>
        <v>0.16268999111874616</v>
      </c>
      <c r="BK891" s="19">
        <f>1 - Audit[[#This Row],[K-M P Value]]</f>
        <v>0.83731000888125384</v>
      </c>
      <c r="BL891" s="17" t="str">
        <f>IF(Audit[[#This Row],[K-M P Value]]&gt;1-'General Info'!$B$12,"Continue", "Stop")</f>
        <v>Continue</v>
      </c>
      <c r="BM891" s="22" t="b">
        <f>IF(Audit[[#This Row],[Status - Continue or stop audit]] = "Continue", TRUE, IF(BL890 = "Continue", TRUE, FALSE))</f>
        <v>1</v>
      </c>
      <c r="BN891" s="22"/>
    </row>
    <row r="892" spans="1:66" ht="15" hidden="1" customHeight="1" x14ac:dyDescent="0.35">
      <c r="A892" s="17" t="str">
        <f>'Sampling Data'!AI892</f>
        <v/>
      </c>
      <c r="B892" s="17" t="str">
        <f>'Sampling Data'!A892</f>
        <v>5611 AND K   (ED)</v>
      </c>
      <c r="C892" s="17">
        <f>'Sampling Data'!B892</f>
        <v>289</v>
      </c>
      <c r="D892" s="17">
        <f>'Sampling Data'!C892</f>
        <v>416</v>
      </c>
      <c r="E892" s="18">
        <f>'Sampling Data'!D892</f>
        <v>0</v>
      </c>
      <c r="F892" s="18">
        <f>'Sampling Data'!E892</f>
        <v>0</v>
      </c>
      <c r="G892" s="18">
        <f>'Sampling Data'!F892</f>
        <v>0</v>
      </c>
      <c r="H892" s="18">
        <f>'Sampling Data'!G892</f>
        <v>0</v>
      </c>
      <c r="I892" s="18">
        <f>'Sampling Data'!H892</f>
        <v>0</v>
      </c>
      <c r="J892" s="18">
        <f>'Sampling Data'!I892</f>
        <v>0</v>
      </c>
      <c r="K892" s="18">
        <f>'Sampling Data'!J892</f>
        <v>0</v>
      </c>
      <c r="L892" s="18">
        <f>'Sampling Data'!K892</f>
        <v>0</v>
      </c>
      <c r="M892" s="18">
        <f>'Sampling Data'!L892</f>
        <v>0</v>
      </c>
      <c r="N892" s="18">
        <f>'Sampling Data'!M892</f>
        <v>0</v>
      </c>
      <c r="O892" s="17">
        <f>'Sampling Data'!N892</f>
        <v>0</v>
      </c>
      <c r="P892" s="17">
        <f>'Sampling Data'!O892</f>
        <v>55</v>
      </c>
      <c r="Q892" s="17">
        <f>'Sampling Data'!P892</f>
        <v>760</v>
      </c>
      <c r="R892" s="17">
        <f>'Sampling Data'!AJ892</f>
        <v>0</v>
      </c>
      <c r="S892" s="111"/>
      <c r="T892" s="111"/>
      <c r="U892" s="112"/>
      <c r="V892" s="112"/>
      <c r="W892" s="111"/>
      <c r="X892" s="111"/>
      <c r="Y892" s="111"/>
      <c r="Z892" s="111"/>
      <c r="AA892" s="14"/>
      <c r="AB892" s="14"/>
      <c r="AC892" s="14"/>
      <c r="AD892" s="14"/>
      <c r="AE892" s="113" t="str">
        <f>IF(NOT(ISBLANK(Audit[[#This Row],[Audit Winning Candidate]])), Audit[[#This Row],[Audit Winning Candidate]]-Audit[[#This Row],[Winning Candidate]], "")</f>
        <v/>
      </c>
      <c r="AF892" s="17" t="str">
        <f>IF(NOT(ISBLANK(Audit[[#This Row],[Audit Losing Candidate]])), Audit[[#This Row],[Audit Losing Candidate]]-Audit[[#This Row],[Losing Candidate]], "")</f>
        <v/>
      </c>
      <c r="AG892" s="17" t="str">
        <f>IF(NOT(ISBLANK(Audit[[#This Row],[Audit Candidate 3]])), Audit[[#This Row],[Audit Candidate 3]]-Audit[[#This Row],[Candidate 3]], "")</f>
        <v/>
      </c>
      <c r="AH892" s="17" t="str">
        <f>IF(NOT(ISBLANK(Audit[[#This Row],[Audit Candidate 4]])),Audit[[#This Row],[Audit Candidate 4]]-Audit[[#This Row],[Candidate 4]], "")</f>
        <v/>
      </c>
      <c r="AI892" s="17" t="str">
        <f>IF(NOT(ISBLANK(Audit[[#This Row],[Audit Candidate 5]])), Audit[[#This Row],[Audit Candidate 5]]-Audit[[#This Row],[Candidate 5]], "")</f>
        <v/>
      </c>
      <c r="AJ892" s="17" t="str">
        <f>IF(NOT(ISBLANK(Audit[[#This Row],[Audit Candidate 6]])), Audit[[#This Row],[Audit Candidate 6]]-Audit[[#This Row],[Candidate 6]], "")</f>
        <v/>
      </c>
      <c r="AK892" s="17" t="str">
        <f>IF(NOT(ISBLANK(Audit[[#This Row],[Audit Candidate 7]])), Audit[[#This Row],[Audit Candidate 7]]-Audit[[#This Row],[Candidate 7]], "")</f>
        <v/>
      </c>
      <c r="AL892" s="17" t="str">
        <f>IF(NOT(ISBLANK(Audit[[#This Row],[Audit Candidate 8]])), Audit[[#This Row],[Audit Candidate 8]]-Audit[[#This Row],[Candidate 8]], "")</f>
        <v/>
      </c>
      <c r="AM892" s="17" t="str">
        <f>IF(NOT(ISBLANK(Audit[[#This Row],[Audit Candidate 9]])), Audit[[#This Row],[Audit Candidate 9]]-Audit[[#This Row],[Candidate 9]], "")</f>
        <v/>
      </c>
      <c r="AN892" s="17" t="str">
        <f>IF(NOT(ISBLANK(Audit[[#This Row],[Audit Candidate 10]])), Audit[[#This Row],[Audit Candidate 10]]-Audit[[#This Row],[Candidate 10]], "")</f>
        <v/>
      </c>
      <c r="AO892" s="17" t="str">
        <f>IF(NOT(ISBLANK(Audit[[#This Row],[Audit Candidate 11]])), Audit[[#This Row],[Audit Candidate 11]]-Audit[[#This Row],[Candidate 11]], "")</f>
        <v/>
      </c>
      <c r="AP892" s="17" t="str">
        <f>IF(NOT(ISBLANK(Audit[[#This Row],[Audit Candidate 12]])), Audit[[#This Row],[Audit Candidate 12]]-Audit[[#This Row],[Candidate 12]], "")</f>
        <v/>
      </c>
      <c r="AQ892" s="17">
        <f>SUMIF(Audit[[#This Row],[Difference Winner]:[Difference Candidate 12]], "&gt;0")</f>
        <v>0</v>
      </c>
      <c r="AR892" s="17">
        <f>SUM(Audit[[#This Row],[Difference Winner]:[Difference Candidate 12]])</f>
        <v>0</v>
      </c>
      <c r="AS892" s="17">
        <f>IF(Audit[[#This Row],[Times p Drawn - With Replacement]]&gt;0, IF(Audit[[#This Row],[Canceled Differences]]&lt;0, Audit[[#This Row],[Max Differences]]+ABS(Audit[[#This Row],[Canceled Differences]]), Audit[[#This Row],[Max Differences]]), 0)</f>
        <v>0</v>
      </c>
      <c r="AT892" s="17">
        <f>'Sampling Data'!AB892</f>
        <v>2.6863011373281277E-2</v>
      </c>
      <c r="AU892" s="17">
        <f>IF(
      SUM(Audit[[#This Row],[Audit Losing Candidate]:[Audit Candidate 12]])
      &lt;&gt;0,
      (Audit[[#This Row],[Winning Candidate]]-Audit[[#This Row],[Losing Candidate]]-(Audit[[#This Row],[Audit Winning Candidate]]-Audit[[#This Row],[Audit Losing Candidate]]))/(Audit[[#Totals],[Winning Candidate]]-Audit[[#Totals],[Losing Candidate]]),
      0
)</f>
        <v>0</v>
      </c>
      <c r="AV8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2" s="17">
        <f>IF(Audit[[#This Row],[Max Relative Error (ep)]] = 0, 0, Audit[[#This Row],[Max Relative Error (ep)]]/Audit[[#This Row],[Error Bound (up) - Max. possible relative overstatement]])</f>
        <v>0</v>
      </c>
      <c r="BH8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92" s="17">
        <f t="shared" si="14"/>
        <v>1</v>
      </c>
      <c r="BJ892" s="17">
        <f>PRODUCT($BI$5:BI892)</f>
        <v>0.16268999111874616</v>
      </c>
      <c r="BK892" s="19">
        <f>1 - Audit[[#This Row],[K-M P Value]]</f>
        <v>0.83731000888125384</v>
      </c>
      <c r="BL892" s="17" t="str">
        <f>IF(Audit[[#This Row],[K-M P Value]]&gt;1-'General Info'!$B$12,"Continue", "Stop")</f>
        <v>Continue</v>
      </c>
      <c r="BM892" s="22" t="b">
        <f>IF(Audit[[#This Row],[Status - Continue or stop audit]] = "Continue", TRUE, IF(BL891 = "Continue", TRUE, FALSE))</f>
        <v>1</v>
      </c>
      <c r="BN892" s="22"/>
    </row>
    <row r="893" spans="1:66" ht="15" hidden="1" customHeight="1" x14ac:dyDescent="0.35">
      <c r="A893" s="17" t="str">
        <f>'Sampling Data'!AI893</f>
        <v/>
      </c>
      <c r="B893" s="17" t="str">
        <f>'Sampling Data'!A893</f>
        <v>5612 AND L   (ED)</v>
      </c>
      <c r="C893" s="17">
        <f>'Sampling Data'!B893</f>
        <v>237</v>
      </c>
      <c r="D893" s="17">
        <f>'Sampling Data'!C893</f>
        <v>425</v>
      </c>
      <c r="E893" s="18">
        <f>'Sampling Data'!D893</f>
        <v>0</v>
      </c>
      <c r="F893" s="18">
        <f>'Sampling Data'!E893</f>
        <v>0</v>
      </c>
      <c r="G893" s="18">
        <f>'Sampling Data'!F893</f>
        <v>0</v>
      </c>
      <c r="H893" s="18">
        <f>'Sampling Data'!G893</f>
        <v>0</v>
      </c>
      <c r="I893" s="18">
        <f>'Sampling Data'!H893</f>
        <v>0</v>
      </c>
      <c r="J893" s="18">
        <f>'Sampling Data'!I893</f>
        <v>0</v>
      </c>
      <c r="K893" s="18">
        <f>'Sampling Data'!J893</f>
        <v>0</v>
      </c>
      <c r="L893" s="18">
        <f>'Sampling Data'!K893</f>
        <v>0</v>
      </c>
      <c r="M893" s="18">
        <f>'Sampling Data'!L893</f>
        <v>0</v>
      </c>
      <c r="N893" s="18">
        <f>'Sampling Data'!M893</f>
        <v>0</v>
      </c>
      <c r="O893" s="17">
        <f>'Sampling Data'!N893</f>
        <v>0</v>
      </c>
      <c r="P893" s="17">
        <f>'Sampling Data'!O893</f>
        <v>46</v>
      </c>
      <c r="Q893" s="17">
        <f>'Sampling Data'!P893</f>
        <v>708</v>
      </c>
      <c r="R893" s="17">
        <f>'Sampling Data'!AJ893</f>
        <v>0</v>
      </c>
      <c r="S893" s="111"/>
      <c r="T893" s="111"/>
      <c r="U893" s="112"/>
      <c r="V893" s="112"/>
      <c r="W893" s="111"/>
      <c r="X893" s="111"/>
      <c r="Y893" s="111"/>
      <c r="Z893" s="111"/>
      <c r="AA893" s="14"/>
      <c r="AB893" s="14"/>
      <c r="AC893" s="14"/>
      <c r="AD893" s="14"/>
      <c r="AE893" s="113" t="str">
        <f>IF(NOT(ISBLANK(Audit[[#This Row],[Audit Winning Candidate]])), Audit[[#This Row],[Audit Winning Candidate]]-Audit[[#This Row],[Winning Candidate]], "")</f>
        <v/>
      </c>
      <c r="AF893" s="17" t="str">
        <f>IF(NOT(ISBLANK(Audit[[#This Row],[Audit Losing Candidate]])), Audit[[#This Row],[Audit Losing Candidate]]-Audit[[#This Row],[Losing Candidate]], "")</f>
        <v/>
      </c>
      <c r="AG893" s="17" t="str">
        <f>IF(NOT(ISBLANK(Audit[[#This Row],[Audit Candidate 3]])), Audit[[#This Row],[Audit Candidate 3]]-Audit[[#This Row],[Candidate 3]], "")</f>
        <v/>
      </c>
      <c r="AH893" s="17" t="str">
        <f>IF(NOT(ISBLANK(Audit[[#This Row],[Audit Candidate 4]])),Audit[[#This Row],[Audit Candidate 4]]-Audit[[#This Row],[Candidate 4]], "")</f>
        <v/>
      </c>
      <c r="AI893" s="17" t="str">
        <f>IF(NOT(ISBLANK(Audit[[#This Row],[Audit Candidate 5]])), Audit[[#This Row],[Audit Candidate 5]]-Audit[[#This Row],[Candidate 5]], "")</f>
        <v/>
      </c>
      <c r="AJ893" s="17" t="str">
        <f>IF(NOT(ISBLANK(Audit[[#This Row],[Audit Candidate 6]])), Audit[[#This Row],[Audit Candidate 6]]-Audit[[#This Row],[Candidate 6]], "")</f>
        <v/>
      </c>
      <c r="AK893" s="17" t="str">
        <f>IF(NOT(ISBLANK(Audit[[#This Row],[Audit Candidate 7]])), Audit[[#This Row],[Audit Candidate 7]]-Audit[[#This Row],[Candidate 7]], "")</f>
        <v/>
      </c>
      <c r="AL893" s="17" t="str">
        <f>IF(NOT(ISBLANK(Audit[[#This Row],[Audit Candidate 8]])), Audit[[#This Row],[Audit Candidate 8]]-Audit[[#This Row],[Candidate 8]], "")</f>
        <v/>
      </c>
      <c r="AM893" s="17" t="str">
        <f>IF(NOT(ISBLANK(Audit[[#This Row],[Audit Candidate 9]])), Audit[[#This Row],[Audit Candidate 9]]-Audit[[#This Row],[Candidate 9]], "")</f>
        <v/>
      </c>
      <c r="AN893" s="17" t="str">
        <f>IF(NOT(ISBLANK(Audit[[#This Row],[Audit Candidate 10]])), Audit[[#This Row],[Audit Candidate 10]]-Audit[[#This Row],[Candidate 10]], "")</f>
        <v/>
      </c>
      <c r="AO893" s="17" t="str">
        <f>IF(NOT(ISBLANK(Audit[[#This Row],[Audit Candidate 11]])), Audit[[#This Row],[Audit Candidate 11]]-Audit[[#This Row],[Candidate 11]], "")</f>
        <v/>
      </c>
      <c r="AP893" s="17" t="str">
        <f>IF(NOT(ISBLANK(Audit[[#This Row],[Audit Candidate 12]])), Audit[[#This Row],[Audit Candidate 12]]-Audit[[#This Row],[Candidate 12]], "")</f>
        <v/>
      </c>
      <c r="AQ893" s="17">
        <f>SUMIF(Audit[[#This Row],[Difference Winner]:[Difference Candidate 12]], "&gt;0")</f>
        <v>0</v>
      </c>
      <c r="AR893" s="17">
        <f>SUM(Audit[[#This Row],[Difference Winner]:[Difference Candidate 12]])</f>
        <v>0</v>
      </c>
      <c r="AS893" s="17">
        <f>IF(Audit[[#This Row],[Times p Drawn - With Replacement]]&gt;0, IF(Audit[[#This Row],[Canceled Differences]]&lt;0, Audit[[#This Row],[Max Differences]]+ABS(Audit[[#This Row],[Canceled Differences]]), Audit[[#This Row],[Max Differences]]), 0)</f>
        <v>0</v>
      </c>
      <c r="AT893" s="17">
        <f>'Sampling Data'!AB893</f>
        <v>2.2067560685791885E-2</v>
      </c>
      <c r="AU893" s="17">
        <f>IF(
      SUM(Audit[[#This Row],[Audit Losing Candidate]:[Audit Candidate 12]])
      &lt;&gt;0,
      (Audit[[#This Row],[Winning Candidate]]-Audit[[#This Row],[Losing Candidate]]-(Audit[[#This Row],[Audit Winning Candidate]]-Audit[[#This Row],[Audit Losing Candidate]]))/(Audit[[#Totals],[Winning Candidate]]-Audit[[#Totals],[Losing Candidate]]),
      0
)</f>
        <v>0</v>
      </c>
      <c r="AV8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3" s="17">
        <f>IF(Audit[[#This Row],[Max Relative Error (ep)]] = 0, 0, Audit[[#This Row],[Max Relative Error (ep)]]/Audit[[#This Row],[Error Bound (up) - Max. possible relative overstatement]])</f>
        <v>0</v>
      </c>
      <c r="BH8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93" s="17">
        <f t="shared" si="14"/>
        <v>1</v>
      </c>
      <c r="BJ893" s="17">
        <f>PRODUCT($BI$5:BI893)</f>
        <v>0.16268999111874616</v>
      </c>
      <c r="BK893" s="19">
        <f>1 - Audit[[#This Row],[K-M P Value]]</f>
        <v>0.83731000888125384</v>
      </c>
      <c r="BL893" s="17" t="str">
        <f>IF(Audit[[#This Row],[K-M P Value]]&gt;1-'General Info'!$B$12,"Continue", "Stop")</f>
        <v>Continue</v>
      </c>
      <c r="BM893" s="22" t="b">
        <f>IF(Audit[[#This Row],[Status - Continue or stop audit]] = "Continue", TRUE, IF(BL892 = "Continue", TRUE, FALSE))</f>
        <v>1</v>
      </c>
      <c r="BN893" s="22"/>
    </row>
    <row r="894" spans="1:66" ht="15" hidden="1" customHeight="1" x14ac:dyDescent="0.35">
      <c r="A894" s="17" t="str">
        <f>'Sampling Data'!AI894</f>
        <v/>
      </c>
      <c r="B894" s="17" t="str">
        <f>'Sampling Data'!A894</f>
        <v>5613 AND M   (ED)</v>
      </c>
      <c r="C894" s="17">
        <f>'Sampling Data'!B894</f>
        <v>140</v>
      </c>
      <c r="D894" s="17">
        <f>'Sampling Data'!C894</f>
        <v>257</v>
      </c>
      <c r="E894" s="18">
        <f>'Sampling Data'!D894</f>
        <v>0</v>
      </c>
      <c r="F894" s="18">
        <f>'Sampling Data'!E894</f>
        <v>0</v>
      </c>
      <c r="G894" s="18">
        <f>'Sampling Data'!F894</f>
        <v>0</v>
      </c>
      <c r="H894" s="18">
        <f>'Sampling Data'!G894</f>
        <v>0</v>
      </c>
      <c r="I894" s="18">
        <f>'Sampling Data'!H894</f>
        <v>0</v>
      </c>
      <c r="J894" s="18">
        <f>'Sampling Data'!I894</f>
        <v>0</v>
      </c>
      <c r="K894" s="18">
        <f>'Sampling Data'!J894</f>
        <v>0</v>
      </c>
      <c r="L894" s="18">
        <f>'Sampling Data'!K894</f>
        <v>0</v>
      </c>
      <c r="M894" s="18">
        <f>'Sampling Data'!L894</f>
        <v>0</v>
      </c>
      <c r="N894" s="18">
        <f>'Sampling Data'!M894</f>
        <v>0</v>
      </c>
      <c r="O894" s="17">
        <f>'Sampling Data'!N894</f>
        <v>0</v>
      </c>
      <c r="P894" s="17">
        <f>'Sampling Data'!O894</f>
        <v>33</v>
      </c>
      <c r="Q894" s="17">
        <f>'Sampling Data'!P894</f>
        <v>430</v>
      </c>
      <c r="R894" s="17">
        <f>'Sampling Data'!AJ894</f>
        <v>0</v>
      </c>
      <c r="S894" s="111"/>
      <c r="T894" s="111"/>
      <c r="U894" s="112"/>
      <c r="V894" s="112"/>
      <c r="W894" s="111"/>
      <c r="X894" s="111"/>
      <c r="Y894" s="111"/>
      <c r="Z894" s="111"/>
      <c r="AA894" s="14"/>
      <c r="AB894" s="14"/>
      <c r="AC894" s="14"/>
      <c r="AD894" s="14"/>
      <c r="AE894" s="113" t="str">
        <f>IF(NOT(ISBLANK(Audit[[#This Row],[Audit Winning Candidate]])), Audit[[#This Row],[Audit Winning Candidate]]-Audit[[#This Row],[Winning Candidate]], "")</f>
        <v/>
      </c>
      <c r="AF894" s="17" t="str">
        <f>IF(NOT(ISBLANK(Audit[[#This Row],[Audit Losing Candidate]])), Audit[[#This Row],[Audit Losing Candidate]]-Audit[[#This Row],[Losing Candidate]], "")</f>
        <v/>
      </c>
      <c r="AG894" s="17" t="str">
        <f>IF(NOT(ISBLANK(Audit[[#This Row],[Audit Candidate 3]])), Audit[[#This Row],[Audit Candidate 3]]-Audit[[#This Row],[Candidate 3]], "")</f>
        <v/>
      </c>
      <c r="AH894" s="17" t="str">
        <f>IF(NOT(ISBLANK(Audit[[#This Row],[Audit Candidate 4]])),Audit[[#This Row],[Audit Candidate 4]]-Audit[[#This Row],[Candidate 4]], "")</f>
        <v/>
      </c>
      <c r="AI894" s="17" t="str">
        <f>IF(NOT(ISBLANK(Audit[[#This Row],[Audit Candidate 5]])), Audit[[#This Row],[Audit Candidate 5]]-Audit[[#This Row],[Candidate 5]], "")</f>
        <v/>
      </c>
      <c r="AJ894" s="17" t="str">
        <f>IF(NOT(ISBLANK(Audit[[#This Row],[Audit Candidate 6]])), Audit[[#This Row],[Audit Candidate 6]]-Audit[[#This Row],[Candidate 6]], "")</f>
        <v/>
      </c>
      <c r="AK894" s="17" t="str">
        <f>IF(NOT(ISBLANK(Audit[[#This Row],[Audit Candidate 7]])), Audit[[#This Row],[Audit Candidate 7]]-Audit[[#This Row],[Candidate 7]], "")</f>
        <v/>
      </c>
      <c r="AL894" s="17" t="str">
        <f>IF(NOT(ISBLANK(Audit[[#This Row],[Audit Candidate 8]])), Audit[[#This Row],[Audit Candidate 8]]-Audit[[#This Row],[Candidate 8]], "")</f>
        <v/>
      </c>
      <c r="AM894" s="17" t="str">
        <f>IF(NOT(ISBLANK(Audit[[#This Row],[Audit Candidate 9]])), Audit[[#This Row],[Audit Candidate 9]]-Audit[[#This Row],[Candidate 9]], "")</f>
        <v/>
      </c>
      <c r="AN894" s="17" t="str">
        <f>IF(NOT(ISBLANK(Audit[[#This Row],[Audit Candidate 10]])), Audit[[#This Row],[Audit Candidate 10]]-Audit[[#This Row],[Candidate 10]], "")</f>
        <v/>
      </c>
      <c r="AO894" s="17" t="str">
        <f>IF(NOT(ISBLANK(Audit[[#This Row],[Audit Candidate 11]])), Audit[[#This Row],[Audit Candidate 11]]-Audit[[#This Row],[Candidate 11]], "")</f>
        <v/>
      </c>
      <c r="AP894" s="17" t="str">
        <f>IF(NOT(ISBLANK(Audit[[#This Row],[Audit Candidate 12]])), Audit[[#This Row],[Audit Candidate 12]]-Audit[[#This Row],[Candidate 12]], "")</f>
        <v/>
      </c>
      <c r="AQ894" s="17">
        <f>SUMIF(Audit[[#This Row],[Difference Winner]:[Difference Candidate 12]], "&gt;0")</f>
        <v>0</v>
      </c>
      <c r="AR894" s="17">
        <f>SUM(Audit[[#This Row],[Difference Winner]:[Difference Candidate 12]])</f>
        <v>0</v>
      </c>
      <c r="AS894" s="17">
        <f>IF(Audit[[#This Row],[Times p Drawn - With Replacement]]&gt;0, IF(Audit[[#This Row],[Canceled Differences]]&lt;0, Audit[[#This Row],[Max Differences]]+ABS(Audit[[#This Row],[Canceled Differences]]), Audit[[#This Row],[Max Differences]]), 0)</f>
        <v>0</v>
      </c>
      <c r="AT894" s="17">
        <f>'Sampling Data'!AB894</f>
        <v>1.3282974028178577E-2</v>
      </c>
      <c r="AU894" s="17">
        <f>IF(
      SUM(Audit[[#This Row],[Audit Losing Candidate]:[Audit Candidate 12]])
      &lt;&gt;0,
      (Audit[[#This Row],[Winning Candidate]]-Audit[[#This Row],[Losing Candidate]]-(Audit[[#This Row],[Audit Winning Candidate]]-Audit[[#This Row],[Audit Losing Candidate]]))/(Audit[[#Totals],[Winning Candidate]]-Audit[[#Totals],[Losing Candidate]]),
      0
)</f>
        <v>0</v>
      </c>
      <c r="AV8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4" s="17">
        <f>IF(Audit[[#This Row],[Max Relative Error (ep)]] = 0, 0, Audit[[#This Row],[Max Relative Error (ep)]]/Audit[[#This Row],[Error Bound (up) - Max. possible relative overstatement]])</f>
        <v>0</v>
      </c>
      <c r="BH8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94" s="17">
        <f t="shared" si="14"/>
        <v>1</v>
      </c>
      <c r="BJ894" s="17">
        <f>PRODUCT($BI$5:BI894)</f>
        <v>0.16268999111874616</v>
      </c>
      <c r="BK894" s="19">
        <f>1 - Audit[[#This Row],[K-M P Value]]</f>
        <v>0.83731000888125384</v>
      </c>
      <c r="BL894" s="17" t="str">
        <f>IF(Audit[[#This Row],[K-M P Value]]&gt;1-'General Info'!$B$12,"Continue", "Stop")</f>
        <v>Continue</v>
      </c>
      <c r="BM894" s="22" t="b">
        <f>IF(Audit[[#This Row],[Status - Continue or stop audit]] = "Continue", TRUE, IF(BL893 = "Continue", TRUE, FALSE))</f>
        <v>1</v>
      </c>
      <c r="BN894" s="22"/>
    </row>
    <row r="895" spans="1:66" ht="15" hidden="1" customHeight="1" x14ac:dyDescent="0.35">
      <c r="A895" s="17" t="str">
        <f>'Sampling Data'!AI895</f>
        <v/>
      </c>
      <c r="B895" s="17" t="str">
        <f>'Sampling Data'!A895</f>
        <v>5614 AND N   (ED)</v>
      </c>
      <c r="C895" s="17">
        <f>'Sampling Data'!B895</f>
        <v>277</v>
      </c>
      <c r="D895" s="17">
        <f>'Sampling Data'!C895</f>
        <v>363</v>
      </c>
      <c r="E895" s="18">
        <f>'Sampling Data'!D895</f>
        <v>0</v>
      </c>
      <c r="F895" s="18">
        <f>'Sampling Data'!E895</f>
        <v>0</v>
      </c>
      <c r="G895" s="18">
        <f>'Sampling Data'!F895</f>
        <v>0</v>
      </c>
      <c r="H895" s="18">
        <f>'Sampling Data'!G895</f>
        <v>0</v>
      </c>
      <c r="I895" s="18">
        <f>'Sampling Data'!H895</f>
        <v>0</v>
      </c>
      <c r="J895" s="18">
        <f>'Sampling Data'!I895</f>
        <v>0</v>
      </c>
      <c r="K895" s="18">
        <f>'Sampling Data'!J895</f>
        <v>0</v>
      </c>
      <c r="L895" s="18">
        <f>'Sampling Data'!K895</f>
        <v>0</v>
      </c>
      <c r="M895" s="18">
        <f>'Sampling Data'!L895</f>
        <v>0</v>
      </c>
      <c r="N895" s="18">
        <f>'Sampling Data'!M895</f>
        <v>0</v>
      </c>
      <c r="O895" s="17">
        <f>'Sampling Data'!N895</f>
        <v>0</v>
      </c>
      <c r="P895" s="17">
        <f>'Sampling Data'!O895</f>
        <v>45</v>
      </c>
      <c r="Q895" s="17">
        <f>'Sampling Data'!P895</f>
        <v>685</v>
      </c>
      <c r="R895" s="17">
        <f>'Sampling Data'!AJ895</f>
        <v>0</v>
      </c>
      <c r="S895" s="111"/>
      <c r="T895" s="111"/>
      <c r="U895" s="112"/>
      <c r="V895" s="112"/>
      <c r="W895" s="111"/>
      <c r="X895" s="111"/>
      <c r="Y895" s="111"/>
      <c r="Z895" s="111"/>
      <c r="AA895" s="14"/>
      <c r="AB895" s="14"/>
      <c r="AC895" s="14"/>
      <c r="AD895" s="14"/>
      <c r="AE895" s="113" t="str">
        <f>IF(NOT(ISBLANK(Audit[[#This Row],[Audit Winning Candidate]])), Audit[[#This Row],[Audit Winning Candidate]]-Audit[[#This Row],[Winning Candidate]], "")</f>
        <v/>
      </c>
      <c r="AF895" s="17" t="str">
        <f>IF(NOT(ISBLANK(Audit[[#This Row],[Audit Losing Candidate]])), Audit[[#This Row],[Audit Losing Candidate]]-Audit[[#This Row],[Losing Candidate]], "")</f>
        <v/>
      </c>
      <c r="AG895" s="17" t="str">
        <f>IF(NOT(ISBLANK(Audit[[#This Row],[Audit Candidate 3]])), Audit[[#This Row],[Audit Candidate 3]]-Audit[[#This Row],[Candidate 3]], "")</f>
        <v/>
      </c>
      <c r="AH895" s="17" t="str">
        <f>IF(NOT(ISBLANK(Audit[[#This Row],[Audit Candidate 4]])),Audit[[#This Row],[Audit Candidate 4]]-Audit[[#This Row],[Candidate 4]], "")</f>
        <v/>
      </c>
      <c r="AI895" s="17" t="str">
        <f>IF(NOT(ISBLANK(Audit[[#This Row],[Audit Candidate 5]])), Audit[[#This Row],[Audit Candidate 5]]-Audit[[#This Row],[Candidate 5]], "")</f>
        <v/>
      </c>
      <c r="AJ895" s="17" t="str">
        <f>IF(NOT(ISBLANK(Audit[[#This Row],[Audit Candidate 6]])), Audit[[#This Row],[Audit Candidate 6]]-Audit[[#This Row],[Candidate 6]], "")</f>
        <v/>
      </c>
      <c r="AK895" s="17" t="str">
        <f>IF(NOT(ISBLANK(Audit[[#This Row],[Audit Candidate 7]])), Audit[[#This Row],[Audit Candidate 7]]-Audit[[#This Row],[Candidate 7]], "")</f>
        <v/>
      </c>
      <c r="AL895" s="17" t="str">
        <f>IF(NOT(ISBLANK(Audit[[#This Row],[Audit Candidate 8]])), Audit[[#This Row],[Audit Candidate 8]]-Audit[[#This Row],[Candidate 8]], "")</f>
        <v/>
      </c>
      <c r="AM895" s="17" t="str">
        <f>IF(NOT(ISBLANK(Audit[[#This Row],[Audit Candidate 9]])), Audit[[#This Row],[Audit Candidate 9]]-Audit[[#This Row],[Candidate 9]], "")</f>
        <v/>
      </c>
      <c r="AN895" s="17" t="str">
        <f>IF(NOT(ISBLANK(Audit[[#This Row],[Audit Candidate 10]])), Audit[[#This Row],[Audit Candidate 10]]-Audit[[#This Row],[Candidate 10]], "")</f>
        <v/>
      </c>
      <c r="AO895" s="17" t="str">
        <f>IF(NOT(ISBLANK(Audit[[#This Row],[Audit Candidate 11]])), Audit[[#This Row],[Audit Candidate 11]]-Audit[[#This Row],[Candidate 11]], "")</f>
        <v/>
      </c>
      <c r="AP895" s="17" t="str">
        <f>IF(NOT(ISBLANK(Audit[[#This Row],[Audit Candidate 12]])), Audit[[#This Row],[Audit Candidate 12]]-Audit[[#This Row],[Candidate 12]], "")</f>
        <v/>
      </c>
      <c r="AQ895" s="17">
        <f>SUMIF(Audit[[#This Row],[Difference Winner]:[Difference Candidate 12]], "&gt;0")</f>
        <v>0</v>
      </c>
      <c r="AR895" s="17">
        <f>SUM(Audit[[#This Row],[Difference Winner]:[Difference Candidate 12]])</f>
        <v>0</v>
      </c>
      <c r="AS895" s="17">
        <f>IF(Audit[[#This Row],[Times p Drawn - With Replacement]]&gt;0, IF(Audit[[#This Row],[Canceled Differences]]&lt;0, Audit[[#This Row],[Max Differences]]+ABS(Audit[[#This Row],[Canceled Differences]]), Audit[[#This Row],[Max Differences]]), 0)</f>
        <v>0</v>
      </c>
      <c r="AT895" s="17">
        <f>'Sampling Data'!AB895</f>
        <v>2.5420132405364115E-2</v>
      </c>
      <c r="AU895" s="17">
        <f>IF(
      SUM(Audit[[#This Row],[Audit Losing Candidate]:[Audit Candidate 12]])
      &lt;&gt;0,
      (Audit[[#This Row],[Winning Candidate]]-Audit[[#This Row],[Losing Candidate]]-(Audit[[#This Row],[Audit Winning Candidate]]-Audit[[#This Row],[Audit Losing Candidate]]))/(Audit[[#Totals],[Winning Candidate]]-Audit[[#Totals],[Losing Candidate]]),
      0
)</f>
        <v>0</v>
      </c>
      <c r="AV8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5" s="17">
        <f>IF(Audit[[#This Row],[Max Relative Error (ep)]] = 0, 0, Audit[[#This Row],[Max Relative Error (ep)]]/Audit[[#This Row],[Error Bound (up) - Max. possible relative overstatement]])</f>
        <v>0</v>
      </c>
      <c r="BH8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95" s="17">
        <f t="shared" si="14"/>
        <v>1</v>
      </c>
      <c r="BJ895" s="17">
        <f>PRODUCT($BI$5:BI895)</f>
        <v>0.16268999111874616</v>
      </c>
      <c r="BK895" s="19">
        <f>1 - Audit[[#This Row],[K-M P Value]]</f>
        <v>0.83731000888125384</v>
      </c>
      <c r="BL895" s="17" t="str">
        <f>IF(Audit[[#This Row],[K-M P Value]]&gt;1-'General Info'!$B$12,"Continue", "Stop")</f>
        <v>Continue</v>
      </c>
      <c r="BM895" s="22" t="b">
        <f>IF(Audit[[#This Row],[Status - Continue or stop audit]] = "Continue", TRUE, IF(BL894 = "Continue", TRUE, FALSE))</f>
        <v>1</v>
      </c>
      <c r="BN895" s="22"/>
    </row>
    <row r="896" spans="1:66" ht="15" hidden="1" customHeight="1" x14ac:dyDescent="0.35">
      <c r="A896" s="17" t="str">
        <f>'Sampling Data'!AI896</f>
        <v/>
      </c>
      <c r="B896" s="17" t="str">
        <f>'Sampling Data'!A896</f>
        <v>5615 AND O   (ED)</v>
      </c>
      <c r="C896" s="17">
        <f>'Sampling Data'!B896</f>
        <v>280</v>
      </c>
      <c r="D896" s="17">
        <f>'Sampling Data'!C896</f>
        <v>395</v>
      </c>
      <c r="E896" s="18">
        <f>'Sampling Data'!D896</f>
        <v>0</v>
      </c>
      <c r="F896" s="18">
        <f>'Sampling Data'!E896</f>
        <v>0</v>
      </c>
      <c r="G896" s="18">
        <f>'Sampling Data'!F896</f>
        <v>0</v>
      </c>
      <c r="H896" s="18">
        <f>'Sampling Data'!G896</f>
        <v>0</v>
      </c>
      <c r="I896" s="18">
        <f>'Sampling Data'!H896</f>
        <v>0</v>
      </c>
      <c r="J896" s="18">
        <f>'Sampling Data'!I896</f>
        <v>0</v>
      </c>
      <c r="K896" s="18">
        <f>'Sampling Data'!J896</f>
        <v>0</v>
      </c>
      <c r="L896" s="18">
        <f>'Sampling Data'!K896</f>
        <v>0</v>
      </c>
      <c r="M896" s="18">
        <f>'Sampling Data'!L896</f>
        <v>0</v>
      </c>
      <c r="N896" s="18">
        <f>'Sampling Data'!M896</f>
        <v>0</v>
      </c>
      <c r="O896" s="17">
        <f>'Sampling Data'!N896</f>
        <v>1</v>
      </c>
      <c r="P896" s="17">
        <f>'Sampling Data'!O896</f>
        <v>60</v>
      </c>
      <c r="Q896" s="17">
        <f>'Sampling Data'!P896</f>
        <v>736</v>
      </c>
      <c r="R896" s="17">
        <f>'Sampling Data'!AJ896</f>
        <v>0</v>
      </c>
      <c r="S896" s="111"/>
      <c r="T896" s="111"/>
      <c r="U896" s="112"/>
      <c r="V896" s="112"/>
      <c r="W896" s="111"/>
      <c r="X896" s="111"/>
      <c r="Y896" s="111"/>
      <c r="Z896" s="111"/>
      <c r="AA896" s="14"/>
      <c r="AB896" s="14"/>
      <c r="AC896" s="14"/>
      <c r="AD896" s="14"/>
      <c r="AE896" s="113" t="str">
        <f>IF(NOT(ISBLANK(Audit[[#This Row],[Audit Winning Candidate]])), Audit[[#This Row],[Audit Winning Candidate]]-Audit[[#This Row],[Winning Candidate]], "")</f>
        <v/>
      </c>
      <c r="AF896" s="17" t="str">
        <f>IF(NOT(ISBLANK(Audit[[#This Row],[Audit Losing Candidate]])), Audit[[#This Row],[Audit Losing Candidate]]-Audit[[#This Row],[Losing Candidate]], "")</f>
        <v/>
      </c>
      <c r="AG896" s="17" t="str">
        <f>IF(NOT(ISBLANK(Audit[[#This Row],[Audit Candidate 3]])), Audit[[#This Row],[Audit Candidate 3]]-Audit[[#This Row],[Candidate 3]], "")</f>
        <v/>
      </c>
      <c r="AH896" s="17" t="str">
        <f>IF(NOT(ISBLANK(Audit[[#This Row],[Audit Candidate 4]])),Audit[[#This Row],[Audit Candidate 4]]-Audit[[#This Row],[Candidate 4]], "")</f>
        <v/>
      </c>
      <c r="AI896" s="17" t="str">
        <f>IF(NOT(ISBLANK(Audit[[#This Row],[Audit Candidate 5]])), Audit[[#This Row],[Audit Candidate 5]]-Audit[[#This Row],[Candidate 5]], "")</f>
        <v/>
      </c>
      <c r="AJ896" s="17" t="str">
        <f>IF(NOT(ISBLANK(Audit[[#This Row],[Audit Candidate 6]])), Audit[[#This Row],[Audit Candidate 6]]-Audit[[#This Row],[Candidate 6]], "")</f>
        <v/>
      </c>
      <c r="AK896" s="17" t="str">
        <f>IF(NOT(ISBLANK(Audit[[#This Row],[Audit Candidate 7]])), Audit[[#This Row],[Audit Candidate 7]]-Audit[[#This Row],[Candidate 7]], "")</f>
        <v/>
      </c>
      <c r="AL896" s="17" t="str">
        <f>IF(NOT(ISBLANK(Audit[[#This Row],[Audit Candidate 8]])), Audit[[#This Row],[Audit Candidate 8]]-Audit[[#This Row],[Candidate 8]], "")</f>
        <v/>
      </c>
      <c r="AM896" s="17" t="str">
        <f>IF(NOT(ISBLANK(Audit[[#This Row],[Audit Candidate 9]])), Audit[[#This Row],[Audit Candidate 9]]-Audit[[#This Row],[Candidate 9]], "")</f>
        <v/>
      </c>
      <c r="AN896" s="17" t="str">
        <f>IF(NOT(ISBLANK(Audit[[#This Row],[Audit Candidate 10]])), Audit[[#This Row],[Audit Candidate 10]]-Audit[[#This Row],[Candidate 10]], "")</f>
        <v/>
      </c>
      <c r="AO896" s="17" t="str">
        <f>IF(NOT(ISBLANK(Audit[[#This Row],[Audit Candidate 11]])), Audit[[#This Row],[Audit Candidate 11]]-Audit[[#This Row],[Candidate 11]], "")</f>
        <v/>
      </c>
      <c r="AP896" s="17" t="str">
        <f>IF(NOT(ISBLANK(Audit[[#This Row],[Audit Candidate 12]])), Audit[[#This Row],[Audit Candidate 12]]-Audit[[#This Row],[Candidate 12]], "")</f>
        <v/>
      </c>
      <c r="AQ896" s="17">
        <f>SUMIF(Audit[[#This Row],[Difference Winner]:[Difference Candidate 12]], "&gt;0")</f>
        <v>0</v>
      </c>
      <c r="AR896" s="17">
        <f>SUM(Audit[[#This Row],[Difference Winner]:[Difference Candidate 12]])</f>
        <v>0</v>
      </c>
      <c r="AS896" s="17">
        <f>IF(Audit[[#This Row],[Times p Drawn - With Replacement]]&gt;0, IF(Audit[[#This Row],[Canceled Differences]]&lt;0, Audit[[#This Row],[Max Differences]]+ABS(Audit[[#This Row],[Canceled Differences]]), Audit[[#This Row],[Max Differences]]), 0)</f>
        <v>0</v>
      </c>
      <c r="AT896" s="17">
        <f>'Sampling Data'!AB896</f>
        <v>2.6353759972839924E-2</v>
      </c>
      <c r="AU896" s="17">
        <f>IF(
      SUM(Audit[[#This Row],[Audit Losing Candidate]:[Audit Candidate 12]])
      &lt;&gt;0,
      (Audit[[#This Row],[Winning Candidate]]-Audit[[#This Row],[Losing Candidate]]-(Audit[[#This Row],[Audit Winning Candidate]]-Audit[[#This Row],[Audit Losing Candidate]]))/(Audit[[#Totals],[Winning Candidate]]-Audit[[#Totals],[Losing Candidate]]),
      0
)</f>
        <v>0</v>
      </c>
      <c r="AV8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6" s="17">
        <f>IF(Audit[[#This Row],[Max Relative Error (ep)]] = 0, 0, Audit[[#This Row],[Max Relative Error (ep)]]/Audit[[#This Row],[Error Bound (up) - Max. possible relative overstatement]])</f>
        <v>0</v>
      </c>
      <c r="BH8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96" s="17">
        <f t="shared" si="14"/>
        <v>1</v>
      </c>
      <c r="BJ896" s="17">
        <f>PRODUCT($BI$5:BI896)</f>
        <v>0.16268999111874616</v>
      </c>
      <c r="BK896" s="19">
        <f>1 - Audit[[#This Row],[K-M P Value]]</f>
        <v>0.83731000888125384</v>
      </c>
      <c r="BL896" s="17" t="str">
        <f>IF(Audit[[#This Row],[K-M P Value]]&gt;1-'General Info'!$B$12,"Continue", "Stop")</f>
        <v>Continue</v>
      </c>
      <c r="BM896" s="22" t="b">
        <f>IF(Audit[[#This Row],[Status - Continue or stop audit]] = "Continue", TRUE, IF(BL895 = "Continue", TRUE, FALSE))</f>
        <v>1</v>
      </c>
      <c r="BN896" s="22"/>
    </row>
    <row r="897" spans="1:66" ht="15" hidden="1" customHeight="1" x14ac:dyDescent="0.35">
      <c r="A897" s="17" t="str">
        <f>'Sampling Data'!AI897</f>
        <v/>
      </c>
      <c r="B897" s="17" t="str">
        <f>'Sampling Data'!A897</f>
        <v>5616 AND P   (ED)</v>
      </c>
      <c r="C897" s="17">
        <f>'Sampling Data'!B897</f>
        <v>96</v>
      </c>
      <c r="D897" s="17">
        <f>'Sampling Data'!C897</f>
        <v>163</v>
      </c>
      <c r="E897" s="18">
        <f>'Sampling Data'!D897</f>
        <v>0</v>
      </c>
      <c r="F897" s="18">
        <f>'Sampling Data'!E897</f>
        <v>0</v>
      </c>
      <c r="G897" s="18">
        <f>'Sampling Data'!F897</f>
        <v>0</v>
      </c>
      <c r="H897" s="18">
        <f>'Sampling Data'!G897</f>
        <v>0</v>
      </c>
      <c r="I897" s="18">
        <f>'Sampling Data'!H897</f>
        <v>0</v>
      </c>
      <c r="J897" s="18">
        <f>'Sampling Data'!I897</f>
        <v>0</v>
      </c>
      <c r="K897" s="18">
        <f>'Sampling Data'!J897</f>
        <v>0</v>
      </c>
      <c r="L897" s="18">
        <f>'Sampling Data'!K897</f>
        <v>0</v>
      </c>
      <c r="M897" s="18">
        <f>'Sampling Data'!L897</f>
        <v>0</v>
      </c>
      <c r="N897" s="18">
        <f>'Sampling Data'!M897</f>
        <v>0</v>
      </c>
      <c r="O897" s="17">
        <f>'Sampling Data'!N897</f>
        <v>0</v>
      </c>
      <c r="P897" s="17">
        <f>'Sampling Data'!O897</f>
        <v>28</v>
      </c>
      <c r="Q897" s="17">
        <f>'Sampling Data'!P897</f>
        <v>287</v>
      </c>
      <c r="R897" s="17">
        <f>'Sampling Data'!AJ897</f>
        <v>0</v>
      </c>
      <c r="S897" s="111"/>
      <c r="T897" s="111"/>
      <c r="U897" s="112"/>
      <c r="V897" s="112"/>
      <c r="W897" s="111"/>
      <c r="X897" s="111"/>
      <c r="Y897" s="111"/>
      <c r="Z897" s="111"/>
      <c r="AA897" s="14"/>
      <c r="AB897" s="14"/>
      <c r="AC897" s="14"/>
      <c r="AD897" s="14"/>
      <c r="AE897" s="113" t="str">
        <f>IF(NOT(ISBLANK(Audit[[#This Row],[Audit Winning Candidate]])), Audit[[#This Row],[Audit Winning Candidate]]-Audit[[#This Row],[Winning Candidate]], "")</f>
        <v/>
      </c>
      <c r="AF897" s="17" t="str">
        <f>IF(NOT(ISBLANK(Audit[[#This Row],[Audit Losing Candidate]])), Audit[[#This Row],[Audit Losing Candidate]]-Audit[[#This Row],[Losing Candidate]], "")</f>
        <v/>
      </c>
      <c r="AG897" s="17" t="str">
        <f>IF(NOT(ISBLANK(Audit[[#This Row],[Audit Candidate 3]])), Audit[[#This Row],[Audit Candidate 3]]-Audit[[#This Row],[Candidate 3]], "")</f>
        <v/>
      </c>
      <c r="AH897" s="17" t="str">
        <f>IF(NOT(ISBLANK(Audit[[#This Row],[Audit Candidate 4]])),Audit[[#This Row],[Audit Candidate 4]]-Audit[[#This Row],[Candidate 4]], "")</f>
        <v/>
      </c>
      <c r="AI897" s="17" t="str">
        <f>IF(NOT(ISBLANK(Audit[[#This Row],[Audit Candidate 5]])), Audit[[#This Row],[Audit Candidate 5]]-Audit[[#This Row],[Candidate 5]], "")</f>
        <v/>
      </c>
      <c r="AJ897" s="17" t="str">
        <f>IF(NOT(ISBLANK(Audit[[#This Row],[Audit Candidate 6]])), Audit[[#This Row],[Audit Candidate 6]]-Audit[[#This Row],[Candidate 6]], "")</f>
        <v/>
      </c>
      <c r="AK897" s="17" t="str">
        <f>IF(NOT(ISBLANK(Audit[[#This Row],[Audit Candidate 7]])), Audit[[#This Row],[Audit Candidate 7]]-Audit[[#This Row],[Candidate 7]], "")</f>
        <v/>
      </c>
      <c r="AL897" s="17" t="str">
        <f>IF(NOT(ISBLANK(Audit[[#This Row],[Audit Candidate 8]])), Audit[[#This Row],[Audit Candidate 8]]-Audit[[#This Row],[Candidate 8]], "")</f>
        <v/>
      </c>
      <c r="AM897" s="17" t="str">
        <f>IF(NOT(ISBLANK(Audit[[#This Row],[Audit Candidate 9]])), Audit[[#This Row],[Audit Candidate 9]]-Audit[[#This Row],[Candidate 9]], "")</f>
        <v/>
      </c>
      <c r="AN897" s="17" t="str">
        <f>IF(NOT(ISBLANK(Audit[[#This Row],[Audit Candidate 10]])), Audit[[#This Row],[Audit Candidate 10]]-Audit[[#This Row],[Candidate 10]], "")</f>
        <v/>
      </c>
      <c r="AO897" s="17" t="str">
        <f>IF(NOT(ISBLANK(Audit[[#This Row],[Audit Candidate 11]])), Audit[[#This Row],[Audit Candidate 11]]-Audit[[#This Row],[Candidate 11]], "")</f>
        <v/>
      </c>
      <c r="AP897" s="17" t="str">
        <f>IF(NOT(ISBLANK(Audit[[#This Row],[Audit Candidate 12]])), Audit[[#This Row],[Audit Candidate 12]]-Audit[[#This Row],[Candidate 12]], "")</f>
        <v/>
      </c>
      <c r="AQ897" s="17">
        <f>SUMIF(Audit[[#This Row],[Difference Winner]:[Difference Candidate 12]], "&gt;0")</f>
        <v>0</v>
      </c>
      <c r="AR897" s="17">
        <f>SUM(Audit[[#This Row],[Difference Winner]:[Difference Candidate 12]])</f>
        <v>0</v>
      </c>
      <c r="AS897" s="17">
        <f>IF(Audit[[#This Row],[Times p Drawn - With Replacement]]&gt;0, IF(Audit[[#This Row],[Canceled Differences]]&lt;0, Audit[[#This Row],[Max Differences]]+ABS(Audit[[#This Row],[Canceled Differences]]), Audit[[#This Row],[Max Differences]]), 0)</f>
        <v>0</v>
      </c>
      <c r="AT897" s="17">
        <f>'Sampling Data'!AB897</f>
        <v>9.3362756747581051E-3</v>
      </c>
      <c r="AU897" s="17">
        <f>IF(
      SUM(Audit[[#This Row],[Audit Losing Candidate]:[Audit Candidate 12]])
      &lt;&gt;0,
      (Audit[[#This Row],[Winning Candidate]]-Audit[[#This Row],[Losing Candidate]]-(Audit[[#This Row],[Audit Winning Candidate]]-Audit[[#This Row],[Audit Losing Candidate]]))/(Audit[[#Totals],[Winning Candidate]]-Audit[[#Totals],[Losing Candidate]]),
      0
)</f>
        <v>0</v>
      </c>
      <c r="AV8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7" s="17">
        <f>IF(Audit[[#This Row],[Max Relative Error (ep)]] = 0, 0, Audit[[#This Row],[Max Relative Error (ep)]]/Audit[[#This Row],[Error Bound (up) - Max. possible relative overstatement]])</f>
        <v>0</v>
      </c>
      <c r="BH8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97" s="17">
        <f t="shared" si="14"/>
        <v>1</v>
      </c>
      <c r="BJ897" s="17">
        <f>PRODUCT($BI$5:BI897)</f>
        <v>0.16268999111874616</v>
      </c>
      <c r="BK897" s="19">
        <f>1 - Audit[[#This Row],[K-M P Value]]</f>
        <v>0.83731000888125384</v>
      </c>
      <c r="BL897" s="17" t="str">
        <f>IF(Audit[[#This Row],[K-M P Value]]&gt;1-'General Info'!$B$12,"Continue", "Stop")</f>
        <v>Continue</v>
      </c>
      <c r="BM897" s="22" t="b">
        <f>IF(Audit[[#This Row],[Status - Continue or stop audit]] = "Continue", TRUE, IF(BL896 = "Continue", TRUE, FALSE))</f>
        <v>1</v>
      </c>
      <c r="BN897" s="22"/>
    </row>
    <row r="898" spans="1:66" ht="15" hidden="1" customHeight="1" x14ac:dyDescent="0.35">
      <c r="A898" s="17" t="str">
        <f>'Sampling Data'!AI898</f>
        <v/>
      </c>
      <c r="B898" s="17" t="str">
        <f>'Sampling Data'!A898</f>
        <v>5617 AND Q   (ED)</v>
      </c>
      <c r="C898" s="17">
        <f>'Sampling Data'!B898</f>
        <v>229</v>
      </c>
      <c r="D898" s="17">
        <f>'Sampling Data'!C898</f>
        <v>426</v>
      </c>
      <c r="E898" s="18">
        <f>'Sampling Data'!D898</f>
        <v>0</v>
      </c>
      <c r="F898" s="18">
        <f>'Sampling Data'!E898</f>
        <v>0</v>
      </c>
      <c r="G898" s="18">
        <f>'Sampling Data'!F898</f>
        <v>0</v>
      </c>
      <c r="H898" s="18">
        <f>'Sampling Data'!G898</f>
        <v>0</v>
      </c>
      <c r="I898" s="18">
        <f>'Sampling Data'!H898</f>
        <v>0</v>
      </c>
      <c r="J898" s="18">
        <f>'Sampling Data'!I898</f>
        <v>0</v>
      </c>
      <c r="K898" s="18">
        <f>'Sampling Data'!J898</f>
        <v>0</v>
      </c>
      <c r="L898" s="18">
        <f>'Sampling Data'!K898</f>
        <v>0</v>
      </c>
      <c r="M898" s="18">
        <f>'Sampling Data'!L898</f>
        <v>0</v>
      </c>
      <c r="N898" s="18">
        <f>'Sampling Data'!M898</f>
        <v>0</v>
      </c>
      <c r="O898" s="17">
        <f>'Sampling Data'!N898</f>
        <v>0</v>
      </c>
      <c r="P898" s="17">
        <f>'Sampling Data'!O898</f>
        <v>55</v>
      </c>
      <c r="Q898" s="17">
        <f>'Sampling Data'!P898</f>
        <v>710</v>
      </c>
      <c r="R898" s="17">
        <f>'Sampling Data'!AJ898</f>
        <v>0</v>
      </c>
      <c r="S898" s="111"/>
      <c r="T898" s="111"/>
      <c r="U898" s="112"/>
      <c r="V898" s="112"/>
      <c r="W898" s="111"/>
      <c r="X898" s="111"/>
      <c r="Y898" s="111"/>
      <c r="Z898" s="111"/>
      <c r="AA898" s="14"/>
      <c r="AB898" s="14"/>
      <c r="AC898" s="14"/>
      <c r="AD898" s="14"/>
      <c r="AE898" s="113" t="str">
        <f>IF(NOT(ISBLANK(Audit[[#This Row],[Audit Winning Candidate]])), Audit[[#This Row],[Audit Winning Candidate]]-Audit[[#This Row],[Winning Candidate]], "")</f>
        <v/>
      </c>
      <c r="AF898" s="17" t="str">
        <f>IF(NOT(ISBLANK(Audit[[#This Row],[Audit Losing Candidate]])), Audit[[#This Row],[Audit Losing Candidate]]-Audit[[#This Row],[Losing Candidate]], "")</f>
        <v/>
      </c>
      <c r="AG898" s="17" t="str">
        <f>IF(NOT(ISBLANK(Audit[[#This Row],[Audit Candidate 3]])), Audit[[#This Row],[Audit Candidate 3]]-Audit[[#This Row],[Candidate 3]], "")</f>
        <v/>
      </c>
      <c r="AH898" s="17" t="str">
        <f>IF(NOT(ISBLANK(Audit[[#This Row],[Audit Candidate 4]])),Audit[[#This Row],[Audit Candidate 4]]-Audit[[#This Row],[Candidate 4]], "")</f>
        <v/>
      </c>
      <c r="AI898" s="17" t="str">
        <f>IF(NOT(ISBLANK(Audit[[#This Row],[Audit Candidate 5]])), Audit[[#This Row],[Audit Candidate 5]]-Audit[[#This Row],[Candidate 5]], "")</f>
        <v/>
      </c>
      <c r="AJ898" s="17" t="str">
        <f>IF(NOT(ISBLANK(Audit[[#This Row],[Audit Candidate 6]])), Audit[[#This Row],[Audit Candidate 6]]-Audit[[#This Row],[Candidate 6]], "")</f>
        <v/>
      </c>
      <c r="AK898" s="17" t="str">
        <f>IF(NOT(ISBLANK(Audit[[#This Row],[Audit Candidate 7]])), Audit[[#This Row],[Audit Candidate 7]]-Audit[[#This Row],[Candidate 7]], "")</f>
        <v/>
      </c>
      <c r="AL898" s="17" t="str">
        <f>IF(NOT(ISBLANK(Audit[[#This Row],[Audit Candidate 8]])), Audit[[#This Row],[Audit Candidate 8]]-Audit[[#This Row],[Candidate 8]], "")</f>
        <v/>
      </c>
      <c r="AM898" s="17" t="str">
        <f>IF(NOT(ISBLANK(Audit[[#This Row],[Audit Candidate 9]])), Audit[[#This Row],[Audit Candidate 9]]-Audit[[#This Row],[Candidate 9]], "")</f>
        <v/>
      </c>
      <c r="AN898" s="17" t="str">
        <f>IF(NOT(ISBLANK(Audit[[#This Row],[Audit Candidate 10]])), Audit[[#This Row],[Audit Candidate 10]]-Audit[[#This Row],[Candidate 10]], "")</f>
        <v/>
      </c>
      <c r="AO898" s="17" t="str">
        <f>IF(NOT(ISBLANK(Audit[[#This Row],[Audit Candidate 11]])), Audit[[#This Row],[Audit Candidate 11]]-Audit[[#This Row],[Candidate 11]], "")</f>
        <v/>
      </c>
      <c r="AP898" s="17" t="str">
        <f>IF(NOT(ISBLANK(Audit[[#This Row],[Audit Candidate 12]])), Audit[[#This Row],[Audit Candidate 12]]-Audit[[#This Row],[Candidate 12]], "")</f>
        <v/>
      </c>
      <c r="AQ898" s="17">
        <f>SUMIF(Audit[[#This Row],[Difference Winner]:[Difference Candidate 12]], "&gt;0")</f>
        <v>0</v>
      </c>
      <c r="AR898" s="17">
        <f>SUM(Audit[[#This Row],[Difference Winner]:[Difference Candidate 12]])</f>
        <v>0</v>
      </c>
      <c r="AS898" s="17">
        <f>IF(Audit[[#This Row],[Times p Drawn - With Replacement]]&gt;0, IF(Audit[[#This Row],[Canceled Differences]]&lt;0, Audit[[#This Row],[Max Differences]]+ABS(Audit[[#This Row],[Canceled Differences]]), Audit[[#This Row],[Max Differences]]), 0)</f>
        <v>0</v>
      </c>
      <c r="AT898" s="17">
        <f>'Sampling Data'!AB898</f>
        <v>2.1770497368867766E-2</v>
      </c>
      <c r="AU898" s="17">
        <f>IF(
      SUM(Audit[[#This Row],[Audit Losing Candidate]:[Audit Candidate 12]])
      &lt;&gt;0,
      (Audit[[#This Row],[Winning Candidate]]-Audit[[#This Row],[Losing Candidate]]-(Audit[[#This Row],[Audit Winning Candidate]]-Audit[[#This Row],[Audit Losing Candidate]]))/(Audit[[#Totals],[Winning Candidate]]-Audit[[#Totals],[Losing Candidate]]),
      0
)</f>
        <v>0</v>
      </c>
      <c r="AV8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8" s="17">
        <f>IF(Audit[[#This Row],[Max Relative Error (ep)]] = 0, 0, Audit[[#This Row],[Max Relative Error (ep)]]/Audit[[#This Row],[Error Bound (up) - Max. possible relative overstatement]])</f>
        <v>0</v>
      </c>
      <c r="BH8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98" s="17">
        <f t="shared" si="14"/>
        <v>1</v>
      </c>
      <c r="BJ898" s="17">
        <f>PRODUCT($BI$5:BI898)</f>
        <v>0.16268999111874616</v>
      </c>
      <c r="BK898" s="19">
        <f>1 - Audit[[#This Row],[K-M P Value]]</f>
        <v>0.83731000888125384</v>
      </c>
      <c r="BL898" s="17" t="str">
        <f>IF(Audit[[#This Row],[K-M P Value]]&gt;1-'General Info'!$B$12,"Continue", "Stop")</f>
        <v>Continue</v>
      </c>
      <c r="BM898" s="22" t="b">
        <f>IF(Audit[[#This Row],[Status - Continue or stop audit]] = "Continue", TRUE, IF(BL897 = "Continue", TRUE, FALSE))</f>
        <v>1</v>
      </c>
      <c r="BN898" s="22"/>
    </row>
    <row r="899" spans="1:66" ht="15" customHeight="1" x14ac:dyDescent="0.35">
      <c r="A899" s="17">
        <f>'Sampling Data'!AI899</f>
        <v>23</v>
      </c>
      <c r="B899" s="17" t="str">
        <f>'Sampling Data'!A899</f>
        <v>5618 AND R   (ED)</v>
      </c>
      <c r="C899" s="17">
        <f>'Sampling Data'!B899</f>
        <v>192</v>
      </c>
      <c r="D899" s="17">
        <f>'Sampling Data'!C899</f>
        <v>326</v>
      </c>
      <c r="E899" s="18">
        <f>'Sampling Data'!D899</f>
        <v>0</v>
      </c>
      <c r="F899" s="18">
        <f>'Sampling Data'!E899</f>
        <v>0</v>
      </c>
      <c r="G899" s="18">
        <f>'Sampling Data'!F899</f>
        <v>0</v>
      </c>
      <c r="H899" s="18">
        <f>'Sampling Data'!G899</f>
        <v>0</v>
      </c>
      <c r="I899" s="18">
        <f>'Sampling Data'!H899</f>
        <v>0</v>
      </c>
      <c r="J899" s="18">
        <f>'Sampling Data'!I899</f>
        <v>0</v>
      </c>
      <c r="K899" s="18">
        <f>'Sampling Data'!J899</f>
        <v>0</v>
      </c>
      <c r="L899" s="18">
        <f>'Sampling Data'!K899</f>
        <v>0</v>
      </c>
      <c r="M899" s="18">
        <f>'Sampling Data'!L899</f>
        <v>0</v>
      </c>
      <c r="N899" s="18">
        <f>'Sampling Data'!M899</f>
        <v>0</v>
      </c>
      <c r="O899" s="17">
        <f>'Sampling Data'!N899</f>
        <v>0</v>
      </c>
      <c r="P899" s="17">
        <f>'Sampling Data'!O899</f>
        <v>49</v>
      </c>
      <c r="Q899" s="17">
        <f>'Sampling Data'!P899</f>
        <v>567</v>
      </c>
      <c r="R899" s="17">
        <f>'Sampling Data'!AJ899</f>
        <v>1</v>
      </c>
      <c r="S899" s="111">
        <v>192</v>
      </c>
      <c r="T899" s="111">
        <v>326</v>
      </c>
      <c r="U899" s="112"/>
      <c r="V899" s="112"/>
      <c r="W899" s="111"/>
      <c r="X899" s="111"/>
      <c r="Y899" s="111"/>
      <c r="Z899" s="111"/>
      <c r="AA899" s="14"/>
      <c r="AB899" s="14"/>
      <c r="AC899" s="14"/>
      <c r="AD899" s="14"/>
      <c r="AE899" s="113">
        <f>IF(NOT(ISBLANK(Audit[[#This Row],[Audit Winning Candidate]])), Audit[[#This Row],[Audit Winning Candidate]]-Audit[[#This Row],[Winning Candidate]], "")</f>
        <v>0</v>
      </c>
      <c r="AF899" s="17">
        <f>IF(NOT(ISBLANK(Audit[[#This Row],[Audit Losing Candidate]])), Audit[[#This Row],[Audit Losing Candidate]]-Audit[[#This Row],[Losing Candidate]], "")</f>
        <v>0</v>
      </c>
      <c r="AG899" s="17" t="str">
        <f>IF(NOT(ISBLANK(Audit[[#This Row],[Audit Candidate 3]])), Audit[[#This Row],[Audit Candidate 3]]-Audit[[#This Row],[Candidate 3]], "")</f>
        <v/>
      </c>
      <c r="AH899" s="17" t="str">
        <f>IF(NOT(ISBLANK(Audit[[#This Row],[Audit Candidate 4]])),Audit[[#This Row],[Audit Candidate 4]]-Audit[[#This Row],[Candidate 4]], "")</f>
        <v/>
      </c>
      <c r="AI899" s="17" t="str">
        <f>IF(NOT(ISBLANK(Audit[[#This Row],[Audit Candidate 5]])), Audit[[#This Row],[Audit Candidate 5]]-Audit[[#This Row],[Candidate 5]], "")</f>
        <v/>
      </c>
      <c r="AJ899" s="17" t="str">
        <f>IF(NOT(ISBLANK(Audit[[#This Row],[Audit Candidate 6]])), Audit[[#This Row],[Audit Candidate 6]]-Audit[[#This Row],[Candidate 6]], "")</f>
        <v/>
      </c>
      <c r="AK899" s="17" t="str">
        <f>IF(NOT(ISBLANK(Audit[[#This Row],[Audit Candidate 7]])), Audit[[#This Row],[Audit Candidate 7]]-Audit[[#This Row],[Candidate 7]], "")</f>
        <v/>
      </c>
      <c r="AL899" s="17" t="str">
        <f>IF(NOT(ISBLANK(Audit[[#This Row],[Audit Candidate 8]])), Audit[[#This Row],[Audit Candidate 8]]-Audit[[#This Row],[Candidate 8]], "")</f>
        <v/>
      </c>
      <c r="AM899" s="17" t="str">
        <f>IF(NOT(ISBLANK(Audit[[#This Row],[Audit Candidate 9]])), Audit[[#This Row],[Audit Candidate 9]]-Audit[[#This Row],[Candidate 9]], "")</f>
        <v/>
      </c>
      <c r="AN899" s="17" t="str">
        <f>IF(NOT(ISBLANK(Audit[[#This Row],[Audit Candidate 10]])), Audit[[#This Row],[Audit Candidate 10]]-Audit[[#This Row],[Candidate 10]], "")</f>
        <v/>
      </c>
      <c r="AO899" s="17" t="str">
        <f>IF(NOT(ISBLANK(Audit[[#This Row],[Audit Candidate 11]])), Audit[[#This Row],[Audit Candidate 11]]-Audit[[#This Row],[Candidate 11]], "")</f>
        <v/>
      </c>
      <c r="AP899" s="17" t="str">
        <f>IF(NOT(ISBLANK(Audit[[#This Row],[Audit Candidate 12]])), Audit[[#This Row],[Audit Candidate 12]]-Audit[[#This Row],[Candidate 12]], "")</f>
        <v/>
      </c>
      <c r="AQ899" s="17">
        <f>SUMIF(Audit[[#This Row],[Difference Winner]:[Difference Candidate 12]], "&gt;0")</f>
        <v>0</v>
      </c>
      <c r="AR899" s="17">
        <f>SUM(Audit[[#This Row],[Difference Winner]:[Difference Candidate 12]])</f>
        <v>0</v>
      </c>
      <c r="AS899" s="17">
        <f>IF(Audit[[#This Row],[Times p Drawn - With Replacement]]&gt;0, IF(Audit[[#This Row],[Canceled Differences]]&lt;0, Audit[[#This Row],[Max Differences]]+ABS(Audit[[#This Row],[Canceled Differences]]), Audit[[#This Row],[Max Differences]]), 0)</f>
        <v>0</v>
      </c>
      <c r="AT899" s="17">
        <f>'Sampling Data'!AB899</f>
        <v>1.8375488032592091E-2</v>
      </c>
      <c r="AU899" s="17">
        <f>IF(
      SUM(Audit[[#This Row],[Audit Losing Candidate]:[Audit Candidate 12]])
      &lt;&gt;0,
      (Audit[[#This Row],[Winning Candidate]]-Audit[[#This Row],[Losing Candidate]]-(Audit[[#This Row],[Audit Winning Candidate]]-Audit[[#This Row],[Audit Losing Candidate]]))/(Audit[[#Totals],[Winning Candidate]]-Audit[[#Totals],[Losing Candidate]]),
      0
)</f>
        <v>0</v>
      </c>
      <c r="AV8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9" s="17">
        <f>IF(Audit[[#This Row],[Max Relative Error (ep)]] = 0, 0, Audit[[#This Row],[Max Relative Error (ep)]]/Audit[[#This Row],[Error Bound (up) - Max. possible relative overstatement]])</f>
        <v>0</v>
      </c>
      <c r="BH8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899" s="17">
        <f t="shared" si="14"/>
        <v>0.94645908314247273</v>
      </c>
      <c r="BJ899" s="17">
        <f>PRODUCT($BI$5:BI899)</f>
        <v>0.15397941983070551</v>
      </c>
      <c r="BK899" s="19">
        <f>1 - Audit[[#This Row],[K-M P Value]]</f>
        <v>0.84602058016929449</v>
      </c>
      <c r="BL899" s="17" t="str">
        <f>IF(Audit[[#This Row],[K-M P Value]]&gt;1-'General Info'!$B$12,"Continue", "Stop")</f>
        <v>Continue</v>
      </c>
      <c r="BM899" s="22" t="b">
        <f>IF(Audit[[#This Row],[Status - Continue or stop audit]] = "Continue", TRUE, IF(BL898 = "Continue", TRUE, FALSE))</f>
        <v>1</v>
      </c>
      <c r="BN899" s="22"/>
    </row>
    <row r="900" spans="1:66" ht="15" hidden="1" customHeight="1" x14ac:dyDescent="0.35">
      <c r="A900" s="17" t="str">
        <f>'Sampling Data'!AI900</f>
        <v/>
      </c>
      <c r="B900" s="17" t="str">
        <f>'Sampling Data'!A900</f>
        <v>5619 AND S   (ED)</v>
      </c>
      <c r="C900" s="17">
        <f>'Sampling Data'!B900</f>
        <v>144</v>
      </c>
      <c r="D900" s="17">
        <f>'Sampling Data'!C900</f>
        <v>222</v>
      </c>
      <c r="E900" s="18">
        <f>'Sampling Data'!D900</f>
        <v>0</v>
      </c>
      <c r="F900" s="18">
        <f>'Sampling Data'!E900</f>
        <v>0</v>
      </c>
      <c r="G900" s="18">
        <f>'Sampling Data'!F900</f>
        <v>0</v>
      </c>
      <c r="H900" s="18">
        <f>'Sampling Data'!G900</f>
        <v>0</v>
      </c>
      <c r="I900" s="18">
        <f>'Sampling Data'!H900</f>
        <v>0</v>
      </c>
      <c r="J900" s="18">
        <f>'Sampling Data'!I900</f>
        <v>0</v>
      </c>
      <c r="K900" s="18">
        <f>'Sampling Data'!J900</f>
        <v>0</v>
      </c>
      <c r="L900" s="18">
        <f>'Sampling Data'!K900</f>
        <v>0</v>
      </c>
      <c r="M900" s="18">
        <f>'Sampling Data'!L900</f>
        <v>0</v>
      </c>
      <c r="N900" s="18">
        <f>'Sampling Data'!M900</f>
        <v>0</v>
      </c>
      <c r="O900" s="17">
        <f>'Sampling Data'!N900</f>
        <v>0</v>
      </c>
      <c r="P900" s="17">
        <f>'Sampling Data'!O900</f>
        <v>29</v>
      </c>
      <c r="Q900" s="17">
        <f>'Sampling Data'!P900</f>
        <v>395</v>
      </c>
      <c r="R900" s="17">
        <f>'Sampling Data'!AJ900</f>
        <v>0</v>
      </c>
      <c r="S900" s="111"/>
      <c r="T900" s="111"/>
      <c r="U900" s="112"/>
      <c r="V900" s="112"/>
      <c r="W900" s="111"/>
      <c r="X900" s="111"/>
      <c r="Y900" s="111"/>
      <c r="Z900" s="111"/>
      <c r="AA900" s="14"/>
      <c r="AB900" s="14"/>
      <c r="AC900" s="14"/>
      <c r="AD900" s="14"/>
      <c r="AE900" s="113" t="str">
        <f>IF(NOT(ISBLANK(Audit[[#This Row],[Audit Winning Candidate]])), Audit[[#This Row],[Audit Winning Candidate]]-Audit[[#This Row],[Winning Candidate]], "")</f>
        <v/>
      </c>
      <c r="AF900" s="17" t="str">
        <f>IF(NOT(ISBLANK(Audit[[#This Row],[Audit Losing Candidate]])), Audit[[#This Row],[Audit Losing Candidate]]-Audit[[#This Row],[Losing Candidate]], "")</f>
        <v/>
      </c>
      <c r="AG900" s="17" t="str">
        <f>IF(NOT(ISBLANK(Audit[[#This Row],[Audit Candidate 3]])), Audit[[#This Row],[Audit Candidate 3]]-Audit[[#This Row],[Candidate 3]], "")</f>
        <v/>
      </c>
      <c r="AH900" s="17" t="str">
        <f>IF(NOT(ISBLANK(Audit[[#This Row],[Audit Candidate 4]])),Audit[[#This Row],[Audit Candidate 4]]-Audit[[#This Row],[Candidate 4]], "")</f>
        <v/>
      </c>
      <c r="AI900" s="17" t="str">
        <f>IF(NOT(ISBLANK(Audit[[#This Row],[Audit Candidate 5]])), Audit[[#This Row],[Audit Candidate 5]]-Audit[[#This Row],[Candidate 5]], "")</f>
        <v/>
      </c>
      <c r="AJ900" s="17" t="str">
        <f>IF(NOT(ISBLANK(Audit[[#This Row],[Audit Candidate 6]])), Audit[[#This Row],[Audit Candidate 6]]-Audit[[#This Row],[Candidate 6]], "")</f>
        <v/>
      </c>
      <c r="AK900" s="17" t="str">
        <f>IF(NOT(ISBLANK(Audit[[#This Row],[Audit Candidate 7]])), Audit[[#This Row],[Audit Candidate 7]]-Audit[[#This Row],[Candidate 7]], "")</f>
        <v/>
      </c>
      <c r="AL900" s="17" t="str">
        <f>IF(NOT(ISBLANK(Audit[[#This Row],[Audit Candidate 8]])), Audit[[#This Row],[Audit Candidate 8]]-Audit[[#This Row],[Candidate 8]], "")</f>
        <v/>
      </c>
      <c r="AM900" s="17" t="str">
        <f>IF(NOT(ISBLANK(Audit[[#This Row],[Audit Candidate 9]])), Audit[[#This Row],[Audit Candidate 9]]-Audit[[#This Row],[Candidate 9]], "")</f>
        <v/>
      </c>
      <c r="AN900" s="17" t="str">
        <f>IF(NOT(ISBLANK(Audit[[#This Row],[Audit Candidate 10]])), Audit[[#This Row],[Audit Candidate 10]]-Audit[[#This Row],[Candidate 10]], "")</f>
        <v/>
      </c>
      <c r="AO900" s="17" t="str">
        <f>IF(NOT(ISBLANK(Audit[[#This Row],[Audit Candidate 11]])), Audit[[#This Row],[Audit Candidate 11]]-Audit[[#This Row],[Candidate 11]], "")</f>
        <v/>
      </c>
      <c r="AP900" s="17" t="str">
        <f>IF(NOT(ISBLANK(Audit[[#This Row],[Audit Candidate 12]])), Audit[[#This Row],[Audit Candidate 12]]-Audit[[#This Row],[Candidate 12]], "")</f>
        <v/>
      </c>
      <c r="AQ900" s="17">
        <f>SUMIF(Audit[[#This Row],[Difference Winner]:[Difference Candidate 12]], "&gt;0")</f>
        <v>0</v>
      </c>
      <c r="AR900" s="17">
        <f>SUM(Audit[[#This Row],[Difference Winner]:[Difference Candidate 12]])</f>
        <v>0</v>
      </c>
      <c r="AS900" s="17">
        <f>IF(Audit[[#This Row],[Times p Drawn - With Replacement]]&gt;0, IF(Audit[[#This Row],[Canceled Differences]]&lt;0, Audit[[#This Row],[Max Differences]]+ABS(Audit[[#This Row],[Canceled Differences]]), Audit[[#This Row],[Max Differences]]), 0)</f>
        <v>0</v>
      </c>
      <c r="AT900" s="17">
        <f>'Sampling Data'!AB900</f>
        <v>1.3452724494992361E-2</v>
      </c>
      <c r="AU900" s="17">
        <f>IF(
      SUM(Audit[[#This Row],[Audit Losing Candidate]:[Audit Candidate 12]])
      &lt;&gt;0,
      (Audit[[#This Row],[Winning Candidate]]-Audit[[#This Row],[Losing Candidate]]-(Audit[[#This Row],[Audit Winning Candidate]]-Audit[[#This Row],[Audit Losing Candidate]]))/(Audit[[#Totals],[Winning Candidate]]-Audit[[#Totals],[Losing Candidate]]),
      0
)</f>
        <v>0</v>
      </c>
      <c r="AV9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0" s="17">
        <f>IF(Audit[[#This Row],[Max Relative Error (ep)]] = 0, 0, Audit[[#This Row],[Max Relative Error (ep)]]/Audit[[#This Row],[Error Bound (up) - Max. possible relative overstatement]])</f>
        <v>0</v>
      </c>
      <c r="BH9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00" s="17">
        <f t="shared" si="14"/>
        <v>1</v>
      </c>
      <c r="BJ900" s="17">
        <f>PRODUCT($BI$5:BI900)</f>
        <v>0.15397941983070551</v>
      </c>
      <c r="BK900" s="19">
        <f>1 - Audit[[#This Row],[K-M P Value]]</f>
        <v>0.84602058016929449</v>
      </c>
      <c r="BL900" s="17" t="str">
        <f>IF(Audit[[#This Row],[K-M P Value]]&gt;1-'General Info'!$B$12,"Continue", "Stop")</f>
        <v>Continue</v>
      </c>
      <c r="BM900" s="22" t="b">
        <f>IF(Audit[[#This Row],[Status - Continue or stop audit]] = "Continue", TRUE, IF(BL899 = "Continue", TRUE, FALSE))</f>
        <v>1</v>
      </c>
      <c r="BN900" s="22"/>
    </row>
    <row r="901" spans="1:66" ht="15" hidden="1" customHeight="1" x14ac:dyDescent="0.35">
      <c r="A901" s="17" t="str">
        <f>'Sampling Data'!AI901</f>
        <v/>
      </c>
      <c r="B901" s="17" t="str">
        <f>'Sampling Data'!A901</f>
        <v>5620 AND T   (ED)</v>
      </c>
      <c r="C901" s="17">
        <f>'Sampling Data'!B901</f>
        <v>165</v>
      </c>
      <c r="D901" s="17">
        <f>'Sampling Data'!C901</f>
        <v>219</v>
      </c>
      <c r="E901" s="18">
        <f>'Sampling Data'!D901</f>
        <v>0</v>
      </c>
      <c r="F901" s="18">
        <f>'Sampling Data'!E901</f>
        <v>0</v>
      </c>
      <c r="G901" s="18">
        <f>'Sampling Data'!F901</f>
        <v>0</v>
      </c>
      <c r="H901" s="18">
        <f>'Sampling Data'!G901</f>
        <v>0</v>
      </c>
      <c r="I901" s="18">
        <f>'Sampling Data'!H901</f>
        <v>0</v>
      </c>
      <c r="J901" s="18">
        <f>'Sampling Data'!I901</f>
        <v>0</v>
      </c>
      <c r="K901" s="18">
        <f>'Sampling Data'!J901</f>
        <v>0</v>
      </c>
      <c r="L901" s="18">
        <f>'Sampling Data'!K901</f>
        <v>0</v>
      </c>
      <c r="M901" s="18">
        <f>'Sampling Data'!L901</f>
        <v>0</v>
      </c>
      <c r="N901" s="18">
        <f>'Sampling Data'!M901</f>
        <v>0</v>
      </c>
      <c r="O901" s="17">
        <f>'Sampling Data'!N901</f>
        <v>1</v>
      </c>
      <c r="P901" s="17">
        <f>'Sampling Data'!O901</f>
        <v>27</v>
      </c>
      <c r="Q901" s="17">
        <f>'Sampling Data'!P901</f>
        <v>412</v>
      </c>
      <c r="R901" s="17">
        <f>'Sampling Data'!AJ901</f>
        <v>0</v>
      </c>
      <c r="S901" s="111"/>
      <c r="T901" s="111"/>
      <c r="U901" s="112"/>
      <c r="V901" s="112"/>
      <c r="W901" s="111"/>
      <c r="X901" s="111"/>
      <c r="Y901" s="111"/>
      <c r="Z901" s="111"/>
      <c r="AA901" s="14"/>
      <c r="AB901" s="14"/>
      <c r="AC901" s="14"/>
      <c r="AD901" s="14"/>
      <c r="AE901" s="113" t="str">
        <f>IF(NOT(ISBLANK(Audit[[#This Row],[Audit Winning Candidate]])), Audit[[#This Row],[Audit Winning Candidate]]-Audit[[#This Row],[Winning Candidate]], "")</f>
        <v/>
      </c>
      <c r="AF901" s="17" t="str">
        <f>IF(NOT(ISBLANK(Audit[[#This Row],[Audit Losing Candidate]])), Audit[[#This Row],[Audit Losing Candidate]]-Audit[[#This Row],[Losing Candidate]], "")</f>
        <v/>
      </c>
      <c r="AG901" s="17" t="str">
        <f>IF(NOT(ISBLANK(Audit[[#This Row],[Audit Candidate 3]])), Audit[[#This Row],[Audit Candidate 3]]-Audit[[#This Row],[Candidate 3]], "")</f>
        <v/>
      </c>
      <c r="AH901" s="17" t="str">
        <f>IF(NOT(ISBLANK(Audit[[#This Row],[Audit Candidate 4]])),Audit[[#This Row],[Audit Candidate 4]]-Audit[[#This Row],[Candidate 4]], "")</f>
        <v/>
      </c>
      <c r="AI901" s="17" t="str">
        <f>IF(NOT(ISBLANK(Audit[[#This Row],[Audit Candidate 5]])), Audit[[#This Row],[Audit Candidate 5]]-Audit[[#This Row],[Candidate 5]], "")</f>
        <v/>
      </c>
      <c r="AJ901" s="17" t="str">
        <f>IF(NOT(ISBLANK(Audit[[#This Row],[Audit Candidate 6]])), Audit[[#This Row],[Audit Candidate 6]]-Audit[[#This Row],[Candidate 6]], "")</f>
        <v/>
      </c>
      <c r="AK901" s="17" t="str">
        <f>IF(NOT(ISBLANK(Audit[[#This Row],[Audit Candidate 7]])), Audit[[#This Row],[Audit Candidate 7]]-Audit[[#This Row],[Candidate 7]], "")</f>
        <v/>
      </c>
      <c r="AL901" s="17" t="str">
        <f>IF(NOT(ISBLANK(Audit[[#This Row],[Audit Candidate 8]])), Audit[[#This Row],[Audit Candidate 8]]-Audit[[#This Row],[Candidate 8]], "")</f>
        <v/>
      </c>
      <c r="AM901" s="17" t="str">
        <f>IF(NOT(ISBLANK(Audit[[#This Row],[Audit Candidate 9]])), Audit[[#This Row],[Audit Candidate 9]]-Audit[[#This Row],[Candidate 9]], "")</f>
        <v/>
      </c>
      <c r="AN901" s="17" t="str">
        <f>IF(NOT(ISBLANK(Audit[[#This Row],[Audit Candidate 10]])), Audit[[#This Row],[Audit Candidate 10]]-Audit[[#This Row],[Candidate 10]], "")</f>
        <v/>
      </c>
      <c r="AO901" s="17" t="str">
        <f>IF(NOT(ISBLANK(Audit[[#This Row],[Audit Candidate 11]])), Audit[[#This Row],[Audit Candidate 11]]-Audit[[#This Row],[Candidate 11]], "")</f>
        <v/>
      </c>
      <c r="AP901" s="17" t="str">
        <f>IF(NOT(ISBLANK(Audit[[#This Row],[Audit Candidate 12]])), Audit[[#This Row],[Audit Candidate 12]]-Audit[[#This Row],[Candidate 12]], "")</f>
        <v/>
      </c>
      <c r="AQ901" s="17">
        <f>SUMIF(Audit[[#This Row],[Difference Winner]:[Difference Candidate 12]], "&gt;0")</f>
        <v>0</v>
      </c>
      <c r="AR901" s="17">
        <f>SUM(Audit[[#This Row],[Difference Winner]:[Difference Candidate 12]])</f>
        <v>0</v>
      </c>
      <c r="AS901" s="17">
        <f>IF(Audit[[#This Row],[Times p Drawn - With Replacement]]&gt;0, IF(Audit[[#This Row],[Canceled Differences]]&lt;0, Audit[[#This Row],[Max Differences]]+ABS(Audit[[#This Row],[Canceled Differences]]), Audit[[#This Row],[Max Differences]]), 0)</f>
        <v>0</v>
      </c>
      <c r="AT901" s="17">
        <f>'Sampling Data'!AB901</f>
        <v>1.5192666779833644E-2</v>
      </c>
      <c r="AU901" s="17">
        <f>IF(
      SUM(Audit[[#This Row],[Audit Losing Candidate]:[Audit Candidate 12]])
      &lt;&gt;0,
      (Audit[[#This Row],[Winning Candidate]]-Audit[[#This Row],[Losing Candidate]]-(Audit[[#This Row],[Audit Winning Candidate]]-Audit[[#This Row],[Audit Losing Candidate]]))/(Audit[[#Totals],[Winning Candidate]]-Audit[[#Totals],[Losing Candidate]]),
      0
)</f>
        <v>0</v>
      </c>
      <c r="AV9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1" s="17">
        <f>IF(Audit[[#This Row],[Max Relative Error (ep)]] = 0, 0, Audit[[#This Row],[Max Relative Error (ep)]]/Audit[[#This Row],[Error Bound (up) - Max. possible relative overstatement]])</f>
        <v>0</v>
      </c>
      <c r="BH9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01" s="17">
        <f t="shared" si="14"/>
        <v>1</v>
      </c>
      <c r="BJ901" s="17">
        <f>PRODUCT($BI$5:BI901)</f>
        <v>0.15397941983070551</v>
      </c>
      <c r="BK901" s="19">
        <f>1 - Audit[[#This Row],[K-M P Value]]</f>
        <v>0.84602058016929449</v>
      </c>
      <c r="BL901" s="17" t="str">
        <f>IF(Audit[[#This Row],[K-M P Value]]&gt;1-'General Info'!$B$12,"Continue", "Stop")</f>
        <v>Continue</v>
      </c>
      <c r="BM901" s="22" t="b">
        <f>IF(Audit[[#This Row],[Status - Continue or stop audit]] = "Continue", TRUE, IF(BL900 = "Continue", TRUE, FALSE))</f>
        <v>1</v>
      </c>
      <c r="BN901" s="22"/>
    </row>
    <row r="902" spans="1:66" ht="15" hidden="1" customHeight="1" x14ac:dyDescent="0.35">
      <c r="A902" s="17" t="str">
        <f>'Sampling Data'!AI902</f>
        <v/>
      </c>
      <c r="B902" s="17" t="str">
        <f>'Sampling Data'!A902</f>
        <v>5621 AND U   (ED)</v>
      </c>
      <c r="C902" s="17">
        <f>'Sampling Data'!B902</f>
        <v>203</v>
      </c>
      <c r="D902" s="17">
        <f>'Sampling Data'!C902</f>
        <v>308</v>
      </c>
      <c r="E902" s="18">
        <f>'Sampling Data'!D902</f>
        <v>0</v>
      </c>
      <c r="F902" s="18">
        <f>'Sampling Data'!E902</f>
        <v>0</v>
      </c>
      <c r="G902" s="18">
        <f>'Sampling Data'!F902</f>
        <v>0</v>
      </c>
      <c r="H902" s="18">
        <f>'Sampling Data'!G902</f>
        <v>0</v>
      </c>
      <c r="I902" s="18">
        <f>'Sampling Data'!H902</f>
        <v>0</v>
      </c>
      <c r="J902" s="18">
        <f>'Sampling Data'!I902</f>
        <v>0</v>
      </c>
      <c r="K902" s="18">
        <f>'Sampling Data'!J902</f>
        <v>0</v>
      </c>
      <c r="L902" s="18">
        <f>'Sampling Data'!K902</f>
        <v>0</v>
      </c>
      <c r="M902" s="18">
        <f>'Sampling Data'!L902</f>
        <v>0</v>
      </c>
      <c r="N902" s="18">
        <f>'Sampling Data'!M902</f>
        <v>0</v>
      </c>
      <c r="O902" s="17">
        <f>'Sampling Data'!N902</f>
        <v>0</v>
      </c>
      <c r="P902" s="17">
        <f>'Sampling Data'!O902</f>
        <v>55</v>
      </c>
      <c r="Q902" s="17">
        <f>'Sampling Data'!P902</f>
        <v>566</v>
      </c>
      <c r="R902" s="17">
        <f>'Sampling Data'!AJ902</f>
        <v>0</v>
      </c>
      <c r="S902" s="111"/>
      <c r="T902" s="111"/>
      <c r="U902" s="112"/>
      <c r="V902" s="112"/>
      <c r="W902" s="111"/>
      <c r="X902" s="111"/>
      <c r="Y902" s="111"/>
      <c r="Z902" s="111"/>
      <c r="AA902" s="14"/>
      <c r="AB902" s="14"/>
      <c r="AC902" s="14"/>
      <c r="AD902" s="14"/>
      <c r="AE902" s="113" t="str">
        <f>IF(NOT(ISBLANK(Audit[[#This Row],[Audit Winning Candidate]])), Audit[[#This Row],[Audit Winning Candidate]]-Audit[[#This Row],[Winning Candidate]], "")</f>
        <v/>
      </c>
      <c r="AF902" s="17" t="str">
        <f>IF(NOT(ISBLANK(Audit[[#This Row],[Audit Losing Candidate]])), Audit[[#This Row],[Audit Losing Candidate]]-Audit[[#This Row],[Losing Candidate]], "")</f>
        <v/>
      </c>
      <c r="AG902" s="17" t="str">
        <f>IF(NOT(ISBLANK(Audit[[#This Row],[Audit Candidate 3]])), Audit[[#This Row],[Audit Candidate 3]]-Audit[[#This Row],[Candidate 3]], "")</f>
        <v/>
      </c>
      <c r="AH902" s="17" t="str">
        <f>IF(NOT(ISBLANK(Audit[[#This Row],[Audit Candidate 4]])),Audit[[#This Row],[Audit Candidate 4]]-Audit[[#This Row],[Candidate 4]], "")</f>
        <v/>
      </c>
      <c r="AI902" s="17" t="str">
        <f>IF(NOT(ISBLANK(Audit[[#This Row],[Audit Candidate 5]])), Audit[[#This Row],[Audit Candidate 5]]-Audit[[#This Row],[Candidate 5]], "")</f>
        <v/>
      </c>
      <c r="AJ902" s="17" t="str">
        <f>IF(NOT(ISBLANK(Audit[[#This Row],[Audit Candidate 6]])), Audit[[#This Row],[Audit Candidate 6]]-Audit[[#This Row],[Candidate 6]], "")</f>
        <v/>
      </c>
      <c r="AK902" s="17" t="str">
        <f>IF(NOT(ISBLANK(Audit[[#This Row],[Audit Candidate 7]])), Audit[[#This Row],[Audit Candidate 7]]-Audit[[#This Row],[Candidate 7]], "")</f>
        <v/>
      </c>
      <c r="AL902" s="17" t="str">
        <f>IF(NOT(ISBLANK(Audit[[#This Row],[Audit Candidate 8]])), Audit[[#This Row],[Audit Candidate 8]]-Audit[[#This Row],[Candidate 8]], "")</f>
        <v/>
      </c>
      <c r="AM902" s="17" t="str">
        <f>IF(NOT(ISBLANK(Audit[[#This Row],[Audit Candidate 9]])), Audit[[#This Row],[Audit Candidate 9]]-Audit[[#This Row],[Candidate 9]], "")</f>
        <v/>
      </c>
      <c r="AN902" s="17" t="str">
        <f>IF(NOT(ISBLANK(Audit[[#This Row],[Audit Candidate 10]])), Audit[[#This Row],[Audit Candidate 10]]-Audit[[#This Row],[Candidate 10]], "")</f>
        <v/>
      </c>
      <c r="AO902" s="17" t="str">
        <f>IF(NOT(ISBLANK(Audit[[#This Row],[Audit Candidate 11]])), Audit[[#This Row],[Audit Candidate 11]]-Audit[[#This Row],[Candidate 11]], "")</f>
        <v/>
      </c>
      <c r="AP902" s="17" t="str">
        <f>IF(NOT(ISBLANK(Audit[[#This Row],[Audit Candidate 12]])), Audit[[#This Row],[Audit Candidate 12]]-Audit[[#This Row],[Candidate 12]], "")</f>
        <v/>
      </c>
      <c r="AQ902" s="17">
        <f>SUMIF(Audit[[#This Row],[Difference Winner]:[Difference Candidate 12]], "&gt;0")</f>
        <v>0</v>
      </c>
      <c r="AR902" s="17">
        <f>SUM(Audit[[#This Row],[Difference Winner]:[Difference Candidate 12]])</f>
        <v>0</v>
      </c>
      <c r="AS902" s="17">
        <f>IF(Audit[[#This Row],[Times p Drawn - With Replacement]]&gt;0, IF(Audit[[#This Row],[Canceled Differences]]&lt;0, Audit[[#This Row],[Max Differences]]+ABS(Audit[[#This Row],[Canceled Differences]]), Audit[[#This Row],[Max Differences]]), 0)</f>
        <v>0</v>
      </c>
      <c r="AT902" s="17">
        <f>'Sampling Data'!AB902</f>
        <v>1.9563741300288574E-2</v>
      </c>
      <c r="AU902" s="17">
        <f>IF(
      SUM(Audit[[#This Row],[Audit Losing Candidate]:[Audit Candidate 12]])
      &lt;&gt;0,
      (Audit[[#This Row],[Winning Candidate]]-Audit[[#This Row],[Losing Candidate]]-(Audit[[#This Row],[Audit Winning Candidate]]-Audit[[#This Row],[Audit Losing Candidate]]))/(Audit[[#Totals],[Winning Candidate]]-Audit[[#Totals],[Losing Candidate]]),
      0
)</f>
        <v>0</v>
      </c>
      <c r="AV9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2" s="17">
        <f>IF(Audit[[#This Row],[Max Relative Error (ep)]] = 0, 0, Audit[[#This Row],[Max Relative Error (ep)]]/Audit[[#This Row],[Error Bound (up) - Max. possible relative overstatement]])</f>
        <v>0</v>
      </c>
      <c r="BH9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02" s="17">
        <f t="shared" si="14"/>
        <v>1</v>
      </c>
      <c r="BJ902" s="17">
        <f>PRODUCT($BI$5:BI902)</f>
        <v>0.15397941983070551</v>
      </c>
      <c r="BK902" s="19">
        <f>1 - Audit[[#This Row],[K-M P Value]]</f>
        <v>0.84602058016929449</v>
      </c>
      <c r="BL902" s="17" t="str">
        <f>IF(Audit[[#This Row],[K-M P Value]]&gt;1-'General Info'!$B$12,"Continue", "Stop")</f>
        <v>Continue</v>
      </c>
      <c r="BM902" s="22" t="b">
        <f>IF(Audit[[#This Row],[Status - Continue or stop audit]] = "Continue", TRUE, IF(BL901 = "Continue", TRUE, FALSE))</f>
        <v>1</v>
      </c>
      <c r="BN902" s="22"/>
    </row>
    <row r="903" spans="1:66" ht="15" hidden="1" customHeight="1" x14ac:dyDescent="0.35">
      <c r="A903" s="17" t="str">
        <f>'Sampling Data'!AI903</f>
        <v/>
      </c>
      <c r="B903" s="17" t="str">
        <f>'Sampling Data'!A903</f>
        <v>5622 AND V   (ED)</v>
      </c>
      <c r="C903" s="17">
        <f>'Sampling Data'!B903</f>
        <v>121</v>
      </c>
      <c r="D903" s="17">
        <f>'Sampling Data'!C903</f>
        <v>174</v>
      </c>
      <c r="E903" s="18">
        <f>'Sampling Data'!D903</f>
        <v>0</v>
      </c>
      <c r="F903" s="18">
        <f>'Sampling Data'!E903</f>
        <v>0</v>
      </c>
      <c r="G903" s="18">
        <f>'Sampling Data'!F903</f>
        <v>0</v>
      </c>
      <c r="H903" s="18">
        <f>'Sampling Data'!G903</f>
        <v>0</v>
      </c>
      <c r="I903" s="18">
        <f>'Sampling Data'!H903</f>
        <v>0</v>
      </c>
      <c r="J903" s="18">
        <f>'Sampling Data'!I903</f>
        <v>0</v>
      </c>
      <c r="K903" s="18">
        <f>'Sampling Data'!J903</f>
        <v>0</v>
      </c>
      <c r="L903" s="18">
        <f>'Sampling Data'!K903</f>
        <v>0</v>
      </c>
      <c r="M903" s="18">
        <f>'Sampling Data'!L903</f>
        <v>0</v>
      </c>
      <c r="N903" s="18">
        <f>'Sampling Data'!M903</f>
        <v>0</v>
      </c>
      <c r="O903" s="17">
        <f>'Sampling Data'!N903</f>
        <v>0</v>
      </c>
      <c r="P903" s="17">
        <f>'Sampling Data'!O903</f>
        <v>24</v>
      </c>
      <c r="Q903" s="17">
        <f>'Sampling Data'!P903</f>
        <v>319</v>
      </c>
      <c r="R903" s="17">
        <f>'Sampling Data'!AJ903</f>
        <v>0</v>
      </c>
      <c r="S903" s="111"/>
      <c r="T903" s="111"/>
      <c r="U903" s="112"/>
      <c r="V903" s="112"/>
      <c r="W903" s="111"/>
      <c r="X903" s="111"/>
      <c r="Y903" s="111"/>
      <c r="Z903" s="111"/>
      <c r="AA903" s="14"/>
      <c r="AB903" s="14"/>
      <c r="AC903" s="14"/>
      <c r="AD903" s="14"/>
      <c r="AE903" s="113" t="str">
        <f>IF(NOT(ISBLANK(Audit[[#This Row],[Audit Winning Candidate]])), Audit[[#This Row],[Audit Winning Candidate]]-Audit[[#This Row],[Winning Candidate]], "")</f>
        <v/>
      </c>
      <c r="AF903" s="17" t="str">
        <f>IF(NOT(ISBLANK(Audit[[#This Row],[Audit Losing Candidate]])), Audit[[#This Row],[Audit Losing Candidate]]-Audit[[#This Row],[Losing Candidate]], "")</f>
        <v/>
      </c>
      <c r="AG903" s="17" t="str">
        <f>IF(NOT(ISBLANK(Audit[[#This Row],[Audit Candidate 3]])), Audit[[#This Row],[Audit Candidate 3]]-Audit[[#This Row],[Candidate 3]], "")</f>
        <v/>
      </c>
      <c r="AH903" s="17" t="str">
        <f>IF(NOT(ISBLANK(Audit[[#This Row],[Audit Candidate 4]])),Audit[[#This Row],[Audit Candidate 4]]-Audit[[#This Row],[Candidate 4]], "")</f>
        <v/>
      </c>
      <c r="AI903" s="17" t="str">
        <f>IF(NOT(ISBLANK(Audit[[#This Row],[Audit Candidate 5]])), Audit[[#This Row],[Audit Candidate 5]]-Audit[[#This Row],[Candidate 5]], "")</f>
        <v/>
      </c>
      <c r="AJ903" s="17" t="str">
        <f>IF(NOT(ISBLANK(Audit[[#This Row],[Audit Candidate 6]])), Audit[[#This Row],[Audit Candidate 6]]-Audit[[#This Row],[Candidate 6]], "")</f>
        <v/>
      </c>
      <c r="AK903" s="17" t="str">
        <f>IF(NOT(ISBLANK(Audit[[#This Row],[Audit Candidate 7]])), Audit[[#This Row],[Audit Candidate 7]]-Audit[[#This Row],[Candidate 7]], "")</f>
        <v/>
      </c>
      <c r="AL903" s="17" t="str">
        <f>IF(NOT(ISBLANK(Audit[[#This Row],[Audit Candidate 8]])), Audit[[#This Row],[Audit Candidate 8]]-Audit[[#This Row],[Candidate 8]], "")</f>
        <v/>
      </c>
      <c r="AM903" s="17" t="str">
        <f>IF(NOT(ISBLANK(Audit[[#This Row],[Audit Candidate 9]])), Audit[[#This Row],[Audit Candidate 9]]-Audit[[#This Row],[Candidate 9]], "")</f>
        <v/>
      </c>
      <c r="AN903" s="17" t="str">
        <f>IF(NOT(ISBLANK(Audit[[#This Row],[Audit Candidate 10]])), Audit[[#This Row],[Audit Candidate 10]]-Audit[[#This Row],[Candidate 10]], "")</f>
        <v/>
      </c>
      <c r="AO903" s="17" t="str">
        <f>IF(NOT(ISBLANK(Audit[[#This Row],[Audit Candidate 11]])), Audit[[#This Row],[Audit Candidate 11]]-Audit[[#This Row],[Candidate 11]], "")</f>
        <v/>
      </c>
      <c r="AP903" s="17" t="str">
        <f>IF(NOT(ISBLANK(Audit[[#This Row],[Audit Candidate 12]])), Audit[[#This Row],[Audit Candidate 12]]-Audit[[#This Row],[Candidate 12]], "")</f>
        <v/>
      </c>
      <c r="AQ903" s="17">
        <f>SUMIF(Audit[[#This Row],[Difference Winner]:[Difference Candidate 12]], "&gt;0")</f>
        <v>0</v>
      </c>
      <c r="AR903" s="17">
        <f>SUM(Audit[[#This Row],[Difference Winner]:[Difference Candidate 12]])</f>
        <v>0</v>
      </c>
      <c r="AS903" s="17">
        <f>IF(Audit[[#This Row],[Times p Drawn - With Replacement]]&gt;0, IF(Audit[[#This Row],[Canceled Differences]]&lt;0, Audit[[#This Row],[Max Differences]]+ABS(Audit[[#This Row],[Canceled Differences]]), Audit[[#This Row],[Max Differences]]), 0)</f>
        <v>0</v>
      </c>
      <c r="AT903" s="17">
        <f>'Sampling Data'!AB903</f>
        <v>1.1288406043116619E-2</v>
      </c>
      <c r="AU903" s="17">
        <f>IF(
      SUM(Audit[[#This Row],[Audit Losing Candidate]:[Audit Candidate 12]])
      &lt;&gt;0,
      (Audit[[#This Row],[Winning Candidate]]-Audit[[#This Row],[Losing Candidate]]-(Audit[[#This Row],[Audit Winning Candidate]]-Audit[[#This Row],[Audit Losing Candidate]]))/(Audit[[#Totals],[Winning Candidate]]-Audit[[#Totals],[Losing Candidate]]),
      0
)</f>
        <v>0</v>
      </c>
      <c r="AV9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3" s="17">
        <f>IF(Audit[[#This Row],[Max Relative Error (ep)]] = 0, 0, Audit[[#This Row],[Max Relative Error (ep)]]/Audit[[#This Row],[Error Bound (up) - Max. possible relative overstatement]])</f>
        <v>0</v>
      </c>
      <c r="BH9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03" s="17">
        <f t="shared" si="14"/>
        <v>1</v>
      </c>
      <c r="BJ903" s="17">
        <f>PRODUCT($BI$5:BI903)</f>
        <v>0.15397941983070551</v>
      </c>
      <c r="BK903" s="19">
        <f>1 - Audit[[#This Row],[K-M P Value]]</f>
        <v>0.84602058016929449</v>
      </c>
      <c r="BL903" s="17" t="str">
        <f>IF(Audit[[#This Row],[K-M P Value]]&gt;1-'General Info'!$B$12,"Continue", "Stop")</f>
        <v>Continue</v>
      </c>
      <c r="BM903" s="22" t="b">
        <f>IF(Audit[[#This Row],[Status - Continue or stop audit]] = "Continue", TRUE, IF(BL902 = "Continue", TRUE, FALSE))</f>
        <v>1</v>
      </c>
      <c r="BN903" s="22"/>
    </row>
    <row r="904" spans="1:66" ht="15" hidden="1" customHeight="1" x14ac:dyDescent="0.35">
      <c r="A904" s="17" t="str">
        <f>'Sampling Data'!AI904</f>
        <v/>
      </c>
      <c r="B904" s="17" t="str">
        <f>'Sampling Data'!A904</f>
        <v>5623 AND W   (ED)</v>
      </c>
      <c r="C904" s="17">
        <f>'Sampling Data'!B904</f>
        <v>110</v>
      </c>
      <c r="D904" s="17">
        <f>'Sampling Data'!C904</f>
        <v>193</v>
      </c>
      <c r="E904" s="18">
        <f>'Sampling Data'!D904</f>
        <v>0</v>
      </c>
      <c r="F904" s="18">
        <f>'Sampling Data'!E904</f>
        <v>0</v>
      </c>
      <c r="G904" s="18">
        <f>'Sampling Data'!F904</f>
        <v>0</v>
      </c>
      <c r="H904" s="18">
        <f>'Sampling Data'!G904</f>
        <v>0</v>
      </c>
      <c r="I904" s="18">
        <f>'Sampling Data'!H904</f>
        <v>0</v>
      </c>
      <c r="J904" s="18">
        <f>'Sampling Data'!I904</f>
        <v>0</v>
      </c>
      <c r="K904" s="18">
        <f>'Sampling Data'!J904</f>
        <v>0</v>
      </c>
      <c r="L904" s="18">
        <f>'Sampling Data'!K904</f>
        <v>0</v>
      </c>
      <c r="M904" s="18">
        <f>'Sampling Data'!L904</f>
        <v>0</v>
      </c>
      <c r="N904" s="18">
        <f>'Sampling Data'!M904</f>
        <v>0</v>
      </c>
      <c r="O904" s="17">
        <f>'Sampling Data'!N904</f>
        <v>0</v>
      </c>
      <c r="P904" s="17">
        <f>'Sampling Data'!O904</f>
        <v>25</v>
      </c>
      <c r="Q904" s="17">
        <f>'Sampling Data'!P904</f>
        <v>328</v>
      </c>
      <c r="R904" s="17">
        <f>'Sampling Data'!AJ904</f>
        <v>0</v>
      </c>
      <c r="S904" s="111"/>
      <c r="T904" s="111"/>
      <c r="U904" s="112"/>
      <c r="V904" s="112"/>
      <c r="W904" s="111"/>
      <c r="X904" s="111"/>
      <c r="Y904" s="111"/>
      <c r="Z904" s="111"/>
      <c r="AA904" s="14"/>
      <c r="AB904" s="14"/>
      <c r="AC904" s="14"/>
      <c r="AD904" s="14"/>
      <c r="AE904" s="113" t="str">
        <f>IF(NOT(ISBLANK(Audit[[#This Row],[Audit Winning Candidate]])), Audit[[#This Row],[Audit Winning Candidate]]-Audit[[#This Row],[Winning Candidate]], "")</f>
        <v/>
      </c>
      <c r="AF904" s="17" t="str">
        <f>IF(NOT(ISBLANK(Audit[[#This Row],[Audit Losing Candidate]])), Audit[[#This Row],[Audit Losing Candidate]]-Audit[[#This Row],[Losing Candidate]], "")</f>
        <v/>
      </c>
      <c r="AG904" s="17" t="str">
        <f>IF(NOT(ISBLANK(Audit[[#This Row],[Audit Candidate 3]])), Audit[[#This Row],[Audit Candidate 3]]-Audit[[#This Row],[Candidate 3]], "")</f>
        <v/>
      </c>
      <c r="AH904" s="17" t="str">
        <f>IF(NOT(ISBLANK(Audit[[#This Row],[Audit Candidate 4]])),Audit[[#This Row],[Audit Candidate 4]]-Audit[[#This Row],[Candidate 4]], "")</f>
        <v/>
      </c>
      <c r="AI904" s="17" t="str">
        <f>IF(NOT(ISBLANK(Audit[[#This Row],[Audit Candidate 5]])), Audit[[#This Row],[Audit Candidate 5]]-Audit[[#This Row],[Candidate 5]], "")</f>
        <v/>
      </c>
      <c r="AJ904" s="17" t="str">
        <f>IF(NOT(ISBLANK(Audit[[#This Row],[Audit Candidate 6]])), Audit[[#This Row],[Audit Candidate 6]]-Audit[[#This Row],[Candidate 6]], "")</f>
        <v/>
      </c>
      <c r="AK904" s="17" t="str">
        <f>IF(NOT(ISBLANK(Audit[[#This Row],[Audit Candidate 7]])), Audit[[#This Row],[Audit Candidate 7]]-Audit[[#This Row],[Candidate 7]], "")</f>
        <v/>
      </c>
      <c r="AL904" s="17" t="str">
        <f>IF(NOT(ISBLANK(Audit[[#This Row],[Audit Candidate 8]])), Audit[[#This Row],[Audit Candidate 8]]-Audit[[#This Row],[Candidate 8]], "")</f>
        <v/>
      </c>
      <c r="AM904" s="17" t="str">
        <f>IF(NOT(ISBLANK(Audit[[#This Row],[Audit Candidate 9]])), Audit[[#This Row],[Audit Candidate 9]]-Audit[[#This Row],[Candidate 9]], "")</f>
        <v/>
      </c>
      <c r="AN904" s="17" t="str">
        <f>IF(NOT(ISBLANK(Audit[[#This Row],[Audit Candidate 10]])), Audit[[#This Row],[Audit Candidate 10]]-Audit[[#This Row],[Candidate 10]], "")</f>
        <v/>
      </c>
      <c r="AO904" s="17" t="str">
        <f>IF(NOT(ISBLANK(Audit[[#This Row],[Audit Candidate 11]])), Audit[[#This Row],[Audit Candidate 11]]-Audit[[#This Row],[Candidate 11]], "")</f>
        <v/>
      </c>
      <c r="AP904" s="17" t="str">
        <f>IF(NOT(ISBLANK(Audit[[#This Row],[Audit Candidate 12]])), Audit[[#This Row],[Audit Candidate 12]]-Audit[[#This Row],[Candidate 12]], "")</f>
        <v/>
      </c>
      <c r="AQ904" s="17">
        <f>SUMIF(Audit[[#This Row],[Difference Winner]:[Difference Candidate 12]], "&gt;0")</f>
        <v>0</v>
      </c>
      <c r="AR904" s="17">
        <f>SUM(Audit[[#This Row],[Difference Winner]:[Difference Candidate 12]])</f>
        <v>0</v>
      </c>
      <c r="AS904" s="17">
        <f>IF(Audit[[#This Row],[Times p Drawn - With Replacement]]&gt;0, IF(Audit[[#This Row],[Canceled Differences]]&lt;0, Audit[[#This Row],[Max Differences]]+ABS(Audit[[#This Row],[Canceled Differences]]), Audit[[#This Row],[Max Differences]]), 0)</f>
        <v>0</v>
      </c>
      <c r="AT904" s="17">
        <f>'Sampling Data'!AB904</f>
        <v>1.0397216092344255E-2</v>
      </c>
      <c r="AU904" s="17">
        <f>IF(
      SUM(Audit[[#This Row],[Audit Losing Candidate]:[Audit Candidate 12]])
      &lt;&gt;0,
      (Audit[[#This Row],[Winning Candidate]]-Audit[[#This Row],[Losing Candidate]]-(Audit[[#This Row],[Audit Winning Candidate]]-Audit[[#This Row],[Audit Losing Candidate]]))/(Audit[[#Totals],[Winning Candidate]]-Audit[[#Totals],[Losing Candidate]]),
      0
)</f>
        <v>0</v>
      </c>
      <c r="AV9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4" s="17">
        <f>IF(Audit[[#This Row],[Max Relative Error (ep)]] = 0, 0, Audit[[#This Row],[Max Relative Error (ep)]]/Audit[[#This Row],[Error Bound (up) - Max. possible relative overstatement]])</f>
        <v>0</v>
      </c>
      <c r="BH9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04" s="17">
        <f t="shared" si="14"/>
        <v>1</v>
      </c>
      <c r="BJ904" s="17">
        <f>PRODUCT($BI$5:BI904)</f>
        <v>0.15397941983070551</v>
      </c>
      <c r="BK904" s="19">
        <f>1 - Audit[[#This Row],[K-M P Value]]</f>
        <v>0.84602058016929449</v>
      </c>
      <c r="BL904" s="17" t="str">
        <f>IF(Audit[[#This Row],[K-M P Value]]&gt;1-'General Info'!$B$12,"Continue", "Stop")</f>
        <v>Continue</v>
      </c>
      <c r="BM904" s="22" t="b">
        <f>IF(Audit[[#This Row],[Status - Continue or stop audit]] = "Continue", TRUE, IF(BL903 = "Continue", TRUE, FALSE))</f>
        <v>1</v>
      </c>
      <c r="BN904" s="22"/>
    </row>
    <row r="905" spans="1:66" ht="15" hidden="1" customHeight="1" x14ac:dyDescent="0.35">
      <c r="A905" s="17" t="str">
        <f>'Sampling Data'!AI905</f>
        <v/>
      </c>
      <c r="B905" s="17" t="str">
        <f>'Sampling Data'!A905</f>
        <v>5624 AND X   (ED)</v>
      </c>
      <c r="C905" s="17">
        <f>'Sampling Data'!B905</f>
        <v>141</v>
      </c>
      <c r="D905" s="17">
        <f>'Sampling Data'!C905</f>
        <v>211</v>
      </c>
      <c r="E905" s="18">
        <f>'Sampling Data'!D905</f>
        <v>0</v>
      </c>
      <c r="F905" s="18">
        <f>'Sampling Data'!E905</f>
        <v>0</v>
      </c>
      <c r="G905" s="18">
        <f>'Sampling Data'!F905</f>
        <v>0</v>
      </c>
      <c r="H905" s="18">
        <f>'Sampling Data'!G905</f>
        <v>0</v>
      </c>
      <c r="I905" s="18">
        <f>'Sampling Data'!H905</f>
        <v>0</v>
      </c>
      <c r="J905" s="18">
        <f>'Sampling Data'!I905</f>
        <v>0</v>
      </c>
      <c r="K905" s="18">
        <f>'Sampling Data'!J905</f>
        <v>0</v>
      </c>
      <c r="L905" s="18">
        <f>'Sampling Data'!K905</f>
        <v>0</v>
      </c>
      <c r="M905" s="18">
        <f>'Sampling Data'!L905</f>
        <v>0</v>
      </c>
      <c r="N905" s="18">
        <f>'Sampling Data'!M905</f>
        <v>0</v>
      </c>
      <c r="O905" s="17">
        <f>'Sampling Data'!N905</f>
        <v>0</v>
      </c>
      <c r="P905" s="17">
        <f>'Sampling Data'!O905</f>
        <v>34</v>
      </c>
      <c r="Q905" s="17">
        <f>'Sampling Data'!P905</f>
        <v>386</v>
      </c>
      <c r="R905" s="17">
        <f>'Sampling Data'!AJ905</f>
        <v>0</v>
      </c>
      <c r="S905" s="111"/>
      <c r="T905" s="111"/>
      <c r="U905" s="112"/>
      <c r="V905" s="112"/>
      <c r="W905" s="111"/>
      <c r="X905" s="111"/>
      <c r="Y905" s="111"/>
      <c r="Z905" s="111"/>
      <c r="AA905" s="14"/>
      <c r="AB905" s="14"/>
      <c r="AC905" s="14"/>
      <c r="AD905" s="14"/>
      <c r="AE905" s="113" t="str">
        <f>IF(NOT(ISBLANK(Audit[[#This Row],[Audit Winning Candidate]])), Audit[[#This Row],[Audit Winning Candidate]]-Audit[[#This Row],[Winning Candidate]], "")</f>
        <v/>
      </c>
      <c r="AF905" s="17" t="str">
        <f>IF(NOT(ISBLANK(Audit[[#This Row],[Audit Losing Candidate]])), Audit[[#This Row],[Audit Losing Candidate]]-Audit[[#This Row],[Losing Candidate]], "")</f>
        <v/>
      </c>
      <c r="AG905" s="17" t="str">
        <f>IF(NOT(ISBLANK(Audit[[#This Row],[Audit Candidate 3]])), Audit[[#This Row],[Audit Candidate 3]]-Audit[[#This Row],[Candidate 3]], "")</f>
        <v/>
      </c>
      <c r="AH905" s="17" t="str">
        <f>IF(NOT(ISBLANK(Audit[[#This Row],[Audit Candidate 4]])),Audit[[#This Row],[Audit Candidate 4]]-Audit[[#This Row],[Candidate 4]], "")</f>
        <v/>
      </c>
      <c r="AI905" s="17" t="str">
        <f>IF(NOT(ISBLANK(Audit[[#This Row],[Audit Candidate 5]])), Audit[[#This Row],[Audit Candidate 5]]-Audit[[#This Row],[Candidate 5]], "")</f>
        <v/>
      </c>
      <c r="AJ905" s="17" t="str">
        <f>IF(NOT(ISBLANK(Audit[[#This Row],[Audit Candidate 6]])), Audit[[#This Row],[Audit Candidate 6]]-Audit[[#This Row],[Candidate 6]], "")</f>
        <v/>
      </c>
      <c r="AK905" s="17" t="str">
        <f>IF(NOT(ISBLANK(Audit[[#This Row],[Audit Candidate 7]])), Audit[[#This Row],[Audit Candidate 7]]-Audit[[#This Row],[Candidate 7]], "")</f>
        <v/>
      </c>
      <c r="AL905" s="17" t="str">
        <f>IF(NOT(ISBLANK(Audit[[#This Row],[Audit Candidate 8]])), Audit[[#This Row],[Audit Candidate 8]]-Audit[[#This Row],[Candidate 8]], "")</f>
        <v/>
      </c>
      <c r="AM905" s="17" t="str">
        <f>IF(NOT(ISBLANK(Audit[[#This Row],[Audit Candidate 9]])), Audit[[#This Row],[Audit Candidate 9]]-Audit[[#This Row],[Candidate 9]], "")</f>
        <v/>
      </c>
      <c r="AN905" s="17" t="str">
        <f>IF(NOT(ISBLANK(Audit[[#This Row],[Audit Candidate 10]])), Audit[[#This Row],[Audit Candidate 10]]-Audit[[#This Row],[Candidate 10]], "")</f>
        <v/>
      </c>
      <c r="AO905" s="17" t="str">
        <f>IF(NOT(ISBLANK(Audit[[#This Row],[Audit Candidate 11]])), Audit[[#This Row],[Audit Candidate 11]]-Audit[[#This Row],[Candidate 11]], "")</f>
        <v/>
      </c>
      <c r="AP905" s="17" t="str">
        <f>IF(NOT(ISBLANK(Audit[[#This Row],[Audit Candidate 12]])), Audit[[#This Row],[Audit Candidate 12]]-Audit[[#This Row],[Candidate 12]], "")</f>
        <v/>
      </c>
      <c r="AQ905" s="17">
        <f>SUMIF(Audit[[#This Row],[Difference Winner]:[Difference Candidate 12]], "&gt;0")</f>
        <v>0</v>
      </c>
      <c r="AR905" s="17">
        <f>SUM(Audit[[#This Row],[Difference Winner]:[Difference Candidate 12]])</f>
        <v>0</v>
      </c>
      <c r="AS905" s="17">
        <f>IF(Audit[[#This Row],[Times p Drawn - With Replacement]]&gt;0, IF(Audit[[#This Row],[Canceled Differences]]&lt;0, Audit[[#This Row],[Max Differences]]+ABS(Audit[[#This Row],[Canceled Differences]]), Audit[[#This Row],[Max Differences]]), 0)</f>
        <v>0</v>
      </c>
      <c r="AT905" s="17">
        <f>'Sampling Data'!AB905</f>
        <v>1.3410286878288916E-2</v>
      </c>
      <c r="AU905" s="17">
        <f>IF(
      SUM(Audit[[#This Row],[Audit Losing Candidate]:[Audit Candidate 12]])
      &lt;&gt;0,
      (Audit[[#This Row],[Winning Candidate]]-Audit[[#This Row],[Losing Candidate]]-(Audit[[#This Row],[Audit Winning Candidate]]-Audit[[#This Row],[Audit Losing Candidate]]))/(Audit[[#Totals],[Winning Candidate]]-Audit[[#Totals],[Losing Candidate]]),
      0
)</f>
        <v>0</v>
      </c>
      <c r="AV9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5" s="17">
        <f>IF(Audit[[#This Row],[Max Relative Error (ep)]] = 0, 0, Audit[[#This Row],[Max Relative Error (ep)]]/Audit[[#This Row],[Error Bound (up) - Max. possible relative overstatement]])</f>
        <v>0</v>
      </c>
      <c r="BH9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05" s="17">
        <f t="shared" si="14"/>
        <v>1</v>
      </c>
      <c r="BJ905" s="17">
        <f>PRODUCT($BI$5:BI905)</f>
        <v>0.15397941983070551</v>
      </c>
      <c r="BK905" s="19">
        <f>1 - Audit[[#This Row],[K-M P Value]]</f>
        <v>0.84602058016929449</v>
      </c>
      <c r="BL905" s="17" t="str">
        <f>IF(Audit[[#This Row],[K-M P Value]]&gt;1-'General Info'!$B$12,"Continue", "Stop")</f>
        <v>Continue</v>
      </c>
      <c r="BM905" s="22" t="b">
        <f>IF(Audit[[#This Row],[Status - Continue or stop audit]] = "Continue", TRUE, IF(BL904 = "Continue", TRUE, FALSE))</f>
        <v>1</v>
      </c>
      <c r="BN905" s="22"/>
    </row>
    <row r="906" spans="1:66" ht="15" hidden="1" customHeight="1" x14ac:dyDescent="0.35">
      <c r="A906" s="17" t="str">
        <f>'Sampling Data'!AI906</f>
        <v/>
      </c>
      <c r="B906" s="17" t="str">
        <f>'Sampling Data'!A906</f>
        <v>5625 AND Y   (ED)</v>
      </c>
      <c r="C906" s="17">
        <f>'Sampling Data'!B906</f>
        <v>88</v>
      </c>
      <c r="D906" s="17">
        <f>'Sampling Data'!C906</f>
        <v>209</v>
      </c>
      <c r="E906" s="18">
        <f>'Sampling Data'!D906</f>
        <v>0</v>
      </c>
      <c r="F906" s="18">
        <f>'Sampling Data'!E906</f>
        <v>0</v>
      </c>
      <c r="G906" s="18">
        <f>'Sampling Data'!F906</f>
        <v>0</v>
      </c>
      <c r="H906" s="18">
        <f>'Sampling Data'!G906</f>
        <v>0</v>
      </c>
      <c r="I906" s="18">
        <f>'Sampling Data'!H906</f>
        <v>0</v>
      </c>
      <c r="J906" s="18">
        <f>'Sampling Data'!I906</f>
        <v>0</v>
      </c>
      <c r="K906" s="18">
        <f>'Sampling Data'!J906</f>
        <v>0</v>
      </c>
      <c r="L906" s="18">
        <f>'Sampling Data'!K906</f>
        <v>0</v>
      </c>
      <c r="M906" s="18">
        <f>'Sampling Data'!L906</f>
        <v>0</v>
      </c>
      <c r="N906" s="18">
        <f>'Sampling Data'!M906</f>
        <v>0</v>
      </c>
      <c r="O906" s="17">
        <f>'Sampling Data'!N906</f>
        <v>0</v>
      </c>
      <c r="P906" s="17">
        <f>'Sampling Data'!O906</f>
        <v>11</v>
      </c>
      <c r="Q906" s="17">
        <f>'Sampling Data'!P906</f>
        <v>308</v>
      </c>
      <c r="R906" s="17">
        <f>'Sampling Data'!AJ906</f>
        <v>0</v>
      </c>
      <c r="S906" s="111"/>
      <c r="T906" s="111"/>
      <c r="U906" s="112"/>
      <c r="V906" s="112"/>
      <c r="W906" s="111"/>
      <c r="X906" s="111"/>
      <c r="Y906" s="111"/>
      <c r="Z906" s="111"/>
      <c r="AA906" s="14"/>
      <c r="AB906" s="14"/>
      <c r="AC906" s="14"/>
      <c r="AD906" s="14"/>
      <c r="AE906" s="113" t="str">
        <f>IF(NOT(ISBLANK(Audit[[#This Row],[Audit Winning Candidate]])), Audit[[#This Row],[Audit Winning Candidate]]-Audit[[#This Row],[Winning Candidate]], "")</f>
        <v/>
      </c>
      <c r="AF906" s="17" t="str">
        <f>IF(NOT(ISBLANK(Audit[[#This Row],[Audit Losing Candidate]])), Audit[[#This Row],[Audit Losing Candidate]]-Audit[[#This Row],[Losing Candidate]], "")</f>
        <v/>
      </c>
      <c r="AG906" s="17" t="str">
        <f>IF(NOT(ISBLANK(Audit[[#This Row],[Audit Candidate 3]])), Audit[[#This Row],[Audit Candidate 3]]-Audit[[#This Row],[Candidate 3]], "")</f>
        <v/>
      </c>
      <c r="AH906" s="17" t="str">
        <f>IF(NOT(ISBLANK(Audit[[#This Row],[Audit Candidate 4]])),Audit[[#This Row],[Audit Candidate 4]]-Audit[[#This Row],[Candidate 4]], "")</f>
        <v/>
      </c>
      <c r="AI906" s="17" t="str">
        <f>IF(NOT(ISBLANK(Audit[[#This Row],[Audit Candidate 5]])), Audit[[#This Row],[Audit Candidate 5]]-Audit[[#This Row],[Candidate 5]], "")</f>
        <v/>
      </c>
      <c r="AJ906" s="17" t="str">
        <f>IF(NOT(ISBLANK(Audit[[#This Row],[Audit Candidate 6]])), Audit[[#This Row],[Audit Candidate 6]]-Audit[[#This Row],[Candidate 6]], "")</f>
        <v/>
      </c>
      <c r="AK906" s="17" t="str">
        <f>IF(NOT(ISBLANK(Audit[[#This Row],[Audit Candidate 7]])), Audit[[#This Row],[Audit Candidate 7]]-Audit[[#This Row],[Candidate 7]], "")</f>
        <v/>
      </c>
      <c r="AL906" s="17" t="str">
        <f>IF(NOT(ISBLANK(Audit[[#This Row],[Audit Candidate 8]])), Audit[[#This Row],[Audit Candidate 8]]-Audit[[#This Row],[Candidate 8]], "")</f>
        <v/>
      </c>
      <c r="AM906" s="17" t="str">
        <f>IF(NOT(ISBLANK(Audit[[#This Row],[Audit Candidate 9]])), Audit[[#This Row],[Audit Candidate 9]]-Audit[[#This Row],[Candidate 9]], "")</f>
        <v/>
      </c>
      <c r="AN906" s="17" t="str">
        <f>IF(NOT(ISBLANK(Audit[[#This Row],[Audit Candidate 10]])), Audit[[#This Row],[Audit Candidate 10]]-Audit[[#This Row],[Candidate 10]], "")</f>
        <v/>
      </c>
      <c r="AO906" s="17" t="str">
        <f>IF(NOT(ISBLANK(Audit[[#This Row],[Audit Candidate 11]])), Audit[[#This Row],[Audit Candidate 11]]-Audit[[#This Row],[Candidate 11]], "")</f>
        <v/>
      </c>
      <c r="AP906" s="17" t="str">
        <f>IF(NOT(ISBLANK(Audit[[#This Row],[Audit Candidate 12]])), Audit[[#This Row],[Audit Candidate 12]]-Audit[[#This Row],[Candidate 12]], "")</f>
        <v/>
      </c>
      <c r="AQ906" s="17">
        <f>SUMIF(Audit[[#This Row],[Difference Winner]:[Difference Candidate 12]], "&gt;0")</f>
        <v>0</v>
      </c>
      <c r="AR906" s="17">
        <f>SUM(Audit[[#This Row],[Difference Winner]:[Difference Candidate 12]])</f>
        <v>0</v>
      </c>
      <c r="AS906" s="17">
        <f>IF(Audit[[#This Row],[Times p Drawn - With Replacement]]&gt;0, IF(Audit[[#This Row],[Canceled Differences]]&lt;0, Audit[[#This Row],[Max Differences]]+ABS(Audit[[#This Row],[Canceled Differences]]), Audit[[#This Row],[Max Differences]]), 0)</f>
        <v>0</v>
      </c>
      <c r="AT906" s="17">
        <f>'Sampling Data'!AB906</f>
        <v>7.9358343235443902E-3</v>
      </c>
      <c r="AU906" s="17">
        <f>IF(
      SUM(Audit[[#This Row],[Audit Losing Candidate]:[Audit Candidate 12]])
      &lt;&gt;0,
      (Audit[[#This Row],[Winning Candidate]]-Audit[[#This Row],[Losing Candidate]]-(Audit[[#This Row],[Audit Winning Candidate]]-Audit[[#This Row],[Audit Losing Candidate]]))/(Audit[[#Totals],[Winning Candidate]]-Audit[[#Totals],[Losing Candidate]]),
      0
)</f>
        <v>0</v>
      </c>
      <c r="AV9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6" s="17">
        <f>IF(Audit[[#This Row],[Max Relative Error (ep)]] = 0, 0, Audit[[#This Row],[Max Relative Error (ep)]]/Audit[[#This Row],[Error Bound (up) - Max. possible relative overstatement]])</f>
        <v>0</v>
      </c>
      <c r="BH9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06" s="17">
        <f t="shared" si="14"/>
        <v>1</v>
      </c>
      <c r="BJ906" s="17">
        <f>PRODUCT($BI$5:BI906)</f>
        <v>0.15397941983070551</v>
      </c>
      <c r="BK906" s="19">
        <f>1 - Audit[[#This Row],[K-M P Value]]</f>
        <v>0.84602058016929449</v>
      </c>
      <c r="BL906" s="17" t="str">
        <f>IF(Audit[[#This Row],[K-M P Value]]&gt;1-'General Info'!$B$12,"Continue", "Stop")</f>
        <v>Continue</v>
      </c>
      <c r="BM906" s="22" t="b">
        <f>IF(Audit[[#This Row],[Status - Continue or stop audit]] = "Continue", TRUE, IF(BL905 = "Continue", TRUE, FALSE))</f>
        <v>1</v>
      </c>
      <c r="BN906" s="22"/>
    </row>
    <row r="907" spans="1:66" ht="15" hidden="1" customHeight="1" x14ac:dyDescent="0.35">
      <c r="A907" s="17" t="str">
        <f>'Sampling Data'!AI907</f>
        <v/>
      </c>
      <c r="B907" s="17" t="str">
        <f>'Sampling Data'!A907</f>
        <v>5626 AND Z   (ED)</v>
      </c>
      <c r="C907" s="17">
        <f>'Sampling Data'!B907</f>
        <v>176</v>
      </c>
      <c r="D907" s="17">
        <f>'Sampling Data'!C907</f>
        <v>340</v>
      </c>
      <c r="E907" s="18">
        <f>'Sampling Data'!D907</f>
        <v>0</v>
      </c>
      <c r="F907" s="18">
        <f>'Sampling Data'!E907</f>
        <v>0</v>
      </c>
      <c r="G907" s="18">
        <f>'Sampling Data'!F907</f>
        <v>0</v>
      </c>
      <c r="H907" s="18">
        <f>'Sampling Data'!G907</f>
        <v>0</v>
      </c>
      <c r="I907" s="18">
        <f>'Sampling Data'!H907</f>
        <v>0</v>
      </c>
      <c r="J907" s="18">
        <f>'Sampling Data'!I907</f>
        <v>0</v>
      </c>
      <c r="K907" s="18">
        <f>'Sampling Data'!J907</f>
        <v>0</v>
      </c>
      <c r="L907" s="18">
        <f>'Sampling Data'!K907</f>
        <v>0</v>
      </c>
      <c r="M907" s="18">
        <f>'Sampling Data'!L907</f>
        <v>0</v>
      </c>
      <c r="N907" s="18">
        <f>'Sampling Data'!M907</f>
        <v>0</v>
      </c>
      <c r="O907" s="17">
        <f>'Sampling Data'!N907</f>
        <v>0</v>
      </c>
      <c r="P907" s="17">
        <f>'Sampling Data'!O907</f>
        <v>34</v>
      </c>
      <c r="Q907" s="17">
        <f>'Sampling Data'!P907</f>
        <v>550</v>
      </c>
      <c r="R907" s="17">
        <f>'Sampling Data'!AJ907</f>
        <v>0</v>
      </c>
      <c r="S907" s="111"/>
      <c r="T907" s="111"/>
      <c r="U907" s="112"/>
      <c r="V907" s="112"/>
      <c r="W907" s="111"/>
      <c r="X907" s="111"/>
      <c r="Y907" s="111"/>
      <c r="Z907" s="111"/>
      <c r="AA907" s="14"/>
      <c r="AB907" s="14"/>
      <c r="AC907" s="14"/>
      <c r="AD907" s="14"/>
      <c r="AE907" s="113" t="str">
        <f>IF(NOT(ISBLANK(Audit[[#This Row],[Audit Winning Candidate]])), Audit[[#This Row],[Audit Winning Candidate]]-Audit[[#This Row],[Winning Candidate]], "")</f>
        <v/>
      </c>
      <c r="AF907" s="17" t="str">
        <f>IF(NOT(ISBLANK(Audit[[#This Row],[Audit Losing Candidate]])), Audit[[#This Row],[Audit Losing Candidate]]-Audit[[#This Row],[Losing Candidate]], "")</f>
        <v/>
      </c>
      <c r="AG907" s="17" t="str">
        <f>IF(NOT(ISBLANK(Audit[[#This Row],[Audit Candidate 3]])), Audit[[#This Row],[Audit Candidate 3]]-Audit[[#This Row],[Candidate 3]], "")</f>
        <v/>
      </c>
      <c r="AH907" s="17" t="str">
        <f>IF(NOT(ISBLANK(Audit[[#This Row],[Audit Candidate 4]])),Audit[[#This Row],[Audit Candidate 4]]-Audit[[#This Row],[Candidate 4]], "")</f>
        <v/>
      </c>
      <c r="AI907" s="17" t="str">
        <f>IF(NOT(ISBLANK(Audit[[#This Row],[Audit Candidate 5]])), Audit[[#This Row],[Audit Candidate 5]]-Audit[[#This Row],[Candidate 5]], "")</f>
        <v/>
      </c>
      <c r="AJ907" s="17" t="str">
        <f>IF(NOT(ISBLANK(Audit[[#This Row],[Audit Candidate 6]])), Audit[[#This Row],[Audit Candidate 6]]-Audit[[#This Row],[Candidate 6]], "")</f>
        <v/>
      </c>
      <c r="AK907" s="17" t="str">
        <f>IF(NOT(ISBLANK(Audit[[#This Row],[Audit Candidate 7]])), Audit[[#This Row],[Audit Candidate 7]]-Audit[[#This Row],[Candidate 7]], "")</f>
        <v/>
      </c>
      <c r="AL907" s="17" t="str">
        <f>IF(NOT(ISBLANK(Audit[[#This Row],[Audit Candidate 8]])), Audit[[#This Row],[Audit Candidate 8]]-Audit[[#This Row],[Candidate 8]], "")</f>
        <v/>
      </c>
      <c r="AM907" s="17" t="str">
        <f>IF(NOT(ISBLANK(Audit[[#This Row],[Audit Candidate 9]])), Audit[[#This Row],[Audit Candidate 9]]-Audit[[#This Row],[Candidate 9]], "")</f>
        <v/>
      </c>
      <c r="AN907" s="17" t="str">
        <f>IF(NOT(ISBLANK(Audit[[#This Row],[Audit Candidate 10]])), Audit[[#This Row],[Audit Candidate 10]]-Audit[[#This Row],[Candidate 10]], "")</f>
        <v/>
      </c>
      <c r="AO907" s="17" t="str">
        <f>IF(NOT(ISBLANK(Audit[[#This Row],[Audit Candidate 11]])), Audit[[#This Row],[Audit Candidate 11]]-Audit[[#This Row],[Candidate 11]], "")</f>
        <v/>
      </c>
      <c r="AP907" s="17" t="str">
        <f>IF(NOT(ISBLANK(Audit[[#This Row],[Audit Candidate 12]])), Audit[[#This Row],[Audit Candidate 12]]-Audit[[#This Row],[Candidate 12]], "")</f>
        <v/>
      </c>
      <c r="AQ907" s="17">
        <f>SUMIF(Audit[[#This Row],[Difference Winner]:[Difference Candidate 12]], "&gt;0")</f>
        <v>0</v>
      </c>
      <c r="AR907" s="17">
        <f>SUM(Audit[[#This Row],[Difference Winner]:[Difference Candidate 12]])</f>
        <v>0</v>
      </c>
      <c r="AS907" s="17">
        <f>IF(Audit[[#This Row],[Times p Drawn - With Replacement]]&gt;0, IF(Audit[[#This Row],[Canceled Differences]]&lt;0, Audit[[#This Row],[Max Differences]]+ABS(Audit[[#This Row],[Canceled Differences]]), Audit[[#This Row],[Max Differences]]), 0)</f>
        <v>0</v>
      </c>
      <c r="AT907" s="17">
        <f>'Sampling Data'!AB907</f>
        <v>1.6380920047530129E-2</v>
      </c>
      <c r="AU907" s="17">
        <f>IF(
      SUM(Audit[[#This Row],[Audit Losing Candidate]:[Audit Candidate 12]])
      &lt;&gt;0,
      (Audit[[#This Row],[Winning Candidate]]-Audit[[#This Row],[Losing Candidate]]-(Audit[[#This Row],[Audit Winning Candidate]]-Audit[[#This Row],[Audit Losing Candidate]]))/(Audit[[#Totals],[Winning Candidate]]-Audit[[#Totals],[Losing Candidate]]),
      0
)</f>
        <v>0</v>
      </c>
      <c r="AV9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7" s="17">
        <f>IF(Audit[[#This Row],[Max Relative Error (ep)]] = 0, 0, Audit[[#This Row],[Max Relative Error (ep)]]/Audit[[#This Row],[Error Bound (up) - Max. possible relative overstatement]])</f>
        <v>0</v>
      </c>
      <c r="BH9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07" s="17">
        <f t="shared" si="14"/>
        <v>1</v>
      </c>
      <c r="BJ907" s="17">
        <f>PRODUCT($BI$5:BI907)</f>
        <v>0.15397941983070551</v>
      </c>
      <c r="BK907" s="19">
        <f>1 - Audit[[#This Row],[K-M P Value]]</f>
        <v>0.84602058016929449</v>
      </c>
      <c r="BL907" s="17" t="str">
        <f>IF(Audit[[#This Row],[K-M P Value]]&gt;1-'General Info'!$B$12,"Continue", "Stop")</f>
        <v>Continue</v>
      </c>
      <c r="BM907" s="22" t="b">
        <f>IF(Audit[[#This Row],[Status - Continue or stop audit]] = "Continue", TRUE, IF(BL906 = "Continue", TRUE, FALSE))</f>
        <v>1</v>
      </c>
      <c r="BN907" s="22"/>
    </row>
    <row r="908" spans="1:66" ht="15" hidden="1" customHeight="1" x14ac:dyDescent="0.35">
      <c r="A908" s="17" t="str">
        <f>'Sampling Data'!AI908</f>
        <v/>
      </c>
      <c r="B908" s="17" t="str">
        <f>'Sampling Data'!A908</f>
        <v>5627 AND AA   (ED)</v>
      </c>
      <c r="C908" s="17">
        <f>'Sampling Data'!B908</f>
        <v>248</v>
      </c>
      <c r="D908" s="17">
        <f>'Sampling Data'!C908</f>
        <v>341</v>
      </c>
      <c r="E908" s="18">
        <f>'Sampling Data'!D908</f>
        <v>0</v>
      </c>
      <c r="F908" s="18">
        <f>'Sampling Data'!E908</f>
        <v>0</v>
      </c>
      <c r="G908" s="18">
        <f>'Sampling Data'!F908</f>
        <v>0</v>
      </c>
      <c r="H908" s="18">
        <f>'Sampling Data'!G908</f>
        <v>0</v>
      </c>
      <c r="I908" s="18">
        <f>'Sampling Data'!H908</f>
        <v>0</v>
      </c>
      <c r="J908" s="18">
        <f>'Sampling Data'!I908</f>
        <v>0</v>
      </c>
      <c r="K908" s="18">
        <f>'Sampling Data'!J908</f>
        <v>0</v>
      </c>
      <c r="L908" s="18">
        <f>'Sampling Data'!K908</f>
        <v>0</v>
      </c>
      <c r="M908" s="18">
        <f>'Sampling Data'!L908</f>
        <v>0</v>
      </c>
      <c r="N908" s="18">
        <f>'Sampling Data'!M908</f>
        <v>0</v>
      </c>
      <c r="O908" s="17">
        <f>'Sampling Data'!N908</f>
        <v>0</v>
      </c>
      <c r="P908" s="17">
        <f>'Sampling Data'!O908</f>
        <v>38</v>
      </c>
      <c r="Q908" s="17">
        <f>'Sampling Data'!P908</f>
        <v>627</v>
      </c>
      <c r="R908" s="17">
        <f>'Sampling Data'!AJ908</f>
        <v>0</v>
      </c>
      <c r="S908" s="111"/>
      <c r="T908" s="111"/>
      <c r="U908" s="112"/>
      <c r="V908" s="112"/>
      <c r="W908" s="111"/>
      <c r="X908" s="111"/>
      <c r="Y908" s="111"/>
      <c r="Z908" s="111"/>
      <c r="AA908" s="14"/>
      <c r="AB908" s="14"/>
      <c r="AC908" s="14"/>
      <c r="AD908" s="14"/>
      <c r="AE908" s="113" t="str">
        <f>IF(NOT(ISBLANK(Audit[[#This Row],[Audit Winning Candidate]])), Audit[[#This Row],[Audit Winning Candidate]]-Audit[[#This Row],[Winning Candidate]], "")</f>
        <v/>
      </c>
      <c r="AF908" s="17" t="str">
        <f>IF(NOT(ISBLANK(Audit[[#This Row],[Audit Losing Candidate]])), Audit[[#This Row],[Audit Losing Candidate]]-Audit[[#This Row],[Losing Candidate]], "")</f>
        <v/>
      </c>
      <c r="AG908" s="17" t="str">
        <f>IF(NOT(ISBLANK(Audit[[#This Row],[Audit Candidate 3]])), Audit[[#This Row],[Audit Candidate 3]]-Audit[[#This Row],[Candidate 3]], "")</f>
        <v/>
      </c>
      <c r="AH908" s="17" t="str">
        <f>IF(NOT(ISBLANK(Audit[[#This Row],[Audit Candidate 4]])),Audit[[#This Row],[Audit Candidate 4]]-Audit[[#This Row],[Candidate 4]], "")</f>
        <v/>
      </c>
      <c r="AI908" s="17" t="str">
        <f>IF(NOT(ISBLANK(Audit[[#This Row],[Audit Candidate 5]])), Audit[[#This Row],[Audit Candidate 5]]-Audit[[#This Row],[Candidate 5]], "")</f>
        <v/>
      </c>
      <c r="AJ908" s="17" t="str">
        <f>IF(NOT(ISBLANK(Audit[[#This Row],[Audit Candidate 6]])), Audit[[#This Row],[Audit Candidate 6]]-Audit[[#This Row],[Candidate 6]], "")</f>
        <v/>
      </c>
      <c r="AK908" s="17" t="str">
        <f>IF(NOT(ISBLANK(Audit[[#This Row],[Audit Candidate 7]])), Audit[[#This Row],[Audit Candidate 7]]-Audit[[#This Row],[Candidate 7]], "")</f>
        <v/>
      </c>
      <c r="AL908" s="17" t="str">
        <f>IF(NOT(ISBLANK(Audit[[#This Row],[Audit Candidate 8]])), Audit[[#This Row],[Audit Candidate 8]]-Audit[[#This Row],[Candidate 8]], "")</f>
        <v/>
      </c>
      <c r="AM908" s="17" t="str">
        <f>IF(NOT(ISBLANK(Audit[[#This Row],[Audit Candidate 9]])), Audit[[#This Row],[Audit Candidate 9]]-Audit[[#This Row],[Candidate 9]], "")</f>
        <v/>
      </c>
      <c r="AN908" s="17" t="str">
        <f>IF(NOT(ISBLANK(Audit[[#This Row],[Audit Candidate 10]])), Audit[[#This Row],[Audit Candidate 10]]-Audit[[#This Row],[Candidate 10]], "")</f>
        <v/>
      </c>
      <c r="AO908" s="17" t="str">
        <f>IF(NOT(ISBLANK(Audit[[#This Row],[Audit Candidate 11]])), Audit[[#This Row],[Audit Candidate 11]]-Audit[[#This Row],[Candidate 11]], "")</f>
        <v/>
      </c>
      <c r="AP908" s="17" t="str">
        <f>IF(NOT(ISBLANK(Audit[[#This Row],[Audit Candidate 12]])), Audit[[#This Row],[Audit Candidate 12]]-Audit[[#This Row],[Candidate 12]], "")</f>
        <v/>
      </c>
      <c r="AQ908" s="17">
        <f>SUMIF(Audit[[#This Row],[Difference Winner]:[Difference Candidate 12]], "&gt;0")</f>
        <v>0</v>
      </c>
      <c r="AR908" s="17">
        <f>SUM(Audit[[#This Row],[Difference Winner]:[Difference Candidate 12]])</f>
        <v>0</v>
      </c>
      <c r="AS908" s="17">
        <f>IF(Audit[[#This Row],[Times p Drawn - With Replacement]]&gt;0, IF(Audit[[#This Row],[Canceled Differences]]&lt;0, Audit[[#This Row],[Max Differences]]+ABS(Audit[[#This Row],[Canceled Differences]]), Audit[[#This Row],[Max Differences]]), 0)</f>
        <v>0</v>
      </c>
      <c r="AT908" s="17">
        <f>'Sampling Data'!AB908</f>
        <v>2.266168731964013E-2</v>
      </c>
      <c r="AU908" s="17">
        <f>IF(
      SUM(Audit[[#This Row],[Audit Losing Candidate]:[Audit Candidate 12]])
      &lt;&gt;0,
      (Audit[[#This Row],[Winning Candidate]]-Audit[[#This Row],[Losing Candidate]]-(Audit[[#This Row],[Audit Winning Candidate]]-Audit[[#This Row],[Audit Losing Candidate]]))/(Audit[[#Totals],[Winning Candidate]]-Audit[[#Totals],[Losing Candidate]]),
      0
)</f>
        <v>0</v>
      </c>
      <c r="AV9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8" s="17">
        <f>IF(Audit[[#This Row],[Max Relative Error (ep)]] = 0, 0, Audit[[#This Row],[Max Relative Error (ep)]]/Audit[[#This Row],[Error Bound (up) - Max. possible relative overstatement]])</f>
        <v>0</v>
      </c>
      <c r="BH9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08" s="17">
        <f t="shared" si="14"/>
        <v>1</v>
      </c>
      <c r="BJ908" s="17">
        <f>PRODUCT($BI$5:BI908)</f>
        <v>0.15397941983070551</v>
      </c>
      <c r="BK908" s="19">
        <f>1 - Audit[[#This Row],[K-M P Value]]</f>
        <v>0.84602058016929449</v>
      </c>
      <c r="BL908" s="17" t="str">
        <f>IF(Audit[[#This Row],[K-M P Value]]&gt;1-'General Info'!$B$12,"Continue", "Stop")</f>
        <v>Continue</v>
      </c>
      <c r="BM908" s="22" t="b">
        <f>IF(Audit[[#This Row],[Status - Continue or stop audit]] = "Continue", TRUE, IF(BL907 = "Continue", TRUE, FALSE))</f>
        <v>1</v>
      </c>
      <c r="BN908" s="22"/>
    </row>
    <row r="909" spans="1:66" ht="15" hidden="1" customHeight="1" x14ac:dyDescent="0.35">
      <c r="A909" s="17" t="str">
        <f>'Sampling Data'!AI909</f>
        <v/>
      </c>
      <c r="B909" s="17" t="str">
        <f>'Sampling Data'!A909</f>
        <v>5628 AND BB   (ED)</v>
      </c>
      <c r="C909" s="17">
        <f>'Sampling Data'!B909</f>
        <v>215</v>
      </c>
      <c r="D909" s="17">
        <f>'Sampling Data'!C909</f>
        <v>293</v>
      </c>
      <c r="E909" s="18">
        <f>'Sampling Data'!D909</f>
        <v>0</v>
      </c>
      <c r="F909" s="18">
        <f>'Sampling Data'!E909</f>
        <v>0</v>
      </c>
      <c r="G909" s="18">
        <f>'Sampling Data'!F909</f>
        <v>0</v>
      </c>
      <c r="H909" s="18">
        <f>'Sampling Data'!G909</f>
        <v>0</v>
      </c>
      <c r="I909" s="18">
        <f>'Sampling Data'!H909</f>
        <v>0</v>
      </c>
      <c r="J909" s="18">
        <f>'Sampling Data'!I909</f>
        <v>0</v>
      </c>
      <c r="K909" s="18">
        <f>'Sampling Data'!J909</f>
        <v>0</v>
      </c>
      <c r="L909" s="18">
        <f>'Sampling Data'!K909</f>
        <v>0</v>
      </c>
      <c r="M909" s="18">
        <f>'Sampling Data'!L909</f>
        <v>0</v>
      </c>
      <c r="N909" s="18">
        <f>'Sampling Data'!M909</f>
        <v>0</v>
      </c>
      <c r="O909" s="17">
        <f>'Sampling Data'!N909</f>
        <v>1</v>
      </c>
      <c r="P909" s="17">
        <f>'Sampling Data'!O909</f>
        <v>51</v>
      </c>
      <c r="Q909" s="17">
        <f>'Sampling Data'!P909</f>
        <v>560</v>
      </c>
      <c r="R909" s="17">
        <f>'Sampling Data'!AJ909</f>
        <v>0</v>
      </c>
      <c r="S909" s="111"/>
      <c r="T909" s="111"/>
      <c r="U909" s="112"/>
      <c r="V909" s="112"/>
      <c r="W909" s="111"/>
      <c r="X909" s="111"/>
      <c r="Y909" s="111"/>
      <c r="Z909" s="111"/>
      <c r="AA909" s="14"/>
      <c r="AB909" s="14"/>
      <c r="AC909" s="14"/>
      <c r="AD909" s="14"/>
      <c r="AE909" s="113" t="str">
        <f>IF(NOT(ISBLANK(Audit[[#This Row],[Audit Winning Candidate]])), Audit[[#This Row],[Audit Winning Candidate]]-Audit[[#This Row],[Winning Candidate]], "")</f>
        <v/>
      </c>
      <c r="AF909" s="17" t="str">
        <f>IF(NOT(ISBLANK(Audit[[#This Row],[Audit Losing Candidate]])), Audit[[#This Row],[Audit Losing Candidate]]-Audit[[#This Row],[Losing Candidate]], "")</f>
        <v/>
      </c>
      <c r="AG909" s="17" t="str">
        <f>IF(NOT(ISBLANK(Audit[[#This Row],[Audit Candidate 3]])), Audit[[#This Row],[Audit Candidate 3]]-Audit[[#This Row],[Candidate 3]], "")</f>
        <v/>
      </c>
      <c r="AH909" s="17" t="str">
        <f>IF(NOT(ISBLANK(Audit[[#This Row],[Audit Candidate 4]])),Audit[[#This Row],[Audit Candidate 4]]-Audit[[#This Row],[Candidate 4]], "")</f>
        <v/>
      </c>
      <c r="AI909" s="17" t="str">
        <f>IF(NOT(ISBLANK(Audit[[#This Row],[Audit Candidate 5]])), Audit[[#This Row],[Audit Candidate 5]]-Audit[[#This Row],[Candidate 5]], "")</f>
        <v/>
      </c>
      <c r="AJ909" s="17" t="str">
        <f>IF(NOT(ISBLANK(Audit[[#This Row],[Audit Candidate 6]])), Audit[[#This Row],[Audit Candidate 6]]-Audit[[#This Row],[Candidate 6]], "")</f>
        <v/>
      </c>
      <c r="AK909" s="17" t="str">
        <f>IF(NOT(ISBLANK(Audit[[#This Row],[Audit Candidate 7]])), Audit[[#This Row],[Audit Candidate 7]]-Audit[[#This Row],[Candidate 7]], "")</f>
        <v/>
      </c>
      <c r="AL909" s="17" t="str">
        <f>IF(NOT(ISBLANK(Audit[[#This Row],[Audit Candidate 8]])), Audit[[#This Row],[Audit Candidate 8]]-Audit[[#This Row],[Candidate 8]], "")</f>
        <v/>
      </c>
      <c r="AM909" s="17" t="str">
        <f>IF(NOT(ISBLANK(Audit[[#This Row],[Audit Candidate 9]])), Audit[[#This Row],[Audit Candidate 9]]-Audit[[#This Row],[Candidate 9]], "")</f>
        <v/>
      </c>
      <c r="AN909" s="17" t="str">
        <f>IF(NOT(ISBLANK(Audit[[#This Row],[Audit Candidate 10]])), Audit[[#This Row],[Audit Candidate 10]]-Audit[[#This Row],[Candidate 10]], "")</f>
        <v/>
      </c>
      <c r="AO909" s="17" t="str">
        <f>IF(NOT(ISBLANK(Audit[[#This Row],[Audit Candidate 11]])), Audit[[#This Row],[Audit Candidate 11]]-Audit[[#This Row],[Candidate 11]], "")</f>
        <v/>
      </c>
      <c r="AP909" s="17" t="str">
        <f>IF(NOT(ISBLANK(Audit[[#This Row],[Audit Candidate 12]])), Audit[[#This Row],[Audit Candidate 12]]-Audit[[#This Row],[Candidate 12]], "")</f>
        <v/>
      </c>
      <c r="AQ909" s="17">
        <f>SUMIF(Audit[[#This Row],[Difference Winner]:[Difference Candidate 12]], "&gt;0")</f>
        <v>0</v>
      </c>
      <c r="AR909" s="17">
        <f>SUM(Audit[[#This Row],[Difference Winner]:[Difference Candidate 12]])</f>
        <v>0</v>
      </c>
      <c r="AS909" s="17">
        <f>IF(Audit[[#This Row],[Times p Drawn - With Replacement]]&gt;0, IF(Audit[[#This Row],[Canceled Differences]]&lt;0, Audit[[#This Row],[Max Differences]]+ABS(Audit[[#This Row],[Canceled Differences]]), Audit[[#This Row],[Max Differences]]), 0)</f>
        <v>0</v>
      </c>
      <c r="AT909" s="17">
        <f>'Sampling Data'!AB909</f>
        <v>2.0454931251060942E-2</v>
      </c>
      <c r="AU909" s="17">
        <f>IF(
      SUM(Audit[[#This Row],[Audit Losing Candidate]:[Audit Candidate 12]])
      &lt;&gt;0,
      (Audit[[#This Row],[Winning Candidate]]-Audit[[#This Row],[Losing Candidate]]-(Audit[[#This Row],[Audit Winning Candidate]]-Audit[[#This Row],[Audit Losing Candidate]]))/(Audit[[#Totals],[Winning Candidate]]-Audit[[#Totals],[Losing Candidate]]),
      0
)</f>
        <v>0</v>
      </c>
      <c r="AV9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9" s="17">
        <f>IF(Audit[[#This Row],[Max Relative Error (ep)]] = 0, 0, Audit[[#This Row],[Max Relative Error (ep)]]/Audit[[#This Row],[Error Bound (up) - Max. possible relative overstatement]])</f>
        <v>0</v>
      </c>
      <c r="BH9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09" s="17">
        <f t="shared" si="14"/>
        <v>1</v>
      </c>
      <c r="BJ909" s="17">
        <f>PRODUCT($BI$5:BI909)</f>
        <v>0.15397941983070551</v>
      </c>
      <c r="BK909" s="19">
        <f>1 - Audit[[#This Row],[K-M P Value]]</f>
        <v>0.84602058016929449</v>
      </c>
      <c r="BL909" s="17" t="str">
        <f>IF(Audit[[#This Row],[K-M P Value]]&gt;1-'General Info'!$B$12,"Continue", "Stop")</f>
        <v>Continue</v>
      </c>
      <c r="BM909" s="22" t="b">
        <f>IF(Audit[[#This Row],[Status - Continue or stop audit]] = "Continue", TRUE, IF(BL908 = "Continue", TRUE, FALSE))</f>
        <v>1</v>
      </c>
      <c r="BN909" s="22"/>
    </row>
    <row r="910" spans="1:66" ht="15" hidden="1" customHeight="1" x14ac:dyDescent="0.35">
      <c r="A910" s="17" t="str">
        <f>'Sampling Data'!AI910</f>
        <v/>
      </c>
      <c r="B910" s="17" t="str">
        <f>'Sampling Data'!A910</f>
        <v>5629 AND CC   (ED)</v>
      </c>
      <c r="C910" s="17">
        <f>'Sampling Data'!B910</f>
        <v>125</v>
      </c>
      <c r="D910" s="17">
        <f>'Sampling Data'!C910</f>
        <v>203</v>
      </c>
      <c r="E910" s="18">
        <f>'Sampling Data'!D910</f>
        <v>0</v>
      </c>
      <c r="F910" s="18">
        <f>'Sampling Data'!E910</f>
        <v>0</v>
      </c>
      <c r="G910" s="18">
        <f>'Sampling Data'!F910</f>
        <v>0</v>
      </c>
      <c r="H910" s="18">
        <f>'Sampling Data'!G910</f>
        <v>0</v>
      </c>
      <c r="I910" s="18">
        <f>'Sampling Data'!H910</f>
        <v>0</v>
      </c>
      <c r="J910" s="18">
        <f>'Sampling Data'!I910</f>
        <v>0</v>
      </c>
      <c r="K910" s="18">
        <f>'Sampling Data'!J910</f>
        <v>0</v>
      </c>
      <c r="L910" s="18">
        <f>'Sampling Data'!K910</f>
        <v>0</v>
      </c>
      <c r="M910" s="18">
        <f>'Sampling Data'!L910</f>
        <v>0</v>
      </c>
      <c r="N910" s="18">
        <f>'Sampling Data'!M910</f>
        <v>0</v>
      </c>
      <c r="O910" s="17">
        <f>'Sampling Data'!N910</f>
        <v>0</v>
      </c>
      <c r="P910" s="17">
        <f>'Sampling Data'!O910</f>
        <v>22</v>
      </c>
      <c r="Q910" s="17">
        <f>'Sampling Data'!P910</f>
        <v>350</v>
      </c>
      <c r="R910" s="17">
        <f>'Sampling Data'!AJ910</f>
        <v>0</v>
      </c>
      <c r="S910" s="111"/>
      <c r="T910" s="111"/>
      <c r="U910" s="112"/>
      <c r="V910" s="112"/>
      <c r="W910" s="111"/>
      <c r="X910" s="111"/>
      <c r="Y910" s="111"/>
      <c r="Z910" s="111"/>
      <c r="AA910" s="14"/>
      <c r="AB910" s="14"/>
      <c r="AC910" s="14"/>
      <c r="AD910" s="14"/>
      <c r="AE910" s="113" t="str">
        <f>IF(NOT(ISBLANK(Audit[[#This Row],[Audit Winning Candidate]])), Audit[[#This Row],[Audit Winning Candidate]]-Audit[[#This Row],[Winning Candidate]], "")</f>
        <v/>
      </c>
      <c r="AF910" s="17" t="str">
        <f>IF(NOT(ISBLANK(Audit[[#This Row],[Audit Losing Candidate]])), Audit[[#This Row],[Audit Losing Candidate]]-Audit[[#This Row],[Losing Candidate]], "")</f>
        <v/>
      </c>
      <c r="AG910" s="17" t="str">
        <f>IF(NOT(ISBLANK(Audit[[#This Row],[Audit Candidate 3]])), Audit[[#This Row],[Audit Candidate 3]]-Audit[[#This Row],[Candidate 3]], "")</f>
        <v/>
      </c>
      <c r="AH910" s="17" t="str">
        <f>IF(NOT(ISBLANK(Audit[[#This Row],[Audit Candidate 4]])),Audit[[#This Row],[Audit Candidate 4]]-Audit[[#This Row],[Candidate 4]], "")</f>
        <v/>
      </c>
      <c r="AI910" s="17" t="str">
        <f>IF(NOT(ISBLANK(Audit[[#This Row],[Audit Candidate 5]])), Audit[[#This Row],[Audit Candidate 5]]-Audit[[#This Row],[Candidate 5]], "")</f>
        <v/>
      </c>
      <c r="AJ910" s="17" t="str">
        <f>IF(NOT(ISBLANK(Audit[[#This Row],[Audit Candidate 6]])), Audit[[#This Row],[Audit Candidate 6]]-Audit[[#This Row],[Candidate 6]], "")</f>
        <v/>
      </c>
      <c r="AK910" s="17" t="str">
        <f>IF(NOT(ISBLANK(Audit[[#This Row],[Audit Candidate 7]])), Audit[[#This Row],[Audit Candidate 7]]-Audit[[#This Row],[Candidate 7]], "")</f>
        <v/>
      </c>
      <c r="AL910" s="17" t="str">
        <f>IF(NOT(ISBLANK(Audit[[#This Row],[Audit Candidate 8]])), Audit[[#This Row],[Audit Candidate 8]]-Audit[[#This Row],[Candidate 8]], "")</f>
        <v/>
      </c>
      <c r="AM910" s="17" t="str">
        <f>IF(NOT(ISBLANK(Audit[[#This Row],[Audit Candidate 9]])), Audit[[#This Row],[Audit Candidate 9]]-Audit[[#This Row],[Candidate 9]], "")</f>
        <v/>
      </c>
      <c r="AN910" s="17" t="str">
        <f>IF(NOT(ISBLANK(Audit[[#This Row],[Audit Candidate 10]])), Audit[[#This Row],[Audit Candidate 10]]-Audit[[#This Row],[Candidate 10]], "")</f>
        <v/>
      </c>
      <c r="AO910" s="17" t="str">
        <f>IF(NOT(ISBLANK(Audit[[#This Row],[Audit Candidate 11]])), Audit[[#This Row],[Audit Candidate 11]]-Audit[[#This Row],[Candidate 11]], "")</f>
        <v/>
      </c>
      <c r="AP910" s="17" t="str">
        <f>IF(NOT(ISBLANK(Audit[[#This Row],[Audit Candidate 12]])), Audit[[#This Row],[Audit Candidate 12]]-Audit[[#This Row],[Candidate 12]], "")</f>
        <v/>
      </c>
      <c r="AQ910" s="17">
        <f>SUMIF(Audit[[#This Row],[Difference Winner]:[Difference Candidate 12]], "&gt;0")</f>
        <v>0</v>
      </c>
      <c r="AR910" s="17">
        <f>SUM(Audit[[#This Row],[Difference Winner]:[Difference Candidate 12]])</f>
        <v>0</v>
      </c>
      <c r="AS910" s="17">
        <f>IF(Audit[[#This Row],[Times p Drawn - With Replacement]]&gt;0, IF(Audit[[#This Row],[Canceled Differences]]&lt;0, Audit[[#This Row],[Max Differences]]+ABS(Audit[[#This Row],[Canceled Differences]]), Audit[[#This Row],[Max Differences]]), 0)</f>
        <v>0</v>
      </c>
      <c r="AT910" s="17">
        <f>'Sampling Data'!AB910</f>
        <v>1.1543031743337295E-2</v>
      </c>
      <c r="AU910" s="17">
        <f>IF(
      SUM(Audit[[#This Row],[Audit Losing Candidate]:[Audit Candidate 12]])
      &lt;&gt;0,
      (Audit[[#This Row],[Winning Candidate]]-Audit[[#This Row],[Losing Candidate]]-(Audit[[#This Row],[Audit Winning Candidate]]-Audit[[#This Row],[Audit Losing Candidate]]))/(Audit[[#Totals],[Winning Candidate]]-Audit[[#Totals],[Losing Candidate]]),
      0
)</f>
        <v>0</v>
      </c>
      <c r="AV9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0" s="17">
        <f>IF(Audit[[#This Row],[Max Relative Error (ep)]] = 0, 0, Audit[[#This Row],[Max Relative Error (ep)]]/Audit[[#This Row],[Error Bound (up) - Max. possible relative overstatement]])</f>
        <v>0</v>
      </c>
      <c r="BH9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10" s="17">
        <f t="shared" si="14"/>
        <v>1</v>
      </c>
      <c r="BJ910" s="17">
        <f>PRODUCT($BI$5:BI910)</f>
        <v>0.15397941983070551</v>
      </c>
      <c r="BK910" s="19">
        <f>1 - Audit[[#This Row],[K-M P Value]]</f>
        <v>0.84602058016929449</v>
      </c>
      <c r="BL910" s="17" t="str">
        <f>IF(Audit[[#This Row],[K-M P Value]]&gt;1-'General Info'!$B$12,"Continue", "Stop")</f>
        <v>Continue</v>
      </c>
      <c r="BM910" s="22" t="b">
        <f>IF(Audit[[#This Row],[Status - Continue or stop audit]] = "Continue", TRUE, IF(BL909 = "Continue", TRUE, FALSE))</f>
        <v>1</v>
      </c>
      <c r="BN910" s="22"/>
    </row>
    <row r="911" spans="1:66" ht="15" hidden="1" customHeight="1" x14ac:dyDescent="0.35">
      <c r="A911" s="17" t="str">
        <f>'Sampling Data'!AI911</f>
        <v/>
      </c>
      <c r="B911" s="17" t="str">
        <f>'Sampling Data'!A911</f>
        <v>5630 AND DD   (ED)</v>
      </c>
      <c r="C911" s="17">
        <f>'Sampling Data'!B911</f>
        <v>254</v>
      </c>
      <c r="D911" s="17">
        <f>'Sampling Data'!C911</f>
        <v>388</v>
      </c>
      <c r="E911" s="18">
        <f>'Sampling Data'!D911</f>
        <v>0</v>
      </c>
      <c r="F911" s="18">
        <f>'Sampling Data'!E911</f>
        <v>0</v>
      </c>
      <c r="G911" s="18">
        <f>'Sampling Data'!F911</f>
        <v>0</v>
      </c>
      <c r="H911" s="18">
        <f>'Sampling Data'!G911</f>
        <v>0</v>
      </c>
      <c r="I911" s="18">
        <f>'Sampling Data'!H911</f>
        <v>0</v>
      </c>
      <c r="J911" s="18">
        <f>'Sampling Data'!I911</f>
        <v>0</v>
      </c>
      <c r="K911" s="18">
        <f>'Sampling Data'!J911</f>
        <v>0</v>
      </c>
      <c r="L911" s="18">
        <f>'Sampling Data'!K911</f>
        <v>0</v>
      </c>
      <c r="M911" s="18">
        <f>'Sampling Data'!L911</f>
        <v>0</v>
      </c>
      <c r="N911" s="18">
        <f>'Sampling Data'!M911</f>
        <v>0</v>
      </c>
      <c r="O911" s="17">
        <f>'Sampling Data'!N911</f>
        <v>0</v>
      </c>
      <c r="P911" s="17">
        <f>'Sampling Data'!O911</f>
        <v>67</v>
      </c>
      <c r="Q911" s="17">
        <f>'Sampling Data'!P911</f>
        <v>709</v>
      </c>
      <c r="R911" s="17">
        <f>'Sampling Data'!AJ911</f>
        <v>0</v>
      </c>
      <c r="S911" s="111"/>
      <c r="T911" s="111"/>
      <c r="U911" s="112"/>
      <c r="V911" s="112"/>
      <c r="W911" s="111"/>
      <c r="X911" s="111"/>
      <c r="Y911" s="111"/>
      <c r="Z911" s="111"/>
      <c r="AA911" s="14"/>
      <c r="AB911" s="14"/>
      <c r="AC911" s="14"/>
      <c r="AD911" s="14"/>
      <c r="AE911" s="113" t="str">
        <f>IF(NOT(ISBLANK(Audit[[#This Row],[Audit Winning Candidate]])), Audit[[#This Row],[Audit Winning Candidate]]-Audit[[#This Row],[Winning Candidate]], "")</f>
        <v/>
      </c>
      <c r="AF911" s="17" t="str">
        <f>IF(NOT(ISBLANK(Audit[[#This Row],[Audit Losing Candidate]])), Audit[[#This Row],[Audit Losing Candidate]]-Audit[[#This Row],[Losing Candidate]], "")</f>
        <v/>
      </c>
      <c r="AG911" s="17" t="str">
        <f>IF(NOT(ISBLANK(Audit[[#This Row],[Audit Candidate 3]])), Audit[[#This Row],[Audit Candidate 3]]-Audit[[#This Row],[Candidate 3]], "")</f>
        <v/>
      </c>
      <c r="AH911" s="17" t="str">
        <f>IF(NOT(ISBLANK(Audit[[#This Row],[Audit Candidate 4]])),Audit[[#This Row],[Audit Candidate 4]]-Audit[[#This Row],[Candidate 4]], "")</f>
        <v/>
      </c>
      <c r="AI911" s="17" t="str">
        <f>IF(NOT(ISBLANK(Audit[[#This Row],[Audit Candidate 5]])), Audit[[#This Row],[Audit Candidate 5]]-Audit[[#This Row],[Candidate 5]], "")</f>
        <v/>
      </c>
      <c r="AJ911" s="17" t="str">
        <f>IF(NOT(ISBLANK(Audit[[#This Row],[Audit Candidate 6]])), Audit[[#This Row],[Audit Candidate 6]]-Audit[[#This Row],[Candidate 6]], "")</f>
        <v/>
      </c>
      <c r="AK911" s="17" t="str">
        <f>IF(NOT(ISBLANK(Audit[[#This Row],[Audit Candidate 7]])), Audit[[#This Row],[Audit Candidate 7]]-Audit[[#This Row],[Candidate 7]], "")</f>
        <v/>
      </c>
      <c r="AL911" s="17" t="str">
        <f>IF(NOT(ISBLANK(Audit[[#This Row],[Audit Candidate 8]])), Audit[[#This Row],[Audit Candidate 8]]-Audit[[#This Row],[Candidate 8]], "")</f>
        <v/>
      </c>
      <c r="AM911" s="17" t="str">
        <f>IF(NOT(ISBLANK(Audit[[#This Row],[Audit Candidate 9]])), Audit[[#This Row],[Audit Candidate 9]]-Audit[[#This Row],[Candidate 9]], "")</f>
        <v/>
      </c>
      <c r="AN911" s="17" t="str">
        <f>IF(NOT(ISBLANK(Audit[[#This Row],[Audit Candidate 10]])), Audit[[#This Row],[Audit Candidate 10]]-Audit[[#This Row],[Candidate 10]], "")</f>
        <v/>
      </c>
      <c r="AO911" s="17" t="str">
        <f>IF(NOT(ISBLANK(Audit[[#This Row],[Audit Candidate 11]])), Audit[[#This Row],[Audit Candidate 11]]-Audit[[#This Row],[Candidate 11]], "")</f>
        <v/>
      </c>
      <c r="AP911" s="17" t="str">
        <f>IF(NOT(ISBLANK(Audit[[#This Row],[Audit Candidate 12]])), Audit[[#This Row],[Audit Candidate 12]]-Audit[[#This Row],[Candidate 12]], "")</f>
        <v/>
      </c>
      <c r="AQ911" s="17">
        <f>SUMIF(Audit[[#This Row],[Difference Winner]:[Difference Candidate 12]], "&gt;0")</f>
        <v>0</v>
      </c>
      <c r="AR911" s="17">
        <f>SUM(Audit[[#This Row],[Difference Winner]:[Difference Candidate 12]])</f>
        <v>0</v>
      </c>
      <c r="AS911" s="17">
        <f>IF(Audit[[#This Row],[Times p Drawn - With Replacement]]&gt;0, IF(Audit[[#This Row],[Canceled Differences]]&lt;0, Audit[[#This Row],[Max Differences]]+ABS(Audit[[#This Row],[Canceled Differences]]), Audit[[#This Row],[Max Differences]]), 0)</f>
        <v>0</v>
      </c>
      <c r="AT911" s="17">
        <f>'Sampling Data'!AB911</f>
        <v>2.4401629604481414E-2</v>
      </c>
      <c r="AU911" s="17">
        <f>IF(
      SUM(Audit[[#This Row],[Audit Losing Candidate]:[Audit Candidate 12]])
      &lt;&gt;0,
      (Audit[[#This Row],[Winning Candidate]]-Audit[[#This Row],[Losing Candidate]]-(Audit[[#This Row],[Audit Winning Candidate]]-Audit[[#This Row],[Audit Losing Candidate]]))/(Audit[[#Totals],[Winning Candidate]]-Audit[[#Totals],[Losing Candidate]]),
      0
)</f>
        <v>0</v>
      </c>
      <c r="AV9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1" s="17">
        <f>IF(Audit[[#This Row],[Max Relative Error (ep)]] = 0, 0, Audit[[#This Row],[Max Relative Error (ep)]]/Audit[[#This Row],[Error Bound (up) - Max. possible relative overstatement]])</f>
        <v>0</v>
      </c>
      <c r="BH9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11" s="17">
        <f t="shared" ref="BI911:BI974" si="15">IF(ISERR(POWER(BH911,R911)), 0, POWER(BH911,R911))</f>
        <v>1</v>
      </c>
      <c r="BJ911" s="17">
        <f>PRODUCT($BI$5:BI911)</f>
        <v>0.15397941983070551</v>
      </c>
      <c r="BK911" s="19">
        <f>1 - Audit[[#This Row],[K-M P Value]]</f>
        <v>0.84602058016929449</v>
      </c>
      <c r="BL911" s="17" t="str">
        <f>IF(Audit[[#This Row],[K-M P Value]]&gt;1-'General Info'!$B$12,"Continue", "Stop")</f>
        <v>Continue</v>
      </c>
      <c r="BM911" s="22" t="b">
        <f>IF(Audit[[#This Row],[Status - Continue or stop audit]] = "Continue", TRUE, IF(BL910 = "Continue", TRUE, FALSE))</f>
        <v>1</v>
      </c>
      <c r="BN911" s="22"/>
    </row>
    <row r="912" spans="1:66" ht="15" hidden="1" customHeight="1" x14ac:dyDescent="0.35">
      <c r="A912" s="17" t="str">
        <f>'Sampling Data'!AI912</f>
        <v/>
      </c>
      <c r="B912" s="17" t="str">
        <f>'Sampling Data'!A912</f>
        <v>5631 AND EE   (ED)</v>
      </c>
      <c r="C912" s="17">
        <f>'Sampling Data'!B912</f>
        <v>164</v>
      </c>
      <c r="D912" s="17">
        <f>'Sampling Data'!C912</f>
        <v>229</v>
      </c>
      <c r="E912" s="18">
        <f>'Sampling Data'!D912</f>
        <v>0</v>
      </c>
      <c r="F912" s="18">
        <f>'Sampling Data'!E912</f>
        <v>0</v>
      </c>
      <c r="G912" s="18">
        <f>'Sampling Data'!F912</f>
        <v>0</v>
      </c>
      <c r="H912" s="18">
        <f>'Sampling Data'!G912</f>
        <v>0</v>
      </c>
      <c r="I912" s="18">
        <f>'Sampling Data'!H912</f>
        <v>0</v>
      </c>
      <c r="J912" s="18">
        <f>'Sampling Data'!I912</f>
        <v>0</v>
      </c>
      <c r="K912" s="18">
        <f>'Sampling Data'!J912</f>
        <v>0</v>
      </c>
      <c r="L912" s="18">
        <f>'Sampling Data'!K912</f>
        <v>0</v>
      </c>
      <c r="M912" s="18">
        <f>'Sampling Data'!L912</f>
        <v>0</v>
      </c>
      <c r="N912" s="18">
        <f>'Sampling Data'!M912</f>
        <v>0</v>
      </c>
      <c r="O912" s="17">
        <f>'Sampling Data'!N912</f>
        <v>0</v>
      </c>
      <c r="P912" s="17">
        <f>'Sampling Data'!O912</f>
        <v>24</v>
      </c>
      <c r="Q912" s="17">
        <f>'Sampling Data'!P912</f>
        <v>417</v>
      </c>
      <c r="R912" s="17">
        <f>'Sampling Data'!AJ912</f>
        <v>0</v>
      </c>
      <c r="S912" s="111"/>
      <c r="T912" s="111"/>
      <c r="U912" s="112"/>
      <c r="V912" s="112"/>
      <c r="W912" s="111"/>
      <c r="X912" s="111"/>
      <c r="Y912" s="111"/>
      <c r="Z912" s="111"/>
      <c r="AA912" s="14"/>
      <c r="AB912" s="14"/>
      <c r="AC912" s="14"/>
      <c r="AD912" s="14"/>
      <c r="AE912" s="113" t="str">
        <f>IF(NOT(ISBLANK(Audit[[#This Row],[Audit Winning Candidate]])), Audit[[#This Row],[Audit Winning Candidate]]-Audit[[#This Row],[Winning Candidate]], "")</f>
        <v/>
      </c>
      <c r="AF912" s="17" t="str">
        <f>IF(NOT(ISBLANK(Audit[[#This Row],[Audit Losing Candidate]])), Audit[[#This Row],[Audit Losing Candidate]]-Audit[[#This Row],[Losing Candidate]], "")</f>
        <v/>
      </c>
      <c r="AG912" s="17" t="str">
        <f>IF(NOT(ISBLANK(Audit[[#This Row],[Audit Candidate 3]])), Audit[[#This Row],[Audit Candidate 3]]-Audit[[#This Row],[Candidate 3]], "")</f>
        <v/>
      </c>
      <c r="AH912" s="17" t="str">
        <f>IF(NOT(ISBLANK(Audit[[#This Row],[Audit Candidate 4]])),Audit[[#This Row],[Audit Candidate 4]]-Audit[[#This Row],[Candidate 4]], "")</f>
        <v/>
      </c>
      <c r="AI912" s="17" t="str">
        <f>IF(NOT(ISBLANK(Audit[[#This Row],[Audit Candidate 5]])), Audit[[#This Row],[Audit Candidate 5]]-Audit[[#This Row],[Candidate 5]], "")</f>
        <v/>
      </c>
      <c r="AJ912" s="17" t="str">
        <f>IF(NOT(ISBLANK(Audit[[#This Row],[Audit Candidate 6]])), Audit[[#This Row],[Audit Candidate 6]]-Audit[[#This Row],[Candidate 6]], "")</f>
        <v/>
      </c>
      <c r="AK912" s="17" t="str">
        <f>IF(NOT(ISBLANK(Audit[[#This Row],[Audit Candidate 7]])), Audit[[#This Row],[Audit Candidate 7]]-Audit[[#This Row],[Candidate 7]], "")</f>
        <v/>
      </c>
      <c r="AL912" s="17" t="str">
        <f>IF(NOT(ISBLANK(Audit[[#This Row],[Audit Candidate 8]])), Audit[[#This Row],[Audit Candidate 8]]-Audit[[#This Row],[Candidate 8]], "")</f>
        <v/>
      </c>
      <c r="AM912" s="17" t="str">
        <f>IF(NOT(ISBLANK(Audit[[#This Row],[Audit Candidate 9]])), Audit[[#This Row],[Audit Candidate 9]]-Audit[[#This Row],[Candidate 9]], "")</f>
        <v/>
      </c>
      <c r="AN912" s="17" t="str">
        <f>IF(NOT(ISBLANK(Audit[[#This Row],[Audit Candidate 10]])), Audit[[#This Row],[Audit Candidate 10]]-Audit[[#This Row],[Candidate 10]], "")</f>
        <v/>
      </c>
      <c r="AO912" s="17" t="str">
        <f>IF(NOT(ISBLANK(Audit[[#This Row],[Audit Candidate 11]])), Audit[[#This Row],[Audit Candidate 11]]-Audit[[#This Row],[Candidate 11]], "")</f>
        <v/>
      </c>
      <c r="AP912" s="17" t="str">
        <f>IF(NOT(ISBLANK(Audit[[#This Row],[Audit Candidate 12]])), Audit[[#This Row],[Audit Candidate 12]]-Audit[[#This Row],[Candidate 12]], "")</f>
        <v/>
      </c>
      <c r="AQ912" s="17">
        <f>SUMIF(Audit[[#This Row],[Difference Winner]:[Difference Candidate 12]], "&gt;0")</f>
        <v>0</v>
      </c>
      <c r="AR912" s="17">
        <f>SUM(Audit[[#This Row],[Difference Winner]:[Difference Candidate 12]])</f>
        <v>0</v>
      </c>
      <c r="AS912" s="17">
        <f>IF(Audit[[#This Row],[Times p Drawn - With Replacement]]&gt;0, IF(Audit[[#This Row],[Canceled Differences]]&lt;0, Audit[[#This Row],[Max Differences]]+ABS(Audit[[#This Row],[Canceled Differences]]), Audit[[#This Row],[Max Differences]]), 0)</f>
        <v>0</v>
      </c>
      <c r="AT912" s="17">
        <f>'Sampling Data'!AB912</f>
        <v>1.4938041079612968E-2</v>
      </c>
      <c r="AU912" s="17">
        <f>IF(
      SUM(Audit[[#This Row],[Audit Losing Candidate]:[Audit Candidate 12]])
      &lt;&gt;0,
      (Audit[[#This Row],[Winning Candidate]]-Audit[[#This Row],[Losing Candidate]]-(Audit[[#This Row],[Audit Winning Candidate]]-Audit[[#This Row],[Audit Losing Candidate]]))/(Audit[[#Totals],[Winning Candidate]]-Audit[[#Totals],[Losing Candidate]]),
      0
)</f>
        <v>0</v>
      </c>
      <c r="AV9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2" s="17">
        <f>IF(Audit[[#This Row],[Max Relative Error (ep)]] = 0, 0, Audit[[#This Row],[Max Relative Error (ep)]]/Audit[[#This Row],[Error Bound (up) - Max. possible relative overstatement]])</f>
        <v>0</v>
      </c>
      <c r="BH9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12" s="17">
        <f t="shared" si="15"/>
        <v>1</v>
      </c>
      <c r="BJ912" s="17">
        <f>PRODUCT($BI$5:BI912)</f>
        <v>0.15397941983070551</v>
      </c>
      <c r="BK912" s="19">
        <f>1 - Audit[[#This Row],[K-M P Value]]</f>
        <v>0.84602058016929449</v>
      </c>
      <c r="BL912" s="17" t="str">
        <f>IF(Audit[[#This Row],[K-M P Value]]&gt;1-'General Info'!$B$12,"Continue", "Stop")</f>
        <v>Continue</v>
      </c>
      <c r="BM912" s="22" t="b">
        <f>IF(Audit[[#This Row],[Status - Continue or stop audit]] = "Continue", TRUE, IF(BL911 = "Continue", TRUE, FALSE))</f>
        <v>1</v>
      </c>
      <c r="BN912" s="22"/>
    </row>
    <row r="913" spans="1:66" ht="15" hidden="1" customHeight="1" x14ac:dyDescent="0.35">
      <c r="A913" s="17" t="str">
        <f>'Sampling Data'!AI913</f>
        <v/>
      </c>
      <c r="B913" s="17" t="str">
        <f>'Sampling Data'!A913</f>
        <v>5632 AND FF   (ED)</v>
      </c>
      <c r="C913" s="17">
        <f>'Sampling Data'!B913</f>
        <v>220</v>
      </c>
      <c r="D913" s="17">
        <f>'Sampling Data'!C913</f>
        <v>330</v>
      </c>
      <c r="E913" s="18">
        <f>'Sampling Data'!D913</f>
        <v>0</v>
      </c>
      <c r="F913" s="18">
        <f>'Sampling Data'!E913</f>
        <v>0</v>
      </c>
      <c r="G913" s="18">
        <f>'Sampling Data'!F913</f>
        <v>0</v>
      </c>
      <c r="H913" s="18">
        <f>'Sampling Data'!G913</f>
        <v>0</v>
      </c>
      <c r="I913" s="18">
        <f>'Sampling Data'!H913</f>
        <v>0</v>
      </c>
      <c r="J913" s="18">
        <f>'Sampling Data'!I913</f>
        <v>0</v>
      </c>
      <c r="K913" s="18">
        <f>'Sampling Data'!J913</f>
        <v>0</v>
      </c>
      <c r="L913" s="18">
        <f>'Sampling Data'!K913</f>
        <v>0</v>
      </c>
      <c r="M913" s="18">
        <f>'Sampling Data'!L913</f>
        <v>0</v>
      </c>
      <c r="N913" s="18">
        <f>'Sampling Data'!M913</f>
        <v>0</v>
      </c>
      <c r="O913" s="17">
        <f>'Sampling Data'!N913</f>
        <v>0</v>
      </c>
      <c r="P913" s="17">
        <f>'Sampling Data'!O913</f>
        <v>38</v>
      </c>
      <c r="Q913" s="17">
        <f>'Sampling Data'!P913</f>
        <v>588</v>
      </c>
      <c r="R913" s="17">
        <f>'Sampling Data'!AJ913</f>
        <v>0</v>
      </c>
      <c r="S913" s="111"/>
      <c r="T913" s="111"/>
      <c r="U913" s="112"/>
      <c r="V913" s="112"/>
      <c r="W913" s="111"/>
      <c r="X913" s="111"/>
      <c r="Y913" s="111"/>
      <c r="Z913" s="111"/>
      <c r="AA913" s="14"/>
      <c r="AB913" s="14"/>
      <c r="AC913" s="14"/>
      <c r="AD913" s="14"/>
      <c r="AE913" s="113" t="str">
        <f>IF(NOT(ISBLANK(Audit[[#This Row],[Audit Winning Candidate]])), Audit[[#This Row],[Audit Winning Candidate]]-Audit[[#This Row],[Winning Candidate]], "")</f>
        <v/>
      </c>
      <c r="AF913" s="17" t="str">
        <f>IF(NOT(ISBLANK(Audit[[#This Row],[Audit Losing Candidate]])), Audit[[#This Row],[Audit Losing Candidate]]-Audit[[#This Row],[Losing Candidate]], "")</f>
        <v/>
      </c>
      <c r="AG913" s="17" t="str">
        <f>IF(NOT(ISBLANK(Audit[[#This Row],[Audit Candidate 3]])), Audit[[#This Row],[Audit Candidate 3]]-Audit[[#This Row],[Candidate 3]], "")</f>
        <v/>
      </c>
      <c r="AH913" s="17" t="str">
        <f>IF(NOT(ISBLANK(Audit[[#This Row],[Audit Candidate 4]])),Audit[[#This Row],[Audit Candidate 4]]-Audit[[#This Row],[Candidate 4]], "")</f>
        <v/>
      </c>
      <c r="AI913" s="17" t="str">
        <f>IF(NOT(ISBLANK(Audit[[#This Row],[Audit Candidate 5]])), Audit[[#This Row],[Audit Candidate 5]]-Audit[[#This Row],[Candidate 5]], "")</f>
        <v/>
      </c>
      <c r="AJ913" s="17" t="str">
        <f>IF(NOT(ISBLANK(Audit[[#This Row],[Audit Candidate 6]])), Audit[[#This Row],[Audit Candidate 6]]-Audit[[#This Row],[Candidate 6]], "")</f>
        <v/>
      </c>
      <c r="AK913" s="17" t="str">
        <f>IF(NOT(ISBLANK(Audit[[#This Row],[Audit Candidate 7]])), Audit[[#This Row],[Audit Candidate 7]]-Audit[[#This Row],[Candidate 7]], "")</f>
        <v/>
      </c>
      <c r="AL913" s="17" t="str">
        <f>IF(NOT(ISBLANK(Audit[[#This Row],[Audit Candidate 8]])), Audit[[#This Row],[Audit Candidate 8]]-Audit[[#This Row],[Candidate 8]], "")</f>
        <v/>
      </c>
      <c r="AM913" s="17" t="str">
        <f>IF(NOT(ISBLANK(Audit[[#This Row],[Audit Candidate 9]])), Audit[[#This Row],[Audit Candidate 9]]-Audit[[#This Row],[Candidate 9]], "")</f>
        <v/>
      </c>
      <c r="AN913" s="17" t="str">
        <f>IF(NOT(ISBLANK(Audit[[#This Row],[Audit Candidate 10]])), Audit[[#This Row],[Audit Candidate 10]]-Audit[[#This Row],[Candidate 10]], "")</f>
        <v/>
      </c>
      <c r="AO913" s="17" t="str">
        <f>IF(NOT(ISBLANK(Audit[[#This Row],[Audit Candidate 11]])), Audit[[#This Row],[Audit Candidate 11]]-Audit[[#This Row],[Candidate 11]], "")</f>
        <v/>
      </c>
      <c r="AP913" s="17" t="str">
        <f>IF(NOT(ISBLANK(Audit[[#This Row],[Audit Candidate 12]])), Audit[[#This Row],[Audit Candidate 12]]-Audit[[#This Row],[Candidate 12]], "")</f>
        <v/>
      </c>
      <c r="AQ913" s="17">
        <f>SUMIF(Audit[[#This Row],[Difference Winner]:[Difference Candidate 12]], "&gt;0")</f>
        <v>0</v>
      </c>
      <c r="AR913" s="17">
        <f>SUM(Audit[[#This Row],[Difference Winner]:[Difference Candidate 12]])</f>
        <v>0</v>
      </c>
      <c r="AS913" s="17">
        <f>IF(Audit[[#This Row],[Times p Drawn - With Replacement]]&gt;0, IF(Audit[[#This Row],[Canceled Differences]]&lt;0, Audit[[#This Row],[Max Differences]]+ABS(Audit[[#This Row],[Canceled Differences]]), Audit[[#This Row],[Max Differences]]), 0)</f>
        <v>0</v>
      </c>
      <c r="AT913" s="17">
        <f>'Sampling Data'!AB913</f>
        <v>2.0285180784247157E-2</v>
      </c>
      <c r="AU913" s="17">
        <f>IF(
      SUM(Audit[[#This Row],[Audit Losing Candidate]:[Audit Candidate 12]])
      &lt;&gt;0,
      (Audit[[#This Row],[Winning Candidate]]-Audit[[#This Row],[Losing Candidate]]-(Audit[[#This Row],[Audit Winning Candidate]]-Audit[[#This Row],[Audit Losing Candidate]]))/(Audit[[#Totals],[Winning Candidate]]-Audit[[#Totals],[Losing Candidate]]),
      0
)</f>
        <v>0</v>
      </c>
      <c r="AV9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3" s="17">
        <f>IF(Audit[[#This Row],[Max Relative Error (ep)]] = 0, 0, Audit[[#This Row],[Max Relative Error (ep)]]/Audit[[#This Row],[Error Bound (up) - Max. possible relative overstatement]])</f>
        <v>0</v>
      </c>
      <c r="BH9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13" s="17">
        <f t="shared" si="15"/>
        <v>1</v>
      </c>
      <c r="BJ913" s="17">
        <f>PRODUCT($BI$5:BI913)</f>
        <v>0.15397941983070551</v>
      </c>
      <c r="BK913" s="19">
        <f>1 - Audit[[#This Row],[K-M P Value]]</f>
        <v>0.84602058016929449</v>
      </c>
      <c r="BL913" s="17" t="str">
        <f>IF(Audit[[#This Row],[K-M P Value]]&gt;1-'General Info'!$B$12,"Continue", "Stop")</f>
        <v>Continue</v>
      </c>
      <c r="BM913" s="22" t="b">
        <f>IF(Audit[[#This Row],[Status - Continue or stop audit]] = "Continue", TRUE, IF(BL912 = "Continue", TRUE, FALSE))</f>
        <v>1</v>
      </c>
      <c r="BN913" s="22"/>
    </row>
    <row r="914" spans="1:66" ht="15" hidden="1" customHeight="1" x14ac:dyDescent="0.35">
      <c r="A914" s="17" t="str">
        <f>'Sampling Data'!AI914</f>
        <v/>
      </c>
      <c r="B914" s="17" t="str">
        <f>'Sampling Data'!A914</f>
        <v>5801 ARLN A   (ED)</v>
      </c>
      <c r="C914" s="17">
        <f>'Sampling Data'!B914</f>
        <v>100</v>
      </c>
      <c r="D914" s="17">
        <f>'Sampling Data'!C914</f>
        <v>121</v>
      </c>
      <c r="E914" s="18">
        <f>'Sampling Data'!D914</f>
        <v>0</v>
      </c>
      <c r="F914" s="18">
        <f>'Sampling Data'!E914</f>
        <v>0</v>
      </c>
      <c r="G914" s="18">
        <f>'Sampling Data'!F914</f>
        <v>0</v>
      </c>
      <c r="H914" s="18">
        <f>'Sampling Data'!G914</f>
        <v>0</v>
      </c>
      <c r="I914" s="18">
        <f>'Sampling Data'!H914</f>
        <v>0</v>
      </c>
      <c r="J914" s="18">
        <f>'Sampling Data'!I914</f>
        <v>0</v>
      </c>
      <c r="K914" s="18">
        <f>'Sampling Data'!J914</f>
        <v>0</v>
      </c>
      <c r="L914" s="18">
        <f>'Sampling Data'!K914</f>
        <v>0</v>
      </c>
      <c r="M914" s="18">
        <f>'Sampling Data'!L914</f>
        <v>0</v>
      </c>
      <c r="N914" s="18">
        <f>'Sampling Data'!M914</f>
        <v>0</v>
      </c>
      <c r="O914" s="17">
        <f>'Sampling Data'!N914</f>
        <v>0</v>
      </c>
      <c r="P914" s="17">
        <f>'Sampling Data'!O914</f>
        <v>19</v>
      </c>
      <c r="Q914" s="17">
        <f>'Sampling Data'!P914</f>
        <v>240</v>
      </c>
      <c r="R914" s="17">
        <f>'Sampling Data'!AJ914</f>
        <v>0</v>
      </c>
      <c r="S914" s="111"/>
      <c r="T914" s="111"/>
      <c r="U914" s="112"/>
      <c r="V914" s="112"/>
      <c r="W914" s="111"/>
      <c r="X914" s="111"/>
      <c r="Y914" s="111"/>
      <c r="Z914" s="111"/>
      <c r="AA914" s="14"/>
      <c r="AB914" s="14"/>
      <c r="AC914" s="14"/>
      <c r="AD914" s="14"/>
      <c r="AE914" s="113" t="str">
        <f>IF(NOT(ISBLANK(Audit[[#This Row],[Audit Winning Candidate]])), Audit[[#This Row],[Audit Winning Candidate]]-Audit[[#This Row],[Winning Candidate]], "")</f>
        <v/>
      </c>
      <c r="AF914" s="17" t="str">
        <f>IF(NOT(ISBLANK(Audit[[#This Row],[Audit Losing Candidate]])), Audit[[#This Row],[Audit Losing Candidate]]-Audit[[#This Row],[Losing Candidate]], "")</f>
        <v/>
      </c>
      <c r="AG914" s="17" t="str">
        <f>IF(NOT(ISBLANK(Audit[[#This Row],[Audit Candidate 3]])), Audit[[#This Row],[Audit Candidate 3]]-Audit[[#This Row],[Candidate 3]], "")</f>
        <v/>
      </c>
      <c r="AH914" s="17" t="str">
        <f>IF(NOT(ISBLANK(Audit[[#This Row],[Audit Candidate 4]])),Audit[[#This Row],[Audit Candidate 4]]-Audit[[#This Row],[Candidate 4]], "")</f>
        <v/>
      </c>
      <c r="AI914" s="17" t="str">
        <f>IF(NOT(ISBLANK(Audit[[#This Row],[Audit Candidate 5]])), Audit[[#This Row],[Audit Candidate 5]]-Audit[[#This Row],[Candidate 5]], "")</f>
        <v/>
      </c>
      <c r="AJ914" s="17" t="str">
        <f>IF(NOT(ISBLANK(Audit[[#This Row],[Audit Candidate 6]])), Audit[[#This Row],[Audit Candidate 6]]-Audit[[#This Row],[Candidate 6]], "")</f>
        <v/>
      </c>
      <c r="AK914" s="17" t="str">
        <f>IF(NOT(ISBLANK(Audit[[#This Row],[Audit Candidate 7]])), Audit[[#This Row],[Audit Candidate 7]]-Audit[[#This Row],[Candidate 7]], "")</f>
        <v/>
      </c>
      <c r="AL914" s="17" t="str">
        <f>IF(NOT(ISBLANK(Audit[[#This Row],[Audit Candidate 8]])), Audit[[#This Row],[Audit Candidate 8]]-Audit[[#This Row],[Candidate 8]], "")</f>
        <v/>
      </c>
      <c r="AM914" s="17" t="str">
        <f>IF(NOT(ISBLANK(Audit[[#This Row],[Audit Candidate 9]])), Audit[[#This Row],[Audit Candidate 9]]-Audit[[#This Row],[Candidate 9]], "")</f>
        <v/>
      </c>
      <c r="AN914" s="17" t="str">
        <f>IF(NOT(ISBLANK(Audit[[#This Row],[Audit Candidate 10]])), Audit[[#This Row],[Audit Candidate 10]]-Audit[[#This Row],[Candidate 10]], "")</f>
        <v/>
      </c>
      <c r="AO914" s="17" t="str">
        <f>IF(NOT(ISBLANK(Audit[[#This Row],[Audit Candidate 11]])), Audit[[#This Row],[Audit Candidate 11]]-Audit[[#This Row],[Candidate 11]], "")</f>
        <v/>
      </c>
      <c r="AP914" s="17" t="str">
        <f>IF(NOT(ISBLANK(Audit[[#This Row],[Audit Candidate 12]])), Audit[[#This Row],[Audit Candidate 12]]-Audit[[#This Row],[Candidate 12]], "")</f>
        <v/>
      </c>
      <c r="AQ914" s="17">
        <f>SUMIF(Audit[[#This Row],[Difference Winner]:[Difference Candidate 12]], "&gt;0")</f>
        <v>0</v>
      </c>
      <c r="AR914" s="17">
        <f>SUM(Audit[[#This Row],[Difference Winner]:[Difference Candidate 12]])</f>
        <v>0</v>
      </c>
      <c r="AS914" s="17">
        <f>IF(Audit[[#This Row],[Times p Drawn - With Replacement]]&gt;0, IF(Audit[[#This Row],[Canceled Differences]]&lt;0, Audit[[#This Row],[Max Differences]]+ABS(Audit[[#This Row],[Canceled Differences]]), Audit[[#This Row],[Max Differences]]), 0)</f>
        <v>0</v>
      </c>
      <c r="AT914" s="17">
        <f>'Sampling Data'!AB914</f>
        <v>9.2938380580546605E-3</v>
      </c>
      <c r="AU914" s="17">
        <f>IF(
      SUM(Audit[[#This Row],[Audit Losing Candidate]:[Audit Candidate 12]])
      &lt;&gt;0,
      (Audit[[#This Row],[Winning Candidate]]-Audit[[#This Row],[Losing Candidate]]-(Audit[[#This Row],[Audit Winning Candidate]]-Audit[[#This Row],[Audit Losing Candidate]]))/(Audit[[#Totals],[Winning Candidate]]-Audit[[#Totals],[Losing Candidate]]),
      0
)</f>
        <v>0</v>
      </c>
      <c r="AV9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4" s="17">
        <f>IF(Audit[[#This Row],[Max Relative Error (ep)]] = 0, 0, Audit[[#This Row],[Max Relative Error (ep)]]/Audit[[#This Row],[Error Bound (up) - Max. possible relative overstatement]])</f>
        <v>0</v>
      </c>
      <c r="BH9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14" s="17">
        <f t="shared" si="15"/>
        <v>1</v>
      </c>
      <c r="BJ914" s="17">
        <f>PRODUCT($BI$5:BI914)</f>
        <v>0.15397941983070551</v>
      </c>
      <c r="BK914" s="19">
        <f>1 - Audit[[#This Row],[K-M P Value]]</f>
        <v>0.84602058016929449</v>
      </c>
      <c r="BL914" s="17" t="str">
        <f>IF(Audit[[#This Row],[K-M P Value]]&gt;1-'General Info'!$B$12,"Continue", "Stop")</f>
        <v>Continue</v>
      </c>
      <c r="BM914" s="22" t="b">
        <f>IF(Audit[[#This Row],[Status - Continue or stop audit]] = "Continue", TRUE, IF(BL913 = "Continue", TRUE, FALSE))</f>
        <v>1</v>
      </c>
      <c r="BN914" s="22"/>
    </row>
    <row r="915" spans="1:66" ht="15" hidden="1" customHeight="1" x14ac:dyDescent="0.35">
      <c r="A915" s="17" t="str">
        <f>'Sampling Data'!AI915</f>
        <v/>
      </c>
      <c r="B915" s="17" t="str">
        <f>'Sampling Data'!A915</f>
        <v>5901 COLE A   (ED)</v>
      </c>
      <c r="C915" s="17">
        <f>'Sampling Data'!B915</f>
        <v>86</v>
      </c>
      <c r="D915" s="17">
        <f>'Sampling Data'!C915</f>
        <v>488</v>
      </c>
      <c r="E915" s="18">
        <f>'Sampling Data'!D915</f>
        <v>0</v>
      </c>
      <c r="F915" s="18">
        <f>'Sampling Data'!E915</f>
        <v>0</v>
      </c>
      <c r="G915" s="18">
        <f>'Sampling Data'!F915</f>
        <v>0</v>
      </c>
      <c r="H915" s="18">
        <f>'Sampling Data'!G915</f>
        <v>0</v>
      </c>
      <c r="I915" s="18">
        <f>'Sampling Data'!H915</f>
        <v>0</v>
      </c>
      <c r="J915" s="18">
        <f>'Sampling Data'!I915</f>
        <v>0</v>
      </c>
      <c r="K915" s="18">
        <f>'Sampling Data'!J915</f>
        <v>0</v>
      </c>
      <c r="L915" s="18">
        <f>'Sampling Data'!K915</f>
        <v>0</v>
      </c>
      <c r="M915" s="18">
        <f>'Sampling Data'!L915</f>
        <v>0</v>
      </c>
      <c r="N915" s="18">
        <f>'Sampling Data'!M915</f>
        <v>0</v>
      </c>
      <c r="O915" s="17">
        <f>'Sampling Data'!N915</f>
        <v>0</v>
      </c>
      <c r="P915" s="17">
        <f>'Sampling Data'!O915</f>
        <v>29</v>
      </c>
      <c r="Q915" s="17">
        <f>'Sampling Data'!P915</f>
        <v>603</v>
      </c>
      <c r="R915" s="17">
        <f>'Sampling Data'!AJ915</f>
        <v>0</v>
      </c>
      <c r="S915" s="111"/>
      <c r="T915" s="111"/>
      <c r="U915" s="112"/>
      <c r="V915" s="112"/>
      <c r="W915" s="111"/>
      <c r="X915" s="111"/>
      <c r="Y915" s="111"/>
      <c r="Z915" s="111"/>
      <c r="AA915" s="14"/>
      <c r="AB915" s="14"/>
      <c r="AC915" s="14"/>
      <c r="AD915" s="14"/>
      <c r="AE915" s="113" t="str">
        <f>IF(NOT(ISBLANK(Audit[[#This Row],[Audit Winning Candidate]])), Audit[[#This Row],[Audit Winning Candidate]]-Audit[[#This Row],[Winning Candidate]], "")</f>
        <v/>
      </c>
      <c r="AF915" s="17" t="str">
        <f>IF(NOT(ISBLANK(Audit[[#This Row],[Audit Losing Candidate]])), Audit[[#This Row],[Audit Losing Candidate]]-Audit[[#This Row],[Losing Candidate]], "")</f>
        <v/>
      </c>
      <c r="AG915" s="17" t="str">
        <f>IF(NOT(ISBLANK(Audit[[#This Row],[Audit Candidate 3]])), Audit[[#This Row],[Audit Candidate 3]]-Audit[[#This Row],[Candidate 3]], "")</f>
        <v/>
      </c>
      <c r="AH915" s="17" t="str">
        <f>IF(NOT(ISBLANK(Audit[[#This Row],[Audit Candidate 4]])),Audit[[#This Row],[Audit Candidate 4]]-Audit[[#This Row],[Candidate 4]], "")</f>
        <v/>
      </c>
      <c r="AI915" s="17" t="str">
        <f>IF(NOT(ISBLANK(Audit[[#This Row],[Audit Candidate 5]])), Audit[[#This Row],[Audit Candidate 5]]-Audit[[#This Row],[Candidate 5]], "")</f>
        <v/>
      </c>
      <c r="AJ915" s="17" t="str">
        <f>IF(NOT(ISBLANK(Audit[[#This Row],[Audit Candidate 6]])), Audit[[#This Row],[Audit Candidate 6]]-Audit[[#This Row],[Candidate 6]], "")</f>
        <v/>
      </c>
      <c r="AK915" s="17" t="str">
        <f>IF(NOT(ISBLANK(Audit[[#This Row],[Audit Candidate 7]])), Audit[[#This Row],[Audit Candidate 7]]-Audit[[#This Row],[Candidate 7]], "")</f>
        <v/>
      </c>
      <c r="AL915" s="17" t="str">
        <f>IF(NOT(ISBLANK(Audit[[#This Row],[Audit Candidate 8]])), Audit[[#This Row],[Audit Candidate 8]]-Audit[[#This Row],[Candidate 8]], "")</f>
        <v/>
      </c>
      <c r="AM915" s="17" t="str">
        <f>IF(NOT(ISBLANK(Audit[[#This Row],[Audit Candidate 9]])), Audit[[#This Row],[Audit Candidate 9]]-Audit[[#This Row],[Candidate 9]], "")</f>
        <v/>
      </c>
      <c r="AN915" s="17" t="str">
        <f>IF(NOT(ISBLANK(Audit[[#This Row],[Audit Candidate 10]])), Audit[[#This Row],[Audit Candidate 10]]-Audit[[#This Row],[Candidate 10]], "")</f>
        <v/>
      </c>
      <c r="AO915" s="17" t="str">
        <f>IF(NOT(ISBLANK(Audit[[#This Row],[Audit Candidate 11]])), Audit[[#This Row],[Audit Candidate 11]]-Audit[[#This Row],[Candidate 11]], "")</f>
        <v/>
      </c>
      <c r="AP915" s="17" t="str">
        <f>IF(NOT(ISBLANK(Audit[[#This Row],[Audit Candidate 12]])), Audit[[#This Row],[Audit Candidate 12]]-Audit[[#This Row],[Candidate 12]], "")</f>
        <v/>
      </c>
      <c r="AQ915" s="17">
        <f>SUMIF(Audit[[#This Row],[Difference Winner]:[Difference Candidate 12]], "&gt;0")</f>
        <v>0</v>
      </c>
      <c r="AR915" s="17">
        <f>SUM(Audit[[#This Row],[Difference Winner]:[Difference Candidate 12]])</f>
        <v>0</v>
      </c>
      <c r="AS915" s="17">
        <f>IF(Audit[[#This Row],[Times p Drawn - With Replacement]]&gt;0, IF(Audit[[#This Row],[Canceled Differences]]&lt;0, Audit[[#This Row],[Max Differences]]+ABS(Audit[[#This Row],[Canceled Differences]]), Audit[[#This Row],[Max Differences]]), 0)</f>
        <v>0</v>
      </c>
      <c r="AT915" s="17">
        <f>'Sampling Data'!AB915</f>
        <v>8.5299609573926335E-3</v>
      </c>
      <c r="AU915" s="17">
        <f>IF(
      SUM(Audit[[#This Row],[Audit Losing Candidate]:[Audit Candidate 12]])
      &lt;&gt;0,
      (Audit[[#This Row],[Winning Candidate]]-Audit[[#This Row],[Losing Candidate]]-(Audit[[#This Row],[Audit Winning Candidate]]-Audit[[#This Row],[Audit Losing Candidate]]))/(Audit[[#Totals],[Winning Candidate]]-Audit[[#Totals],[Losing Candidate]]),
      0
)</f>
        <v>0</v>
      </c>
      <c r="AV9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5" s="17">
        <f>IF(Audit[[#This Row],[Max Relative Error (ep)]] = 0, 0, Audit[[#This Row],[Max Relative Error (ep)]]/Audit[[#This Row],[Error Bound (up) - Max. possible relative overstatement]])</f>
        <v>0</v>
      </c>
      <c r="BH9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15" s="17">
        <f t="shared" si="15"/>
        <v>1</v>
      </c>
      <c r="BJ915" s="17">
        <f>PRODUCT($BI$5:BI915)</f>
        <v>0.15397941983070551</v>
      </c>
      <c r="BK915" s="19">
        <f>1 - Audit[[#This Row],[K-M P Value]]</f>
        <v>0.84602058016929449</v>
      </c>
      <c r="BL915" s="17" t="str">
        <f>IF(Audit[[#This Row],[K-M P Value]]&gt;1-'General Info'!$B$12,"Continue", "Stop")</f>
        <v>Continue</v>
      </c>
      <c r="BM915" s="22" t="b">
        <f>IF(Audit[[#This Row],[Status - Continue or stop audit]] = "Continue", TRUE, IF(BL914 = "Continue", TRUE, FALSE))</f>
        <v>1</v>
      </c>
      <c r="BN915" s="22"/>
    </row>
    <row r="916" spans="1:66" ht="15" hidden="1" customHeight="1" x14ac:dyDescent="0.35">
      <c r="A916" s="17" t="str">
        <f>'Sampling Data'!AI916</f>
        <v/>
      </c>
      <c r="B916" s="17" t="str">
        <f>'Sampling Data'!A916</f>
        <v>5902 COLE B   (ED)</v>
      </c>
      <c r="C916" s="17">
        <f>'Sampling Data'!B916</f>
        <v>224</v>
      </c>
      <c r="D916" s="17">
        <f>'Sampling Data'!C916</f>
        <v>274</v>
      </c>
      <c r="E916" s="18">
        <f>'Sampling Data'!D916</f>
        <v>0</v>
      </c>
      <c r="F916" s="18">
        <f>'Sampling Data'!E916</f>
        <v>0</v>
      </c>
      <c r="G916" s="18">
        <f>'Sampling Data'!F916</f>
        <v>0</v>
      </c>
      <c r="H916" s="18">
        <f>'Sampling Data'!G916</f>
        <v>0</v>
      </c>
      <c r="I916" s="18">
        <f>'Sampling Data'!H916</f>
        <v>0</v>
      </c>
      <c r="J916" s="18">
        <f>'Sampling Data'!I916</f>
        <v>0</v>
      </c>
      <c r="K916" s="18">
        <f>'Sampling Data'!J916</f>
        <v>0</v>
      </c>
      <c r="L916" s="18">
        <f>'Sampling Data'!K916</f>
        <v>0</v>
      </c>
      <c r="M916" s="18">
        <f>'Sampling Data'!L916</f>
        <v>0</v>
      </c>
      <c r="N916" s="18">
        <f>'Sampling Data'!M916</f>
        <v>0</v>
      </c>
      <c r="O916" s="17">
        <f>'Sampling Data'!N916</f>
        <v>0</v>
      </c>
      <c r="P916" s="17">
        <f>'Sampling Data'!O916</f>
        <v>38</v>
      </c>
      <c r="Q916" s="17">
        <f>'Sampling Data'!P916</f>
        <v>536</v>
      </c>
      <c r="R916" s="17">
        <f>'Sampling Data'!AJ916</f>
        <v>0</v>
      </c>
      <c r="S916" s="111"/>
      <c r="T916" s="111"/>
      <c r="U916" s="112"/>
      <c r="V916" s="112"/>
      <c r="W916" s="111"/>
      <c r="X916" s="111"/>
      <c r="Y916" s="111"/>
      <c r="Z916" s="111"/>
      <c r="AA916" s="14"/>
      <c r="AB916" s="14"/>
      <c r="AC916" s="14"/>
      <c r="AD916" s="14"/>
      <c r="AE916" s="113" t="str">
        <f>IF(NOT(ISBLANK(Audit[[#This Row],[Audit Winning Candidate]])), Audit[[#This Row],[Audit Winning Candidate]]-Audit[[#This Row],[Winning Candidate]], "")</f>
        <v/>
      </c>
      <c r="AF916" s="17" t="str">
        <f>IF(NOT(ISBLANK(Audit[[#This Row],[Audit Losing Candidate]])), Audit[[#This Row],[Audit Losing Candidate]]-Audit[[#This Row],[Losing Candidate]], "")</f>
        <v/>
      </c>
      <c r="AG916" s="17" t="str">
        <f>IF(NOT(ISBLANK(Audit[[#This Row],[Audit Candidate 3]])), Audit[[#This Row],[Audit Candidate 3]]-Audit[[#This Row],[Candidate 3]], "")</f>
        <v/>
      </c>
      <c r="AH916" s="17" t="str">
        <f>IF(NOT(ISBLANK(Audit[[#This Row],[Audit Candidate 4]])),Audit[[#This Row],[Audit Candidate 4]]-Audit[[#This Row],[Candidate 4]], "")</f>
        <v/>
      </c>
      <c r="AI916" s="17" t="str">
        <f>IF(NOT(ISBLANK(Audit[[#This Row],[Audit Candidate 5]])), Audit[[#This Row],[Audit Candidate 5]]-Audit[[#This Row],[Candidate 5]], "")</f>
        <v/>
      </c>
      <c r="AJ916" s="17" t="str">
        <f>IF(NOT(ISBLANK(Audit[[#This Row],[Audit Candidate 6]])), Audit[[#This Row],[Audit Candidate 6]]-Audit[[#This Row],[Candidate 6]], "")</f>
        <v/>
      </c>
      <c r="AK916" s="17" t="str">
        <f>IF(NOT(ISBLANK(Audit[[#This Row],[Audit Candidate 7]])), Audit[[#This Row],[Audit Candidate 7]]-Audit[[#This Row],[Candidate 7]], "")</f>
        <v/>
      </c>
      <c r="AL916" s="17" t="str">
        <f>IF(NOT(ISBLANK(Audit[[#This Row],[Audit Candidate 8]])), Audit[[#This Row],[Audit Candidate 8]]-Audit[[#This Row],[Candidate 8]], "")</f>
        <v/>
      </c>
      <c r="AM916" s="17" t="str">
        <f>IF(NOT(ISBLANK(Audit[[#This Row],[Audit Candidate 9]])), Audit[[#This Row],[Audit Candidate 9]]-Audit[[#This Row],[Candidate 9]], "")</f>
        <v/>
      </c>
      <c r="AN916" s="17" t="str">
        <f>IF(NOT(ISBLANK(Audit[[#This Row],[Audit Candidate 10]])), Audit[[#This Row],[Audit Candidate 10]]-Audit[[#This Row],[Candidate 10]], "")</f>
        <v/>
      </c>
      <c r="AO916" s="17" t="str">
        <f>IF(NOT(ISBLANK(Audit[[#This Row],[Audit Candidate 11]])), Audit[[#This Row],[Audit Candidate 11]]-Audit[[#This Row],[Candidate 11]], "")</f>
        <v/>
      </c>
      <c r="AP916" s="17" t="str">
        <f>IF(NOT(ISBLANK(Audit[[#This Row],[Audit Candidate 12]])), Audit[[#This Row],[Audit Candidate 12]]-Audit[[#This Row],[Candidate 12]], "")</f>
        <v/>
      </c>
      <c r="AQ916" s="17">
        <f>SUMIF(Audit[[#This Row],[Difference Winner]:[Difference Candidate 12]], "&gt;0")</f>
        <v>0</v>
      </c>
      <c r="AR916" s="17">
        <f>SUM(Audit[[#This Row],[Difference Winner]:[Difference Candidate 12]])</f>
        <v>0</v>
      </c>
      <c r="AS916" s="17">
        <f>IF(Audit[[#This Row],[Times p Drawn - With Replacement]]&gt;0, IF(Audit[[#This Row],[Canceled Differences]]&lt;0, Audit[[#This Row],[Max Differences]]+ABS(Audit[[#This Row],[Canceled Differences]]), Audit[[#This Row],[Max Differences]]), 0)</f>
        <v>0</v>
      </c>
      <c r="AT916" s="17">
        <f>'Sampling Data'!AB916</f>
        <v>2.0624681717874724E-2</v>
      </c>
      <c r="AU916" s="17">
        <f>IF(
      SUM(Audit[[#This Row],[Audit Losing Candidate]:[Audit Candidate 12]])
      &lt;&gt;0,
      (Audit[[#This Row],[Winning Candidate]]-Audit[[#This Row],[Losing Candidate]]-(Audit[[#This Row],[Audit Winning Candidate]]-Audit[[#This Row],[Audit Losing Candidate]]))/(Audit[[#Totals],[Winning Candidate]]-Audit[[#Totals],[Losing Candidate]]),
      0
)</f>
        <v>0</v>
      </c>
      <c r="AV9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6" s="17">
        <f>IF(Audit[[#This Row],[Max Relative Error (ep)]] = 0, 0, Audit[[#This Row],[Max Relative Error (ep)]]/Audit[[#This Row],[Error Bound (up) - Max. possible relative overstatement]])</f>
        <v>0</v>
      </c>
      <c r="BH9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16" s="17">
        <f t="shared" si="15"/>
        <v>1</v>
      </c>
      <c r="BJ916" s="17">
        <f>PRODUCT($BI$5:BI916)</f>
        <v>0.15397941983070551</v>
      </c>
      <c r="BK916" s="19">
        <f>1 - Audit[[#This Row],[K-M P Value]]</f>
        <v>0.84602058016929449</v>
      </c>
      <c r="BL916" s="17" t="str">
        <f>IF(Audit[[#This Row],[K-M P Value]]&gt;1-'General Info'!$B$12,"Continue", "Stop")</f>
        <v>Continue</v>
      </c>
      <c r="BM916" s="22" t="b">
        <f>IF(Audit[[#This Row],[Status - Continue or stop audit]] = "Continue", TRUE, IF(BL915 = "Continue", TRUE, FALSE))</f>
        <v>1</v>
      </c>
      <c r="BN916" s="22"/>
    </row>
    <row r="917" spans="1:66" ht="15" hidden="1" customHeight="1" x14ac:dyDescent="0.35">
      <c r="A917" s="17" t="str">
        <f>'Sampling Data'!AI917</f>
        <v/>
      </c>
      <c r="B917" s="17" t="str">
        <f>'Sampling Data'!A917</f>
        <v>5903 COLE C   (ED)</v>
      </c>
      <c r="C917" s="17">
        <f>'Sampling Data'!B917</f>
        <v>215</v>
      </c>
      <c r="D917" s="17">
        <f>'Sampling Data'!C917</f>
        <v>269</v>
      </c>
      <c r="E917" s="18">
        <f>'Sampling Data'!D917</f>
        <v>0</v>
      </c>
      <c r="F917" s="18">
        <f>'Sampling Data'!E917</f>
        <v>0</v>
      </c>
      <c r="G917" s="18">
        <f>'Sampling Data'!F917</f>
        <v>0</v>
      </c>
      <c r="H917" s="18">
        <f>'Sampling Data'!G917</f>
        <v>0</v>
      </c>
      <c r="I917" s="18">
        <f>'Sampling Data'!H917</f>
        <v>0</v>
      </c>
      <c r="J917" s="18">
        <f>'Sampling Data'!I917</f>
        <v>0</v>
      </c>
      <c r="K917" s="18">
        <f>'Sampling Data'!J917</f>
        <v>0</v>
      </c>
      <c r="L917" s="18">
        <f>'Sampling Data'!K917</f>
        <v>0</v>
      </c>
      <c r="M917" s="18">
        <f>'Sampling Data'!L917</f>
        <v>0</v>
      </c>
      <c r="N917" s="18">
        <f>'Sampling Data'!M917</f>
        <v>0</v>
      </c>
      <c r="O917" s="17">
        <f>'Sampling Data'!N917</f>
        <v>1</v>
      </c>
      <c r="P917" s="17">
        <f>'Sampling Data'!O917</f>
        <v>44</v>
      </c>
      <c r="Q917" s="17">
        <f>'Sampling Data'!P917</f>
        <v>529</v>
      </c>
      <c r="R917" s="17">
        <f>'Sampling Data'!AJ917</f>
        <v>0</v>
      </c>
      <c r="S917" s="111"/>
      <c r="T917" s="111"/>
      <c r="U917" s="112"/>
      <c r="V917" s="112"/>
      <c r="W917" s="111"/>
      <c r="X917" s="111"/>
      <c r="Y917" s="111"/>
      <c r="Z917" s="111"/>
      <c r="AA917" s="14"/>
      <c r="AB917" s="14"/>
      <c r="AC917" s="14"/>
      <c r="AD917" s="14"/>
      <c r="AE917" s="113" t="str">
        <f>IF(NOT(ISBLANK(Audit[[#This Row],[Audit Winning Candidate]])), Audit[[#This Row],[Audit Winning Candidate]]-Audit[[#This Row],[Winning Candidate]], "")</f>
        <v/>
      </c>
      <c r="AF917" s="17" t="str">
        <f>IF(NOT(ISBLANK(Audit[[#This Row],[Audit Losing Candidate]])), Audit[[#This Row],[Audit Losing Candidate]]-Audit[[#This Row],[Losing Candidate]], "")</f>
        <v/>
      </c>
      <c r="AG917" s="17" t="str">
        <f>IF(NOT(ISBLANK(Audit[[#This Row],[Audit Candidate 3]])), Audit[[#This Row],[Audit Candidate 3]]-Audit[[#This Row],[Candidate 3]], "")</f>
        <v/>
      </c>
      <c r="AH917" s="17" t="str">
        <f>IF(NOT(ISBLANK(Audit[[#This Row],[Audit Candidate 4]])),Audit[[#This Row],[Audit Candidate 4]]-Audit[[#This Row],[Candidate 4]], "")</f>
        <v/>
      </c>
      <c r="AI917" s="17" t="str">
        <f>IF(NOT(ISBLANK(Audit[[#This Row],[Audit Candidate 5]])), Audit[[#This Row],[Audit Candidate 5]]-Audit[[#This Row],[Candidate 5]], "")</f>
        <v/>
      </c>
      <c r="AJ917" s="17" t="str">
        <f>IF(NOT(ISBLANK(Audit[[#This Row],[Audit Candidate 6]])), Audit[[#This Row],[Audit Candidate 6]]-Audit[[#This Row],[Candidate 6]], "")</f>
        <v/>
      </c>
      <c r="AK917" s="17" t="str">
        <f>IF(NOT(ISBLANK(Audit[[#This Row],[Audit Candidate 7]])), Audit[[#This Row],[Audit Candidate 7]]-Audit[[#This Row],[Candidate 7]], "")</f>
        <v/>
      </c>
      <c r="AL917" s="17" t="str">
        <f>IF(NOT(ISBLANK(Audit[[#This Row],[Audit Candidate 8]])), Audit[[#This Row],[Audit Candidate 8]]-Audit[[#This Row],[Candidate 8]], "")</f>
        <v/>
      </c>
      <c r="AM917" s="17" t="str">
        <f>IF(NOT(ISBLANK(Audit[[#This Row],[Audit Candidate 9]])), Audit[[#This Row],[Audit Candidate 9]]-Audit[[#This Row],[Candidate 9]], "")</f>
        <v/>
      </c>
      <c r="AN917" s="17" t="str">
        <f>IF(NOT(ISBLANK(Audit[[#This Row],[Audit Candidate 10]])), Audit[[#This Row],[Audit Candidate 10]]-Audit[[#This Row],[Candidate 10]], "")</f>
        <v/>
      </c>
      <c r="AO917" s="17" t="str">
        <f>IF(NOT(ISBLANK(Audit[[#This Row],[Audit Candidate 11]])), Audit[[#This Row],[Audit Candidate 11]]-Audit[[#This Row],[Candidate 11]], "")</f>
        <v/>
      </c>
      <c r="AP917" s="17" t="str">
        <f>IF(NOT(ISBLANK(Audit[[#This Row],[Audit Candidate 12]])), Audit[[#This Row],[Audit Candidate 12]]-Audit[[#This Row],[Candidate 12]], "")</f>
        <v/>
      </c>
      <c r="AQ917" s="17">
        <f>SUMIF(Audit[[#This Row],[Difference Winner]:[Difference Candidate 12]], "&gt;0")</f>
        <v>0</v>
      </c>
      <c r="AR917" s="17">
        <f>SUM(Audit[[#This Row],[Difference Winner]:[Difference Candidate 12]])</f>
        <v>0</v>
      </c>
      <c r="AS917" s="17">
        <f>IF(Audit[[#This Row],[Times p Drawn - With Replacement]]&gt;0, IF(Audit[[#This Row],[Canceled Differences]]&lt;0, Audit[[#This Row],[Max Differences]]+ABS(Audit[[#This Row],[Canceled Differences]]), Audit[[#This Row],[Max Differences]]), 0)</f>
        <v>0</v>
      </c>
      <c r="AT917" s="17">
        <f>'Sampling Data'!AB917</f>
        <v>2.0157867934136819E-2</v>
      </c>
      <c r="AU917" s="17">
        <f>IF(
      SUM(Audit[[#This Row],[Audit Losing Candidate]:[Audit Candidate 12]])
      &lt;&gt;0,
      (Audit[[#This Row],[Winning Candidate]]-Audit[[#This Row],[Losing Candidate]]-(Audit[[#This Row],[Audit Winning Candidate]]-Audit[[#This Row],[Audit Losing Candidate]]))/(Audit[[#Totals],[Winning Candidate]]-Audit[[#Totals],[Losing Candidate]]),
      0
)</f>
        <v>0</v>
      </c>
      <c r="AV9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7" s="17">
        <f>IF(Audit[[#This Row],[Max Relative Error (ep)]] = 0, 0, Audit[[#This Row],[Max Relative Error (ep)]]/Audit[[#This Row],[Error Bound (up) - Max. possible relative overstatement]])</f>
        <v>0</v>
      </c>
      <c r="BH9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17" s="17">
        <f t="shared" si="15"/>
        <v>1</v>
      </c>
      <c r="BJ917" s="17">
        <f>PRODUCT($BI$5:BI917)</f>
        <v>0.15397941983070551</v>
      </c>
      <c r="BK917" s="19">
        <f>1 - Audit[[#This Row],[K-M P Value]]</f>
        <v>0.84602058016929449</v>
      </c>
      <c r="BL917" s="17" t="str">
        <f>IF(Audit[[#This Row],[K-M P Value]]&gt;1-'General Info'!$B$12,"Continue", "Stop")</f>
        <v>Continue</v>
      </c>
      <c r="BM917" s="22" t="b">
        <f>IF(Audit[[#This Row],[Status - Continue or stop audit]] = "Continue", TRUE, IF(BL916 = "Continue", TRUE, FALSE))</f>
        <v>1</v>
      </c>
      <c r="BN917" s="22"/>
    </row>
    <row r="918" spans="1:66" ht="15" hidden="1" customHeight="1" x14ac:dyDescent="0.35">
      <c r="A918" s="17" t="str">
        <f>'Sampling Data'!AI918</f>
        <v/>
      </c>
      <c r="B918" s="17" t="str">
        <f>'Sampling Data'!A918</f>
        <v>5904 COLE D   (ED)</v>
      </c>
      <c r="C918" s="17">
        <f>'Sampling Data'!B918</f>
        <v>225</v>
      </c>
      <c r="D918" s="17">
        <f>'Sampling Data'!C918</f>
        <v>219</v>
      </c>
      <c r="E918" s="18">
        <f>'Sampling Data'!D918</f>
        <v>0</v>
      </c>
      <c r="F918" s="18">
        <f>'Sampling Data'!E918</f>
        <v>0</v>
      </c>
      <c r="G918" s="18">
        <f>'Sampling Data'!F918</f>
        <v>0</v>
      </c>
      <c r="H918" s="18">
        <f>'Sampling Data'!G918</f>
        <v>0</v>
      </c>
      <c r="I918" s="18">
        <f>'Sampling Data'!H918</f>
        <v>0</v>
      </c>
      <c r="J918" s="18">
        <f>'Sampling Data'!I918</f>
        <v>0</v>
      </c>
      <c r="K918" s="18">
        <f>'Sampling Data'!J918</f>
        <v>0</v>
      </c>
      <c r="L918" s="18">
        <f>'Sampling Data'!K918</f>
        <v>0</v>
      </c>
      <c r="M918" s="18">
        <f>'Sampling Data'!L918</f>
        <v>0</v>
      </c>
      <c r="N918" s="18">
        <f>'Sampling Data'!M918</f>
        <v>0</v>
      </c>
      <c r="O918" s="17">
        <f>'Sampling Data'!N918</f>
        <v>0</v>
      </c>
      <c r="P918" s="17">
        <f>'Sampling Data'!O918</f>
        <v>23</v>
      </c>
      <c r="Q918" s="17">
        <f>'Sampling Data'!P918</f>
        <v>467</v>
      </c>
      <c r="R918" s="17">
        <f>'Sampling Data'!AJ918</f>
        <v>0</v>
      </c>
      <c r="S918" s="111"/>
      <c r="T918" s="111"/>
      <c r="U918" s="112"/>
      <c r="V918" s="112"/>
      <c r="W918" s="111"/>
      <c r="X918" s="111"/>
      <c r="Y918" s="111"/>
      <c r="Z918" s="111"/>
      <c r="AA918" s="14"/>
      <c r="AB918" s="14"/>
      <c r="AC918" s="14"/>
      <c r="AD918" s="14"/>
      <c r="AE918" s="113" t="str">
        <f>IF(NOT(ISBLANK(Audit[[#This Row],[Audit Winning Candidate]])), Audit[[#This Row],[Audit Winning Candidate]]-Audit[[#This Row],[Winning Candidate]], "")</f>
        <v/>
      </c>
      <c r="AF918" s="17" t="str">
        <f>IF(NOT(ISBLANK(Audit[[#This Row],[Audit Losing Candidate]])), Audit[[#This Row],[Audit Losing Candidate]]-Audit[[#This Row],[Losing Candidate]], "")</f>
        <v/>
      </c>
      <c r="AG918" s="17" t="str">
        <f>IF(NOT(ISBLANK(Audit[[#This Row],[Audit Candidate 3]])), Audit[[#This Row],[Audit Candidate 3]]-Audit[[#This Row],[Candidate 3]], "")</f>
        <v/>
      </c>
      <c r="AH918" s="17" t="str">
        <f>IF(NOT(ISBLANK(Audit[[#This Row],[Audit Candidate 4]])),Audit[[#This Row],[Audit Candidate 4]]-Audit[[#This Row],[Candidate 4]], "")</f>
        <v/>
      </c>
      <c r="AI918" s="17" t="str">
        <f>IF(NOT(ISBLANK(Audit[[#This Row],[Audit Candidate 5]])), Audit[[#This Row],[Audit Candidate 5]]-Audit[[#This Row],[Candidate 5]], "")</f>
        <v/>
      </c>
      <c r="AJ918" s="17" t="str">
        <f>IF(NOT(ISBLANK(Audit[[#This Row],[Audit Candidate 6]])), Audit[[#This Row],[Audit Candidate 6]]-Audit[[#This Row],[Candidate 6]], "")</f>
        <v/>
      </c>
      <c r="AK918" s="17" t="str">
        <f>IF(NOT(ISBLANK(Audit[[#This Row],[Audit Candidate 7]])), Audit[[#This Row],[Audit Candidate 7]]-Audit[[#This Row],[Candidate 7]], "")</f>
        <v/>
      </c>
      <c r="AL918" s="17" t="str">
        <f>IF(NOT(ISBLANK(Audit[[#This Row],[Audit Candidate 8]])), Audit[[#This Row],[Audit Candidate 8]]-Audit[[#This Row],[Candidate 8]], "")</f>
        <v/>
      </c>
      <c r="AM918" s="17" t="str">
        <f>IF(NOT(ISBLANK(Audit[[#This Row],[Audit Candidate 9]])), Audit[[#This Row],[Audit Candidate 9]]-Audit[[#This Row],[Candidate 9]], "")</f>
        <v/>
      </c>
      <c r="AN918" s="17" t="str">
        <f>IF(NOT(ISBLANK(Audit[[#This Row],[Audit Candidate 10]])), Audit[[#This Row],[Audit Candidate 10]]-Audit[[#This Row],[Candidate 10]], "")</f>
        <v/>
      </c>
      <c r="AO918" s="17" t="str">
        <f>IF(NOT(ISBLANK(Audit[[#This Row],[Audit Candidate 11]])), Audit[[#This Row],[Audit Candidate 11]]-Audit[[#This Row],[Candidate 11]], "")</f>
        <v/>
      </c>
      <c r="AP918" s="17" t="str">
        <f>IF(NOT(ISBLANK(Audit[[#This Row],[Audit Candidate 12]])), Audit[[#This Row],[Audit Candidate 12]]-Audit[[#This Row],[Candidate 12]], "")</f>
        <v/>
      </c>
      <c r="AQ918" s="17">
        <f>SUMIF(Audit[[#This Row],[Difference Winner]:[Difference Candidate 12]], "&gt;0")</f>
        <v>0</v>
      </c>
      <c r="AR918" s="17">
        <f>SUM(Audit[[#This Row],[Difference Winner]:[Difference Candidate 12]])</f>
        <v>0</v>
      </c>
      <c r="AS918" s="17">
        <f>IF(Audit[[#This Row],[Times p Drawn - With Replacement]]&gt;0, IF(Audit[[#This Row],[Canceled Differences]]&lt;0, Audit[[#This Row],[Max Differences]]+ABS(Audit[[#This Row],[Canceled Differences]]), Audit[[#This Row],[Max Differences]]), 0)</f>
        <v>0</v>
      </c>
      <c r="AT918" s="17">
        <f>'Sampling Data'!AB918</f>
        <v>2.0072992700729927E-2</v>
      </c>
      <c r="AU918" s="17">
        <f>IF(
      SUM(Audit[[#This Row],[Audit Losing Candidate]:[Audit Candidate 12]])
      &lt;&gt;0,
      (Audit[[#This Row],[Winning Candidate]]-Audit[[#This Row],[Losing Candidate]]-(Audit[[#This Row],[Audit Winning Candidate]]-Audit[[#This Row],[Audit Losing Candidate]]))/(Audit[[#Totals],[Winning Candidate]]-Audit[[#Totals],[Losing Candidate]]),
      0
)</f>
        <v>0</v>
      </c>
      <c r="AV9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8" s="17">
        <f>IF(Audit[[#This Row],[Max Relative Error (ep)]] = 0, 0, Audit[[#This Row],[Max Relative Error (ep)]]/Audit[[#This Row],[Error Bound (up) - Max. possible relative overstatement]])</f>
        <v>0</v>
      </c>
      <c r="BH9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18" s="17">
        <f t="shared" si="15"/>
        <v>1</v>
      </c>
      <c r="BJ918" s="17">
        <f>PRODUCT($BI$5:BI918)</f>
        <v>0.15397941983070551</v>
      </c>
      <c r="BK918" s="19">
        <f>1 - Audit[[#This Row],[K-M P Value]]</f>
        <v>0.84602058016929449</v>
      </c>
      <c r="BL918" s="17" t="str">
        <f>IF(Audit[[#This Row],[K-M P Value]]&gt;1-'General Info'!$B$12,"Continue", "Stop")</f>
        <v>Continue</v>
      </c>
      <c r="BM918" s="22" t="b">
        <f>IF(Audit[[#This Row],[Status - Continue or stop audit]] = "Continue", TRUE, IF(BL917 = "Continue", TRUE, FALSE))</f>
        <v>1</v>
      </c>
      <c r="BN918" s="22"/>
    </row>
    <row r="919" spans="1:66" ht="15" hidden="1" customHeight="1" x14ac:dyDescent="0.35">
      <c r="A919" s="17" t="str">
        <f>'Sampling Data'!AI919</f>
        <v/>
      </c>
      <c r="B919" s="17" t="str">
        <f>'Sampling Data'!A919</f>
        <v>5905 COLE E   (ED)</v>
      </c>
      <c r="C919" s="17">
        <f>'Sampling Data'!B919</f>
        <v>127</v>
      </c>
      <c r="D919" s="17">
        <f>'Sampling Data'!C919</f>
        <v>386</v>
      </c>
      <c r="E919" s="18">
        <f>'Sampling Data'!D919</f>
        <v>0</v>
      </c>
      <c r="F919" s="18">
        <f>'Sampling Data'!E919</f>
        <v>0</v>
      </c>
      <c r="G919" s="18">
        <f>'Sampling Data'!F919</f>
        <v>0</v>
      </c>
      <c r="H919" s="18">
        <f>'Sampling Data'!G919</f>
        <v>0</v>
      </c>
      <c r="I919" s="18">
        <f>'Sampling Data'!H919</f>
        <v>0</v>
      </c>
      <c r="J919" s="18">
        <f>'Sampling Data'!I919</f>
        <v>0</v>
      </c>
      <c r="K919" s="18">
        <f>'Sampling Data'!J919</f>
        <v>0</v>
      </c>
      <c r="L919" s="18">
        <f>'Sampling Data'!K919</f>
        <v>0</v>
      </c>
      <c r="M919" s="18">
        <f>'Sampling Data'!L919</f>
        <v>0</v>
      </c>
      <c r="N919" s="18">
        <f>'Sampling Data'!M919</f>
        <v>0</v>
      </c>
      <c r="O919" s="17">
        <f>'Sampling Data'!N919</f>
        <v>0</v>
      </c>
      <c r="P919" s="17">
        <f>'Sampling Data'!O919</f>
        <v>44</v>
      </c>
      <c r="Q919" s="17">
        <f>'Sampling Data'!P919</f>
        <v>557</v>
      </c>
      <c r="R919" s="17">
        <f>'Sampling Data'!AJ919</f>
        <v>0</v>
      </c>
      <c r="S919" s="111"/>
      <c r="T919" s="111"/>
      <c r="U919" s="112"/>
      <c r="V919" s="112"/>
      <c r="W919" s="111"/>
      <c r="X919" s="111"/>
      <c r="Y919" s="111"/>
      <c r="Z919" s="111"/>
      <c r="AA919" s="14"/>
      <c r="AB919" s="14"/>
      <c r="AC919" s="14"/>
      <c r="AD919" s="14"/>
      <c r="AE919" s="113" t="str">
        <f>IF(NOT(ISBLANK(Audit[[#This Row],[Audit Winning Candidate]])), Audit[[#This Row],[Audit Winning Candidate]]-Audit[[#This Row],[Winning Candidate]], "")</f>
        <v/>
      </c>
      <c r="AF919" s="17" t="str">
        <f>IF(NOT(ISBLANK(Audit[[#This Row],[Audit Losing Candidate]])), Audit[[#This Row],[Audit Losing Candidate]]-Audit[[#This Row],[Losing Candidate]], "")</f>
        <v/>
      </c>
      <c r="AG919" s="17" t="str">
        <f>IF(NOT(ISBLANK(Audit[[#This Row],[Audit Candidate 3]])), Audit[[#This Row],[Audit Candidate 3]]-Audit[[#This Row],[Candidate 3]], "")</f>
        <v/>
      </c>
      <c r="AH919" s="17" t="str">
        <f>IF(NOT(ISBLANK(Audit[[#This Row],[Audit Candidate 4]])),Audit[[#This Row],[Audit Candidate 4]]-Audit[[#This Row],[Candidate 4]], "")</f>
        <v/>
      </c>
      <c r="AI919" s="17" t="str">
        <f>IF(NOT(ISBLANK(Audit[[#This Row],[Audit Candidate 5]])), Audit[[#This Row],[Audit Candidate 5]]-Audit[[#This Row],[Candidate 5]], "")</f>
        <v/>
      </c>
      <c r="AJ919" s="17" t="str">
        <f>IF(NOT(ISBLANK(Audit[[#This Row],[Audit Candidate 6]])), Audit[[#This Row],[Audit Candidate 6]]-Audit[[#This Row],[Candidate 6]], "")</f>
        <v/>
      </c>
      <c r="AK919" s="17" t="str">
        <f>IF(NOT(ISBLANK(Audit[[#This Row],[Audit Candidate 7]])), Audit[[#This Row],[Audit Candidate 7]]-Audit[[#This Row],[Candidate 7]], "")</f>
        <v/>
      </c>
      <c r="AL919" s="17" t="str">
        <f>IF(NOT(ISBLANK(Audit[[#This Row],[Audit Candidate 8]])), Audit[[#This Row],[Audit Candidate 8]]-Audit[[#This Row],[Candidate 8]], "")</f>
        <v/>
      </c>
      <c r="AM919" s="17" t="str">
        <f>IF(NOT(ISBLANK(Audit[[#This Row],[Audit Candidate 9]])), Audit[[#This Row],[Audit Candidate 9]]-Audit[[#This Row],[Candidate 9]], "")</f>
        <v/>
      </c>
      <c r="AN919" s="17" t="str">
        <f>IF(NOT(ISBLANK(Audit[[#This Row],[Audit Candidate 10]])), Audit[[#This Row],[Audit Candidate 10]]-Audit[[#This Row],[Candidate 10]], "")</f>
        <v/>
      </c>
      <c r="AO919" s="17" t="str">
        <f>IF(NOT(ISBLANK(Audit[[#This Row],[Audit Candidate 11]])), Audit[[#This Row],[Audit Candidate 11]]-Audit[[#This Row],[Candidate 11]], "")</f>
        <v/>
      </c>
      <c r="AP919" s="17" t="str">
        <f>IF(NOT(ISBLANK(Audit[[#This Row],[Audit Candidate 12]])), Audit[[#This Row],[Audit Candidate 12]]-Audit[[#This Row],[Candidate 12]], "")</f>
        <v/>
      </c>
      <c r="AQ919" s="17">
        <f>SUMIF(Audit[[#This Row],[Difference Winner]:[Difference Candidate 12]], "&gt;0")</f>
        <v>0</v>
      </c>
      <c r="AR919" s="17">
        <f>SUM(Audit[[#This Row],[Difference Winner]:[Difference Candidate 12]])</f>
        <v>0</v>
      </c>
      <c r="AS919" s="17">
        <f>IF(Audit[[#This Row],[Times p Drawn - With Replacement]]&gt;0, IF(Audit[[#This Row],[Canceled Differences]]&lt;0, Audit[[#This Row],[Max Differences]]+ABS(Audit[[#This Row],[Canceled Differences]]), Audit[[#This Row],[Max Differences]]), 0)</f>
        <v>0</v>
      </c>
      <c r="AT919" s="17">
        <f>'Sampling Data'!AB919</f>
        <v>1.2646409777626889E-2</v>
      </c>
      <c r="AU919" s="17">
        <f>IF(
      SUM(Audit[[#This Row],[Audit Losing Candidate]:[Audit Candidate 12]])
      &lt;&gt;0,
      (Audit[[#This Row],[Winning Candidate]]-Audit[[#This Row],[Losing Candidate]]-(Audit[[#This Row],[Audit Winning Candidate]]-Audit[[#This Row],[Audit Losing Candidate]]))/(Audit[[#Totals],[Winning Candidate]]-Audit[[#Totals],[Losing Candidate]]),
      0
)</f>
        <v>0</v>
      </c>
      <c r="AV9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9" s="17">
        <f>IF(Audit[[#This Row],[Max Relative Error (ep)]] = 0, 0, Audit[[#This Row],[Max Relative Error (ep)]]/Audit[[#This Row],[Error Bound (up) - Max. possible relative overstatement]])</f>
        <v>0</v>
      </c>
      <c r="BH9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19" s="17">
        <f t="shared" si="15"/>
        <v>1</v>
      </c>
      <c r="BJ919" s="17">
        <f>PRODUCT($BI$5:BI919)</f>
        <v>0.15397941983070551</v>
      </c>
      <c r="BK919" s="19">
        <f>1 - Audit[[#This Row],[K-M P Value]]</f>
        <v>0.84602058016929449</v>
      </c>
      <c r="BL919" s="17" t="str">
        <f>IF(Audit[[#This Row],[K-M P Value]]&gt;1-'General Info'!$B$12,"Continue", "Stop")</f>
        <v>Continue</v>
      </c>
      <c r="BM919" s="22" t="b">
        <f>IF(Audit[[#This Row],[Status - Continue or stop audit]] = "Continue", TRUE, IF(BL918 = "Continue", TRUE, FALSE))</f>
        <v>1</v>
      </c>
      <c r="BN919" s="22"/>
    </row>
    <row r="920" spans="1:66" ht="15" hidden="1" customHeight="1" x14ac:dyDescent="0.35">
      <c r="A920" s="17" t="str">
        <f>'Sampling Data'!AI920</f>
        <v/>
      </c>
      <c r="B920" s="17" t="str">
        <f>'Sampling Data'!A920</f>
        <v>5906 COLE F   (ED)</v>
      </c>
      <c r="C920" s="17">
        <f>'Sampling Data'!B920</f>
        <v>129</v>
      </c>
      <c r="D920" s="17">
        <f>'Sampling Data'!C920</f>
        <v>541</v>
      </c>
      <c r="E920" s="18">
        <f>'Sampling Data'!D920</f>
        <v>0</v>
      </c>
      <c r="F920" s="18">
        <f>'Sampling Data'!E920</f>
        <v>0</v>
      </c>
      <c r="G920" s="18">
        <f>'Sampling Data'!F920</f>
        <v>0</v>
      </c>
      <c r="H920" s="18">
        <f>'Sampling Data'!G920</f>
        <v>0</v>
      </c>
      <c r="I920" s="18">
        <f>'Sampling Data'!H920</f>
        <v>0</v>
      </c>
      <c r="J920" s="18">
        <f>'Sampling Data'!I920</f>
        <v>0</v>
      </c>
      <c r="K920" s="18">
        <f>'Sampling Data'!J920</f>
        <v>0</v>
      </c>
      <c r="L920" s="18">
        <f>'Sampling Data'!K920</f>
        <v>0</v>
      </c>
      <c r="M920" s="18">
        <f>'Sampling Data'!L920</f>
        <v>0</v>
      </c>
      <c r="N920" s="18">
        <f>'Sampling Data'!M920</f>
        <v>0</v>
      </c>
      <c r="O920" s="17">
        <f>'Sampling Data'!N920</f>
        <v>0</v>
      </c>
      <c r="P920" s="17">
        <f>'Sampling Data'!O920</f>
        <v>30</v>
      </c>
      <c r="Q920" s="17">
        <f>'Sampling Data'!P920</f>
        <v>700</v>
      </c>
      <c r="R920" s="17">
        <f>'Sampling Data'!AJ920</f>
        <v>0</v>
      </c>
      <c r="S920" s="111"/>
      <c r="T920" s="111"/>
      <c r="U920" s="112"/>
      <c r="V920" s="112"/>
      <c r="W920" s="111"/>
      <c r="X920" s="111"/>
      <c r="Y920" s="111"/>
      <c r="Z920" s="111"/>
      <c r="AA920" s="14"/>
      <c r="AB920" s="14"/>
      <c r="AC920" s="14"/>
      <c r="AD920" s="14"/>
      <c r="AE920" s="113" t="str">
        <f>IF(NOT(ISBLANK(Audit[[#This Row],[Audit Winning Candidate]])), Audit[[#This Row],[Audit Winning Candidate]]-Audit[[#This Row],[Winning Candidate]], "")</f>
        <v/>
      </c>
      <c r="AF920" s="17" t="str">
        <f>IF(NOT(ISBLANK(Audit[[#This Row],[Audit Losing Candidate]])), Audit[[#This Row],[Audit Losing Candidate]]-Audit[[#This Row],[Losing Candidate]], "")</f>
        <v/>
      </c>
      <c r="AG920" s="17" t="str">
        <f>IF(NOT(ISBLANK(Audit[[#This Row],[Audit Candidate 3]])), Audit[[#This Row],[Audit Candidate 3]]-Audit[[#This Row],[Candidate 3]], "")</f>
        <v/>
      </c>
      <c r="AH920" s="17" t="str">
        <f>IF(NOT(ISBLANK(Audit[[#This Row],[Audit Candidate 4]])),Audit[[#This Row],[Audit Candidate 4]]-Audit[[#This Row],[Candidate 4]], "")</f>
        <v/>
      </c>
      <c r="AI920" s="17" t="str">
        <f>IF(NOT(ISBLANK(Audit[[#This Row],[Audit Candidate 5]])), Audit[[#This Row],[Audit Candidate 5]]-Audit[[#This Row],[Candidate 5]], "")</f>
        <v/>
      </c>
      <c r="AJ920" s="17" t="str">
        <f>IF(NOT(ISBLANK(Audit[[#This Row],[Audit Candidate 6]])), Audit[[#This Row],[Audit Candidate 6]]-Audit[[#This Row],[Candidate 6]], "")</f>
        <v/>
      </c>
      <c r="AK920" s="17" t="str">
        <f>IF(NOT(ISBLANK(Audit[[#This Row],[Audit Candidate 7]])), Audit[[#This Row],[Audit Candidate 7]]-Audit[[#This Row],[Candidate 7]], "")</f>
        <v/>
      </c>
      <c r="AL920" s="17" t="str">
        <f>IF(NOT(ISBLANK(Audit[[#This Row],[Audit Candidate 8]])), Audit[[#This Row],[Audit Candidate 8]]-Audit[[#This Row],[Candidate 8]], "")</f>
        <v/>
      </c>
      <c r="AM920" s="17" t="str">
        <f>IF(NOT(ISBLANK(Audit[[#This Row],[Audit Candidate 9]])), Audit[[#This Row],[Audit Candidate 9]]-Audit[[#This Row],[Candidate 9]], "")</f>
        <v/>
      </c>
      <c r="AN920" s="17" t="str">
        <f>IF(NOT(ISBLANK(Audit[[#This Row],[Audit Candidate 10]])), Audit[[#This Row],[Audit Candidate 10]]-Audit[[#This Row],[Candidate 10]], "")</f>
        <v/>
      </c>
      <c r="AO920" s="17" t="str">
        <f>IF(NOT(ISBLANK(Audit[[#This Row],[Audit Candidate 11]])), Audit[[#This Row],[Audit Candidate 11]]-Audit[[#This Row],[Candidate 11]], "")</f>
        <v/>
      </c>
      <c r="AP920" s="17" t="str">
        <f>IF(NOT(ISBLANK(Audit[[#This Row],[Audit Candidate 12]])), Audit[[#This Row],[Audit Candidate 12]]-Audit[[#This Row],[Candidate 12]], "")</f>
        <v/>
      </c>
      <c r="AQ920" s="17">
        <f>SUMIF(Audit[[#This Row],[Difference Winner]:[Difference Candidate 12]], "&gt;0")</f>
        <v>0</v>
      </c>
      <c r="AR920" s="17">
        <f>SUM(Audit[[#This Row],[Difference Winner]:[Difference Candidate 12]])</f>
        <v>0</v>
      </c>
      <c r="AS920" s="17">
        <f>IF(Audit[[#This Row],[Times p Drawn - With Replacement]]&gt;0, IF(Audit[[#This Row],[Canceled Differences]]&lt;0, Audit[[#This Row],[Max Differences]]+ABS(Audit[[#This Row],[Canceled Differences]]), Audit[[#This Row],[Max Differences]]), 0)</f>
        <v>0</v>
      </c>
      <c r="AT920" s="17">
        <f>'Sampling Data'!AB920</f>
        <v>1.2222033610592429E-2</v>
      </c>
      <c r="AU920" s="17">
        <f>IF(
      SUM(Audit[[#This Row],[Audit Losing Candidate]:[Audit Candidate 12]])
      &lt;&gt;0,
      (Audit[[#This Row],[Winning Candidate]]-Audit[[#This Row],[Losing Candidate]]-(Audit[[#This Row],[Audit Winning Candidate]]-Audit[[#This Row],[Audit Losing Candidate]]))/(Audit[[#Totals],[Winning Candidate]]-Audit[[#Totals],[Losing Candidate]]),
      0
)</f>
        <v>0</v>
      </c>
      <c r="AV9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0" s="17">
        <f>IF(Audit[[#This Row],[Max Relative Error (ep)]] = 0, 0, Audit[[#This Row],[Max Relative Error (ep)]]/Audit[[#This Row],[Error Bound (up) - Max. possible relative overstatement]])</f>
        <v>0</v>
      </c>
      <c r="BH9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20" s="17">
        <f t="shared" si="15"/>
        <v>1</v>
      </c>
      <c r="BJ920" s="17">
        <f>PRODUCT($BI$5:BI920)</f>
        <v>0.15397941983070551</v>
      </c>
      <c r="BK920" s="19">
        <f>1 - Audit[[#This Row],[K-M P Value]]</f>
        <v>0.84602058016929449</v>
      </c>
      <c r="BL920" s="17" t="str">
        <f>IF(Audit[[#This Row],[K-M P Value]]&gt;1-'General Info'!$B$12,"Continue", "Stop")</f>
        <v>Continue</v>
      </c>
      <c r="BM920" s="22" t="b">
        <f>IF(Audit[[#This Row],[Status - Continue or stop audit]] = "Continue", TRUE, IF(BL919 = "Continue", TRUE, FALSE))</f>
        <v>1</v>
      </c>
      <c r="BN920" s="22"/>
    </row>
    <row r="921" spans="1:66" ht="15" hidden="1" customHeight="1" x14ac:dyDescent="0.35">
      <c r="A921" s="17" t="str">
        <f>'Sampling Data'!AI921</f>
        <v/>
      </c>
      <c r="B921" s="17" t="str">
        <f>'Sampling Data'!A921</f>
        <v>5907 COLE G   (ED)</v>
      </c>
      <c r="C921" s="17">
        <f>'Sampling Data'!B921</f>
        <v>128</v>
      </c>
      <c r="D921" s="17">
        <f>'Sampling Data'!C921</f>
        <v>450</v>
      </c>
      <c r="E921" s="18">
        <f>'Sampling Data'!D921</f>
        <v>0</v>
      </c>
      <c r="F921" s="18">
        <f>'Sampling Data'!E921</f>
        <v>0</v>
      </c>
      <c r="G921" s="18">
        <f>'Sampling Data'!F921</f>
        <v>0</v>
      </c>
      <c r="H921" s="18">
        <f>'Sampling Data'!G921</f>
        <v>0</v>
      </c>
      <c r="I921" s="18">
        <f>'Sampling Data'!H921</f>
        <v>0</v>
      </c>
      <c r="J921" s="18">
        <f>'Sampling Data'!I921</f>
        <v>0</v>
      </c>
      <c r="K921" s="18">
        <f>'Sampling Data'!J921</f>
        <v>0</v>
      </c>
      <c r="L921" s="18">
        <f>'Sampling Data'!K921</f>
        <v>0</v>
      </c>
      <c r="M921" s="18">
        <f>'Sampling Data'!L921</f>
        <v>0</v>
      </c>
      <c r="N921" s="18">
        <f>'Sampling Data'!M921</f>
        <v>0</v>
      </c>
      <c r="O921" s="17">
        <f>'Sampling Data'!N921</f>
        <v>0</v>
      </c>
      <c r="P921" s="17">
        <f>'Sampling Data'!O921</f>
        <v>48</v>
      </c>
      <c r="Q921" s="17">
        <f>'Sampling Data'!P921</f>
        <v>626</v>
      </c>
      <c r="R921" s="17">
        <f>'Sampling Data'!AJ921</f>
        <v>0</v>
      </c>
      <c r="S921" s="111"/>
      <c r="T921" s="111"/>
      <c r="U921" s="112"/>
      <c r="V921" s="112"/>
      <c r="W921" s="111"/>
      <c r="X921" s="111"/>
      <c r="Y921" s="111"/>
      <c r="Z921" s="111"/>
      <c r="AA921" s="14"/>
      <c r="AB921" s="14"/>
      <c r="AC921" s="14"/>
      <c r="AD921" s="14"/>
      <c r="AE921" s="113" t="str">
        <f>IF(NOT(ISBLANK(Audit[[#This Row],[Audit Winning Candidate]])), Audit[[#This Row],[Audit Winning Candidate]]-Audit[[#This Row],[Winning Candidate]], "")</f>
        <v/>
      </c>
      <c r="AF921" s="17" t="str">
        <f>IF(NOT(ISBLANK(Audit[[#This Row],[Audit Losing Candidate]])), Audit[[#This Row],[Audit Losing Candidate]]-Audit[[#This Row],[Losing Candidate]], "")</f>
        <v/>
      </c>
      <c r="AG921" s="17" t="str">
        <f>IF(NOT(ISBLANK(Audit[[#This Row],[Audit Candidate 3]])), Audit[[#This Row],[Audit Candidate 3]]-Audit[[#This Row],[Candidate 3]], "")</f>
        <v/>
      </c>
      <c r="AH921" s="17" t="str">
        <f>IF(NOT(ISBLANK(Audit[[#This Row],[Audit Candidate 4]])),Audit[[#This Row],[Audit Candidate 4]]-Audit[[#This Row],[Candidate 4]], "")</f>
        <v/>
      </c>
      <c r="AI921" s="17" t="str">
        <f>IF(NOT(ISBLANK(Audit[[#This Row],[Audit Candidate 5]])), Audit[[#This Row],[Audit Candidate 5]]-Audit[[#This Row],[Candidate 5]], "")</f>
        <v/>
      </c>
      <c r="AJ921" s="17" t="str">
        <f>IF(NOT(ISBLANK(Audit[[#This Row],[Audit Candidate 6]])), Audit[[#This Row],[Audit Candidate 6]]-Audit[[#This Row],[Candidate 6]], "")</f>
        <v/>
      </c>
      <c r="AK921" s="17" t="str">
        <f>IF(NOT(ISBLANK(Audit[[#This Row],[Audit Candidate 7]])), Audit[[#This Row],[Audit Candidate 7]]-Audit[[#This Row],[Candidate 7]], "")</f>
        <v/>
      </c>
      <c r="AL921" s="17" t="str">
        <f>IF(NOT(ISBLANK(Audit[[#This Row],[Audit Candidate 8]])), Audit[[#This Row],[Audit Candidate 8]]-Audit[[#This Row],[Candidate 8]], "")</f>
        <v/>
      </c>
      <c r="AM921" s="17" t="str">
        <f>IF(NOT(ISBLANK(Audit[[#This Row],[Audit Candidate 9]])), Audit[[#This Row],[Audit Candidate 9]]-Audit[[#This Row],[Candidate 9]], "")</f>
        <v/>
      </c>
      <c r="AN921" s="17" t="str">
        <f>IF(NOT(ISBLANK(Audit[[#This Row],[Audit Candidate 10]])), Audit[[#This Row],[Audit Candidate 10]]-Audit[[#This Row],[Candidate 10]], "")</f>
        <v/>
      </c>
      <c r="AO921" s="17" t="str">
        <f>IF(NOT(ISBLANK(Audit[[#This Row],[Audit Candidate 11]])), Audit[[#This Row],[Audit Candidate 11]]-Audit[[#This Row],[Candidate 11]], "")</f>
        <v/>
      </c>
      <c r="AP921" s="17" t="str">
        <f>IF(NOT(ISBLANK(Audit[[#This Row],[Audit Candidate 12]])), Audit[[#This Row],[Audit Candidate 12]]-Audit[[#This Row],[Candidate 12]], "")</f>
        <v/>
      </c>
      <c r="AQ921" s="17">
        <f>SUMIF(Audit[[#This Row],[Difference Winner]:[Difference Candidate 12]], "&gt;0")</f>
        <v>0</v>
      </c>
      <c r="AR921" s="17">
        <f>SUM(Audit[[#This Row],[Difference Winner]:[Difference Candidate 12]])</f>
        <v>0</v>
      </c>
      <c r="AS921" s="17">
        <f>IF(Audit[[#This Row],[Times p Drawn - With Replacement]]&gt;0, IF(Audit[[#This Row],[Canceled Differences]]&lt;0, Audit[[#This Row],[Max Differences]]+ABS(Audit[[#This Row],[Canceled Differences]]), Audit[[#This Row],[Max Differences]]), 0)</f>
        <v>0</v>
      </c>
      <c r="AT921" s="17">
        <f>'Sampling Data'!AB921</f>
        <v>1.2901035477847564E-2</v>
      </c>
      <c r="AU921" s="17">
        <f>IF(
      SUM(Audit[[#This Row],[Audit Losing Candidate]:[Audit Candidate 12]])
      &lt;&gt;0,
      (Audit[[#This Row],[Winning Candidate]]-Audit[[#This Row],[Losing Candidate]]-(Audit[[#This Row],[Audit Winning Candidate]]-Audit[[#This Row],[Audit Losing Candidate]]))/(Audit[[#Totals],[Winning Candidate]]-Audit[[#Totals],[Losing Candidate]]),
      0
)</f>
        <v>0</v>
      </c>
      <c r="AV9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1" s="17">
        <f>IF(Audit[[#This Row],[Max Relative Error (ep)]] = 0, 0, Audit[[#This Row],[Max Relative Error (ep)]]/Audit[[#This Row],[Error Bound (up) - Max. possible relative overstatement]])</f>
        <v>0</v>
      </c>
      <c r="BH9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21" s="17">
        <f t="shared" si="15"/>
        <v>1</v>
      </c>
      <c r="BJ921" s="17">
        <f>PRODUCT($BI$5:BI921)</f>
        <v>0.15397941983070551</v>
      </c>
      <c r="BK921" s="19">
        <f>1 - Audit[[#This Row],[K-M P Value]]</f>
        <v>0.84602058016929449</v>
      </c>
      <c r="BL921" s="17" t="str">
        <f>IF(Audit[[#This Row],[K-M P Value]]&gt;1-'General Info'!$B$12,"Continue", "Stop")</f>
        <v>Continue</v>
      </c>
      <c r="BM921" s="22" t="b">
        <f>IF(Audit[[#This Row],[Status - Continue or stop audit]] = "Continue", TRUE, IF(BL920 = "Continue", TRUE, FALSE))</f>
        <v>1</v>
      </c>
      <c r="BN921" s="22"/>
    </row>
    <row r="922" spans="1:66" ht="15" hidden="1" customHeight="1" x14ac:dyDescent="0.35">
      <c r="A922" s="17" t="str">
        <f>'Sampling Data'!AI922</f>
        <v/>
      </c>
      <c r="B922" s="17" t="str">
        <f>'Sampling Data'!A922</f>
        <v>5908 COLE H   (ED)</v>
      </c>
      <c r="C922" s="17">
        <f>'Sampling Data'!B922</f>
        <v>258</v>
      </c>
      <c r="D922" s="17">
        <f>'Sampling Data'!C922</f>
        <v>409</v>
      </c>
      <c r="E922" s="18">
        <f>'Sampling Data'!D922</f>
        <v>0</v>
      </c>
      <c r="F922" s="18">
        <f>'Sampling Data'!E922</f>
        <v>0</v>
      </c>
      <c r="G922" s="18">
        <f>'Sampling Data'!F922</f>
        <v>0</v>
      </c>
      <c r="H922" s="18">
        <f>'Sampling Data'!G922</f>
        <v>0</v>
      </c>
      <c r="I922" s="18">
        <f>'Sampling Data'!H922</f>
        <v>0</v>
      </c>
      <c r="J922" s="18">
        <f>'Sampling Data'!I922</f>
        <v>0</v>
      </c>
      <c r="K922" s="18">
        <f>'Sampling Data'!J922</f>
        <v>0</v>
      </c>
      <c r="L922" s="18">
        <f>'Sampling Data'!K922</f>
        <v>0</v>
      </c>
      <c r="M922" s="18">
        <f>'Sampling Data'!L922</f>
        <v>0</v>
      </c>
      <c r="N922" s="18">
        <f>'Sampling Data'!M922</f>
        <v>0</v>
      </c>
      <c r="O922" s="17">
        <f>'Sampling Data'!N922</f>
        <v>1</v>
      </c>
      <c r="P922" s="17">
        <f>'Sampling Data'!O922</f>
        <v>59</v>
      </c>
      <c r="Q922" s="17">
        <f>'Sampling Data'!P922</f>
        <v>727</v>
      </c>
      <c r="R922" s="17">
        <f>'Sampling Data'!AJ922</f>
        <v>0</v>
      </c>
      <c r="S922" s="111"/>
      <c r="T922" s="111"/>
      <c r="U922" s="112"/>
      <c r="V922" s="112"/>
      <c r="W922" s="111"/>
      <c r="X922" s="111"/>
      <c r="Y922" s="111"/>
      <c r="Z922" s="111"/>
      <c r="AA922" s="14"/>
      <c r="AB922" s="14"/>
      <c r="AC922" s="14"/>
      <c r="AD922" s="14"/>
      <c r="AE922" s="113" t="str">
        <f>IF(NOT(ISBLANK(Audit[[#This Row],[Audit Winning Candidate]])), Audit[[#This Row],[Audit Winning Candidate]]-Audit[[#This Row],[Winning Candidate]], "")</f>
        <v/>
      </c>
      <c r="AF922" s="17" t="str">
        <f>IF(NOT(ISBLANK(Audit[[#This Row],[Audit Losing Candidate]])), Audit[[#This Row],[Audit Losing Candidate]]-Audit[[#This Row],[Losing Candidate]], "")</f>
        <v/>
      </c>
      <c r="AG922" s="17" t="str">
        <f>IF(NOT(ISBLANK(Audit[[#This Row],[Audit Candidate 3]])), Audit[[#This Row],[Audit Candidate 3]]-Audit[[#This Row],[Candidate 3]], "")</f>
        <v/>
      </c>
      <c r="AH922" s="17" t="str">
        <f>IF(NOT(ISBLANK(Audit[[#This Row],[Audit Candidate 4]])),Audit[[#This Row],[Audit Candidate 4]]-Audit[[#This Row],[Candidate 4]], "")</f>
        <v/>
      </c>
      <c r="AI922" s="17" t="str">
        <f>IF(NOT(ISBLANK(Audit[[#This Row],[Audit Candidate 5]])), Audit[[#This Row],[Audit Candidate 5]]-Audit[[#This Row],[Candidate 5]], "")</f>
        <v/>
      </c>
      <c r="AJ922" s="17" t="str">
        <f>IF(NOT(ISBLANK(Audit[[#This Row],[Audit Candidate 6]])), Audit[[#This Row],[Audit Candidate 6]]-Audit[[#This Row],[Candidate 6]], "")</f>
        <v/>
      </c>
      <c r="AK922" s="17" t="str">
        <f>IF(NOT(ISBLANK(Audit[[#This Row],[Audit Candidate 7]])), Audit[[#This Row],[Audit Candidate 7]]-Audit[[#This Row],[Candidate 7]], "")</f>
        <v/>
      </c>
      <c r="AL922" s="17" t="str">
        <f>IF(NOT(ISBLANK(Audit[[#This Row],[Audit Candidate 8]])), Audit[[#This Row],[Audit Candidate 8]]-Audit[[#This Row],[Candidate 8]], "")</f>
        <v/>
      </c>
      <c r="AM922" s="17" t="str">
        <f>IF(NOT(ISBLANK(Audit[[#This Row],[Audit Candidate 9]])), Audit[[#This Row],[Audit Candidate 9]]-Audit[[#This Row],[Candidate 9]], "")</f>
        <v/>
      </c>
      <c r="AN922" s="17" t="str">
        <f>IF(NOT(ISBLANK(Audit[[#This Row],[Audit Candidate 10]])), Audit[[#This Row],[Audit Candidate 10]]-Audit[[#This Row],[Candidate 10]], "")</f>
        <v/>
      </c>
      <c r="AO922" s="17" t="str">
        <f>IF(NOT(ISBLANK(Audit[[#This Row],[Audit Candidate 11]])), Audit[[#This Row],[Audit Candidate 11]]-Audit[[#This Row],[Candidate 11]], "")</f>
        <v/>
      </c>
      <c r="AP922" s="17" t="str">
        <f>IF(NOT(ISBLANK(Audit[[#This Row],[Audit Candidate 12]])), Audit[[#This Row],[Audit Candidate 12]]-Audit[[#This Row],[Candidate 12]], "")</f>
        <v/>
      </c>
      <c r="AQ922" s="17">
        <f>SUMIF(Audit[[#This Row],[Difference Winner]:[Difference Candidate 12]], "&gt;0")</f>
        <v>0</v>
      </c>
      <c r="AR922" s="17">
        <f>SUM(Audit[[#This Row],[Difference Winner]:[Difference Candidate 12]])</f>
        <v>0</v>
      </c>
      <c r="AS922" s="17">
        <f>IF(Audit[[#This Row],[Times p Drawn - With Replacement]]&gt;0, IF(Audit[[#This Row],[Canceled Differences]]&lt;0, Audit[[#This Row],[Max Differences]]+ABS(Audit[[#This Row],[Canceled Differences]]), Audit[[#This Row],[Max Differences]]), 0)</f>
        <v>0</v>
      </c>
      <c r="AT922" s="17">
        <f>'Sampling Data'!AB922</f>
        <v>2.4444067221184859E-2</v>
      </c>
      <c r="AU922" s="17">
        <f>IF(
      SUM(Audit[[#This Row],[Audit Losing Candidate]:[Audit Candidate 12]])
      &lt;&gt;0,
      (Audit[[#This Row],[Winning Candidate]]-Audit[[#This Row],[Losing Candidate]]-(Audit[[#This Row],[Audit Winning Candidate]]-Audit[[#This Row],[Audit Losing Candidate]]))/(Audit[[#Totals],[Winning Candidate]]-Audit[[#Totals],[Losing Candidate]]),
      0
)</f>
        <v>0</v>
      </c>
      <c r="AV9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2" s="17">
        <f>IF(Audit[[#This Row],[Max Relative Error (ep)]] = 0, 0, Audit[[#This Row],[Max Relative Error (ep)]]/Audit[[#This Row],[Error Bound (up) - Max. possible relative overstatement]])</f>
        <v>0</v>
      </c>
      <c r="BH9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22" s="17">
        <f t="shared" si="15"/>
        <v>1</v>
      </c>
      <c r="BJ922" s="17">
        <f>PRODUCT($BI$5:BI922)</f>
        <v>0.15397941983070551</v>
      </c>
      <c r="BK922" s="19">
        <f>1 - Audit[[#This Row],[K-M P Value]]</f>
        <v>0.84602058016929449</v>
      </c>
      <c r="BL922" s="17" t="str">
        <f>IF(Audit[[#This Row],[K-M P Value]]&gt;1-'General Info'!$B$12,"Continue", "Stop")</f>
        <v>Continue</v>
      </c>
      <c r="BM922" s="22" t="b">
        <f>IF(Audit[[#This Row],[Status - Continue or stop audit]] = "Continue", TRUE, IF(BL921 = "Continue", TRUE, FALSE))</f>
        <v>1</v>
      </c>
      <c r="BN922" s="22"/>
    </row>
    <row r="923" spans="1:66" ht="15" hidden="1" customHeight="1" x14ac:dyDescent="0.35">
      <c r="A923" s="17" t="str">
        <f>'Sampling Data'!AI923</f>
        <v/>
      </c>
      <c r="B923" s="17" t="str">
        <f>'Sampling Data'!A923</f>
        <v>5909 COLE I   (ED)</v>
      </c>
      <c r="C923" s="17">
        <f>'Sampling Data'!B923</f>
        <v>67</v>
      </c>
      <c r="D923" s="17">
        <f>'Sampling Data'!C923</f>
        <v>362</v>
      </c>
      <c r="E923" s="18">
        <f>'Sampling Data'!D923</f>
        <v>0</v>
      </c>
      <c r="F923" s="18">
        <f>'Sampling Data'!E923</f>
        <v>0</v>
      </c>
      <c r="G923" s="18">
        <f>'Sampling Data'!F923</f>
        <v>0</v>
      </c>
      <c r="H923" s="18">
        <f>'Sampling Data'!G923</f>
        <v>0</v>
      </c>
      <c r="I923" s="18">
        <f>'Sampling Data'!H923</f>
        <v>0</v>
      </c>
      <c r="J923" s="18">
        <f>'Sampling Data'!I923</f>
        <v>0</v>
      </c>
      <c r="K923" s="18">
        <f>'Sampling Data'!J923</f>
        <v>0</v>
      </c>
      <c r="L923" s="18">
        <f>'Sampling Data'!K923</f>
        <v>0</v>
      </c>
      <c r="M923" s="18">
        <f>'Sampling Data'!L923</f>
        <v>0</v>
      </c>
      <c r="N923" s="18">
        <f>'Sampling Data'!M923</f>
        <v>0</v>
      </c>
      <c r="O923" s="17">
        <f>'Sampling Data'!N923</f>
        <v>0</v>
      </c>
      <c r="P923" s="17">
        <f>'Sampling Data'!O923</f>
        <v>29</v>
      </c>
      <c r="Q923" s="17">
        <f>'Sampling Data'!P923</f>
        <v>458</v>
      </c>
      <c r="R923" s="17">
        <f>'Sampling Data'!AJ923</f>
        <v>0</v>
      </c>
      <c r="S923" s="111"/>
      <c r="T923" s="111"/>
      <c r="U923" s="112"/>
      <c r="V923" s="112"/>
      <c r="W923" s="111"/>
      <c r="X923" s="111"/>
      <c r="Y923" s="111"/>
      <c r="Z923" s="111"/>
      <c r="AA923" s="14"/>
      <c r="AB923" s="14"/>
      <c r="AC923" s="14"/>
      <c r="AD923" s="14"/>
      <c r="AE923" s="113" t="str">
        <f>IF(NOT(ISBLANK(Audit[[#This Row],[Audit Winning Candidate]])), Audit[[#This Row],[Audit Winning Candidate]]-Audit[[#This Row],[Winning Candidate]], "")</f>
        <v/>
      </c>
      <c r="AF923" s="17" t="str">
        <f>IF(NOT(ISBLANK(Audit[[#This Row],[Audit Losing Candidate]])), Audit[[#This Row],[Audit Losing Candidate]]-Audit[[#This Row],[Losing Candidate]], "")</f>
        <v/>
      </c>
      <c r="AG923" s="17" t="str">
        <f>IF(NOT(ISBLANK(Audit[[#This Row],[Audit Candidate 3]])), Audit[[#This Row],[Audit Candidate 3]]-Audit[[#This Row],[Candidate 3]], "")</f>
        <v/>
      </c>
      <c r="AH923" s="17" t="str">
        <f>IF(NOT(ISBLANK(Audit[[#This Row],[Audit Candidate 4]])),Audit[[#This Row],[Audit Candidate 4]]-Audit[[#This Row],[Candidate 4]], "")</f>
        <v/>
      </c>
      <c r="AI923" s="17" t="str">
        <f>IF(NOT(ISBLANK(Audit[[#This Row],[Audit Candidate 5]])), Audit[[#This Row],[Audit Candidate 5]]-Audit[[#This Row],[Candidate 5]], "")</f>
        <v/>
      </c>
      <c r="AJ923" s="17" t="str">
        <f>IF(NOT(ISBLANK(Audit[[#This Row],[Audit Candidate 6]])), Audit[[#This Row],[Audit Candidate 6]]-Audit[[#This Row],[Candidate 6]], "")</f>
        <v/>
      </c>
      <c r="AK923" s="17" t="str">
        <f>IF(NOT(ISBLANK(Audit[[#This Row],[Audit Candidate 7]])), Audit[[#This Row],[Audit Candidate 7]]-Audit[[#This Row],[Candidate 7]], "")</f>
        <v/>
      </c>
      <c r="AL923" s="17" t="str">
        <f>IF(NOT(ISBLANK(Audit[[#This Row],[Audit Candidate 8]])), Audit[[#This Row],[Audit Candidate 8]]-Audit[[#This Row],[Candidate 8]], "")</f>
        <v/>
      </c>
      <c r="AM923" s="17" t="str">
        <f>IF(NOT(ISBLANK(Audit[[#This Row],[Audit Candidate 9]])), Audit[[#This Row],[Audit Candidate 9]]-Audit[[#This Row],[Candidate 9]], "")</f>
        <v/>
      </c>
      <c r="AN923" s="17" t="str">
        <f>IF(NOT(ISBLANK(Audit[[#This Row],[Audit Candidate 10]])), Audit[[#This Row],[Audit Candidate 10]]-Audit[[#This Row],[Candidate 10]], "")</f>
        <v/>
      </c>
      <c r="AO923" s="17" t="str">
        <f>IF(NOT(ISBLANK(Audit[[#This Row],[Audit Candidate 11]])), Audit[[#This Row],[Audit Candidate 11]]-Audit[[#This Row],[Candidate 11]], "")</f>
        <v/>
      </c>
      <c r="AP923" s="17" t="str">
        <f>IF(NOT(ISBLANK(Audit[[#This Row],[Audit Candidate 12]])), Audit[[#This Row],[Audit Candidate 12]]-Audit[[#This Row],[Candidate 12]], "")</f>
        <v/>
      </c>
      <c r="AQ923" s="17">
        <f>SUMIF(Audit[[#This Row],[Difference Winner]:[Difference Candidate 12]], "&gt;0")</f>
        <v>0</v>
      </c>
      <c r="AR923" s="17">
        <f>SUM(Audit[[#This Row],[Difference Winner]:[Difference Candidate 12]])</f>
        <v>0</v>
      </c>
      <c r="AS923" s="17">
        <f>IF(Audit[[#This Row],[Times p Drawn - With Replacement]]&gt;0, IF(Audit[[#This Row],[Canceled Differences]]&lt;0, Audit[[#This Row],[Max Differences]]+ABS(Audit[[#This Row],[Canceled Differences]]), Audit[[#This Row],[Max Differences]]), 0)</f>
        <v>0</v>
      </c>
      <c r="AT923" s="17">
        <f>'Sampling Data'!AB923</f>
        <v>6.917331522661687E-3</v>
      </c>
      <c r="AU923" s="17">
        <f>IF(
      SUM(Audit[[#This Row],[Audit Losing Candidate]:[Audit Candidate 12]])
      &lt;&gt;0,
      (Audit[[#This Row],[Winning Candidate]]-Audit[[#This Row],[Losing Candidate]]-(Audit[[#This Row],[Audit Winning Candidate]]-Audit[[#This Row],[Audit Losing Candidate]]))/(Audit[[#Totals],[Winning Candidate]]-Audit[[#Totals],[Losing Candidate]]),
      0
)</f>
        <v>0</v>
      </c>
      <c r="AV9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3" s="17">
        <f>IF(Audit[[#This Row],[Max Relative Error (ep)]] = 0, 0, Audit[[#This Row],[Max Relative Error (ep)]]/Audit[[#This Row],[Error Bound (up) - Max. possible relative overstatement]])</f>
        <v>0</v>
      </c>
      <c r="BH9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23" s="17">
        <f t="shared" si="15"/>
        <v>1</v>
      </c>
      <c r="BJ923" s="17">
        <f>PRODUCT($BI$5:BI923)</f>
        <v>0.15397941983070551</v>
      </c>
      <c r="BK923" s="19">
        <f>1 - Audit[[#This Row],[K-M P Value]]</f>
        <v>0.84602058016929449</v>
      </c>
      <c r="BL923" s="17" t="str">
        <f>IF(Audit[[#This Row],[K-M P Value]]&gt;1-'General Info'!$B$12,"Continue", "Stop")</f>
        <v>Continue</v>
      </c>
      <c r="BM923" s="22" t="b">
        <f>IF(Audit[[#This Row],[Status - Continue or stop audit]] = "Continue", TRUE, IF(BL922 = "Continue", TRUE, FALSE))</f>
        <v>1</v>
      </c>
      <c r="BN923" s="22"/>
    </row>
    <row r="924" spans="1:66" ht="15" hidden="1" customHeight="1" x14ac:dyDescent="0.35">
      <c r="A924" s="17" t="str">
        <f>'Sampling Data'!AI924</f>
        <v/>
      </c>
      <c r="B924" s="17" t="str">
        <f>'Sampling Data'!A924</f>
        <v>5910 COLE J   (ED)</v>
      </c>
      <c r="C924" s="17">
        <f>'Sampling Data'!B924</f>
        <v>226</v>
      </c>
      <c r="D924" s="17">
        <f>'Sampling Data'!C924</f>
        <v>335</v>
      </c>
      <c r="E924" s="18">
        <f>'Sampling Data'!D924</f>
        <v>0</v>
      </c>
      <c r="F924" s="18">
        <f>'Sampling Data'!E924</f>
        <v>0</v>
      </c>
      <c r="G924" s="18">
        <f>'Sampling Data'!F924</f>
        <v>0</v>
      </c>
      <c r="H924" s="18">
        <f>'Sampling Data'!G924</f>
        <v>0</v>
      </c>
      <c r="I924" s="18">
        <f>'Sampling Data'!H924</f>
        <v>0</v>
      </c>
      <c r="J924" s="18">
        <f>'Sampling Data'!I924</f>
        <v>0</v>
      </c>
      <c r="K924" s="18">
        <f>'Sampling Data'!J924</f>
        <v>0</v>
      </c>
      <c r="L924" s="18">
        <f>'Sampling Data'!K924</f>
        <v>0</v>
      </c>
      <c r="M924" s="18">
        <f>'Sampling Data'!L924</f>
        <v>0</v>
      </c>
      <c r="N924" s="18">
        <f>'Sampling Data'!M924</f>
        <v>0</v>
      </c>
      <c r="O924" s="17">
        <f>'Sampling Data'!N924</f>
        <v>0</v>
      </c>
      <c r="P924" s="17">
        <f>'Sampling Data'!O924</f>
        <v>34</v>
      </c>
      <c r="Q924" s="17">
        <f>'Sampling Data'!P924</f>
        <v>595</v>
      </c>
      <c r="R924" s="17">
        <f>'Sampling Data'!AJ924</f>
        <v>0</v>
      </c>
      <c r="S924" s="111"/>
      <c r="T924" s="111"/>
      <c r="U924" s="112"/>
      <c r="V924" s="112"/>
      <c r="W924" s="111"/>
      <c r="X924" s="111"/>
      <c r="Y924" s="111"/>
      <c r="Z924" s="111"/>
      <c r="AA924" s="14"/>
      <c r="AB924" s="14"/>
      <c r="AC924" s="14"/>
      <c r="AD924" s="14"/>
      <c r="AE924" s="113" t="str">
        <f>IF(NOT(ISBLANK(Audit[[#This Row],[Audit Winning Candidate]])), Audit[[#This Row],[Audit Winning Candidate]]-Audit[[#This Row],[Winning Candidate]], "")</f>
        <v/>
      </c>
      <c r="AF924" s="17" t="str">
        <f>IF(NOT(ISBLANK(Audit[[#This Row],[Audit Losing Candidate]])), Audit[[#This Row],[Audit Losing Candidate]]-Audit[[#This Row],[Losing Candidate]], "")</f>
        <v/>
      </c>
      <c r="AG924" s="17" t="str">
        <f>IF(NOT(ISBLANK(Audit[[#This Row],[Audit Candidate 3]])), Audit[[#This Row],[Audit Candidate 3]]-Audit[[#This Row],[Candidate 3]], "")</f>
        <v/>
      </c>
      <c r="AH924" s="17" t="str">
        <f>IF(NOT(ISBLANK(Audit[[#This Row],[Audit Candidate 4]])),Audit[[#This Row],[Audit Candidate 4]]-Audit[[#This Row],[Candidate 4]], "")</f>
        <v/>
      </c>
      <c r="AI924" s="17" t="str">
        <f>IF(NOT(ISBLANK(Audit[[#This Row],[Audit Candidate 5]])), Audit[[#This Row],[Audit Candidate 5]]-Audit[[#This Row],[Candidate 5]], "")</f>
        <v/>
      </c>
      <c r="AJ924" s="17" t="str">
        <f>IF(NOT(ISBLANK(Audit[[#This Row],[Audit Candidate 6]])), Audit[[#This Row],[Audit Candidate 6]]-Audit[[#This Row],[Candidate 6]], "")</f>
        <v/>
      </c>
      <c r="AK924" s="17" t="str">
        <f>IF(NOT(ISBLANK(Audit[[#This Row],[Audit Candidate 7]])), Audit[[#This Row],[Audit Candidate 7]]-Audit[[#This Row],[Candidate 7]], "")</f>
        <v/>
      </c>
      <c r="AL924" s="17" t="str">
        <f>IF(NOT(ISBLANK(Audit[[#This Row],[Audit Candidate 8]])), Audit[[#This Row],[Audit Candidate 8]]-Audit[[#This Row],[Candidate 8]], "")</f>
        <v/>
      </c>
      <c r="AM924" s="17" t="str">
        <f>IF(NOT(ISBLANK(Audit[[#This Row],[Audit Candidate 9]])), Audit[[#This Row],[Audit Candidate 9]]-Audit[[#This Row],[Candidate 9]], "")</f>
        <v/>
      </c>
      <c r="AN924" s="17" t="str">
        <f>IF(NOT(ISBLANK(Audit[[#This Row],[Audit Candidate 10]])), Audit[[#This Row],[Audit Candidate 10]]-Audit[[#This Row],[Candidate 10]], "")</f>
        <v/>
      </c>
      <c r="AO924" s="17" t="str">
        <f>IF(NOT(ISBLANK(Audit[[#This Row],[Audit Candidate 11]])), Audit[[#This Row],[Audit Candidate 11]]-Audit[[#This Row],[Candidate 11]], "")</f>
        <v/>
      </c>
      <c r="AP924" s="17" t="str">
        <f>IF(NOT(ISBLANK(Audit[[#This Row],[Audit Candidate 12]])), Audit[[#This Row],[Audit Candidate 12]]-Audit[[#This Row],[Candidate 12]], "")</f>
        <v/>
      </c>
      <c r="AQ924" s="17">
        <f>SUMIF(Audit[[#This Row],[Difference Winner]:[Difference Candidate 12]], "&gt;0")</f>
        <v>0</v>
      </c>
      <c r="AR924" s="17">
        <f>SUM(Audit[[#This Row],[Difference Winner]:[Difference Candidate 12]])</f>
        <v>0</v>
      </c>
      <c r="AS924" s="17">
        <f>IF(Audit[[#This Row],[Times p Drawn - With Replacement]]&gt;0, IF(Audit[[#This Row],[Canceled Differences]]&lt;0, Audit[[#This Row],[Max Differences]]+ABS(Audit[[#This Row],[Canceled Differences]]), Audit[[#This Row],[Max Differences]]), 0)</f>
        <v>0</v>
      </c>
      <c r="AT924" s="17">
        <f>'Sampling Data'!AB924</f>
        <v>2.0624681717874724E-2</v>
      </c>
      <c r="AU924" s="17">
        <f>IF(
      SUM(Audit[[#This Row],[Audit Losing Candidate]:[Audit Candidate 12]])
      &lt;&gt;0,
      (Audit[[#This Row],[Winning Candidate]]-Audit[[#This Row],[Losing Candidate]]-(Audit[[#This Row],[Audit Winning Candidate]]-Audit[[#This Row],[Audit Losing Candidate]]))/(Audit[[#Totals],[Winning Candidate]]-Audit[[#Totals],[Losing Candidate]]),
      0
)</f>
        <v>0</v>
      </c>
      <c r="AV9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4" s="17">
        <f>IF(Audit[[#This Row],[Max Relative Error (ep)]] = 0, 0, Audit[[#This Row],[Max Relative Error (ep)]]/Audit[[#This Row],[Error Bound (up) - Max. possible relative overstatement]])</f>
        <v>0</v>
      </c>
      <c r="BH9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24" s="17">
        <f t="shared" si="15"/>
        <v>1</v>
      </c>
      <c r="BJ924" s="17">
        <f>PRODUCT($BI$5:BI924)</f>
        <v>0.15397941983070551</v>
      </c>
      <c r="BK924" s="19">
        <f>1 - Audit[[#This Row],[K-M P Value]]</f>
        <v>0.84602058016929449</v>
      </c>
      <c r="BL924" s="17" t="str">
        <f>IF(Audit[[#This Row],[K-M P Value]]&gt;1-'General Info'!$B$12,"Continue", "Stop")</f>
        <v>Continue</v>
      </c>
      <c r="BM924" s="22" t="b">
        <f>IF(Audit[[#This Row],[Status - Continue or stop audit]] = "Continue", TRUE, IF(BL923 = "Continue", TRUE, FALSE))</f>
        <v>1</v>
      </c>
      <c r="BN924" s="22"/>
    </row>
    <row r="925" spans="1:66" ht="15" hidden="1" customHeight="1" x14ac:dyDescent="0.35">
      <c r="A925" s="17" t="str">
        <f>'Sampling Data'!AI925</f>
        <v/>
      </c>
      <c r="B925" s="17" t="str">
        <f>'Sampling Data'!A925</f>
        <v>5911 COLE K   (ED)</v>
      </c>
      <c r="C925" s="17">
        <f>'Sampling Data'!B925</f>
        <v>125</v>
      </c>
      <c r="D925" s="17">
        <f>'Sampling Data'!C925</f>
        <v>237</v>
      </c>
      <c r="E925" s="18">
        <f>'Sampling Data'!D925</f>
        <v>0</v>
      </c>
      <c r="F925" s="18">
        <f>'Sampling Data'!E925</f>
        <v>0</v>
      </c>
      <c r="G925" s="18">
        <f>'Sampling Data'!F925</f>
        <v>0</v>
      </c>
      <c r="H925" s="18">
        <f>'Sampling Data'!G925</f>
        <v>0</v>
      </c>
      <c r="I925" s="18">
        <f>'Sampling Data'!H925</f>
        <v>0</v>
      </c>
      <c r="J925" s="18">
        <f>'Sampling Data'!I925</f>
        <v>0</v>
      </c>
      <c r="K925" s="18">
        <f>'Sampling Data'!J925</f>
        <v>0</v>
      </c>
      <c r="L925" s="18">
        <f>'Sampling Data'!K925</f>
        <v>0</v>
      </c>
      <c r="M925" s="18">
        <f>'Sampling Data'!L925</f>
        <v>0</v>
      </c>
      <c r="N925" s="18">
        <f>'Sampling Data'!M925</f>
        <v>0</v>
      </c>
      <c r="O925" s="17">
        <f>'Sampling Data'!N925</f>
        <v>0</v>
      </c>
      <c r="P925" s="17">
        <f>'Sampling Data'!O925</f>
        <v>26</v>
      </c>
      <c r="Q925" s="17">
        <f>'Sampling Data'!P925</f>
        <v>388</v>
      </c>
      <c r="R925" s="17">
        <f>'Sampling Data'!AJ925</f>
        <v>0</v>
      </c>
      <c r="S925" s="111"/>
      <c r="T925" s="111"/>
      <c r="U925" s="112"/>
      <c r="V925" s="112"/>
      <c r="W925" s="111"/>
      <c r="X925" s="111"/>
      <c r="Y925" s="111"/>
      <c r="Z925" s="111"/>
      <c r="AA925" s="14"/>
      <c r="AB925" s="14"/>
      <c r="AC925" s="14"/>
      <c r="AD925" s="14"/>
      <c r="AE925" s="113" t="str">
        <f>IF(NOT(ISBLANK(Audit[[#This Row],[Audit Winning Candidate]])), Audit[[#This Row],[Audit Winning Candidate]]-Audit[[#This Row],[Winning Candidate]], "")</f>
        <v/>
      </c>
      <c r="AF925" s="17" t="str">
        <f>IF(NOT(ISBLANK(Audit[[#This Row],[Audit Losing Candidate]])), Audit[[#This Row],[Audit Losing Candidate]]-Audit[[#This Row],[Losing Candidate]], "")</f>
        <v/>
      </c>
      <c r="AG925" s="17" t="str">
        <f>IF(NOT(ISBLANK(Audit[[#This Row],[Audit Candidate 3]])), Audit[[#This Row],[Audit Candidate 3]]-Audit[[#This Row],[Candidate 3]], "")</f>
        <v/>
      </c>
      <c r="AH925" s="17" t="str">
        <f>IF(NOT(ISBLANK(Audit[[#This Row],[Audit Candidate 4]])),Audit[[#This Row],[Audit Candidate 4]]-Audit[[#This Row],[Candidate 4]], "")</f>
        <v/>
      </c>
      <c r="AI925" s="17" t="str">
        <f>IF(NOT(ISBLANK(Audit[[#This Row],[Audit Candidate 5]])), Audit[[#This Row],[Audit Candidate 5]]-Audit[[#This Row],[Candidate 5]], "")</f>
        <v/>
      </c>
      <c r="AJ925" s="17" t="str">
        <f>IF(NOT(ISBLANK(Audit[[#This Row],[Audit Candidate 6]])), Audit[[#This Row],[Audit Candidate 6]]-Audit[[#This Row],[Candidate 6]], "")</f>
        <v/>
      </c>
      <c r="AK925" s="17" t="str">
        <f>IF(NOT(ISBLANK(Audit[[#This Row],[Audit Candidate 7]])), Audit[[#This Row],[Audit Candidate 7]]-Audit[[#This Row],[Candidate 7]], "")</f>
        <v/>
      </c>
      <c r="AL925" s="17" t="str">
        <f>IF(NOT(ISBLANK(Audit[[#This Row],[Audit Candidate 8]])), Audit[[#This Row],[Audit Candidate 8]]-Audit[[#This Row],[Candidate 8]], "")</f>
        <v/>
      </c>
      <c r="AM925" s="17" t="str">
        <f>IF(NOT(ISBLANK(Audit[[#This Row],[Audit Candidate 9]])), Audit[[#This Row],[Audit Candidate 9]]-Audit[[#This Row],[Candidate 9]], "")</f>
        <v/>
      </c>
      <c r="AN925" s="17" t="str">
        <f>IF(NOT(ISBLANK(Audit[[#This Row],[Audit Candidate 10]])), Audit[[#This Row],[Audit Candidate 10]]-Audit[[#This Row],[Candidate 10]], "")</f>
        <v/>
      </c>
      <c r="AO925" s="17" t="str">
        <f>IF(NOT(ISBLANK(Audit[[#This Row],[Audit Candidate 11]])), Audit[[#This Row],[Audit Candidate 11]]-Audit[[#This Row],[Candidate 11]], "")</f>
        <v/>
      </c>
      <c r="AP925" s="17" t="str">
        <f>IF(NOT(ISBLANK(Audit[[#This Row],[Audit Candidate 12]])), Audit[[#This Row],[Audit Candidate 12]]-Audit[[#This Row],[Candidate 12]], "")</f>
        <v/>
      </c>
      <c r="AQ925" s="17">
        <f>SUMIF(Audit[[#This Row],[Difference Winner]:[Difference Candidate 12]], "&gt;0")</f>
        <v>0</v>
      </c>
      <c r="AR925" s="17">
        <f>SUM(Audit[[#This Row],[Difference Winner]:[Difference Candidate 12]])</f>
        <v>0</v>
      </c>
      <c r="AS925" s="17">
        <f>IF(Audit[[#This Row],[Times p Drawn - With Replacement]]&gt;0, IF(Audit[[#This Row],[Canceled Differences]]&lt;0, Audit[[#This Row],[Max Differences]]+ABS(Audit[[#This Row],[Canceled Differences]]), Audit[[#This Row],[Max Differences]]), 0)</f>
        <v>0</v>
      </c>
      <c r="AT925" s="17">
        <f>'Sampling Data'!AB925</f>
        <v>1.1712782210151079E-2</v>
      </c>
      <c r="AU925" s="17">
        <f>IF(
      SUM(Audit[[#This Row],[Audit Losing Candidate]:[Audit Candidate 12]])
      &lt;&gt;0,
      (Audit[[#This Row],[Winning Candidate]]-Audit[[#This Row],[Losing Candidate]]-(Audit[[#This Row],[Audit Winning Candidate]]-Audit[[#This Row],[Audit Losing Candidate]]))/(Audit[[#Totals],[Winning Candidate]]-Audit[[#Totals],[Losing Candidate]]),
      0
)</f>
        <v>0</v>
      </c>
      <c r="AV9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5" s="17">
        <f>IF(Audit[[#This Row],[Max Relative Error (ep)]] = 0, 0, Audit[[#This Row],[Max Relative Error (ep)]]/Audit[[#This Row],[Error Bound (up) - Max. possible relative overstatement]])</f>
        <v>0</v>
      </c>
      <c r="BH9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25" s="17">
        <f t="shared" si="15"/>
        <v>1</v>
      </c>
      <c r="BJ925" s="17">
        <f>PRODUCT($BI$5:BI925)</f>
        <v>0.15397941983070551</v>
      </c>
      <c r="BK925" s="19">
        <f>1 - Audit[[#This Row],[K-M P Value]]</f>
        <v>0.84602058016929449</v>
      </c>
      <c r="BL925" s="17" t="str">
        <f>IF(Audit[[#This Row],[K-M P Value]]&gt;1-'General Info'!$B$12,"Continue", "Stop")</f>
        <v>Continue</v>
      </c>
      <c r="BM925" s="22" t="b">
        <f>IF(Audit[[#This Row],[Status - Continue or stop audit]] = "Continue", TRUE, IF(BL924 = "Continue", TRUE, FALSE))</f>
        <v>1</v>
      </c>
      <c r="BN925" s="22"/>
    </row>
    <row r="926" spans="1:66" ht="15" hidden="1" customHeight="1" x14ac:dyDescent="0.35">
      <c r="A926" s="17" t="str">
        <f>'Sampling Data'!AI926</f>
        <v/>
      </c>
      <c r="B926" s="17" t="str">
        <f>'Sampling Data'!A926</f>
        <v>5912 COLE L   (ED)</v>
      </c>
      <c r="C926" s="17">
        <f>'Sampling Data'!B926</f>
        <v>95</v>
      </c>
      <c r="D926" s="17">
        <f>'Sampling Data'!C926</f>
        <v>410</v>
      </c>
      <c r="E926" s="18">
        <f>'Sampling Data'!D926</f>
        <v>0</v>
      </c>
      <c r="F926" s="18">
        <f>'Sampling Data'!E926</f>
        <v>0</v>
      </c>
      <c r="G926" s="18">
        <f>'Sampling Data'!F926</f>
        <v>0</v>
      </c>
      <c r="H926" s="18">
        <f>'Sampling Data'!G926</f>
        <v>0</v>
      </c>
      <c r="I926" s="18">
        <f>'Sampling Data'!H926</f>
        <v>0</v>
      </c>
      <c r="J926" s="18">
        <f>'Sampling Data'!I926</f>
        <v>0</v>
      </c>
      <c r="K926" s="18">
        <f>'Sampling Data'!J926</f>
        <v>0</v>
      </c>
      <c r="L926" s="18">
        <f>'Sampling Data'!K926</f>
        <v>0</v>
      </c>
      <c r="M926" s="18">
        <f>'Sampling Data'!L926</f>
        <v>0</v>
      </c>
      <c r="N926" s="18">
        <f>'Sampling Data'!M926</f>
        <v>0</v>
      </c>
      <c r="O926" s="17">
        <f>'Sampling Data'!N926</f>
        <v>0</v>
      </c>
      <c r="P926" s="17">
        <f>'Sampling Data'!O926</f>
        <v>38</v>
      </c>
      <c r="Q926" s="17">
        <f>'Sampling Data'!P926</f>
        <v>543</v>
      </c>
      <c r="R926" s="17">
        <f>'Sampling Data'!AJ926</f>
        <v>0</v>
      </c>
      <c r="S926" s="111"/>
      <c r="T926" s="111"/>
      <c r="U926" s="112"/>
      <c r="V926" s="112"/>
      <c r="W926" s="111"/>
      <c r="X926" s="111"/>
      <c r="Y926" s="111"/>
      <c r="Z926" s="111"/>
      <c r="AA926" s="14"/>
      <c r="AB926" s="14"/>
      <c r="AC926" s="14"/>
      <c r="AD926" s="14"/>
      <c r="AE926" s="113" t="str">
        <f>IF(NOT(ISBLANK(Audit[[#This Row],[Audit Winning Candidate]])), Audit[[#This Row],[Audit Winning Candidate]]-Audit[[#This Row],[Winning Candidate]], "")</f>
        <v/>
      </c>
      <c r="AF926" s="17" t="str">
        <f>IF(NOT(ISBLANK(Audit[[#This Row],[Audit Losing Candidate]])), Audit[[#This Row],[Audit Losing Candidate]]-Audit[[#This Row],[Losing Candidate]], "")</f>
        <v/>
      </c>
      <c r="AG926" s="17" t="str">
        <f>IF(NOT(ISBLANK(Audit[[#This Row],[Audit Candidate 3]])), Audit[[#This Row],[Audit Candidate 3]]-Audit[[#This Row],[Candidate 3]], "")</f>
        <v/>
      </c>
      <c r="AH926" s="17" t="str">
        <f>IF(NOT(ISBLANK(Audit[[#This Row],[Audit Candidate 4]])),Audit[[#This Row],[Audit Candidate 4]]-Audit[[#This Row],[Candidate 4]], "")</f>
        <v/>
      </c>
      <c r="AI926" s="17" t="str">
        <f>IF(NOT(ISBLANK(Audit[[#This Row],[Audit Candidate 5]])), Audit[[#This Row],[Audit Candidate 5]]-Audit[[#This Row],[Candidate 5]], "")</f>
        <v/>
      </c>
      <c r="AJ926" s="17" t="str">
        <f>IF(NOT(ISBLANK(Audit[[#This Row],[Audit Candidate 6]])), Audit[[#This Row],[Audit Candidate 6]]-Audit[[#This Row],[Candidate 6]], "")</f>
        <v/>
      </c>
      <c r="AK926" s="17" t="str">
        <f>IF(NOT(ISBLANK(Audit[[#This Row],[Audit Candidate 7]])), Audit[[#This Row],[Audit Candidate 7]]-Audit[[#This Row],[Candidate 7]], "")</f>
        <v/>
      </c>
      <c r="AL926" s="17" t="str">
        <f>IF(NOT(ISBLANK(Audit[[#This Row],[Audit Candidate 8]])), Audit[[#This Row],[Audit Candidate 8]]-Audit[[#This Row],[Candidate 8]], "")</f>
        <v/>
      </c>
      <c r="AM926" s="17" t="str">
        <f>IF(NOT(ISBLANK(Audit[[#This Row],[Audit Candidate 9]])), Audit[[#This Row],[Audit Candidate 9]]-Audit[[#This Row],[Candidate 9]], "")</f>
        <v/>
      </c>
      <c r="AN926" s="17" t="str">
        <f>IF(NOT(ISBLANK(Audit[[#This Row],[Audit Candidate 10]])), Audit[[#This Row],[Audit Candidate 10]]-Audit[[#This Row],[Candidate 10]], "")</f>
        <v/>
      </c>
      <c r="AO926" s="17" t="str">
        <f>IF(NOT(ISBLANK(Audit[[#This Row],[Audit Candidate 11]])), Audit[[#This Row],[Audit Candidate 11]]-Audit[[#This Row],[Candidate 11]], "")</f>
        <v/>
      </c>
      <c r="AP926" s="17" t="str">
        <f>IF(NOT(ISBLANK(Audit[[#This Row],[Audit Candidate 12]])), Audit[[#This Row],[Audit Candidate 12]]-Audit[[#This Row],[Candidate 12]], "")</f>
        <v/>
      </c>
      <c r="AQ926" s="17">
        <f>SUMIF(Audit[[#This Row],[Difference Winner]:[Difference Candidate 12]], "&gt;0")</f>
        <v>0</v>
      </c>
      <c r="AR926" s="17">
        <f>SUM(Audit[[#This Row],[Difference Winner]:[Difference Candidate 12]])</f>
        <v>0</v>
      </c>
      <c r="AS926" s="17">
        <f>IF(Audit[[#This Row],[Times p Drawn - With Replacement]]&gt;0, IF(Audit[[#This Row],[Canceled Differences]]&lt;0, Audit[[#This Row],[Max Differences]]+ABS(Audit[[#This Row],[Canceled Differences]]), Audit[[#This Row],[Max Differences]]), 0)</f>
        <v>0</v>
      </c>
      <c r="AT926" s="17">
        <f>'Sampling Data'!AB926</f>
        <v>9.6757766083856722E-3</v>
      </c>
      <c r="AU926" s="17">
        <f>IF(
      SUM(Audit[[#This Row],[Audit Losing Candidate]:[Audit Candidate 12]])
      &lt;&gt;0,
      (Audit[[#This Row],[Winning Candidate]]-Audit[[#This Row],[Losing Candidate]]-(Audit[[#This Row],[Audit Winning Candidate]]-Audit[[#This Row],[Audit Losing Candidate]]))/(Audit[[#Totals],[Winning Candidate]]-Audit[[#Totals],[Losing Candidate]]),
      0
)</f>
        <v>0</v>
      </c>
      <c r="AV9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6" s="17">
        <f>IF(Audit[[#This Row],[Max Relative Error (ep)]] = 0, 0, Audit[[#This Row],[Max Relative Error (ep)]]/Audit[[#This Row],[Error Bound (up) - Max. possible relative overstatement]])</f>
        <v>0</v>
      </c>
      <c r="BH9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26" s="17">
        <f t="shared" si="15"/>
        <v>1</v>
      </c>
      <c r="BJ926" s="17">
        <f>PRODUCT($BI$5:BI926)</f>
        <v>0.15397941983070551</v>
      </c>
      <c r="BK926" s="19">
        <f>1 - Audit[[#This Row],[K-M P Value]]</f>
        <v>0.84602058016929449</v>
      </c>
      <c r="BL926" s="17" t="str">
        <f>IF(Audit[[#This Row],[K-M P Value]]&gt;1-'General Info'!$B$12,"Continue", "Stop")</f>
        <v>Continue</v>
      </c>
      <c r="BM926" s="22" t="b">
        <f>IF(Audit[[#This Row],[Status - Continue or stop audit]] = "Continue", TRUE, IF(BL925 = "Continue", TRUE, FALSE))</f>
        <v>1</v>
      </c>
      <c r="BN926" s="22"/>
    </row>
    <row r="927" spans="1:66" ht="15" hidden="1" customHeight="1" x14ac:dyDescent="0.35">
      <c r="A927" s="17" t="str">
        <f>'Sampling Data'!AI927</f>
        <v/>
      </c>
      <c r="B927" s="17" t="str">
        <f>'Sampling Data'!A927</f>
        <v>5913 COLE M   (ED)</v>
      </c>
      <c r="C927" s="17">
        <f>'Sampling Data'!B927</f>
        <v>198</v>
      </c>
      <c r="D927" s="17">
        <f>'Sampling Data'!C927</f>
        <v>228</v>
      </c>
      <c r="E927" s="18">
        <f>'Sampling Data'!D927</f>
        <v>0</v>
      </c>
      <c r="F927" s="18">
        <f>'Sampling Data'!E927</f>
        <v>0</v>
      </c>
      <c r="G927" s="18">
        <f>'Sampling Data'!F927</f>
        <v>0</v>
      </c>
      <c r="H927" s="18">
        <f>'Sampling Data'!G927</f>
        <v>0</v>
      </c>
      <c r="I927" s="18">
        <f>'Sampling Data'!H927</f>
        <v>0</v>
      </c>
      <c r="J927" s="18">
        <f>'Sampling Data'!I927</f>
        <v>0</v>
      </c>
      <c r="K927" s="18">
        <f>'Sampling Data'!J927</f>
        <v>0</v>
      </c>
      <c r="L927" s="18">
        <f>'Sampling Data'!K927</f>
        <v>0</v>
      </c>
      <c r="M927" s="18">
        <f>'Sampling Data'!L927</f>
        <v>0</v>
      </c>
      <c r="N927" s="18">
        <f>'Sampling Data'!M927</f>
        <v>0</v>
      </c>
      <c r="O927" s="17">
        <f>'Sampling Data'!N927</f>
        <v>0</v>
      </c>
      <c r="P927" s="17">
        <f>'Sampling Data'!O927</f>
        <v>31</v>
      </c>
      <c r="Q927" s="17">
        <f>'Sampling Data'!P927</f>
        <v>457</v>
      </c>
      <c r="R927" s="17">
        <f>'Sampling Data'!AJ927</f>
        <v>0</v>
      </c>
      <c r="S927" s="111"/>
      <c r="T927" s="111"/>
      <c r="U927" s="112"/>
      <c r="V927" s="112"/>
      <c r="W927" s="111"/>
      <c r="X927" s="111"/>
      <c r="Y927" s="111"/>
      <c r="Z927" s="111"/>
      <c r="AA927" s="14"/>
      <c r="AB927" s="14"/>
      <c r="AC927" s="14"/>
      <c r="AD927" s="14"/>
      <c r="AE927" s="113" t="str">
        <f>IF(NOT(ISBLANK(Audit[[#This Row],[Audit Winning Candidate]])), Audit[[#This Row],[Audit Winning Candidate]]-Audit[[#This Row],[Winning Candidate]], "")</f>
        <v/>
      </c>
      <c r="AF927" s="17" t="str">
        <f>IF(NOT(ISBLANK(Audit[[#This Row],[Audit Losing Candidate]])), Audit[[#This Row],[Audit Losing Candidate]]-Audit[[#This Row],[Losing Candidate]], "")</f>
        <v/>
      </c>
      <c r="AG927" s="17" t="str">
        <f>IF(NOT(ISBLANK(Audit[[#This Row],[Audit Candidate 3]])), Audit[[#This Row],[Audit Candidate 3]]-Audit[[#This Row],[Candidate 3]], "")</f>
        <v/>
      </c>
      <c r="AH927" s="17" t="str">
        <f>IF(NOT(ISBLANK(Audit[[#This Row],[Audit Candidate 4]])),Audit[[#This Row],[Audit Candidate 4]]-Audit[[#This Row],[Candidate 4]], "")</f>
        <v/>
      </c>
      <c r="AI927" s="17" t="str">
        <f>IF(NOT(ISBLANK(Audit[[#This Row],[Audit Candidate 5]])), Audit[[#This Row],[Audit Candidate 5]]-Audit[[#This Row],[Candidate 5]], "")</f>
        <v/>
      </c>
      <c r="AJ927" s="17" t="str">
        <f>IF(NOT(ISBLANK(Audit[[#This Row],[Audit Candidate 6]])), Audit[[#This Row],[Audit Candidate 6]]-Audit[[#This Row],[Candidate 6]], "")</f>
        <v/>
      </c>
      <c r="AK927" s="17" t="str">
        <f>IF(NOT(ISBLANK(Audit[[#This Row],[Audit Candidate 7]])), Audit[[#This Row],[Audit Candidate 7]]-Audit[[#This Row],[Candidate 7]], "")</f>
        <v/>
      </c>
      <c r="AL927" s="17" t="str">
        <f>IF(NOT(ISBLANK(Audit[[#This Row],[Audit Candidate 8]])), Audit[[#This Row],[Audit Candidate 8]]-Audit[[#This Row],[Candidate 8]], "")</f>
        <v/>
      </c>
      <c r="AM927" s="17" t="str">
        <f>IF(NOT(ISBLANK(Audit[[#This Row],[Audit Candidate 9]])), Audit[[#This Row],[Audit Candidate 9]]-Audit[[#This Row],[Candidate 9]], "")</f>
        <v/>
      </c>
      <c r="AN927" s="17" t="str">
        <f>IF(NOT(ISBLANK(Audit[[#This Row],[Audit Candidate 10]])), Audit[[#This Row],[Audit Candidate 10]]-Audit[[#This Row],[Candidate 10]], "")</f>
        <v/>
      </c>
      <c r="AO927" s="17" t="str">
        <f>IF(NOT(ISBLANK(Audit[[#This Row],[Audit Candidate 11]])), Audit[[#This Row],[Audit Candidate 11]]-Audit[[#This Row],[Candidate 11]], "")</f>
        <v/>
      </c>
      <c r="AP927" s="17" t="str">
        <f>IF(NOT(ISBLANK(Audit[[#This Row],[Audit Candidate 12]])), Audit[[#This Row],[Audit Candidate 12]]-Audit[[#This Row],[Candidate 12]], "")</f>
        <v/>
      </c>
      <c r="AQ927" s="17">
        <f>SUMIF(Audit[[#This Row],[Difference Winner]:[Difference Candidate 12]], "&gt;0")</f>
        <v>0</v>
      </c>
      <c r="AR927" s="17">
        <f>SUM(Audit[[#This Row],[Difference Winner]:[Difference Candidate 12]])</f>
        <v>0</v>
      </c>
      <c r="AS927" s="17">
        <f>IF(Audit[[#This Row],[Times p Drawn - With Replacement]]&gt;0, IF(Audit[[#This Row],[Canceled Differences]]&lt;0, Audit[[#This Row],[Max Differences]]+ABS(Audit[[#This Row],[Canceled Differences]]), Audit[[#This Row],[Max Differences]]), 0)</f>
        <v>0</v>
      </c>
      <c r="AT927" s="17">
        <f>'Sampling Data'!AB927</f>
        <v>1.8120862332371413E-2</v>
      </c>
      <c r="AU927" s="17">
        <f>IF(
      SUM(Audit[[#This Row],[Audit Losing Candidate]:[Audit Candidate 12]])
      &lt;&gt;0,
      (Audit[[#This Row],[Winning Candidate]]-Audit[[#This Row],[Losing Candidate]]-(Audit[[#This Row],[Audit Winning Candidate]]-Audit[[#This Row],[Audit Losing Candidate]]))/(Audit[[#Totals],[Winning Candidate]]-Audit[[#Totals],[Losing Candidate]]),
      0
)</f>
        <v>0</v>
      </c>
      <c r="AV9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7" s="17">
        <f>IF(Audit[[#This Row],[Max Relative Error (ep)]] = 0, 0, Audit[[#This Row],[Max Relative Error (ep)]]/Audit[[#This Row],[Error Bound (up) - Max. possible relative overstatement]])</f>
        <v>0</v>
      </c>
      <c r="BH9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27" s="17">
        <f t="shared" si="15"/>
        <v>1</v>
      </c>
      <c r="BJ927" s="17">
        <f>PRODUCT($BI$5:BI927)</f>
        <v>0.15397941983070551</v>
      </c>
      <c r="BK927" s="19">
        <f>1 - Audit[[#This Row],[K-M P Value]]</f>
        <v>0.84602058016929449</v>
      </c>
      <c r="BL927" s="17" t="str">
        <f>IF(Audit[[#This Row],[K-M P Value]]&gt;1-'General Info'!$B$12,"Continue", "Stop")</f>
        <v>Continue</v>
      </c>
      <c r="BM927" s="22" t="b">
        <f>IF(Audit[[#This Row],[Status - Continue or stop audit]] = "Continue", TRUE, IF(BL926 = "Continue", TRUE, FALSE))</f>
        <v>1</v>
      </c>
      <c r="BN927" s="22"/>
    </row>
    <row r="928" spans="1:66" ht="15" hidden="1" customHeight="1" x14ac:dyDescent="0.35">
      <c r="A928" s="17" t="str">
        <f>'Sampling Data'!AI928</f>
        <v/>
      </c>
      <c r="B928" s="17" t="str">
        <f>'Sampling Data'!A928</f>
        <v>5914 COLE N   (ED)</v>
      </c>
      <c r="C928" s="17">
        <f>'Sampling Data'!B928</f>
        <v>157</v>
      </c>
      <c r="D928" s="17">
        <f>'Sampling Data'!C928</f>
        <v>446</v>
      </c>
      <c r="E928" s="18">
        <f>'Sampling Data'!D928</f>
        <v>0</v>
      </c>
      <c r="F928" s="18">
        <f>'Sampling Data'!E928</f>
        <v>0</v>
      </c>
      <c r="G928" s="18">
        <f>'Sampling Data'!F928</f>
        <v>0</v>
      </c>
      <c r="H928" s="18">
        <f>'Sampling Data'!G928</f>
        <v>0</v>
      </c>
      <c r="I928" s="18">
        <f>'Sampling Data'!H928</f>
        <v>0</v>
      </c>
      <c r="J928" s="18">
        <f>'Sampling Data'!I928</f>
        <v>0</v>
      </c>
      <c r="K928" s="18">
        <f>'Sampling Data'!J928</f>
        <v>0</v>
      </c>
      <c r="L928" s="18">
        <f>'Sampling Data'!K928</f>
        <v>0</v>
      </c>
      <c r="M928" s="18">
        <f>'Sampling Data'!L928</f>
        <v>0</v>
      </c>
      <c r="N928" s="18">
        <f>'Sampling Data'!M928</f>
        <v>0</v>
      </c>
      <c r="O928" s="17">
        <f>'Sampling Data'!N928</f>
        <v>0</v>
      </c>
      <c r="P928" s="17">
        <f>'Sampling Data'!O928</f>
        <v>43</v>
      </c>
      <c r="Q928" s="17">
        <f>'Sampling Data'!P928</f>
        <v>646</v>
      </c>
      <c r="R928" s="17">
        <f>'Sampling Data'!AJ928</f>
        <v>0</v>
      </c>
      <c r="S928" s="111"/>
      <c r="T928" s="111"/>
      <c r="U928" s="112"/>
      <c r="V928" s="112"/>
      <c r="W928" s="111"/>
      <c r="X928" s="111"/>
      <c r="Y928" s="111"/>
      <c r="Z928" s="111"/>
      <c r="AA928" s="14"/>
      <c r="AB928" s="14"/>
      <c r="AC928" s="14"/>
      <c r="AD928" s="14"/>
      <c r="AE928" s="113" t="str">
        <f>IF(NOT(ISBLANK(Audit[[#This Row],[Audit Winning Candidate]])), Audit[[#This Row],[Audit Winning Candidate]]-Audit[[#This Row],[Winning Candidate]], "")</f>
        <v/>
      </c>
      <c r="AF928" s="17" t="str">
        <f>IF(NOT(ISBLANK(Audit[[#This Row],[Audit Losing Candidate]])), Audit[[#This Row],[Audit Losing Candidate]]-Audit[[#This Row],[Losing Candidate]], "")</f>
        <v/>
      </c>
      <c r="AG928" s="17" t="str">
        <f>IF(NOT(ISBLANK(Audit[[#This Row],[Audit Candidate 3]])), Audit[[#This Row],[Audit Candidate 3]]-Audit[[#This Row],[Candidate 3]], "")</f>
        <v/>
      </c>
      <c r="AH928" s="17" t="str">
        <f>IF(NOT(ISBLANK(Audit[[#This Row],[Audit Candidate 4]])),Audit[[#This Row],[Audit Candidate 4]]-Audit[[#This Row],[Candidate 4]], "")</f>
        <v/>
      </c>
      <c r="AI928" s="17" t="str">
        <f>IF(NOT(ISBLANK(Audit[[#This Row],[Audit Candidate 5]])), Audit[[#This Row],[Audit Candidate 5]]-Audit[[#This Row],[Candidate 5]], "")</f>
        <v/>
      </c>
      <c r="AJ928" s="17" t="str">
        <f>IF(NOT(ISBLANK(Audit[[#This Row],[Audit Candidate 6]])), Audit[[#This Row],[Audit Candidate 6]]-Audit[[#This Row],[Candidate 6]], "")</f>
        <v/>
      </c>
      <c r="AK928" s="17" t="str">
        <f>IF(NOT(ISBLANK(Audit[[#This Row],[Audit Candidate 7]])), Audit[[#This Row],[Audit Candidate 7]]-Audit[[#This Row],[Candidate 7]], "")</f>
        <v/>
      </c>
      <c r="AL928" s="17" t="str">
        <f>IF(NOT(ISBLANK(Audit[[#This Row],[Audit Candidate 8]])), Audit[[#This Row],[Audit Candidate 8]]-Audit[[#This Row],[Candidate 8]], "")</f>
        <v/>
      </c>
      <c r="AM928" s="17" t="str">
        <f>IF(NOT(ISBLANK(Audit[[#This Row],[Audit Candidate 9]])), Audit[[#This Row],[Audit Candidate 9]]-Audit[[#This Row],[Candidate 9]], "")</f>
        <v/>
      </c>
      <c r="AN928" s="17" t="str">
        <f>IF(NOT(ISBLANK(Audit[[#This Row],[Audit Candidate 10]])), Audit[[#This Row],[Audit Candidate 10]]-Audit[[#This Row],[Candidate 10]], "")</f>
        <v/>
      </c>
      <c r="AO928" s="17" t="str">
        <f>IF(NOT(ISBLANK(Audit[[#This Row],[Audit Candidate 11]])), Audit[[#This Row],[Audit Candidate 11]]-Audit[[#This Row],[Candidate 11]], "")</f>
        <v/>
      </c>
      <c r="AP928" s="17" t="str">
        <f>IF(NOT(ISBLANK(Audit[[#This Row],[Audit Candidate 12]])), Audit[[#This Row],[Audit Candidate 12]]-Audit[[#This Row],[Candidate 12]], "")</f>
        <v/>
      </c>
      <c r="AQ928" s="17">
        <f>SUMIF(Audit[[#This Row],[Difference Winner]:[Difference Candidate 12]], "&gt;0")</f>
        <v>0</v>
      </c>
      <c r="AR928" s="17">
        <f>SUM(Audit[[#This Row],[Difference Winner]:[Difference Candidate 12]])</f>
        <v>0</v>
      </c>
      <c r="AS928" s="17">
        <f>IF(Audit[[#This Row],[Times p Drawn - With Replacement]]&gt;0, IF(Audit[[#This Row],[Canceled Differences]]&lt;0, Audit[[#This Row],[Max Differences]]+ABS(Audit[[#This Row],[Canceled Differences]]), Audit[[#This Row],[Max Differences]]), 0)</f>
        <v>0</v>
      </c>
      <c r="AT928" s="17">
        <f>'Sampling Data'!AB928</f>
        <v>1.5150229163130198E-2</v>
      </c>
      <c r="AU928" s="17">
        <f>IF(
      SUM(Audit[[#This Row],[Audit Losing Candidate]:[Audit Candidate 12]])
      &lt;&gt;0,
      (Audit[[#This Row],[Winning Candidate]]-Audit[[#This Row],[Losing Candidate]]-(Audit[[#This Row],[Audit Winning Candidate]]-Audit[[#This Row],[Audit Losing Candidate]]))/(Audit[[#Totals],[Winning Candidate]]-Audit[[#Totals],[Losing Candidate]]),
      0
)</f>
        <v>0</v>
      </c>
      <c r="AV9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8" s="17">
        <f>IF(Audit[[#This Row],[Max Relative Error (ep)]] = 0, 0, Audit[[#This Row],[Max Relative Error (ep)]]/Audit[[#This Row],[Error Bound (up) - Max. possible relative overstatement]])</f>
        <v>0</v>
      </c>
      <c r="BH9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28" s="17">
        <f t="shared" si="15"/>
        <v>1</v>
      </c>
      <c r="BJ928" s="17">
        <f>PRODUCT($BI$5:BI928)</f>
        <v>0.15397941983070551</v>
      </c>
      <c r="BK928" s="19">
        <f>1 - Audit[[#This Row],[K-M P Value]]</f>
        <v>0.84602058016929449</v>
      </c>
      <c r="BL928" s="17" t="str">
        <f>IF(Audit[[#This Row],[K-M P Value]]&gt;1-'General Info'!$B$12,"Continue", "Stop")</f>
        <v>Continue</v>
      </c>
      <c r="BM928" s="22" t="b">
        <f>IF(Audit[[#This Row],[Status - Continue or stop audit]] = "Continue", TRUE, IF(BL927 = "Continue", TRUE, FALSE))</f>
        <v>1</v>
      </c>
      <c r="BN928" s="22"/>
    </row>
    <row r="929" spans="1:66" ht="15" hidden="1" customHeight="1" x14ac:dyDescent="0.35">
      <c r="A929" s="17" t="str">
        <f>'Sampling Data'!AI929</f>
        <v/>
      </c>
      <c r="B929" s="17" t="str">
        <f>'Sampling Data'!A929</f>
        <v>5915 COLE O   (ED)</v>
      </c>
      <c r="C929" s="17">
        <f>'Sampling Data'!B929</f>
        <v>72</v>
      </c>
      <c r="D929" s="17">
        <f>'Sampling Data'!C929</f>
        <v>181</v>
      </c>
      <c r="E929" s="18">
        <f>'Sampling Data'!D929</f>
        <v>0</v>
      </c>
      <c r="F929" s="18">
        <f>'Sampling Data'!E929</f>
        <v>0</v>
      </c>
      <c r="G929" s="18">
        <f>'Sampling Data'!F929</f>
        <v>0</v>
      </c>
      <c r="H929" s="18">
        <f>'Sampling Data'!G929</f>
        <v>0</v>
      </c>
      <c r="I929" s="18">
        <f>'Sampling Data'!H929</f>
        <v>0</v>
      </c>
      <c r="J929" s="18">
        <f>'Sampling Data'!I929</f>
        <v>0</v>
      </c>
      <c r="K929" s="18">
        <f>'Sampling Data'!J929</f>
        <v>0</v>
      </c>
      <c r="L929" s="18">
        <f>'Sampling Data'!K929</f>
        <v>0</v>
      </c>
      <c r="M929" s="18">
        <f>'Sampling Data'!L929</f>
        <v>0</v>
      </c>
      <c r="N929" s="18">
        <f>'Sampling Data'!M929</f>
        <v>0</v>
      </c>
      <c r="O929" s="17">
        <f>'Sampling Data'!N929</f>
        <v>0</v>
      </c>
      <c r="P929" s="17">
        <f>'Sampling Data'!O929</f>
        <v>18</v>
      </c>
      <c r="Q929" s="17">
        <f>'Sampling Data'!P929</f>
        <v>271</v>
      </c>
      <c r="R929" s="17">
        <f>'Sampling Data'!AJ929</f>
        <v>0</v>
      </c>
      <c r="S929" s="111"/>
      <c r="T929" s="111"/>
      <c r="U929" s="112"/>
      <c r="V929" s="112"/>
      <c r="W929" s="111"/>
      <c r="X929" s="111"/>
      <c r="Y929" s="111"/>
      <c r="Z929" s="111"/>
      <c r="AA929" s="14"/>
      <c r="AB929" s="14"/>
      <c r="AC929" s="14"/>
      <c r="AD929" s="14"/>
      <c r="AE929" s="113" t="str">
        <f>IF(NOT(ISBLANK(Audit[[#This Row],[Audit Winning Candidate]])), Audit[[#This Row],[Audit Winning Candidate]]-Audit[[#This Row],[Winning Candidate]], "")</f>
        <v/>
      </c>
      <c r="AF929" s="17" t="str">
        <f>IF(NOT(ISBLANK(Audit[[#This Row],[Audit Losing Candidate]])), Audit[[#This Row],[Audit Losing Candidate]]-Audit[[#This Row],[Losing Candidate]], "")</f>
        <v/>
      </c>
      <c r="AG929" s="17" t="str">
        <f>IF(NOT(ISBLANK(Audit[[#This Row],[Audit Candidate 3]])), Audit[[#This Row],[Audit Candidate 3]]-Audit[[#This Row],[Candidate 3]], "")</f>
        <v/>
      </c>
      <c r="AH929" s="17" t="str">
        <f>IF(NOT(ISBLANK(Audit[[#This Row],[Audit Candidate 4]])),Audit[[#This Row],[Audit Candidate 4]]-Audit[[#This Row],[Candidate 4]], "")</f>
        <v/>
      </c>
      <c r="AI929" s="17" t="str">
        <f>IF(NOT(ISBLANK(Audit[[#This Row],[Audit Candidate 5]])), Audit[[#This Row],[Audit Candidate 5]]-Audit[[#This Row],[Candidate 5]], "")</f>
        <v/>
      </c>
      <c r="AJ929" s="17" t="str">
        <f>IF(NOT(ISBLANK(Audit[[#This Row],[Audit Candidate 6]])), Audit[[#This Row],[Audit Candidate 6]]-Audit[[#This Row],[Candidate 6]], "")</f>
        <v/>
      </c>
      <c r="AK929" s="17" t="str">
        <f>IF(NOT(ISBLANK(Audit[[#This Row],[Audit Candidate 7]])), Audit[[#This Row],[Audit Candidate 7]]-Audit[[#This Row],[Candidate 7]], "")</f>
        <v/>
      </c>
      <c r="AL929" s="17" t="str">
        <f>IF(NOT(ISBLANK(Audit[[#This Row],[Audit Candidate 8]])), Audit[[#This Row],[Audit Candidate 8]]-Audit[[#This Row],[Candidate 8]], "")</f>
        <v/>
      </c>
      <c r="AM929" s="17" t="str">
        <f>IF(NOT(ISBLANK(Audit[[#This Row],[Audit Candidate 9]])), Audit[[#This Row],[Audit Candidate 9]]-Audit[[#This Row],[Candidate 9]], "")</f>
        <v/>
      </c>
      <c r="AN929" s="17" t="str">
        <f>IF(NOT(ISBLANK(Audit[[#This Row],[Audit Candidate 10]])), Audit[[#This Row],[Audit Candidate 10]]-Audit[[#This Row],[Candidate 10]], "")</f>
        <v/>
      </c>
      <c r="AO929" s="17" t="str">
        <f>IF(NOT(ISBLANK(Audit[[#This Row],[Audit Candidate 11]])), Audit[[#This Row],[Audit Candidate 11]]-Audit[[#This Row],[Candidate 11]], "")</f>
        <v/>
      </c>
      <c r="AP929" s="17" t="str">
        <f>IF(NOT(ISBLANK(Audit[[#This Row],[Audit Candidate 12]])), Audit[[#This Row],[Audit Candidate 12]]-Audit[[#This Row],[Candidate 12]], "")</f>
        <v/>
      </c>
      <c r="AQ929" s="17">
        <f>SUMIF(Audit[[#This Row],[Difference Winner]:[Difference Candidate 12]], "&gt;0")</f>
        <v>0</v>
      </c>
      <c r="AR929" s="17">
        <f>SUM(Audit[[#This Row],[Difference Winner]:[Difference Candidate 12]])</f>
        <v>0</v>
      </c>
      <c r="AS929" s="17">
        <f>IF(Audit[[#This Row],[Times p Drawn - With Replacement]]&gt;0, IF(Audit[[#This Row],[Canceled Differences]]&lt;0, Audit[[#This Row],[Max Differences]]+ABS(Audit[[#This Row],[Canceled Differences]]), Audit[[#This Row],[Max Differences]]), 0)</f>
        <v>0</v>
      </c>
      <c r="AT929" s="17">
        <f>'Sampling Data'!AB929</f>
        <v>6.8748939059582416E-3</v>
      </c>
      <c r="AU929" s="17">
        <f>IF(
      SUM(Audit[[#This Row],[Audit Losing Candidate]:[Audit Candidate 12]])
      &lt;&gt;0,
      (Audit[[#This Row],[Winning Candidate]]-Audit[[#This Row],[Losing Candidate]]-(Audit[[#This Row],[Audit Winning Candidate]]-Audit[[#This Row],[Audit Losing Candidate]]))/(Audit[[#Totals],[Winning Candidate]]-Audit[[#Totals],[Losing Candidate]]),
      0
)</f>
        <v>0</v>
      </c>
      <c r="AV9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9" s="17">
        <f>IF(Audit[[#This Row],[Max Relative Error (ep)]] = 0, 0, Audit[[#This Row],[Max Relative Error (ep)]]/Audit[[#This Row],[Error Bound (up) - Max. possible relative overstatement]])</f>
        <v>0</v>
      </c>
      <c r="BH9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29" s="17">
        <f t="shared" si="15"/>
        <v>1</v>
      </c>
      <c r="BJ929" s="17">
        <f>PRODUCT($BI$5:BI929)</f>
        <v>0.15397941983070551</v>
      </c>
      <c r="BK929" s="19">
        <f>1 - Audit[[#This Row],[K-M P Value]]</f>
        <v>0.84602058016929449</v>
      </c>
      <c r="BL929" s="17" t="str">
        <f>IF(Audit[[#This Row],[K-M P Value]]&gt;1-'General Info'!$B$12,"Continue", "Stop")</f>
        <v>Continue</v>
      </c>
      <c r="BM929" s="22" t="b">
        <f>IF(Audit[[#This Row],[Status - Continue or stop audit]] = "Continue", TRUE, IF(BL928 = "Continue", TRUE, FALSE))</f>
        <v>1</v>
      </c>
      <c r="BN929" s="22"/>
    </row>
    <row r="930" spans="1:66" ht="15" hidden="1" customHeight="1" x14ac:dyDescent="0.35">
      <c r="A930" s="17" t="str">
        <f>'Sampling Data'!AI930</f>
        <v/>
      </c>
      <c r="B930" s="17" t="str">
        <f>'Sampling Data'!A930</f>
        <v>5916 COLE P   (ED)</v>
      </c>
      <c r="C930" s="17">
        <f>'Sampling Data'!B930</f>
        <v>133</v>
      </c>
      <c r="D930" s="17">
        <f>'Sampling Data'!C930</f>
        <v>110</v>
      </c>
      <c r="E930" s="18">
        <f>'Sampling Data'!D930</f>
        <v>0</v>
      </c>
      <c r="F930" s="18">
        <f>'Sampling Data'!E930</f>
        <v>0</v>
      </c>
      <c r="G930" s="18">
        <f>'Sampling Data'!F930</f>
        <v>0</v>
      </c>
      <c r="H930" s="18">
        <f>'Sampling Data'!G930</f>
        <v>0</v>
      </c>
      <c r="I930" s="18">
        <f>'Sampling Data'!H930</f>
        <v>0</v>
      </c>
      <c r="J930" s="18">
        <f>'Sampling Data'!I930</f>
        <v>0</v>
      </c>
      <c r="K930" s="18">
        <f>'Sampling Data'!J930</f>
        <v>0</v>
      </c>
      <c r="L930" s="18">
        <f>'Sampling Data'!K930</f>
        <v>0</v>
      </c>
      <c r="M930" s="18">
        <f>'Sampling Data'!L930</f>
        <v>0</v>
      </c>
      <c r="N930" s="18">
        <f>'Sampling Data'!M930</f>
        <v>0</v>
      </c>
      <c r="O930" s="17">
        <f>'Sampling Data'!N930</f>
        <v>0</v>
      </c>
      <c r="P930" s="17">
        <f>'Sampling Data'!O930</f>
        <v>22</v>
      </c>
      <c r="Q930" s="17">
        <f>'Sampling Data'!P930</f>
        <v>265</v>
      </c>
      <c r="R930" s="17">
        <f>'Sampling Data'!AJ930</f>
        <v>0</v>
      </c>
      <c r="S930" s="111"/>
      <c r="T930" s="111"/>
      <c r="U930" s="112"/>
      <c r="V930" s="112"/>
      <c r="W930" s="111"/>
      <c r="X930" s="111"/>
      <c r="Y930" s="111"/>
      <c r="Z930" s="111"/>
      <c r="AA930" s="14"/>
      <c r="AB930" s="14"/>
      <c r="AC930" s="14"/>
      <c r="AD930" s="14"/>
      <c r="AE930" s="113" t="str">
        <f>IF(NOT(ISBLANK(Audit[[#This Row],[Audit Winning Candidate]])), Audit[[#This Row],[Audit Winning Candidate]]-Audit[[#This Row],[Winning Candidate]], "")</f>
        <v/>
      </c>
      <c r="AF930" s="17" t="str">
        <f>IF(NOT(ISBLANK(Audit[[#This Row],[Audit Losing Candidate]])), Audit[[#This Row],[Audit Losing Candidate]]-Audit[[#This Row],[Losing Candidate]], "")</f>
        <v/>
      </c>
      <c r="AG930" s="17" t="str">
        <f>IF(NOT(ISBLANK(Audit[[#This Row],[Audit Candidate 3]])), Audit[[#This Row],[Audit Candidate 3]]-Audit[[#This Row],[Candidate 3]], "")</f>
        <v/>
      </c>
      <c r="AH930" s="17" t="str">
        <f>IF(NOT(ISBLANK(Audit[[#This Row],[Audit Candidate 4]])),Audit[[#This Row],[Audit Candidate 4]]-Audit[[#This Row],[Candidate 4]], "")</f>
        <v/>
      </c>
      <c r="AI930" s="17" t="str">
        <f>IF(NOT(ISBLANK(Audit[[#This Row],[Audit Candidate 5]])), Audit[[#This Row],[Audit Candidate 5]]-Audit[[#This Row],[Candidate 5]], "")</f>
        <v/>
      </c>
      <c r="AJ930" s="17" t="str">
        <f>IF(NOT(ISBLANK(Audit[[#This Row],[Audit Candidate 6]])), Audit[[#This Row],[Audit Candidate 6]]-Audit[[#This Row],[Candidate 6]], "")</f>
        <v/>
      </c>
      <c r="AK930" s="17" t="str">
        <f>IF(NOT(ISBLANK(Audit[[#This Row],[Audit Candidate 7]])), Audit[[#This Row],[Audit Candidate 7]]-Audit[[#This Row],[Candidate 7]], "")</f>
        <v/>
      </c>
      <c r="AL930" s="17" t="str">
        <f>IF(NOT(ISBLANK(Audit[[#This Row],[Audit Candidate 8]])), Audit[[#This Row],[Audit Candidate 8]]-Audit[[#This Row],[Candidate 8]], "")</f>
        <v/>
      </c>
      <c r="AM930" s="17" t="str">
        <f>IF(NOT(ISBLANK(Audit[[#This Row],[Audit Candidate 9]])), Audit[[#This Row],[Audit Candidate 9]]-Audit[[#This Row],[Candidate 9]], "")</f>
        <v/>
      </c>
      <c r="AN930" s="17" t="str">
        <f>IF(NOT(ISBLANK(Audit[[#This Row],[Audit Candidate 10]])), Audit[[#This Row],[Audit Candidate 10]]-Audit[[#This Row],[Candidate 10]], "")</f>
        <v/>
      </c>
      <c r="AO930" s="17" t="str">
        <f>IF(NOT(ISBLANK(Audit[[#This Row],[Audit Candidate 11]])), Audit[[#This Row],[Audit Candidate 11]]-Audit[[#This Row],[Candidate 11]], "")</f>
        <v/>
      </c>
      <c r="AP930" s="17" t="str">
        <f>IF(NOT(ISBLANK(Audit[[#This Row],[Audit Candidate 12]])), Audit[[#This Row],[Audit Candidate 12]]-Audit[[#This Row],[Candidate 12]], "")</f>
        <v/>
      </c>
      <c r="AQ930" s="17">
        <f>SUMIF(Audit[[#This Row],[Difference Winner]:[Difference Candidate 12]], "&gt;0")</f>
        <v>0</v>
      </c>
      <c r="AR930" s="17">
        <f>SUM(Audit[[#This Row],[Difference Winner]:[Difference Candidate 12]])</f>
        <v>0</v>
      </c>
      <c r="AS930" s="17">
        <f>IF(Audit[[#This Row],[Times p Drawn - With Replacement]]&gt;0, IF(Audit[[#This Row],[Canceled Differences]]&lt;0, Audit[[#This Row],[Max Differences]]+ABS(Audit[[#This Row],[Canceled Differences]]), Audit[[#This Row],[Max Differences]]), 0)</f>
        <v>0</v>
      </c>
      <c r="AT930" s="17">
        <f>'Sampling Data'!AB930</f>
        <v>1.2222033610592429E-2</v>
      </c>
      <c r="AU930" s="17">
        <f>IF(
      SUM(Audit[[#This Row],[Audit Losing Candidate]:[Audit Candidate 12]])
      &lt;&gt;0,
      (Audit[[#This Row],[Winning Candidate]]-Audit[[#This Row],[Losing Candidate]]-(Audit[[#This Row],[Audit Winning Candidate]]-Audit[[#This Row],[Audit Losing Candidate]]))/(Audit[[#Totals],[Winning Candidate]]-Audit[[#Totals],[Losing Candidate]]),
      0
)</f>
        <v>0</v>
      </c>
      <c r="AV9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0" s="17">
        <f>IF(Audit[[#This Row],[Max Relative Error (ep)]] = 0, 0, Audit[[#This Row],[Max Relative Error (ep)]]/Audit[[#This Row],[Error Bound (up) - Max. possible relative overstatement]])</f>
        <v>0</v>
      </c>
      <c r="BH9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30" s="17">
        <f t="shared" si="15"/>
        <v>1</v>
      </c>
      <c r="BJ930" s="17">
        <f>PRODUCT($BI$5:BI930)</f>
        <v>0.15397941983070551</v>
      </c>
      <c r="BK930" s="19">
        <f>1 - Audit[[#This Row],[K-M P Value]]</f>
        <v>0.84602058016929449</v>
      </c>
      <c r="BL930" s="17" t="str">
        <f>IF(Audit[[#This Row],[K-M P Value]]&gt;1-'General Info'!$B$12,"Continue", "Stop")</f>
        <v>Continue</v>
      </c>
      <c r="BM930" s="22" t="b">
        <f>IF(Audit[[#This Row],[Status - Continue or stop audit]] = "Continue", TRUE, IF(BL929 = "Continue", TRUE, FALSE))</f>
        <v>1</v>
      </c>
      <c r="BN930" s="22"/>
    </row>
    <row r="931" spans="1:66" ht="15" hidden="1" customHeight="1" x14ac:dyDescent="0.35">
      <c r="A931" s="17" t="str">
        <f>'Sampling Data'!AI931</f>
        <v/>
      </c>
      <c r="B931" s="17" t="str">
        <f>'Sampling Data'!A931</f>
        <v>5917 COLE Q   (ED)</v>
      </c>
      <c r="C931" s="17">
        <f>'Sampling Data'!B931</f>
        <v>126</v>
      </c>
      <c r="D931" s="17">
        <f>'Sampling Data'!C931</f>
        <v>420</v>
      </c>
      <c r="E931" s="18">
        <f>'Sampling Data'!D931</f>
        <v>0</v>
      </c>
      <c r="F931" s="18">
        <f>'Sampling Data'!E931</f>
        <v>0</v>
      </c>
      <c r="G931" s="18">
        <f>'Sampling Data'!F931</f>
        <v>0</v>
      </c>
      <c r="H931" s="18">
        <f>'Sampling Data'!G931</f>
        <v>0</v>
      </c>
      <c r="I931" s="18">
        <f>'Sampling Data'!H931</f>
        <v>0</v>
      </c>
      <c r="J931" s="18">
        <f>'Sampling Data'!I931</f>
        <v>0</v>
      </c>
      <c r="K931" s="18">
        <f>'Sampling Data'!J931</f>
        <v>0</v>
      </c>
      <c r="L931" s="18">
        <f>'Sampling Data'!K931</f>
        <v>0</v>
      </c>
      <c r="M931" s="18">
        <f>'Sampling Data'!L931</f>
        <v>0</v>
      </c>
      <c r="N931" s="18">
        <f>'Sampling Data'!M931</f>
        <v>0</v>
      </c>
      <c r="O931" s="17">
        <f>'Sampling Data'!N931</f>
        <v>0</v>
      </c>
      <c r="P931" s="17">
        <f>'Sampling Data'!O931</f>
        <v>40</v>
      </c>
      <c r="Q931" s="17">
        <f>'Sampling Data'!P931</f>
        <v>586</v>
      </c>
      <c r="R931" s="17">
        <f>'Sampling Data'!AJ931</f>
        <v>0</v>
      </c>
      <c r="S931" s="111"/>
      <c r="T931" s="111"/>
      <c r="U931" s="112"/>
      <c r="V931" s="112"/>
      <c r="W931" s="111"/>
      <c r="X931" s="111"/>
      <c r="Y931" s="111"/>
      <c r="Z931" s="111"/>
      <c r="AA931" s="14"/>
      <c r="AB931" s="14"/>
      <c r="AC931" s="14"/>
      <c r="AD931" s="14"/>
      <c r="AE931" s="113" t="str">
        <f>IF(NOT(ISBLANK(Audit[[#This Row],[Audit Winning Candidate]])), Audit[[#This Row],[Audit Winning Candidate]]-Audit[[#This Row],[Winning Candidate]], "")</f>
        <v/>
      </c>
      <c r="AF931" s="17" t="str">
        <f>IF(NOT(ISBLANK(Audit[[#This Row],[Audit Losing Candidate]])), Audit[[#This Row],[Audit Losing Candidate]]-Audit[[#This Row],[Losing Candidate]], "")</f>
        <v/>
      </c>
      <c r="AG931" s="17" t="str">
        <f>IF(NOT(ISBLANK(Audit[[#This Row],[Audit Candidate 3]])), Audit[[#This Row],[Audit Candidate 3]]-Audit[[#This Row],[Candidate 3]], "")</f>
        <v/>
      </c>
      <c r="AH931" s="17" t="str">
        <f>IF(NOT(ISBLANK(Audit[[#This Row],[Audit Candidate 4]])),Audit[[#This Row],[Audit Candidate 4]]-Audit[[#This Row],[Candidate 4]], "")</f>
        <v/>
      </c>
      <c r="AI931" s="17" t="str">
        <f>IF(NOT(ISBLANK(Audit[[#This Row],[Audit Candidate 5]])), Audit[[#This Row],[Audit Candidate 5]]-Audit[[#This Row],[Candidate 5]], "")</f>
        <v/>
      </c>
      <c r="AJ931" s="17" t="str">
        <f>IF(NOT(ISBLANK(Audit[[#This Row],[Audit Candidate 6]])), Audit[[#This Row],[Audit Candidate 6]]-Audit[[#This Row],[Candidate 6]], "")</f>
        <v/>
      </c>
      <c r="AK931" s="17" t="str">
        <f>IF(NOT(ISBLANK(Audit[[#This Row],[Audit Candidate 7]])), Audit[[#This Row],[Audit Candidate 7]]-Audit[[#This Row],[Candidate 7]], "")</f>
        <v/>
      </c>
      <c r="AL931" s="17" t="str">
        <f>IF(NOT(ISBLANK(Audit[[#This Row],[Audit Candidate 8]])), Audit[[#This Row],[Audit Candidate 8]]-Audit[[#This Row],[Candidate 8]], "")</f>
        <v/>
      </c>
      <c r="AM931" s="17" t="str">
        <f>IF(NOT(ISBLANK(Audit[[#This Row],[Audit Candidate 9]])), Audit[[#This Row],[Audit Candidate 9]]-Audit[[#This Row],[Candidate 9]], "")</f>
        <v/>
      </c>
      <c r="AN931" s="17" t="str">
        <f>IF(NOT(ISBLANK(Audit[[#This Row],[Audit Candidate 10]])), Audit[[#This Row],[Audit Candidate 10]]-Audit[[#This Row],[Candidate 10]], "")</f>
        <v/>
      </c>
      <c r="AO931" s="17" t="str">
        <f>IF(NOT(ISBLANK(Audit[[#This Row],[Audit Candidate 11]])), Audit[[#This Row],[Audit Candidate 11]]-Audit[[#This Row],[Candidate 11]], "")</f>
        <v/>
      </c>
      <c r="AP931" s="17" t="str">
        <f>IF(NOT(ISBLANK(Audit[[#This Row],[Audit Candidate 12]])), Audit[[#This Row],[Audit Candidate 12]]-Audit[[#This Row],[Candidate 12]], "")</f>
        <v/>
      </c>
      <c r="AQ931" s="17">
        <f>SUMIF(Audit[[#This Row],[Difference Winner]:[Difference Candidate 12]], "&gt;0")</f>
        <v>0</v>
      </c>
      <c r="AR931" s="17">
        <f>SUM(Audit[[#This Row],[Difference Winner]:[Difference Candidate 12]])</f>
        <v>0</v>
      </c>
      <c r="AS931" s="17">
        <f>IF(Audit[[#This Row],[Times p Drawn - With Replacement]]&gt;0, IF(Audit[[#This Row],[Canceled Differences]]&lt;0, Audit[[#This Row],[Max Differences]]+ABS(Audit[[#This Row],[Canceled Differences]]), Audit[[#This Row],[Max Differences]]), 0)</f>
        <v>0</v>
      </c>
      <c r="AT931" s="17">
        <f>'Sampling Data'!AB931</f>
        <v>1.2391784077406213E-2</v>
      </c>
      <c r="AU931" s="17">
        <f>IF(
      SUM(Audit[[#This Row],[Audit Losing Candidate]:[Audit Candidate 12]])
      &lt;&gt;0,
      (Audit[[#This Row],[Winning Candidate]]-Audit[[#This Row],[Losing Candidate]]-(Audit[[#This Row],[Audit Winning Candidate]]-Audit[[#This Row],[Audit Losing Candidate]]))/(Audit[[#Totals],[Winning Candidate]]-Audit[[#Totals],[Losing Candidate]]),
      0
)</f>
        <v>0</v>
      </c>
      <c r="AV9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1" s="17">
        <f>IF(Audit[[#This Row],[Max Relative Error (ep)]] = 0, 0, Audit[[#This Row],[Max Relative Error (ep)]]/Audit[[#This Row],[Error Bound (up) - Max. possible relative overstatement]])</f>
        <v>0</v>
      </c>
      <c r="BH9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31" s="17">
        <f t="shared" si="15"/>
        <v>1</v>
      </c>
      <c r="BJ931" s="17">
        <f>PRODUCT($BI$5:BI931)</f>
        <v>0.15397941983070551</v>
      </c>
      <c r="BK931" s="19">
        <f>1 - Audit[[#This Row],[K-M P Value]]</f>
        <v>0.84602058016929449</v>
      </c>
      <c r="BL931" s="17" t="str">
        <f>IF(Audit[[#This Row],[K-M P Value]]&gt;1-'General Info'!$B$12,"Continue", "Stop")</f>
        <v>Continue</v>
      </c>
      <c r="BM931" s="22" t="b">
        <f>IF(Audit[[#This Row],[Status - Continue or stop audit]] = "Continue", TRUE, IF(BL930 = "Continue", TRUE, FALSE))</f>
        <v>1</v>
      </c>
      <c r="BN931" s="22"/>
    </row>
    <row r="932" spans="1:66" ht="15" hidden="1" customHeight="1" x14ac:dyDescent="0.35">
      <c r="A932" s="17" t="str">
        <f>'Sampling Data'!AI932</f>
        <v/>
      </c>
      <c r="B932" s="17" t="str">
        <f>'Sampling Data'!A932</f>
        <v>5918 COLE R   (ED)</v>
      </c>
      <c r="C932" s="17">
        <f>'Sampling Data'!B932</f>
        <v>222</v>
      </c>
      <c r="D932" s="17">
        <f>'Sampling Data'!C932</f>
        <v>241</v>
      </c>
      <c r="E932" s="18">
        <f>'Sampling Data'!D932</f>
        <v>0</v>
      </c>
      <c r="F932" s="18">
        <f>'Sampling Data'!E932</f>
        <v>0</v>
      </c>
      <c r="G932" s="18">
        <f>'Sampling Data'!F932</f>
        <v>0</v>
      </c>
      <c r="H932" s="18">
        <f>'Sampling Data'!G932</f>
        <v>0</v>
      </c>
      <c r="I932" s="18">
        <f>'Sampling Data'!H932</f>
        <v>0</v>
      </c>
      <c r="J932" s="18">
        <f>'Sampling Data'!I932</f>
        <v>0</v>
      </c>
      <c r="K932" s="18">
        <f>'Sampling Data'!J932</f>
        <v>0</v>
      </c>
      <c r="L932" s="18">
        <f>'Sampling Data'!K932</f>
        <v>0</v>
      </c>
      <c r="M932" s="18">
        <f>'Sampling Data'!L932</f>
        <v>0</v>
      </c>
      <c r="N932" s="18">
        <f>'Sampling Data'!M932</f>
        <v>0</v>
      </c>
      <c r="O932" s="17">
        <f>'Sampling Data'!N932</f>
        <v>0</v>
      </c>
      <c r="P932" s="17">
        <f>'Sampling Data'!O932</f>
        <v>32</v>
      </c>
      <c r="Q932" s="17">
        <f>'Sampling Data'!P932</f>
        <v>495</v>
      </c>
      <c r="R932" s="17">
        <f>'Sampling Data'!AJ932</f>
        <v>0</v>
      </c>
      <c r="S932" s="111"/>
      <c r="T932" s="111"/>
      <c r="U932" s="112"/>
      <c r="V932" s="112"/>
      <c r="W932" s="111"/>
      <c r="X932" s="111"/>
      <c r="Y932" s="111"/>
      <c r="Z932" s="111"/>
      <c r="AA932" s="14"/>
      <c r="AB932" s="14"/>
      <c r="AC932" s="14"/>
      <c r="AD932" s="14"/>
      <c r="AE932" s="113" t="str">
        <f>IF(NOT(ISBLANK(Audit[[#This Row],[Audit Winning Candidate]])), Audit[[#This Row],[Audit Winning Candidate]]-Audit[[#This Row],[Winning Candidate]], "")</f>
        <v/>
      </c>
      <c r="AF932" s="17" t="str">
        <f>IF(NOT(ISBLANK(Audit[[#This Row],[Audit Losing Candidate]])), Audit[[#This Row],[Audit Losing Candidate]]-Audit[[#This Row],[Losing Candidate]], "")</f>
        <v/>
      </c>
      <c r="AG932" s="17" t="str">
        <f>IF(NOT(ISBLANK(Audit[[#This Row],[Audit Candidate 3]])), Audit[[#This Row],[Audit Candidate 3]]-Audit[[#This Row],[Candidate 3]], "")</f>
        <v/>
      </c>
      <c r="AH932" s="17" t="str">
        <f>IF(NOT(ISBLANK(Audit[[#This Row],[Audit Candidate 4]])),Audit[[#This Row],[Audit Candidate 4]]-Audit[[#This Row],[Candidate 4]], "")</f>
        <v/>
      </c>
      <c r="AI932" s="17" t="str">
        <f>IF(NOT(ISBLANK(Audit[[#This Row],[Audit Candidate 5]])), Audit[[#This Row],[Audit Candidate 5]]-Audit[[#This Row],[Candidate 5]], "")</f>
        <v/>
      </c>
      <c r="AJ932" s="17" t="str">
        <f>IF(NOT(ISBLANK(Audit[[#This Row],[Audit Candidate 6]])), Audit[[#This Row],[Audit Candidate 6]]-Audit[[#This Row],[Candidate 6]], "")</f>
        <v/>
      </c>
      <c r="AK932" s="17" t="str">
        <f>IF(NOT(ISBLANK(Audit[[#This Row],[Audit Candidate 7]])), Audit[[#This Row],[Audit Candidate 7]]-Audit[[#This Row],[Candidate 7]], "")</f>
        <v/>
      </c>
      <c r="AL932" s="17" t="str">
        <f>IF(NOT(ISBLANK(Audit[[#This Row],[Audit Candidate 8]])), Audit[[#This Row],[Audit Candidate 8]]-Audit[[#This Row],[Candidate 8]], "")</f>
        <v/>
      </c>
      <c r="AM932" s="17" t="str">
        <f>IF(NOT(ISBLANK(Audit[[#This Row],[Audit Candidate 9]])), Audit[[#This Row],[Audit Candidate 9]]-Audit[[#This Row],[Candidate 9]], "")</f>
        <v/>
      </c>
      <c r="AN932" s="17" t="str">
        <f>IF(NOT(ISBLANK(Audit[[#This Row],[Audit Candidate 10]])), Audit[[#This Row],[Audit Candidate 10]]-Audit[[#This Row],[Candidate 10]], "")</f>
        <v/>
      </c>
      <c r="AO932" s="17" t="str">
        <f>IF(NOT(ISBLANK(Audit[[#This Row],[Audit Candidate 11]])), Audit[[#This Row],[Audit Candidate 11]]-Audit[[#This Row],[Candidate 11]], "")</f>
        <v/>
      </c>
      <c r="AP932" s="17" t="str">
        <f>IF(NOT(ISBLANK(Audit[[#This Row],[Audit Candidate 12]])), Audit[[#This Row],[Audit Candidate 12]]-Audit[[#This Row],[Candidate 12]], "")</f>
        <v/>
      </c>
      <c r="AQ932" s="17">
        <f>SUMIF(Audit[[#This Row],[Difference Winner]:[Difference Candidate 12]], "&gt;0")</f>
        <v>0</v>
      </c>
      <c r="AR932" s="17">
        <f>SUM(Audit[[#This Row],[Difference Winner]:[Difference Candidate 12]])</f>
        <v>0</v>
      </c>
      <c r="AS932" s="17">
        <f>IF(Audit[[#This Row],[Times p Drawn - With Replacement]]&gt;0, IF(Audit[[#This Row],[Canceled Differences]]&lt;0, Audit[[#This Row],[Max Differences]]+ABS(Audit[[#This Row],[Canceled Differences]]), Audit[[#This Row],[Max Differences]]), 0)</f>
        <v>0</v>
      </c>
      <c r="AT932" s="17">
        <f>'Sampling Data'!AB932</f>
        <v>2.0200305550840264E-2</v>
      </c>
      <c r="AU932" s="17">
        <f>IF(
      SUM(Audit[[#This Row],[Audit Losing Candidate]:[Audit Candidate 12]])
      &lt;&gt;0,
      (Audit[[#This Row],[Winning Candidate]]-Audit[[#This Row],[Losing Candidate]]-(Audit[[#This Row],[Audit Winning Candidate]]-Audit[[#This Row],[Audit Losing Candidate]]))/(Audit[[#Totals],[Winning Candidate]]-Audit[[#Totals],[Losing Candidate]]),
      0
)</f>
        <v>0</v>
      </c>
      <c r="AV9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2" s="17">
        <f>IF(Audit[[#This Row],[Max Relative Error (ep)]] = 0, 0, Audit[[#This Row],[Max Relative Error (ep)]]/Audit[[#This Row],[Error Bound (up) - Max. possible relative overstatement]])</f>
        <v>0</v>
      </c>
      <c r="BH9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32" s="17">
        <f t="shared" si="15"/>
        <v>1</v>
      </c>
      <c r="BJ932" s="17">
        <f>PRODUCT($BI$5:BI932)</f>
        <v>0.15397941983070551</v>
      </c>
      <c r="BK932" s="19">
        <f>1 - Audit[[#This Row],[K-M P Value]]</f>
        <v>0.84602058016929449</v>
      </c>
      <c r="BL932" s="17" t="str">
        <f>IF(Audit[[#This Row],[K-M P Value]]&gt;1-'General Info'!$B$12,"Continue", "Stop")</f>
        <v>Continue</v>
      </c>
      <c r="BM932" s="22" t="b">
        <f>IF(Audit[[#This Row],[Status - Continue or stop audit]] = "Continue", TRUE, IF(BL931 = "Continue", TRUE, FALSE))</f>
        <v>1</v>
      </c>
      <c r="BN932" s="22"/>
    </row>
    <row r="933" spans="1:66" ht="15" hidden="1" customHeight="1" x14ac:dyDescent="0.35">
      <c r="A933" s="17" t="str">
        <f>'Sampling Data'!AI933</f>
        <v/>
      </c>
      <c r="B933" s="17" t="str">
        <f>'Sampling Data'!A933</f>
        <v>5919 COLE S   (ED)</v>
      </c>
      <c r="C933" s="17">
        <f>'Sampling Data'!B933</f>
        <v>158</v>
      </c>
      <c r="D933" s="17">
        <f>'Sampling Data'!C933</f>
        <v>432</v>
      </c>
      <c r="E933" s="18">
        <f>'Sampling Data'!D933</f>
        <v>0</v>
      </c>
      <c r="F933" s="18">
        <f>'Sampling Data'!E933</f>
        <v>0</v>
      </c>
      <c r="G933" s="18">
        <f>'Sampling Data'!F933</f>
        <v>0</v>
      </c>
      <c r="H933" s="18">
        <f>'Sampling Data'!G933</f>
        <v>0</v>
      </c>
      <c r="I933" s="18">
        <f>'Sampling Data'!H933</f>
        <v>0</v>
      </c>
      <c r="J933" s="18">
        <f>'Sampling Data'!I933</f>
        <v>0</v>
      </c>
      <c r="K933" s="18">
        <f>'Sampling Data'!J933</f>
        <v>0</v>
      </c>
      <c r="L933" s="18">
        <f>'Sampling Data'!K933</f>
        <v>0</v>
      </c>
      <c r="M933" s="18">
        <f>'Sampling Data'!L933</f>
        <v>0</v>
      </c>
      <c r="N933" s="18">
        <f>'Sampling Data'!M933</f>
        <v>0</v>
      </c>
      <c r="O933" s="17">
        <f>'Sampling Data'!N933</f>
        <v>0</v>
      </c>
      <c r="P933" s="17">
        <f>'Sampling Data'!O933</f>
        <v>44</v>
      </c>
      <c r="Q933" s="17">
        <f>'Sampling Data'!P933</f>
        <v>634</v>
      </c>
      <c r="R933" s="17">
        <f>'Sampling Data'!AJ933</f>
        <v>0</v>
      </c>
      <c r="S933" s="111"/>
      <c r="T933" s="111"/>
      <c r="U933" s="112"/>
      <c r="V933" s="112"/>
      <c r="W933" s="111"/>
      <c r="X933" s="111"/>
      <c r="Y933" s="111"/>
      <c r="Z933" s="111"/>
      <c r="AA933" s="14"/>
      <c r="AB933" s="14"/>
      <c r="AC933" s="14"/>
      <c r="AD933" s="14"/>
      <c r="AE933" s="113" t="str">
        <f>IF(NOT(ISBLANK(Audit[[#This Row],[Audit Winning Candidate]])), Audit[[#This Row],[Audit Winning Candidate]]-Audit[[#This Row],[Winning Candidate]], "")</f>
        <v/>
      </c>
      <c r="AF933" s="17" t="str">
        <f>IF(NOT(ISBLANK(Audit[[#This Row],[Audit Losing Candidate]])), Audit[[#This Row],[Audit Losing Candidate]]-Audit[[#This Row],[Losing Candidate]], "")</f>
        <v/>
      </c>
      <c r="AG933" s="17" t="str">
        <f>IF(NOT(ISBLANK(Audit[[#This Row],[Audit Candidate 3]])), Audit[[#This Row],[Audit Candidate 3]]-Audit[[#This Row],[Candidate 3]], "")</f>
        <v/>
      </c>
      <c r="AH933" s="17" t="str">
        <f>IF(NOT(ISBLANK(Audit[[#This Row],[Audit Candidate 4]])),Audit[[#This Row],[Audit Candidate 4]]-Audit[[#This Row],[Candidate 4]], "")</f>
        <v/>
      </c>
      <c r="AI933" s="17" t="str">
        <f>IF(NOT(ISBLANK(Audit[[#This Row],[Audit Candidate 5]])), Audit[[#This Row],[Audit Candidate 5]]-Audit[[#This Row],[Candidate 5]], "")</f>
        <v/>
      </c>
      <c r="AJ933" s="17" t="str">
        <f>IF(NOT(ISBLANK(Audit[[#This Row],[Audit Candidate 6]])), Audit[[#This Row],[Audit Candidate 6]]-Audit[[#This Row],[Candidate 6]], "")</f>
        <v/>
      </c>
      <c r="AK933" s="17" t="str">
        <f>IF(NOT(ISBLANK(Audit[[#This Row],[Audit Candidate 7]])), Audit[[#This Row],[Audit Candidate 7]]-Audit[[#This Row],[Candidate 7]], "")</f>
        <v/>
      </c>
      <c r="AL933" s="17" t="str">
        <f>IF(NOT(ISBLANK(Audit[[#This Row],[Audit Candidate 8]])), Audit[[#This Row],[Audit Candidate 8]]-Audit[[#This Row],[Candidate 8]], "")</f>
        <v/>
      </c>
      <c r="AM933" s="17" t="str">
        <f>IF(NOT(ISBLANK(Audit[[#This Row],[Audit Candidate 9]])), Audit[[#This Row],[Audit Candidate 9]]-Audit[[#This Row],[Candidate 9]], "")</f>
        <v/>
      </c>
      <c r="AN933" s="17" t="str">
        <f>IF(NOT(ISBLANK(Audit[[#This Row],[Audit Candidate 10]])), Audit[[#This Row],[Audit Candidate 10]]-Audit[[#This Row],[Candidate 10]], "")</f>
        <v/>
      </c>
      <c r="AO933" s="17" t="str">
        <f>IF(NOT(ISBLANK(Audit[[#This Row],[Audit Candidate 11]])), Audit[[#This Row],[Audit Candidate 11]]-Audit[[#This Row],[Candidate 11]], "")</f>
        <v/>
      </c>
      <c r="AP933" s="17" t="str">
        <f>IF(NOT(ISBLANK(Audit[[#This Row],[Audit Candidate 12]])), Audit[[#This Row],[Audit Candidate 12]]-Audit[[#This Row],[Candidate 12]], "")</f>
        <v/>
      </c>
      <c r="AQ933" s="17">
        <f>SUMIF(Audit[[#This Row],[Difference Winner]:[Difference Candidate 12]], "&gt;0")</f>
        <v>0</v>
      </c>
      <c r="AR933" s="17">
        <f>SUM(Audit[[#This Row],[Difference Winner]:[Difference Candidate 12]])</f>
        <v>0</v>
      </c>
      <c r="AS933" s="17">
        <f>IF(Audit[[#This Row],[Times p Drawn - With Replacement]]&gt;0, IF(Audit[[#This Row],[Canceled Differences]]&lt;0, Audit[[#This Row],[Max Differences]]+ABS(Audit[[#This Row],[Canceled Differences]]), Audit[[#This Row],[Max Differences]]), 0)</f>
        <v>0</v>
      </c>
      <c r="AT933" s="17">
        <f>'Sampling Data'!AB933</f>
        <v>1.5277542013240537E-2</v>
      </c>
      <c r="AU933" s="17">
        <f>IF(
      SUM(Audit[[#This Row],[Audit Losing Candidate]:[Audit Candidate 12]])
      &lt;&gt;0,
      (Audit[[#This Row],[Winning Candidate]]-Audit[[#This Row],[Losing Candidate]]-(Audit[[#This Row],[Audit Winning Candidate]]-Audit[[#This Row],[Audit Losing Candidate]]))/(Audit[[#Totals],[Winning Candidate]]-Audit[[#Totals],[Losing Candidate]]),
      0
)</f>
        <v>0</v>
      </c>
      <c r="AV9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3" s="17">
        <f>IF(Audit[[#This Row],[Max Relative Error (ep)]] = 0, 0, Audit[[#This Row],[Max Relative Error (ep)]]/Audit[[#This Row],[Error Bound (up) - Max. possible relative overstatement]])</f>
        <v>0</v>
      </c>
      <c r="BH9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33" s="17">
        <f t="shared" si="15"/>
        <v>1</v>
      </c>
      <c r="BJ933" s="17">
        <f>PRODUCT($BI$5:BI933)</f>
        <v>0.15397941983070551</v>
      </c>
      <c r="BK933" s="19">
        <f>1 - Audit[[#This Row],[K-M P Value]]</f>
        <v>0.84602058016929449</v>
      </c>
      <c r="BL933" s="17" t="str">
        <f>IF(Audit[[#This Row],[K-M P Value]]&gt;1-'General Info'!$B$12,"Continue", "Stop")</f>
        <v>Continue</v>
      </c>
      <c r="BM933" s="22" t="b">
        <f>IF(Audit[[#This Row],[Status - Continue or stop audit]] = "Continue", TRUE, IF(BL932 = "Continue", TRUE, FALSE))</f>
        <v>1</v>
      </c>
      <c r="BN933" s="22"/>
    </row>
    <row r="934" spans="1:66" ht="15" hidden="1" customHeight="1" x14ac:dyDescent="0.35">
      <c r="A934" s="17" t="str">
        <f>'Sampling Data'!AI934</f>
        <v/>
      </c>
      <c r="B934" s="17" t="str">
        <f>'Sampling Data'!A934</f>
        <v>5920 COLE T   (ED)</v>
      </c>
      <c r="C934" s="17">
        <f>'Sampling Data'!B934</f>
        <v>266</v>
      </c>
      <c r="D934" s="17">
        <f>'Sampling Data'!C934</f>
        <v>227</v>
      </c>
      <c r="E934" s="18">
        <f>'Sampling Data'!D934</f>
        <v>0</v>
      </c>
      <c r="F934" s="18">
        <f>'Sampling Data'!E934</f>
        <v>0</v>
      </c>
      <c r="G934" s="18">
        <f>'Sampling Data'!F934</f>
        <v>0</v>
      </c>
      <c r="H934" s="18">
        <f>'Sampling Data'!G934</f>
        <v>0</v>
      </c>
      <c r="I934" s="18">
        <f>'Sampling Data'!H934</f>
        <v>0</v>
      </c>
      <c r="J934" s="18">
        <f>'Sampling Data'!I934</f>
        <v>0</v>
      </c>
      <c r="K934" s="18">
        <f>'Sampling Data'!J934</f>
        <v>0</v>
      </c>
      <c r="L934" s="18">
        <f>'Sampling Data'!K934</f>
        <v>0</v>
      </c>
      <c r="M934" s="18">
        <f>'Sampling Data'!L934</f>
        <v>0</v>
      </c>
      <c r="N934" s="18">
        <f>'Sampling Data'!M934</f>
        <v>0</v>
      </c>
      <c r="O934" s="17">
        <f>'Sampling Data'!N934</f>
        <v>1</v>
      </c>
      <c r="P934" s="17">
        <f>'Sampling Data'!O934</f>
        <v>30</v>
      </c>
      <c r="Q934" s="17">
        <f>'Sampling Data'!P934</f>
        <v>524</v>
      </c>
      <c r="R934" s="17">
        <f>'Sampling Data'!AJ934</f>
        <v>0</v>
      </c>
      <c r="S934" s="111"/>
      <c r="T934" s="111"/>
      <c r="U934" s="112"/>
      <c r="V934" s="112"/>
      <c r="W934" s="111"/>
      <c r="X934" s="111"/>
      <c r="Y934" s="111"/>
      <c r="Z934" s="111"/>
      <c r="AA934" s="14"/>
      <c r="AB934" s="14"/>
      <c r="AC934" s="14"/>
      <c r="AD934" s="14"/>
      <c r="AE934" s="113" t="str">
        <f>IF(NOT(ISBLANK(Audit[[#This Row],[Audit Winning Candidate]])), Audit[[#This Row],[Audit Winning Candidate]]-Audit[[#This Row],[Winning Candidate]], "")</f>
        <v/>
      </c>
      <c r="AF934" s="17" t="str">
        <f>IF(NOT(ISBLANK(Audit[[#This Row],[Audit Losing Candidate]])), Audit[[#This Row],[Audit Losing Candidate]]-Audit[[#This Row],[Losing Candidate]], "")</f>
        <v/>
      </c>
      <c r="AG934" s="17" t="str">
        <f>IF(NOT(ISBLANK(Audit[[#This Row],[Audit Candidate 3]])), Audit[[#This Row],[Audit Candidate 3]]-Audit[[#This Row],[Candidate 3]], "")</f>
        <v/>
      </c>
      <c r="AH934" s="17" t="str">
        <f>IF(NOT(ISBLANK(Audit[[#This Row],[Audit Candidate 4]])),Audit[[#This Row],[Audit Candidate 4]]-Audit[[#This Row],[Candidate 4]], "")</f>
        <v/>
      </c>
      <c r="AI934" s="17" t="str">
        <f>IF(NOT(ISBLANK(Audit[[#This Row],[Audit Candidate 5]])), Audit[[#This Row],[Audit Candidate 5]]-Audit[[#This Row],[Candidate 5]], "")</f>
        <v/>
      </c>
      <c r="AJ934" s="17" t="str">
        <f>IF(NOT(ISBLANK(Audit[[#This Row],[Audit Candidate 6]])), Audit[[#This Row],[Audit Candidate 6]]-Audit[[#This Row],[Candidate 6]], "")</f>
        <v/>
      </c>
      <c r="AK934" s="17" t="str">
        <f>IF(NOT(ISBLANK(Audit[[#This Row],[Audit Candidate 7]])), Audit[[#This Row],[Audit Candidate 7]]-Audit[[#This Row],[Candidate 7]], "")</f>
        <v/>
      </c>
      <c r="AL934" s="17" t="str">
        <f>IF(NOT(ISBLANK(Audit[[#This Row],[Audit Candidate 8]])), Audit[[#This Row],[Audit Candidate 8]]-Audit[[#This Row],[Candidate 8]], "")</f>
        <v/>
      </c>
      <c r="AM934" s="17" t="str">
        <f>IF(NOT(ISBLANK(Audit[[#This Row],[Audit Candidate 9]])), Audit[[#This Row],[Audit Candidate 9]]-Audit[[#This Row],[Candidate 9]], "")</f>
        <v/>
      </c>
      <c r="AN934" s="17" t="str">
        <f>IF(NOT(ISBLANK(Audit[[#This Row],[Audit Candidate 10]])), Audit[[#This Row],[Audit Candidate 10]]-Audit[[#This Row],[Candidate 10]], "")</f>
        <v/>
      </c>
      <c r="AO934" s="17" t="str">
        <f>IF(NOT(ISBLANK(Audit[[#This Row],[Audit Candidate 11]])), Audit[[#This Row],[Audit Candidate 11]]-Audit[[#This Row],[Candidate 11]], "")</f>
        <v/>
      </c>
      <c r="AP934" s="17" t="str">
        <f>IF(NOT(ISBLANK(Audit[[#This Row],[Audit Candidate 12]])), Audit[[#This Row],[Audit Candidate 12]]-Audit[[#This Row],[Candidate 12]], "")</f>
        <v/>
      </c>
      <c r="AQ934" s="17">
        <f>SUMIF(Audit[[#This Row],[Difference Winner]:[Difference Candidate 12]], "&gt;0")</f>
        <v>0</v>
      </c>
      <c r="AR934" s="17">
        <f>SUM(Audit[[#This Row],[Difference Winner]:[Difference Candidate 12]])</f>
        <v>0</v>
      </c>
      <c r="AS934" s="17">
        <f>IF(Audit[[#This Row],[Times p Drawn - With Replacement]]&gt;0, IF(Audit[[#This Row],[Canceled Differences]]&lt;0, Audit[[#This Row],[Max Differences]]+ABS(Audit[[#This Row],[Canceled Differences]]), Audit[[#This Row],[Max Differences]]), 0)</f>
        <v>0</v>
      </c>
      <c r="AT934" s="17">
        <f>'Sampling Data'!AB934</f>
        <v>2.3892378204040061E-2</v>
      </c>
      <c r="AU934" s="17">
        <f>IF(
      SUM(Audit[[#This Row],[Audit Losing Candidate]:[Audit Candidate 12]])
      &lt;&gt;0,
      (Audit[[#This Row],[Winning Candidate]]-Audit[[#This Row],[Losing Candidate]]-(Audit[[#This Row],[Audit Winning Candidate]]-Audit[[#This Row],[Audit Losing Candidate]]))/(Audit[[#Totals],[Winning Candidate]]-Audit[[#Totals],[Losing Candidate]]),
      0
)</f>
        <v>0</v>
      </c>
      <c r="AV9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4" s="17">
        <f>IF(Audit[[#This Row],[Max Relative Error (ep)]] = 0, 0, Audit[[#This Row],[Max Relative Error (ep)]]/Audit[[#This Row],[Error Bound (up) - Max. possible relative overstatement]])</f>
        <v>0</v>
      </c>
      <c r="BH9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34" s="17">
        <f t="shared" si="15"/>
        <v>1</v>
      </c>
      <c r="BJ934" s="17">
        <f>PRODUCT($BI$5:BI934)</f>
        <v>0.15397941983070551</v>
      </c>
      <c r="BK934" s="19">
        <f>1 - Audit[[#This Row],[K-M P Value]]</f>
        <v>0.84602058016929449</v>
      </c>
      <c r="BL934" s="17" t="str">
        <f>IF(Audit[[#This Row],[K-M P Value]]&gt;1-'General Info'!$B$12,"Continue", "Stop")</f>
        <v>Continue</v>
      </c>
      <c r="BM934" s="22" t="b">
        <f>IF(Audit[[#This Row],[Status - Continue or stop audit]] = "Continue", TRUE, IF(BL933 = "Continue", TRUE, FALSE))</f>
        <v>1</v>
      </c>
      <c r="BN934" s="22"/>
    </row>
    <row r="935" spans="1:66" ht="15" hidden="1" customHeight="1" x14ac:dyDescent="0.35">
      <c r="A935" s="17" t="str">
        <f>'Sampling Data'!AI935</f>
        <v/>
      </c>
      <c r="B935" s="17" t="str">
        <f>'Sampling Data'!A935</f>
        <v>5921 COLE U   (ED)</v>
      </c>
      <c r="C935" s="17">
        <f>'Sampling Data'!B935</f>
        <v>178</v>
      </c>
      <c r="D935" s="17">
        <f>'Sampling Data'!C935</f>
        <v>253</v>
      </c>
      <c r="E935" s="18">
        <f>'Sampling Data'!D935</f>
        <v>0</v>
      </c>
      <c r="F935" s="18">
        <f>'Sampling Data'!E935</f>
        <v>0</v>
      </c>
      <c r="G935" s="18">
        <f>'Sampling Data'!F935</f>
        <v>0</v>
      </c>
      <c r="H935" s="18">
        <f>'Sampling Data'!G935</f>
        <v>0</v>
      </c>
      <c r="I935" s="18">
        <f>'Sampling Data'!H935</f>
        <v>0</v>
      </c>
      <c r="J935" s="18">
        <f>'Sampling Data'!I935</f>
        <v>0</v>
      </c>
      <c r="K935" s="18">
        <f>'Sampling Data'!J935</f>
        <v>0</v>
      </c>
      <c r="L935" s="18">
        <f>'Sampling Data'!K935</f>
        <v>0</v>
      </c>
      <c r="M935" s="18">
        <f>'Sampling Data'!L935</f>
        <v>0</v>
      </c>
      <c r="N935" s="18">
        <f>'Sampling Data'!M935</f>
        <v>0</v>
      </c>
      <c r="O935" s="17">
        <f>'Sampling Data'!N935</f>
        <v>0</v>
      </c>
      <c r="P935" s="17">
        <f>'Sampling Data'!O935</f>
        <v>40</v>
      </c>
      <c r="Q935" s="17">
        <f>'Sampling Data'!P935</f>
        <v>471</v>
      </c>
      <c r="R935" s="17">
        <f>'Sampling Data'!AJ935</f>
        <v>0</v>
      </c>
      <c r="S935" s="111"/>
      <c r="T935" s="111"/>
      <c r="U935" s="112"/>
      <c r="V935" s="112"/>
      <c r="W935" s="111"/>
      <c r="X935" s="111"/>
      <c r="Y935" s="111"/>
      <c r="Z935" s="111"/>
      <c r="AA935" s="14"/>
      <c r="AB935" s="14"/>
      <c r="AC935" s="14"/>
      <c r="AD935" s="14"/>
      <c r="AE935" s="113" t="str">
        <f>IF(NOT(ISBLANK(Audit[[#This Row],[Audit Winning Candidate]])), Audit[[#This Row],[Audit Winning Candidate]]-Audit[[#This Row],[Winning Candidate]], "")</f>
        <v/>
      </c>
      <c r="AF935" s="17" t="str">
        <f>IF(NOT(ISBLANK(Audit[[#This Row],[Audit Losing Candidate]])), Audit[[#This Row],[Audit Losing Candidate]]-Audit[[#This Row],[Losing Candidate]], "")</f>
        <v/>
      </c>
      <c r="AG935" s="17" t="str">
        <f>IF(NOT(ISBLANK(Audit[[#This Row],[Audit Candidate 3]])), Audit[[#This Row],[Audit Candidate 3]]-Audit[[#This Row],[Candidate 3]], "")</f>
        <v/>
      </c>
      <c r="AH935" s="17" t="str">
        <f>IF(NOT(ISBLANK(Audit[[#This Row],[Audit Candidate 4]])),Audit[[#This Row],[Audit Candidate 4]]-Audit[[#This Row],[Candidate 4]], "")</f>
        <v/>
      </c>
      <c r="AI935" s="17" t="str">
        <f>IF(NOT(ISBLANK(Audit[[#This Row],[Audit Candidate 5]])), Audit[[#This Row],[Audit Candidate 5]]-Audit[[#This Row],[Candidate 5]], "")</f>
        <v/>
      </c>
      <c r="AJ935" s="17" t="str">
        <f>IF(NOT(ISBLANK(Audit[[#This Row],[Audit Candidate 6]])), Audit[[#This Row],[Audit Candidate 6]]-Audit[[#This Row],[Candidate 6]], "")</f>
        <v/>
      </c>
      <c r="AK935" s="17" t="str">
        <f>IF(NOT(ISBLANK(Audit[[#This Row],[Audit Candidate 7]])), Audit[[#This Row],[Audit Candidate 7]]-Audit[[#This Row],[Candidate 7]], "")</f>
        <v/>
      </c>
      <c r="AL935" s="17" t="str">
        <f>IF(NOT(ISBLANK(Audit[[#This Row],[Audit Candidate 8]])), Audit[[#This Row],[Audit Candidate 8]]-Audit[[#This Row],[Candidate 8]], "")</f>
        <v/>
      </c>
      <c r="AM935" s="17" t="str">
        <f>IF(NOT(ISBLANK(Audit[[#This Row],[Audit Candidate 9]])), Audit[[#This Row],[Audit Candidate 9]]-Audit[[#This Row],[Candidate 9]], "")</f>
        <v/>
      </c>
      <c r="AN935" s="17" t="str">
        <f>IF(NOT(ISBLANK(Audit[[#This Row],[Audit Candidate 10]])), Audit[[#This Row],[Audit Candidate 10]]-Audit[[#This Row],[Candidate 10]], "")</f>
        <v/>
      </c>
      <c r="AO935" s="17" t="str">
        <f>IF(NOT(ISBLANK(Audit[[#This Row],[Audit Candidate 11]])), Audit[[#This Row],[Audit Candidate 11]]-Audit[[#This Row],[Candidate 11]], "")</f>
        <v/>
      </c>
      <c r="AP935" s="17" t="str">
        <f>IF(NOT(ISBLANK(Audit[[#This Row],[Audit Candidate 12]])), Audit[[#This Row],[Audit Candidate 12]]-Audit[[#This Row],[Candidate 12]], "")</f>
        <v/>
      </c>
      <c r="AQ935" s="17">
        <f>SUMIF(Audit[[#This Row],[Difference Winner]:[Difference Candidate 12]], "&gt;0")</f>
        <v>0</v>
      </c>
      <c r="AR935" s="17">
        <f>SUM(Audit[[#This Row],[Difference Winner]:[Difference Candidate 12]])</f>
        <v>0</v>
      </c>
      <c r="AS935" s="17">
        <f>IF(Audit[[#This Row],[Times p Drawn - With Replacement]]&gt;0, IF(Audit[[#This Row],[Canceled Differences]]&lt;0, Audit[[#This Row],[Max Differences]]+ABS(Audit[[#This Row],[Canceled Differences]]), Audit[[#This Row],[Max Differences]]), 0)</f>
        <v>0</v>
      </c>
      <c r="AT935" s="17">
        <f>'Sampling Data'!AB935</f>
        <v>1.6805296214564589E-2</v>
      </c>
      <c r="AU935" s="17">
        <f>IF(
      SUM(Audit[[#This Row],[Audit Losing Candidate]:[Audit Candidate 12]])
      &lt;&gt;0,
      (Audit[[#This Row],[Winning Candidate]]-Audit[[#This Row],[Losing Candidate]]-(Audit[[#This Row],[Audit Winning Candidate]]-Audit[[#This Row],[Audit Losing Candidate]]))/(Audit[[#Totals],[Winning Candidate]]-Audit[[#Totals],[Losing Candidate]]),
      0
)</f>
        <v>0</v>
      </c>
      <c r="AV9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5" s="17">
        <f>IF(Audit[[#This Row],[Max Relative Error (ep)]] = 0, 0, Audit[[#This Row],[Max Relative Error (ep)]]/Audit[[#This Row],[Error Bound (up) - Max. possible relative overstatement]])</f>
        <v>0</v>
      </c>
      <c r="BH9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35" s="17">
        <f t="shared" si="15"/>
        <v>1</v>
      </c>
      <c r="BJ935" s="17">
        <f>PRODUCT($BI$5:BI935)</f>
        <v>0.15397941983070551</v>
      </c>
      <c r="BK935" s="19">
        <f>1 - Audit[[#This Row],[K-M P Value]]</f>
        <v>0.84602058016929449</v>
      </c>
      <c r="BL935" s="17" t="str">
        <f>IF(Audit[[#This Row],[K-M P Value]]&gt;1-'General Info'!$B$12,"Continue", "Stop")</f>
        <v>Continue</v>
      </c>
      <c r="BM935" s="22" t="b">
        <f>IF(Audit[[#This Row],[Status - Continue or stop audit]] = "Continue", TRUE, IF(BL934 = "Continue", TRUE, FALSE))</f>
        <v>1</v>
      </c>
      <c r="BN935" s="22"/>
    </row>
    <row r="936" spans="1:66" ht="15" hidden="1" customHeight="1" x14ac:dyDescent="0.35">
      <c r="A936" s="17" t="str">
        <f>'Sampling Data'!AI936</f>
        <v/>
      </c>
      <c r="B936" s="17" t="str">
        <f>'Sampling Data'!A936</f>
        <v>5922 COLE V   (ED)</v>
      </c>
      <c r="C936" s="17">
        <f>'Sampling Data'!B936</f>
        <v>186</v>
      </c>
      <c r="D936" s="17">
        <f>'Sampling Data'!C936</f>
        <v>342</v>
      </c>
      <c r="E936" s="18">
        <f>'Sampling Data'!D936</f>
        <v>0</v>
      </c>
      <c r="F936" s="18">
        <f>'Sampling Data'!E936</f>
        <v>0</v>
      </c>
      <c r="G936" s="18">
        <f>'Sampling Data'!F936</f>
        <v>0</v>
      </c>
      <c r="H936" s="18">
        <f>'Sampling Data'!G936</f>
        <v>0</v>
      </c>
      <c r="I936" s="18">
        <f>'Sampling Data'!H936</f>
        <v>0</v>
      </c>
      <c r="J936" s="18">
        <f>'Sampling Data'!I936</f>
        <v>0</v>
      </c>
      <c r="K936" s="18">
        <f>'Sampling Data'!J936</f>
        <v>0</v>
      </c>
      <c r="L936" s="18">
        <f>'Sampling Data'!K936</f>
        <v>0</v>
      </c>
      <c r="M936" s="18">
        <f>'Sampling Data'!L936</f>
        <v>0</v>
      </c>
      <c r="N936" s="18">
        <f>'Sampling Data'!M936</f>
        <v>0</v>
      </c>
      <c r="O936" s="17">
        <f>'Sampling Data'!N936</f>
        <v>0</v>
      </c>
      <c r="P936" s="17">
        <f>'Sampling Data'!O936</f>
        <v>44</v>
      </c>
      <c r="Q936" s="17">
        <f>'Sampling Data'!P936</f>
        <v>572</v>
      </c>
      <c r="R936" s="17">
        <f>'Sampling Data'!AJ936</f>
        <v>0</v>
      </c>
      <c r="S936" s="111"/>
      <c r="T936" s="111"/>
      <c r="U936" s="112"/>
      <c r="V936" s="112"/>
      <c r="W936" s="111"/>
      <c r="X936" s="111"/>
      <c r="Y936" s="111"/>
      <c r="Z936" s="111"/>
      <c r="AA936" s="14"/>
      <c r="AB936" s="14"/>
      <c r="AC936" s="14"/>
      <c r="AD936" s="14"/>
      <c r="AE936" s="113" t="str">
        <f>IF(NOT(ISBLANK(Audit[[#This Row],[Audit Winning Candidate]])), Audit[[#This Row],[Audit Winning Candidate]]-Audit[[#This Row],[Winning Candidate]], "")</f>
        <v/>
      </c>
      <c r="AF936" s="17" t="str">
        <f>IF(NOT(ISBLANK(Audit[[#This Row],[Audit Losing Candidate]])), Audit[[#This Row],[Audit Losing Candidate]]-Audit[[#This Row],[Losing Candidate]], "")</f>
        <v/>
      </c>
      <c r="AG936" s="17" t="str">
        <f>IF(NOT(ISBLANK(Audit[[#This Row],[Audit Candidate 3]])), Audit[[#This Row],[Audit Candidate 3]]-Audit[[#This Row],[Candidate 3]], "")</f>
        <v/>
      </c>
      <c r="AH936" s="17" t="str">
        <f>IF(NOT(ISBLANK(Audit[[#This Row],[Audit Candidate 4]])),Audit[[#This Row],[Audit Candidate 4]]-Audit[[#This Row],[Candidate 4]], "")</f>
        <v/>
      </c>
      <c r="AI936" s="17" t="str">
        <f>IF(NOT(ISBLANK(Audit[[#This Row],[Audit Candidate 5]])), Audit[[#This Row],[Audit Candidate 5]]-Audit[[#This Row],[Candidate 5]], "")</f>
        <v/>
      </c>
      <c r="AJ936" s="17" t="str">
        <f>IF(NOT(ISBLANK(Audit[[#This Row],[Audit Candidate 6]])), Audit[[#This Row],[Audit Candidate 6]]-Audit[[#This Row],[Candidate 6]], "")</f>
        <v/>
      </c>
      <c r="AK936" s="17" t="str">
        <f>IF(NOT(ISBLANK(Audit[[#This Row],[Audit Candidate 7]])), Audit[[#This Row],[Audit Candidate 7]]-Audit[[#This Row],[Candidate 7]], "")</f>
        <v/>
      </c>
      <c r="AL936" s="17" t="str">
        <f>IF(NOT(ISBLANK(Audit[[#This Row],[Audit Candidate 8]])), Audit[[#This Row],[Audit Candidate 8]]-Audit[[#This Row],[Candidate 8]], "")</f>
        <v/>
      </c>
      <c r="AM936" s="17" t="str">
        <f>IF(NOT(ISBLANK(Audit[[#This Row],[Audit Candidate 9]])), Audit[[#This Row],[Audit Candidate 9]]-Audit[[#This Row],[Candidate 9]], "")</f>
        <v/>
      </c>
      <c r="AN936" s="17" t="str">
        <f>IF(NOT(ISBLANK(Audit[[#This Row],[Audit Candidate 10]])), Audit[[#This Row],[Audit Candidate 10]]-Audit[[#This Row],[Candidate 10]], "")</f>
        <v/>
      </c>
      <c r="AO936" s="17" t="str">
        <f>IF(NOT(ISBLANK(Audit[[#This Row],[Audit Candidate 11]])), Audit[[#This Row],[Audit Candidate 11]]-Audit[[#This Row],[Candidate 11]], "")</f>
        <v/>
      </c>
      <c r="AP936" s="17" t="str">
        <f>IF(NOT(ISBLANK(Audit[[#This Row],[Audit Candidate 12]])), Audit[[#This Row],[Audit Candidate 12]]-Audit[[#This Row],[Candidate 12]], "")</f>
        <v/>
      </c>
      <c r="AQ936" s="17">
        <f>SUMIF(Audit[[#This Row],[Difference Winner]:[Difference Candidate 12]], "&gt;0")</f>
        <v>0</v>
      </c>
      <c r="AR936" s="17">
        <f>SUM(Audit[[#This Row],[Difference Winner]:[Difference Candidate 12]])</f>
        <v>0</v>
      </c>
      <c r="AS936" s="17">
        <f>IF(Audit[[#This Row],[Times p Drawn - With Replacement]]&gt;0, IF(Audit[[#This Row],[Canceled Differences]]&lt;0, Audit[[#This Row],[Max Differences]]+ABS(Audit[[#This Row],[Canceled Differences]]), Audit[[#This Row],[Max Differences]]), 0)</f>
        <v>0</v>
      </c>
      <c r="AT936" s="17">
        <f>'Sampling Data'!AB936</f>
        <v>1.7654048548633509E-2</v>
      </c>
      <c r="AU936" s="17">
        <f>IF(
      SUM(Audit[[#This Row],[Audit Losing Candidate]:[Audit Candidate 12]])
      &lt;&gt;0,
      (Audit[[#This Row],[Winning Candidate]]-Audit[[#This Row],[Losing Candidate]]-(Audit[[#This Row],[Audit Winning Candidate]]-Audit[[#This Row],[Audit Losing Candidate]]))/(Audit[[#Totals],[Winning Candidate]]-Audit[[#Totals],[Losing Candidate]]),
      0
)</f>
        <v>0</v>
      </c>
      <c r="AV9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6" s="17">
        <f>IF(Audit[[#This Row],[Max Relative Error (ep)]] = 0, 0, Audit[[#This Row],[Max Relative Error (ep)]]/Audit[[#This Row],[Error Bound (up) - Max. possible relative overstatement]])</f>
        <v>0</v>
      </c>
      <c r="BH9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36" s="17">
        <f t="shared" si="15"/>
        <v>1</v>
      </c>
      <c r="BJ936" s="17">
        <f>PRODUCT($BI$5:BI936)</f>
        <v>0.15397941983070551</v>
      </c>
      <c r="BK936" s="19">
        <f>1 - Audit[[#This Row],[K-M P Value]]</f>
        <v>0.84602058016929449</v>
      </c>
      <c r="BL936" s="17" t="str">
        <f>IF(Audit[[#This Row],[K-M P Value]]&gt;1-'General Info'!$B$12,"Continue", "Stop")</f>
        <v>Continue</v>
      </c>
      <c r="BM936" s="22" t="b">
        <f>IF(Audit[[#This Row],[Status - Continue or stop audit]] = "Continue", TRUE, IF(BL935 = "Continue", TRUE, FALSE))</f>
        <v>1</v>
      </c>
      <c r="BN936" s="22"/>
    </row>
    <row r="937" spans="1:66" ht="15" hidden="1" customHeight="1" x14ac:dyDescent="0.35">
      <c r="A937" s="17" t="str">
        <f>'Sampling Data'!AI937</f>
        <v/>
      </c>
      <c r="B937" s="17" t="str">
        <f>'Sampling Data'!A937</f>
        <v>5923 COLE W   (ED)</v>
      </c>
      <c r="C937" s="17">
        <f>'Sampling Data'!B937</f>
        <v>162</v>
      </c>
      <c r="D937" s="17">
        <f>'Sampling Data'!C937</f>
        <v>123</v>
      </c>
      <c r="E937" s="18">
        <f>'Sampling Data'!D937</f>
        <v>0</v>
      </c>
      <c r="F937" s="18">
        <f>'Sampling Data'!E937</f>
        <v>0</v>
      </c>
      <c r="G937" s="18">
        <f>'Sampling Data'!F937</f>
        <v>0</v>
      </c>
      <c r="H937" s="18">
        <f>'Sampling Data'!G937</f>
        <v>0</v>
      </c>
      <c r="I937" s="18">
        <f>'Sampling Data'!H937</f>
        <v>0</v>
      </c>
      <c r="J937" s="18">
        <f>'Sampling Data'!I937</f>
        <v>0</v>
      </c>
      <c r="K937" s="18">
        <f>'Sampling Data'!J937</f>
        <v>0</v>
      </c>
      <c r="L937" s="18">
        <f>'Sampling Data'!K937</f>
        <v>0</v>
      </c>
      <c r="M937" s="18">
        <f>'Sampling Data'!L937</f>
        <v>0</v>
      </c>
      <c r="N937" s="18">
        <f>'Sampling Data'!M937</f>
        <v>0</v>
      </c>
      <c r="O937" s="17">
        <f>'Sampling Data'!N937</f>
        <v>0</v>
      </c>
      <c r="P937" s="17">
        <f>'Sampling Data'!O937</f>
        <v>25</v>
      </c>
      <c r="Q937" s="17">
        <f>'Sampling Data'!P937</f>
        <v>310</v>
      </c>
      <c r="R937" s="17">
        <f>'Sampling Data'!AJ937</f>
        <v>0</v>
      </c>
      <c r="S937" s="111"/>
      <c r="T937" s="111"/>
      <c r="U937" s="112"/>
      <c r="V937" s="112"/>
      <c r="W937" s="111"/>
      <c r="X937" s="111"/>
      <c r="Y937" s="111"/>
      <c r="Z937" s="111"/>
      <c r="AA937" s="14"/>
      <c r="AB937" s="14"/>
      <c r="AC937" s="14"/>
      <c r="AD937" s="14"/>
      <c r="AE937" s="113" t="str">
        <f>IF(NOT(ISBLANK(Audit[[#This Row],[Audit Winning Candidate]])), Audit[[#This Row],[Audit Winning Candidate]]-Audit[[#This Row],[Winning Candidate]], "")</f>
        <v/>
      </c>
      <c r="AF937" s="17" t="str">
        <f>IF(NOT(ISBLANK(Audit[[#This Row],[Audit Losing Candidate]])), Audit[[#This Row],[Audit Losing Candidate]]-Audit[[#This Row],[Losing Candidate]], "")</f>
        <v/>
      </c>
      <c r="AG937" s="17" t="str">
        <f>IF(NOT(ISBLANK(Audit[[#This Row],[Audit Candidate 3]])), Audit[[#This Row],[Audit Candidate 3]]-Audit[[#This Row],[Candidate 3]], "")</f>
        <v/>
      </c>
      <c r="AH937" s="17" t="str">
        <f>IF(NOT(ISBLANK(Audit[[#This Row],[Audit Candidate 4]])),Audit[[#This Row],[Audit Candidate 4]]-Audit[[#This Row],[Candidate 4]], "")</f>
        <v/>
      </c>
      <c r="AI937" s="17" t="str">
        <f>IF(NOT(ISBLANK(Audit[[#This Row],[Audit Candidate 5]])), Audit[[#This Row],[Audit Candidate 5]]-Audit[[#This Row],[Candidate 5]], "")</f>
        <v/>
      </c>
      <c r="AJ937" s="17" t="str">
        <f>IF(NOT(ISBLANK(Audit[[#This Row],[Audit Candidate 6]])), Audit[[#This Row],[Audit Candidate 6]]-Audit[[#This Row],[Candidate 6]], "")</f>
        <v/>
      </c>
      <c r="AK937" s="17" t="str">
        <f>IF(NOT(ISBLANK(Audit[[#This Row],[Audit Candidate 7]])), Audit[[#This Row],[Audit Candidate 7]]-Audit[[#This Row],[Candidate 7]], "")</f>
        <v/>
      </c>
      <c r="AL937" s="17" t="str">
        <f>IF(NOT(ISBLANK(Audit[[#This Row],[Audit Candidate 8]])), Audit[[#This Row],[Audit Candidate 8]]-Audit[[#This Row],[Candidate 8]], "")</f>
        <v/>
      </c>
      <c r="AM937" s="17" t="str">
        <f>IF(NOT(ISBLANK(Audit[[#This Row],[Audit Candidate 9]])), Audit[[#This Row],[Audit Candidate 9]]-Audit[[#This Row],[Candidate 9]], "")</f>
        <v/>
      </c>
      <c r="AN937" s="17" t="str">
        <f>IF(NOT(ISBLANK(Audit[[#This Row],[Audit Candidate 10]])), Audit[[#This Row],[Audit Candidate 10]]-Audit[[#This Row],[Candidate 10]], "")</f>
        <v/>
      </c>
      <c r="AO937" s="17" t="str">
        <f>IF(NOT(ISBLANK(Audit[[#This Row],[Audit Candidate 11]])), Audit[[#This Row],[Audit Candidate 11]]-Audit[[#This Row],[Candidate 11]], "")</f>
        <v/>
      </c>
      <c r="AP937" s="17" t="str">
        <f>IF(NOT(ISBLANK(Audit[[#This Row],[Audit Candidate 12]])), Audit[[#This Row],[Audit Candidate 12]]-Audit[[#This Row],[Candidate 12]], "")</f>
        <v/>
      </c>
      <c r="AQ937" s="17">
        <f>SUMIF(Audit[[#This Row],[Difference Winner]:[Difference Candidate 12]], "&gt;0")</f>
        <v>0</v>
      </c>
      <c r="AR937" s="17">
        <f>SUM(Audit[[#This Row],[Difference Winner]:[Difference Candidate 12]])</f>
        <v>0</v>
      </c>
      <c r="AS937" s="17">
        <f>IF(Audit[[#This Row],[Times p Drawn - With Replacement]]&gt;0, IF(Audit[[#This Row],[Canceled Differences]]&lt;0, Audit[[#This Row],[Max Differences]]+ABS(Audit[[#This Row],[Canceled Differences]]), Audit[[#This Row],[Max Differences]]), 0)</f>
        <v>0</v>
      </c>
      <c r="AT937" s="17">
        <f>'Sampling Data'!AB937</f>
        <v>1.4810728229502631E-2</v>
      </c>
      <c r="AU937" s="17">
        <f>IF(
      SUM(Audit[[#This Row],[Audit Losing Candidate]:[Audit Candidate 12]])
      &lt;&gt;0,
      (Audit[[#This Row],[Winning Candidate]]-Audit[[#This Row],[Losing Candidate]]-(Audit[[#This Row],[Audit Winning Candidate]]-Audit[[#This Row],[Audit Losing Candidate]]))/(Audit[[#Totals],[Winning Candidate]]-Audit[[#Totals],[Losing Candidate]]),
      0
)</f>
        <v>0</v>
      </c>
      <c r="AV9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7" s="17">
        <f>IF(Audit[[#This Row],[Max Relative Error (ep)]] = 0, 0, Audit[[#This Row],[Max Relative Error (ep)]]/Audit[[#This Row],[Error Bound (up) - Max. possible relative overstatement]])</f>
        <v>0</v>
      </c>
      <c r="BH9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37" s="17">
        <f t="shared" si="15"/>
        <v>1</v>
      </c>
      <c r="BJ937" s="17">
        <f>PRODUCT($BI$5:BI937)</f>
        <v>0.15397941983070551</v>
      </c>
      <c r="BK937" s="19">
        <f>1 - Audit[[#This Row],[K-M P Value]]</f>
        <v>0.84602058016929449</v>
      </c>
      <c r="BL937" s="17" t="str">
        <f>IF(Audit[[#This Row],[K-M P Value]]&gt;1-'General Info'!$B$12,"Continue", "Stop")</f>
        <v>Continue</v>
      </c>
      <c r="BM937" s="22" t="b">
        <f>IF(Audit[[#This Row],[Status - Continue or stop audit]] = "Continue", TRUE, IF(BL936 = "Continue", TRUE, FALSE))</f>
        <v>1</v>
      </c>
      <c r="BN937" s="22"/>
    </row>
    <row r="938" spans="1:66" ht="15" hidden="1" customHeight="1" x14ac:dyDescent="0.35">
      <c r="A938" s="17" t="str">
        <f>'Sampling Data'!AI938</f>
        <v/>
      </c>
      <c r="B938" s="17" t="str">
        <f>'Sampling Data'!A938</f>
        <v>5924 COLE X   (ED)</v>
      </c>
      <c r="C938" s="17">
        <f>'Sampling Data'!B938</f>
        <v>284</v>
      </c>
      <c r="D938" s="17">
        <f>'Sampling Data'!C938</f>
        <v>259</v>
      </c>
      <c r="E938" s="18">
        <f>'Sampling Data'!D938</f>
        <v>0</v>
      </c>
      <c r="F938" s="18">
        <f>'Sampling Data'!E938</f>
        <v>0</v>
      </c>
      <c r="G938" s="18">
        <f>'Sampling Data'!F938</f>
        <v>0</v>
      </c>
      <c r="H938" s="18">
        <f>'Sampling Data'!G938</f>
        <v>0</v>
      </c>
      <c r="I938" s="18">
        <f>'Sampling Data'!H938</f>
        <v>0</v>
      </c>
      <c r="J938" s="18">
        <f>'Sampling Data'!I938</f>
        <v>0</v>
      </c>
      <c r="K938" s="18">
        <f>'Sampling Data'!J938</f>
        <v>0</v>
      </c>
      <c r="L938" s="18">
        <f>'Sampling Data'!K938</f>
        <v>0</v>
      </c>
      <c r="M938" s="18">
        <f>'Sampling Data'!L938</f>
        <v>0</v>
      </c>
      <c r="N938" s="18">
        <f>'Sampling Data'!M938</f>
        <v>0</v>
      </c>
      <c r="O938" s="17">
        <f>'Sampling Data'!N938</f>
        <v>0</v>
      </c>
      <c r="P938" s="17">
        <f>'Sampling Data'!O938</f>
        <v>43</v>
      </c>
      <c r="Q938" s="17">
        <f>'Sampling Data'!P938</f>
        <v>586</v>
      </c>
      <c r="R938" s="17">
        <f>'Sampling Data'!AJ938</f>
        <v>0</v>
      </c>
      <c r="S938" s="111"/>
      <c r="T938" s="111"/>
      <c r="U938" s="112"/>
      <c r="V938" s="112"/>
      <c r="W938" s="111"/>
      <c r="X938" s="111"/>
      <c r="Y938" s="111"/>
      <c r="Z938" s="111"/>
      <c r="AA938" s="14"/>
      <c r="AB938" s="14"/>
      <c r="AC938" s="14"/>
      <c r="AD938" s="14"/>
      <c r="AE938" s="113" t="str">
        <f>IF(NOT(ISBLANK(Audit[[#This Row],[Audit Winning Candidate]])), Audit[[#This Row],[Audit Winning Candidate]]-Audit[[#This Row],[Winning Candidate]], "")</f>
        <v/>
      </c>
      <c r="AF938" s="17" t="str">
        <f>IF(NOT(ISBLANK(Audit[[#This Row],[Audit Losing Candidate]])), Audit[[#This Row],[Audit Losing Candidate]]-Audit[[#This Row],[Losing Candidate]], "")</f>
        <v/>
      </c>
      <c r="AG938" s="17" t="str">
        <f>IF(NOT(ISBLANK(Audit[[#This Row],[Audit Candidate 3]])), Audit[[#This Row],[Audit Candidate 3]]-Audit[[#This Row],[Candidate 3]], "")</f>
        <v/>
      </c>
      <c r="AH938" s="17" t="str">
        <f>IF(NOT(ISBLANK(Audit[[#This Row],[Audit Candidate 4]])),Audit[[#This Row],[Audit Candidate 4]]-Audit[[#This Row],[Candidate 4]], "")</f>
        <v/>
      </c>
      <c r="AI938" s="17" t="str">
        <f>IF(NOT(ISBLANK(Audit[[#This Row],[Audit Candidate 5]])), Audit[[#This Row],[Audit Candidate 5]]-Audit[[#This Row],[Candidate 5]], "")</f>
        <v/>
      </c>
      <c r="AJ938" s="17" t="str">
        <f>IF(NOT(ISBLANK(Audit[[#This Row],[Audit Candidate 6]])), Audit[[#This Row],[Audit Candidate 6]]-Audit[[#This Row],[Candidate 6]], "")</f>
        <v/>
      </c>
      <c r="AK938" s="17" t="str">
        <f>IF(NOT(ISBLANK(Audit[[#This Row],[Audit Candidate 7]])), Audit[[#This Row],[Audit Candidate 7]]-Audit[[#This Row],[Candidate 7]], "")</f>
        <v/>
      </c>
      <c r="AL938" s="17" t="str">
        <f>IF(NOT(ISBLANK(Audit[[#This Row],[Audit Candidate 8]])), Audit[[#This Row],[Audit Candidate 8]]-Audit[[#This Row],[Candidate 8]], "")</f>
        <v/>
      </c>
      <c r="AM938" s="17" t="str">
        <f>IF(NOT(ISBLANK(Audit[[#This Row],[Audit Candidate 9]])), Audit[[#This Row],[Audit Candidate 9]]-Audit[[#This Row],[Candidate 9]], "")</f>
        <v/>
      </c>
      <c r="AN938" s="17" t="str">
        <f>IF(NOT(ISBLANK(Audit[[#This Row],[Audit Candidate 10]])), Audit[[#This Row],[Audit Candidate 10]]-Audit[[#This Row],[Candidate 10]], "")</f>
        <v/>
      </c>
      <c r="AO938" s="17" t="str">
        <f>IF(NOT(ISBLANK(Audit[[#This Row],[Audit Candidate 11]])), Audit[[#This Row],[Audit Candidate 11]]-Audit[[#This Row],[Candidate 11]], "")</f>
        <v/>
      </c>
      <c r="AP938" s="17" t="str">
        <f>IF(NOT(ISBLANK(Audit[[#This Row],[Audit Candidate 12]])), Audit[[#This Row],[Audit Candidate 12]]-Audit[[#This Row],[Candidate 12]], "")</f>
        <v/>
      </c>
      <c r="AQ938" s="17">
        <f>SUMIF(Audit[[#This Row],[Difference Winner]:[Difference Candidate 12]], "&gt;0")</f>
        <v>0</v>
      </c>
      <c r="AR938" s="17">
        <f>SUM(Audit[[#This Row],[Difference Winner]:[Difference Candidate 12]])</f>
        <v>0</v>
      </c>
      <c r="AS938" s="17">
        <f>IF(Audit[[#This Row],[Times p Drawn - With Replacement]]&gt;0, IF(Audit[[#This Row],[Canceled Differences]]&lt;0, Audit[[#This Row],[Max Differences]]+ABS(Audit[[#This Row],[Canceled Differences]]), Audit[[#This Row],[Max Differences]]), 0)</f>
        <v>0</v>
      </c>
      <c r="AT938" s="17">
        <f>'Sampling Data'!AB938</f>
        <v>2.5929383805805464E-2</v>
      </c>
      <c r="AU938" s="17">
        <f>IF(
      SUM(Audit[[#This Row],[Audit Losing Candidate]:[Audit Candidate 12]])
      &lt;&gt;0,
      (Audit[[#This Row],[Winning Candidate]]-Audit[[#This Row],[Losing Candidate]]-(Audit[[#This Row],[Audit Winning Candidate]]-Audit[[#This Row],[Audit Losing Candidate]]))/(Audit[[#Totals],[Winning Candidate]]-Audit[[#Totals],[Losing Candidate]]),
      0
)</f>
        <v>0</v>
      </c>
      <c r="AV9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8" s="17">
        <f>IF(Audit[[#This Row],[Max Relative Error (ep)]] = 0, 0, Audit[[#This Row],[Max Relative Error (ep)]]/Audit[[#This Row],[Error Bound (up) - Max. possible relative overstatement]])</f>
        <v>0</v>
      </c>
      <c r="BH9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38" s="17">
        <f t="shared" si="15"/>
        <v>1</v>
      </c>
      <c r="BJ938" s="17">
        <f>PRODUCT($BI$5:BI938)</f>
        <v>0.15397941983070551</v>
      </c>
      <c r="BK938" s="19">
        <f>1 - Audit[[#This Row],[K-M P Value]]</f>
        <v>0.84602058016929449</v>
      </c>
      <c r="BL938" s="17" t="str">
        <f>IF(Audit[[#This Row],[K-M P Value]]&gt;1-'General Info'!$B$12,"Continue", "Stop")</f>
        <v>Continue</v>
      </c>
      <c r="BM938" s="22" t="b">
        <f>IF(Audit[[#This Row],[Status - Continue or stop audit]] = "Continue", TRUE, IF(BL937 = "Continue", TRUE, FALSE))</f>
        <v>1</v>
      </c>
      <c r="BN938" s="22"/>
    </row>
    <row r="939" spans="1:66" ht="15" hidden="1" customHeight="1" x14ac:dyDescent="0.35">
      <c r="A939" s="17" t="str">
        <f>'Sampling Data'!AI939</f>
        <v/>
      </c>
      <c r="B939" s="17" t="str">
        <f>'Sampling Data'!A939</f>
        <v>5925 COLE Y   (ED)</v>
      </c>
      <c r="C939" s="17">
        <f>'Sampling Data'!B939</f>
        <v>308</v>
      </c>
      <c r="D939" s="17">
        <f>'Sampling Data'!C939</f>
        <v>242</v>
      </c>
      <c r="E939" s="18">
        <f>'Sampling Data'!D939</f>
        <v>0</v>
      </c>
      <c r="F939" s="18">
        <f>'Sampling Data'!E939</f>
        <v>0</v>
      </c>
      <c r="G939" s="18">
        <f>'Sampling Data'!F939</f>
        <v>0</v>
      </c>
      <c r="H939" s="18">
        <f>'Sampling Data'!G939</f>
        <v>0</v>
      </c>
      <c r="I939" s="18">
        <f>'Sampling Data'!H939</f>
        <v>0</v>
      </c>
      <c r="J939" s="18">
        <f>'Sampling Data'!I939</f>
        <v>0</v>
      </c>
      <c r="K939" s="18">
        <f>'Sampling Data'!J939</f>
        <v>0</v>
      </c>
      <c r="L939" s="18">
        <f>'Sampling Data'!K939</f>
        <v>0</v>
      </c>
      <c r="M939" s="18">
        <f>'Sampling Data'!L939</f>
        <v>0</v>
      </c>
      <c r="N939" s="18">
        <f>'Sampling Data'!M939</f>
        <v>0</v>
      </c>
      <c r="O939" s="17">
        <f>'Sampling Data'!N939</f>
        <v>0</v>
      </c>
      <c r="P939" s="17">
        <f>'Sampling Data'!O939</f>
        <v>38</v>
      </c>
      <c r="Q939" s="17">
        <f>'Sampling Data'!P939</f>
        <v>588</v>
      </c>
      <c r="R939" s="17">
        <f>'Sampling Data'!AJ939</f>
        <v>0</v>
      </c>
      <c r="S939" s="111"/>
      <c r="T939" s="111"/>
      <c r="U939" s="112"/>
      <c r="V939" s="112"/>
      <c r="W939" s="111"/>
      <c r="X939" s="111"/>
      <c r="Y939" s="111"/>
      <c r="Z939" s="111"/>
      <c r="AA939" s="14"/>
      <c r="AB939" s="14"/>
      <c r="AC939" s="14"/>
      <c r="AD939" s="14"/>
      <c r="AE939" s="113" t="str">
        <f>IF(NOT(ISBLANK(Audit[[#This Row],[Audit Winning Candidate]])), Audit[[#This Row],[Audit Winning Candidate]]-Audit[[#This Row],[Winning Candidate]], "")</f>
        <v/>
      </c>
      <c r="AF939" s="17" t="str">
        <f>IF(NOT(ISBLANK(Audit[[#This Row],[Audit Losing Candidate]])), Audit[[#This Row],[Audit Losing Candidate]]-Audit[[#This Row],[Losing Candidate]], "")</f>
        <v/>
      </c>
      <c r="AG939" s="17" t="str">
        <f>IF(NOT(ISBLANK(Audit[[#This Row],[Audit Candidate 3]])), Audit[[#This Row],[Audit Candidate 3]]-Audit[[#This Row],[Candidate 3]], "")</f>
        <v/>
      </c>
      <c r="AH939" s="17" t="str">
        <f>IF(NOT(ISBLANK(Audit[[#This Row],[Audit Candidate 4]])),Audit[[#This Row],[Audit Candidate 4]]-Audit[[#This Row],[Candidate 4]], "")</f>
        <v/>
      </c>
      <c r="AI939" s="17" t="str">
        <f>IF(NOT(ISBLANK(Audit[[#This Row],[Audit Candidate 5]])), Audit[[#This Row],[Audit Candidate 5]]-Audit[[#This Row],[Candidate 5]], "")</f>
        <v/>
      </c>
      <c r="AJ939" s="17" t="str">
        <f>IF(NOT(ISBLANK(Audit[[#This Row],[Audit Candidate 6]])), Audit[[#This Row],[Audit Candidate 6]]-Audit[[#This Row],[Candidate 6]], "")</f>
        <v/>
      </c>
      <c r="AK939" s="17" t="str">
        <f>IF(NOT(ISBLANK(Audit[[#This Row],[Audit Candidate 7]])), Audit[[#This Row],[Audit Candidate 7]]-Audit[[#This Row],[Candidate 7]], "")</f>
        <v/>
      </c>
      <c r="AL939" s="17" t="str">
        <f>IF(NOT(ISBLANK(Audit[[#This Row],[Audit Candidate 8]])), Audit[[#This Row],[Audit Candidate 8]]-Audit[[#This Row],[Candidate 8]], "")</f>
        <v/>
      </c>
      <c r="AM939" s="17" t="str">
        <f>IF(NOT(ISBLANK(Audit[[#This Row],[Audit Candidate 9]])), Audit[[#This Row],[Audit Candidate 9]]-Audit[[#This Row],[Candidate 9]], "")</f>
        <v/>
      </c>
      <c r="AN939" s="17" t="str">
        <f>IF(NOT(ISBLANK(Audit[[#This Row],[Audit Candidate 10]])), Audit[[#This Row],[Audit Candidate 10]]-Audit[[#This Row],[Candidate 10]], "")</f>
        <v/>
      </c>
      <c r="AO939" s="17" t="str">
        <f>IF(NOT(ISBLANK(Audit[[#This Row],[Audit Candidate 11]])), Audit[[#This Row],[Audit Candidate 11]]-Audit[[#This Row],[Candidate 11]], "")</f>
        <v/>
      </c>
      <c r="AP939" s="17" t="str">
        <f>IF(NOT(ISBLANK(Audit[[#This Row],[Audit Candidate 12]])), Audit[[#This Row],[Audit Candidate 12]]-Audit[[#This Row],[Candidate 12]], "")</f>
        <v/>
      </c>
      <c r="AQ939" s="17">
        <f>SUMIF(Audit[[#This Row],[Difference Winner]:[Difference Candidate 12]], "&gt;0")</f>
        <v>0</v>
      </c>
      <c r="AR939" s="17">
        <f>SUM(Audit[[#This Row],[Difference Winner]:[Difference Candidate 12]])</f>
        <v>0</v>
      </c>
      <c r="AS939" s="17">
        <f>IF(Audit[[#This Row],[Times p Drawn - With Replacement]]&gt;0, IF(Audit[[#This Row],[Canceled Differences]]&lt;0, Audit[[#This Row],[Max Differences]]+ABS(Audit[[#This Row],[Canceled Differences]]), Audit[[#This Row],[Max Differences]]), 0)</f>
        <v>0</v>
      </c>
      <c r="AT939" s="17">
        <f>'Sampling Data'!AB939</f>
        <v>2.7754201324053641E-2</v>
      </c>
      <c r="AU939" s="17">
        <f>IF(
      SUM(Audit[[#This Row],[Audit Losing Candidate]:[Audit Candidate 12]])
      &lt;&gt;0,
      (Audit[[#This Row],[Winning Candidate]]-Audit[[#This Row],[Losing Candidate]]-(Audit[[#This Row],[Audit Winning Candidate]]-Audit[[#This Row],[Audit Losing Candidate]]))/(Audit[[#Totals],[Winning Candidate]]-Audit[[#Totals],[Losing Candidate]]),
      0
)</f>
        <v>0</v>
      </c>
      <c r="AV9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9" s="17">
        <f>IF(Audit[[#This Row],[Max Relative Error (ep)]] = 0, 0, Audit[[#This Row],[Max Relative Error (ep)]]/Audit[[#This Row],[Error Bound (up) - Max. possible relative overstatement]])</f>
        <v>0</v>
      </c>
      <c r="BH9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39" s="17">
        <f t="shared" si="15"/>
        <v>1</v>
      </c>
      <c r="BJ939" s="17">
        <f>PRODUCT($BI$5:BI939)</f>
        <v>0.15397941983070551</v>
      </c>
      <c r="BK939" s="19">
        <f>1 - Audit[[#This Row],[K-M P Value]]</f>
        <v>0.84602058016929449</v>
      </c>
      <c r="BL939" s="17" t="str">
        <f>IF(Audit[[#This Row],[K-M P Value]]&gt;1-'General Info'!$B$12,"Continue", "Stop")</f>
        <v>Continue</v>
      </c>
      <c r="BM939" s="22" t="b">
        <f>IF(Audit[[#This Row],[Status - Continue or stop audit]] = "Continue", TRUE, IF(BL938 = "Continue", TRUE, FALSE))</f>
        <v>1</v>
      </c>
      <c r="BN939" s="22"/>
    </row>
    <row r="940" spans="1:66" ht="15" hidden="1" customHeight="1" x14ac:dyDescent="0.35">
      <c r="A940" s="17" t="str">
        <f>'Sampling Data'!AI940</f>
        <v/>
      </c>
      <c r="B940" s="17" t="str">
        <f>'Sampling Data'!A940</f>
        <v>5926 COLE Z   (ED)</v>
      </c>
      <c r="C940" s="17">
        <f>'Sampling Data'!B940</f>
        <v>325</v>
      </c>
      <c r="D940" s="17">
        <f>'Sampling Data'!C940</f>
        <v>257</v>
      </c>
      <c r="E940" s="18">
        <f>'Sampling Data'!D940</f>
        <v>0</v>
      </c>
      <c r="F940" s="18">
        <f>'Sampling Data'!E940</f>
        <v>0</v>
      </c>
      <c r="G940" s="18">
        <f>'Sampling Data'!F940</f>
        <v>0</v>
      </c>
      <c r="H940" s="18">
        <f>'Sampling Data'!G940</f>
        <v>0</v>
      </c>
      <c r="I940" s="18">
        <f>'Sampling Data'!H940</f>
        <v>0</v>
      </c>
      <c r="J940" s="18">
        <f>'Sampling Data'!I940</f>
        <v>0</v>
      </c>
      <c r="K940" s="18">
        <f>'Sampling Data'!J940</f>
        <v>0</v>
      </c>
      <c r="L940" s="18">
        <f>'Sampling Data'!K940</f>
        <v>0</v>
      </c>
      <c r="M940" s="18">
        <f>'Sampling Data'!L940</f>
        <v>0</v>
      </c>
      <c r="N940" s="18">
        <f>'Sampling Data'!M940</f>
        <v>0</v>
      </c>
      <c r="O940" s="17">
        <f>'Sampling Data'!N940</f>
        <v>0</v>
      </c>
      <c r="P940" s="17">
        <f>'Sampling Data'!O940</f>
        <v>40</v>
      </c>
      <c r="Q940" s="17">
        <f>'Sampling Data'!P940</f>
        <v>622</v>
      </c>
      <c r="R940" s="17">
        <f>'Sampling Data'!AJ940</f>
        <v>0</v>
      </c>
      <c r="S940" s="111"/>
      <c r="T940" s="111"/>
      <c r="U940" s="112"/>
      <c r="V940" s="112"/>
      <c r="W940" s="111"/>
      <c r="X940" s="111"/>
      <c r="Y940" s="111"/>
      <c r="Z940" s="111"/>
      <c r="AA940" s="14"/>
      <c r="AB940" s="14"/>
      <c r="AC940" s="14"/>
      <c r="AD940" s="14"/>
      <c r="AE940" s="113" t="str">
        <f>IF(NOT(ISBLANK(Audit[[#This Row],[Audit Winning Candidate]])), Audit[[#This Row],[Audit Winning Candidate]]-Audit[[#This Row],[Winning Candidate]], "")</f>
        <v/>
      </c>
      <c r="AF940" s="17" t="str">
        <f>IF(NOT(ISBLANK(Audit[[#This Row],[Audit Losing Candidate]])), Audit[[#This Row],[Audit Losing Candidate]]-Audit[[#This Row],[Losing Candidate]], "")</f>
        <v/>
      </c>
      <c r="AG940" s="17" t="str">
        <f>IF(NOT(ISBLANK(Audit[[#This Row],[Audit Candidate 3]])), Audit[[#This Row],[Audit Candidate 3]]-Audit[[#This Row],[Candidate 3]], "")</f>
        <v/>
      </c>
      <c r="AH940" s="17" t="str">
        <f>IF(NOT(ISBLANK(Audit[[#This Row],[Audit Candidate 4]])),Audit[[#This Row],[Audit Candidate 4]]-Audit[[#This Row],[Candidate 4]], "")</f>
        <v/>
      </c>
      <c r="AI940" s="17" t="str">
        <f>IF(NOT(ISBLANK(Audit[[#This Row],[Audit Candidate 5]])), Audit[[#This Row],[Audit Candidate 5]]-Audit[[#This Row],[Candidate 5]], "")</f>
        <v/>
      </c>
      <c r="AJ940" s="17" t="str">
        <f>IF(NOT(ISBLANK(Audit[[#This Row],[Audit Candidate 6]])), Audit[[#This Row],[Audit Candidate 6]]-Audit[[#This Row],[Candidate 6]], "")</f>
        <v/>
      </c>
      <c r="AK940" s="17" t="str">
        <f>IF(NOT(ISBLANK(Audit[[#This Row],[Audit Candidate 7]])), Audit[[#This Row],[Audit Candidate 7]]-Audit[[#This Row],[Candidate 7]], "")</f>
        <v/>
      </c>
      <c r="AL940" s="17" t="str">
        <f>IF(NOT(ISBLANK(Audit[[#This Row],[Audit Candidate 8]])), Audit[[#This Row],[Audit Candidate 8]]-Audit[[#This Row],[Candidate 8]], "")</f>
        <v/>
      </c>
      <c r="AM940" s="17" t="str">
        <f>IF(NOT(ISBLANK(Audit[[#This Row],[Audit Candidate 9]])), Audit[[#This Row],[Audit Candidate 9]]-Audit[[#This Row],[Candidate 9]], "")</f>
        <v/>
      </c>
      <c r="AN940" s="17" t="str">
        <f>IF(NOT(ISBLANK(Audit[[#This Row],[Audit Candidate 10]])), Audit[[#This Row],[Audit Candidate 10]]-Audit[[#This Row],[Candidate 10]], "")</f>
        <v/>
      </c>
      <c r="AO940" s="17" t="str">
        <f>IF(NOT(ISBLANK(Audit[[#This Row],[Audit Candidate 11]])), Audit[[#This Row],[Audit Candidate 11]]-Audit[[#This Row],[Candidate 11]], "")</f>
        <v/>
      </c>
      <c r="AP940" s="17" t="str">
        <f>IF(NOT(ISBLANK(Audit[[#This Row],[Audit Candidate 12]])), Audit[[#This Row],[Audit Candidate 12]]-Audit[[#This Row],[Candidate 12]], "")</f>
        <v/>
      </c>
      <c r="AQ940" s="17">
        <f>SUMIF(Audit[[#This Row],[Difference Winner]:[Difference Candidate 12]], "&gt;0")</f>
        <v>0</v>
      </c>
      <c r="AR940" s="17">
        <f>SUM(Audit[[#This Row],[Difference Winner]:[Difference Candidate 12]])</f>
        <v>0</v>
      </c>
      <c r="AS940" s="17">
        <f>IF(Audit[[#This Row],[Times p Drawn - With Replacement]]&gt;0, IF(Audit[[#This Row],[Canceled Differences]]&lt;0, Audit[[#This Row],[Max Differences]]+ABS(Audit[[#This Row],[Canceled Differences]]), Audit[[#This Row],[Max Differences]]), 0)</f>
        <v>0</v>
      </c>
      <c r="AT940" s="17">
        <f>'Sampling Data'!AB940</f>
        <v>2.9281955525377695E-2</v>
      </c>
      <c r="AU940" s="17">
        <f>IF(
      SUM(Audit[[#This Row],[Audit Losing Candidate]:[Audit Candidate 12]])
      &lt;&gt;0,
      (Audit[[#This Row],[Winning Candidate]]-Audit[[#This Row],[Losing Candidate]]-(Audit[[#This Row],[Audit Winning Candidate]]-Audit[[#This Row],[Audit Losing Candidate]]))/(Audit[[#Totals],[Winning Candidate]]-Audit[[#Totals],[Losing Candidate]]),
      0
)</f>
        <v>0</v>
      </c>
      <c r="AV9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0" s="17">
        <f>IF(Audit[[#This Row],[Max Relative Error (ep)]] = 0, 0, Audit[[#This Row],[Max Relative Error (ep)]]/Audit[[#This Row],[Error Bound (up) - Max. possible relative overstatement]])</f>
        <v>0</v>
      </c>
      <c r="BH9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40" s="17">
        <f t="shared" si="15"/>
        <v>1</v>
      </c>
      <c r="BJ940" s="17">
        <f>PRODUCT($BI$5:BI940)</f>
        <v>0.15397941983070551</v>
      </c>
      <c r="BK940" s="19">
        <f>1 - Audit[[#This Row],[K-M P Value]]</f>
        <v>0.84602058016929449</v>
      </c>
      <c r="BL940" s="17" t="str">
        <f>IF(Audit[[#This Row],[K-M P Value]]&gt;1-'General Info'!$B$12,"Continue", "Stop")</f>
        <v>Continue</v>
      </c>
      <c r="BM940" s="22" t="b">
        <f>IF(Audit[[#This Row],[Status - Continue or stop audit]] = "Continue", TRUE, IF(BL939 = "Continue", TRUE, FALSE))</f>
        <v>1</v>
      </c>
      <c r="BN940" s="22"/>
    </row>
    <row r="941" spans="1:66" ht="15" hidden="1" customHeight="1" x14ac:dyDescent="0.35">
      <c r="A941" s="17" t="str">
        <f>'Sampling Data'!AI941</f>
        <v/>
      </c>
      <c r="B941" s="17" t="str">
        <f>'Sampling Data'!A941</f>
        <v>5927 COLE AA   (ED)</v>
      </c>
      <c r="C941" s="17">
        <f>'Sampling Data'!B941</f>
        <v>58</v>
      </c>
      <c r="D941" s="17">
        <f>'Sampling Data'!C941</f>
        <v>362</v>
      </c>
      <c r="E941" s="18">
        <f>'Sampling Data'!D941</f>
        <v>0</v>
      </c>
      <c r="F941" s="18">
        <f>'Sampling Data'!E941</f>
        <v>0</v>
      </c>
      <c r="G941" s="18">
        <f>'Sampling Data'!F941</f>
        <v>0</v>
      </c>
      <c r="H941" s="18">
        <f>'Sampling Data'!G941</f>
        <v>0</v>
      </c>
      <c r="I941" s="18">
        <f>'Sampling Data'!H941</f>
        <v>0</v>
      </c>
      <c r="J941" s="18">
        <f>'Sampling Data'!I941</f>
        <v>0</v>
      </c>
      <c r="K941" s="18">
        <f>'Sampling Data'!J941</f>
        <v>0</v>
      </c>
      <c r="L941" s="18">
        <f>'Sampling Data'!K941</f>
        <v>0</v>
      </c>
      <c r="M941" s="18">
        <f>'Sampling Data'!L941</f>
        <v>0</v>
      </c>
      <c r="N941" s="18">
        <f>'Sampling Data'!M941</f>
        <v>0</v>
      </c>
      <c r="O941" s="17">
        <f>'Sampling Data'!N941</f>
        <v>0</v>
      </c>
      <c r="P941" s="17">
        <f>'Sampling Data'!O941</f>
        <v>37</v>
      </c>
      <c r="Q941" s="17">
        <f>'Sampling Data'!P941</f>
        <v>457</v>
      </c>
      <c r="R941" s="17">
        <f>'Sampling Data'!AJ941</f>
        <v>0</v>
      </c>
      <c r="S941" s="111"/>
      <c r="T941" s="111"/>
      <c r="U941" s="112"/>
      <c r="V941" s="112"/>
      <c r="W941" s="111"/>
      <c r="X941" s="111"/>
      <c r="Y941" s="111"/>
      <c r="Z941" s="111"/>
      <c r="AA941" s="14"/>
      <c r="AB941" s="14"/>
      <c r="AC941" s="14"/>
      <c r="AD941" s="14"/>
      <c r="AE941" s="113" t="str">
        <f>IF(NOT(ISBLANK(Audit[[#This Row],[Audit Winning Candidate]])), Audit[[#This Row],[Audit Winning Candidate]]-Audit[[#This Row],[Winning Candidate]], "")</f>
        <v/>
      </c>
      <c r="AF941" s="17" t="str">
        <f>IF(NOT(ISBLANK(Audit[[#This Row],[Audit Losing Candidate]])), Audit[[#This Row],[Audit Losing Candidate]]-Audit[[#This Row],[Losing Candidate]], "")</f>
        <v/>
      </c>
      <c r="AG941" s="17" t="str">
        <f>IF(NOT(ISBLANK(Audit[[#This Row],[Audit Candidate 3]])), Audit[[#This Row],[Audit Candidate 3]]-Audit[[#This Row],[Candidate 3]], "")</f>
        <v/>
      </c>
      <c r="AH941" s="17" t="str">
        <f>IF(NOT(ISBLANK(Audit[[#This Row],[Audit Candidate 4]])),Audit[[#This Row],[Audit Candidate 4]]-Audit[[#This Row],[Candidate 4]], "")</f>
        <v/>
      </c>
      <c r="AI941" s="17" t="str">
        <f>IF(NOT(ISBLANK(Audit[[#This Row],[Audit Candidate 5]])), Audit[[#This Row],[Audit Candidate 5]]-Audit[[#This Row],[Candidate 5]], "")</f>
        <v/>
      </c>
      <c r="AJ941" s="17" t="str">
        <f>IF(NOT(ISBLANK(Audit[[#This Row],[Audit Candidate 6]])), Audit[[#This Row],[Audit Candidate 6]]-Audit[[#This Row],[Candidate 6]], "")</f>
        <v/>
      </c>
      <c r="AK941" s="17" t="str">
        <f>IF(NOT(ISBLANK(Audit[[#This Row],[Audit Candidate 7]])), Audit[[#This Row],[Audit Candidate 7]]-Audit[[#This Row],[Candidate 7]], "")</f>
        <v/>
      </c>
      <c r="AL941" s="17" t="str">
        <f>IF(NOT(ISBLANK(Audit[[#This Row],[Audit Candidate 8]])), Audit[[#This Row],[Audit Candidate 8]]-Audit[[#This Row],[Candidate 8]], "")</f>
        <v/>
      </c>
      <c r="AM941" s="17" t="str">
        <f>IF(NOT(ISBLANK(Audit[[#This Row],[Audit Candidate 9]])), Audit[[#This Row],[Audit Candidate 9]]-Audit[[#This Row],[Candidate 9]], "")</f>
        <v/>
      </c>
      <c r="AN941" s="17" t="str">
        <f>IF(NOT(ISBLANK(Audit[[#This Row],[Audit Candidate 10]])), Audit[[#This Row],[Audit Candidate 10]]-Audit[[#This Row],[Candidate 10]], "")</f>
        <v/>
      </c>
      <c r="AO941" s="17" t="str">
        <f>IF(NOT(ISBLANK(Audit[[#This Row],[Audit Candidate 11]])), Audit[[#This Row],[Audit Candidate 11]]-Audit[[#This Row],[Candidate 11]], "")</f>
        <v/>
      </c>
      <c r="AP941" s="17" t="str">
        <f>IF(NOT(ISBLANK(Audit[[#This Row],[Audit Candidate 12]])), Audit[[#This Row],[Audit Candidate 12]]-Audit[[#This Row],[Candidate 12]], "")</f>
        <v/>
      </c>
      <c r="AQ941" s="17">
        <f>SUMIF(Audit[[#This Row],[Difference Winner]:[Difference Candidate 12]], "&gt;0")</f>
        <v>0</v>
      </c>
      <c r="AR941" s="17">
        <f>SUM(Audit[[#This Row],[Difference Winner]:[Difference Candidate 12]])</f>
        <v>0</v>
      </c>
      <c r="AS941" s="17">
        <f>IF(Audit[[#This Row],[Times p Drawn - With Replacement]]&gt;0, IF(Audit[[#This Row],[Canceled Differences]]&lt;0, Audit[[#This Row],[Max Differences]]+ABS(Audit[[#This Row],[Canceled Differences]]), Audit[[#This Row],[Max Differences]]), 0)</f>
        <v>0</v>
      </c>
      <c r="AT941" s="17">
        <f>'Sampling Data'!AB941</f>
        <v>6.4929553556272281E-3</v>
      </c>
      <c r="AU941" s="17">
        <f>IF(
      SUM(Audit[[#This Row],[Audit Losing Candidate]:[Audit Candidate 12]])
      &lt;&gt;0,
      (Audit[[#This Row],[Winning Candidate]]-Audit[[#This Row],[Losing Candidate]]-(Audit[[#This Row],[Audit Winning Candidate]]-Audit[[#This Row],[Audit Losing Candidate]]))/(Audit[[#Totals],[Winning Candidate]]-Audit[[#Totals],[Losing Candidate]]),
      0
)</f>
        <v>0</v>
      </c>
      <c r="AV9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1" s="17">
        <f>IF(Audit[[#This Row],[Max Relative Error (ep)]] = 0, 0, Audit[[#This Row],[Max Relative Error (ep)]]/Audit[[#This Row],[Error Bound (up) - Max. possible relative overstatement]])</f>
        <v>0</v>
      </c>
      <c r="BH9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41" s="17">
        <f t="shared" si="15"/>
        <v>1</v>
      </c>
      <c r="BJ941" s="17">
        <f>PRODUCT($BI$5:BI941)</f>
        <v>0.15397941983070551</v>
      </c>
      <c r="BK941" s="19">
        <f>1 - Audit[[#This Row],[K-M P Value]]</f>
        <v>0.84602058016929449</v>
      </c>
      <c r="BL941" s="17" t="str">
        <f>IF(Audit[[#This Row],[K-M P Value]]&gt;1-'General Info'!$B$12,"Continue", "Stop")</f>
        <v>Continue</v>
      </c>
      <c r="BM941" s="22" t="b">
        <f>IF(Audit[[#This Row],[Status - Continue or stop audit]] = "Continue", TRUE, IF(BL940 = "Continue", TRUE, FALSE))</f>
        <v>1</v>
      </c>
      <c r="BN941" s="22"/>
    </row>
    <row r="942" spans="1:66" ht="15" hidden="1" customHeight="1" x14ac:dyDescent="0.35">
      <c r="A942" s="17" t="str">
        <f>'Sampling Data'!AI942</f>
        <v/>
      </c>
      <c r="B942" s="17" t="str">
        <f>'Sampling Data'!A942</f>
        <v>5928 COLE BB   (ED)</v>
      </c>
      <c r="C942" s="17">
        <f>'Sampling Data'!B942</f>
        <v>116</v>
      </c>
      <c r="D942" s="17">
        <f>'Sampling Data'!C942</f>
        <v>527</v>
      </c>
      <c r="E942" s="18">
        <f>'Sampling Data'!D942</f>
        <v>0</v>
      </c>
      <c r="F942" s="18">
        <f>'Sampling Data'!E942</f>
        <v>0</v>
      </c>
      <c r="G942" s="18">
        <f>'Sampling Data'!F942</f>
        <v>0</v>
      </c>
      <c r="H942" s="18">
        <f>'Sampling Data'!G942</f>
        <v>0</v>
      </c>
      <c r="I942" s="18">
        <f>'Sampling Data'!H942</f>
        <v>0</v>
      </c>
      <c r="J942" s="18">
        <f>'Sampling Data'!I942</f>
        <v>0</v>
      </c>
      <c r="K942" s="18">
        <f>'Sampling Data'!J942</f>
        <v>0</v>
      </c>
      <c r="L942" s="18">
        <f>'Sampling Data'!K942</f>
        <v>0</v>
      </c>
      <c r="M942" s="18">
        <f>'Sampling Data'!L942</f>
        <v>0</v>
      </c>
      <c r="N942" s="18">
        <f>'Sampling Data'!M942</f>
        <v>0</v>
      </c>
      <c r="O942" s="17">
        <f>'Sampling Data'!N942</f>
        <v>0</v>
      </c>
      <c r="P942" s="17">
        <f>'Sampling Data'!O942</f>
        <v>51</v>
      </c>
      <c r="Q942" s="17">
        <f>'Sampling Data'!P942</f>
        <v>694</v>
      </c>
      <c r="R942" s="17">
        <f>'Sampling Data'!AJ942</f>
        <v>0</v>
      </c>
      <c r="S942" s="111"/>
      <c r="T942" s="111"/>
      <c r="U942" s="112"/>
      <c r="V942" s="112"/>
      <c r="W942" s="111"/>
      <c r="X942" s="111"/>
      <c r="Y942" s="111"/>
      <c r="Z942" s="111"/>
      <c r="AA942" s="14"/>
      <c r="AB942" s="14"/>
      <c r="AC942" s="14"/>
      <c r="AD942" s="14"/>
      <c r="AE942" s="113" t="str">
        <f>IF(NOT(ISBLANK(Audit[[#This Row],[Audit Winning Candidate]])), Audit[[#This Row],[Audit Winning Candidate]]-Audit[[#This Row],[Winning Candidate]], "")</f>
        <v/>
      </c>
      <c r="AF942" s="17" t="str">
        <f>IF(NOT(ISBLANK(Audit[[#This Row],[Audit Losing Candidate]])), Audit[[#This Row],[Audit Losing Candidate]]-Audit[[#This Row],[Losing Candidate]], "")</f>
        <v/>
      </c>
      <c r="AG942" s="17" t="str">
        <f>IF(NOT(ISBLANK(Audit[[#This Row],[Audit Candidate 3]])), Audit[[#This Row],[Audit Candidate 3]]-Audit[[#This Row],[Candidate 3]], "")</f>
        <v/>
      </c>
      <c r="AH942" s="17" t="str">
        <f>IF(NOT(ISBLANK(Audit[[#This Row],[Audit Candidate 4]])),Audit[[#This Row],[Audit Candidate 4]]-Audit[[#This Row],[Candidate 4]], "")</f>
        <v/>
      </c>
      <c r="AI942" s="17" t="str">
        <f>IF(NOT(ISBLANK(Audit[[#This Row],[Audit Candidate 5]])), Audit[[#This Row],[Audit Candidate 5]]-Audit[[#This Row],[Candidate 5]], "")</f>
        <v/>
      </c>
      <c r="AJ942" s="17" t="str">
        <f>IF(NOT(ISBLANK(Audit[[#This Row],[Audit Candidate 6]])), Audit[[#This Row],[Audit Candidate 6]]-Audit[[#This Row],[Candidate 6]], "")</f>
        <v/>
      </c>
      <c r="AK942" s="17" t="str">
        <f>IF(NOT(ISBLANK(Audit[[#This Row],[Audit Candidate 7]])), Audit[[#This Row],[Audit Candidate 7]]-Audit[[#This Row],[Candidate 7]], "")</f>
        <v/>
      </c>
      <c r="AL942" s="17" t="str">
        <f>IF(NOT(ISBLANK(Audit[[#This Row],[Audit Candidate 8]])), Audit[[#This Row],[Audit Candidate 8]]-Audit[[#This Row],[Candidate 8]], "")</f>
        <v/>
      </c>
      <c r="AM942" s="17" t="str">
        <f>IF(NOT(ISBLANK(Audit[[#This Row],[Audit Candidate 9]])), Audit[[#This Row],[Audit Candidate 9]]-Audit[[#This Row],[Candidate 9]], "")</f>
        <v/>
      </c>
      <c r="AN942" s="17" t="str">
        <f>IF(NOT(ISBLANK(Audit[[#This Row],[Audit Candidate 10]])), Audit[[#This Row],[Audit Candidate 10]]-Audit[[#This Row],[Candidate 10]], "")</f>
        <v/>
      </c>
      <c r="AO942" s="17" t="str">
        <f>IF(NOT(ISBLANK(Audit[[#This Row],[Audit Candidate 11]])), Audit[[#This Row],[Audit Candidate 11]]-Audit[[#This Row],[Candidate 11]], "")</f>
        <v/>
      </c>
      <c r="AP942" s="17" t="str">
        <f>IF(NOT(ISBLANK(Audit[[#This Row],[Audit Candidate 12]])), Audit[[#This Row],[Audit Candidate 12]]-Audit[[#This Row],[Candidate 12]], "")</f>
        <v/>
      </c>
      <c r="AQ942" s="17">
        <f>SUMIF(Audit[[#This Row],[Difference Winner]:[Difference Candidate 12]], "&gt;0")</f>
        <v>0</v>
      </c>
      <c r="AR942" s="17">
        <f>SUM(Audit[[#This Row],[Difference Winner]:[Difference Candidate 12]])</f>
        <v>0</v>
      </c>
      <c r="AS942" s="17">
        <f>IF(Audit[[#This Row],[Times p Drawn - With Replacement]]&gt;0, IF(Audit[[#This Row],[Canceled Differences]]&lt;0, Audit[[#This Row],[Max Differences]]+ABS(Audit[[#This Row],[Canceled Differences]]), Audit[[#This Row],[Max Differences]]), 0)</f>
        <v>0</v>
      </c>
      <c r="AT942" s="17">
        <f>'Sampling Data'!AB942</f>
        <v>1.2009845527075199E-2</v>
      </c>
      <c r="AU942" s="17">
        <f>IF(
      SUM(Audit[[#This Row],[Audit Losing Candidate]:[Audit Candidate 12]])
      &lt;&gt;0,
      (Audit[[#This Row],[Winning Candidate]]-Audit[[#This Row],[Losing Candidate]]-(Audit[[#This Row],[Audit Winning Candidate]]-Audit[[#This Row],[Audit Losing Candidate]]))/(Audit[[#Totals],[Winning Candidate]]-Audit[[#Totals],[Losing Candidate]]),
      0
)</f>
        <v>0</v>
      </c>
      <c r="AV9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2" s="17">
        <f>IF(Audit[[#This Row],[Max Relative Error (ep)]] = 0, 0, Audit[[#This Row],[Max Relative Error (ep)]]/Audit[[#This Row],[Error Bound (up) - Max. possible relative overstatement]])</f>
        <v>0</v>
      </c>
      <c r="BH9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42" s="17">
        <f t="shared" si="15"/>
        <v>1</v>
      </c>
      <c r="BJ942" s="17">
        <f>PRODUCT($BI$5:BI942)</f>
        <v>0.15397941983070551</v>
      </c>
      <c r="BK942" s="19">
        <f>1 - Audit[[#This Row],[K-M P Value]]</f>
        <v>0.84602058016929449</v>
      </c>
      <c r="BL942" s="17" t="str">
        <f>IF(Audit[[#This Row],[K-M P Value]]&gt;1-'General Info'!$B$12,"Continue", "Stop")</f>
        <v>Continue</v>
      </c>
      <c r="BM942" s="22" t="b">
        <f>IF(Audit[[#This Row],[Status - Continue or stop audit]] = "Continue", TRUE, IF(BL941 = "Continue", TRUE, FALSE))</f>
        <v>1</v>
      </c>
      <c r="BN942" s="22"/>
    </row>
    <row r="943" spans="1:66" ht="15" hidden="1" customHeight="1" x14ac:dyDescent="0.35">
      <c r="A943" s="17" t="str">
        <f>'Sampling Data'!AI943</f>
        <v/>
      </c>
      <c r="B943" s="17" t="str">
        <f>'Sampling Data'!A943</f>
        <v>5929 COLE CC   (ED)</v>
      </c>
      <c r="C943" s="17">
        <f>'Sampling Data'!B943</f>
        <v>231</v>
      </c>
      <c r="D943" s="17">
        <f>'Sampling Data'!C943</f>
        <v>187</v>
      </c>
      <c r="E943" s="18">
        <f>'Sampling Data'!D943</f>
        <v>0</v>
      </c>
      <c r="F943" s="18">
        <f>'Sampling Data'!E943</f>
        <v>0</v>
      </c>
      <c r="G943" s="18">
        <f>'Sampling Data'!F943</f>
        <v>0</v>
      </c>
      <c r="H943" s="18">
        <f>'Sampling Data'!G943</f>
        <v>0</v>
      </c>
      <c r="I943" s="18">
        <f>'Sampling Data'!H943</f>
        <v>0</v>
      </c>
      <c r="J943" s="18">
        <f>'Sampling Data'!I943</f>
        <v>0</v>
      </c>
      <c r="K943" s="18">
        <f>'Sampling Data'!J943</f>
        <v>0</v>
      </c>
      <c r="L943" s="18">
        <f>'Sampling Data'!K943</f>
        <v>0</v>
      </c>
      <c r="M943" s="18">
        <f>'Sampling Data'!L943</f>
        <v>0</v>
      </c>
      <c r="N943" s="18">
        <f>'Sampling Data'!M943</f>
        <v>0</v>
      </c>
      <c r="O943" s="17">
        <f>'Sampling Data'!N943</f>
        <v>0</v>
      </c>
      <c r="P943" s="17">
        <f>'Sampling Data'!O943</f>
        <v>37</v>
      </c>
      <c r="Q943" s="17">
        <f>'Sampling Data'!P943</f>
        <v>455</v>
      </c>
      <c r="R943" s="17">
        <f>'Sampling Data'!AJ943</f>
        <v>0</v>
      </c>
      <c r="S943" s="111"/>
      <c r="T943" s="111"/>
      <c r="U943" s="112"/>
      <c r="V943" s="112"/>
      <c r="W943" s="111"/>
      <c r="X943" s="111"/>
      <c r="Y943" s="111"/>
      <c r="Z943" s="111"/>
      <c r="AA943" s="14"/>
      <c r="AB943" s="14"/>
      <c r="AC943" s="14"/>
      <c r="AD943" s="14"/>
      <c r="AE943" s="113" t="str">
        <f>IF(NOT(ISBLANK(Audit[[#This Row],[Audit Winning Candidate]])), Audit[[#This Row],[Audit Winning Candidate]]-Audit[[#This Row],[Winning Candidate]], "")</f>
        <v/>
      </c>
      <c r="AF943" s="17" t="str">
        <f>IF(NOT(ISBLANK(Audit[[#This Row],[Audit Losing Candidate]])), Audit[[#This Row],[Audit Losing Candidate]]-Audit[[#This Row],[Losing Candidate]], "")</f>
        <v/>
      </c>
      <c r="AG943" s="17" t="str">
        <f>IF(NOT(ISBLANK(Audit[[#This Row],[Audit Candidate 3]])), Audit[[#This Row],[Audit Candidate 3]]-Audit[[#This Row],[Candidate 3]], "")</f>
        <v/>
      </c>
      <c r="AH943" s="17" t="str">
        <f>IF(NOT(ISBLANK(Audit[[#This Row],[Audit Candidate 4]])),Audit[[#This Row],[Audit Candidate 4]]-Audit[[#This Row],[Candidate 4]], "")</f>
        <v/>
      </c>
      <c r="AI943" s="17" t="str">
        <f>IF(NOT(ISBLANK(Audit[[#This Row],[Audit Candidate 5]])), Audit[[#This Row],[Audit Candidate 5]]-Audit[[#This Row],[Candidate 5]], "")</f>
        <v/>
      </c>
      <c r="AJ943" s="17" t="str">
        <f>IF(NOT(ISBLANK(Audit[[#This Row],[Audit Candidate 6]])), Audit[[#This Row],[Audit Candidate 6]]-Audit[[#This Row],[Candidate 6]], "")</f>
        <v/>
      </c>
      <c r="AK943" s="17" t="str">
        <f>IF(NOT(ISBLANK(Audit[[#This Row],[Audit Candidate 7]])), Audit[[#This Row],[Audit Candidate 7]]-Audit[[#This Row],[Candidate 7]], "")</f>
        <v/>
      </c>
      <c r="AL943" s="17" t="str">
        <f>IF(NOT(ISBLANK(Audit[[#This Row],[Audit Candidate 8]])), Audit[[#This Row],[Audit Candidate 8]]-Audit[[#This Row],[Candidate 8]], "")</f>
        <v/>
      </c>
      <c r="AM943" s="17" t="str">
        <f>IF(NOT(ISBLANK(Audit[[#This Row],[Audit Candidate 9]])), Audit[[#This Row],[Audit Candidate 9]]-Audit[[#This Row],[Candidate 9]], "")</f>
        <v/>
      </c>
      <c r="AN943" s="17" t="str">
        <f>IF(NOT(ISBLANK(Audit[[#This Row],[Audit Candidate 10]])), Audit[[#This Row],[Audit Candidate 10]]-Audit[[#This Row],[Candidate 10]], "")</f>
        <v/>
      </c>
      <c r="AO943" s="17" t="str">
        <f>IF(NOT(ISBLANK(Audit[[#This Row],[Audit Candidate 11]])), Audit[[#This Row],[Audit Candidate 11]]-Audit[[#This Row],[Candidate 11]], "")</f>
        <v/>
      </c>
      <c r="AP943" s="17" t="str">
        <f>IF(NOT(ISBLANK(Audit[[#This Row],[Audit Candidate 12]])), Audit[[#This Row],[Audit Candidate 12]]-Audit[[#This Row],[Candidate 12]], "")</f>
        <v/>
      </c>
      <c r="AQ943" s="17">
        <f>SUMIF(Audit[[#This Row],[Difference Winner]:[Difference Candidate 12]], "&gt;0")</f>
        <v>0</v>
      </c>
      <c r="AR943" s="17">
        <f>SUM(Audit[[#This Row],[Difference Winner]:[Difference Candidate 12]])</f>
        <v>0</v>
      </c>
      <c r="AS943" s="17">
        <f>IF(Audit[[#This Row],[Times p Drawn - With Replacement]]&gt;0, IF(Audit[[#This Row],[Canceled Differences]]&lt;0, Audit[[#This Row],[Max Differences]]+ABS(Audit[[#This Row],[Canceled Differences]]), Audit[[#This Row],[Max Differences]]), 0)</f>
        <v>0</v>
      </c>
      <c r="AT943" s="17">
        <f>'Sampling Data'!AB943</f>
        <v>2.1176370735019521E-2</v>
      </c>
      <c r="AU943" s="17">
        <f>IF(
      SUM(Audit[[#This Row],[Audit Losing Candidate]:[Audit Candidate 12]])
      &lt;&gt;0,
      (Audit[[#This Row],[Winning Candidate]]-Audit[[#This Row],[Losing Candidate]]-(Audit[[#This Row],[Audit Winning Candidate]]-Audit[[#This Row],[Audit Losing Candidate]]))/(Audit[[#Totals],[Winning Candidate]]-Audit[[#Totals],[Losing Candidate]]),
      0
)</f>
        <v>0</v>
      </c>
      <c r="AV9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3" s="17">
        <f>IF(Audit[[#This Row],[Max Relative Error (ep)]] = 0, 0, Audit[[#This Row],[Max Relative Error (ep)]]/Audit[[#This Row],[Error Bound (up) - Max. possible relative overstatement]])</f>
        <v>0</v>
      </c>
      <c r="BH9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43" s="17">
        <f t="shared" si="15"/>
        <v>1</v>
      </c>
      <c r="BJ943" s="17">
        <f>PRODUCT($BI$5:BI943)</f>
        <v>0.15397941983070551</v>
      </c>
      <c r="BK943" s="19">
        <f>1 - Audit[[#This Row],[K-M P Value]]</f>
        <v>0.84602058016929449</v>
      </c>
      <c r="BL943" s="17" t="str">
        <f>IF(Audit[[#This Row],[K-M P Value]]&gt;1-'General Info'!$B$12,"Continue", "Stop")</f>
        <v>Continue</v>
      </c>
      <c r="BM943" s="22" t="b">
        <f>IF(Audit[[#This Row],[Status - Continue or stop audit]] = "Continue", TRUE, IF(BL942 = "Continue", TRUE, FALSE))</f>
        <v>1</v>
      </c>
      <c r="BN943" s="22"/>
    </row>
    <row r="944" spans="1:66" ht="15" customHeight="1" x14ac:dyDescent="0.35">
      <c r="A944" s="17">
        <f>'Sampling Data'!AI944</f>
        <v>26</v>
      </c>
      <c r="B944" s="17" t="str">
        <f>'Sampling Data'!A944</f>
        <v>5930 COLE DD   (ED)</v>
      </c>
      <c r="C944" s="17">
        <f>'Sampling Data'!B944</f>
        <v>278</v>
      </c>
      <c r="D944" s="17">
        <f>'Sampling Data'!C944</f>
        <v>70</v>
      </c>
      <c r="E944" s="18">
        <f>'Sampling Data'!D944</f>
        <v>0</v>
      </c>
      <c r="F944" s="18">
        <f>'Sampling Data'!E944</f>
        <v>0</v>
      </c>
      <c r="G944" s="18">
        <f>'Sampling Data'!F944</f>
        <v>0</v>
      </c>
      <c r="H944" s="18">
        <f>'Sampling Data'!G944</f>
        <v>0</v>
      </c>
      <c r="I944" s="18">
        <f>'Sampling Data'!H944</f>
        <v>0</v>
      </c>
      <c r="J944" s="18">
        <f>'Sampling Data'!I944</f>
        <v>0</v>
      </c>
      <c r="K944" s="18">
        <f>'Sampling Data'!J944</f>
        <v>0</v>
      </c>
      <c r="L944" s="18">
        <f>'Sampling Data'!K944</f>
        <v>0</v>
      </c>
      <c r="M944" s="18">
        <f>'Sampling Data'!L944</f>
        <v>0</v>
      </c>
      <c r="N944" s="18">
        <f>'Sampling Data'!M944</f>
        <v>0</v>
      </c>
      <c r="O944" s="17">
        <f>'Sampling Data'!N944</f>
        <v>0</v>
      </c>
      <c r="P944" s="17">
        <f>'Sampling Data'!O944</f>
        <v>22</v>
      </c>
      <c r="Q944" s="17">
        <f>'Sampling Data'!P944</f>
        <v>370</v>
      </c>
      <c r="R944" s="17">
        <f>'Sampling Data'!AJ944</f>
        <v>1</v>
      </c>
      <c r="S944" s="111">
        <v>278</v>
      </c>
      <c r="T944" s="111">
        <v>70</v>
      </c>
      <c r="U944" s="112"/>
      <c r="V944" s="112"/>
      <c r="W944" s="111"/>
      <c r="X944" s="111"/>
      <c r="Y944" s="111"/>
      <c r="Z944" s="111"/>
      <c r="AA944" s="14"/>
      <c r="AB944" s="14"/>
      <c r="AC944" s="14"/>
      <c r="AD944" s="14"/>
      <c r="AE944" s="113">
        <f>IF(NOT(ISBLANK(Audit[[#This Row],[Audit Winning Candidate]])), Audit[[#This Row],[Audit Winning Candidate]]-Audit[[#This Row],[Winning Candidate]], "")</f>
        <v>0</v>
      </c>
      <c r="AF944" s="17">
        <f>IF(NOT(ISBLANK(Audit[[#This Row],[Audit Losing Candidate]])), Audit[[#This Row],[Audit Losing Candidate]]-Audit[[#This Row],[Losing Candidate]], "")</f>
        <v>0</v>
      </c>
      <c r="AG944" s="17" t="str">
        <f>IF(NOT(ISBLANK(Audit[[#This Row],[Audit Candidate 3]])), Audit[[#This Row],[Audit Candidate 3]]-Audit[[#This Row],[Candidate 3]], "")</f>
        <v/>
      </c>
      <c r="AH944" s="17" t="str">
        <f>IF(NOT(ISBLANK(Audit[[#This Row],[Audit Candidate 4]])),Audit[[#This Row],[Audit Candidate 4]]-Audit[[#This Row],[Candidate 4]], "")</f>
        <v/>
      </c>
      <c r="AI944" s="17" t="str">
        <f>IF(NOT(ISBLANK(Audit[[#This Row],[Audit Candidate 5]])), Audit[[#This Row],[Audit Candidate 5]]-Audit[[#This Row],[Candidate 5]], "")</f>
        <v/>
      </c>
      <c r="AJ944" s="17" t="str">
        <f>IF(NOT(ISBLANK(Audit[[#This Row],[Audit Candidate 6]])), Audit[[#This Row],[Audit Candidate 6]]-Audit[[#This Row],[Candidate 6]], "")</f>
        <v/>
      </c>
      <c r="AK944" s="17" t="str">
        <f>IF(NOT(ISBLANK(Audit[[#This Row],[Audit Candidate 7]])), Audit[[#This Row],[Audit Candidate 7]]-Audit[[#This Row],[Candidate 7]], "")</f>
        <v/>
      </c>
      <c r="AL944" s="17" t="str">
        <f>IF(NOT(ISBLANK(Audit[[#This Row],[Audit Candidate 8]])), Audit[[#This Row],[Audit Candidate 8]]-Audit[[#This Row],[Candidate 8]], "")</f>
        <v/>
      </c>
      <c r="AM944" s="17" t="str">
        <f>IF(NOT(ISBLANK(Audit[[#This Row],[Audit Candidate 9]])), Audit[[#This Row],[Audit Candidate 9]]-Audit[[#This Row],[Candidate 9]], "")</f>
        <v/>
      </c>
      <c r="AN944" s="17" t="str">
        <f>IF(NOT(ISBLANK(Audit[[#This Row],[Audit Candidate 10]])), Audit[[#This Row],[Audit Candidate 10]]-Audit[[#This Row],[Candidate 10]], "")</f>
        <v/>
      </c>
      <c r="AO944" s="17" t="str">
        <f>IF(NOT(ISBLANK(Audit[[#This Row],[Audit Candidate 11]])), Audit[[#This Row],[Audit Candidate 11]]-Audit[[#This Row],[Candidate 11]], "")</f>
        <v/>
      </c>
      <c r="AP944" s="17" t="str">
        <f>IF(NOT(ISBLANK(Audit[[#This Row],[Audit Candidate 12]])), Audit[[#This Row],[Audit Candidate 12]]-Audit[[#This Row],[Candidate 12]], "")</f>
        <v/>
      </c>
      <c r="AQ944" s="17">
        <f>SUMIF(Audit[[#This Row],[Difference Winner]:[Difference Candidate 12]], "&gt;0")</f>
        <v>0</v>
      </c>
      <c r="AR944" s="17">
        <f>SUM(Audit[[#This Row],[Difference Winner]:[Difference Candidate 12]])</f>
        <v>0</v>
      </c>
      <c r="AS944" s="17">
        <f>IF(Audit[[#This Row],[Times p Drawn - With Replacement]]&gt;0, IF(Audit[[#This Row],[Canceled Differences]]&lt;0, Audit[[#This Row],[Max Differences]]+ABS(Audit[[#This Row],[Canceled Differences]]), Audit[[#This Row],[Max Differences]]), 0)</f>
        <v>0</v>
      </c>
      <c r="AT944" s="17">
        <f>'Sampling Data'!AB944</f>
        <v>2.4528942454591751E-2</v>
      </c>
      <c r="AU944" s="17">
        <f>IF(
      SUM(Audit[[#This Row],[Audit Losing Candidate]:[Audit Candidate 12]])
      &lt;&gt;0,
      (Audit[[#This Row],[Winning Candidate]]-Audit[[#This Row],[Losing Candidate]]-(Audit[[#This Row],[Audit Winning Candidate]]-Audit[[#This Row],[Audit Losing Candidate]]))/(Audit[[#Totals],[Winning Candidate]]-Audit[[#Totals],[Losing Candidate]]),
      0
)</f>
        <v>0</v>
      </c>
      <c r="AV9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4" s="17">
        <f>IF(Audit[[#This Row],[Max Relative Error (ep)]] = 0, 0, Audit[[#This Row],[Max Relative Error (ep)]]/Audit[[#This Row],[Error Bound (up) - Max. possible relative overstatement]])</f>
        <v>0</v>
      </c>
      <c r="BH9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44" s="17">
        <f t="shared" si="15"/>
        <v>0.94645908314247273</v>
      </c>
      <c r="BJ944" s="17">
        <f>PRODUCT($BI$5:BI944)</f>
        <v>0.14573522051577942</v>
      </c>
      <c r="BK944" s="19">
        <f>1 - Audit[[#This Row],[K-M P Value]]</f>
        <v>0.85426477948422064</v>
      </c>
      <c r="BL944" s="17" t="str">
        <f>IF(Audit[[#This Row],[K-M P Value]]&gt;1-'General Info'!$B$12,"Continue", "Stop")</f>
        <v>Continue</v>
      </c>
      <c r="BM944" s="22" t="b">
        <f>IF(Audit[[#This Row],[Status - Continue or stop audit]] = "Continue", TRUE, IF(BL943 = "Continue", TRUE, FALSE))</f>
        <v>1</v>
      </c>
      <c r="BN944" s="22"/>
    </row>
    <row r="945" spans="1:66" ht="15" hidden="1" customHeight="1" x14ac:dyDescent="0.35">
      <c r="A945" s="17" t="str">
        <f>'Sampling Data'!AI945</f>
        <v/>
      </c>
      <c r="B945" s="17" t="str">
        <f>'Sampling Data'!A945</f>
        <v>5931 COLE EE   (ED)</v>
      </c>
      <c r="C945" s="17">
        <f>'Sampling Data'!B945</f>
        <v>215</v>
      </c>
      <c r="D945" s="17">
        <f>'Sampling Data'!C945</f>
        <v>319</v>
      </c>
      <c r="E945" s="18">
        <f>'Sampling Data'!D945</f>
        <v>0</v>
      </c>
      <c r="F945" s="18">
        <f>'Sampling Data'!E945</f>
        <v>0</v>
      </c>
      <c r="G945" s="18">
        <f>'Sampling Data'!F945</f>
        <v>0</v>
      </c>
      <c r="H945" s="18">
        <f>'Sampling Data'!G945</f>
        <v>0</v>
      </c>
      <c r="I945" s="18">
        <f>'Sampling Data'!H945</f>
        <v>0</v>
      </c>
      <c r="J945" s="18">
        <f>'Sampling Data'!I945</f>
        <v>0</v>
      </c>
      <c r="K945" s="18">
        <f>'Sampling Data'!J945</f>
        <v>0</v>
      </c>
      <c r="L945" s="18">
        <f>'Sampling Data'!K945</f>
        <v>0</v>
      </c>
      <c r="M945" s="18">
        <f>'Sampling Data'!L945</f>
        <v>0</v>
      </c>
      <c r="N945" s="18">
        <f>'Sampling Data'!M945</f>
        <v>0</v>
      </c>
      <c r="O945" s="17">
        <f>'Sampling Data'!N945</f>
        <v>0</v>
      </c>
      <c r="P945" s="17">
        <f>'Sampling Data'!O945</f>
        <v>33</v>
      </c>
      <c r="Q945" s="17">
        <f>'Sampling Data'!P945</f>
        <v>567</v>
      </c>
      <c r="R945" s="17">
        <f>'Sampling Data'!AJ945</f>
        <v>0</v>
      </c>
      <c r="S945" s="111"/>
      <c r="T945" s="111"/>
      <c r="U945" s="112"/>
      <c r="V945" s="112"/>
      <c r="W945" s="111"/>
      <c r="X945" s="111"/>
      <c r="Y945" s="111"/>
      <c r="Z945" s="111"/>
      <c r="AA945" s="14"/>
      <c r="AB945" s="14"/>
      <c r="AC945" s="14"/>
      <c r="AD945" s="14"/>
      <c r="AE945" s="113" t="str">
        <f>IF(NOT(ISBLANK(Audit[[#This Row],[Audit Winning Candidate]])), Audit[[#This Row],[Audit Winning Candidate]]-Audit[[#This Row],[Winning Candidate]], "")</f>
        <v/>
      </c>
      <c r="AF945" s="17" t="str">
        <f>IF(NOT(ISBLANK(Audit[[#This Row],[Audit Losing Candidate]])), Audit[[#This Row],[Audit Losing Candidate]]-Audit[[#This Row],[Losing Candidate]], "")</f>
        <v/>
      </c>
      <c r="AG945" s="17" t="str">
        <f>IF(NOT(ISBLANK(Audit[[#This Row],[Audit Candidate 3]])), Audit[[#This Row],[Audit Candidate 3]]-Audit[[#This Row],[Candidate 3]], "")</f>
        <v/>
      </c>
      <c r="AH945" s="17" t="str">
        <f>IF(NOT(ISBLANK(Audit[[#This Row],[Audit Candidate 4]])),Audit[[#This Row],[Audit Candidate 4]]-Audit[[#This Row],[Candidate 4]], "")</f>
        <v/>
      </c>
      <c r="AI945" s="17" t="str">
        <f>IF(NOT(ISBLANK(Audit[[#This Row],[Audit Candidate 5]])), Audit[[#This Row],[Audit Candidate 5]]-Audit[[#This Row],[Candidate 5]], "")</f>
        <v/>
      </c>
      <c r="AJ945" s="17" t="str">
        <f>IF(NOT(ISBLANK(Audit[[#This Row],[Audit Candidate 6]])), Audit[[#This Row],[Audit Candidate 6]]-Audit[[#This Row],[Candidate 6]], "")</f>
        <v/>
      </c>
      <c r="AK945" s="17" t="str">
        <f>IF(NOT(ISBLANK(Audit[[#This Row],[Audit Candidate 7]])), Audit[[#This Row],[Audit Candidate 7]]-Audit[[#This Row],[Candidate 7]], "")</f>
        <v/>
      </c>
      <c r="AL945" s="17" t="str">
        <f>IF(NOT(ISBLANK(Audit[[#This Row],[Audit Candidate 8]])), Audit[[#This Row],[Audit Candidate 8]]-Audit[[#This Row],[Candidate 8]], "")</f>
        <v/>
      </c>
      <c r="AM945" s="17" t="str">
        <f>IF(NOT(ISBLANK(Audit[[#This Row],[Audit Candidate 9]])), Audit[[#This Row],[Audit Candidate 9]]-Audit[[#This Row],[Candidate 9]], "")</f>
        <v/>
      </c>
      <c r="AN945" s="17" t="str">
        <f>IF(NOT(ISBLANK(Audit[[#This Row],[Audit Candidate 10]])), Audit[[#This Row],[Audit Candidate 10]]-Audit[[#This Row],[Candidate 10]], "")</f>
        <v/>
      </c>
      <c r="AO945" s="17" t="str">
        <f>IF(NOT(ISBLANK(Audit[[#This Row],[Audit Candidate 11]])), Audit[[#This Row],[Audit Candidate 11]]-Audit[[#This Row],[Candidate 11]], "")</f>
        <v/>
      </c>
      <c r="AP945" s="17" t="str">
        <f>IF(NOT(ISBLANK(Audit[[#This Row],[Audit Candidate 12]])), Audit[[#This Row],[Audit Candidate 12]]-Audit[[#This Row],[Candidate 12]], "")</f>
        <v/>
      </c>
      <c r="AQ945" s="17">
        <f>SUMIF(Audit[[#This Row],[Difference Winner]:[Difference Candidate 12]], "&gt;0")</f>
        <v>0</v>
      </c>
      <c r="AR945" s="17">
        <f>SUM(Audit[[#This Row],[Difference Winner]:[Difference Candidate 12]])</f>
        <v>0</v>
      </c>
      <c r="AS945" s="17">
        <f>IF(Audit[[#This Row],[Times p Drawn - With Replacement]]&gt;0, IF(Audit[[#This Row],[Canceled Differences]]&lt;0, Audit[[#This Row],[Max Differences]]+ABS(Audit[[#This Row],[Canceled Differences]]), Audit[[#This Row],[Max Differences]]), 0)</f>
        <v>0</v>
      </c>
      <c r="AT945" s="17">
        <f>'Sampling Data'!AB945</f>
        <v>1.9648616533695467E-2</v>
      </c>
      <c r="AU945" s="17">
        <f>IF(
      SUM(Audit[[#This Row],[Audit Losing Candidate]:[Audit Candidate 12]])
      &lt;&gt;0,
      (Audit[[#This Row],[Winning Candidate]]-Audit[[#This Row],[Losing Candidate]]-(Audit[[#This Row],[Audit Winning Candidate]]-Audit[[#This Row],[Audit Losing Candidate]]))/(Audit[[#Totals],[Winning Candidate]]-Audit[[#Totals],[Losing Candidate]]),
      0
)</f>
        <v>0</v>
      </c>
      <c r="AV9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5" s="17">
        <f>IF(Audit[[#This Row],[Max Relative Error (ep)]] = 0, 0, Audit[[#This Row],[Max Relative Error (ep)]]/Audit[[#This Row],[Error Bound (up) - Max. possible relative overstatement]])</f>
        <v>0</v>
      </c>
      <c r="BH9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45" s="17">
        <f t="shared" si="15"/>
        <v>1</v>
      </c>
      <c r="BJ945" s="17">
        <f>PRODUCT($BI$5:BI945)</f>
        <v>0.14573522051577942</v>
      </c>
      <c r="BK945" s="19">
        <f>1 - Audit[[#This Row],[K-M P Value]]</f>
        <v>0.85426477948422064</v>
      </c>
      <c r="BL945" s="17" t="str">
        <f>IF(Audit[[#This Row],[K-M P Value]]&gt;1-'General Info'!$B$12,"Continue", "Stop")</f>
        <v>Continue</v>
      </c>
      <c r="BM945" s="22" t="b">
        <f>IF(Audit[[#This Row],[Status - Continue or stop audit]] = "Continue", TRUE, IF(BL944 = "Continue", TRUE, FALSE))</f>
        <v>1</v>
      </c>
      <c r="BN945" s="22"/>
    </row>
    <row r="946" spans="1:66" ht="15" hidden="1" customHeight="1" x14ac:dyDescent="0.35">
      <c r="A946" s="17" t="str">
        <f>'Sampling Data'!AI946</f>
        <v/>
      </c>
      <c r="B946" s="17" t="str">
        <f>'Sampling Data'!A946</f>
        <v>5932 COLE FF   (ED)</v>
      </c>
      <c r="C946" s="17">
        <f>'Sampling Data'!B946</f>
        <v>96</v>
      </c>
      <c r="D946" s="17">
        <f>'Sampling Data'!C946</f>
        <v>100</v>
      </c>
      <c r="E946" s="18">
        <f>'Sampling Data'!D946</f>
        <v>0</v>
      </c>
      <c r="F946" s="18">
        <f>'Sampling Data'!E946</f>
        <v>0</v>
      </c>
      <c r="G946" s="18">
        <f>'Sampling Data'!F946</f>
        <v>0</v>
      </c>
      <c r="H946" s="18">
        <f>'Sampling Data'!G946</f>
        <v>0</v>
      </c>
      <c r="I946" s="18">
        <f>'Sampling Data'!H946</f>
        <v>0</v>
      </c>
      <c r="J946" s="18">
        <f>'Sampling Data'!I946</f>
        <v>0</v>
      </c>
      <c r="K946" s="18">
        <f>'Sampling Data'!J946</f>
        <v>0</v>
      </c>
      <c r="L946" s="18">
        <f>'Sampling Data'!K946</f>
        <v>0</v>
      </c>
      <c r="M946" s="18">
        <f>'Sampling Data'!L946</f>
        <v>0</v>
      </c>
      <c r="N946" s="18">
        <f>'Sampling Data'!M946</f>
        <v>0</v>
      </c>
      <c r="O946" s="17">
        <f>'Sampling Data'!N946</f>
        <v>0</v>
      </c>
      <c r="P946" s="17">
        <f>'Sampling Data'!O946</f>
        <v>20</v>
      </c>
      <c r="Q946" s="17">
        <f>'Sampling Data'!P946</f>
        <v>216</v>
      </c>
      <c r="R946" s="17">
        <f>'Sampling Data'!AJ946</f>
        <v>0</v>
      </c>
      <c r="S946" s="111"/>
      <c r="T946" s="111"/>
      <c r="U946" s="112"/>
      <c r="V946" s="112"/>
      <c r="W946" s="111"/>
      <c r="X946" s="111"/>
      <c r="Y946" s="111"/>
      <c r="Z946" s="111"/>
      <c r="AA946" s="14"/>
      <c r="AB946" s="14"/>
      <c r="AC946" s="14"/>
      <c r="AD946" s="14"/>
      <c r="AE946" s="113" t="str">
        <f>IF(NOT(ISBLANK(Audit[[#This Row],[Audit Winning Candidate]])), Audit[[#This Row],[Audit Winning Candidate]]-Audit[[#This Row],[Winning Candidate]], "")</f>
        <v/>
      </c>
      <c r="AF946" s="17" t="str">
        <f>IF(NOT(ISBLANK(Audit[[#This Row],[Audit Losing Candidate]])), Audit[[#This Row],[Audit Losing Candidate]]-Audit[[#This Row],[Losing Candidate]], "")</f>
        <v/>
      </c>
      <c r="AG946" s="17" t="str">
        <f>IF(NOT(ISBLANK(Audit[[#This Row],[Audit Candidate 3]])), Audit[[#This Row],[Audit Candidate 3]]-Audit[[#This Row],[Candidate 3]], "")</f>
        <v/>
      </c>
      <c r="AH946" s="17" t="str">
        <f>IF(NOT(ISBLANK(Audit[[#This Row],[Audit Candidate 4]])),Audit[[#This Row],[Audit Candidate 4]]-Audit[[#This Row],[Candidate 4]], "")</f>
        <v/>
      </c>
      <c r="AI946" s="17" t="str">
        <f>IF(NOT(ISBLANK(Audit[[#This Row],[Audit Candidate 5]])), Audit[[#This Row],[Audit Candidate 5]]-Audit[[#This Row],[Candidate 5]], "")</f>
        <v/>
      </c>
      <c r="AJ946" s="17" t="str">
        <f>IF(NOT(ISBLANK(Audit[[#This Row],[Audit Candidate 6]])), Audit[[#This Row],[Audit Candidate 6]]-Audit[[#This Row],[Candidate 6]], "")</f>
        <v/>
      </c>
      <c r="AK946" s="17" t="str">
        <f>IF(NOT(ISBLANK(Audit[[#This Row],[Audit Candidate 7]])), Audit[[#This Row],[Audit Candidate 7]]-Audit[[#This Row],[Candidate 7]], "")</f>
        <v/>
      </c>
      <c r="AL946" s="17" t="str">
        <f>IF(NOT(ISBLANK(Audit[[#This Row],[Audit Candidate 8]])), Audit[[#This Row],[Audit Candidate 8]]-Audit[[#This Row],[Candidate 8]], "")</f>
        <v/>
      </c>
      <c r="AM946" s="17" t="str">
        <f>IF(NOT(ISBLANK(Audit[[#This Row],[Audit Candidate 9]])), Audit[[#This Row],[Audit Candidate 9]]-Audit[[#This Row],[Candidate 9]], "")</f>
        <v/>
      </c>
      <c r="AN946" s="17" t="str">
        <f>IF(NOT(ISBLANK(Audit[[#This Row],[Audit Candidate 10]])), Audit[[#This Row],[Audit Candidate 10]]-Audit[[#This Row],[Candidate 10]], "")</f>
        <v/>
      </c>
      <c r="AO946" s="17" t="str">
        <f>IF(NOT(ISBLANK(Audit[[#This Row],[Audit Candidate 11]])), Audit[[#This Row],[Audit Candidate 11]]-Audit[[#This Row],[Candidate 11]], "")</f>
        <v/>
      </c>
      <c r="AP946" s="17" t="str">
        <f>IF(NOT(ISBLANK(Audit[[#This Row],[Audit Candidate 12]])), Audit[[#This Row],[Audit Candidate 12]]-Audit[[#This Row],[Candidate 12]], "")</f>
        <v/>
      </c>
      <c r="AQ946" s="17">
        <f>SUMIF(Audit[[#This Row],[Difference Winner]:[Difference Candidate 12]], "&gt;0")</f>
        <v>0</v>
      </c>
      <c r="AR946" s="17">
        <f>SUM(Audit[[#This Row],[Difference Winner]:[Difference Candidate 12]])</f>
        <v>0</v>
      </c>
      <c r="AS946" s="17">
        <f>IF(Audit[[#This Row],[Times p Drawn - With Replacement]]&gt;0, IF(Audit[[#This Row],[Canceled Differences]]&lt;0, Audit[[#This Row],[Max Differences]]+ABS(Audit[[#This Row],[Canceled Differences]]), Audit[[#This Row],[Max Differences]]), 0)</f>
        <v>0</v>
      </c>
      <c r="AT946" s="17">
        <f>'Sampling Data'!AB946</f>
        <v>8.9967747411305379E-3</v>
      </c>
      <c r="AU946" s="17">
        <f>IF(
      SUM(Audit[[#This Row],[Audit Losing Candidate]:[Audit Candidate 12]])
      &lt;&gt;0,
      (Audit[[#This Row],[Winning Candidate]]-Audit[[#This Row],[Losing Candidate]]-(Audit[[#This Row],[Audit Winning Candidate]]-Audit[[#This Row],[Audit Losing Candidate]]))/(Audit[[#Totals],[Winning Candidate]]-Audit[[#Totals],[Losing Candidate]]),
      0
)</f>
        <v>0</v>
      </c>
      <c r="AV9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6" s="17">
        <f>IF(Audit[[#This Row],[Max Relative Error (ep)]] = 0, 0, Audit[[#This Row],[Max Relative Error (ep)]]/Audit[[#This Row],[Error Bound (up) - Max. possible relative overstatement]])</f>
        <v>0</v>
      </c>
      <c r="BH9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46" s="17">
        <f t="shared" si="15"/>
        <v>1</v>
      </c>
      <c r="BJ946" s="17">
        <f>PRODUCT($BI$5:BI946)</f>
        <v>0.14573522051577942</v>
      </c>
      <c r="BK946" s="19">
        <f>1 - Audit[[#This Row],[K-M P Value]]</f>
        <v>0.85426477948422064</v>
      </c>
      <c r="BL946" s="17" t="str">
        <f>IF(Audit[[#This Row],[K-M P Value]]&gt;1-'General Info'!$B$12,"Continue", "Stop")</f>
        <v>Continue</v>
      </c>
      <c r="BM946" s="22" t="b">
        <f>IF(Audit[[#This Row],[Status - Continue or stop audit]] = "Continue", TRUE, IF(BL945 = "Continue", TRUE, FALSE))</f>
        <v>1</v>
      </c>
      <c r="BN946" s="22"/>
    </row>
    <row r="947" spans="1:66" ht="15" hidden="1" customHeight="1" x14ac:dyDescent="0.35">
      <c r="A947" s="17" t="str">
        <f>'Sampling Data'!AI947</f>
        <v/>
      </c>
      <c r="B947" s="17" t="str">
        <f>'Sampling Data'!A947</f>
        <v>5933 COLE GG   (ED)</v>
      </c>
      <c r="C947" s="17">
        <f>'Sampling Data'!B947</f>
        <v>247</v>
      </c>
      <c r="D947" s="17">
        <f>'Sampling Data'!C947</f>
        <v>256</v>
      </c>
      <c r="E947" s="18">
        <f>'Sampling Data'!D947</f>
        <v>0</v>
      </c>
      <c r="F947" s="18">
        <f>'Sampling Data'!E947</f>
        <v>0</v>
      </c>
      <c r="G947" s="18">
        <f>'Sampling Data'!F947</f>
        <v>0</v>
      </c>
      <c r="H947" s="18">
        <f>'Sampling Data'!G947</f>
        <v>0</v>
      </c>
      <c r="I947" s="18">
        <f>'Sampling Data'!H947</f>
        <v>0</v>
      </c>
      <c r="J947" s="18">
        <f>'Sampling Data'!I947</f>
        <v>0</v>
      </c>
      <c r="K947" s="18">
        <f>'Sampling Data'!J947</f>
        <v>0</v>
      </c>
      <c r="L947" s="18">
        <f>'Sampling Data'!K947</f>
        <v>0</v>
      </c>
      <c r="M947" s="18">
        <f>'Sampling Data'!L947</f>
        <v>0</v>
      </c>
      <c r="N947" s="18">
        <f>'Sampling Data'!M947</f>
        <v>0</v>
      </c>
      <c r="O947" s="17">
        <f>'Sampling Data'!N947</f>
        <v>0</v>
      </c>
      <c r="P947" s="17">
        <f>'Sampling Data'!O947</f>
        <v>32</v>
      </c>
      <c r="Q947" s="17">
        <f>'Sampling Data'!P947</f>
        <v>535</v>
      </c>
      <c r="R947" s="17">
        <f>'Sampling Data'!AJ947</f>
        <v>0</v>
      </c>
      <c r="S947" s="111"/>
      <c r="T947" s="111"/>
      <c r="U947" s="112"/>
      <c r="V947" s="112"/>
      <c r="W947" s="111"/>
      <c r="X947" s="111"/>
      <c r="Y947" s="111"/>
      <c r="Z947" s="111"/>
      <c r="AA947" s="14"/>
      <c r="AB947" s="14"/>
      <c r="AC947" s="14"/>
      <c r="AD947" s="14"/>
      <c r="AE947" s="113" t="str">
        <f>IF(NOT(ISBLANK(Audit[[#This Row],[Audit Winning Candidate]])), Audit[[#This Row],[Audit Winning Candidate]]-Audit[[#This Row],[Winning Candidate]], "")</f>
        <v/>
      </c>
      <c r="AF947" s="17" t="str">
        <f>IF(NOT(ISBLANK(Audit[[#This Row],[Audit Losing Candidate]])), Audit[[#This Row],[Audit Losing Candidate]]-Audit[[#This Row],[Losing Candidate]], "")</f>
        <v/>
      </c>
      <c r="AG947" s="17" t="str">
        <f>IF(NOT(ISBLANK(Audit[[#This Row],[Audit Candidate 3]])), Audit[[#This Row],[Audit Candidate 3]]-Audit[[#This Row],[Candidate 3]], "")</f>
        <v/>
      </c>
      <c r="AH947" s="17" t="str">
        <f>IF(NOT(ISBLANK(Audit[[#This Row],[Audit Candidate 4]])),Audit[[#This Row],[Audit Candidate 4]]-Audit[[#This Row],[Candidate 4]], "")</f>
        <v/>
      </c>
      <c r="AI947" s="17" t="str">
        <f>IF(NOT(ISBLANK(Audit[[#This Row],[Audit Candidate 5]])), Audit[[#This Row],[Audit Candidate 5]]-Audit[[#This Row],[Candidate 5]], "")</f>
        <v/>
      </c>
      <c r="AJ947" s="17" t="str">
        <f>IF(NOT(ISBLANK(Audit[[#This Row],[Audit Candidate 6]])), Audit[[#This Row],[Audit Candidate 6]]-Audit[[#This Row],[Candidate 6]], "")</f>
        <v/>
      </c>
      <c r="AK947" s="17" t="str">
        <f>IF(NOT(ISBLANK(Audit[[#This Row],[Audit Candidate 7]])), Audit[[#This Row],[Audit Candidate 7]]-Audit[[#This Row],[Candidate 7]], "")</f>
        <v/>
      </c>
      <c r="AL947" s="17" t="str">
        <f>IF(NOT(ISBLANK(Audit[[#This Row],[Audit Candidate 8]])), Audit[[#This Row],[Audit Candidate 8]]-Audit[[#This Row],[Candidate 8]], "")</f>
        <v/>
      </c>
      <c r="AM947" s="17" t="str">
        <f>IF(NOT(ISBLANK(Audit[[#This Row],[Audit Candidate 9]])), Audit[[#This Row],[Audit Candidate 9]]-Audit[[#This Row],[Candidate 9]], "")</f>
        <v/>
      </c>
      <c r="AN947" s="17" t="str">
        <f>IF(NOT(ISBLANK(Audit[[#This Row],[Audit Candidate 10]])), Audit[[#This Row],[Audit Candidate 10]]-Audit[[#This Row],[Candidate 10]], "")</f>
        <v/>
      </c>
      <c r="AO947" s="17" t="str">
        <f>IF(NOT(ISBLANK(Audit[[#This Row],[Audit Candidate 11]])), Audit[[#This Row],[Audit Candidate 11]]-Audit[[#This Row],[Candidate 11]], "")</f>
        <v/>
      </c>
      <c r="AP947" s="17" t="str">
        <f>IF(NOT(ISBLANK(Audit[[#This Row],[Audit Candidate 12]])), Audit[[#This Row],[Audit Candidate 12]]-Audit[[#This Row],[Candidate 12]], "")</f>
        <v/>
      </c>
      <c r="AQ947" s="17">
        <f>SUMIF(Audit[[#This Row],[Difference Winner]:[Difference Candidate 12]], "&gt;0")</f>
        <v>0</v>
      </c>
      <c r="AR947" s="17">
        <f>SUM(Audit[[#This Row],[Difference Winner]:[Difference Candidate 12]])</f>
        <v>0</v>
      </c>
      <c r="AS947" s="17">
        <f>IF(Audit[[#This Row],[Times p Drawn - With Replacement]]&gt;0, IF(Audit[[#This Row],[Canceled Differences]]&lt;0, Audit[[#This Row],[Max Differences]]+ABS(Audit[[#This Row],[Canceled Differences]]), Audit[[#This Row],[Max Differences]]), 0)</f>
        <v>0</v>
      </c>
      <c r="AT947" s="17">
        <f>'Sampling Data'!AB947</f>
        <v>2.2322186386012563E-2</v>
      </c>
      <c r="AU947" s="17">
        <f>IF(
      SUM(Audit[[#This Row],[Audit Losing Candidate]:[Audit Candidate 12]])
      &lt;&gt;0,
      (Audit[[#This Row],[Winning Candidate]]-Audit[[#This Row],[Losing Candidate]]-(Audit[[#This Row],[Audit Winning Candidate]]-Audit[[#This Row],[Audit Losing Candidate]]))/(Audit[[#Totals],[Winning Candidate]]-Audit[[#Totals],[Losing Candidate]]),
      0
)</f>
        <v>0</v>
      </c>
      <c r="AV9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7" s="17">
        <f>IF(Audit[[#This Row],[Max Relative Error (ep)]] = 0, 0, Audit[[#This Row],[Max Relative Error (ep)]]/Audit[[#This Row],[Error Bound (up) - Max. possible relative overstatement]])</f>
        <v>0</v>
      </c>
      <c r="BH9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47" s="17">
        <f t="shared" si="15"/>
        <v>1</v>
      </c>
      <c r="BJ947" s="17">
        <f>PRODUCT($BI$5:BI947)</f>
        <v>0.14573522051577942</v>
      </c>
      <c r="BK947" s="19">
        <f>1 - Audit[[#This Row],[K-M P Value]]</f>
        <v>0.85426477948422064</v>
      </c>
      <c r="BL947" s="17" t="str">
        <f>IF(Audit[[#This Row],[K-M P Value]]&gt;1-'General Info'!$B$12,"Continue", "Stop")</f>
        <v>Continue</v>
      </c>
      <c r="BM947" s="22" t="b">
        <f>IF(Audit[[#This Row],[Status - Continue or stop audit]] = "Continue", TRUE, IF(BL946 = "Continue", TRUE, FALSE))</f>
        <v>1</v>
      </c>
      <c r="BN947" s="22"/>
    </row>
    <row r="948" spans="1:66" ht="15" hidden="1" customHeight="1" x14ac:dyDescent="0.35">
      <c r="A948" s="17" t="str">
        <f>'Sampling Data'!AI948</f>
        <v/>
      </c>
      <c r="B948" s="17" t="str">
        <f>'Sampling Data'!A948</f>
        <v>5934 COLE HH   (ED)</v>
      </c>
      <c r="C948" s="17">
        <f>'Sampling Data'!B948</f>
        <v>217</v>
      </c>
      <c r="D948" s="17">
        <f>'Sampling Data'!C948</f>
        <v>173</v>
      </c>
      <c r="E948" s="18">
        <f>'Sampling Data'!D948</f>
        <v>0</v>
      </c>
      <c r="F948" s="18">
        <f>'Sampling Data'!E948</f>
        <v>0</v>
      </c>
      <c r="G948" s="18">
        <f>'Sampling Data'!F948</f>
        <v>0</v>
      </c>
      <c r="H948" s="18">
        <f>'Sampling Data'!G948</f>
        <v>0</v>
      </c>
      <c r="I948" s="18">
        <f>'Sampling Data'!H948</f>
        <v>0</v>
      </c>
      <c r="J948" s="18">
        <f>'Sampling Data'!I948</f>
        <v>0</v>
      </c>
      <c r="K948" s="18">
        <f>'Sampling Data'!J948</f>
        <v>0</v>
      </c>
      <c r="L948" s="18">
        <f>'Sampling Data'!K948</f>
        <v>0</v>
      </c>
      <c r="M948" s="18">
        <f>'Sampling Data'!L948</f>
        <v>0</v>
      </c>
      <c r="N948" s="18">
        <f>'Sampling Data'!M948</f>
        <v>0</v>
      </c>
      <c r="O948" s="17">
        <f>'Sampling Data'!N948</f>
        <v>0</v>
      </c>
      <c r="P948" s="17">
        <f>'Sampling Data'!O948</f>
        <v>30</v>
      </c>
      <c r="Q948" s="17">
        <f>'Sampling Data'!P948</f>
        <v>420</v>
      </c>
      <c r="R948" s="17">
        <f>'Sampling Data'!AJ948</f>
        <v>0</v>
      </c>
      <c r="S948" s="111"/>
      <c r="T948" s="111"/>
      <c r="U948" s="112"/>
      <c r="V948" s="112"/>
      <c r="W948" s="111"/>
      <c r="X948" s="111"/>
      <c r="Y948" s="111"/>
      <c r="Z948" s="111"/>
      <c r="AA948" s="14"/>
      <c r="AB948" s="14"/>
      <c r="AC948" s="14"/>
      <c r="AD948" s="14"/>
      <c r="AE948" s="113" t="str">
        <f>IF(NOT(ISBLANK(Audit[[#This Row],[Audit Winning Candidate]])), Audit[[#This Row],[Audit Winning Candidate]]-Audit[[#This Row],[Winning Candidate]], "")</f>
        <v/>
      </c>
      <c r="AF948" s="17" t="str">
        <f>IF(NOT(ISBLANK(Audit[[#This Row],[Audit Losing Candidate]])), Audit[[#This Row],[Audit Losing Candidate]]-Audit[[#This Row],[Losing Candidate]], "")</f>
        <v/>
      </c>
      <c r="AG948" s="17" t="str">
        <f>IF(NOT(ISBLANK(Audit[[#This Row],[Audit Candidate 3]])), Audit[[#This Row],[Audit Candidate 3]]-Audit[[#This Row],[Candidate 3]], "")</f>
        <v/>
      </c>
      <c r="AH948" s="17" t="str">
        <f>IF(NOT(ISBLANK(Audit[[#This Row],[Audit Candidate 4]])),Audit[[#This Row],[Audit Candidate 4]]-Audit[[#This Row],[Candidate 4]], "")</f>
        <v/>
      </c>
      <c r="AI948" s="17" t="str">
        <f>IF(NOT(ISBLANK(Audit[[#This Row],[Audit Candidate 5]])), Audit[[#This Row],[Audit Candidate 5]]-Audit[[#This Row],[Candidate 5]], "")</f>
        <v/>
      </c>
      <c r="AJ948" s="17" t="str">
        <f>IF(NOT(ISBLANK(Audit[[#This Row],[Audit Candidate 6]])), Audit[[#This Row],[Audit Candidate 6]]-Audit[[#This Row],[Candidate 6]], "")</f>
        <v/>
      </c>
      <c r="AK948" s="17" t="str">
        <f>IF(NOT(ISBLANK(Audit[[#This Row],[Audit Candidate 7]])), Audit[[#This Row],[Audit Candidate 7]]-Audit[[#This Row],[Candidate 7]], "")</f>
        <v/>
      </c>
      <c r="AL948" s="17" t="str">
        <f>IF(NOT(ISBLANK(Audit[[#This Row],[Audit Candidate 8]])), Audit[[#This Row],[Audit Candidate 8]]-Audit[[#This Row],[Candidate 8]], "")</f>
        <v/>
      </c>
      <c r="AM948" s="17" t="str">
        <f>IF(NOT(ISBLANK(Audit[[#This Row],[Audit Candidate 9]])), Audit[[#This Row],[Audit Candidate 9]]-Audit[[#This Row],[Candidate 9]], "")</f>
        <v/>
      </c>
      <c r="AN948" s="17" t="str">
        <f>IF(NOT(ISBLANK(Audit[[#This Row],[Audit Candidate 10]])), Audit[[#This Row],[Audit Candidate 10]]-Audit[[#This Row],[Candidate 10]], "")</f>
        <v/>
      </c>
      <c r="AO948" s="17" t="str">
        <f>IF(NOT(ISBLANK(Audit[[#This Row],[Audit Candidate 11]])), Audit[[#This Row],[Audit Candidate 11]]-Audit[[#This Row],[Candidate 11]], "")</f>
        <v/>
      </c>
      <c r="AP948" s="17" t="str">
        <f>IF(NOT(ISBLANK(Audit[[#This Row],[Audit Candidate 12]])), Audit[[#This Row],[Audit Candidate 12]]-Audit[[#This Row],[Candidate 12]], "")</f>
        <v/>
      </c>
      <c r="AQ948" s="17">
        <f>SUMIF(Audit[[#This Row],[Difference Winner]:[Difference Candidate 12]], "&gt;0")</f>
        <v>0</v>
      </c>
      <c r="AR948" s="17">
        <f>SUM(Audit[[#This Row],[Difference Winner]:[Difference Candidate 12]])</f>
        <v>0</v>
      </c>
      <c r="AS948" s="17">
        <f>IF(Audit[[#This Row],[Times p Drawn - With Replacement]]&gt;0, IF(Audit[[#This Row],[Canceled Differences]]&lt;0, Audit[[#This Row],[Max Differences]]+ABS(Audit[[#This Row],[Canceled Differences]]), Audit[[#This Row],[Max Differences]]), 0)</f>
        <v>0</v>
      </c>
      <c r="AT948" s="17">
        <f>'Sampling Data'!AB948</f>
        <v>1.9691054150398915E-2</v>
      </c>
      <c r="AU948" s="17">
        <f>IF(
      SUM(Audit[[#This Row],[Audit Losing Candidate]:[Audit Candidate 12]])
      &lt;&gt;0,
      (Audit[[#This Row],[Winning Candidate]]-Audit[[#This Row],[Losing Candidate]]-(Audit[[#This Row],[Audit Winning Candidate]]-Audit[[#This Row],[Audit Losing Candidate]]))/(Audit[[#Totals],[Winning Candidate]]-Audit[[#Totals],[Losing Candidate]]),
      0
)</f>
        <v>0</v>
      </c>
      <c r="AV9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8" s="17">
        <f>IF(Audit[[#This Row],[Max Relative Error (ep)]] = 0, 0, Audit[[#This Row],[Max Relative Error (ep)]]/Audit[[#This Row],[Error Bound (up) - Max. possible relative overstatement]])</f>
        <v>0</v>
      </c>
      <c r="BH9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48" s="17">
        <f t="shared" si="15"/>
        <v>1</v>
      </c>
      <c r="BJ948" s="17">
        <f>PRODUCT($BI$5:BI948)</f>
        <v>0.14573522051577942</v>
      </c>
      <c r="BK948" s="19">
        <f>1 - Audit[[#This Row],[K-M P Value]]</f>
        <v>0.85426477948422064</v>
      </c>
      <c r="BL948" s="17" t="str">
        <f>IF(Audit[[#This Row],[K-M P Value]]&gt;1-'General Info'!$B$12,"Continue", "Stop")</f>
        <v>Continue</v>
      </c>
      <c r="BM948" s="22" t="b">
        <f>IF(Audit[[#This Row],[Status - Continue or stop audit]] = "Continue", TRUE, IF(BL947 = "Continue", TRUE, FALSE))</f>
        <v>1</v>
      </c>
      <c r="BN948" s="22"/>
    </row>
    <row r="949" spans="1:66" ht="15" hidden="1" customHeight="1" x14ac:dyDescent="0.35">
      <c r="A949" s="17" t="str">
        <f>'Sampling Data'!AI949</f>
        <v/>
      </c>
      <c r="B949" s="17" t="str">
        <f>'Sampling Data'!A949</f>
        <v>5935 COLE II   (ED)</v>
      </c>
      <c r="C949" s="17">
        <f>'Sampling Data'!B949</f>
        <v>97</v>
      </c>
      <c r="D949" s="17">
        <f>'Sampling Data'!C949</f>
        <v>190</v>
      </c>
      <c r="E949" s="18">
        <f>'Sampling Data'!D949</f>
        <v>0</v>
      </c>
      <c r="F949" s="18">
        <f>'Sampling Data'!E949</f>
        <v>0</v>
      </c>
      <c r="G949" s="18">
        <f>'Sampling Data'!F949</f>
        <v>0</v>
      </c>
      <c r="H949" s="18">
        <f>'Sampling Data'!G949</f>
        <v>0</v>
      </c>
      <c r="I949" s="18">
        <f>'Sampling Data'!H949</f>
        <v>0</v>
      </c>
      <c r="J949" s="18">
        <f>'Sampling Data'!I949</f>
        <v>0</v>
      </c>
      <c r="K949" s="18">
        <f>'Sampling Data'!J949</f>
        <v>0</v>
      </c>
      <c r="L949" s="18">
        <f>'Sampling Data'!K949</f>
        <v>0</v>
      </c>
      <c r="M949" s="18">
        <f>'Sampling Data'!L949</f>
        <v>0</v>
      </c>
      <c r="N949" s="18">
        <f>'Sampling Data'!M949</f>
        <v>0</v>
      </c>
      <c r="O949" s="17">
        <f>'Sampling Data'!N949</f>
        <v>0</v>
      </c>
      <c r="P949" s="17">
        <f>'Sampling Data'!O949</f>
        <v>20</v>
      </c>
      <c r="Q949" s="17">
        <f>'Sampling Data'!P949</f>
        <v>307</v>
      </c>
      <c r="R949" s="17">
        <f>'Sampling Data'!AJ949</f>
        <v>0</v>
      </c>
      <c r="S949" s="111"/>
      <c r="T949" s="111"/>
      <c r="U949" s="112"/>
      <c r="V949" s="112"/>
      <c r="W949" s="111"/>
      <c r="X949" s="111"/>
      <c r="Y949" s="111"/>
      <c r="Z949" s="111"/>
      <c r="AA949" s="14"/>
      <c r="AB949" s="14"/>
      <c r="AC949" s="14"/>
      <c r="AD949" s="14"/>
      <c r="AE949" s="113" t="str">
        <f>IF(NOT(ISBLANK(Audit[[#This Row],[Audit Winning Candidate]])), Audit[[#This Row],[Audit Winning Candidate]]-Audit[[#This Row],[Winning Candidate]], "")</f>
        <v/>
      </c>
      <c r="AF949" s="17" t="str">
        <f>IF(NOT(ISBLANK(Audit[[#This Row],[Audit Losing Candidate]])), Audit[[#This Row],[Audit Losing Candidate]]-Audit[[#This Row],[Losing Candidate]], "")</f>
        <v/>
      </c>
      <c r="AG949" s="17" t="str">
        <f>IF(NOT(ISBLANK(Audit[[#This Row],[Audit Candidate 3]])), Audit[[#This Row],[Audit Candidate 3]]-Audit[[#This Row],[Candidate 3]], "")</f>
        <v/>
      </c>
      <c r="AH949" s="17" t="str">
        <f>IF(NOT(ISBLANK(Audit[[#This Row],[Audit Candidate 4]])),Audit[[#This Row],[Audit Candidate 4]]-Audit[[#This Row],[Candidate 4]], "")</f>
        <v/>
      </c>
      <c r="AI949" s="17" t="str">
        <f>IF(NOT(ISBLANK(Audit[[#This Row],[Audit Candidate 5]])), Audit[[#This Row],[Audit Candidate 5]]-Audit[[#This Row],[Candidate 5]], "")</f>
        <v/>
      </c>
      <c r="AJ949" s="17" t="str">
        <f>IF(NOT(ISBLANK(Audit[[#This Row],[Audit Candidate 6]])), Audit[[#This Row],[Audit Candidate 6]]-Audit[[#This Row],[Candidate 6]], "")</f>
        <v/>
      </c>
      <c r="AK949" s="17" t="str">
        <f>IF(NOT(ISBLANK(Audit[[#This Row],[Audit Candidate 7]])), Audit[[#This Row],[Audit Candidate 7]]-Audit[[#This Row],[Candidate 7]], "")</f>
        <v/>
      </c>
      <c r="AL949" s="17" t="str">
        <f>IF(NOT(ISBLANK(Audit[[#This Row],[Audit Candidate 8]])), Audit[[#This Row],[Audit Candidate 8]]-Audit[[#This Row],[Candidate 8]], "")</f>
        <v/>
      </c>
      <c r="AM949" s="17" t="str">
        <f>IF(NOT(ISBLANK(Audit[[#This Row],[Audit Candidate 9]])), Audit[[#This Row],[Audit Candidate 9]]-Audit[[#This Row],[Candidate 9]], "")</f>
        <v/>
      </c>
      <c r="AN949" s="17" t="str">
        <f>IF(NOT(ISBLANK(Audit[[#This Row],[Audit Candidate 10]])), Audit[[#This Row],[Audit Candidate 10]]-Audit[[#This Row],[Candidate 10]], "")</f>
        <v/>
      </c>
      <c r="AO949" s="17" t="str">
        <f>IF(NOT(ISBLANK(Audit[[#This Row],[Audit Candidate 11]])), Audit[[#This Row],[Audit Candidate 11]]-Audit[[#This Row],[Candidate 11]], "")</f>
        <v/>
      </c>
      <c r="AP949" s="17" t="str">
        <f>IF(NOT(ISBLANK(Audit[[#This Row],[Audit Candidate 12]])), Audit[[#This Row],[Audit Candidate 12]]-Audit[[#This Row],[Candidate 12]], "")</f>
        <v/>
      </c>
      <c r="AQ949" s="17">
        <f>SUMIF(Audit[[#This Row],[Difference Winner]:[Difference Candidate 12]], "&gt;0")</f>
        <v>0</v>
      </c>
      <c r="AR949" s="17">
        <f>SUM(Audit[[#This Row],[Difference Winner]:[Difference Candidate 12]])</f>
        <v>0</v>
      </c>
      <c r="AS949" s="17">
        <f>IF(Audit[[#This Row],[Times p Drawn - With Replacement]]&gt;0, IF(Audit[[#This Row],[Canceled Differences]]&lt;0, Audit[[#This Row],[Max Differences]]+ABS(Audit[[#This Row],[Canceled Differences]]), Audit[[#This Row],[Max Differences]]), 0)</f>
        <v>0</v>
      </c>
      <c r="AT949" s="17">
        <f>'Sampling Data'!AB949</f>
        <v>9.0816499745374306E-3</v>
      </c>
      <c r="AU949" s="17">
        <f>IF(
      SUM(Audit[[#This Row],[Audit Losing Candidate]:[Audit Candidate 12]])
      &lt;&gt;0,
      (Audit[[#This Row],[Winning Candidate]]-Audit[[#This Row],[Losing Candidate]]-(Audit[[#This Row],[Audit Winning Candidate]]-Audit[[#This Row],[Audit Losing Candidate]]))/(Audit[[#Totals],[Winning Candidate]]-Audit[[#Totals],[Losing Candidate]]),
      0
)</f>
        <v>0</v>
      </c>
      <c r="AV9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9" s="17">
        <f>IF(Audit[[#This Row],[Max Relative Error (ep)]] = 0, 0, Audit[[#This Row],[Max Relative Error (ep)]]/Audit[[#This Row],[Error Bound (up) - Max. possible relative overstatement]])</f>
        <v>0</v>
      </c>
      <c r="BH9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49" s="17">
        <f t="shared" si="15"/>
        <v>1</v>
      </c>
      <c r="BJ949" s="17">
        <f>PRODUCT($BI$5:BI949)</f>
        <v>0.14573522051577942</v>
      </c>
      <c r="BK949" s="19">
        <f>1 - Audit[[#This Row],[K-M P Value]]</f>
        <v>0.85426477948422064</v>
      </c>
      <c r="BL949" s="17" t="str">
        <f>IF(Audit[[#This Row],[K-M P Value]]&gt;1-'General Info'!$B$12,"Continue", "Stop")</f>
        <v>Continue</v>
      </c>
      <c r="BM949" s="22" t="b">
        <f>IF(Audit[[#This Row],[Status - Continue or stop audit]] = "Continue", TRUE, IF(BL948 = "Continue", TRUE, FALSE))</f>
        <v>1</v>
      </c>
      <c r="BN949" s="22"/>
    </row>
    <row r="950" spans="1:66" ht="15" hidden="1" customHeight="1" x14ac:dyDescent="0.35">
      <c r="A950" s="17" t="str">
        <f>'Sampling Data'!AI950</f>
        <v/>
      </c>
      <c r="B950" s="17" t="str">
        <f>'Sampling Data'!A950</f>
        <v>5936 COLE JJ   (ED)</v>
      </c>
      <c r="C950" s="17">
        <f>'Sampling Data'!B950</f>
        <v>274</v>
      </c>
      <c r="D950" s="17">
        <f>'Sampling Data'!C950</f>
        <v>348</v>
      </c>
      <c r="E950" s="18">
        <f>'Sampling Data'!D950</f>
        <v>0</v>
      </c>
      <c r="F950" s="18">
        <f>'Sampling Data'!E950</f>
        <v>0</v>
      </c>
      <c r="G950" s="18">
        <f>'Sampling Data'!F950</f>
        <v>0</v>
      </c>
      <c r="H950" s="18">
        <f>'Sampling Data'!G950</f>
        <v>0</v>
      </c>
      <c r="I950" s="18">
        <f>'Sampling Data'!H950</f>
        <v>0</v>
      </c>
      <c r="J950" s="18">
        <f>'Sampling Data'!I950</f>
        <v>0</v>
      </c>
      <c r="K950" s="18">
        <f>'Sampling Data'!J950</f>
        <v>0</v>
      </c>
      <c r="L950" s="18">
        <f>'Sampling Data'!K950</f>
        <v>0</v>
      </c>
      <c r="M950" s="18">
        <f>'Sampling Data'!L950</f>
        <v>0</v>
      </c>
      <c r="N950" s="18">
        <f>'Sampling Data'!M950</f>
        <v>0</v>
      </c>
      <c r="O950" s="17">
        <f>'Sampling Data'!N950</f>
        <v>0</v>
      </c>
      <c r="P950" s="17">
        <f>'Sampling Data'!O950</f>
        <v>45</v>
      </c>
      <c r="Q950" s="17">
        <f>'Sampling Data'!P950</f>
        <v>667</v>
      </c>
      <c r="R950" s="17">
        <f>'Sampling Data'!AJ950</f>
        <v>0</v>
      </c>
      <c r="S950" s="111"/>
      <c r="T950" s="111"/>
      <c r="U950" s="112"/>
      <c r="V950" s="112"/>
      <c r="W950" s="111"/>
      <c r="X950" s="111"/>
      <c r="Y950" s="111"/>
      <c r="Z950" s="111"/>
      <c r="AA950" s="14"/>
      <c r="AB950" s="14"/>
      <c r="AC950" s="14"/>
      <c r="AD950" s="14"/>
      <c r="AE950" s="113" t="str">
        <f>IF(NOT(ISBLANK(Audit[[#This Row],[Audit Winning Candidate]])), Audit[[#This Row],[Audit Winning Candidate]]-Audit[[#This Row],[Winning Candidate]], "")</f>
        <v/>
      </c>
      <c r="AF950" s="17" t="str">
        <f>IF(NOT(ISBLANK(Audit[[#This Row],[Audit Losing Candidate]])), Audit[[#This Row],[Audit Losing Candidate]]-Audit[[#This Row],[Losing Candidate]], "")</f>
        <v/>
      </c>
      <c r="AG950" s="17" t="str">
        <f>IF(NOT(ISBLANK(Audit[[#This Row],[Audit Candidate 3]])), Audit[[#This Row],[Audit Candidate 3]]-Audit[[#This Row],[Candidate 3]], "")</f>
        <v/>
      </c>
      <c r="AH950" s="17" t="str">
        <f>IF(NOT(ISBLANK(Audit[[#This Row],[Audit Candidate 4]])),Audit[[#This Row],[Audit Candidate 4]]-Audit[[#This Row],[Candidate 4]], "")</f>
        <v/>
      </c>
      <c r="AI950" s="17" t="str">
        <f>IF(NOT(ISBLANK(Audit[[#This Row],[Audit Candidate 5]])), Audit[[#This Row],[Audit Candidate 5]]-Audit[[#This Row],[Candidate 5]], "")</f>
        <v/>
      </c>
      <c r="AJ950" s="17" t="str">
        <f>IF(NOT(ISBLANK(Audit[[#This Row],[Audit Candidate 6]])), Audit[[#This Row],[Audit Candidate 6]]-Audit[[#This Row],[Candidate 6]], "")</f>
        <v/>
      </c>
      <c r="AK950" s="17" t="str">
        <f>IF(NOT(ISBLANK(Audit[[#This Row],[Audit Candidate 7]])), Audit[[#This Row],[Audit Candidate 7]]-Audit[[#This Row],[Candidate 7]], "")</f>
        <v/>
      </c>
      <c r="AL950" s="17" t="str">
        <f>IF(NOT(ISBLANK(Audit[[#This Row],[Audit Candidate 8]])), Audit[[#This Row],[Audit Candidate 8]]-Audit[[#This Row],[Candidate 8]], "")</f>
        <v/>
      </c>
      <c r="AM950" s="17" t="str">
        <f>IF(NOT(ISBLANK(Audit[[#This Row],[Audit Candidate 9]])), Audit[[#This Row],[Audit Candidate 9]]-Audit[[#This Row],[Candidate 9]], "")</f>
        <v/>
      </c>
      <c r="AN950" s="17" t="str">
        <f>IF(NOT(ISBLANK(Audit[[#This Row],[Audit Candidate 10]])), Audit[[#This Row],[Audit Candidate 10]]-Audit[[#This Row],[Candidate 10]], "")</f>
        <v/>
      </c>
      <c r="AO950" s="17" t="str">
        <f>IF(NOT(ISBLANK(Audit[[#This Row],[Audit Candidate 11]])), Audit[[#This Row],[Audit Candidate 11]]-Audit[[#This Row],[Candidate 11]], "")</f>
        <v/>
      </c>
      <c r="AP950" s="17" t="str">
        <f>IF(NOT(ISBLANK(Audit[[#This Row],[Audit Candidate 12]])), Audit[[#This Row],[Audit Candidate 12]]-Audit[[#This Row],[Candidate 12]], "")</f>
        <v/>
      </c>
      <c r="AQ950" s="17">
        <f>SUMIF(Audit[[#This Row],[Difference Winner]:[Difference Candidate 12]], "&gt;0")</f>
        <v>0</v>
      </c>
      <c r="AR950" s="17">
        <f>SUM(Audit[[#This Row],[Difference Winner]:[Difference Candidate 12]])</f>
        <v>0</v>
      </c>
      <c r="AS950" s="17">
        <f>IF(Audit[[#This Row],[Times p Drawn - With Replacement]]&gt;0, IF(Audit[[#This Row],[Canceled Differences]]&lt;0, Audit[[#This Row],[Max Differences]]+ABS(Audit[[#This Row],[Canceled Differences]]), Audit[[#This Row],[Max Differences]]), 0)</f>
        <v>0</v>
      </c>
      <c r="AT950" s="17">
        <f>'Sampling Data'!AB950</f>
        <v>2.5165506705143441E-2</v>
      </c>
      <c r="AU950" s="17">
        <f>IF(
      SUM(Audit[[#This Row],[Audit Losing Candidate]:[Audit Candidate 12]])
      &lt;&gt;0,
      (Audit[[#This Row],[Winning Candidate]]-Audit[[#This Row],[Losing Candidate]]-(Audit[[#This Row],[Audit Winning Candidate]]-Audit[[#This Row],[Audit Losing Candidate]]))/(Audit[[#Totals],[Winning Candidate]]-Audit[[#Totals],[Losing Candidate]]),
      0
)</f>
        <v>0</v>
      </c>
      <c r="AV9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0" s="17">
        <f>IF(Audit[[#This Row],[Max Relative Error (ep)]] = 0, 0, Audit[[#This Row],[Max Relative Error (ep)]]/Audit[[#This Row],[Error Bound (up) - Max. possible relative overstatement]])</f>
        <v>0</v>
      </c>
      <c r="BH9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50" s="17">
        <f t="shared" si="15"/>
        <v>1</v>
      </c>
      <c r="BJ950" s="17">
        <f>PRODUCT($BI$5:BI950)</f>
        <v>0.14573522051577942</v>
      </c>
      <c r="BK950" s="19">
        <f>1 - Audit[[#This Row],[K-M P Value]]</f>
        <v>0.85426477948422064</v>
      </c>
      <c r="BL950" s="17" t="str">
        <f>IF(Audit[[#This Row],[K-M P Value]]&gt;1-'General Info'!$B$12,"Continue", "Stop")</f>
        <v>Continue</v>
      </c>
      <c r="BM950" s="22" t="b">
        <f>IF(Audit[[#This Row],[Status - Continue or stop audit]] = "Continue", TRUE, IF(BL949 = "Continue", TRUE, FALSE))</f>
        <v>1</v>
      </c>
      <c r="BN950" s="22"/>
    </row>
    <row r="951" spans="1:66" ht="15" hidden="1" customHeight="1" x14ac:dyDescent="0.35">
      <c r="A951" s="17" t="str">
        <f>'Sampling Data'!AI951</f>
        <v/>
      </c>
      <c r="B951" s="17" t="str">
        <f>'Sampling Data'!A951</f>
        <v>5937 COLE KK   (ED)</v>
      </c>
      <c r="C951" s="17">
        <f>'Sampling Data'!B951</f>
        <v>333</v>
      </c>
      <c r="D951" s="17">
        <f>'Sampling Data'!C951</f>
        <v>161</v>
      </c>
      <c r="E951" s="18">
        <f>'Sampling Data'!D951</f>
        <v>0</v>
      </c>
      <c r="F951" s="18">
        <f>'Sampling Data'!E951</f>
        <v>0</v>
      </c>
      <c r="G951" s="18">
        <f>'Sampling Data'!F951</f>
        <v>0</v>
      </c>
      <c r="H951" s="18">
        <f>'Sampling Data'!G951</f>
        <v>0</v>
      </c>
      <c r="I951" s="18">
        <f>'Sampling Data'!H951</f>
        <v>0</v>
      </c>
      <c r="J951" s="18">
        <f>'Sampling Data'!I951</f>
        <v>0</v>
      </c>
      <c r="K951" s="18">
        <f>'Sampling Data'!J951</f>
        <v>0</v>
      </c>
      <c r="L951" s="18">
        <f>'Sampling Data'!K951</f>
        <v>0</v>
      </c>
      <c r="M951" s="18">
        <f>'Sampling Data'!L951</f>
        <v>0</v>
      </c>
      <c r="N951" s="18">
        <f>'Sampling Data'!M951</f>
        <v>0</v>
      </c>
      <c r="O951" s="17">
        <f>'Sampling Data'!N951</f>
        <v>0</v>
      </c>
      <c r="P951" s="17">
        <f>'Sampling Data'!O951</f>
        <v>39</v>
      </c>
      <c r="Q951" s="17">
        <f>'Sampling Data'!P951</f>
        <v>533</v>
      </c>
      <c r="R951" s="17">
        <f>'Sampling Data'!AJ951</f>
        <v>0</v>
      </c>
      <c r="S951" s="111"/>
      <c r="T951" s="111"/>
      <c r="U951" s="112"/>
      <c r="V951" s="112"/>
      <c r="W951" s="111"/>
      <c r="X951" s="111"/>
      <c r="Y951" s="111"/>
      <c r="Z951" s="111"/>
      <c r="AA951" s="14"/>
      <c r="AB951" s="14"/>
      <c r="AC951" s="14"/>
      <c r="AD951" s="14"/>
      <c r="AE951" s="113" t="str">
        <f>IF(NOT(ISBLANK(Audit[[#This Row],[Audit Winning Candidate]])), Audit[[#This Row],[Audit Winning Candidate]]-Audit[[#This Row],[Winning Candidate]], "")</f>
        <v/>
      </c>
      <c r="AF951" s="17" t="str">
        <f>IF(NOT(ISBLANK(Audit[[#This Row],[Audit Losing Candidate]])), Audit[[#This Row],[Audit Losing Candidate]]-Audit[[#This Row],[Losing Candidate]], "")</f>
        <v/>
      </c>
      <c r="AG951" s="17" t="str">
        <f>IF(NOT(ISBLANK(Audit[[#This Row],[Audit Candidate 3]])), Audit[[#This Row],[Audit Candidate 3]]-Audit[[#This Row],[Candidate 3]], "")</f>
        <v/>
      </c>
      <c r="AH951" s="17" t="str">
        <f>IF(NOT(ISBLANK(Audit[[#This Row],[Audit Candidate 4]])),Audit[[#This Row],[Audit Candidate 4]]-Audit[[#This Row],[Candidate 4]], "")</f>
        <v/>
      </c>
      <c r="AI951" s="17" t="str">
        <f>IF(NOT(ISBLANK(Audit[[#This Row],[Audit Candidate 5]])), Audit[[#This Row],[Audit Candidate 5]]-Audit[[#This Row],[Candidate 5]], "")</f>
        <v/>
      </c>
      <c r="AJ951" s="17" t="str">
        <f>IF(NOT(ISBLANK(Audit[[#This Row],[Audit Candidate 6]])), Audit[[#This Row],[Audit Candidate 6]]-Audit[[#This Row],[Candidate 6]], "")</f>
        <v/>
      </c>
      <c r="AK951" s="17" t="str">
        <f>IF(NOT(ISBLANK(Audit[[#This Row],[Audit Candidate 7]])), Audit[[#This Row],[Audit Candidate 7]]-Audit[[#This Row],[Candidate 7]], "")</f>
        <v/>
      </c>
      <c r="AL951" s="17" t="str">
        <f>IF(NOT(ISBLANK(Audit[[#This Row],[Audit Candidate 8]])), Audit[[#This Row],[Audit Candidate 8]]-Audit[[#This Row],[Candidate 8]], "")</f>
        <v/>
      </c>
      <c r="AM951" s="17" t="str">
        <f>IF(NOT(ISBLANK(Audit[[#This Row],[Audit Candidate 9]])), Audit[[#This Row],[Audit Candidate 9]]-Audit[[#This Row],[Candidate 9]], "")</f>
        <v/>
      </c>
      <c r="AN951" s="17" t="str">
        <f>IF(NOT(ISBLANK(Audit[[#This Row],[Audit Candidate 10]])), Audit[[#This Row],[Audit Candidate 10]]-Audit[[#This Row],[Candidate 10]], "")</f>
        <v/>
      </c>
      <c r="AO951" s="17" t="str">
        <f>IF(NOT(ISBLANK(Audit[[#This Row],[Audit Candidate 11]])), Audit[[#This Row],[Audit Candidate 11]]-Audit[[#This Row],[Candidate 11]], "")</f>
        <v/>
      </c>
      <c r="AP951" s="17" t="str">
        <f>IF(NOT(ISBLANK(Audit[[#This Row],[Audit Candidate 12]])), Audit[[#This Row],[Audit Candidate 12]]-Audit[[#This Row],[Candidate 12]], "")</f>
        <v/>
      </c>
      <c r="AQ951" s="17">
        <f>SUMIF(Audit[[#This Row],[Difference Winner]:[Difference Candidate 12]], "&gt;0")</f>
        <v>0</v>
      </c>
      <c r="AR951" s="17">
        <f>SUM(Audit[[#This Row],[Difference Winner]:[Difference Candidate 12]])</f>
        <v>0</v>
      </c>
      <c r="AS951" s="17">
        <f>IF(Audit[[#This Row],[Times p Drawn - With Replacement]]&gt;0, IF(Audit[[#This Row],[Canceled Differences]]&lt;0, Audit[[#This Row],[Max Differences]]+ABS(Audit[[#This Row],[Canceled Differences]]), Audit[[#This Row],[Max Differences]]), 0)</f>
        <v>0</v>
      </c>
      <c r="AT951" s="17">
        <f>'Sampling Data'!AB951</f>
        <v>2.9918519775929384E-2</v>
      </c>
      <c r="AU951" s="17">
        <f>IF(
      SUM(Audit[[#This Row],[Audit Losing Candidate]:[Audit Candidate 12]])
      &lt;&gt;0,
      (Audit[[#This Row],[Winning Candidate]]-Audit[[#This Row],[Losing Candidate]]-(Audit[[#This Row],[Audit Winning Candidate]]-Audit[[#This Row],[Audit Losing Candidate]]))/(Audit[[#Totals],[Winning Candidate]]-Audit[[#Totals],[Losing Candidate]]),
      0
)</f>
        <v>0</v>
      </c>
      <c r="AV9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1" s="17">
        <f>IF(Audit[[#This Row],[Max Relative Error (ep)]] = 0, 0, Audit[[#This Row],[Max Relative Error (ep)]]/Audit[[#This Row],[Error Bound (up) - Max. possible relative overstatement]])</f>
        <v>0</v>
      </c>
      <c r="BH9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51" s="17">
        <f t="shared" si="15"/>
        <v>1</v>
      </c>
      <c r="BJ951" s="17">
        <f>PRODUCT($BI$5:BI951)</f>
        <v>0.14573522051577942</v>
      </c>
      <c r="BK951" s="19">
        <f>1 - Audit[[#This Row],[K-M P Value]]</f>
        <v>0.85426477948422064</v>
      </c>
      <c r="BL951" s="17" t="str">
        <f>IF(Audit[[#This Row],[K-M P Value]]&gt;1-'General Info'!$B$12,"Continue", "Stop")</f>
        <v>Continue</v>
      </c>
      <c r="BM951" s="22" t="b">
        <f>IF(Audit[[#This Row],[Status - Continue or stop audit]] = "Continue", TRUE, IF(BL950 = "Continue", TRUE, FALSE))</f>
        <v>1</v>
      </c>
      <c r="BN951" s="22"/>
    </row>
    <row r="952" spans="1:66" ht="15" hidden="1" customHeight="1" x14ac:dyDescent="0.35">
      <c r="A952" s="17" t="str">
        <f>'Sampling Data'!AI952</f>
        <v/>
      </c>
      <c r="B952" s="17" t="str">
        <f>'Sampling Data'!A952</f>
        <v>5938 COLE LL   (ED)</v>
      </c>
      <c r="C952" s="17">
        <f>'Sampling Data'!B952</f>
        <v>199</v>
      </c>
      <c r="D952" s="17">
        <f>'Sampling Data'!C952</f>
        <v>143</v>
      </c>
      <c r="E952" s="18">
        <f>'Sampling Data'!D952</f>
        <v>0</v>
      </c>
      <c r="F952" s="18">
        <f>'Sampling Data'!E952</f>
        <v>0</v>
      </c>
      <c r="G952" s="18">
        <f>'Sampling Data'!F952</f>
        <v>0</v>
      </c>
      <c r="H952" s="18">
        <f>'Sampling Data'!G952</f>
        <v>0</v>
      </c>
      <c r="I952" s="18">
        <f>'Sampling Data'!H952</f>
        <v>0</v>
      </c>
      <c r="J952" s="18">
        <f>'Sampling Data'!I952</f>
        <v>0</v>
      </c>
      <c r="K952" s="18">
        <f>'Sampling Data'!J952</f>
        <v>0</v>
      </c>
      <c r="L952" s="18">
        <f>'Sampling Data'!K952</f>
        <v>0</v>
      </c>
      <c r="M952" s="18">
        <f>'Sampling Data'!L952</f>
        <v>0</v>
      </c>
      <c r="N952" s="18">
        <f>'Sampling Data'!M952</f>
        <v>0</v>
      </c>
      <c r="O952" s="17">
        <f>'Sampling Data'!N952</f>
        <v>0</v>
      </c>
      <c r="P952" s="17">
        <f>'Sampling Data'!O952</f>
        <v>31</v>
      </c>
      <c r="Q952" s="17">
        <f>'Sampling Data'!P952</f>
        <v>373</v>
      </c>
      <c r="R952" s="17">
        <f>'Sampling Data'!AJ952</f>
        <v>0</v>
      </c>
      <c r="S952" s="111"/>
      <c r="T952" s="111"/>
      <c r="U952" s="112"/>
      <c r="V952" s="112"/>
      <c r="W952" s="111"/>
      <c r="X952" s="111"/>
      <c r="Y952" s="111"/>
      <c r="Z952" s="111"/>
      <c r="AA952" s="14"/>
      <c r="AB952" s="14"/>
      <c r="AC952" s="14"/>
      <c r="AD952" s="14"/>
      <c r="AE952" s="113" t="str">
        <f>IF(NOT(ISBLANK(Audit[[#This Row],[Audit Winning Candidate]])), Audit[[#This Row],[Audit Winning Candidate]]-Audit[[#This Row],[Winning Candidate]], "")</f>
        <v/>
      </c>
      <c r="AF952" s="17" t="str">
        <f>IF(NOT(ISBLANK(Audit[[#This Row],[Audit Losing Candidate]])), Audit[[#This Row],[Audit Losing Candidate]]-Audit[[#This Row],[Losing Candidate]], "")</f>
        <v/>
      </c>
      <c r="AG952" s="17" t="str">
        <f>IF(NOT(ISBLANK(Audit[[#This Row],[Audit Candidate 3]])), Audit[[#This Row],[Audit Candidate 3]]-Audit[[#This Row],[Candidate 3]], "")</f>
        <v/>
      </c>
      <c r="AH952" s="17" t="str">
        <f>IF(NOT(ISBLANK(Audit[[#This Row],[Audit Candidate 4]])),Audit[[#This Row],[Audit Candidate 4]]-Audit[[#This Row],[Candidate 4]], "")</f>
        <v/>
      </c>
      <c r="AI952" s="17" t="str">
        <f>IF(NOT(ISBLANK(Audit[[#This Row],[Audit Candidate 5]])), Audit[[#This Row],[Audit Candidate 5]]-Audit[[#This Row],[Candidate 5]], "")</f>
        <v/>
      </c>
      <c r="AJ952" s="17" t="str">
        <f>IF(NOT(ISBLANK(Audit[[#This Row],[Audit Candidate 6]])), Audit[[#This Row],[Audit Candidate 6]]-Audit[[#This Row],[Candidate 6]], "")</f>
        <v/>
      </c>
      <c r="AK952" s="17" t="str">
        <f>IF(NOT(ISBLANK(Audit[[#This Row],[Audit Candidate 7]])), Audit[[#This Row],[Audit Candidate 7]]-Audit[[#This Row],[Candidate 7]], "")</f>
        <v/>
      </c>
      <c r="AL952" s="17" t="str">
        <f>IF(NOT(ISBLANK(Audit[[#This Row],[Audit Candidate 8]])), Audit[[#This Row],[Audit Candidate 8]]-Audit[[#This Row],[Candidate 8]], "")</f>
        <v/>
      </c>
      <c r="AM952" s="17" t="str">
        <f>IF(NOT(ISBLANK(Audit[[#This Row],[Audit Candidate 9]])), Audit[[#This Row],[Audit Candidate 9]]-Audit[[#This Row],[Candidate 9]], "")</f>
        <v/>
      </c>
      <c r="AN952" s="17" t="str">
        <f>IF(NOT(ISBLANK(Audit[[#This Row],[Audit Candidate 10]])), Audit[[#This Row],[Audit Candidate 10]]-Audit[[#This Row],[Candidate 10]], "")</f>
        <v/>
      </c>
      <c r="AO952" s="17" t="str">
        <f>IF(NOT(ISBLANK(Audit[[#This Row],[Audit Candidate 11]])), Audit[[#This Row],[Audit Candidate 11]]-Audit[[#This Row],[Candidate 11]], "")</f>
        <v/>
      </c>
      <c r="AP952" s="17" t="str">
        <f>IF(NOT(ISBLANK(Audit[[#This Row],[Audit Candidate 12]])), Audit[[#This Row],[Audit Candidate 12]]-Audit[[#This Row],[Candidate 12]], "")</f>
        <v/>
      </c>
      <c r="AQ952" s="17">
        <f>SUMIF(Audit[[#This Row],[Difference Winner]:[Difference Candidate 12]], "&gt;0")</f>
        <v>0</v>
      </c>
      <c r="AR952" s="17">
        <f>SUM(Audit[[#This Row],[Difference Winner]:[Difference Candidate 12]])</f>
        <v>0</v>
      </c>
      <c r="AS952" s="17">
        <f>IF(Audit[[#This Row],[Times p Drawn - With Replacement]]&gt;0, IF(Audit[[#This Row],[Canceled Differences]]&lt;0, Audit[[#This Row],[Max Differences]]+ABS(Audit[[#This Row],[Canceled Differences]]), Audit[[#This Row],[Max Differences]]), 0)</f>
        <v>0</v>
      </c>
      <c r="AT952" s="17">
        <f>'Sampling Data'!AB952</f>
        <v>1.8205737565778306E-2</v>
      </c>
      <c r="AU952" s="17">
        <f>IF(
      SUM(Audit[[#This Row],[Audit Losing Candidate]:[Audit Candidate 12]])
      &lt;&gt;0,
      (Audit[[#This Row],[Winning Candidate]]-Audit[[#This Row],[Losing Candidate]]-(Audit[[#This Row],[Audit Winning Candidate]]-Audit[[#This Row],[Audit Losing Candidate]]))/(Audit[[#Totals],[Winning Candidate]]-Audit[[#Totals],[Losing Candidate]]),
      0
)</f>
        <v>0</v>
      </c>
      <c r="AV9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2" s="17">
        <f>IF(Audit[[#This Row],[Max Relative Error (ep)]] = 0, 0, Audit[[#This Row],[Max Relative Error (ep)]]/Audit[[#This Row],[Error Bound (up) - Max. possible relative overstatement]])</f>
        <v>0</v>
      </c>
      <c r="BH9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52" s="17">
        <f t="shared" si="15"/>
        <v>1</v>
      </c>
      <c r="BJ952" s="17">
        <f>PRODUCT($BI$5:BI952)</f>
        <v>0.14573522051577942</v>
      </c>
      <c r="BK952" s="19">
        <f>1 - Audit[[#This Row],[K-M P Value]]</f>
        <v>0.85426477948422064</v>
      </c>
      <c r="BL952" s="17" t="str">
        <f>IF(Audit[[#This Row],[K-M P Value]]&gt;1-'General Info'!$B$12,"Continue", "Stop")</f>
        <v>Continue</v>
      </c>
      <c r="BM952" s="22" t="b">
        <f>IF(Audit[[#This Row],[Status - Continue or stop audit]] = "Continue", TRUE, IF(BL951 = "Continue", TRUE, FALSE))</f>
        <v>1</v>
      </c>
      <c r="BN952" s="22"/>
    </row>
    <row r="953" spans="1:66" ht="15" hidden="1" customHeight="1" x14ac:dyDescent="0.35">
      <c r="A953" s="17" t="str">
        <f>'Sampling Data'!AI953</f>
        <v/>
      </c>
      <c r="B953" s="17" t="str">
        <f>'Sampling Data'!A953</f>
        <v>6201 COLUM A   (ED)</v>
      </c>
      <c r="C953" s="17">
        <f>'Sampling Data'!B953</f>
        <v>35</v>
      </c>
      <c r="D953" s="17">
        <f>'Sampling Data'!C953</f>
        <v>28</v>
      </c>
      <c r="E953" s="18">
        <f>'Sampling Data'!D953</f>
        <v>0</v>
      </c>
      <c r="F953" s="18">
        <f>'Sampling Data'!E953</f>
        <v>0</v>
      </c>
      <c r="G953" s="18">
        <f>'Sampling Data'!F953</f>
        <v>0</v>
      </c>
      <c r="H953" s="18">
        <f>'Sampling Data'!G953</f>
        <v>0</v>
      </c>
      <c r="I953" s="18">
        <f>'Sampling Data'!H953</f>
        <v>0</v>
      </c>
      <c r="J953" s="18">
        <f>'Sampling Data'!I953</f>
        <v>0</v>
      </c>
      <c r="K953" s="18">
        <f>'Sampling Data'!J953</f>
        <v>0</v>
      </c>
      <c r="L953" s="18">
        <f>'Sampling Data'!K953</f>
        <v>0</v>
      </c>
      <c r="M953" s="18">
        <f>'Sampling Data'!L953</f>
        <v>0</v>
      </c>
      <c r="N953" s="18">
        <f>'Sampling Data'!M953</f>
        <v>0</v>
      </c>
      <c r="O953" s="17">
        <f>'Sampling Data'!N953</f>
        <v>0</v>
      </c>
      <c r="P953" s="17">
        <f>'Sampling Data'!O953</f>
        <v>1</v>
      </c>
      <c r="Q953" s="17">
        <f>'Sampling Data'!P953</f>
        <v>64</v>
      </c>
      <c r="R953" s="17">
        <f>'Sampling Data'!AJ953</f>
        <v>0</v>
      </c>
      <c r="S953" s="111"/>
      <c r="T953" s="111"/>
      <c r="U953" s="112"/>
      <c r="V953" s="112"/>
      <c r="W953" s="111"/>
      <c r="X953" s="111"/>
      <c r="Y953" s="111"/>
      <c r="Z953" s="111"/>
      <c r="AA953" s="14"/>
      <c r="AB953" s="14"/>
      <c r="AC953" s="14"/>
      <c r="AD953" s="14"/>
      <c r="AE953" s="113" t="str">
        <f>IF(NOT(ISBLANK(Audit[[#This Row],[Audit Winning Candidate]])), Audit[[#This Row],[Audit Winning Candidate]]-Audit[[#This Row],[Winning Candidate]], "")</f>
        <v/>
      </c>
      <c r="AF953" s="17" t="str">
        <f>IF(NOT(ISBLANK(Audit[[#This Row],[Audit Losing Candidate]])), Audit[[#This Row],[Audit Losing Candidate]]-Audit[[#This Row],[Losing Candidate]], "")</f>
        <v/>
      </c>
      <c r="AG953" s="17" t="str">
        <f>IF(NOT(ISBLANK(Audit[[#This Row],[Audit Candidate 3]])), Audit[[#This Row],[Audit Candidate 3]]-Audit[[#This Row],[Candidate 3]], "")</f>
        <v/>
      </c>
      <c r="AH953" s="17" t="str">
        <f>IF(NOT(ISBLANK(Audit[[#This Row],[Audit Candidate 4]])),Audit[[#This Row],[Audit Candidate 4]]-Audit[[#This Row],[Candidate 4]], "")</f>
        <v/>
      </c>
      <c r="AI953" s="17" t="str">
        <f>IF(NOT(ISBLANK(Audit[[#This Row],[Audit Candidate 5]])), Audit[[#This Row],[Audit Candidate 5]]-Audit[[#This Row],[Candidate 5]], "")</f>
        <v/>
      </c>
      <c r="AJ953" s="17" t="str">
        <f>IF(NOT(ISBLANK(Audit[[#This Row],[Audit Candidate 6]])), Audit[[#This Row],[Audit Candidate 6]]-Audit[[#This Row],[Candidate 6]], "")</f>
        <v/>
      </c>
      <c r="AK953" s="17" t="str">
        <f>IF(NOT(ISBLANK(Audit[[#This Row],[Audit Candidate 7]])), Audit[[#This Row],[Audit Candidate 7]]-Audit[[#This Row],[Candidate 7]], "")</f>
        <v/>
      </c>
      <c r="AL953" s="17" t="str">
        <f>IF(NOT(ISBLANK(Audit[[#This Row],[Audit Candidate 8]])), Audit[[#This Row],[Audit Candidate 8]]-Audit[[#This Row],[Candidate 8]], "")</f>
        <v/>
      </c>
      <c r="AM953" s="17" t="str">
        <f>IF(NOT(ISBLANK(Audit[[#This Row],[Audit Candidate 9]])), Audit[[#This Row],[Audit Candidate 9]]-Audit[[#This Row],[Candidate 9]], "")</f>
        <v/>
      </c>
      <c r="AN953" s="17" t="str">
        <f>IF(NOT(ISBLANK(Audit[[#This Row],[Audit Candidate 10]])), Audit[[#This Row],[Audit Candidate 10]]-Audit[[#This Row],[Candidate 10]], "")</f>
        <v/>
      </c>
      <c r="AO953" s="17" t="str">
        <f>IF(NOT(ISBLANK(Audit[[#This Row],[Audit Candidate 11]])), Audit[[#This Row],[Audit Candidate 11]]-Audit[[#This Row],[Candidate 11]], "")</f>
        <v/>
      </c>
      <c r="AP953" s="17" t="str">
        <f>IF(NOT(ISBLANK(Audit[[#This Row],[Audit Candidate 12]])), Audit[[#This Row],[Audit Candidate 12]]-Audit[[#This Row],[Candidate 12]], "")</f>
        <v/>
      </c>
      <c r="AQ953" s="17">
        <f>SUMIF(Audit[[#This Row],[Difference Winner]:[Difference Candidate 12]], "&gt;0")</f>
        <v>0</v>
      </c>
      <c r="AR953" s="17">
        <f>SUM(Audit[[#This Row],[Difference Winner]:[Difference Candidate 12]])</f>
        <v>0</v>
      </c>
      <c r="AS953" s="17">
        <f>IF(Audit[[#This Row],[Times p Drawn - With Replacement]]&gt;0, IF(Audit[[#This Row],[Canceled Differences]]&lt;0, Audit[[#This Row],[Max Differences]]+ABS(Audit[[#This Row],[Canceled Differences]]), Audit[[#This Row],[Max Differences]]), 0)</f>
        <v>0</v>
      </c>
      <c r="AT953" s="17">
        <f>'Sampling Data'!AB953</f>
        <v>3.0130707859446614E-3</v>
      </c>
      <c r="AU953" s="17">
        <f>IF(
      SUM(Audit[[#This Row],[Audit Losing Candidate]:[Audit Candidate 12]])
      &lt;&gt;0,
      (Audit[[#This Row],[Winning Candidate]]-Audit[[#This Row],[Losing Candidate]]-(Audit[[#This Row],[Audit Winning Candidate]]-Audit[[#This Row],[Audit Losing Candidate]]))/(Audit[[#Totals],[Winning Candidate]]-Audit[[#Totals],[Losing Candidate]]),
      0
)</f>
        <v>0</v>
      </c>
      <c r="AV9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3" s="17">
        <f>IF(Audit[[#This Row],[Max Relative Error (ep)]] = 0, 0, Audit[[#This Row],[Max Relative Error (ep)]]/Audit[[#This Row],[Error Bound (up) - Max. possible relative overstatement]])</f>
        <v>0</v>
      </c>
      <c r="BH9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53" s="17">
        <f t="shared" si="15"/>
        <v>1</v>
      </c>
      <c r="BJ953" s="17">
        <f>PRODUCT($BI$5:BI953)</f>
        <v>0.14573522051577942</v>
      </c>
      <c r="BK953" s="19">
        <f>1 - Audit[[#This Row],[K-M P Value]]</f>
        <v>0.85426477948422064</v>
      </c>
      <c r="BL953" s="17" t="str">
        <f>IF(Audit[[#This Row],[K-M P Value]]&gt;1-'General Info'!$B$12,"Continue", "Stop")</f>
        <v>Continue</v>
      </c>
      <c r="BM953" s="22" t="b">
        <f>IF(Audit[[#This Row],[Status - Continue or stop audit]] = "Continue", TRUE, IF(BL952 = "Continue", TRUE, FALSE))</f>
        <v>1</v>
      </c>
      <c r="BN953" s="22"/>
    </row>
    <row r="954" spans="1:66" ht="15" hidden="1" customHeight="1" x14ac:dyDescent="0.35">
      <c r="A954" s="17" t="str">
        <f>'Sampling Data'!AI954</f>
        <v/>
      </c>
      <c r="B954" s="17" t="str">
        <f>'Sampling Data'!A954</f>
        <v>6202 COLUM B   (ED)</v>
      </c>
      <c r="C954" s="17">
        <f>'Sampling Data'!B954</f>
        <v>69</v>
      </c>
      <c r="D954" s="17">
        <f>'Sampling Data'!C954</f>
        <v>62</v>
      </c>
      <c r="E954" s="18">
        <f>'Sampling Data'!D954</f>
        <v>0</v>
      </c>
      <c r="F954" s="18">
        <f>'Sampling Data'!E954</f>
        <v>0</v>
      </c>
      <c r="G954" s="18">
        <f>'Sampling Data'!F954</f>
        <v>0</v>
      </c>
      <c r="H954" s="18">
        <f>'Sampling Data'!G954</f>
        <v>0</v>
      </c>
      <c r="I954" s="18">
        <f>'Sampling Data'!H954</f>
        <v>0</v>
      </c>
      <c r="J954" s="18">
        <f>'Sampling Data'!I954</f>
        <v>0</v>
      </c>
      <c r="K954" s="18">
        <f>'Sampling Data'!J954</f>
        <v>0</v>
      </c>
      <c r="L954" s="18">
        <f>'Sampling Data'!K954</f>
        <v>0</v>
      </c>
      <c r="M954" s="18">
        <f>'Sampling Data'!L954</f>
        <v>0</v>
      </c>
      <c r="N954" s="18">
        <f>'Sampling Data'!M954</f>
        <v>0</v>
      </c>
      <c r="O954" s="17">
        <f>'Sampling Data'!N954</f>
        <v>0</v>
      </c>
      <c r="P954" s="17">
        <f>'Sampling Data'!O954</f>
        <v>10</v>
      </c>
      <c r="Q954" s="17">
        <f>'Sampling Data'!P954</f>
        <v>141</v>
      </c>
      <c r="R954" s="17">
        <f>'Sampling Data'!AJ954</f>
        <v>0</v>
      </c>
      <c r="S954" s="111"/>
      <c r="T954" s="111"/>
      <c r="U954" s="112"/>
      <c r="V954" s="112"/>
      <c r="W954" s="111"/>
      <c r="X954" s="111"/>
      <c r="Y954" s="111"/>
      <c r="Z954" s="111"/>
      <c r="AA954" s="14"/>
      <c r="AB954" s="14"/>
      <c r="AC954" s="14"/>
      <c r="AD954" s="14"/>
      <c r="AE954" s="113" t="str">
        <f>IF(NOT(ISBLANK(Audit[[#This Row],[Audit Winning Candidate]])), Audit[[#This Row],[Audit Winning Candidate]]-Audit[[#This Row],[Winning Candidate]], "")</f>
        <v/>
      </c>
      <c r="AF954" s="17" t="str">
        <f>IF(NOT(ISBLANK(Audit[[#This Row],[Audit Losing Candidate]])), Audit[[#This Row],[Audit Losing Candidate]]-Audit[[#This Row],[Losing Candidate]], "")</f>
        <v/>
      </c>
      <c r="AG954" s="17" t="str">
        <f>IF(NOT(ISBLANK(Audit[[#This Row],[Audit Candidate 3]])), Audit[[#This Row],[Audit Candidate 3]]-Audit[[#This Row],[Candidate 3]], "")</f>
        <v/>
      </c>
      <c r="AH954" s="17" t="str">
        <f>IF(NOT(ISBLANK(Audit[[#This Row],[Audit Candidate 4]])),Audit[[#This Row],[Audit Candidate 4]]-Audit[[#This Row],[Candidate 4]], "")</f>
        <v/>
      </c>
      <c r="AI954" s="17" t="str">
        <f>IF(NOT(ISBLANK(Audit[[#This Row],[Audit Candidate 5]])), Audit[[#This Row],[Audit Candidate 5]]-Audit[[#This Row],[Candidate 5]], "")</f>
        <v/>
      </c>
      <c r="AJ954" s="17" t="str">
        <f>IF(NOT(ISBLANK(Audit[[#This Row],[Audit Candidate 6]])), Audit[[#This Row],[Audit Candidate 6]]-Audit[[#This Row],[Candidate 6]], "")</f>
        <v/>
      </c>
      <c r="AK954" s="17" t="str">
        <f>IF(NOT(ISBLANK(Audit[[#This Row],[Audit Candidate 7]])), Audit[[#This Row],[Audit Candidate 7]]-Audit[[#This Row],[Candidate 7]], "")</f>
        <v/>
      </c>
      <c r="AL954" s="17" t="str">
        <f>IF(NOT(ISBLANK(Audit[[#This Row],[Audit Candidate 8]])), Audit[[#This Row],[Audit Candidate 8]]-Audit[[#This Row],[Candidate 8]], "")</f>
        <v/>
      </c>
      <c r="AM954" s="17" t="str">
        <f>IF(NOT(ISBLANK(Audit[[#This Row],[Audit Candidate 9]])), Audit[[#This Row],[Audit Candidate 9]]-Audit[[#This Row],[Candidate 9]], "")</f>
        <v/>
      </c>
      <c r="AN954" s="17" t="str">
        <f>IF(NOT(ISBLANK(Audit[[#This Row],[Audit Candidate 10]])), Audit[[#This Row],[Audit Candidate 10]]-Audit[[#This Row],[Candidate 10]], "")</f>
        <v/>
      </c>
      <c r="AO954" s="17" t="str">
        <f>IF(NOT(ISBLANK(Audit[[#This Row],[Audit Candidate 11]])), Audit[[#This Row],[Audit Candidate 11]]-Audit[[#This Row],[Candidate 11]], "")</f>
        <v/>
      </c>
      <c r="AP954" s="17" t="str">
        <f>IF(NOT(ISBLANK(Audit[[#This Row],[Audit Candidate 12]])), Audit[[#This Row],[Audit Candidate 12]]-Audit[[#This Row],[Candidate 12]], "")</f>
        <v/>
      </c>
      <c r="AQ954" s="17">
        <f>SUMIF(Audit[[#This Row],[Difference Winner]:[Difference Candidate 12]], "&gt;0")</f>
        <v>0</v>
      </c>
      <c r="AR954" s="17">
        <f>SUM(Audit[[#This Row],[Difference Winner]:[Difference Candidate 12]])</f>
        <v>0</v>
      </c>
      <c r="AS954" s="17">
        <f>IF(Audit[[#This Row],[Times p Drawn - With Replacement]]&gt;0, IF(Audit[[#This Row],[Canceled Differences]]&lt;0, Audit[[#This Row],[Max Differences]]+ABS(Audit[[#This Row],[Canceled Differences]]), Audit[[#This Row],[Max Differences]]), 0)</f>
        <v>0</v>
      </c>
      <c r="AT954" s="17">
        <f>'Sampling Data'!AB954</f>
        <v>6.2807672721099982E-3</v>
      </c>
      <c r="AU954" s="17">
        <f>IF(
      SUM(Audit[[#This Row],[Audit Losing Candidate]:[Audit Candidate 12]])
      &lt;&gt;0,
      (Audit[[#This Row],[Winning Candidate]]-Audit[[#This Row],[Losing Candidate]]-(Audit[[#This Row],[Audit Winning Candidate]]-Audit[[#This Row],[Audit Losing Candidate]]))/(Audit[[#Totals],[Winning Candidate]]-Audit[[#Totals],[Losing Candidate]]),
      0
)</f>
        <v>0</v>
      </c>
      <c r="AV9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4" s="17">
        <f>IF(Audit[[#This Row],[Max Relative Error (ep)]] = 0, 0, Audit[[#This Row],[Max Relative Error (ep)]]/Audit[[#This Row],[Error Bound (up) - Max. possible relative overstatement]])</f>
        <v>0</v>
      </c>
      <c r="BH9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54" s="17">
        <f t="shared" si="15"/>
        <v>1</v>
      </c>
      <c r="BJ954" s="17">
        <f>PRODUCT($BI$5:BI954)</f>
        <v>0.14573522051577942</v>
      </c>
      <c r="BK954" s="19">
        <f>1 - Audit[[#This Row],[K-M P Value]]</f>
        <v>0.85426477948422064</v>
      </c>
      <c r="BL954" s="17" t="str">
        <f>IF(Audit[[#This Row],[K-M P Value]]&gt;1-'General Info'!$B$12,"Continue", "Stop")</f>
        <v>Continue</v>
      </c>
      <c r="BM954" s="22" t="b">
        <f>IF(Audit[[#This Row],[Status - Continue or stop audit]] = "Continue", TRUE, IF(BL953 = "Continue", TRUE, FALSE))</f>
        <v>1</v>
      </c>
      <c r="BN954" s="22"/>
    </row>
    <row r="955" spans="1:66" ht="15" hidden="1" customHeight="1" x14ac:dyDescent="0.35">
      <c r="A955" s="17" t="str">
        <f>'Sampling Data'!AI955</f>
        <v/>
      </c>
      <c r="B955" s="17" t="str">
        <f>'Sampling Data'!A955</f>
        <v>6203 COLUM C   (ED)</v>
      </c>
      <c r="C955" s="17">
        <f>'Sampling Data'!B955</f>
        <v>94</v>
      </c>
      <c r="D955" s="17">
        <f>'Sampling Data'!C955</f>
        <v>53</v>
      </c>
      <c r="E955" s="18">
        <f>'Sampling Data'!D955</f>
        <v>0</v>
      </c>
      <c r="F955" s="18">
        <f>'Sampling Data'!E955</f>
        <v>0</v>
      </c>
      <c r="G955" s="18">
        <f>'Sampling Data'!F955</f>
        <v>0</v>
      </c>
      <c r="H955" s="18">
        <f>'Sampling Data'!G955</f>
        <v>0</v>
      </c>
      <c r="I955" s="18">
        <f>'Sampling Data'!H955</f>
        <v>0</v>
      </c>
      <c r="J955" s="18">
        <f>'Sampling Data'!I955</f>
        <v>0</v>
      </c>
      <c r="K955" s="18">
        <f>'Sampling Data'!J955</f>
        <v>0</v>
      </c>
      <c r="L955" s="18">
        <f>'Sampling Data'!K955</f>
        <v>0</v>
      </c>
      <c r="M955" s="18">
        <f>'Sampling Data'!L955</f>
        <v>0</v>
      </c>
      <c r="N955" s="18">
        <f>'Sampling Data'!M955</f>
        <v>0</v>
      </c>
      <c r="O955" s="17">
        <f>'Sampling Data'!N955</f>
        <v>0</v>
      </c>
      <c r="P955" s="17">
        <f>'Sampling Data'!O955</f>
        <v>7</v>
      </c>
      <c r="Q955" s="17">
        <f>'Sampling Data'!P955</f>
        <v>154</v>
      </c>
      <c r="R955" s="17">
        <f>'Sampling Data'!AJ955</f>
        <v>0</v>
      </c>
      <c r="S955" s="111"/>
      <c r="T955" s="111"/>
      <c r="U955" s="112"/>
      <c r="V955" s="112"/>
      <c r="W955" s="111"/>
      <c r="X955" s="111"/>
      <c r="Y955" s="111"/>
      <c r="Z955" s="111"/>
      <c r="AA955" s="14"/>
      <c r="AB955" s="14"/>
      <c r="AC955" s="14"/>
      <c r="AD955" s="14"/>
      <c r="AE955" s="113" t="str">
        <f>IF(NOT(ISBLANK(Audit[[#This Row],[Audit Winning Candidate]])), Audit[[#This Row],[Audit Winning Candidate]]-Audit[[#This Row],[Winning Candidate]], "")</f>
        <v/>
      </c>
      <c r="AF955" s="17" t="str">
        <f>IF(NOT(ISBLANK(Audit[[#This Row],[Audit Losing Candidate]])), Audit[[#This Row],[Audit Losing Candidate]]-Audit[[#This Row],[Losing Candidate]], "")</f>
        <v/>
      </c>
      <c r="AG955" s="17" t="str">
        <f>IF(NOT(ISBLANK(Audit[[#This Row],[Audit Candidate 3]])), Audit[[#This Row],[Audit Candidate 3]]-Audit[[#This Row],[Candidate 3]], "")</f>
        <v/>
      </c>
      <c r="AH955" s="17" t="str">
        <f>IF(NOT(ISBLANK(Audit[[#This Row],[Audit Candidate 4]])),Audit[[#This Row],[Audit Candidate 4]]-Audit[[#This Row],[Candidate 4]], "")</f>
        <v/>
      </c>
      <c r="AI955" s="17" t="str">
        <f>IF(NOT(ISBLANK(Audit[[#This Row],[Audit Candidate 5]])), Audit[[#This Row],[Audit Candidate 5]]-Audit[[#This Row],[Candidate 5]], "")</f>
        <v/>
      </c>
      <c r="AJ955" s="17" t="str">
        <f>IF(NOT(ISBLANK(Audit[[#This Row],[Audit Candidate 6]])), Audit[[#This Row],[Audit Candidate 6]]-Audit[[#This Row],[Candidate 6]], "")</f>
        <v/>
      </c>
      <c r="AK955" s="17" t="str">
        <f>IF(NOT(ISBLANK(Audit[[#This Row],[Audit Candidate 7]])), Audit[[#This Row],[Audit Candidate 7]]-Audit[[#This Row],[Candidate 7]], "")</f>
        <v/>
      </c>
      <c r="AL955" s="17" t="str">
        <f>IF(NOT(ISBLANK(Audit[[#This Row],[Audit Candidate 8]])), Audit[[#This Row],[Audit Candidate 8]]-Audit[[#This Row],[Candidate 8]], "")</f>
        <v/>
      </c>
      <c r="AM955" s="17" t="str">
        <f>IF(NOT(ISBLANK(Audit[[#This Row],[Audit Candidate 9]])), Audit[[#This Row],[Audit Candidate 9]]-Audit[[#This Row],[Candidate 9]], "")</f>
        <v/>
      </c>
      <c r="AN955" s="17" t="str">
        <f>IF(NOT(ISBLANK(Audit[[#This Row],[Audit Candidate 10]])), Audit[[#This Row],[Audit Candidate 10]]-Audit[[#This Row],[Candidate 10]], "")</f>
        <v/>
      </c>
      <c r="AO955" s="17" t="str">
        <f>IF(NOT(ISBLANK(Audit[[#This Row],[Audit Candidate 11]])), Audit[[#This Row],[Audit Candidate 11]]-Audit[[#This Row],[Candidate 11]], "")</f>
        <v/>
      </c>
      <c r="AP955" s="17" t="str">
        <f>IF(NOT(ISBLANK(Audit[[#This Row],[Audit Candidate 12]])), Audit[[#This Row],[Audit Candidate 12]]-Audit[[#This Row],[Candidate 12]], "")</f>
        <v/>
      </c>
      <c r="AQ955" s="17">
        <f>SUMIF(Audit[[#This Row],[Difference Winner]:[Difference Candidate 12]], "&gt;0")</f>
        <v>0</v>
      </c>
      <c r="AR955" s="17">
        <f>SUM(Audit[[#This Row],[Difference Winner]:[Difference Candidate 12]])</f>
        <v>0</v>
      </c>
      <c r="AS955" s="17">
        <f>IF(Audit[[#This Row],[Times p Drawn - With Replacement]]&gt;0, IF(Audit[[#This Row],[Canceled Differences]]&lt;0, Audit[[#This Row],[Max Differences]]+ABS(Audit[[#This Row],[Canceled Differences]]), Audit[[#This Row],[Max Differences]]), 0)</f>
        <v>0</v>
      </c>
      <c r="AT955" s="17">
        <f>'Sampling Data'!AB955</f>
        <v>8.2753352571719573E-3</v>
      </c>
      <c r="AU955" s="17">
        <f>IF(
      SUM(Audit[[#This Row],[Audit Losing Candidate]:[Audit Candidate 12]])
      &lt;&gt;0,
      (Audit[[#This Row],[Winning Candidate]]-Audit[[#This Row],[Losing Candidate]]-(Audit[[#This Row],[Audit Winning Candidate]]-Audit[[#This Row],[Audit Losing Candidate]]))/(Audit[[#Totals],[Winning Candidate]]-Audit[[#Totals],[Losing Candidate]]),
      0
)</f>
        <v>0</v>
      </c>
      <c r="AV9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5" s="17">
        <f>IF(Audit[[#This Row],[Max Relative Error (ep)]] = 0, 0, Audit[[#This Row],[Max Relative Error (ep)]]/Audit[[#This Row],[Error Bound (up) - Max. possible relative overstatement]])</f>
        <v>0</v>
      </c>
      <c r="BH9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55" s="17">
        <f t="shared" si="15"/>
        <v>1</v>
      </c>
      <c r="BJ955" s="17">
        <f>PRODUCT($BI$5:BI955)</f>
        <v>0.14573522051577942</v>
      </c>
      <c r="BK955" s="19">
        <f>1 - Audit[[#This Row],[K-M P Value]]</f>
        <v>0.85426477948422064</v>
      </c>
      <c r="BL955" s="17" t="str">
        <f>IF(Audit[[#This Row],[K-M P Value]]&gt;1-'General Info'!$B$12,"Continue", "Stop")</f>
        <v>Continue</v>
      </c>
      <c r="BM955" s="22" t="b">
        <f>IF(Audit[[#This Row],[Status - Continue or stop audit]] = "Continue", TRUE, IF(BL954 = "Continue", TRUE, FALSE))</f>
        <v>1</v>
      </c>
      <c r="BN955" s="22"/>
    </row>
    <row r="956" spans="1:66" ht="15" hidden="1" customHeight="1" x14ac:dyDescent="0.35">
      <c r="A956" s="17" t="str">
        <f>'Sampling Data'!AI956</f>
        <v/>
      </c>
      <c r="B956" s="17" t="str">
        <f>'Sampling Data'!A956</f>
        <v>6204 COLUM D   (ED)</v>
      </c>
      <c r="C956" s="17">
        <f>'Sampling Data'!B956</f>
        <v>146</v>
      </c>
      <c r="D956" s="17">
        <f>'Sampling Data'!C956</f>
        <v>34</v>
      </c>
      <c r="E956" s="18">
        <f>'Sampling Data'!D956</f>
        <v>0</v>
      </c>
      <c r="F956" s="18">
        <f>'Sampling Data'!E956</f>
        <v>0</v>
      </c>
      <c r="G956" s="18">
        <f>'Sampling Data'!F956</f>
        <v>0</v>
      </c>
      <c r="H956" s="18">
        <f>'Sampling Data'!G956</f>
        <v>0</v>
      </c>
      <c r="I956" s="18">
        <f>'Sampling Data'!H956</f>
        <v>0</v>
      </c>
      <c r="J956" s="18">
        <f>'Sampling Data'!I956</f>
        <v>0</v>
      </c>
      <c r="K956" s="18">
        <f>'Sampling Data'!J956</f>
        <v>0</v>
      </c>
      <c r="L956" s="18">
        <f>'Sampling Data'!K956</f>
        <v>0</v>
      </c>
      <c r="M956" s="18">
        <f>'Sampling Data'!L956</f>
        <v>0</v>
      </c>
      <c r="N956" s="18">
        <f>'Sampling Data'!M956</f>
        <v>0</v>
      </c>
      <c r="O956" s="17">
        <f>'Sampling Data'!N956</f>
        <v>0</v>
      </c>
      <c r="P956" s="17">
        <f>'Sampling Data'!O956</f>
        <v>10</v>
      </c>
      <c r="Q956" s="17">
        <f>'Sampling Data'!P956</f>
        <v>190</v>
      </c>
      <c r="R956" s="17">
        <f>'Sampling Data'!AJ956</f>
        <v>0</v>
      </c>
      <c r="S956" s="111"/>
      <c r="T956" s="111"/>
      <c r="U956" s="112"/>
      <c r="V956" s="112"/>
      <c r="W956" s="111"/>
      <c r="X956" s="111"/>
      <c r="Y956" s="111"/>
      <c r="Z956" s="111"/>
      <c r="AA956" s="14"/>
      <c r="AB956" s="14"/>
      <c r="AC956" s="14"/>
      <c r="AD956" s="14"/>
      <c r="AE956" s="113" t="str">
        <f>IF(NOT(ISBLANK(Audit[[#This Row],[Audit Winning Candidate]])), Audit[[#This Row],[Audit Winning Candidate]]-Audit[[#This Row],[Winning Candidate]], "")</f>
        <v/>
      </c>
      <c r="AF956" s="17" t="str">
        <f>IF(NOT(ISBLANK(Audit[[#This Row],[Audit Losing Candidate]])), Audit[[#This Row],[Audit Losing Candidate]]-Audit[[#This Row],[Losing Candidate]], "")</f>
        <v/>
      </c>
      <c r="AG956" s="17" t="str">
        <f>IF(NOT(ISBLANK(Audit[[#This Row],[Audit Candidate 3]])), Audit[[#This Row],[Audit Candidate 3]]-Audit[[#This Row],[Candidate 3]], "")</f>
        <v/>
      </c>
      <c r="AH956" s="17" t="str">
        <f>IF(NOT(ISBLANK(Audit[[#This Row],[Audit Candidate 4]])),Audit[[#This Row],[Audit Candidate 4]]-Audit[[#This Row],[Candidate 4]], "")</f>
        <v/>
      </c>
      <c r="AI956" s="17" t="str">
        <f>IF(NOT(ISBLANK(Audit[[#This Row],[Audit Candidate 5]])), Audit[[#This Row],[Audit Candidate 5]]-Audit[[#This Row],[Candidate 5]], "")</f>
        <v/>
      </c>
      <c r="AJ956" s="17" t="str">
        <f>IF(NOT(ISBLANK(Audit[[#This Row],[Audit Candidate 6]])), Audit[[#This Row],[Audit Candidate 6]]-Audit[[#This Row],[Candidate 6]], "")</f>
        <v/>
      </c>
      <c r="AK956" s="17" t="str">
        <f>IF(NOT(ISBLANK(Audit[[#This Row],[Audit Candidate 7]])), Audit[[#This Row],[Audit Candidate 7]]-Audit[[#This Row],[Candidate 7]], "")</f>
        <v/>
      </c>
      <c r="AL956" s="17" t="str">
        <f>IF(NOT(ISBLANK(Audit[[#This Row],[Audit Candidate 8]])), Audit[[#This Row],[Audit Candidate 8]]-Audit[[#This Row],[Candidate 8]], "")</f>
        <v/>
      </c>
      <c r="AM956" s="17" t="str">
        <f>IF(NOT(ISBLANK(Audit[[#This Row],[Audit Candidate 9]])), Audit[[#This Row],[Audit Candidate 9]]-Audit[[#This Row],[Candidate 9]], "")</f>
        <v/>
      </c>
      <c r="AN956" s="17" t="str">
        <f>IF(NOT(ISBLANK(Audit[[#This Row],[Audit Candidate 10]])), Audit[[#This Row],[Audit Candidate 10]]-Audit[[#This Row],[Candidate 10]], "")</f>
        <v/>
      </c>
      <c r="AO956" s="17" t="str">
        <f>IF(NOT(ISBLANK(Audit[[#This Row],[Audit Candidate 11]])), Audit[[#This Row],[Audit Candidate 11]]-Audit[[#This Row],[Candidate 11]], "")</f>
        <v/>
      </c>
      <c r="AP956" s="17" t="str">
        <f>IF(NOT(ISBLANK(Audit[[#This Row],[Audit Candidate 12]])), Audit[[#This Row],[Audit Candidate 12]]-Audit[[#This Row],[Candidate 12]], "")</f>
        <v/>
      </c>
      <c r="AQ956" s="17">
        <f>SUMIF(Audit[[#This Row],[Difference Winner]:[Difference Candidate 12]], "&gt;0")</f>
        <v>0</v>
      </c>
      <c r="AR956" s="17">
        <f>SUM(Audit[[#This Row],[Difference Winner]:[Difference Candidate 12]])</f>
        <v>0</v>
      </c>
      <c r="AS956" s="17">
        <f>IF(Audit[[#This Row],[Times p Drawn - With Replacement]]&gt;0, IF(Audit[[#This Row],[Canceled Differences]]&lt;0, Audit[[#This Row],[Max Differences]]+ABS(Audit[[#This Row],[Canceled Differences]]), Audit[[#This Row],[Max Differences]]), 0)</f>
        <v>0</v>
      </c>
      <c r="AT956" s="17">
        <f>'Sampling Data'!AB956</f>
        <v>1.2816160244440673E-2</v>
      </c>
      <c r="AU956" s="17">
        <f>IF(
      SUM(Audit[[#This Row],[Audit Losing Candidate]:[Audit Candidate 12]])
      &lt;&gt;0,
      (Audit[[#This Row],[Winning Candidate]]-Audit[[#This Row],[Losing Candidate]]-(Audit[[#This Row],[Audit Winning Candidate]]-Audit[[#This Row],[Audit Losing Candidate]]))/(Audit[[#Totals],[Winning Candidate]]-Audit[[#Totals],[Losing Candidate]]),
      0
)</f>
        <v>0</v>
      </c>
      <c r="AV9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6" s="17">
        <f>IF(Audit[[#This Row],[Max Relative Error (ep)]] = 0, 0, Audit[[#This Row],[Max Relative Error (ep)]]/Audit[[#This Row],[Error Bound (up) - Max. possible relative overstatement]])</f>
        <v>0</v>
      </c>
      <c r="BH9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56" s="17">
        <f t="shared" si="15"/>
        <v>1</v>
      </c>
      <c r="BJ956" s="17">
        <f>PRODUCT($BI$5:BI956)</f>
        <v>0.14573522051577942</v>
      </c>
      <c r="BK956" s="19">
        <f>1 - Audit[[#This Row],[K-M P Value]]</f>
        <v>0.85426477948422064</v>
      </c>
      <c r="BL956" s="17" t="str">
        <f>IF(Audit[[#This Row],[K-M P Value]]&gt;1-'General Info'!$B$12,"Continue", "Stop")</f>
        <v>Continue</v>
      </c>
      <c r="BM956" s="22" t="b">
        <f>IF(Audit[[#This Row],[Status - Continue or stop audit]] = "Continue", TRUE, IF(BL955 = "Continue", TRUE, FALSE))</f>
        <v>1</v>
      </c>
      <c r="BN956" s="22"/>
    </row>
    <row r="957" spans="1:66" ht="15" hidden="1" customHeight="1" x14ac:dyDescent="0.35">
      <c r="A957" s="17" t="str">
        <f>'Sampling Data'!AI957</f>
        <v/>
      </c>
      <c r="B957" s="17" t="str">
        <f>'Sampling Data'!A957</f>
        <v>6205 COLUM E   (ED)</v>
      </c>
      <c r="C957" s="17">
        <f>'Sampling Data'!B957</f>
        <v>65</v>
      </c>
      <c r="D957" s="17">
        <f>'Sampling Data'!C957</f>
        <v>29</v>
      </c>
      <c r="E957" s="18">
        <f>'Sampling Data'!D957</f>
        <v>0</v>
      </c>
      <c r="F957" s="18">
        <f>'Sampling Data'!E957</f>
        <v>0</v>
      </c>
      <c r="G957" s="18">
        <f>'Sampling Data'!F957</f>
        <v>0</v>
      </c>
      <c r="H957" s="18">
        <f>'Sampling Data'!G957</f>
        <v>0</v>
      </c>
      <c r="I957" s="18">
        <f>'Sampling Data'!H957</f>
        <v>0</v>
      </c>
      <c r="J957" s="18">
        <f>'Sampling Data'!I957</f>
        <v>0</v>
      </c>
      <c r="K957" s="18">
        <f>'Sampling Data'!J957</f>
        <v>0</v>
      </c>
      <c r="L957" s="18">
        <f>'Sampling Data'!K957</f>
        <v>0</v>
      </c>
      <c r="M957" s="18">
        <f>'Sampling Data'!L957</f>
        <v>0</v>
      </c>
      <c r="N957" s="18">
        <f>'Sampling Data'!M957</f>
        <v>0</v>
      </c>
      <c r="O957" s="17">
        <f>'Sampling Data'!N957</f>
        <v>0</v>
      </c>
      <c r="P957" s="17">
        <f>'Sampling Data'!O957</f>
        <v>3</v>
      </c>
      <c r="Q957" s="17">
        <f>'Sampling Data'!P957</f>
        <v>97</v>
      </c>
      <c r="R957" s="17">
        <f>'Sampling Data'!AJ957</f>
        <v>0</v>
      </c>
      <c r="S957" s="111"/>
      <c r="T957" s="111"/>
      <c r="U957" s="112"/>
      <c r="V957" s="112"/>
      <c r="W957" s="111"/>
      <c r="X957" s="111"/>
      <c r="Y957" s="111"/>
      <c r="Z957" s="111"/>
      <c r="AA957" s="14"/>
      <c r="AB957" s="14"/>
      <c r="AC957" s="14"/>
      <c r="AD957" s="14"/>
      <c r="AE957" s="113" t="str">
        <f>IF(NOT(ISBLANK(Audit[[#This Row],[Audit Winning Candidate]])), Audit[[#This Row],[Audit Winning Candidate]]-Audit[[#This Row],[Winning Candidate]], "")</f>
        <v/>
      </c>
      <c r="AF957" s="17" t="str">
        <f>IF(NOT(ISBLANK(Audit[[#This Row],[Audit Losing Candidate]])), Audit[[#This Row],[Audit Losing Candidate]]-Audit[[#This Row],[Losing Candidate]], "")</f>
        <v/>
      </c>
      <c r="AG957" s="17" t="str">
        <f>IF(NOT(ISBLANK(Audit[[#This Row],[Audit Candidate 3]])), Audit[[#This Row],[Audit Candidate 3]]-Audit[[#This Row],[Candidate 3]], "")</f>
        <v/>
      </c>
      <c r="AH957" s="17" t="str">
        <f>IF(NOT(ISBLANK(Audit[[#This Row],[Audit Candidate 4]])),Audit[[#This Row],[Audit Candidate 4]]-Audit[[#This Row],[Candidate 4]], "")</f>
        <v/>
      </c>
      <c r="AI957" s="17" t="str">
        <f>IF(NOT(ISBLANK(Audit[[#This Row],[Audit Candidate 5]])), Audit[[#This Row],[Audit Candidate 5]]-Audit[[#This Row],[Candidate 5]], "")</f>
        <v/>
      </c>
      <c r="AJ957" s="17" t="str">
        <f>IF(NOT(ISBLANK(Audit[[#This Row],[Audit Candidate 6]])), Audit[[#This Row],[Audit Candidate 6]]-Audit[[#This Row],[Candidate 6]], "")</f>
        <v/>
      </c>
      <c r="AK957" s="17" t="str">
        <f>IF(NOT(ISBLANK(Audit[[#This Row],[Audit Candidate 7]])), Audit[[#This Row],[Audit Candidate 7]]-Audit[[#This Row],[Candidate 7]], "")</f>
        <v/>
      </c>
      <c r="AL957" s="17" t="str">
        <f>IF(NOT(ISBLANK(Audit[[#This Row],[Audit Candidate 8]])), Audit[[#This Row],[Audit Candidate 8]]-Audit[[#This Row],[Candidate 8]], "")</f>
        <v/>
      </c>
      <c r="AM957" s="17" t="str">
        <f>IF(NOT(ISBLANK(Audit[[#This Row],[Audit Candidate 9]])), Audit[[#This Row],[Audit Candidate 9]]-Audit[[#This Row],[Candidate 9]], "")</f>
        <v/>
      </c>
      <c r="AN957" s="17" t="str">
        <f>IF(NOT(ISBLANK(Audit[[#This Row],[Audit Candidate 10]])), Audit[[#This Row],[Audit Candidate 10]]-Audit[[#This Row],[Candidate 10]], "")</f>
        <v/>
      </c>
      <c r="AO957" s="17" t="str">
        <f>IF(NOT(ISBLANK(Audit[[#This Row],[Audit Candidate 11]])), Audit[[#This Row],[Audit Candidate 11]]-Audit[[#This Row],[Candidate 11]], "")</f>
        <v/>
      </c>
      <c r="AP957" s="17" t="str">
        <f>IF(NOT(ISBLANK(Audit[[#This Row],[Audit Candidate 12]])), Audit[[#This Row],[Audit Candidate 12]]-Audit[[#This Row],[Candidate 12]], "")</f>
        <v/>
      </c>
      <c r="AQ957" s="17">
        <f>SUMIF(Audit[[#This Row],[Difference Winner]:[Difference Candidate 12]], "&gt;0")</f>
        <v>0</v>
      </c>
      <c r="AR957" s="17">
        <f>SUM(Audit[[#This Row],[Difference Winner]:[Difference Candidate 12]])</f>
        <v>0</v>
      </c>
      <c r="AS957" s="17">
        <f>IF(Audit[[#This Row],[Times p Drawn - With Replacement]]&gt;0, IF(Audit[[#This Row],[Canceled Differences]]&lt;0, Audit[[#This Row],[Max Differences]]+ABS(Audit[[#This Row],[Canceled Differences]]), Audit[[#This Row],[Max Differences]]), 0)</f>
        <v>0</v>
      </c>
      <c r="AT957" s="17">
        <f>'Sampling Data'!AB957</f>
        <v>5.6442030215583094E-3</v>
      </c>
      <c r="AU957" s="17">
        <f>IF(
      SUM(Audit[[#This Row],[Audit Losing Candidate]:[Audit Candidate 12]])
      &lt;&gt;0,
      (Audit[[#This Row],[Winning Candidate]]-Audit[[#This Row],[Losing Candidate]]-(Audit[[#This Row],[Audit Winning Candidate]]-Audit[[#This Row],[Audit Losing Candidate]]))/(Audit[[#Totals],[Winning Candidate]]-Audit[[#Totals],[Losing Candidate]]),
      0
)</f>
        <v>0</v>
      </c>
      <c r="AV9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7" s="17">
        <f>IF(Audit[[#This Row],[Max Relative Error (ep)]] = 0, 0, Audit[[#This Row],[Max Relative Error (ep)]]/Audit[[#This Row],[Error Bound (up) - Max. possible relative overstatement]])</f>
        <v>0</v>
      </c>
      <c r="BH9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57" s="17">
        <f t="shared" si="15"/>
        <v>1</v>
      </c>
      <c r="BJ957" s="17">
        <f>PRODUCT($BI$5:BI957)</f>
        <v>0.14573522051577942</v>
      </c>
      <c r="BK957" s="19">
        <f>1 - Audit[[#This Row],[K-M P Value]]</f>
        <v>0.85426477948422064</v>
      </c>
      <c r="BL957" s="17" t="str">
        <f>IF(Audit[[#This Row],[K-M P Value]]&gt;1-'General Info'!$B$12,"Continue", "Stop")</f>
        <v>Continue</v>
      </c>
      <c r="BM957" s="22" t="b">
        <f>IF(Audit[[#This Row],[Status - Continue or stop audit]] = "Continue", TRUE, IF(BL956 = "Continue", TRUE, FALSE))</f>
        <v>1</v>
      </c>
      <c r="BN957" s="22"/>
    </row>
    <row r="958" spans="1:66" ht="15" hidden="1" customHeight="1" x14ac:dyDescent="0.35">
      <c r="A958" s="17" t="str">
        <f>'Sampling Data'!AI958</f>
        <v/>
      </c>
      <c r="B958" s="17" t="str">
        <f>'Sampling Data'!A958</f>
        <v>6206 COLUM F   (ED)</v>
      </c>
      <c r="C958" s="17">
        <f>'Sampling Data'!B958</f>
        <v>116</v>
      </c>
      <c r="D958" s="17">
        <f>'Sampling Data'!C958</f>
        <v>113</v>
      </c>
      <c r="E958" s="18">
        <f>'Sampling Data'!D958</f>
        <v>0</v>
      </c>
      <c r="F958" s="18">
        <f>'Sampling Data'!E958</f>
        <v>0</v>
      </c>
      <c r="G958" s="18">
        <f>'Sampling Data'!F958</f>
        <v>0</v>
      </c>
      <c r="H958" s="18">
        <f>'Sampling Data'!G958</f>
        <v>0</v>
      </c>
      <c r="I958" s="18">
        <f>'Sampling Data'!H958</f>
        <v>0</v>
      </c>
      <c r="J958" s="18">
        <f>'Sampling Data'!I958</f>
        <v>0</v>
      </c>
      <c r="K958" s="18">
        <f>'Sampling Data'!J958</f>
        <v>0</v>
      </c>
      <c r="L958" s="18">
        <f>'Sampling Data'!K958</f>
        <v>0</v>
      </c>
      <c r="M958" s="18">
        <f>'Sampling Data'!L958</f>
        <v>0</v>
      </c>
      <c r="N958" s="18">
        <f>'Sampling Data'!M958</f>
        <v>0</v>
      </c>
      <c r="O958" s="17">
        <f>'Sampling Data'!N958</f>
        <v>0</v>
      </c>
      <c r="P958" s="17">
        <f>'Sampling Data'!O958</f>
        <v>14</v>
      </c>
      <c r="Q958" s="17">
        <f>'Sampling Data'!P958</f>
        <v>243</v>
      </c>
      <c r="R958" s="17">
        <f>'Sampling Data'!AJ958</f>
        <v>0</v>
      </c>
      <c r="S958" s="111"/>
      <c r="T958" s="111"/>
      <c r="U958" s="112"/>
      <c r="V958" s="112"/>
      <c r="W958" s="111"/>
      <c r="X958" s="111"/>
      <c r="Y958" s="111"/>
      <c r="Z958" s="111"/>
      <c r="AA958" s="14"/>
      <c r="AB958" s="14"/>
      <c r="AC958" s="14"/>
      <c r="AD958" s="14"/>
      <c r="AE958" s="113" t="str">
        <f>IF(NOT(ISBLANK(Audit[[#This Row],[Audit Winning Candidate]])), Audit[[#This Row],[Audit Winning Candidate]]-Audit[[#This Row],[Winning Candidate]], "")</f>
        <v/>
      </c>
      <c r="AF958" s="17" t="str">
        <f>IF(NOT(ISBLANK(Audit[[#This Row],[Audit Losing Candidate]])), Audit[[#This Row],[Audit Losing Candidate]]-Audit[[#This Row],[Losing Candidate]], "")</f>
        <v/>
      </c>
      <c r="AG958" s="17" t="str">
        <f>IF(NOT(ISBLANK(Audit[[#This Row],[Audit Candidate 3]])), Audit[[#This Row],[Audit Candidate 3]]-Audit[[#This Row],[Candidate 3]], "")</f>
        <v/>
      </c>
      <c r="AH958" s="17" t="str">
        <f>IF(NOT(ISBLANK(Audit[[#This Row],[Audit Candidate 4]])),Audit[[#This Row],[Audit Candidate 4]]-Audit[[#This Row],[Candidate 4]], "")</f>
        <v/>
      </c>
      <c r="AI958" s="17" t="str">
        <f>IF(NOT(ISBLANK(Audit[[#This Row],[Audit Candidate 5]])), Audit[[#This Row],[Audit Candidate 5]]-Audit[[#This Row],[Candidate 5]], "")</f>
        <v/>
      </c>
      <c r="AJ958" s="17" t="str">
        <f>IF(NOT(ISBLANK(Audit[[#This Row],[Audit Candidate 6]])), Audit[[#This Row],[Audit Candidate 6]]-Audit[[#This Row],[Candidate 6]], "")</f>
        <v/>
      </c>
      <c r="AK958" s="17" t="str">
        <f>IF(NOT(ISBLANK(Audit[[#This Row],[Audit Candidate 7]])), Audit[[#This Row],[Audit Candidate 7]]-Audit[[#This Row],[Candidate 7]], "")</f>
        <v/>
      </c>
      <c r="AL958" s="17" t="str">
        <f>IF(NOT(ISBLANK(Audit[[#This Row],[Audit Candidate 8]])), Audit[[#This Row],[Audit Candidate 8]]-Audit[[#This Row],[Candidate 8]], "")</f>
        <v/>
      </c>
      <c r="AM958" s="17" t="str">
        <f>IF(NOT(ISBLANK(Audit[[#This Row],[Audit Candidate 9]])), Audit[[#This Row],[Audit Candidate 9]]-Audit[[#This Row],[Candidate 9]], "")</f>
        <v/>
      </c>
      <c r="AN958" s="17" t="str">
        <f>IF(NOT(ISBLANK(Audit[[#This Row],[Audit Candidate 10]])), Audit[[#This Row],[Audit Candidate 10]]-Audit[[#This Row],[Candidate 10]], "")</f>
        <v/>
      </c>
      <c r="AO958" s="17" t="str">
        <f>IF(NOT(ISBLANK(Audit[[#This Row],[Audit Candidate 11]])), Audit[[#This Row],[Audit Candidate 11]]-Audit[[#This Row],[Candidate 11]], "")</f>
        <v/>
      </c>
      <c r="AP958" s="17" t="str">
        <f>IF(NOT(ISBLANK(Audit[[#This Row],[Audit Candidate 12]])), Audit[[#This Row],[Audit Candidate 12]]-Audit[[#This Row],[Candidate 12]], "")</f>
        <v/>
      </c>
      <c r="AQ958" s="17">
        <f>SUMIF(Audit[[#This Row],[Difference Winner]:[Difference Candidate 12]], "&gt;0")</f>
        <v>0</v>
      </c>
      <c r="AR958" s="17">
        <f>SUM(Audit[[#This Row],[Difference Winner]:[Difference Candidate 12]])</f>
        <v>0</v>
      </c>
      <c r="AS958" s="17">
        <f>IF(Audit[[#This Row],[Times p Drawn - With Replacement]]&gt;0, IF(Audit[[#This Row],[Canceled Differences]]&lt;0, Audit[[#This Row],[Max Differences]]+ABS(Audit[[#This Row],[Canceled Differences]]), Audit[[#This Row],[Max Differences]]), 0)</f>
        <v>0</v>
      </c>
      <c r="AT958" s="17">
        <f>'Sampling Data'!AB958</f>
        <v>1.0439653709047699E-2</v>
      </c>
      <c r="AU958" s="17">
        <f>IF(
      SUM(Audit[[#This Row],[Audit Losing Candidate]:[Audit Candidate 12]])
      &lt;&gt;0,
      (Audit[[#This Row],[Winning Candidate]]-Audit[[#This Row],[Losing Candidate]]-(Audit[[#This Row],[Audit Winning Candidate]]-Audit[[#This Row],[Audit Losing Candidate]]))/(Audit[[#Totals],[Winning Candidate]]-Audit[[#Totals],[Losing Candidate]]),
      0
)</f>
        <v>0</v>
      </c>
      <c r="AV9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8" s="17">
        <f>IF(Audit[[#This Row],[Max Relative Error (ep)]] = 0, 0, Audit[[#This Row],[Max Relative Error (ep)]]/Audit[[#This Row],[Error Bound (up) - Max. possible relative overstatement]])</f>
        <v>0</v>
      </c>
      <c r="BH9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58" s="17">
        <f t="shared" si="15"/>
        <v>1</v>
      </c>
      <c r="BJ958" s="17">
        <f>PRODUCT($BI$5:BI958)</f>
        <v>0.14573522051577942</v>
      </c>
      <c r="BK958" s="19">
        <f>1 - Audit[[#This Row],[K-M P Value]]</f>
        <v>0.85426477948422064</v>
      </c>
      <c r="BL958" s="17" t="str">
        <f>IF(Audit[[#This Row],[K-M P Value]]&gt;1-'General Info'!$B$12,"Continue", "Stop")</f>
        <v>Continue</v>
      </c>
      <c r="BM958" s="22" t="b">
        <f>IF(Audit[[#This Row],[Status - Continue or stop audit]] = "Continue", TRUE, IF(BL957 = "Continue", TRUE, FALSE))</f>
        <v>1</v>
      </c>
      <c r="BN958" s="22"/>
    </row>
    <row r="959" spans="1:66" ht="15" hidden="1" customHeight="1" x14ac:dyDescent="0.35">
      <c r="A959" s="17" t="str">
        <f>'Sampling Data'!AI959</f>
        <v/>
      </c>
      <c r="B959" s="17" t="str">
        <f>'Sampling Data'!A959</f>
        <v>6207 COLUM G   (ED)</v>
      </c>
      <c r="C959" s="17">
        <f>'Sampling Data'!B959</f>
        <v>151</v>
      </c>
      <c r="D959" s="17">
        <f>'Sampling Data'!C959</f>
        <v>142</v>
      </c>
      <c r="E959" s="18">
        <f>'Sampling Data'!D959</f>
        <v>0</v>
      </c>
      <c r="F959" s="18">
        <f>'Sampling Data'!E959</f>
        <v>0</v>
      </c>
      <c r="G959" s="18">
        <f>'Sampling Data'!F959</f>
        <v>0</v>
      </c>
      <c r="H959" s="18">
        <f>'Sampling Data'!G959</f>
        <v>0</v>
      </c>
      <c r="I959" s="18">
        <f>'Sampling Data'!H959</f>
        <v>0</v>
      </c>
      <c r="J959" s="18">
        <f>'Sampling Data'!I959</f>
        <v>0</v>
      </c>
      <c r="K959" s="18">
        <f>'Sampling Data'!J959</f>
        <v>0</v>
      </c>
      <c r="L959" s="18">
        <f>'Sampling Data'!K959</f>
        <v>0</v>
      </c>
      <c r="M959" s="18">
        <f>'Sampling Data'!L959</f>
        <v>0</v>
      </c>
      <c r="N959" s="18">
        <f>'Sampling Data'!M959</f>
        <v>0</v>
      </c>
      <c r="O959" s="17">
        <f>'Sampling Data'!N959</f>
        <v>0</v>
      </c>
      <c r="P959" s="17">
        <f>'Sampling Data'!O959</f>
        <v>26</v>
      </c>
      <c r="Q959" s="17">
        <f>'Sampling Data'!P959</f>
        <v>319</v>
      </c>
      <c r="R959" s="17">
        <f>'Sampling Data'!AJ959</f>
        <v>0</v>
      </c>
      <c r="S959" s="111"/>
      <c r="T959" s="111"/>
      <c r="U959" s="112"/>
      <c r="V959" s="112"/>
      <c r="W959" s="111"/>
      <c r="X959" s="111"/>
      <c r="Y959" s="111"/>
      <c r="Z959" s="111"/>
      <c r="AA959" s="14"/>
      <c r="AB959" s="14"/>
      <c r="AC959" s="14"/>
      <c r="AD959" s="14"/>
      <c r="AE959" s="113" t="str">
        <f>IF(NOT(ISBLANK(Audit[[#This Row],[Audit Winning Candidate]])), Audit[[#This Row],[Audit Winning Candidate]]-Audit[[#This Row],[Winning Candidate]], "")</f>
        <v/>
      </c>
      <c r="AF959" s="17" t="str">
        <f>IF(NOT(ISBLANK(Audit[[#This Row],[Audit Losing Candidate]])), Audit[[#This Row],[Audit Losing Candidate]]-Audit[[#This Row],[Losing Candidate]], "")</f>
        <v/>
      </c>
      <c r="AG959" s="17" t="str">
        <f>IF(NOT(ISBLANK(Audit[[#This Row],[Audit Candidate 3]])), Audit[[#This Row],[Audit Candidate 3]]-Audit[[#This Row],[Candidate 3]], "")</f>
        <v/>
      </c>
      <c r="AH959" s="17" t="str">
        <f>IF(NOT(ISBLANK(Audit[[#This Row],[Audit Candidate 4]])),Audit[[#This Row],[Audit Candidate 4]]-Audit[[#This Row],[Candidate 4]], "")</f>
        <v/>
      </c>
      <c r="AI959" s="17" t="str">
        <f>IF(NOT(ISBLANK(Audit[[#This Row],[Audit Candidate 5]])), Audit[[#This Row],[Audit Candidate 5]]-Audit[[#This Row],[Candidate 5]], "")</f>
        <v/>
      </c>
      <c r="AJ959" s="17" t="str">
        <f>IF(NOT(ISBLANK(Audit[[#This Row],[Audit Candidate 6]])), Audit[[#This Row],[Audit Candidate 6]]-Audit[[#This Row],[Candidate 6]], "")</f>
        <v/>
      </c>
      <c r="AK959" s="17" t="str">
        <f>IF(NOT(ISBLANK(Audit[[#This Row],[Audit Candidate 7]])), Audit[[#This Row],[Audit Candidate 7]]-Audit[[#This Row],[Candidate 7]], "")</f>
        <v/>
      </c>
      <c r="AL959" s="17" t="str">
        <f>IF(NOT(ISBLANK(Audit[[#This Row],[Audit Candidate 8]])), Audit[[#This Row],[Audit Candidate 8]]-Audit[[#This Row],[Candidate 8]], "")</f>
        <v/>
      </c>
      <c r="AM959" s="17" t="str">
        <f>IF(NOT(ISBLANK(Audit[[#This Row],[Audit Candidate 9]])), Audit[[#This Row],[Audit Candidate 9]]-Audit[[#This Row],[Candidate 9]], "")</f>
        <v/>
      </c>
      <c r="AN959" s="17" t="str">
        <f>IF(NOT(ISBLANK(Audit[[#This Row],[Audit Candidate 10]])), Audit[[#This Row],[Audit Candidate 10]]-Audit[[#This Row],[Candidate 10]], "")</f>
        <v/>
      </c>
      <c r="AO959" s="17" t="str">
        <f>IF(NOT(ISBLANK(Audit[[#This Row],[Audit Candidate 11]])), Audit[[#This Row],[Audit Candidate 11]]-Audit[[#This Row],[Candidate 11]], "")</f>
        <v/>
      </c>
      <c r="AP959" s="17" t="str">
        <f>IF(NOT(ISBLANK(Audit[[#This Row],[Audit Candidate 12]])), Audit[[#This Row],[Audit Candidate 12]]-Audit[[#This Row],[Candidate 12]], "")</f>
        <v/>
      </c>
      <c r="AQ959" s="17">
        <f>SUMIF(Audit[[#This Row],[Difference Winner]:[Difference Candidate 12]], "&gt;0")</f>
        <v>0</v>
      </c>
      <c r="AR959" s="17">
        <f>SUM(Audit[[#This Row],[Difference Winner]:[Difference Candidate 12]])</f>
        <v>0</v>
      </c>
      <c r="AS959" s="17">
        <f>IF(Audit[[#This Row],[Times p Drawn - With Replacement]]&gt;0, IF(Audit[[#This Row],[Canceled Differences]]&lt;0, Audit[[#This Row],[Max Differences]]+ABS(Audit[[#This Row],[Canceled Differences]]), Audit[[#This Row],[Max Differences]]), 0)</f>
        <v>0</v>
      </c>
      <c r="AT959" s="17">
        <f>'Sampling Data'!AB959</f>
        <v>1.3919538278730267E-2</v>
      </c>
      <c r="AU959" s="17">
        <f>IF(
      SUM(Audit[[#This Row],[Audit Losing Candidate]:[Audit Candidate 12]])
      &lt;&gt;0,
      (Audit[[#This Row],[Winning Candidate]]-Audit[[#This Row],[Losing Candidate]]-(Audit[[#This Row],[Audit Winning Candidate]]-Audit[[#This Row],[Audit Losing Candidate]]))/(Audit[[#Totals],[Winning Candidate]]-Audit[[#Totals],[Losing Candidate]]),
      0
)</f>
        <v>0</v>
      </c>
      <c r="AV9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9" s="17">
        <f>IF(Audit[[#This Row],[Max Relative Error (ep)]] = 0, 0, Audit[[#This Row],[Max Relative Error (ep)]]/Audit[[#This Row],[Error Bound (up) - Max. possible relative overstatement]])</f>
        <v>0</v>
      </c>
      <c r="BH9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59" s="17">
        <f t="shared" si="15"/>
        <v>1</v>
      </c>
      <c r="BJ959" s="17">
        <f>PRODUCT($BI$5:BI959)</f>
        <v>0.14573522051577942</v>
      </c>
      <c r="BK959" s="19">
        <f>1 - Audit[[#This Row],[K-M P Value]]</f>
        <v>0.85426477948422064</v>
      </c>
      <c r="BL959" s="17" t="str">
        <f>IF(Audit[[#This Row],[K-M P Value]]&gt;1-'General Info'!$B$12,"Continue", "Stop")</f>
        <v>Continue</v>
      </c>
      <c r="BM959" s="22" t="b">
        <f>IF(Audit[[#This Row],[Status - Continue or stop audit]] = "Continue", TRUE, IF(BL958 = "Continue", TRUE, FALSE))</f>
        <v>1</v>
      </c>
      <c r="BN959" s="22"/>
    </row>
    <row r="960" spans="1:66" ht="15" hidden="1" customHeight="1" x14ac:dyDescent="0.35">
      <c r="A960" s="17" t="str">
        <f>'Sampling Data'!AI960</f>
        <v/>
      </c>
      <c r="B960" s="17" t="str">
        <f>'Sampling Data'!A960</f>
        <v>6208 COLUM H   (ED)</v>
      </c>
      <c r="C960" s="17">
        <f>'Sampling Data'!B960</f>
        <v>1</v>
      </c>
      <c r="D960" s="17">
        <f>'Sampling Data'!C960</f>
        <v>0</v>
      </c>
      <c r="E960" s="18">
        <f>'Sampling Data'!D960</f>
        <v>0</v>
      </c>
      <c r="F960" s="18">
        <f>'Sampling Data'!E960</f>
        <v>0</v>
      </c>
      <c r="G960" s="18">
        <f>'Sampling Data'!F960</f>
        <v>0</v>
      </c>
      <c r="H960" s="18">
        <f>'Sampling Data'!G960</f>
        <v>0</v>
      </c>
      <c r="I960" s="18">
        <f>'Sampling Data'!H960</f>
        <v>0</v>
      </c>
      <c r="J960" s="18">
        <f>'Sampling Data'!I960</f>
        <v>0</v>
      </c>
      <c r="K960" s="18">
        <f>'Sampling Data'!J960</f>
        <v>0</v>
      </c>
      <c r="L960" s="18">
        <f>'Sampling Data'!K960</f>
        <v>0</v>
      </c>
      <c r="M960" s="18">
        <f>'Sampling Data'!L960</f>
        <v>0</v>
      </c>
      <c r="N960" s="18">
        <f>'Sampling Data'!M960</f>
        <v>0</v>
      </c>
      <c r="O960" s="17">
        <f>'Sampling Data'!N960</f>
        <v>0</v>
      </c>
      <c r="P960" s="17">
        <f>'Sampling Data'!O960</f>
        <v>0</v>
      </c>
      <c r="Q960" s="17">
        <f>'Sampling Data'!P960</f>
        <v>1</v>
      </c>
      <c r="R960" s="17">
        <f>'Sampling Data'!AJ960</f>
        <v>0</v>
      </c>
      <c r="S960" s="111"/>
      <c r="T960" s="111"/>
      <c r="U960" s="112"/>
      <c r="V960" s="112"/>
      <c r="W960" s="111"/>
      <c r="X960" s="111"/>
      <c r="Y960" s="111"/>
      <c r="Z960" s="111"/>
      <c r="AA960" s="14"/>
      <c r="AB960" s="14"/>
      <c r="AC960" s="14"/>
      <c r="AD960" s="14"/>
      <c r="AE960" s="113" t="str">
        <f>IF(NOT(ISBLANK(Audit[[#This Row],[Audit Winning Candidate]])), Audit[[#This Row],[Audit Winning Candidate]]-Audit[[#This Row],[Winning Candidate]], "")</f>
        <v/>
      </c>
      <c r="AF960" s="17" t="str">
        <f>IF(NOT(ISBLANK(Audit[[#This Row],[Audit Losing Candidate]])), Audit[[#This Row],[Audit Losing Candidate]]-Audit[[#This Row],[Losing Candidate]], "")</f>
        <v/>
      </c>
      <c r="AG960" s="17" t="str">
        <f>IF(NOT(ISBLANK(Audit[[#This Row],[Audit Candidate 3]])), Audit[[#This Row],[Audit Candidate 3]]-Audit[[#This Row],[Candidate 3]], "")</f>
        <v/>
      </c>
      <c r="AH960" s="17" t="str">
        <f>IF(NOT(ISBLANK(Audit[[#This Row],[Audit Candidate 4]])),Audit[[#This Row],[Audit Candidate 4]]-Audit[[#This Row],[Candidate 4]], "")</f>
        <v/>
      </c>
      <c r="AI960" s="17" t="str">
        <f>IF(NOT(ISBLANK(Audit[[#This Row],[Audit Candidate 5]])), Audit[[#This Row],[Audit Candidate 5]]-Audit[[#This Row],[Candidate 5]], "")</f>
        <v/>
      </c>
      <c r="AJ960" s="17" t="str">
        <f>IF(NOT(ISBLANK(Audit[[#This Row],[Audit Candidate 6]])), Audit[[#This Row],[Audit Candidate 6]]-Audit[[#This Row],[Candidate 6]], "")</f>
        <v/>
      </c>
      <c r="AK960" s="17" t="str">
        <f>IF(NOT(ISBLANK(Audit[[#This Row],[Audit Candidate 7]])), Audit[[#This Row],[Audit Candidate 7]]-Audit[[#This Row],[Candidate 7]], "")</f>
        <v/>
      </c>
      <c r="AL960" s="17" t="str">
        <f>IF(NOT(ISBLANK(Audit[[#This Row],[Audit Candidate 8]])), Audit[[#This Row],[Audit Candidate 8]]-Audit[[#This Row],[Candidate 8]], "")</f>
        <v/>
      </c>
      <c r="AM960" s="17" t="str">
        <f>IF(NOT(ISBLANK(Audit[[#This Row],[Audit Candidate 9]])), Audit[[#This Row],[Audit Candidate 9]]-Audit[[#This Row],[Candidate 9]], "")</f>
        <v/>
      </c>
      <c r="AN960" s="17" t="str">
        <f>IF(NOT(ISBLANK(Audit[[#This Row],[Audit Candidate 10]])), Audit[[#This Row],[Audit Candidate 10]]-Audit[[#This Row],[Candidate 10]], "")</f>
        <v/>
      </c>
      <c r="AO960" s="17" t="str">
        <f>IF(NOT(ISBLANK(Audit[[#This Row],[Audit Candidate 11]])), Audit[[#This Row],[Audit Candidate 11]]-Audit[[#This Row],[Candidate 11]], "")</f>
        <v/>
      </c>
      <c r="AP960" s="17" t="str">
        <f>IF(NOT(ISBLANK(Audit[[#This Row],[Audit Candidate 12]])), Audit[[#This Row],[Audit Candidate 12]]-Audit[[#This Row],[Candidate 12]], "")</f>
        <v/>
      </c>
      <c r="AQ960" s="17">
        <f>SUMIF(Audit[[#This Row],[Difference Winner]:[Difference Candidate 12]], "&gt;0")</f>
        <v>0</v>
      </c>
      <c r="AR960" s="17">
        <f>SUM(Audit[[#This Row],[Difference Winner]:[Difference Candidate 12]])</f>
        <v>0</v>
      </c>
      <c r="AS960" s="17">
        <f>IF(Audit[[#This Row],[Times p Drawn - With Replacement]]&gt;0, IF(Audit[[#This Row],[Canceled Differences]]&lt;0, Audit[[#This Row],[Max Differences]]+ABS(Audit[[#This Row],[Canceled Differences]]), Audit[[#This Row],[Max Differences]]), 0)</f>
        <v>0</v>
      </c>
      <c r="AT960" s="17">
        <f>'Sampling Data'!AB960</f>
        <v>8.4875233406891867E-5</v>
      </c>
      <c r="AU960" s="17">
        <f>IF(
      SUM(Audit[[#This Row],[Audit Losing Candidate]:[Audit Candidate 12]])
      &lt;&gt;0,
      (Audit[[#This Row],[Winning Candidate]]-Audit[[#This Row],[Losing Candidate]]-(Audit[[#This Row],[Audit Winning Candidate]]-Audit[[#This Row],[Audit Losing Candidate]]))/(Audit[[#Totals],[Winning Candidate]]-Audit[[#Totals],[Losing Candidate]]),
      0
)</f>
        <v>0</v>
      </c>
      <c r="AV9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0" s="17">
        <f>IF(Audit[[#This Row],[Max Relative Error (ep)]] = 0, 0, Audit[[#This Row],[Max Relative Error (ep)]]/Audit[[#This Row],[Error Bound (up) - Max. possible relative overstatement]])</f>
        <v>0</v>
      </c>
      <c r="BH9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60" s="17">
        <f t="shared" si="15"/>
        <v>1</v>
      </c>
      <c r="BJ960" s="17">
        <f>PRODUCT($BI$5:BI960)</f>
        <v>0.14573522051577942</v>
      </c>
      <c r="BK960" s="19">
        <f>1 - Audit[[#This Row],[K-M P Value]]</f>
        <v>0.85426477948422064</v>
      </c>
      <c r="BL960" s="17" t="str">
        <f>IF(Audit[[#This Row],[K-M P Value]]&gt;1-'General Info'!$B$12,"Continue", "Stop")</f>
        <v>Continue</v>
      </c>
      <c r="BM960" s="22" t="b">
        <f>IF(Audit[[#This Row],[Status - Continue or stop audit]] = "Continue", TRUE, IF(BL959 = "Continue", TRUE, FALSE))</f>
        <v>1</v>
      </c>
      <c r="BN960" s="22"/>
    </row>
    <row r="961" spans="1:66" ht="15" hidden="1" customHeight="1" x14ac:dyDescent="0.35">
      <c r="A961" s="17" t="str">
        <f>'Sampling Data'!AI961</f>
        <v/>
      </c>
      <c r="B961" s="17" t="str">
        <f>'Sampling Data'!A961</f>
        <v>6209 COLUM I   (ED)</v>
      </c>
      <c r="C961" s="17">
        <f>'Sampling Data'!B961</f>
        <v>16</v>
      </c>
      <c r="D961" s="17">
        <f>'Sampling Data'!C961</f>
        <v>17</v>
      </c>
      <c r="E961" s="18">
        <f>'Sampling Data'!D961</f>
        <v>0</v>
      </c>
      <c r="F961" s="18">
        <f>'Sampling Data'!E961</f>
        <v>0</v>
      </c>
      <c r="G961" s="18">
        <f>'Sampling Data'!F961</f>
        <v>0</v>
      </c>
      <c r="H961" s="18">
        <f>'Sampling Data'!G961</f>
        <v>0</v>
      </c>
      <c r="I961" s="18">
        <f>'Sampling Data'!H961</f>
        <v>0</v>
      </c>
      <c r="J961" s="18">
        <f>'Sampling Data'!I961</f>
        <v>0</v>
      </c>
      <c r="K961" s="18">
        <f>'Sampling Data'!J961</f>
        <v>0</v>
      </c>
      <c r="L961" s="18">
        <f>'Sampling Data'!K961</f>
        <v>0</v>
      </c>
      <c r="M961" s="18">
        <f>'Sampling Data'!L961</f>
        <v>0</v>
      </c>
      <c r="N961" s="18">
        <f>'Sampling Data'!M961</f>
        <v>0</v>
      </c>
      <c r="O961" s="17">
        <f>'Sampling Data'!N961</f>
        <v>0</v>
      </c>
      <c r="P961" s="17">
        <f>'Sampling Data'!O961</f>
        <v>3</v>
      </c>
      <c r="Q961" s="17">
        <f>'Sampling Data'!P961</f>
        <v>36</v>
      </c>
      <c r="R961" s="17">
        <f>'Sampling Data'!AJ961</f>
        <v>0</v>
      </c>
      <c r="S961" s="111"/>
      <c r="T961" s="111"/>
      <c r="U961" s="112"/>
      <c r="V961" s="112"/>
      <c r="W961" s="111"/>
      <c r="X961" s="111"/>
      <c r="Y961" s="111"/>
      <c r="Z961" s="111"/>
      <c r="AA961" s="14"/>
      <c r="AB961" s="14"/>
      <c r="AC961" s="14"/>
      <c r="AD961" s="14"/>
      <c r="AE961" s="113" t="str">
        <f>IF(NOT(ISBLANK(Audit[[#This Row],[Audit Winning Candidate]])), Audit[[#This Row],[Audit Winning Candidate]]-Audit[[#This Row],[Winning Candidate]], "")</f>
        <v/>
      </c>
      <c r="AF961" s="17" t="str">
        <f>IF(NOT(ISBLANK(Audit[[#This Row],[Audit Losing Candidate]])), Audit[[#This Row],[Audit Losing Candidate]]-Audit[[#This Row],[Losing Candidate]], "")</f>
        <v/>
      </c>
      <c r="AG961" s="17" t="str">
        <f>IF(NOT(ISBLANK(Audit[[#This Row],[Audit Candidate 3]])), Audit[[#This Row],[Audit Candidate 3]]-Audit[[#This Row],[Candidate 3]], "")</f>
        <v/>
      </c>
      <c r="AH961" s="17" t="str">
        <f>IF(NOT(ISBLANK(Audit[[#This Row],[Audit Candidate 4]])),Audit[[#This Row],[Audit Candidate 4]]-Audit[[#This Row],[Candidate 4]], "")</f>
        <v/>
      </c>
      <c r="AI961" s="17" t="str">
        <f>IF(NOT(ISBLANK(Audit[[#This Row],[Audit Candidate 5]])), Audit[[#This Row],[Audit Candidate 5]]-Audit[[#This Row],[Candidate 5]], "")</f>
        <v/>
      </c>
      <c r="AJ961" s="17" t="str">
        <f>IF(NOT(ISBLANK(Audit[[#This Row],[Audit Candidate 6]])), Audit[[#This Row],[Audit Candidate 6]]-Audit[[#This Row],[Candidate 6]], "")</f>
        <v/>
      </c>
      <c r="AK961" s="17" t="str">
        <f>IF(NOT(ISBLANK(Audit[[#This Row],[Audit Candidate 7]])), Audit[[#This Row],[Audit Candidate 7]]-Audit[[#This Row],[Candidate 7]], "")</f>
        <v/>
      </c>
      <c r="AL961" s="17" t="str">
        <f>IF(NOT(ISBLANK(Audit[[#This Row],[Audit Candidate 8]])), Audit[[#This Row],[Audit Candidate 8]]-Audit[[#This Row],[Candidate 8]], "")</f>
        <v/>
      </c>
      <c r="AM961" s="17" t="str">
        <f>IF(NOT(ISBLANK(Audit[[#This Row],[Audit Candidate 9]])), Audit[[#This Row],[Audit Candidate 9]]-Audit[[#This Row],[Candidate 9]], "")</f>
        <v/>
      </c>
      <c r="AN961" s="17" t="str">
        <f>IF(NOT(ISBLANK(Audit[[#This Row],[Audit Candidate 10]])), Audit[[#This Row],[Audit Candidate 10]]-Audit[[#This Row],[Candidate 10]], "")</f>
        <v/>
      </c>
      <c r="AO961" s="17" t="str">
        <f>IF(NOT(ISBLANK(Audit[[#This Row],[Audit Candidate 11]])), Audit[[#This Row],[Audit Candidate 11]]-Audit[[#This Row],[Candidate 11]], "")</f>
        <v/>
      </c>
      <c r="AP961" s="17" t="str">
        <f>IF(NOT(ISBLANK(Audit[[#This Row],[Audit Candidate 12]])), Audit[[#This Row],[Audit Candidate 12]]-Audit[[#This Row],[Candidate 12]], "")</f>
        <v/>
      </c>
      <c r="AQ961" s="17">
        <f>SUMIF(Audit[[#This Row],[Difference Winner]:[Difference Candidate 12]], "&gt;0")</f>
        <v>0</v>
      </c>
      <c r="AR961" s="17">
        <f>SUM(Audit[[#This Row],[Difference Winner]:[Difference Candidate 12]])</f>
        <v>0</v>
      </c>
      <c r="AS961" s="17">
        <f>IF(Audit[[#This Row],[Times p Drawn - With Replacement]]&gt;0, IF(Audit[[#This Row],[Canceled Differences]]&lt;0, Audit[[#This Row],[Max Differences]]+ABS(Audit[[#This Row],[Canceled Differences]]), Audit[[#This Row],[Max Differences]]), 0)</f>
        <v>0</v>
      </c>
      <c r="AT961" s="17">
        <f>'Sampling Data'!AB961</f>
        <v>1.4853165846206078E-3</v>
      </c>
      <c r="AU961" s="17">
        <f>IF(
      SUM(Audit[[#This Row],[Audit Losing Candidate]:[Audit Candidate 12]])
      &lt;&gt;0,
      (Audit[[#This Row],[Winning Candidate]]-Audit[[#This Row],[Losing Candidate]]-(Audit[[#This Row],[Audit Winning Candidate]]-Audit[[#This Row],[Audit Losing Candidate]]))/(Audit[[#Totals],[Winning Candidate]]-Audit[[#Totals],[Losing Candidate]]),
      0
)</f>
        <v>0</v>
      </c>
      <c r="AV9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1" s="17">
        <f>IF(Audit[[#This Row],[Max Relative Error (ep)]] = 0, 0, Audit[[#This Row],[Max Relative Error (ep)]]/Audit[[#This Row],[Error Bound (up) - Max. possible relative overstatement]])</f>
        <v>0</v>
      </c>
      <c r="BH9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61" s="17">
        <f t="shared" si="15"/>
        <v>1</v>
      </c>
      <c r="BJ961" s="17">
        <f>PRODUCT($BI$5:BI961)</f>
        <v>0.14573522051577942</v>
      </c>
      <c r="BK961" s="19">
        <f>1 - Audit[[#This Row],[K-M P Value]]</f>
        <v>0.85426477948422064</v>
      </c>
      <c r="BL961" s="17" t="str">
        <f>IF(Audit[[#This Row],[K-M P Value]]&gt;1-'General Info'!$B$12,"Continue", "Stop")</f>
        <v>Continue</v>
      </c>
      <c r="BM961" s="22" t="b">
        <f>IF(Audit[[#This Row],[Status - Continue or stop audit]] = "Continue", TRUE, IF(BL960 = "Continue", TRUE, FALSE))</f>
        <v>1</v>
      </c>
      <c r="BN961" s="22"/>
    </row>
    <row r="962" spans="1:66" ht="15" hidden="1" customHeight="1" x14ac:dyDescent="0.35">
      <c r="A962" s="17" t="str">
        <f>'Sampling Data'!AI962</f>
        <v/>
      </c>
      <c r="B962" s="17" t="str">
        <f>'Sampling Data'!A962</f>
        <v>6401 CROSB A   (ED)</v>
      </c>
      <c r="C962" s="17">
        <f>'Sampling Data'!B962</f>
        <v>133</v>
      </c>
      <c r="D962" s="17">
        <f>'Sampling Data'!C962</f>
        <v>685</v>
      </c>
      <c r="E962" s="18">
        <f>'Sampling Data'!D962</f>
        <v>0</v>
      </c>
      <c r="F962" s="18">
        <f>'Sampling Data'!E962</f>
        <v>0</v>
      </c>
      <c r="G962" s="18">
        <f>'Sampling Data'!F962</f>
        <v>0</v>
      </c>
      <c r="H962" s="18">
        <f>'Sampling Data'!G962</f>
        <v>0</v>
      </c>
      <c r="I962" s="18">
        <f>'Sampling Data'!H962</f>
        <v>0</v>
      </c>
      <c r="J962" s="18">
        <f>'Sampling Data'!I962</f>
        <v>0</v>
      </c>
      <c r="K962" s="18">
        <f>'Sampling Data'!J962</f>
        <v>0</v>
      </c>
      <c r="L962" s="18">
        <f>'Sampling Data'!K962</f>
        <v>0</v>
      </c>
      <c r="M962" s="18">
        <f>'Sampling Data'!L962</f>
        <v>0</v>
      </c>
      <c r="N962" s="18">
        <f>'Sampling Data'!M962</f>
        <v>0</v>
      </c>
      <c r="O962" s="17">
        <f>'Sampling Data'!N962</f>
        <v>0</v>
      </c>
      <c r="P962" s="17">
        <f>'Sampling Data'!O962</f>
        <v>69</v>
      </c>
      <c r="Q962" s="17">
        <f>'Sampling Data'!P962</f>
        <v>887</v>
      </c>
      <c r="R962" s="17">
        <f>'Sampling Data'!AJ962</f>
        <v>0</v>
      </c>
      <c r="S962" s="111"/>
      <c r="T962" s="111"/>
      <c r="U962" s="112"/>
      <c r="V962" s="112"/>
      <c r="W962" s="111"/>
      <c r="X962" s="111"/>
      <c r="Y962" s="111"/>
      <c r="Z962" s="111"/>
      <c r="AA962" s="14"/>
      <c r="AB962" s="14"/>
      <c r="AC962" s="14"/>
      <c r="AD962" s="14"/>
      <c r="AE962" s="113" t="str">
        <f>IF(NOT(ISBLANK(Audit[[#This Row],[Audit Winning Candidate]])), Audit[[#This Row],[Audit Winning Candidate]]-Audit[[#This Row],[Winning Candidate]], "")</f>
        <v/>
      </c>
      <c r="AF962" s="17" t="str">
        <f>IF(NOT(ISBLANK(Audit[[#This Row],[Audit Losing Candidate]])), Audit[[#This Row],[Audit Losing Candidate]]-Audit[[#This Row],[Losing Candidate]], "")</f>
        <v/>
      </c>
      <c r="AG962" s="17" t="str">
        <f>IF(NOT(ISBLANK(Audit[[#This Row],[Audit Candidate 3]])), Audit[[#This Row],[Audit Candidate 3]]-Audit[[#This Row],[Candidate 3]], "")</f>
        <v/>
      </c>
      <c r="AH962" s="17" t="str">
        <f>IF(NOT(ISBLANK(Audit[[#This Row],[Audit Candidate 4]])),Audit[[#This Row],[Audit Candidate 4]]-Audit[[#This Row],[Candidate 4]], "")</f>
        <v/>
      </c>
      <c r="AI962" s="17" t="str">
        <f>IF(NOT(ISBLANK(Audit[[#This Row],[Audit Candidate 5]])), Audit[[#This Row],[Audit Candidate 5]]-Audit[[#This Row],[Candidate 5]], "")</f>
        <v/>
      </c>
      <c r="AJ962" s="17" t="str">
        <f>IF(NOT(ISBLANK(Audit[[#This Row],[Audit Candidate 6]])), Audit[[#This Row],[Audit Candidate 6]]-Audit[[#This Row],[Candidate 6]], "")</f>
        <v/>
      </c>
      <c r="AK962" s="17" t="str">
        <f>IF(NOT(ISBLANK(Audit[[#This Row],[Audit Candidate 7]])), Audit[[#This Row],[Audit Candidate 7]]-Audit[[#This Row],[Candidate 7]], "")</f>
        <v/>
      </c>
      <c r="AL962" s="17" t="str">
        <f>IF(NOT(ISBLANK(Audit[[#This Row],[Audit Candidate 8]])), Audit[[#This Row],[Audit Candidate 8]]-Audit[[#This Row],[Candidate 8]], "")</f>
        <v/>
      </c>
      <c r="AM962" s="17" t="str">
        <f>IF(NOT(ISBLANK(Audit[[#This Row],[Audit Candidate 9]])), Audit[[#This Row],[Audit Candidate 9]]-Audit[[#This Row],[Candidate 9]], "")</f>
        <v/>
      </c>
      <c r="AN962" s="17" t="str">
        <f>IF(NOT(ISBLANK(Audit[[#This Row],[Audit Candidate 10]])), Audit[[#This Row],[Audit Candidate 10]]-Audit[[#This Row],[Candidate 10]], "")</f>
        <v/>
      </c>
      <c r="AO962" s="17" t="str">
        <f>IF(NOT(ISBLANK(Audit[[#This Row],[Audit Candidate 11]])), Audit[[#This Row],[Audit Candidate 11]]-Audit[[#This Row],[Candidate 11]], "")</f>
        <v/>
      </c>
      <c r="AP962" s="17" t="str">
        <f>IF(NOT(ISBLANK(Audit[[#This Row],[Audit Candidate 12]])), Audit[[#This Row],[Audit Candidate 12]]-Audit[[#This Row],[Candidate 12]], "")</f>
        <v/>
      </c>
      <c r="AQ962" s="17">
        <f>SUMIF(Audit[[#This Row],[Difference Winner]:[Difference Candidate 12]], "&gt;0")</f>
        <v>0</v>
      </c>
      <c r="AR962" s="17">
        <f>SUM(Audit[[#This Row],[Difference Winner]:[Difference Candidate 12]])</f>
        <v>0</v>
      </c>
      <c r="AS962" s="17">
        <f>IF(Audit[[#This Row],[Times p Drawn - With Replacement]]&gt;0, IF(Audit[[#This Row],[Canceled Differences]]&lt;0, Audit[[#This Row],[Max Differences]]+ABS(Audit[[#This Row],[Canceled Differences]]), Audit[[#This Row],[Max Differences]]), 0)</f>
        <v>0</v>
      </c>
      <c r="AT962" s="17">
        <f>'Sampling Data'!AB962</f>
        <v>1.4216601595654388E-2</v>
      </c>
      <c r="AU962" s="17">
        <f>IF(
      SUM(Audit[[#This Row],[Audit Losing Candidate]:[Audit Candidate 12]])
      &lt;&gt;0,
      (Audit[[#This Row],[Winning Candidate]]-Audit[[#This Row],[Losing Candidate]]-(Audit[[#This Row],[Audit Winning Candidate]]-Audit[[#This Row],[Audit Losing Candidate]]))/(Audit[[#Totals],[Winning Candidate]]-Audit[[#Totals],[Losing Candidate]]),
      0
)</f>
        <v>0</v>
      </c>
      <c r="AV9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2" s="17">
        <f>IF(Audit[[#This Row],[Max Relative Error (ep)]] = 0, 0, Audit[[#This Row],[Max Relative Error (ep)]]/Audit[[#This Row],[Error Bound (up) - Max. possible relative overstatement]])</f>
        <v>0</v>
      </c>
      <c r="BH9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62" s="17">
        <f t="shared" si="15"/>
        <v>1</v>
      </c>
      <c r="BJ962" s="17">
        <f>PRODUCT($BI$5:BI962)</f>
        <v>0.14573522051577942</v>
      </c>
      <c r="BK962" s="19">
        <f>1 - Audit[[#This Row],[K-M P Value]]</f>
        <v>0.85426477948422064</v>
      </c>
      <c r="BL962" s="17" t="str">
        <f>IF(Audit[[#This Row],[K-M P Value]]&gt;1-'General Info'!$B$12,"Continue", "Stop")</f>
        <v>Continue</v>
      </c>
      <c r="BM962" s="22" t="b">
        <f>IF(Audit[[#This Row],[Status - Continue or stop audit]] = "Continue", TRUE, IF(BL961 = "Continue", TRUE, FALSE))</f>
        <v>1</v>
      </c>
      <c r="BN962" s="22"/>
    </row>
    <row r="963" spans="1:66" ht="15" hidden="1" customHeight="1" x14ac:dyDescent="0.35">
      <c r="A963" s="17" t="str">
        <f>'Sampling Data'!AI963</f>
        <v/>
      </c>
      <c r="B963" s="17" t="str">
        <f>'Sampling Data'!A963</f>
        <v>6402 CROSB B   (ED)</v>
      </c>
      <c r="C963" s="17">
        <f>'Sampling Data'!B963</f>
        <v>77</v>
      </c>
      <c r="D963" s="17">
        <f>'Sampling Data'!C963</f>
        <v>651</v>
      </c>
      <c r="E963" s="18">
        <f>'Sampling Data'!D963</f>
        <v>0</v>
      </c>
      <c r="F963" s="18">
        <f>'Sampling Data'!E963</f>
        <v>0</v>
      </c>
      <c r="G963" s="18">
        <f>'Sampling Data'!F963</f>
        <v>0</v>
      </c>
      <c r="H963" s="18">
        <f>'Sampling Data'!G963</f>
        <v>0</v>
      </c>
      <c r="I963" s="18">
        <f>'Sampling Data'!H963</f>
        <v>0</v>
      </c>
      <c r="J963" s="18">
        <f>'Sampling Data'!I963</f>
        <v>0</v>
      </c>
      <c r="K963" s="18">
        <f>'Sampling Data'!J963</f>
        <v>0</v>
      </c>
      <c r="L963" s="18">
        <f>'Sampling Data'!K963</f>
        <v>0</v>
      </c>
      <c r="M963" s="18">
        <f>'Sampling Data'!L963</f>
        <v>0</v>
      </c>
      <c r="N963" s="18">
        <f>'Sampling Data'!M963</f>
        <v>0</v>
      </c>
      <c r="O963" s="17">
        <f>'Sampling Data'!N963</f>
        <v>0</v>
      </c>
      <c r="P963" s="17">
        <f>'Sampling Data'!O963</f>
        <v>54</v>
      </c>
      <c r="Q963" s="17">
        <f>'Sampling Data'!P963</f>
        <v>782</v>
      </c>
      <c r="R963" s="17">
        <f>'Sampling Data'!AJ963</f>
        <v>0</v>
      </c>
      <c r="S963" s="111"/>
      <c r="T963" s="111"/>
      <c r="U963" s="112"/>
      <c r="V963" s="112"/>
      <c r="W963" s="111"/>
      <c r="X963" s="111"/>
      <c r="Y963" s="111"/>
      <c r="Z963" s="111"/>
      <c r="AA963" s="14"/>
      <c r="AB963" s="14"/>
      <c r="AC963" s="14"/>
      <c r="AD963" s="14"/>
      <c r="AE963" s="113" t="str">
        <f>IF(NOT(ISBLANK(Audit[[#This Row],[Audit Winning Candidate]])), Audit[[#This Row],[Audit Winning Candidate]]-Audit[[#This Row],[Winning Candidate]], "")</f>
        <v/>
      </c>
      <c r="AF963" s="17" t="str">
        <f>IF(NOT(ISBLANK(Audit[[#This Row],[Audit Losing Candidate]])), Audit[[#This Row],[Audit Losing Candidate]]-Audit[[#This Row],[Losing Candidate]], "")</f>
        <v/>
      </c>
      <c r="AG963" s="17" t="str">
        <f>IF(NOT(ISBLANK(Audit[[#This Row],[Audit Candidate 3]])), Audit[[#This Row],[Audit Candidate 3]]-Audit[[#This Row],[Candidate 3]], "")</f>
        <v/>
      </c>
      <c r="AH963" s="17" t="str">
        <f>IF(NOT(ISBLANK(Audit[[#This Row],[Audit Candidate 4]])),Audit[[#This Row],[Audit Candidate 4]]-Audit[[#This Row],[Candidate 4]], "")</f>
        <v/>
      </c>
      <c r="AI963" s="17" t="str">
        <f>IF(NOT(ISBLANK(Audit[[#This Row],[Audit Candidate 5]])), Audit[[#This Row],[Audit Candidate 5]]-Audit[[#This Row],[Candidate 5]], "")</f>
        <v/>
      </c>
      <c r="AJ963" s="17" t="str">
        <f>IF(NOT(ISBLANK(Audit[[#This Row],[Audit Candidate 6]])), Audit[[#This Row],[Audit Candidate 6]]-Audit[[#This Row],[Candidate 6]], "")</f>
        <v/>
      </c>
      <c r="AK963" s="17" t="str">
        <f>IF(NOT(ISBLANK(Audit[[#This Row],[Audit Candidate 7]])), Audit[[#This Row],[Audit Candidate 7]]-Audit[[#This Row],[Candidate 7]], "")</f>
        <v/>
      </c>
      <c r="AL963" s="17" t="str">
        <f>IF(NOT(ISBLANK(Audit[[#This Row],[Audit Candidate 8]])), Audit[[#This Row],[Audit Candidate 8]]-Audit[[#This Row],[Candidate 8]], "")</f>
        <v/>
      </c>
      <c r="AM963" s="17" t="str">
        <f>IF(NOT(ISBLANK(Audit[[#This Row],[Audit Candidate 9]])), Audit[[#This Row],[Audit Candidate 9]]-Audit[[#This Row],[Candidate 9]], "")</f>
        <v/>
      </c>
      <c r="AN963" s="17" t="str">
        <f>IF(NOT(ISBLANK(Audit[[#This Row],[Audit Candidate 10]])), Audit[[#This Row],[Audit Candidate 10]]-Audit[[#This Row],[Candidate 10]], "")</f>
        <v/>
      </c>
      <c r="AO963" s="17" t="str">
        <f>IF(NOT(ISBLANK(Audit[[#This Row],[Audit Candidate 11]])), Audit[[#This Row],[Audit Candidate 11]]-Audit[[#This Row],[Candidate 11]], "")</f>
        <v/>
      </c>
      <c r="AP963" s="17" t="str">
        <f>IF(NOT(ISBLANK(Audit[[#This Row],[Audit Candidate 12]])), Audit[[#This Row],[Audit Candidate 12]]-Audit[[#This Row],[Candidate 12]], "")</f>
        <v/>
      </c>
      <c r="AQ963" s="17">
        <f>SUMIF(Audit[[#This Row],[Difference Winner]:[Difference Candidate 12]], "&gt;0")</f>
        <v>0</v>
      </c>
      <c r="AR963" s="17">
        <f>SUM(Audit[[#This Row],[Difference Winner]:[Difference Candidate 12]])</f>
        <v>0</v>
      </c>
      <c r="AS963" s="17">
        <f>IF(Audit[[#This Row],[Times p Drawn - With Replacement]]&gt;0, IF(Audit[[#This Row],[Canceled Differences]]&lt;0, Audit[[#This Row],[Max Differences]]+ABS(Audit[[#This Row],[Canceled Differences]]), Audit[[#This Row],[Max Differences]]), 0)</f>
        <v>0</v>
      </c>
      <c r="AT963" s="17">
        <f>'Sampling Data'!AB963</f>
        <v>8.8270242743167544E-3</v>
      </c>
      <c r="AU963" s="17">
        <f>IF(
      SUM(Audit[[#This Row],[Audit Losing Candidate]:[Audit Candidate 12]])
      &lt;&gt;0,
      (Audit[[#This Row],[Winning Candidate]]-Audit[[#This Row],[Losing Candidate]]-(Audit[[#This Row],[Audit Winning Candidate]]-Audit[[#This Row],[Audit Losing Candidate]]))/(Audit[[#Totals],[Winning Candidate]]-Audit[[#Totals],[Losing Candidate]]),
      0
)</f>
        <v>0</v>
      </c>
      <c r="AV9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3" s="17">
        <f>IF(Audit[[#This Row],[Max Relative Error (ep)]] = 0, 0, Audit[[#This Row],[Max Relative Error (ep)]]/Audit[[#This Row],[Error Bound (up) - Max. possible relative overstatement]])</f>
        <v>0</v>
      </c>
      <c r="BH9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63" s="17">
        <f t="shared" si="15"/>
        <v>1</v>
      </c>
      <c r="BJ963" s="17">
        <f>PRODUCT($BI$5:BI963)</f>
        <v>0.14573522051577942</v>
      </c>
      <c r="BK963" s="19">
        <f>1 - Audit[[#This Row],[K-M P Value]]</f>
        <v>0.85426477948422064</v>
      </c>
      <c r="BL963" s="17" t="str">
        <f>IF(Audit[[#This Row],[K-M P Value]]&gt;1-'General Info'!$B$12,"Continue", "Stop")</f>
        <v>Continue</v>
      </c>
      <c r="BM963" s="22" t="b">
        <f>IF(Audit[[#This Row],[Status - Continue or stop audit]] = "Continue", TRUE, IF(BL962 = "Continue", TRUE, FALSE))</f>
        <v>1</v>
      </c>
      <c r="BN963" s="22"/>
    </row>
    <row r="964" spans="1:66" ht="15" hidden="1" customHeight="1" x14ac:dyDescent="0.35">
      <c r="A964" s="17" t="str">
        <f>'Sampling Data'!AI964</f>
        <v/>
      </c>
      <c r="B964" s="17" t="str">
        <f>'Sampling Data'!A964</f>
        <v>6501 DELHI A   (ED)</v>
      </c>
      <c r="C964" s="17">
        <f>'Sampling Data'!B964</f>
        <v>209</v>
      </c>
      <c r="D964" s="17">
        <f>'Sampling Data'!C964</f>
        <v>386</v>
      </c>
      <c r="E964" s="18">
        <f>'Sampling Data'!D964</f>
        <v>0</v>
      </c>
      <c r="F964" s="18">
        <f>'Sampling Data'!E964</f>
        <v>0</v>
      </c>
      <c r="G964" s="18">
        <f>'Sampling Data'!F964</f>
        <v>0</v>
      </c>
      <c r="H964" s="18">
        <f>'Sampling Data'!G964</f>
        <v>0</v>
      </c>
      <c r="I964" s="18">
        <f>'Sampling Data'!H964</f>
        <v>0</v>
      </c>
      <c r="J964" s="18">
        <f>'Sampling Data'!I964</f>
        <v>0</v>
      </c>
      <c r="K964" s="18">
        <f>'Sampling Data'!J964</f>
        <v>0</v>
      </c>
      <c r="L964" s="18">
        <f>'Sampling Data'!K964</f>
        <v>0</v>
      </c>
      <c r="M964" s="18">
        <f>'Sampling Data'!L964</f>
        <v>0</v>
      </c>
      <c r="N964" s="18">
        <f>'Sampling Data'!M964</f>
        <v>0</v>
      </c>
      <c r="O964" s="17">
        <f>'Sampling Data'!N964</f>
        <v>0</v>
      </c>
      <c r="P964" s="17">
        <f>'Sampling Data'!O964</f>
        <v>47</v>
      </c>
      <c r="Q964" s="17">
        <f>'Sampling Data'!P964</f>
        <v>642</v>
      </c>
      <c r="R964" s="17">
        <f>'Sampling Data'!AJ964</f>
        <v>0</v>
      </c>
      <c r="S964" s="111"/>
      <c r="T964" s="111"/>
      <c r="U964" s="112"/>
      <c r="V964" s="112"/>
      <c r="W964" s="111"/>
      <c r="X964" s="111"/>
      <c r="Y964" s="111"/>
      <c r="Z964" s="111"/>
      <c r="AA964" s="14"/>
      <c r="AB964" s="14"/>
      <c r="AC964" s="14"/>
      <c r="AD964" s="14"/>
      <c r="AE964" s="113" t="str">
        <f>IF(NOT(ISBLANK(Audit[[#This Row],[Audit Winning Candidate]])), Audit[[#This Row],[Audit Winning Candidate]]-Audit[[#This Row],[Winning Candidate]], "")</f>
        <v/>
      </c>
      <c r="AF964" s="17" t="str">
        <f>IF(NOT(ISBLANK(Audit[[#This Row],[Audit Losing Candidate]])), Audit[[#This Row],[Audit Losing Candidate]]-Audit[[#This Row],[Losing Candidate]], "")</f>
        <v/>
      </c>
      <c r="AG964" s="17" t="str">
        <f>IF(NOT(ISBLANK(Audit[[#This Row],[Audit Candidate 3]])), Audit[[#This Row],[Audit Candidate 3]]-Audit[[#This Row],[Candidate 3]], "")</f>
        <v/>
      </c>
      <c r="AH964" s="17" t="str">
        <f>IF(NOT(ISBLANK(Audit[[#This Row],[Audit Candidate 4]])),Audit[[#This Row],[Audit Candidate 4]]-Audit[[#This Row],[Candidate 4]], "")</f>
        <v/>
      </c>
      <c r="AI964" s="17" t="str">
        <f>IF(NOT(ISBLANK(Audit[[#This Row],[Audit Candidate 5]])), Audit[[#This Row],[Audit Candidate 5]]-Audit[[#This Row],[Candidate 5]], "")</f>
        <v/>
      </c>
      <c r="AJ964" s="17" t="str">
        <f>IF(NOT(ISBLANK(Audit[[#This Row],[Audit Candidate 6]])), Audit[[#This Row],[Audit Candidate 6]]-Audit[[#This Row],[Candidate 6]], "")</f>
        <v/>
      </c>
      <c r="AK964" s="17" t="str">
        <f>IF(NOT(ISBLANK(Audit[[#This Row],[Audit Candidate 7]])), Audit[[#This Row],[Audit Candidate 7]]-Audit[[#This Row],[Candidate 7]], "")</f>
        <v/>
      </c>
      <c r="AL964" s="17" t="str">
        <f>IF(NOT(ISBLANK(Audit[[#This Row],[Audit Candidate 8]])), Audit[[#This Row],[Audit Candidate 8]]-Audit[[#This Row],[Candidate 8]], "")</f>
        <v/>
      </c>
      <c r="AM964" s="17" t="str">
        <f>IF(NOT(ISBLANK(Audit[[#This Row],[Audit Candidate 9]])), Audit[[#This Row],[Audit Candidate 9]]-Audit[[#This Row],[Candidate 9]], "")</f>
        <v/>
      </c>
      <c r="AN964" s="17" t="str">
        <f>IF(NOT(ISBLANK(Audit[[#This Row],[Audit Candidate 10]])), Audit[[#This Row],[Audit Candidate 10]]-Audit[[#This Row],[Candidate 10]], "")</f>
        <v/>
      </c>
      <c r="AO964" s="17" t="str">
        <f>IF(NOT(ISBLANK(Audit[[#This Row],[Audit Candidate 11]])), Audit[[#This Row],[Audit Candidate 11]]-Audit[[#This Row],[Candidate 11]], "")</f>
        <v/>
      </c>
      <c r="AP964" s="17" t="str">
        <f>IF(NOT(ISBLANK(Audit[[#This Row],[Audit Candidate 12]])), Audit[[#This Row],[Audit Candidate 12]]-Audit[[#This Row],[Candidate 12]], "")</f>
        <v/>
      </c>
      <c r="AQ964" s="17">
        <f>SUMIF(Audit[[#This Row],[Difference Winner]:[Difference Candidate 12]], "&gt;0")</f>
        <v>0</v>
      </c>
      <c r="AR964" s="17">
        <f>SUM(Audit[[#This Row],[Difference Winner]:[Difference Candidate 12]])</f>
        <v>0</v>
      </c>
      <c r="AS964" s="17">
        <f>IF(Audit[[#This Row],[Times p Drawn - With Replacement]]&gt;0, IF(Audit[[#This Row],[Canceled Differences]]&lt;0, Audit[[#This Row],[Max Differences]]+ABS(Audit[[#This Row],[Canceled Differences]]), Audit[[#This Row],[Max Differences]]), 0)</f>
        <v>0</v>
      </c>
      <c r="AT964" s="17">
        <f>'Sampling Data'!AB964</f>
        <v>1.973349176710236E-2</v>
      </c>
      <c r="AU964" s="17">
        <f>IF(
      SUM(Audit[[#This Row],[Audit Losing Candidate]:[Audit Candidate 12]])
      &lt;&gt;0,
      (Audit[[#This Row],[Winning Candidate]]-Audit[[#This Row],[Losing Candidate]]-(Audit[[#This Row],[Audit Winning Candidate]]-Audit[[#This Row],[Audit Losing Candidate]]))/(Audit[[#Totals],[Winning Candidate]]-Audit[[#Totals],[Losing Candidate]]),
      0
)</f>
        <v>0</v>
      </c>
      <c r="AV9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4" s="17">
        <f>IF(Audit[[#This Row],[Max Relative Error (ep)]] = 0, 0, Audit[[#This Row],[Max Relative Error (ep)]]/Audit[[#This Row],[Error Bound (up) - Max. possible relative overstatement]])</f>
        <v>0</v>
      </c>
      <c r="BH9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64" s="17">
        <f t="shared" si="15"/>
        <v>1</v>
      </c>
      <c r="BJ964" s="17">
        <f>PRODUCT($BI$5:BI964)</f>
        <v>0.14573522051577942</v>
      </c>
      <c r="BK964" s="19">
        <f>1 - Audit[[#This Row],[K-M P Value]]</f>
        <v>0.85426477948422064</v>
      </c>
      <c r="BL964" s="17" t="str">
        <f>IF(Audit[[#This Row],[K-M P Value]]&gt;1-'General Info'!$B$12,"Continue", "Stop")</f>
        <v>Continue</v>
      </c>
      <c r="BM964" s="22" t="b">
        <f>IF(Audit[[#This Row],[Status - Continue or stop audit]] = "Continue", TRUE, IF(BL963 = "Continue", TRUE, FALSE))</f>
        <v>1</v>
      </c>
      <c r="BN964" s="22"/>
    </row>
    <row r="965" spans="1:66" ht="15" hidden="1" customHeight="1" x14ac:dyDescent="0.35">
      <c r="A965" s="17" t="str">
        <f>'Sampling Data'!AI965</f>
        <v/>
      </c>
      <c r="B965" s="17" t="str">
        <f>'Sampling Data'!A965</f>
        <v>6502 DELHI B   (ED)</v>
      </c>
      <c r="C965" s="17">
        <f>'Sampling Data'!B965</f>
        <v>179</v>
      </c>
      <c r="D965" s="17">
        <f>'Sampling Data'!C965</f>
        <v>345</v>
      </c>
      <c r="E965" s="18">
        <f>'Sampling Data'!D965</f>
        <v>0</v>
      </c>
      <c r="F965" s="18">
        <f>'Sampling Data'!E965</f>
        <v>0</v>
      </c>
      <c r="G965" s="18">
        <f>'Sampling Data'!F965</f>
        <v>0</v>
      </c>
      <c r="H965" s="18">
        <f>'Sampling Data'!G965</f>
        <v>0</v>
      </c>
      <c r="I965" s="18">
        <f>'Sampling Data'!H965</f>
        <v>0</v>
      </c>
      <c r="J965" s="18">
        <f>'Sampling Data'!I965</f>
        <v>0</v>
      </c>
      <c r="K965" s="18">
        <f>'Sampling Data'!J965</f>
        <v>0</v>
      </c>
      <c r="L965" s="18">
        <f>'Sampling Data'!K965</f>
        <v>0</v>
      </c>
      <c r="M965" s="18">
        <f>'Sampling Data'!L965</f>
        <v>0</v>
      </c>
      <c r="N965" s="18">
        <f>'Sampling Data'!M965</f>
        <v>0</v>
      </c>
      <c r="O965" s="17">
        <f>'Sampling Data'!N965</f>
        <v>0</v>
      </c>
      <c r="P965" s="17">
        <f>'Sampling Data'!O965</f>
        <v>38</v>
      </c>
      <c r="Q965" s="17">
        <f>'Sampling Data'!P965</f>
        <v>562</v>
      </c>
      <c r="R965" s="17">
        <f>'Sampling Data'!AJ965</f>
        <v>0</v>
      </c>
      <c r="S965" s="111"/>
      <c r="T965" s="111"/>
      <c r="U965" s="112"/>
      <c r="V965" s="112"/>
      <c r="W965" s="111"/>
      <c r="X965" s="111"/>
      <c r="Y965" s="111"/>
      <c r="Z965" s="111"/>
      <c r="AA965" s="14"/>
      <c r="AB965" s="14"/>
      <c r="AC965" s="14"/>
      <c r="AD965" s="14"/>
      <c r="AE965" s="113" t="str">
        <f>IF(NOT(ISBLANK(Audit[[#This Row],[Audit Winning Candidate]])), Audit[[#This Row],[Audit Winning Candidate]]-Audit[[#This Row],[Winning Candidate]], "")</f>
        <v/>
      </c>
      <c r="AF965" s="17" t="str">
        <f>IF(NOT(ISBLANK(Audit[[#This Row],[Audit Losing Candidate]])), Audit[[#This Row],[Audit Losing Candidate]]-Audit[[#This Row],[Losing Candidate]], "")</f>
        <v/>
      </c>
      <c r="AG965" s="17" t="str">
        <f>IF(NOT(ISBLANK(Audit[[#This Row],[Audit Candidate 3]])), Audit[[#This Row],[Audit Candidate 3]]-Audit[[#This Row],[Candidate 3]], "")</f>
        <v/>
      </c>
      <c r="AH965" s="17" t="str">
        <f>IF(NOT(ISBLANK(Audit[[#This Row],[Audit Candidate 4]])),Audit[[#This Row],[Audit Candidate 4]]-Audit[[#This Row],[Candidate 4]], "")</f>
        <v/>
      </c>
      <c r="AI965" s="17" t="str">
        <f>IF(NOT(ISBLANK(Audit[[#This Row],[Audit Candidate 5]])), Audit[[#This Row],[Audit Candidate 5]]-Audit[[#This Row],[Candidate 5]], "")</f>
        <v/>
      </c>
      <c r="AJ965" s="17" t="str">
        <f>IF(NOT(ISBLANK(Audit[[#This Row],[Audit Candidate 6]])), Audit[[#This Row],[Audit Candidate 6]]-Audit[[#This Row],[Candidate 6]], "")</f>
        <v/>
      </c>
      <c r="AK965" s="17" t="str">
        <f>IF(NOT(ISBLANK(Audit[[#This Row],[Audit Candidate 7]])), Audit[[#This Row],[Audit Candidate 7]]-Audit[[#This Row],[Candidate 7]], "")</f>
        <v/>
      </c>
      <c r="AL965" s="17" t="str">
        <f>IF(NOT(ISBLANK(Audit[[#This Row],[Audit Candidate 8]])), Audit[[#This Row],[Audit Candidate 8]]-Audit[[#This Row],[Candidate 8]], "")</f>
        <v/>
      </c>
      <c r="AM965" s="17" t="str">
        <f>IF(NOT(ISBLANK(Audit[[#This Row],[Audit Candidate 9]])), Audit[[#This Row],[Audit Candidate 9]]-Audit[[#This Row],[Candidate 9]], "")</f>
        <v/>
      </c>
      <c r="AN965" s="17" t="str">
        <f>IF(NOT(ISBLANK(Audit[[#This Row],[Audit Candidate 10]])), Audit[[#This Row],[Audit Candidate 10]]-Audit[[#This Row],[Candidate 10]], "")</f>
        <v/>
      </c>
      <c r="AO965" s="17" t="str">
        <f>IF(NOT(ISBLANK(Audit[[#This Row],[Audit Candidate 11]])), Audit[[#This Row],[Audit Candidate 11]]-Audit[[#This Row],[Candidate 11]], "")</f>
        <v/>
      </c>
      <c r="AP965" s="17" t="str">
        <f>IF(NOT(ISBLANK(Audit[[#This Row],[Audit Candidate 12]])), Audit[[#This Row],[Audit Candidate 12]]-Audit[[#This Row],[Candidate 12]], "")</f>
        <v/>
      </c>
      <c r="AQ965" s="17">
        <f>SUMIF(Audit[[#This Row],[Difference Winner]:[Difference Candidate 12]], "&gt;0")</f>
        <v>0</v>
      </c>
      <c r="AR965" s="17">
        <f>SUM(Audit[[#This Row],[Difference Winner]:[Difference Candidate 12]])</f>
        <v>0</v>
      </c>
      <c r="AS965" s="17">
        <f>IF(Audit[[#This Row],[Times p Drawn - With Replacement]]&gt;0, IF(Audit[[#This Row],[Canceled Differences]]&lt;0, Audit[[#This Row],[Max Differences]]+ABS(Audit[[#This Row],[Canceled Differences]]), Audit[[#This Row],[Max Differences]]), 0)</f>
        <v>0</v>
      </c>
      <c r="AT965" s="17">
        <f>'Sampling Data'!AB965</f>
        <v>1.6805296214564589E-2</v>
      </c>
      <c r="AU965" s="17">
        <f>IF(
      SUM(Audit[[#This Row],[Audit Losing Candidate]:[Audit Candidate 12]])
      &lt;&gt;0,
      (Audit[[#This Row],[Winning Candidate]]-Audit[[#This Row],[Losing Candidate]]-(Audit[[#This Row],[Audit Winning Candidate]]-Audit[[#This Row],[Audit Losing Candidate]]))/(Audit[[#Totals],[Winning Candidate]]-Audit[[#Totals],[Losing Candidate]]),
      0
)</f>
        <v>0</v>
      </c>
      <c r="AV9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5" s="17">
        <f>IF(Audit[[#This Row],[Max Relative Error (ep)]] = 0, 0, Audit[[#This Row],[Max Relative Error (ep)]]/Audit[[#This Row],[Error Bound (up) - Max. possible relative overstatement]])</f>
        <v>0</v>
      </c>
      <c r="BH9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65" s="17">
        <f t="shared" si="15"/>
        <v>1</v>
      </c>
      <c r="BJ965" s="17">
        <f>PRODUCT($BI$5:BI965)</f>
        <v>0.14573522051577942</v>
      </c>
      <c r="BK965" s="19">
        <f>1 - Audit[[#This Row],[K-M P Value]]</f>
        <v>0.85426477948422064</v>
      </c>
      <c r="BL965" s="17" t="str">
        <f>IF(Audit[[#This Row],[K-M P Value]]&gt;1-'General Info'!$B$12,"Continue", "Stop")</f>
        <v>Continue</v>
      </c>
      <c r="BM965" s="22" t="b">
        <f>IF(Audit[[#This Row],[Status - Continue or stop audit]] = "Continue", TRUE, IF(BL964 = "Continue", TRUE, FALSE))</f>
        <v>1</v>
      </c>
      <c r="BN965" s="22"/>
    </row>
    <row r="966" spans="1:66" ht="15" hidden="1" customHeight="1" x14ac:dyDescent="0.35">
      <c r="A966" s="17" t="str">
        <f>'Sampling Data'!AI966</f>
        <v/>
      </c>
      <c r="B966" s="17" t="str">
        <f>'Sampling Data'!A966</f>
        <v>6503 DELHI C   (ED)</v>
      </c>
      <c r="C966" s="17">
        <f>'Sampling Data'!B966</f>
        <v>146</v>
      </c>
      <c r="D966" s="17">
        <f>'Sampling Data'!C966</f>
        <v>470</v>
      </c>
      <c r="E966" s="18">
        <f>'Sampling Data'!D966</f>
        <v>0</v>
      </c>
      <c r="F966" s="18">
        <f>'Sampling Data'!E966</f>
        <v>0</v>
      </c>
      <c r="G966" s="18">
        <f>'Sampling Data'!F966</f>
        <v>0</v>
      </c>
      <c r="H966" s="18">
        <f>'Sampling Data'!G966</f>
        <v>0</v>
      </c>
      <c r="I966" s="18">
        <f>'Sampling Data'!H966</f>
        <v>0</v>
      </c>
      <c r="J966" s="18">
        <f>'Sampling Data'!I966</f>
        <v>0</v>
      </c>
      <c r="K966" s="18">
        <f>'Sampling Data'!J966</f>
        <v>0</v>
      </c>
      <c r="L966" s="18">
        <f>'Sampling Data'!K966</f>
        <v>0</v>
      </c>
      <c r="M966" s="18">
        <f>'Sampling Data'!L966</f>
        <v>0</v>
      </c>
      <c r="N966" s="18">
        <f>'Sampling Data'!M966</f>
        <v>0</v>
      </c>
      <c r="O966" s="17">
        <f>'Sampling Data'!N966</f>
        <v>2</v>
      </c>
      <c r="P966" s="17">
        <f>'Sampling Data'!O966</f>
        <v>56</v>
      </c>
      <c r="Q966" s="17">
        <f>'Sampling Data'!P966</f>
        <v>674</v>
      </c>
      <c r="R966" s="17">
        <f>'Sampling Data'!AJ966</f>
        <v>0</v>
      </c>
      <c r="S966" s="111"/>
      <c r="T966" s="111"/>
      <c r="U966" s="112"/>
      <c r="V966" s="112"/>
      <c r="W966" s="111"/>
      <c r="X966" s="111"/>
      <c r="Y966" s="111"/>
      <c r="Z966" s="111"/>
      <c r="AA966" s="14"/>
      <c r="AB966" s="14"/>
      <c r="AC966" s="14"/>
      <c r="AD966" s="14"/>
      <c r="AE966" s="113" t="str">
        <f>IF(NOT(ISBLANK(Audit[[#This Row],[Audit Winning Candidate]])), Audit[[#This Row],[Audit Winning Candidate]]-Audit[[#This Row],[Winning Candidate]], "")</f>
        <v/>
      </c>
      <c r="AF966" s="17" t="str">
        <f>IF(NOT(ISBLANK(Audit[[#This Row],[Audit Losing Candidate]])), Audit[[#This Row],[Audit Losing Candidate]]-Audit[[#This Row],[Losing Candidate]], "")</f>
        <v/>
      </c>
      <c r="AG966" s="17" t="str">
        <f>IF(NOT(ISBLANK(Audit[[#This Row],[Audit Candidate 3]])), Audit[[#This Row],[Audit Candidate 3]]-Audit[[#This Row],[Candidate 3]], "")</f>
        <v/>
      </c>
      <c r="AH966" s="17" t="str">
        <f>IF(NOT(ISBLANK(Audit[[#This Row],[Audit Candidate 4]])),Audit[[#This Row],[Audit Candidate 4]]-Audit[[#This Row],[Candidate 4]], "")</f>
        <v/>
      </c>
      <c r="AI966" s="17" t="str">
        <f>IF(NOT(ISBLANK(Audit[[#This Row],[Audit Candidate 5]])), Audit[[#This Row],[Audit Candidate 5]]-Audit[[#This Row],[Candidate 5]], "")</f>
        <v/>
      </c>
      <c r="AJ966" s="17" t="str">
        <f>IF(NOT(ISBLANK(Audit[[#This Row],[Audit Candidate 6]])), Audit[[#This Row],[Audit Candidate 6]]-Audit[[#This Row],[Candidate 6]], "")</f>
        <v/>
      </c>
      <c r="AK966" s="17" t="str">
        <f>IF(NOT(ISBLANK(Audit[[#This Row],[Audit Candidate 7]])), Audit[[#This Row],[Audit Candidate 7]]-Audit[[#This Row],[Candidate 7]], "")</f>
        <v/>
      </c>
      <c r="AL966" s="17" t="str">
        <f>IF(NOT(ISBLANK(Audit[[#This Row],[Audit Candidate 8]])), Audit[[#This Row],[Audit Candidate 8]]-Audit[[#This Row],[Candidate 8]], "")</f>
        <v/>
      </c>
      <c r="AM966" s="17" t="str">
        <f>IF(NOT(ISBLANK(Audit[[#This Row],[Audit Candidate 9]])), Audit[[#This Row],[Audit Candidate 9]]-Audit[[#This Row],[Candidate 9]], "")</f>
        <v/>
      </c>
      <c r="AN966" s="17" t="str">
        <f>IF(NOT(ISBLANK(Audit[[#This Row],[Audit Candidate 10]])), Audit[[#This Row],[Audit Candidate 10]]-Audit[[#This Row],[Candidate 10]], "")</f>
        <v/>
      </c>
      <c r="AO966" s="17" t="str">
        <f>IF(NOT(ISBLANK(Audit[[#This Row],[Audit Candidate 11]])), Audit[[#This Row],[Audit Candidate 11]]-Audit[[#This Row],[Candidate 11]], "")</f>
        <v/>
      </c>
      <c r="AP966" s="17" t="str">
        <f>IF(NOT(ISBLANK(Audit[[#This Row],[Audit Candidate 12]])), Audit[[#This Row],[Audit Candidate 12]]-Audit[[#This Row],[Candidate 12]], "")</f>
        <v/>
      </c>
      <c r="AQ966" s="17">
        <f>SUMIF(Audit[[#This Row],[Difference Winner]:[Difference Candidate 12]], "&gt;0")</f>
        <v>0</v>
      </c>
      <c r="AR966" s="17">
        <f>SUM(Audit[[#This Row],[Difference Winner]:[Difference Candidate 12]])</f>
        <v>0</v>
      </c>
      <c r="AS966" s="17">
        <f>IF(Audit[[#This Row],[Times p Drawn - With Replacement]]&gt;0, IF(Audit[[#This Row],[Canceled Differences]]&lt;0, Audit[[#This Row],[Max Differences]]+ABS(Audit[[#This Row],[Canceled Differences]]), Audit[[#This Row],[Max Differences]]), 0)</f>
        <v>0</v>
      </c>
      <c r="AT966" s="17">
        <f>'Sampling Data'!AB966</f>
        <v>1.4853165846206077E-2</v>
      </c>
      <c r="AU966" s="17">
        <f>IF(
      SUM(Audit[[#This Row],[Audit Losing Candidate]:[Audit Candidate 12]])
      &lt;&gt;0,
      (Audit[[#This Row],[Winning Candidate]]-Audit[[#This Row],[Losing Candidate]]-(Audit[[#This Row],[Audit Winning Candidate]]-Audit[[#This Row],[Audit Losing Candidate]]))/(Audit[[#Totals],[Winning Candidate]]-Audit[[#Totals],[Losing Candidate]]),
      0
)</f>
        <v>0</v>
      </c>
      <c r="AV9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6" s="17">
        <f>IF(Audit[[#This Row],[Max Relative Error (ep)]] = 0, 0, Audit[[#This Row],[Max Relative Error (ep)]]/Audit[[#This Row],[Error Bound (up) - Max. possible relative overstatement]])</f>
        <v>0</v>
      </c>
      <c r="BH9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66" s="17">
        <f t="shared" si="15"/>
        <v>1</v>
      </c>
      <c r="BJ966" s="17">
        <f>PRODUCT($BI$5:BI966)</f>
        <v>0.14573522051577942</v>
      </c>
      <c r="BK966" s="19">
        <f>1 - Audit[[#This Row],[K-M P Value]]</f>
        <v>0.85426477948422064</v>
      </c>
      <c r="BL966" s="17" t="str">
        <f>IF(Audit[[#This Row],[K-M P Value]]&gt;1-'General Info'!$B$12,"Continue", "Stop")</f>
        <v>Continue</v>
      </c>
      <c r="BM966" s="22" t="b">
        <f>IF(Audit[[#This Row],[Status - Continue or stop audit]] = "Continue", TRUE, IF(BL965 = "Continue", TRUE, FALSE))</f>
        <v>1</v>
      </c>
      <c r="BN966" s="22"/>
    </row>
    <row r="967" spans="1:66" ht="15" hidden="1" customHeight="1" x14ac:dyDescent="0.35">
      <c r="A967" s="17" t="str">
        <f>'Sampling Data'!AI967</f>
        <v/>
      </c>
      <c r="B967" s="17" t="str">
        <f>'Sampling Data'!A967</f>
        <v>6504 DELHI D   (ED)</v>
      </c>
      <c r="C967" s="17">
        <f>'Sampling Data'!B967</f>
        <v>133</v>
      </c>
      <c r="D967" s="17">
        <f>'Sampling Data'!C967</f>
        <v>332</v>
      </c>
      <c r="E967" s="18">
        <f>'Sampling Data'!D967</f>
        <v>0</v>
      </c>
      <c r="F967" s="18">
        <f>'Sampling Data'!E967</f>
        <v>0</v>
      </c>
      <c r="G967" s="18">
        <f>'Sampling Data'!F967</f>
        <v>0</v>
      </c>
      <c r="H967" s="18">
        <f>'Sampling Data'!G967</f>
        <v>0</v>
      </c>
      <c r="I967" s="18">
        <f>'Sampling Data'!H967</f>
        <v>0</v>
      </c>
      <c r="J967" s="18">
        <f>'Sampling Data'!I967</f>
        <v>0</v>
      </c>
      <c r="K967" s="18">
        <f>'Sampling Data'!J967</f>
        <v>0</v>
      </c>
      <c r="L967" s="18">
        <f>'Sampling Data'!K967</f>
        <v>0</v>
      </c>
      <c r="M967" s="18">
        <f>'Sampling Data'!L967</f>
        <v>0</v>
      </c>
      <c r="N967" s="18">
        <f>'Sampling Data'!M967</f>
        <v>0</v>
      </c>
      <c r="O967" s="17">
        <f>'Sampling Data'!N967</f>
        <v>0</v>
      </c>
      <c r="P967" s="17">
        <f>'Sampling Data'!O967</f>
        <v>38</v>
      </c>
      <c r="Q967" s="17">
        <f>'Sampling Data'!P967</f>
        <v>503</v>
      </c>
      <c r="R967" s="17">
        <f>'Sampling Data'!AJ967</f>
        <v>0</v>
      </c>
      <c r="S967" s="111"/>
      <c r="T967" s="111"/>
      <c r="U967" s="112"/>
      <c r="V967" s="112"/>
      <c r="W967" s="111"/>
      <c r="X967" s="111"/>
      <c r="Y967" s="111"/>
      <c r="Z967" s="111"/>
      <c r="AA967" s="14"/>
      <c r="AB967" s="14"/>
      <c r="AC967" s="14"/>
      <c r="AD967" s="14"/>
      <c r="AE967" s="113" t="str">
        <f>IF(NOT(ISBLANK(Audit[[#This Row],[Audit Winning Candidate]])), Audit[[#This Row],[Audit Winning Candidate]]-Audit[[#This Row],[Winning Candidate]], "")</f>
        <v/>
      </c>
      <c r="AF967" s="17" t="str">
        <f>IF(NOT(ISBLANK(Audit[[#This Row],[Audit Losing Candidate]])), Audit[[#This Row],[Audit Losing Candidate]]-Audit[[#This Row],[Losing Candidate]], "")</f>
        <v/>
      </c>
      <c r="AG967" s="17" t="str">
        <f>IF(NOT(ISBLANK(Audit[[#This Row],[Audit Candidate 3]])), Audit[[#This Row],[Audit Candidate 3]]-Audit[[#This Row],[Candidate 3]], "")</f>
        <v/>
      </c>
      <c r="AH967" s="17" t="str">
        <f>IF(NOT(ISBLANK(Audit[[#This Row],[Audit Candidate 4]])),Audit[[#This Row],[Audit Candidate 4]]-Audit[[#This Row],[Candidate 4]], "")</f>
        <v/>
      </c>
      <c r="AI967" s="17" t="str">
        <f>IF(NOT(ISBLANK(Audit[[#This Row],[Audit Candidate 5]])), Audit[[#This Row],[Audit Candidate 5]]-Audit[[#This Row],[Candidate 5]], "")</f>
        <v/>
      </c>
      <c r="AJ967" s="17" t="str">
        <f>IF(NOT(ISBLANK(Audit[[#This Row],[Audit Candidate 6]])), Audit[[#This Row],[Audit Candidate 6]]-Audit[[#This Row],[Candidate 6]], "")</f>
        <v/>
      </c>
      <c r="AK967" s="17" t="str">
        <f>IF(NOT(ISBLANK(Audit[[#This Row],[Audit Candidate 7]])), Audit[[#This Row],[Audit Candidate 7]]-Audit[[#This Row],[Candidate 7]], "")</f>
        <v/>
      </c>
      <c r="AL967" s="17" t="str">
        <f>IF(NOT(ISBLANK(Audit[[#This Row],[Audit Candidate 8]])), Audit[[#This Row],[Audit Candidate 8]]-Audit[[#This Row],[Candidate 8]], "")</f>
        <v/>
      </c>
      <c r="AM967" s="17" t="str">
        <f>IF(NOT(ISBLANK(Audit[[#This Row],[Audit Candidate 9]])), Audit[[#This Row],[Audit Candidate 9]]-Audit[[#This Row],[Candidate 9]], "")</f>
        <v/>
      </c>
      <c r="AN967" s="17" t="str">
        <f>IF(NOT(ISBLANK(Audit[[#This Row],[Audit Candidate 10]])), Audit[[#This Row],[Audit Candidate 10]]-Audit[[#This Row],[Candidate 10]], "")</f>
        <v/>
      </c>
      <c r="AO967" s="17" t="str">
        <f>IF(NOT(ISBLANK(Audit[[#This Row],[Audit Candidate 11]])), Audit[[#This Row],[Audit Candidate 11]]-Audit[[#This Row],[Candidate 11]], "")</f>
        <v/>
      </c>
      <c r="AP967" s="17" t="str">
        <f>IF(NOT(ISBLANK(Audit[[#This Row],[Audit Candidate 12]])), Audit[[#This Row],[Audit Candidate 12]]-Audit[[#This Row],[Candidate 12]], "")</f>
        <v/>
      </c>
      <c r="AQ967" s="17">
        <f>SUMIF(Audit[[#This Row],[Difference Winner]:[Difference Candidate 12]], "&gt;0")</f>
        <v>0</v>
      </c>
      <c r="AR967" s="17">
        <f>SUM(Audit[[#This Row],[Difference Winner]:[Difference Candidate 12]])</f>
        <v>0</v>
      </c>
      <c r="AS967" s="17">
        <f>IF(Audit[[#This Row],[Times p Drawn - With Replacement]]&gt;0, IF(Audit[[#This Row],[Canceled Differences]]&lt;0, Audit[[#This Row],[Max Differences]]+ABS(Audit[[#This Row],[Canceled Differences]]), Audit[[#This Row],[Max Differences]]), 0)</f>
        <v>0</v>
      </c>
      <c r="AT967" s="17">
        <f>'Sampling Data'!AB967</f>
        <v>1.2901035477847564E-2</v>
      </c>
      <c r="AU967" s="17">
        <f>IF(
      SUM(Audit[[#This Row],[Audit Losing Candidate]:[Audit Candidate 12]])
      &lt;&gt;0,
      (Audit[[#This Row],[Winning Candidate]]-Audit[[#This Row],[Losing Candidate]]-(Audit[[#This Row],[Audit Winning Candidate]]-Audit[[#This Row],[Audit Losing Candidate]]))/(Audit[[#Totals],[Winning Candidate]]-Audit[[#Totals],[Losing Candidate]]),
      0
)</f>
        <v>0</v>
      </c>
      <c r="AV9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7" s="17">
        <f>IF(Audit[[#This Row],[Max Relative Error (ep)]] = 0, 0, Audit[[#This Row],[Max Relative Error (ep)]]/Audit[[#This Row],[Error Bound (up) - Max. possible relative overstatement]])</f>
        <v>0</v>
      </c>
      <c r="BH9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67" s="17">
        <f t="shared" si="15"/>
        <v>1</v>
      </c>
      <c r="BJ967" s="17">
        <f>PRODUCT($BI$5:BI967)</f>
        <v>0.14573522051577942</v>
      </c>
      <c r="BK967" s="19">
        <f>1 - Audit[[#This Row],[K-M P Value]]</f>
        <v>0.85426477948422064</v>
      </c>
      <c r="BL967" s="17" t="str">
        <f>IF(Audit[[#This Row],[K-M P Value]]&gt;1-'General Info'!$B$12,"Continue", "Stop")</f>
        <v>Continue</v>
      </c>
      <c r="BM967" s="22" t="b">
        <f>IF(Audit[[#This Row],[Status - Continue or stop audit]] = "Continue", TRUE, IF(BL966 = "Continue", TRUE, FALSE))</f>
        <v>1</v>
      </c>
      <c r="BN967" s="22"/>
    </row>
    <row r="968" spans="1:66" ht="15" hidden="1" customHeight="1" x14ac:dyDescent="0.35">
      <c r="A968" s="17" t="str">
        <f>'Sampling Data'!AI968</f>
        <v/>
      </c>
      <c r="B968" s="17" t="str">
        <f>'Sampling Data'!A968</f>
        <v>6505 DELHI E   (ED)</v>
      </c>
      <c r="C968" s="17">
        <f>'Sampling Data'!B968</f>
        <v>113</v>
      </c>
      <c r="D968" s="17">
        <f>'Sampling Data'!C968</f>
        <v>475</v>
      </c>
      <c r="E968" s="18">
        <f>'Sampling Data'!D968</f>
        <v>0</v>
      </c>
      <c r="F968" s="18">
        <f>'Sampling Data'!E968</f>
        <v>0</v>
      </c>
      <c r="G968" s="18">
        <f>'Sampling Data'!F968</f>
        <v>0</v>
      </c>
      <c r="H968" s="18">
        <f>'Sampling Data'!G968</f>
        <v>0</v>
      </c>
      <c r="I968" s="18">
        <f>'Sampling Data'!H968</f>
        <v>0</v>
      </c>
      <c r="J968" s="18">
        <f>'Sampling Data'!I968</f>
        <v>0</v>
      </c>
      <c r="K968" s="18">
        <f>'Sampling Data'!J968</f>
        <v>0</v>
      </c>
      <c r="L968" s="18">
        <f>'Sampling Data'!K968</f>
        <v>0</v>
      </c>
      <c r="M968" s="18">
        <f>'Sampling Data'!L968</f>
        <v>0</v>
      </c>
      <c r="N968" s="18">
        <f>'Sampling Data'!M968</f>
        <v>0</v>
      </c>
      <c r="O968" s="17">
        <f>'Sampling Data'!N968</f>
        <v>1</v>
      </c>
      <c r="P968" s="17">
        <f>'Sampling Data'!O968</f>
        <v>37</v>
      </c>
      <c r="Q968" s="17">
        <f>'Sampling Data'!P968</f>
        <v>626</v>
      </c>
      <c r="R968" s="17">
        <f>'Sampling Data'!AJ968</f>
        <v>0</v>
      </c>
      <c r="S968" s="111"/>
      <c r="T968" s="111"/>
      <c r="U968" s="112"/>
      <c r="V968" s="112"/>
      <c r="W968" s="111"/>
      <c r="X968" s="111"/>
      <c r="Y968" s="111"/>
      <c r="Z968" s="111"/>
      <c r="AA968" s="14"/>
      <c r="AB968" s="14"/>
      <c r="AC968" s="14"/>
      <c r="AD968" s="14"/>
      <c r="AE968" s="113" t="str">
        <f>IF(NOT(ISBLANK(Audit[[#This Row],[Audit Winning Candidate]])), Audit[[#This Row],[Audit Winning Candidate]]-Audit[[#This Row],[Winning Candidate]], "")</f>
        <v/>
      </c>
      <c r="AF968" s="17" t="str">
        <f>IF(NOT(ISBLANK(Audit[[#This Row],[Audit Losing Candidate]])), Audit[[#This Row],[Audit Losing Candidate]]-Audit[[#This Row],[Losing Candidate]], "")</f>
        <v/>
      </c>
      <c r="AG968" s="17" t="str">
        <f>IF(NOT(ISBLANK(Audit[[#This Row],[Audit Candidate 3]])), Audit[[#This Row],[Audit Candidate 3]]-Audit[[#This Row],[Candidate 3]], "")</f>
        <v/>
      </c>
      <c r="AH968" s="17" t="str">
        <f>IF(NOT(ISBLANK(Audit[[#This Row],[Audit Candidate 4]])),Audit[[#This Row],[Audit Candidate 4]]-Audit[[#This Row],[Candidate 4]], "")</f>
        <v/>
      </c>
      <c r="AI968" s="17" t="str">
        <f>IF(NOT(ISBLANK(Audit[[#This Row],[Audit Candidate 5]])), Audit[[#This Row],[Audit Candidate 5]]-Audit[[#This Row],[Candidate 5]], "")</f>
        <v/>
      </c>
      <c r="AJ968" s="17" t="str">
        <f>IF(NOT(ISBLANK(Audit[[#This Row],[Audit Candidate 6]])), Audit[[#This Row],[Audit Candidate 6]]-Audit[[#This Row],[Candidate 6]], "")</f>
        <v/>
      </c>
      <c r="AK968" s="17" t="str">
        <f>IF(NOT(ISBLANK(Audit[[#This Row],[Audit Candidate 7]])), Audit[[#This Row],[Audit Candidate 7]]-Audit[[#This Row],[Candidate 7]], "")</f>
        <v/>
      </c>
      <c r="AL968" s="17" t="str">
        <f>IF(NOT(ISBLANK(Audit[[#This Row],[Audit Candidate 8]])), Audit[[#This Row],[Audit Candidate 8]]-Audit[[#This Row],[Candidate 8]], "")</f>
        <v/>
      </c>
      <c r="AM968" s="17" t="str">
        <f>IF(NOT(ISBLANK(Audit[[#This Row],[Audit Candidate 9]])), Audit[[#This Row],[Audit Candidate 9]]-Audit[[#This Row],[Candidate 9]], "")</f>
        <v/>
      </c>
      <c r="AN968" s="17" t="str">
        <f>IF(NOT(ISBLANK(Audit[[#This Row],[Audit Candidate 10]])), Audit[[#This Row],[Audit Candidate 10]]-Audit[[#This Row],[Candidate 10]], "")</f>
        <v/>
      </c>
      <c r="AO968" s="17" t="str">
        <f>IF(NOT(ISBLANK(Audit[[#This Row],[Audit Candidate 11]])), Audit[[#This Row],[Audit Candidate 11]]-Audit[[#This Row],[Candidate 11]], "")</f>
        <v/>
      </c>
      <c r="AP968" s="17" t="str">
        <f>IF(NOT(ISBLANK(Audit[[#This Row],[Audit Candidate 12]])), Audit[[#This Row],[Audit Candidate 12]]-Audit[[#This Row],[Candidate 12]], "")</f>
        <v/>
      </c>
      <c r="AQ968" s="17">
        <f>SUMIF(Audit[[#This Row],[Difference Winner]:[Difference Candidate 12]], "&gt;0")</f>
        <v>0</v>
      </c>
      <c r="AR968" s="17">
        <f>SUM(Audit[[#This Row],[Difference Winner]:[Difference Candidate 12]])</f>
        <v>0</v>
      </c>
      <c r="AS968" s="17">
        <f>IF(Audit[[#This Row],[Times p Drawn - With Replacement]]&gt;0, IF(Audit[[#This Row],[Canceled Differences]]&lt;0, Audit[[#This Row],[Max Differences]]+ABS(Audit[[#This Row],[Canceled Differences]]), Audit[[#This Row],[Max Differences]]), 0)</f>
        <v>0</v>
      </c>
      <c r="AT968" s="17">
        <f>'Sampling Data'!AB968</f>
        <v>1.1203530809709726E-2</v>
      </c>
      <c r="AU968" s="17">
        <f>IF(
      SUM(Audit[[#This Row],[Audit Losing Candidate]:[Audit Candidate 12]])
      &lt;&gt;0,
      (Audit[[#This Row],[Winning Candidate]]-Audit[[#This Row],[Losing Candidate]]-(Audit[[#This Row],[Audit Winning Candidate]]-Audit[[#This Row],[Audit Losing Candidate]]))/(Audit[[#Totals],[Winning Candidate]]-Audit[[#Totals],[Losing Candidate]]),
      0
)</f>
        <v>0</v>
      </c>
      <c r="AV9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8" s="17">
        <f>IF(Audit[[#This Row],[Max Relative Error (ep)]] = 0, 0, Audit[[#This Row],[Max Relative Error (ep)]]/Audit[[#This Row],[Error Bound (up) - Max. possible relative overstatement]])</f>
        <v>0</v>
      </c>
      <c r="BH9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68" s="17">
        <f t="shared" si="15"/>
        <v>1</v>
      </c>
      <c r="BJ968" s="17">
        <f>PRODUCT($BI$5:BI968)</f>
        <v>0.14573522051577942</v>
      </c>
      <c r="BK968" s="19">
        <f>1 - Audit[[#This Row],[K-M P Value]]</f>
        <v>0.85426477948422064</v>
      </c>
      <c r="BL968" s="17" t="str">
        <f>IF(Audit[[#This Row],[K-M P Value]]&gt;1-'General Info'!$B$12,"Continue", "Stop")</f>
        <v>Continue</v>
      </c>
      <c r="BM968" s="22" t="b">
        <f>IF(Audit[[#This Row],[Status - Continue or stop audit]] = "Continue", TRUE, IF(BL967 = "Continue", TRUE, FALSE))</f>
        <v>1</v>
      </c>
      <c r="BN968" s="22"/>
    </row>
    <row r="969" spans="1:66" ht="15" hidden="1" customHeight="1" x14ac:dyDescent="0.35">
      <c r="A969" s="17" t="str">
        <f>'Sampling Data'!AI969</f>
        <v/>
      </c>
      <c r="B969" s="17" t="str">
        <f>'Sampling Data'!A969</f>
        <v>6506 DELHI F   (ED)</v>
      </c>
      <c r="C969" s="17">
        <f>'Sampling Data'!B969</f>
        <v>175</v>
      </c>
      <c r="D969" s="17">
        <f>'Sampling Data'!C969</f>
        <v>450</v>
      </c>
      <c r="E969" s="18">
        <f>'Sampling Data'!D969</f>
        <v>0</v>
      </c>
      <c r="F969" s="18">
        <f>'Sampling Data'!E969</f>
        <v>0</v>
      </c>
      <c r="G969" s="18">
        <f>'Sampling Data'!F969</f>
        <v>0</v>
      </c>
      <c r="H969" s="18">
        <f>'Sampling Data'!G969</f>
        <v>0</v>
      </c>
      <c r="I969" s="18">
        <f>'Sampling Data'!H969</f>
        <v>0</v>
      </c>
      <c r="J969" s="18">
        <f>'Sampling Data'!I969</f>
        <v>0</v>
      </c>
      <c r="K969" s="18">
        <f>'Sampling Data'!J969</f>
        <v>0</v>
      </c>
      <c r="L969" s="18">
        <f>'Sampling Data'!K969</f>
        <v>0</v>
      </c>
      <c r="M969" s="18">
        <f>'Sampling Data'!L969</f>
        <v>0</v>
      </c>
      <c r="N969" s="18">
        <f>'Sampling Data'!M969</f>
        <v>0</v>
      </c>
      <c r="O969" s="17">
        <f>'Sampling Data'!N969</f>
        <v>0</v>
      </c>
      <c r="P969" s="17">
        <f>'Sampling Data'!O969</f>
        <v>43</v>
      </c>
      <c r="Q969" s="17">
        <f>'Sampling Data'!P969</f>
        <v>668</v>
      </c>
      <c r="R969" s="17">
        <f>'Sampling Data'!AJ969</f>
        <v>0</v>
      </c>
      <c r="S969" s="111"/>
      <c r="T969" s="111"/>
      <c r="U969" s="112"/>
      <c r="V969" s="112"/>
      <c r="W969" s="111"/>
      <c r="X969" s="111"/>
      <c r="Y969" s="111"/>
      <c r="Z969" s="111"/>
      <c r="AA969" s="14"/>
      <c r="AB969" s="14"/>
      <c r="AC969" s="14"/>
      <c r="AD969" s="14"/>
      <c r="AE969" s="113" t="str">
        <f>IF(NOT(ISBLANK(Audit[[#This Row],[Audit Winning Candidate]])), Audit[[#This Row],[Audit Winning Candidate]]-Audit[[#This Row],[Winning Candidate]], "")</f>
        <v/>
      </c>
      <c r="AF969" s="17" t="str">
        <f>IF(NOT(ISBLANK(Audit[[#This Row],[Audit Losing Candidate]])), Audit[[#This Row],[Audit Losing Candidate]]-Audit[[#This Row],[Losing Candidate]], "")</f>
        <v/>
      </c>
      <c r="AG969" s="17" t="str">
        <f>IF(NOT(ISBLANK(Audit[[#This Row],[Audit Candidate 3]])), Audit[[#This Row],[Audit Candidate 3]]-Audit[[#This Row],[Candidate 3]], "")</f>
        <v/>
      </c>
      <c r="AH969" s="17" t="str">
        <f>IF(NOT(ISBLANK(Audit[[#This Row],[Audit Candidate 4]])),Audit[[#This Row],[Audit Candidate 4]]-Audit[[#This Row],[Candidate 4]], "")</f>
        <v/>
      </c>
      <c r="AI969" s="17" t="str">
        <f>IF(NOT(ISBLANK(Audit[[#This Row],[Audit Candidate 5]])), Audit[[#This Row],[Audit Candidate 5]]-Audit[[#This Row],[Candidate 5]], "")</f>
        <v/>
      </c>
      <c r="AJ969" s="17" t="str">
        <f>IF(NOT(ISBLANK(Audit[[#This Row],[Audit Candidate 6]])), Audit[[#This Row],[Audit Candidate 6]]-Audit[[#This Row],[Candidate 6]], "")</f>
        <v/>
      </c>
      <c r="AK969" s="17" t="str">
        <f>IF(NOT(ISBLANK(Audit[[#This Row],[Audit Candidate 7]])), Audit[[#This Row],[Audit Candidate 7]]-Audit[[#This Row],[Candidate 7]], "")</f>
        <v/>
      </c>
      <c r="AL969" s="17" t="str">
        <f>IF(NOT(ISBLANK(Audit[[#This Row],[Audit Candidate 8]])), Audit[[#This Row],[Audit Candidate 8]]-Audit[[#This Row],[Candidate 8]], "")</f>
        <v/>
      </c>
      <c r="AM969" s="17" t="str">
        <f>IF(NOT(ISBLANK(Audit[[#This Row],[Audit Candidate 9]])), Audit[[#This Row],[Audit Candidate 9]]-Audit[[#This Row],[Candidate 9]], "")</f>
        <v/>
      </c>
      <c r="AN969" s="17" t="str">
        <f>IF(NOT(ISBLANK(Audit[[#This Row],[Audit Candidate 10]])), Audit[[#This Row],[Audit Candidate 10]]-Audit[[#This Row],[Candidate 10]], "")</f>
        <v/>
      </c>
      <c r="AO969" s="17" t="str">
        <f>IF(NOT(ISBLANK(Audit[[#This Row],[Audit Candidate 11]])), Audit[[#This Row],[Audit Candidate 11]]-Audit[[#This Row],[Candidate 11]], "")</f>
        <v/>
      </c>
      <c r="AP969" s="17" t="str">
        <f>IF(NOT(ISBLANK(Audit[[#This Row],[Audit Candidate 12]])), Audit[[#This Row],[Audit Candidate 12]]-Audit[[#This Row],[Candidate 12]], "")</f>
        <v/>
      </c>
      <c r="AQ969" s="17">
        <f>SUMIF(Audit[[#This Row],[Difference Winner]:[Difference Candidate 12]], "&gt;0")</f>
        <v>0</v>
      </c>
      <c r="AR969" s="17">
        <f>SUM(Audit[[#This Row],[Difference Winner]:[Difference Candidate 12]])</f>
        <v>0</v>
      </c>
      <c r="AS969" s="17">
        <f>IF(Audit[[#This Row],[Times p Drawn - With Replacement]]&gt;0, IF(Audit[[#This Row],[Canceled Differences]]&lt;0, Audit[[#This Row],[Max Differences]]+ABS(Audit[[#This Row],[Canceled Differences]]), Audit[[#This Row],[Max Differences]]), 0)</f>
        <v>0</v>
      </c>
      <c r="AT969" s="17">
        <f>'Sampling Data'!AB969</f>
        <v>1.6677983364454252E-2</v>
      </c>
      <c r="AU969" s="17">
        <f>IF(
      SUM(Audit[[#This Row],[Audit Losing Candidate]:[Audit Candidate 12]])
      &lt;&gt;0,
      (Audit[[#This Row],[Winning Candidate]]-Audit[[#This Row],[Losing Candidate]]-(Audit[[#This Row],[Audit Winning Candidate]]-Audit[[#This Row],[Audit Losing Candidate]]))/(Audit[[#Totals],[Winning Candidate]]-Audit[[#Totals],[Losing Candidate]]),
      0
)</f>
        <v>0</v>
      </c>
      <c r="AV9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9" s="17">
        <f>IF(Audit[[#This Row],[Max Relative Error (ep)]] = 0, 0, Audit[[#This Row],[Max Relative Error (ep)]]/Audit[[#This Row],[Error Bound (up) - Max. possible relative overstatement]])</f>
        <v>0</v>
      </c>
      <c r="BH9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69" s="17">
        <f t="shared" si="15"/>
        <v>1</v>
      </c>
      <c r="BJ969" s="17">
        <f>PRODUCT($BI$5:BI969)</f>
        <v>0.14573522051577942</v>
      </c>
      <c r="BK969" s="19">
        <f>1 - Audit[[#This Row],[K-M P Value]]</f>
        <v>0.85426477948422064</v>
      </c>
      <c r="BL969" s="17" t="str">
        <f>IF(Audit[[#This Row],[K-M P Value]]&gt;1-'General Info'!$B$12,"Continue", "Stop")</f>
        <v>Continue</v>
      </c>
      <c r="BM969" s="22" t="b">
        <f>IF(Audit[[#This Row],[Status - Continue or stop audit]] = "Continue", TRUE, IF(BL968 = "Continue", TRUE, FALSE))</f>
        <v>1</v>
      </c>
      <c r="BN969" s="22"/>
    </row>
    <row r="970" spans="1:66" ht="15" hidden="1" customHeight="1" x14ac:dyDescent="0.35">
      <c r="A970" s="17" t="str">
        <f>'Sampling Data'!AI970</f>
        <v/>
      </c>
      <c r="B970" s="17" t="str">
        <f>'Sampling Data'!A970</f>
        <v>6507 DELHI G   (ED)</v>
      </c>
      <c r="C970" s="17">
        <f>'Sampling Data'!B970</f>
        <v>147</v>
      </c>
      <c r="D970" s="17">
        <f>'Sampling Data'!C970</f>
        <v>517</v>
      </c>
      <c r="E970" s="18">
        <f>'Sampling Data'!D970</f>
        <v>0</v>
      </c>
      <c r="F970" s="18">
        <f>'Sampling Data'!E970</f>
        <v>0</v>
      </c>
      <c r="G970" s="18">
        <f>'Sampling Data'!F970</f>
        <v>0</v>
      </c>
      <c r="H970" s="18">
        <f>'Sampling Data'!G970</f>
        <v>0</v>
      </c>
      <c r="I970" s="18">
        <f>'Sampling Data'!H970</f>
        <v>0</v>
      </c>
      <c r="J970" s="18">
        <f>'Sampling Data'!I970</f>
        <v>0</v>
      </c>
      <c r="K970" s="18">
        <f>'Sampling Data'!J970</f>
        <v>0</v>
      </c>
      <c r="L970" s="18">
        <f>'Sampling Data'!K970</f>
        <v>0</v>
      </c>
      <c r="M970" s="18">
        <f>'Sampling Data'!L970</f>
        <v>0</v>
      </c>
      <c r="N970" s="18">
        <f>'Sampling Data'!M970</f>
        <v>0</v>
      </c>
      <c r="O970" s="17">
        <f>'Sampling Data'!N970</f>
        <v>0</v>
      </c>
      <c r="P970" s="17">
        <f>'Sampling Data'!O970</f>
        <v>52</v>
      </c>
      <c r="Q970" s="17">
        <f>'Sampling Data'!P970</f>
        <v>716</v>
      </c>
      <c r="R970" s="17">
        <f>'Sampling Data'!AJ970</f>
        <v>0</v>
      </c>
      <c r="S970" s="111"/>
      <c r="T970" s="111"/>
      <c r="U970" s="112"/>
      <c r="V970" s="112"/>
      <c r="W970" s="111"/>
      <c r="X970" s="111"/>
      <c r="Y970" s="111"/>
      <c r="Z970" s="111"/>
      <c r="AA970" s="14"/>
      <c r="AB970" s="14"/>
      <c r="AC970" s="14"/>
      <c r="AD970" s="14"/>
      <c r="AE970" s="113" t="str">
        <f>IF(NOT(ISBLANK(Audit[[#This Row],[Audit Winning Candidate]])), Audit[[#This Row],[Audit Winning Candidate]]-Audit[[#This Row],[Winning Candidate]], "")</f>
        <v/>
      </c>
      <c r="AF970" s="17" t="str">
        <f>IF(NOT(ISBLANK(Audit[[#This Row],[Audit Losing Candidate]])), Audit[[#This Row],[Audit Losing Candidate]]-Audit[[#This Row],[Losing Candidate]], "")</f>
        <v/>
      </c>
      <c r="AG970" s="17" t="str">
        <f>IF(NOT(ISBLANK(Audit[[#This Row],[Audit Candidate 3]])), Audit[[#This Row],[Audit Candidate 3]]-Audit[[#This Row],[Candidate 3]], "")</f>
        <v/>
      </c>
      <c r="AH970" s="17" t="str">
        <f>IF(NOT(ISBLANK(Audit[[#This Row],[Audit Candidate 4]])),Audit[[#This Row],[Audit Candidate 4]]-Audit[[#This Row],[Candidate 4]], "")</f>
        <v/>
      </c>
      <c r="AI970" s="17" t="str">
        <f>IF(NOT(ISBLANK(Audit[[#This Row],[Audit Candidate 5]])), Audit[[#This Row],[Audit Candidate 5]]-Audit[[#This Row],[Candidate 5]], "")</f>
        <v/>
      </c>
      <c r="AJ970" s="17" t="str">
        <f>IF(NOT(ISBLANK(Audit[[#This Row],[Audit Candidate 6]])), Audit[[#This Row],[Audit Candidate 6]]-Audit[[#This Row],[Candidate 6]], "")</f>
        <v/>
      </c>
      <c r="AK970" s="17" t="str">
        <f>IF(NOT(ISBLANK(Audit[[#This Row],[Audit Candidate 7]])), Audit[[#This Row],[Audit Candidate 7]]-Audit[[#This Row],[Candidate 7]], "")</f>
        <v/>
      </c>
      <c r="AL970" s="17" t="str">
        <f>IF(NOT(ISBLANK(Audit[[#This Row],[Audit Candidate 8]])), Audit[[#This Row],[Audit Candidate 8]]-Audit[[#This Row],[Candidate 8]], "")</f>
        <v/>
      </c>
      <c r="AM970" s="17" t="str">
        <f>IF(NOT(ISBLANK(Audit[[#This Row],[Audit Candidate 9]])), Audit[[#This Row],[Audit Candidate 9]]-Audit[[#This Row],[Candidate 9]], "")</f>
        <v/>
      </c>
      <c r="AN970" s="17" t="str">
        <f>IF(NOT(ISBLANK(Audit[[#This Row],[Audit Candidate 10]])), Audit[[#This Row],[Audit Candidate 10]]-Audit[[#This Row],[Candidate 10]], "")</f>
        <v/>
      </c>
      <c r="AO970" s="17" t="str">
        <f>IF(NOT(ISBLANK(Audit[[#This Row],[Audit Candidate 11]])), Audit[[#This Row],[Audit Candidate 11]]-Audit[[#This Row],[Candidate 11]], "")</f>
        <v/>
      </c>
      <c r="AP970" s="17" t="str">
        <f>IF(NOT(ISBLANK(Audit[[#This Row],[Audit Candidate 12]])), Audit[[#This Row],[Audit Candidate 12]]-Audit[[#This Row],[Candidate 12]], "")</f>
        <v/>
      </c>
      <c r="AQ970" s="17">
        <f>SUMIF(Audit[[#This Row],[Difference Winner]:[Difference Candidate 12]], "&gt;0")</f>
        <v>0</v>
      </c>
      <c r="AR970" s="17">
        <f>SUM(Audit[[#This Row],[Difference Winner]:[Difference Candidate 12]])</f>
        <v>0</v>
      </c>
      <c r="AS970" s="17">
        <f>IF(Audit[[#This Row],[Times p Drawn - With Replacement]]&gt;0, IF(Audit[[#This Row],[Canceled Differences]]&lt;0, Audit[[#This Row],[Max Differences]]+ABS(Audit[[#This Row],[Canceled Differences]]), Audit[[#This Row],[Max Differences]]), 0)</f>
        <v>0</v>
      </c>
      <c r="AT970" s="17">
        <f>'Sampling Data'!AB970</f>
        <v>1.4683415379392294E-2</v>
      </c>
      <c r="AU970" s="17">
        <f>IF(
      SUM(Audit[[#This Row],[Audit Losing Candidate]:[Audit Candidate 12]])
      &lt;&gt;0,
      (Audit[[#This Row],[Winning Candidate]]-Audit[[#This Row],[Losing Candidate]]-(Audit[[#This Row],[Audit Winning Candidate]]-Audit[[#This Row],[Audit Losing Candidate]]))/(Audit[[#Totals],[Winning Candidate]]-Audit[[#Totals],[Losing Candidate]]),
      0
)</f>
        <v>0</v>
      </c>
      <c r="AV9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0" s="17">
        <f>IF(Audit[[#This Row],[Max Relative Error (ep)]] = 0, 0, Audit[[#This Row],[Max Relative Error (ep)]]/Audit[[#This Row],[Error Bound (up) - Max. possible relative overstatement]])</f>
        <v>0</v>
      </c>
      <c r="BH9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70" s="17">
        <f t="shared" si="15"/>
        <v>1</v>
      </c>
      <c r="BJ970" s="17">
        <f>PRODUCT($BI$5:BI970)</f>
        <v>0.14573522051577942</v>
      </c>
      <c r="BK970" s="19">
        <f>1 - Audit[[#This Row],[K-M P Value]]</f>
        <v>0.85426477948422064</v>
      </c>
      <c r="BL970" s="17" t="str">
        <f>IF(Audit[[#This Row],[K-M P Value]]&gt;1-'General Info'!$B$12,"Continue", "Stop")</f>
        <v>Continue</v>
      </c>
      <c r="BM970" s="22" t="b">
        <f>IF(Audit[[#This Row],[Status - Continue or stop audit]] = "Continue", TRUE, IF(BL969 = "Continue", TRUE, FALSE))</f>
        <v>1</v>
      </c>
      <c r="BN970" s="22"/>
    </row>
    <row r="971" spans="1:66" ht="15" hidden="1" customHeight="1" x14ac:dyDescent="0.35">
      <c r="A971" s="17" t="str">
        <f>'Sampling Data'!AI971</f>
        <v/>
      </c>
      <c r="B971" s="17" t="str">
        <f>'Sampling Data'!A971</f>
        <v>6508 DELHI H   (ED)</v>
      </c>
      <c r="C971" s="17">
        <f>'Sampling Data'!B971</f>
        <v>181</v>
      </c>
      <c r="D971" s="17">
        <f>'Sampling Data'!C971</f>
        <v>554</v>
      </c>
      <c r="E971" s="18">
        <f>'Sampling Data'!D971</f>
        <v>0</v>
      </c>
      <c r="F971" s="18">
        <f>'Sampling Data'!E971</f>
        <v>0</v>
      </c>
      <c r="G971" s="18">
        <f>'Sampling Data'!F971</f>
        <v>0</v>
      </c>
      <c r="H971" s="18">
        <f>'Sampling Data'!G971</f>
        <v>0</v>
      </c>
      <c r="I971" s="18">
        <f>'Sampling Data'!H971</f>
        <v>0</v>
      </c>
      <c r="J971" s="18">
        <f>'Sampling Data'!I971</f>
        <v>0</v>
      </c>
      <c r="K971" s="18">
        <f>'Sampling Data'!J971</f>
        <v>0</v>
      </c>
      <c r="L971" s="18">
        <f>'Sampling Data'!K971</f>
        <v>0</v>
      </c>
      <c r="M971" s="18">
        <f>'Sampling Data'!L971</f>
        <v>0</v>
      </c>
      <c r="N971" s="18">
        <f>'Sampling Data'!M971</f>
        <v>0</v>
      </c>
      <c r="O971" s="17">
        <f>'Sampling Data'!N971</f>
        <v>0</v>
      </c>
      <c r="P971" s="17">
        <f>'Sampling Data'!O971</f>
        <v>54</v>
      </c>
      <c r="Q971" s="17">
        <f>'Sampling Data'!P971</f>
        <v>789</v>
      </c>
      <c r="R971" s="17">
        <f>'Sampling Data'!AJ971</f>
        <v>0</v>
      </c>
      <c r="S971" s="111"/>
      <c r="T971" s="111"/>
      <c r="U971" s="112"/>
      <c r="V971" s="112"/>
      <c r="W971" s="111"/>
      <c r="X971" s="111"/>
      <c r="Y971" s="111"/>
      <c r="Z971" s="111"/>
      <c r="AA971" s="14"/>
      <c r="AB971" s="14"/>
      <c r="AC971" s="14"/>
      <c r="AD971" s="14"/>
      <c r="AE971" s="113" t="str">
        <f>IF(NOT(ISBLANK(Audit[[#This Row],[Audit Winning Candidate]])), Audit[[#This Row],[Audit Winning Candidate]]-Audit[[#This Row],[Winning Candidate]], "")</f>
        <v/>
      </c>
      <c r="AF971" s="17" t="str">
        <f>IF(NOT(ISBLANK(Audit[[#This Row],[Audit Losing Candidate]])), Audit[[#This Row],[Audit Losing Candidate]]-Audit[[#This Row],[Losing Candidate]], "")</f>
        <v/>
      </c>
      <c r="AG971" s="17" t="str">
        <f>IF(NOT(ISBLANK(Audit[[#This Row],[Audit Candidate 3]])), Audit[[#This Row],[Audit Candidate 3]]-Audit[[#This Row],[Candidate 3]], "")</f>
        <v/>
      </c>
      <c r="AH971" s="17" t="str">
        <f>IF(NOT(ISBLANK(Audit[[#This Row],[Audit Candidate 4]])),Audit[[#This Row],[Audit Candidate 4]]-Audit[[#This Row],[Candidate 4]], "")</f>
        <v/>
      </c>
      <c r="AI971" s="17" t="str">
        <f>IF(NOT(ISBLANK(Audit[[#This Row],[Audit Candidate 5]])), Audit[[#This Row],[Audit Candidate 5]]-Audit[[#This Row],[Candidate 5]], "")</f>
        <v/>
      </c>
      <c r="AJ971" s="17" t="str">
        <f>IF(NOT(ISBLANK(Audit[[#This Row],[Audit Candidate 6]])), Audit[[#This Row],[Audit Candidate 6]]-Audit[[#This Row],[Candidate 6]], "")</f>
        <v/>
      </c>
      <c r="AK971" s="17" t="str">
        <f>IF(NOT(ISBLANK(Audit[[#This Row],[Audit Candidate 7]])), Audit[[#This Row],[Audit Candidate 7]]-Audit[[#This Row],[Candidate 7]], "")</f>
        <v/>
      </c>
      <c r="AL971" s="17" t="str">
        <f>IF(NOT(ISBLANK(Audit[[#This Row],[Audit Candidate 8]])), Audit[[#This Row],[Audit Candidate 8]]-Audit[[#This Row],[Candidate 8]], "")</f>
        <v/>
      </c>
      <c r="AM971" s="17" t="str">
        <f>IF(NOT(ISBLANK(Audit[[#This Row],[Audit Candidate 9]])), Audit[[#This Row],[Audit Candidate 9]]-Audit[[#This Row],[Candidate 9]], "")</f>
        <v/>
      </c>
      <c r="AN971" s="17" t="str">
        <f>IF(NOT(ISBLANK(Audit[[#This Row],[Audit Candidate 10]])), Audit[[#This Row],[Audit Candidate 10]]-Audit[[#This Row],[Candidate 10]], "")</f>
        <v/>
      </c>
      <c r="AO971" s="17" t="str">
        <f>IF(NOT(ISBLANK(Audit[[#This Row],[Audit Candidate 11]])), Audit[[#This Row],[Audit Candidate 11]]-Audit[[#This Row],[Candidate 11]], "")</f>
        <v/>
      </c>
      <c r="AP971" s="17" t="str">
        <f>IF(NOT(ISBLANK(Audit[[#This Row],[Audit Candidate 12]])), Audit[[#This Row],[Audit Candidate 12]]-Audit[[#This Row],[Candidate 12]], "")</f>
        <v/>
      </c>
      <c r="AQ971" s="17">
        <f>SUMIF(Audit[[#This Row],[Difference Winner]:[Difference Candidate 12]], "&gt;0")</f>
        <v>0</v>
      </c>
      <c r="AR971" s="17">
        <f>SUM(Audit[[#This Row],[Difference Winner]:[Difference Candidate 12]])</f>
        <v>0</v>
      </c>
      <c r="AS971" s="17">
        <f>IF(Audit[[#This Row],[Times p Drawn - With Replacement]]&gt;0, IF(Audit[[#This Row],[Canceled Differences]]&lt;0, Audit[[#This Row],[Max Differences]]+ABS(Audit[[#This Row],[Canceled Differences]]), Audit[[#This Row],[Max Differences]]), 0)</f>
        <v>0</v>
      </c>
      <c r="AT971" s="17">
        <f>'Sampling Data'!AB971</f>
        <v>1.7654048548633509E-2</v>
      </c>
      <c r="AU971" s="17">
        <f>IF(
      SUM(Audit[[#This Row],[Audit Losing Candidate]:[Audit Candidate 12]])
      &lt;&gt;0,
      (Audit[[#This Row],[Winning Candidate]]-Audit[[#This Row],[Losing Candidate]]-(Audit[[#This Row],[Audit Winning Candidate]]-Audit[[#This Row],[Audit Losing Candidate]]))/(Audit[[#Totals],[Winning Candidate]]-Audit[[#Totals],[Losing Candidate]]),
      0
)</f>
        <v>0</v>
      </c>
      <c r="AV9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1" s="17">
        <f>IF(Audit[[#This Row],[Max Relative Error (ep)]] = 0, 0, Audit[[#This Row],[Max Relative Error (ep)]]/Audit[[#This Row],[Error Bound (up) - Max. possible relative overstatement]])</f>
        <v>0</v>
      </c>
      <c r="BH9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71" s="17">
        <f t="shared" si="15"/>
        <v>1</v>
      </c>
      <c r="BJ971" s="17">
        <f>PRODUCT($BI$5:BI971)</f>
        <v>0.14573522051577942</v>
      </c>
      <c r="BK971" s="19">
        <f>1 - Audit[[#This Row],[K-M P Value]]</f>
        <v>0.85426477948422064</v>
      </c>
      <c r="BL971" s="17" t="str">
        <f>IF(Audit[[#This Row],[K-M P Value]]&gt;1-'General Info'!$B$12,"Continue", "Stop")</f>
        <v>Continue</v>
      </c>
      <c r="BM971" s="22" t="b">
        <f>IF(Audit[[#This Row],[Status - Continue or stop audit]] = "Continue", TRUE, IF(BL970 = "Continue", TRUE, FALSE))</f>
        <v>1</v>
      </c>
      <c r="BN971" s="22"/>
    </row>
    <row r="972" spans="1:66" ht="15" hidden="1" customHeight="1" x14ac:dyDescent="0.35">
      <c r="A972" s="17" t="str">
        <f>'Sampling Data'!AI972</f>
        <v/>
      </c>
      <c r="B972" s="17" t="str">
        <f>'Sampling Data'!A972</f>
        <v>6509 DELHI I   (ED)</v>
      </c>
      <c r="C972" s="17">
        <f>'Sampling Data'!B972</f>
        <v>86</v>
      </c>
      <c r="D972" s="17">
        <f>'Sampling Data'!C972</f>
        <v>242</v>
      </c>
      <c r="E972" s="18">
        <f>'Sampling Data'!D972</f>
        <v>0</v>
      </c>
      <c r="F972" s="18">
        <f>'Sampling Data'!E972</f>
        <v>0</v>
      </c>
      <c r="G972" s="18">
        <f>'Sampling Data'!F972</f>
        <v>0</v>
      </c>
      <c r="H972" s="18">
        <f>'Sampling Data'!G972</f>
        <v>0</v>
      </c>
      <c r="I972" s="18">
        <f>'Sampling Data'!H972</f>
        <v>0</v>
      </c>
      <c r="J972" s="18">
        <f>'Sampling Data'!I972</f>
        <v>0</v>
      </c>
      <c r="K972" s="18">
        <f>'Sampling Data'!J972</f>
        <v>0</v>
      </c>
      <c r="L972" s="18">
        <f>'Sampling Data'!K972</f>
        <v>0</v>
      </c>
      <c r="M972" s="18">
        <f>'Sampling Data'!L972</f>
        <v>0</v>
      </c>
      <c r="N972" s="18">
        <f>'Sampling Data'!M972</f>
        <v>0</v>
      </c>
      <c r="O972" s="17">
        <f>'Sampling Data'!N972</f>
        <v>0</v>
      </c>
      <c r="P972" s="17">
        <f>'Sampling Data'!O972</f>
        <v>40</v>
      </c>
      <c r="Q972" s="17">
        <f>'Sampling Data'!P972</f>
        <v>368</v>
      </c>
      <c r="R972" s="17">
        <f>'Sampling Data'!AJ972</f>
        <v>0</v>
      </c>
      <c r="S972" s="111"/>
      <c r="T972" s="111"/>
      <c r="U972" s="112"/>
      <c r="V972" s="112"/>
      <c r="W972" s="111"/>
      <c r="X972" s="111"/>
      <c r="Y972" s="111"/>
      <c r="Z972" s="111"/>
      <c r="AA972" s="14"/>
      <c r="AB972" s="14"/>
      <c r="AC972" s="14"/>
      <c r="AD972" s="14"/>
      <c r="AE972" s="113" t="str">
        <f>IF(NOT(ISBLANK(Audit[[#This Row],[Audit Winning Candidate]])), Audit[[#This Row],[Audit Winning Candidate]]-Audit[[#This Row],[Winning Candidate]], "")</f>
        <v/>
      </c>
      <c r="AF972" s="17" t="str">
        <f>IF(NOT(ISBLANK(Audit[[#This Row],[Audit Losing Candidate]])), Audit[[#This Row],[Audit Losing Candidate]]-Audit[[#This Row],[Losing Candidate]], "")</f>
        <v/>
      </c>
      <c r="AG972" s="17" t="str">
        <f>IF(NOT(ISBLANK(Audit[[#This Row],[Audit Candidate 3]])), Audit[[#This Row],[Audit Candidate 3]]-Audit[[#This Row],[Candidate 3]], "")</f>
        <v/>
      </c>
      <c r="AH972" s="17" t="str">
        <f>IF(NOT(ISBLANK(Audit[[#This Row],[Audit Candidate 4]])),Audit[[#This Row],[Audit Candidate 4]]-Audit[[#This Row],[Candidate 4]], "")</f>
        <v/>
      </c>
      <c r="AI972" s="17" t="str">
        <f>IF(NOT(ISBLANK(Audit[[#This Row],[Audit Candidate 5]])), Audit[[#This Row],[Audit Candidate 5]]-Audit[[#This Row],[Candidate 5]], "")</f>
        <v/>
      </c>
      <c r="AJ972" s="17" t="str">
        <f>IF(NOT(ISBLANK(Audit[[#This Row],[Audit Candidate 6]])), Audit[[#This Row],[Audit Candidate 6]]-Audit[[#This Row],[Candidate 6]], "")</f>
        <v/>
      </c>
      <c r="AK972" s="17" t="str">
        <f>IF(NOT(ISBLANK(Audit[[#This Row],[Audit Candidate 7]])), Audit[[#This Row],[Audit Candidate 7]]-Audit[[#This Row],[Candidate 7]], "")</f>
        <v/>
      </c>
      <c r="AL972" s="17" t="str">
        <f>IF(NOT(ISBLANK(Audit[[#This Row],[Audit Candidate 8]])), Audit[[#This Row],[Audit Candidate 8]]-Audit[[#This Row],[Candidate 8]], "")</f>
        <v/>
      </c>
      <c r="AM972" s="17" t="str">
        <f>IF(NOT(ISBLANK(Audit[[#This Row],[Audit Candidate 9]])), Audit[[#This Row],[Audit Candidate 9]]-Audit[[#This Row],[Candidate 9]], "")</f>
        <v/>
      </c>
      <c r="AN972" s="17" t="str">
        <f>IF(NOT(ISBLANK(Audit[[#This Row],[Audit Candidate 10]])), Audit[[#This Row],[Audit Candidate 10]]-Audit[[#This Row],[Candidate 10]], "")</f>
        <v/>
      </c>
      <c r="AO972" s="17" t="str">
        <f>IF(NOT(ISBLANK(Audit[[#This Row],[Audit Candidate 11]])), Audit[[#This Row],[Audit Candidate 11]]-Audit[[#This Row],[Candidate 11]], "")</f>
        <v/>
      </c>
      <c r="AP972" s="17" t="str">
        <f>IF(NOT(ISBLANK(Audit[[#This Row],[Audit Candidate 12]])), Audit[[#This Row],[Audit Candidate 12]]-Audit[[#This Row],[Candidate 12]], "")</f>
        <v/>
      </c>
      <c r="AQ972" s="17">
        <f>SUMIF(Audit[[#This Row],[Difference Winner]:[Difference Candidate 12]], "&gt;0")</f>
        <v>0</v>
      </c>
      <c r="AR972" s="17">
        <f>SUM(Audit[[#This Row],[Difference Winner]:[Difference Candidate 12]])</f>
        <v>0</v>
      </c>
      <c r="AS972" s="17">
        <f>IF(Audit[[#This Row],[Times p Drawn - With Replacement]]&gt;0, IF(Audit[[#This Row],[Canceled Differences]]&lt;0, Audit[[#This Row],[Max Differences]]+ABS(Audit[[#This Row],[Canceled Differences]]), Audit[[#This Row],[Max Differences]]), 0)</f>
        <v>0</v>
      </c>
      <c r="AT972" s="17">
        <f>'Sampling Data'!AB972</f>
        <v>8.9967747411305379E-3</v>
      </c>
      <c r="AU972" s="17">
        <f>IF(
      SUM(Audit[[#This Row],[Audit Losing Candidate]:[Audit Candidate 12]])
      &lt;&gt;0,
      (Audit[[#This Row],[Winning Candidate]]-Audit[[#This Row],[Losing Candidate]]-(Audit[[#This Row],[Audit Winning Candidate]]-Audit[[#This Row],[Audit Losing Candidate]]))/(Audit[[#Totals],[Winning Candidate]]-Audit[[#Totals],[Losing Candidate]]),
      0
)</f>
        <v>0</v>
      </c>
      <c r="AV9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2" s="17">
        <f>IF(Audit[[#This Row],[Max Relative Error (ep)]] = 0, 0, Audit[[#This Row],[Max Relative Error (ep)]]/Audit[[#This Row],[Error Bound (up) - Max. possible relative overstatement]])</f>
        <v>0</v>
      </c>
      <c r="BH9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72" s="17">
        <f t="shared" si="15"/>
        <v>1</v>
      </c>
      <c r="BJ972" s="17">
        <f>PRODUCT($BI$5:BI972)</f>
        <v>0.14573522051577942</v>
      </c>
      <c r="BK972" s="19">
        <f>1 - Audit[[#This Row],[K-M P Value]]</f>
        <v>0.85426477948422064</v>
      </c>
      <c r="BL972" s="17" t="str">
        <f>IF(Audit[[#This Row],[K-M P Value]]&gt;1-'General Info'!$B$12,"Continue", "Stop")</f>
        <v>Continue</v>
      </c>
      <c r="BM972" s="22" t="b">
        <f>IF(Audit[[#This Row],[Status - Continue or stop audit]] = "Continue", TRUE, IF(BL971 = "Continue", TRUE, FALSE))</f>
        <v>1</v>
      </c>
      <c r="BN972" s="22"/>
    </row>
    <row r="973" spans="1:66" ht="15" hidden="1" customHeight="1" x14ac:dyDescent="0.35">
      <c r="A973" s="17" t="str">
        <f>'Sampling Data'!AI973</f>
        <v/>
      </c>
      <c r="B973" s="17" t="str">
        <f>'Sampling Data'!A973</f>
        <v>6510 DELHI J   (ED)</v>
      </c>
      <c r="C973" s="17">
        <f>'Sampling Data'!B973</f>
        <v>207</v>
      </c>
      <c r="D973" s="17">
        <f>'Sampling Data'!C973</f>
        <v>445</v>
      </c>
      <c r="E973" s="18">
        <f>'Sampling Data'!D973</f>
        <v>0</v>
      </c>
      <c r="F973" s="18">
        <f>'Sampling Data'!E973</f>
        <v>0</v>
      </c>
      <c r="G973" s="18">
        <f>'Sampling Data'!F973</f>
        <v>0</v>
      </c>
      <c r="H973" s="18">
        <f>'Sampling Data'!G973</f>
        <v>0</v>
      </c>
      <c r="I973" s="18">
        <f>'Sampling Data'!H973</f>
        <v>0</v>
      </c>
      <c r="J973" s="18">
        <f>'Sampling Data'!I973</f>
        <v>0</v>
      </c>
      <c r="K973" s="18">
        <f>'Sampling Data'!J973</f>
        <v>0</v>
      </c>
      <c r="L973" s="18">
        <f>'Sampling Data'!K973</f>
        <v>0</v>
      </c>
      <c r="M973" s="18">
        <f>'Sampling Data'!L973</f>
        <v>0</v>
      </c>
      <c r="N973" s="18">
        <f>'Sampling Data'!M973</f>
        <v>0</v>
      </c>
      <c r="O973" s="17">
        <f>'Sampling Data'!N973</f>
        <v>1</v>
      </c>
      <c r="P973" s="17">
        <f>'Sampling Data'!O973</f>
        <v>57</v>
      </c>
      <c r="Q973" s="17">
        <f>'Sampling Data'!P973</f>
        <v>710</v>
      </c>
      <c r="R973" s="17">
        <f>'Sampling Data'!AJ973</f>
        <v>0</v>
      </c>
      <c r="S973" s="111"/>
      <c r="T973" s="111"/>
      <c r="U973" s="112"/>
      <c r="V973" s="112"/>
      <c r="W973" s="111"/>
      <c r="X973" s="111"/>
      <c r="Y973" s="111"/>
      <c r="Z973" s="111"/>
      <c r="AA973" s="14"/>
      <c r="AB973" s="14"/>
      <c r="AC973" s="14"/>
      <c r="AD973" s="14"/>
      <c r="AE973" s="113" t="str">
        <f>IF(NOT(ISBLANK(Audit[[#This Row],[Audit Winning Candidate]])), Audit[[#This Row],[Audit Winning Candidate]]-Audit[[#This Row],[Winning Candidate]], "")</f>
        <v/>
      </c>
      <c r="AF973" s="17" t="str">
        <f>IF(NOT(ISBLANK(Audit[[#This Row],[Audit Losing Candidate]])), Audit[[#This Row],[Audit Losing Candidate]]-Audit[[#This Row],[Losing Candidate]], "")</f>
        <v/>
      </c>
      <c r="AG973" s="17" t="str">
        <f>IF(NOT(ISBLANK(Audit[[#This Row],[Audit Candidate 3]])), Audit[[#This Row],[Audit Candidate 3]]-Audit[[#This Row],[Candidate 3]], "")</f>
        <v/>
      </c>
      <c r="AH973" s="17" t="str">
        <f>IF(NOT(ISBLANK(Audit[[#This Row],[Audit Candidate 4]])),Audit[[#This Row],[Audit Candidate 4]]-Audit[[#This Row],[Candidate 4]], "")</f>
        <v/>
      </c>
      <c r="AI973" s="17" t="str">
        <f>IF(NOT(ISBLANK(Audit[[#This Row],[Audit Candidate 5]])), Audit[[#This Row],[Audit Candidate 5]]-Audit[[#This Row],[Candidate 5]], "")</f>
        <v/>
      </c>
      <c r="AJ973" s="17" t="str">
        <f>IF(NOT(ISBLANK(Audit[[#This Row],[Audit Candidate 6]])), Audit[[#This Row],[Audit Candidate 6]]-Audit[[#This Row],[Candidate 6]], "")</f>
        <v/>
      </c>
      <c r="AK973" s="17" t="str">
        <f>IF(NOT(ISBLANK(Audit[[#This Row],[Audit Candidate 7]])), Audit[[#This Row],[Audit Candidate 7]]-Audit[[#This Row],[Candidate 7]], "")</f>
        <v/>
      </c>
      <c r="AL973" s="17" t="str">
        <f>IF(NOT(ISBLANK(Audit[[#This Row],[Audit Candidate 8]])), Audit[[#This Row],[Audit Candidate 8]]-Audit[[#This Row],[Candidate 8]], "")</f>
        <v/>
      </c>
      <c r="AM973" s="17" t="str">
        <f>IF(NOT(ISBLANK(Audit[[#This Row],[Audit Candidate 9]])), Audit[[#This Row],[Audit Candidate 9]]-Audit[[#This Row],[Candidate 9]], "")</f>
        <v/>
      </c>
      <c r="AN973" s="17" t="str">
        <f>IF(NOT(ISBLANK(Audit[[#This Row],[Audit Candidate 10]])), Audit[[#This Row],[Audit Candidate 10]]-Audit[[#This Row],[Candidate 10]], "")</f>
        <v/>
      </c>
      <c r="AO973" s="17" t="str">
        <f>IF(NOT(ISBLANK(Audit[[#This Row],[Audit Candidate 11]])), Audit[[#This Row],[Audit Candidate 11]]-Audit[[#This Row],[Candidate 11]], "")</f>
        <v/>
      </c>
      <c r="AP973" s="17" t="str">
        <f>IF(NOT(ISBLANK(Audit[[#This Row],[Audit Candidate 12]])), Audit[[#This Row],[Audit Candidate 12]]-Audit[[#This Row],[Candidate 12]], "")</f>
        <v/>
      </c>
      <c r="AQ973" s="17">
        <f>SUMIF(Audit[[#This Row],[Difference Winner]:[Difference Candidate 12]], "&gt;0")</f>
        <v>0</v>
      </c>
      <c r="AR973" s="17">
        <f>SUM(Audit[[#This Row],[Difference Winner]:[Difference Candidate 12]])</f>
        <v>0</v>
      </c>
      <c r="AS973" s="17">
        <f>IF(Audit[[#This Row],[Times p Drawn - With Replacement]]&gt;0, IF(Audit[[#This Row],[Canceled Differences]]&lt;0, Audit[[#This Row],[Max Differences]]+ABS(Audit[[#This Row],[Canceled Differences]]), Audit[[#This Row],[Max Differences]]), 0)</f>
        <v>0</v>
      </c>
      <c r="AT973" s="17">
        <f>'Sampling Data'!AB973</f>
        <v>2.0030555084026482E-2</v>
      </c>
      <c r="AU973" s="17">
        <f>IF(
      SUM(Audit[[#This Row],[Audit Losing Candidate]:[Audit Candidate 12]])
      &lt;&gt;0,
      (Audit[[#This Row],[Winning Candidate]]-Audit[[#This Row],[Losing Candidate]]-(Audit[[#This Row],[Audit Winning Candidate]]-Audit[[#This Row],[Audit Losing Candidate]]))/(Audit[[#Totals],[Winning Candidate]]-Audit[[#Totals],[Losing Candidate]]),
      0
)</f>
        <v>0</v>
      </c>
      <c r="AV9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3" s="17">
        <f>IF(Audit[[#This Row],[Max Relative Error (ep)]] = 0, 0, Audit[[#This Row],[Max Relative Error (ep)]]/Audit[[#This Row],[Error Bound (up) - Max. possible relative overstatement]])</f>
        <v>0</v>
      </c>
      <c r="BH9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73" s="17">
        <f t="shared" si="15"/>
        <v>1</v>
      </c>
      <c r="BJ973" s="17">
        <f>PRODUCT($BI$5:BI973)</f>
        <v>0.14573522051577942</v>
      </c>
      <c r="BK973" s="19">
        <f>1 - Audit[[#This Row],[K-M P Value]]</f>
        <v>0.85426477948422064</v>
      </c>
      <c r="BL973" s="17" t="str">
        <f>IF(Audit[[#This Row],[K-M P Value]]&gt;1-'General Info'!$B$12,"Continue", "Stop")</f>
        <v>Continue</v>
      </c>
      <c r="BM973" s="22" t="b">
        <f>IF(Audit[[#This Row],[Status - Continue or stop audit]] = "Continue", TRUE, IF(BL972 = "Continue", TRUE, FALSE))</f>
        <v>1</v>
      </c>
      <c r="BN973" s="22"/>
    </row>
    <row r="974" spans="1:66" ht="15" hidden="1" customHeight="1" x14ac:dyDescent="0.35">
      <c r="A974" s="17" t="str">
        <f>'Sampling Data'!AI974</f>
        <v/>
      </c>
      <c r="B974" s="17" t="str">
        <f>'Sampling Data'!A974</f>
        <v>6511 DELHI K   (ED)</v>
      </c>
      <c r="C974" s="17">
        <f>'Sampling Data'!B974</f>
        <v>113</v>
      </c>
      <c r="D974" s="17">
        <f>'Sampling Data'!C974</f>
        <v>366</v>
      </c>
      <c r="E974" s="18">
        <f>'Sampling Data'!D974</f>
        <v>0</v>
      </c>
      <c r="F974" s="18">
        <f>'Sampling Data'!E974</f>
        <v>0</v>
      </c>
      <c r="G974" s="18">
        <f>'Sampling Data'!F974</f>
        <v>0</v>
      </c>
      <c r="H974" s="18">
        <f>'Sampling Data'!G974</f>
        <v>0</v>
      </c>
      <c r="I974" s="18">
        <f>'Sampling Data'!H974</f>
        <v>0</v>
      </c>
      <c r="J974" s="18">
        <f>'Sampling Data'!I974</f>
        <v>0</v>
      </c>
      <c r="K974" s="18">
        <f>'Sampling Data'!J974</f>
        <v>0</v>
      </c>
      <c r="L974" s="18">
        <f>'Sampling Data'!K974</f>
        <v>0</v>
      </c>
      <c r="M974" s="18">
        <f>'Sampling Data'!L974</f>
        <v>0</v>
      </c>
      <c r="N974" s="18">
        <f>'Sampling Data'!M974</f>
        <v>0</v>
      </c>
      <c r="O974" s="17">
        <f>'Sampling Data'!N974</f>
        <v>0</v>
      </c>
      <c r="P974" s="17">
        <f>'Sampling Data'!O974</f>
        <v>27</v>
      </c>
      <c r="Q974" s="17">
        <f>'Sampling Data'!P974</f>
        <v>506</v>
      </c>
      <c r="R974" s="17">
        <f>'Sampling Data'!AJ974</f>
        <v>0</v>
      </c>
      <c r="S974" s="111"/>
      <c r="T974" s="111"/>
      <c r="U974" s="112"/>
      <c r="V974" s="112"/>
      <c r="W974" s="111"/>
      <c r="X974" s="111"/>
      <c r="Y974" s="111"/>
      <c r="Z974" s="111"/>
      <c r="AA974" s="14"/>
      <c r="AB974" s="14"/>
      <c r="AC974" s="14"/>
      <c r="AD974" s="14"/>
      <c r="AE974" s="113" t="str">
        <f>IF(NOT(ISBLANK(Audit[[#This Row],[Audit Winning Candidate]])), Audit[[#This Row],[Audit Winning Candidate]]-Audit[[#This Row],[Winning Candidate]], "")</f>
        <v/>
      </c>
      <c r="AF974" s="17" t="str">
        <f>IF(NOT(ISBLANK(Audit[[#This Row],[Audit Losing Candidate]])), Audit[[#This Row],[Audit Losing Candidate]]-Audit[[#This Row],[Losing Candidate]], "")</f>
        <v/>
      </c>
      <c r="AG974" s="17" t="str">
        <f>IF(NOT(ISBLANK(Audit[[#This Row],[Audit Candidate 3]])), Audit[[#This Row],[Audit Candidate 3]]-Audit[[#This Row],[Candidate 3]], "")</f>
        <v/>
      </c>
      <c r="AH974" s="17" t="str">
        <f>IF(NOT(ISBLANK(Audit[[#This Row],[Audit Candidate 4]])),Audit[[#This Row],[Audit Candidate 4]]-Audit[[#This Row],[Candidate 4]], "")</f>
        <v/>
      </c>
      <c r="AI974" s="17" t="str">
        <f>IF(NOT(ISBLANK(Audit[[#This Row],[Audit Candidate 5]])), Audit[[#This Row],[Audit Candidate 5]]-Audit[[#This Row],[Candidate 5]], "")</f>
        <v/>
      </c>
      <c r="AJ974" s="17" t="str">
        <f>IF(NOT(ISBLANK(Audit[[#This Row],[Audit Candidate 6]])), Audit[[#This Row],[Audit Candidate 6]]-Audit[[#This Row],[Candidate 6]], "")</f>
        <v/>
      </c>
      <c r="AK974" s="17" t="str">
        <f>IF(NOT(ISBLANK(Audit[[#This Row],[Audit Candidate 7]])), Audit[[#This Row],[Audit Candidate 7]]-Audit[[#This Row],[Candidate 7]], "")</f>
        <v/>
      </c>
      <c r="AL974" s="17" t="str">
        <f>IF(NOT(ISBLANK(Audit[[#This Row],[Audit Candidate 8]])), Audit[[#This Row],[Audit Candidate 8]]-Audit[[#This Row],[Candidate 8]], "")</f>
        <v/>
      </c>
      <c r="AM974" s="17" t="str">
        <f>IF(NOT(ISBLANK(Audit[[#This Row],[Audit Candidate 9]])), Audit[[#This Row],[Audit Candidate 9]]-Audit[[#This Row],[Candidate 9]], "")</f>
        <v/>
      </c>
      <c r="AN974" s="17" t="str">
        <f>IF(NOT(ISBLANK(Audit[[#This Row],[Audit Candidate 10]])), Audit[[#This Row],[Audit Candidate 10]]-Audit[[#This Row],[Candidate 10]], "")</f>
        <v/>
      </c>
      <c r="AO974" s="17" t="str">
        <f>IF(NOT(ISBLANK(Audit[[#This Row],[Audit Candidate 11]])), Audit[[#This Row],[Audit Candidate 11]]-Audit[[#This Row],[Candidate 11]], "")</f>
        <v/>
      </c>
      <c r="AP974" s="17" t="str">
        <f>IF(NOT(ISBLANK(Audit[[#This Row],[Audit Candidate 12]])), Audit[[#This Row],[Audit Candidate 12]]-Audit[[#This Row],[Candidate 12]], "")</f>
        <v/>
      </c>
      <c r="AQ974" s="17">
        <f>SUMIF(Audit[[#This Row],[Difference Winner]:[Difference Candidate 12]], "&gt;0")</f>
        <v>0</v>
      </c>
      <c r="AR974" s="17">
        <f>SUM(Audit[[#This Row],[Difference Winner]:[Difference Candidate 12]])</f>
        <v>0</v>
      </c>
      <c r="AS974" s="17">
        <f>IF(Audit[[#This Row],[Times p Drawn - With Replacement]]&gt;0, IF(Audit[[#This Row],[Canceled Differences]]&lt;0, Audit[[#This Row],[Max Differences]]+ABS(Audit[[#This Row],[Canceled Differences]]), Audit[[#This Row],[Max Differences]]), 0)</f>
        <v>0</v>
      </c>
      <c r="AT974" s="17">
        <f>'Sampling Data'!AB974</f>
        <v>1.0736717025971822E-2</v>
      </c>
      <c r="AU974" s="17">
        <f>IF(
      SUM(Audit[[#This Row],[Audit Losing Candidate]:[Audit Candidate 12]])
      &lt;&gt;0,
      (Audit[[#This Row],[Winning Candidate]]-Audit[[#This Row],[Losing Candidate]]-(Audit[[#This Row],[Audit Winning Candidate]]-Audit[[#This Row],[Audit Losing Candidate]]))/(Audit[[#Totals],[Winning Candidate]]-Audit[[#Totals],[Losing Candidate]]),
      0
)</f>
        <v>0</v>
      </c>
      <c r="AV9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4" s="17">
        <f>IF(Audit[[#This Row],[Max Relative Error (ep)]] = 0, 0, Audit[[#This Row],[Max Relative Error (ep)]]/Audit[[#This Row],[Error Bound (up) - Max. possible relative overstatement]])</f>
        <v>0</v>
      </c>
      <c r="BH9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74" s="17">
        <f t="shared" si="15"/>
        <v>1</v>
      </c>
      <c r="BJ974" s="17">
        <f>PRODUCT($BI$5:BI974)</f>
        <v>0.14573522051577942</v>
      </c>
      <c r="BK974" s="19">
        <f>1 - Audit[[#This Row],[K-M P Value]]</f>
        <v>0.85426477948422064</v>
      </c>
      <c r="BL974" s="17" t="str">
        <f>IF(Audit[[#This Row],[K-M P Value]]&gt;1-'General Info'!$B$12,"Continue", "Stop")</f>
        <v>Continue</v>
      </c>
      <c r="BM974" s="22" t="b">
        <f>IF(Audit[[#This Row],[Status - Continue or stop audit]] = "Continue", TRUE, IF(BL973 = "Continue", TRUE, FALSE))</f>
        <v>1</v>
      </c>
      <c r="BN974" s="22"/>
    </row>
    <row r="975" spans="1:66" ht="15" hidden="1" customHeight="1" x14ac:dyDescent="0.35">
      <c r="A975" s="17" t="str">
        <f>'Sampling Data'!AI975</f>
        <v/>
      </c>
      <c r="B975" s="17" t="str">
        <f>'Sampling Data'!A975</f>
        <v>6512 DELHI L   (ED)</v>
      </c>
      <c r="C975" s="17">
        <f>'Sampling Data'!B975</f>
        <v>121</v>
      </c>
      <c r="D975" s="17">
        <f>'Sampling Data'!C975</f>
        <v>408</v>
      </c>
      <c r="E975" s="18">
        <f>'Sampling Data'!D975</f>
        <v>0</v>
      </c>
      <c r="F975" s="18">
        <f>'Sampling Data'!E975</f>
        <v>0</v>
      </c>
      <c r="G975" s="18">
        <f>'Sampling Data'!F975</f>
        <v>0</v>
      </c>
      <c r="H975" s="18">
        <f>'Sampling Data'!G975</f>
        <v>0</v>
      </c>
      <c r="I975" s="18">
        <f>'Sampling Data'!H975</f>
        <v>0</v>
      </c>
      <c r="J975" s="18">
        <f>'Sampling Data'!I975</f>
        <v>0</v>
      </c>
      <c r="K975" s="18">
        <f>'Sampling Data'!J975</f>
        <v>0</v>
      </c>
      <c r="L975" s="18">
        <f>'Sampling Data'!K975</f>
        <v>0</v>
      </c>
      <c r="M975" s="18">
        <f>'Sampling Data'!L975</f>
        <v>0</v>
      </c>
      <c r="N975" s="18">
        <f>'Sampling Data'!M975</f>
        <v>0</v>
      </c>
      <c r="O975" s="17">
        <f>'Sampling Data'!N975</f>
        <v>0</v>
      </c>
      <c r="P975" s="17">
        <f>'Sampling Data'!O975</f>
        <v>55</v>
      </c>
      <c r="Q975" s="17">
        <f>'Sampling Data'!P975</f>
        <v>584</v>
      </c>
      <c r="R975" s="17">
        <f>'Sampling Data'!AJ975</f>
        <v>0</v>
      </c>
      <c r="S975" s="111"/>
      <c r="T975" s="111"/>
      <c r="U975" s="112"/>
      <c r="V975" s="112"/>
      <c r="W975" s="111"/>
      <c r="X975" s="111"/>
      <c r="Y975" s="111"/>
      <c r="Z975" s="111"/>
      <c r="AA975" s="14"/>
      <c r="AB975" s="14"/>
      <c r="AC975" s="14"/>
      <c r="AD975" s="14"/>
      <c r="AE975" s="113" t="str">
        <f>IF(NOT(ISBLANK(Audit[[#This Row],[Audit Winning Candidate]])), Audit[[#This Row],[Audit Winning Candidate]]-Audit[[#This Row],[Winning Candidate]], "")</f>
        <v/>
      </c>
      <c r="AF975" s="17" t="str">
        <f>IF(NOT(ISBLANK(Audit[[#This Row],[Audit Losing Candidate]])), Audit[[#This Row],[Audit Losing Candidate]]-Audit[[#This Row],[Losing Candidate]], "")</f>
        <v/>
      </c>
      <c r="AG975" s="17" t="str">
        <f>IF(NOT(ISBLANK(Audit[[#This Row],[Audit Candidate 3]])), Audit[[#This Row],[Audit Candidate 3]]-Audit[[#This Row],[Candidate 3]], "")</f>
        <v/>
      </c>
      <c r="AH975" s="17" t="str">
        <f>IF(NOT(ISBLANK(Audit[[#This Row],[Audit Candidate 4]])),Audit[[#This Row],[Audit Candidate 4]]-Audit[[#This Row],[Candidate 4]], "")</f>
        <v/>
      </c>
      <c r="AI975" s="17" t="str">
        <f>IF(NOT(ISBLANK(Audit[[#This Row],[Audit Candidate 5]])), Audit[[#This Row],[Audit Candidate 5]]-Audit[[#This Row],[Candidate 5]], "")</f>
        <v/>
      </c>
      <c r="AJ975" s="17" t="str">
        <f>IF(NOT(ISBLANK(Audit[[#This Row],[Audit Candidate 6]])), Audit[[#This Row],[Audit Candidate 6]]-Audit[[#This Row],[Candidate 6]], "")</f>
        <v/>
      </c>
      <c r="AK975" s="17" t="str">
        <f>IF(NOT(ISBLANK(Audit[[#This Row],[Audit Candidate 7]])), Audit[[#This Row],[Audit Candidate 7]]-Audit[[#This Row],[Candidate 7]], "")</f>
        <v/>
      </c>
      <c r="AL975" s="17" t="str">
        <f>IF(NOT(ISBLANK(Audit[[#This Row],[Audit Candidate 8]])), Audit[[#This Row],[Audit Candidate 8]]-Audit[[#This Row],[Candidate 8]], "")</f>
        <v/>
      </c>
      <c r="AM975" s="17" t="str">
        <f>IF(NOT(ISBLANK(Audit[[#This Row],[Audit Candidate 9]])), Audit[[#This Row],[Audit Candidate 9]]-Audit[[#This Row],[Candidate 9]], "")</f>
        <v/>
      </c>
      <c r="AN975" s="17" t="str">
        <f>IF(NOT(ISBLANK(Audit[[#This Row],[Audit Candidate 10]])), Audit[[#This Row],[Audit Candidate 10]]-Audit[[#This Row],[Candidate 10]], "")</f>
        <v/>
      </c>
      <c r="AO975" s="17" t="str">
        <f>IF(NOT(ISBLANK(Audit[[#This Row],[Audit Candidate 11]])), Audit[[#This Row],[Audit Candidate 11]]-Audit[[#This Row],[Candidate 11]], "")</f>
        <v/>
      </c>
      <c r="AP975" s="17" t="str">
        <f>IF(NOT(ISBLANK(Audit[[#This Row],[Audit Candidate 12]])), Audit[[#This Row],[Audit Candidate 12]]-Audit[[#This Row],[Candidate 12]], "")</f>
        <v/>
      </c>
      <c r="AQ975" s="17">
        <f>SUMIF(Audit[[#This Row],[Difference Winner]:[Difference Candidate 12]], "&gt;0")</f>
        <v>0</v>
      </c>
      <c r="AR975" s="17">
        <f>SUM(Audit[[#This Row],[Difference Winner]:[Difference Candidate 12]])</f>
        <v>0</v>
      </c>
      <c r="AS975" s="17">
        <f>IF(Audit[[#This Row],[Times p Drawn - With Replacement]]&gt;0, IF(Audit[[#This Row],[Canceled Differences]]&lt;0, Audit[[#This Row],[Max Differences]]+ABS(Audit[[#This Row],[Canceled Differences]]), Audit[[#This Row],[Max Differences]]), 0)</f>
        <v>0</v>
      </c>
      <c r="AT975" s="17">
        <f>'Sampling Data'!AB975</f>
        <v>1.2603972160923443E-2</v>
      </c>
      <c r="AU975" s="17">
        <f>IF(
      SUM(Audit[[#This Row],[Audit Losing Candidate]:[Audit Candidate 12]])
      &lt;&gt;0,
      (Audit[[#This Row],[Winning Candidate]]-Audit[[#This Row],[Losing Candidate]]-(Audit[[#This Row],[Audit Winning Candidate]]-Audit[[#This Row],[Audit Losing Candidate]]))/(Audit[[#Totals],[Winning Candidate]]-Audit[[#Totals],[Losing Candidate]]),
      0
)</f>
        <v>0</v>
      </c>
      <c r="AV9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5" s="17">
        <f>IF(Audit[[#This Row],[Max Relative Error (ep)]] = 0, 0, Audit[[#This Row],[Max Relative Error (ep)]]/Audit[[#This Row],[Error Bound (up) - Max. possible relative overstatement]])</f>
        <v>0</v>
      </c>
      <c r="BH9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75" s="17">
        <f t="shared" ref="BI975:BI1038" si="16">IF(ISERR(POWER(BH975,R975)), 0, POWER(BH975,R975))</f>
        <v>1</v>
      </c>
      <c r="BJ975" s="17">
        <f>PRODUCT($BI$5:BI975)</f>
        <v>0.14573522051577942</v>
      </c>
      <c r="BK975" s="19">
        <f>1 - Audit[[#This Row],[K-M P Value]]</f>
        <v>0.85426477948422064</v>
      </c>
      <c r="BL975" s="17" t="str">
        <f>IF(Audit[[#This Row],[K-M P Value]]&gt;1-'General Info'!$B$12,"Continue", "Stop")</f>
        <v>Continue</v>
      </c>
      <c r="BM975" s="22" t="b">
        <f>IF(Audit[[#This Row],[Status - Continue or stop audit]] = "Continue", TRUE, IF(BL974 = "Continue", TRUE, FALSE))</f>
        <v>1</v>
      </c>
      <c r="BN975" s="22"/>
    </row>
    <row r="976" spans="1:66" ht="15" hidden="1" customHeight="1" x14ac:dyDescent="0.35">
      <c r="A976" s="17" t="str">
        <f>'Sampling Data'!AI976</f>
        <v/>
      </c>
      <c r="B976" s="17" t="str">
        <f>'Sampling Data'!A976</f>
        <v>6513 DELHI M   (ED)</v>
      </c>
      <c r="C976" s="17">
        <f>'Sampling Data'!B976</f>
        <v>149</v>
      </c>
      <c r="D976" s="17">
        <f>'Sampling Data'!C976</f>
        <v>427</v>
      </c>
      <c r="E976" s="18">
        <f>'Sampling Data'!D976</f>
        <v>0</v>
      </c>
      <c r="F976" s="18">
        <f>'Sampling Data'!E976</f>
        <v>0</v>
      </c>
      <c r="G976" s="18">
        <f>'Sampling Data'!F976</f>
        <v>0</v>
      </c>
      <c r="H976" s="18">
        <f>'Sampling Data'!G976</f>
        <v>0</v>
      </c>
      <c r="I976" s="18">
        <f>'Sampling Data'!H976</f>
        <v>0</v>
      </c>
      <c r="J976" s="18">
        <f>'Sampling Data'!I976</f>
        <v>0</v>
      </c>
      <c r="K976" s="18">
        <f>'Sampling Data'!J976</f>
        <v>0</v>
      </c>
      <c r="L976" s="18">
        <f>'Sampling Data'!K976</f>
        <v>0</v>
      </c>
      <c r="M976" s="18">
        <f>'Sampling Data'!L976</f>
        <v>0</v>
      </c>
      <c r="N976" s="18">
        <f>'Sampling Data'!M976</f>
        <v>0</v>
      </c>
      <c r="O976" s="17">
        <f>'Sampling Data'!N976</f>
        <v>0</v>
      </c>
      <c r="P976" s="17">
        <f>'Sampling Data'!O976</f>
        <v>32</v>
      </c>
      <c r="Q976" s="17">
        <f>'Sampling Data'!P976</f>
        <v>608</v>
      </c>
      <c r="R976" s="17">
        <f>'Sampling Data'!AJ976</f>
        <v>0</v>
      </c>
      <c r="S976" s="111"/>
      <c r="T976" s="111"/>
      <c r="U976" s="112"/>
      <c r="V976" s="112"/>
      <c r="W976" s="111"/>
      <c r="X976" s="111"/>
      <c r="Y976" s="111"/>
      <c r="Z976" s="111"/>
      <c r="AA976" s="14"/>
      <c r="AB976" s="14"/>
      <c r="AC976" s="14"/>
      <c r="AD976" s="14"/>
      <c r="AE976" s="113" t="str">
        <f>IF(NOT(ISBLANK(Audit[[#This Row],[Audit Winning Candidate]])), Audit[[#This Row],[Audit Winning Candidate]]-Audit[[#This Row],[Winning Candidate]], "")</f>
        <v/>
      </c>
      <c r="AF976" s="17" t="str">
        <f>IF(NOT(ISBLANK(Audit[[#This Row],[Audit Losing Candidate]])), Audit[[#This Row],[Audit Losing Candidate]]-Audit[[#This Row],[Losing Candidate]], "")</f>
        <v/>
      </c>
      <c r="AG976" s="17" t="str">
        <f>IF(NOT(ISBLANK(Audit[[#This Row],[Audit Candidate 3]])), Audit[[#This Row],[Audit Candidate 3]]-Audit[[#This Row],[Candidate 3]], "")</f>
        <v/>
      </c>
      <c r="AH976" s="17" t="str">
        <f>IF(NOT(ISBLANK(Audit[[#This Row],[Audit Candidate 4]])),Audit[[#This Row],[Audit Candidate 4]]-Audit[[#This Row],[Candidate 4]], "")</f>
        <v/>
      </c>
      <c r="AI976" s="17" t="str">
        <f>IF(NOT(ISBLANK(Audit[[#This Row],[Audit Candidate 5]])), Audit[[#This Row],[Audit Candidate 5]]-Audit[[#This Row],[Candidate 5]], "")</f>
        <v/>
      </c>
      <c r="AJ976" s="17" t="str">
        <f>IF(NOT(ISBLANK(Audit[[#This Row],[Audit Candidate 6]])), Audit[[#This Row],[Audit Candidate 6]]-Audit[[#This Row],[Candidate 6]], "")</f>
        <v/>
      </c>
      <c r="AK976" s="17" t="str">
        <f>IF(NOT(ISBLANK(Audit[[#This Row],[Audit Candidate 7]])), Audit[[#This Row],[Audit Candidate 7]]-Audit[[#This Row],[Candidate 7]], "")</f>
        <v/>
      </c>
      <c r="AL976" s="17" t="str">
        <f>IF(NOT(ISBLANK(Audit[[#This Row],[Audit Candidate 8]])), Audit[[#This Row],[Audit Candidate 8]]-Audit[[#This Row],[Candidate 8]], "")</f>
        <v/>
      </c>
      <c r="AM976" s="17" t="str">
        <f>IF(NOT(ISBLANK(Audit[[#This Row],[Audit Candidate 9]])), Audit[[#This Row],[Audit Candidate 9]]-Audit[[#This Row],[Candidate 9]], "")</f>
        <v/>
      </c>
      <c r="AN976" s="17" t="str">
        <f>IF(NOT(ISBLANK(Audit[[#This Row],[Audit Candidate 10]])), Audit[[#This Row],[Audit Candidate 10]]-Audit[[#This Row],[Candidate 10]], "")</f>
        <v/>
      </c>
      <c r="AO976" s="17" t="str">
        <f>IF(NOT(ISBLANK(Audit[[#This Row],[Audit Candidate 11]])), Audit[[#This Row],[Audit Candidate 11]]-Audit[[#This Row],[Candidate 11]], "")</f>
        <v/>
      </c>
      <c r="AP976" s="17" t="str">
        <f>IF(NOT(ISBLANK(Audit[[#This Row],[Audit Candidate 12]])), Audit[[#This Row],[Audit Candidate 12]]-Audit[[#This Row],[Candidate 12]], "")</f>
        <v/>
      </c>
      <c r="AQ976" s="17">
        <f>SUMIF(Audit[[#This Row],[Difference Winner]:[Difference Candidate 12]], "&gt;0")</f>
        <v>0</v>
      </c>
      <c r="AR976" s="17">
        <f>SUM(Audit[[#This Row],[Difference Winner]:[Difference Candidate 12]])</f>
        <v>0</v>
      </c>
      <c r="AS976" s="17">
        <f>IF(Audit[[#This Row],[Times p Drawn - With Replacement]]&gt;0, IF(Audit[[#This Row],[Canceled Differences]]&lt;0, Audit[[#This Row],[Max Differences]]+ABS(Audit[[#This Row],[Canceled Differences]]), Audit[[#This Row],[Max Differences]]), 0)</f>
        <v>0</v>
      </c>
      <c r="AT976" s="17">
        <f>'Sampling Data'!AB976</f>
        <v>1.4004413512137158E-2</v>
      </c>
      <c r="AU976" s="17">
        <f>IF(
      SUM(Audit[[#This Row],[Audit Losing Candidate]:[Audit Candidate 12]])
      &lt;&gt;0,
      (Audit[[#This Row],[Winning Candidate]]-Audit[[#This Row],[Losing Candidate]]-(Audit[[#This Row],[Audit Winning Candidate]]-Audit[[#This Row],[Audit Losing Candidate]]))/(Audit[[#Totals],[Winning Candidate]]-Audit[[#Totals],[Losing Candidate]]),
      0
)</f>
        <v>0</v>
      </c>
      <c r="AV9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6" s="17">
        <f>IF(Audit[[#This Row],[Max Relative Error (ep)]] = 0, 0, Audit[[#This Row],[Max Relative Error (ep)]]/Audit[[#This Row],[Error Bound (up) - Max. possible relative overstatement]])</f>
        <v>0</v>
      </c>
      <c r="BH9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76" s="17">
        <f t="shared" si="16"/>
        <v>1</v>
      </c>
      <c r="BJ976" s="17">
        <f>PRODUCT($BI$5:BI976)</f>
        <v>0.14573522051577942</v>
      </c>
      <c r="BK976" s="19">
        <f>1 - Audit[[#This Row],[K-M P Value]]</f>
        <v>0.85426477948422064</v>
      </c>
      <c r="BL976" s="17" t="str">
        <f>IF(Audit[[#This Row],[K-M P Value]]&gt;1-'General Info'!$B$12,"Continue", "Stop")</f>
        <v>Continue</v>
      </c>
      <c r="BM976" s="22" t="b">
        <f>IF(Audit[[#This Row],[Status - Continue or stop audit]] = "Continue", TRUE, IF(BL975 = "Continue", TRUE, FALSE))</f>
        <v>1</v>
      </c>
      <c r="BN976" s="22"/>
    </row>
    <row r="977" spans="1:66" ht="15" hidden="1" customHeight="1" x14ac:dyDescent="0.35">
      <c r="A977" s="17" t="str">
        <f>'Sampling Data'!AI977</f>
        <v/>
      </c>
      <c r="B977" s="17" t="str">
        <f>'Sampling Data'!A977</f>
        <v>6514 DELHI N   (ED)</v>
      </c>
      <c r="C977" s="17">
        <f>'Sampling Data'!B977</f>
        <v>104</v>
      </c>
      <c r="D977" s="17">
        <f>'Sampling Data'!C977</f>
        <v>230</v>
      </c>
      <c r="E977" s="18">
        <f>'Sampling Data'!D977</f>
        <v>0</v>
      </c>
      <c r="F977" s="18">
        <f>'Sampling Data'!E977</f>
        <v>0</v>
      </c>
      <c r="G977" s="18">
        <f>'Sampling Data'!F977</f>
        <v>0</v>
      </c>
      <c r="H977" s="18">
        <f>'Sampling Data'!G977</f>
        <v>0</v>
      </c>
      <c r="I977" s="18">
        <f>'Sampling Data'!H977</f>
        <v>0</v>
      </c>
      <c r="J977" s="18">
        <f>'Sampling Data'!I977</f>
        <v>0</v>
      </c>
      <c r="K977" s="18">
        <f>'Sampling Data'!J977</f>
        <v>0</v>
      </c>
      <c r="L977" s="18">
        <f>'Sampling Data'!K977</f>
        <v>0</v>
      </c>
      <c r="M977" s="18">
        <f>'Sampling Data'!L977</f>
        <v>0</v>
      </c>
      <c r="N977" s="18">
        <f>'Sampling Data'!M977</f>
        <v>0</v>
      </c>
      <c r="O977" s="17">
        <f>'Sampling Data'!N977</f>
        <v>0</v>
      </c>
      <c r="P977" s="17">
        <f>'Sampling Data'!O977</f>
        <v>33</v>
      </c>
      <c r="Q977" s="17">
        <f>'Sampling Data'!P977</f>
        <v>367</v>
      </c>
      <c r="R977" s="17">
        <f>'Sampling Data'!AJ977</f>
        <v>0</v>
      </c>
      <c r="S977" s="111"/>
      <c r="T977" s="111"/>
      <c r="U977" s="112"/>
      <c r="V977" s="112"/>
      <c r="W977" s="111"/>
      <c r="X977" s="111"/>
      <c r="Y977" s="111"/>
      <c r="Z977" s="111"/>
      <c r="AA977" s="14"/>
      <c r="AB977" s="14"/>
      <c r="AC977" s="14"/>
      <c r="AD977" s="14"/>
      <c r="AE977" s="113" t="str">
        <f>IF(NOT(ISBLANK(Audit[[#This Row],[Audit Winning Candidate]])), Audit[[#This Row],[Audit Winning Candidate]]-Audit[[#This Row],[Winning Candidate]], "")</f>
        <v/>
      </c>
      <c r="AF977" s="17" t="str">
        <f>IF(NOT(ISBLANK(Audit[[#This Row],[Audit Losing Candidate]])), Audit[[#This Row],[Audit Losing Candidate]]-Audit[[#This Row],[Losing Candidate]], "")</f>
        <v/>
      </c>
      <c r="AG977" s="17" t="str">
        <f>IF(NOT(ISBLANK(Audit[[#This Row],[Audit Candidate 3]])), Audit[[#This Row],[Audit Candidate 3]]-Audit[[#This Row],[Candidate 3]], "")</f>
        <v/>
      </c>
      <c r="AH977" s="17" t="str">
        <f>IF(NOT(ISBLANK(Audit[[#This Row],[Audit Candidate 4]])),Audit[[#This Row],[Audit Candidate 4]]-Audit[[#This Row],[Candidate 4]], "")</f>
        <v/>
      </c>
      <c r="AI977" s="17" t="str">
        <f>IF(NOT(ISBLANK(Audit[[#This Row],[Audit Candidate 5]])), Audit[[#This Row],[Audit Candidate 5]]-Audit[[#This Row],[Candidate 5]], "")</f>
        <v/>
      </c>
      <c r="AJ977" s="17" t="str">
        <f>IF(NOT(ISBLANK(Audit[[#This Row],[Audit Candidate 6]])), Audit[[#This Row],[Audit Candidate 6]]-Audit[[#This Row],[Candidate 6]], "")</f>
        <v/>
      </c>
      <c r="AK977" s="17" t="str">
        <f>IF(NOT(ISBLANK(Audit[[#This Row],[Audit Candidate 7]])), Audit[[#This Row],[Audit Candidate 7]]-Audit[[#This Row],[Candidate 7]], "")</f>
        <v/>
      </c>
      <c r="AL977" s="17" t="str">
        <f>IF(NOT(ISBLANK(Audit[[#This Row],[Audit Candidate 8]])), Audit[[#This Row],[Audit Candidate 8]]-Audit[[#This Row],[Candidate 8]], "")</f>
        <v/>
      </c>
      <c r="AM977" s="17" t="str">
        <f>IF(NOT(ISBLANK(Audit[[#This Row],[Audit Candidate 9]])), Audit[[#This Row],[Audit Candidate 9]]-Audit[[#This Row],[Candidate 9]], "")</f>
        <v/>
      </c>
      <c r="AN977" s="17" t="str">
        <f>IF(NOT(ISBLANK(Audit[[#This Row],[Audit Candidate 10]])), Audit[[#This Row],[Audit Candidate 10]]-Audit[[#This Row],[Candidate 10]], "")</f>
        <v/>
      </c>
      <c r="AO977" s="17" t="str">
        <f>IF(NOT(ISBLANK(Audit[[#This Row],[Audit Candidate 11]])), Audit[[#This Row],[Audit Candidate 11]]-Audit[[#This Row],[Candidate 11]], "")</f>
        <v/>
      </c>
      <c r="AP977" s="17" t="str">
        <f>IF(NOT(ISBLANK(Audit[[#This Row],[Audit Candidate 12]])), Audit[[#This Row],[Audit Candidate 12]]-Audit[[#This Row],[Candidate 12]], "")</f>
        <v/>
      </c>
      <c r="AQ977" s="17">
        <f>SUMIF(Audit[[#This Row],[Difference Winner]:[Difference Candidate 12]], "&gt;0")</f>
        <v>0</v>
      </c>
      <c r="AR977" s="17">
        <f>SUM(Audit[[#This Row],[Difference Winner]:[Difference Candidate 12]])</f>
        <v>0</v>
      </c>
      <c r="AS977" s="17">
        <f>IF(Audit[[#This Row],[Times p Drawn - With Replacement]]&gt;0, IF(Audit[[#This Row],[Canceled Differences]]&lt;0, Audit[[#This Row],[Max Differences]]+ABS(Audit[[#This Row],[Canceled Differences]]), Audit[[#This Row],[Max Differences]]), 0)</f>
        <v>0</v>
      </c>
      <c r="AT977" s="17">
        <f>'Sampling Data'!AB977</f>
        <v>1.0227465625530471E-2</v>
      </c>
      <c r="AU977" s="17">
        <f>IF(
      SUM(Audit[[#This Row],[Audit Losing Candidate]:[Audit Candidate 12]])
      &lt;&gt;0,
      (Audit[[#This Row],[Winning Candidate]]-Audit[[#This Row],[Losing Candidate]]-(Audit[[#This Row],[Audit Winning Candidate]]-Audit[[#This Row],[Audit Losing Candidate]]))/(Audit[[#Totals],[Winning Candidate]]-Audit[[#Totals],[Losing Candidate]]),
      0
)</f>
        <v>0</v>
      </c>
      <c r="AV9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7" s="17">
        <f>IF(Audit[[#This Row],[Max Relative Error (ep)]] = 0, 0, Audit[[#This Row],[Max Relative Error (ep)]]/Audit[[#This Row],[Error Bound (up) - Max. possible relative overstatement]])</f>
        <v>0</v>
      </c>
      <c r="BH9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77" s="17">
        <f t="shared" si="16"/>
        <v>1</v>
      </c>
      <c r="BJ977" s="17">
        <f>PRODUCT($BI$5:BI977)</f>
        <v>0.14573522051577942</v>
      </c>
      <c r="BK977" s="19">
        <f>1 - Audit[[#This Row],[K-M P Value]]</f>
        <v>0.85426477948422064</v>
      </c>
      <c r="BL977" s="17" t="str">
        <f>IF(Audit[[#This Row],[K-M P Value]]&gt;1-'General Info'!$B$12,"Continue", "Stop")</f>
        <v>Continue</v>
      </c>
      <c r="BM977" s="22" t="b">
        <f>IF(Audit[[#This Row],[Status - Continue or stop audit]] = "Continue", TRUE, IF(BL976 = "Continue", TRUE, FALSE))</f>
        <v>1</v>
      </c>
      <c r="BN977" s="22"/>
    </row>
    <row r="978" spans="1:66" ht="15" hidden="1" customHeight="1" x14ac:dyDescent="0.35">
      <c r="A978" s="17" t="str">
        <f>'Sampling Data'!AI978</f>
        <v/>
      </c>
      <c r="B978" s="17" t="str">
        <f>'Sampling Data'!A978</f>
        <v>6515 DELHI O   (ED)</v>
      </c>
      <c r="C978" s="17">
        <f>'Sampling Data'!B978</f>
        <v>144</v>
      </c>
      <c r="D978" s="17">
        <f>'Sampling Data'!C978</f>
        <v>518</v>
      </c>
      <c r="E978" s="18">
        <f>'Sampling Data'!D978</f>
        <v>0</v>
      </c>
      <c r="F978" s="18">
        <f>'Sampling Data'!E978</f>
        <v>0</v>
      </c>
      <c r="G978" s="18">
        <f>'Sampling Data'!F978</f>
        <v>0</v>
      </c>
      <c r="H978" s="18">
        <f>'Sampling Data'!G978</f>
        <v>0</v>
      </c>
      <c r="I978" s="18">
        <f>'Sampling Data'!H978</f>
        <v>0</v>
      </c>
      <c r="J978" s="18">
        <f>'Sampling Data'!I978</f>
        <v>0</v>
      </c>
      <c r="K978" s="18">
        <f>'Sampling Data'!J978</f>
        <v>0</v>
      </c>
      <c r="L978" s="18">
        <f>'Sampling Data'!K978</f>
        <v>0</v>
      </c>
      <c r="M978" s="18">
        <f>'Sampling Data'!L978</f>
        <v>0</v>
      </c>
      <c r="N978" s="18">
        <f>'Sampling Data'!M978</f>
        <v>0</v>
      </c>
      <c r="O978" s="17">
        <f>'Sampling Data'!N978</f>
        <v>0</v>
      </c>
      <c r="P978" s="17">
        <f>'Sampling Data'!O978</f>
        <v>65</v>
      </c>
      <c r="Q978" s="17">
        <f>'Sampling Data'!P978</f>
        <v>727</v>
      </c>
      <c r="R978" s="17">
        <f>'Sampling Data'!AJ978</f>
        <v>0</v>
      </c>
      <c r="S978" s="111"/>
      <c r="T978" s="111"/>
      <c r="U978" s="112"/>
      <c r="V978" s="112"/>
      <c r="W978" s="111"/>
      <c r="X978" s="111"/>
      <c r="Y978" s="111"/>
      <c r="Z978" s="111"/>
      <c r="AA978" s="14"/>
      <c r="AB978" s="14"/>
      <c r="AC978" s="14"/>
      <c r="AD978" s="14"/>
      <c r="AE978" s="113" t="str">
        <f>IF(NOT(ISBLANK(Audit[[#This Row],[Audit Winning Candidate]])), Audit[[#This Row],[Audit Winning Candidate]]-Audit[[#This Row],[Winning Candidate]], "")</f>
        <v/>
      </c>
      <c r="AF978" s="17" t="str">
        <f>IF(NOT(ISBLANK(Audit[[#This Row],[Audit Losing Candidate]])), Audit[[#This Row],[Audit Losing Candidate]]-Audit[[#This Row],[Losing Candidate]], "")</f>
        <v/>
      </c>
      <c r="AG978" s="17" t="str">
        <f>IF(NOT(ISBLANK(Audit[[#This Row],[Audit Candidate 3]])), Audit[[#This Row],[Audit Candidate 3]]-Audit[[#This Row],[Candidate 3]], "")</f>
        <v/>
      </c>
      <c r="AH978" s="17" t="str">
        <f>IF(NOT(ISBLANK(Audit[[#This Row],[Audit Candidate 4]])),Audit[[#This Row],[Audit Candidate 4]]-Audit[[#This Row],[Candidate 4]], "")</f>
        <v/>
      </c>
      <c r="AI978" s="17" t="str">
        <f>IF(NOT(ISBLANK(Audit[[#This Row],[Audit Candidate 5]])), Audit[[#This Row],[Audit Candidate 5]]-Audit[[#This Row],[Candidate 5]], "")</f>
        <v/>
      </c>
      <c r="AJ978" s="17" t="str">
        <f>IF(NOT(ISBLANK(Audit[[#This Row],[Audit Candidate 6]])), Audit[[#This Row],[Audit Candidate 6]]-Audit[[#This Row],[Candidate 6]], "")</f>
        <v/>
      </c>
      <c r="AK978" s="17" t="str">
        <f>IF(NOT(ISBLANK(Audit[[#This Row],[Audit Candidate 7]])), Audit[[#This Row],[Audit Candidate 7]]-Audit[[#This Row],[Candidate 7]], "")</f>
        <v/>
      </c>
      <c r="AL978" s="17" t="str">
        <f>IF(NOT(ISBLANK(Audit[[#This Row],[Audit Candidate 8]])), Audit[[#This Row],[Audit Candidate 8]]-Audit[[#This Row],[Candidate 8]], "")</f>
        <v/>
      </c>
      <c r="AM978" s="17" t="str">
        <f>IF(NOT(ISBLANK(Audit[[#This Row],[Audit Candidate 9]])), Audit[[#This Row],[Audit Candidate 9]]-Audit[[#This Row],[Candidate 9]], "")</f>
        <v/>
      </c>
      <c r="AN978" s="17" t="str">
        <f>IF(NOT(ISBLANK(Audit[[#This Row],[Audit Candidate 10]])), Audit[[#This Row],[Audit Candidate 10]]-Audit[[#This Row],[Candidate 10]], "")</f>
        <v/>
      </c>
      <c r="AO978" s="17" t="str">
        <f>IF(NOT(ISBLANK(Audit[[#This Row],[Audit Candidate 11]])), Audit[[#This Row],[Audit Candidate 11]]-Audit[[#This Row],[Candidate 11]], "")</f>
        <v/>
      </c>
      <c r="AP978" s="17" t="str">
        <f>IF(NOT(ISBLANK(Audit[[#This Row],[Audit Candidate 12]])), Audit[[#This Row],[Audit Candidate 12]]-Audit[[#This Row],[Candidate 12]], "")</f>
        <v/>
      </c>
      <c r="AQ978" s="17">
        <f>SUMIF(Audit[[#This Row],[Difference Winner]:[Difference Candidate 12]], "&gt;0")</f>
        <v>0</v>
      </c>
      <c r="AR978" s="17">
        <f>SUM(Audit[[#This Row],[Difference Winner]:[Difference Candidate 12]])</f>
        <v>0</v>
      </c>
      <c r="AS978" s="17">
        <f>IF(Audit[[#This Row],[Times p Drawn - With Replacement]]&gt;0, IF(Audit[[#This Row],[Canceled Differences]]&lt;0, Audit[[#This Row],[Max Differences]]+ABS(Audit[[#This Row],[Canceled Differences]]), Audit[[#This Row],[Max Differences]]), 0)</f>
        <v>0</v>
      </c>
      <c r="AT978" s="17">
        <f>'Sampling Data'!AB978</f>
        <v>1.4980478696316414E-2</v>
      </c>
      <c r="AU978" s="17">
        <f>IF(
      SUM(Audit[[#This Row],[Audit Losing Candidate]:[Audit Candidate 12]])
      &lt;&gt;0,
      (Audit[[#This Row],[Winning Candidate]]-Audit[[#This Row],[Losing Candidate]]-(Audit[[#This Row],[Audit Winning Candidate]]-Audit[[#This Row],[Audit Losing Candidate]]))/(Audit[[#Totals],[Winning Candidate]]-Audit[[#Totals],[Losing Candidate]]),
      0
)</f>
        <v>0</v>
      </c>
      <c r="AV9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8" s="17">
        <f>IF(Audit[[#This Row],[Max Relative Error (ep)]] = 0, 0, Audit[[#This Row],[Max Relative Error (ep)]]/Audit[[#This Row],[Error Bound (up) - Max. possible relative overstatement]])</f>
        <v>0</v>
      </c>
      <c r="BH9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78" s="17">
        <f t="shared" si="16"/>
        <v>1</v>
      </c>
      <c r="BJ978" s="17">
        <f>PRODUCT($BI$5:BI978)</f>
        <v>0.14573522051577942</v>
      </c>
      <c r="BK978" s="19">
        <f>1 - Audit[[#This Row],[K-M P Value]]</f>
        <v>0.85426477948422064</v>
      </c>
      <c r="BL978" s="17" t="str">
        <f>IF(Audit[[#This Row],[K-M P Value]]&gt;1-'General Info'!$B$12,"Continue", "Stop")</f>
        <v>Continue</v>
      </c>
      <c r="BM978" s="22" t="b">
        <f>IF(Audit[[#This Row],[Status - Continue or stop audit]] = "Continue", TRUE, IF(BL977 = "Continue", TRUE, FALSE))</f>
        <v>1</v>
      </c>
      <c r="BN978" s="22"/>
    </row>
    <row r="979" spans="1:66" ht="15" hidden="1" customHeight="1" x14ac:dyDescent="0.35">
      <c r="A979" s="17" t="str">
        <f>'Sampling Data'!AI979</f>
        <v/>
      </c>
      <c r="B979" s="17" t="str">
        <f>'Sampling Data'!A979</f>
        <v>6516 DELHI P   (ED)</v>
      </c>
      <c r="C979" s="17">
        <f>'Sampling Data'!B979</f>
        <v>114</v>
      </c>
      <c r="D979" s="17">
        <f>'Sampling Data'!C979</f>
        <v>407</v>
      </c>
      <c r="E979" s="18">
        <f>'Sampling Data'!D979</f>
        <v>0</v>
      </c>
      <c r="F979" s="18">
        <f>'Sampling Data'!E979</f>
        <v>0</v>
      </c>
      <c r="G979" s="18">
        <f>'Sampling Data'!F979</f>
        <v>0</v>
      </c>
      <c r="H979" s="18">
        <f>'Sampling Data'!G979</f>
        <v>0</v>
      </c>
      <c r="I979" s="18">
        <f>'Sampling Data'!H979</f>
        <v>0</v>
      </c>
      <c r="J979" s="18">
        <f>'Sampling Data'!I979</f>
        <v>0</v>
      </c>
      <c r="K979" s="18">
        <f>'Sampling Data'!J979</f>
        <v>0</v>
      </c>
      <c r="L979" s="18">
        <f>'Sampling Data'!K979</f>
        <v>0</v>
      </c>
      <c r="M979" s="18">
        <f>'Sampling Data'!L979</f>
        <v>0</v>
      </c>
      <c r="N979" s="18">
        <f>'Sampling Data'!M979</f>
        <v>0</v>
      </c>
      <c r="O979" s="17">
        <f>'Sampling Data'!N979</f>
        <v>0</v>
      </c>
      <c r="P979" s="17">
        <f>'Sampling Data'!O979</f>
        <v>41</v>
      </c>
      <c r="Q979" s="17">
        <f>'Sampling Data'!P979</f>
        <v>562</v>
      </c>
      <c r="R979" s="17">
        <f>'Sampling Data'!AJ979</f>
        <v>0</v>
      </c>
      <c r="S979" s="111"/>
      <c r="T979" s="111"/>
      <c r="U979" s="112"/>
      <c r="V979" s="112"/>
      <c r="W979" s="111"/>
      <c r="X979" s="111"/>
      <c r="Y979" s="111"/>
      <c r="Z979" s="111"/>
      <c r="AA979" s="14"/>
      <c r="AB979" s="14"/>
      <c r="AC979" s="14"/>
      <c r="AD979" s="14"/>
      <c r="AE979" s="113" t="str">
        <f>IF(NOT(ISBLANK(Audit[[#This Row],[Audit Winning Candidate]])), Audit[[#This Row],[Audit Winning Candidate]]-Audit[[#This Row],[Winning Candidate]], "")</f>
        <v/>
      </c>
      <c r="AF979" s="17" t="str">
        <f>IF(NOT(ISBLANK(Audit[[#This Row],[Audit Losing Candidate]])), Audit[[#This Row],[Audit Losing Candidate]]-Audit[[#This Row],[Losing Candidate]], "")</f>
        <v/>
      </c>
      <c r="AG979" s="17" t="str">
        <f>IF(NOT(ISBLANK(Audit[[#This Row],[Audit Candidate 3]])), Audit[[#This Row],[Audit Candidate 3]]-Audit[[#This Row],[Candidate 3]], "")</f>
        <v/>
      </c>
      <c r="AH979" s="17" t="str">
        <f>IF(NOT(ISBLANK(Audit[[#This Row],[Audit Candidate 4]])),Audit[[#This Row],[Audit Candidate 4]]-Audit[[#This Row],[Candidate 4]], "")</f>
        <v/>
      </c>
      <c r="AI979" s="17" t="str">
        <f>IF(NOT(ISBLANK(Audit[[#This Row],[Audit Candidate 5]])), Audit[[#This Row],[Audit Candidate 5]]-Audit[[#This Row],[Candidate 5]], "")</f>
        <v/>
      </c>
      <c r="AJ979" s="17" t="str">
        <f>IF(NOT(ISBLANK(Audit[[#This Row],[Audit Candidate 6]])), Audit[[#This Row],[Audit Candidate 6]]-Audit[[#This Row],[Candidate 6]], "")</f>
        <v/>
      </c>
      <c r="AK979" s="17" t="str">
        <f>IF(NOT(ISBLANK(Audit[[#This Row],[Audit Candidate 7]])), Audit[[#This Row],[Audit Candidate 7]]-Audit[[#This Row],[Candidate 7]], "")</f>
        <v/>
      </c>
      <c r="AL979" s="17" t="str">
        <f>IF(NOT(ISBLANK(Audit[[#This Row],[Audit Candidate 8]])), Audit[[#This Row],[Audit Candidate 8]]-Audit[[#This Row],[Candidate 8]], "")</f>
        <v/>
      </c>
      <c r="AM979" s="17" t="str">
        <f>IF(NOT(ISBLANK(Audit[[#This Row],[Audit Candidate 9]])), Audit[[#This Row],[Audit Candidate 9]]-Audit[[#This Row],[Candidate 9]], "")</f>
        <v/>
      </c>
      <c r="AN979" s="17" t="str">
        <f>IF(NOT(ISBLANK(Audit[[#This Row],[Audit Candidate 10]])), Audit[[#This Row],[Audit Candidate 10]]-Audit[[#This Row],[Candidate 10]], "")</f>
        <v/>
      </c>
      <c r="AO979" s="17" t="str">
        <f>IF(NOT(ISBLANK(Audit[[#This Row],[Audit Candidate 11]])), Audit[[#This Row],[Audit Candidate 11]]-Audit[[#This Row],[Candidate 11]], "")</f>
        <v/>
      </c>
      <c r="AP979" s="17" t="str">
        <f>IF(NOT(ISBLANK(Audit[[#This Row],[Audit Candidate 12]])), Audit[[#This Row],[Audit Candidate 12]]-Audit[[#This Row],[Candidate 12]], "")</f>
        <v/>
      </c>
      <c r="AQ979" s="17">
        <f>SUMIF(Audit[[#This Row],[Difference Winner]:[Difference Candidate 12]], "&gt;0")</f>
        <v>0</v>
      </c>
      <c r="AR979" s="17">
        <f>SUM(Audit[[#This Row],[Difference Winner]:[Difference Candidate 12]])</f>
        <v>0</v>
      </c>
      <c r="AS979" s="17">
        <f>IF(Audit[[#This Row],[Times p Drawn - With Replacement]]&gt;0, IF(Audit[[#This Row],[Canceled Differences]]&lt;0, Audit[[#This Row],[Max Differences]]+ABS(Audit[[#This Row],[Canceled Differences]]), Audit[[#This Row],[Max Differences]]), 0)</f>
        <v>0</v>
      </c>
      <c r="AT979" s="17">
        <f>'Sampling Data'!AB979</f>
        <v>1.1415718893226956E-2</v>
      </c>
      <c r="AU979" s="17">
        <f>IF(
      SUM(Audit[[#This Row],[Audit Losing Candidate]:[Audit Candidate 12]])
      &lt;&gt;0,
      (Audit[[#This Row],[Winning Candidate]]-Audit[[#This Row],[Losing Candidate]]-(Audit[[#This Row],[Audit Winning Candidate]]-Audit[[#This Row],[Audit Losing Candidate]]))/(Audit[[#Totals],[Winning Candidate]]-Audit[[#Totals],[Losing Candidate]]),
      0
)</f>
        <v>0</v>
      </c>
      <c r="AV9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9" s="17">
        <f>IF(Audit[[#This Row],[Max Relative Error (ep)]] = 0, 0, Audit[[#This Row],[Max Relative Error (ep)]]/Audit[[#This Row],[Error Bound (up) - Max. possible relative overstatement]])</f>
        <v>0</v>
      </c>
      <c r="BH9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79" s="17">
        <f t="shared" si="16"/>
        <v>1</v>
      </c>
      <c r="BJ979" s="17">
        <f>PRODUCT($BI$5:BI979)</f>
        <v>0.14573522051577942</v>
      </c>
      <c r="BK979" s="19">
        <f>1 - Audit[[#This Row],[K-M P Value]]</f>
        <v>0.85426477948422064</v>
      </c>
      <c r="BL979" s="17" t="str">
        <f>IF(Audit[[#This Row],[K-M P Value]]&gt;1-'General Info'!$B$12,"Continue", "Stop")</f>
        <v>Continue</v>
      </c>
      <c r="BM979" s="22" t="b">
        <f>IF(Audit[[#This Row],[Status - Continue or stop audit]] = "Continue", TRUE, IF(BL978 = "Continue", TRUE, FALSE))</f>
        <v>1</v>
      </c>
      <c r="BN979" s="22"/>
    </row>
    <row r="980" spans="1:66" ht="15" hidden="1" customHeight="1" x14ac:dyDescent="0.35">
      <c r="A980" s="17" t="str">
        <f>'Sampling Data'!AI980</f>
        <v/>
      </c>
      <c r="B980" s="17" t="str">
        <f>'Sampling Data'!A980</f>
        <v>6517 DELHI Q   (ED)</v>
      </c>
      <c r="C980" s="17">
        <f>'Sampling Data'!B980</f>
        <v>107</v>
      </c>
      <c r="D980" s="17">
        <f>'Sampling Data'!C980</f>
        <v>534</v>
      </c>
      <c r="E980" s="18">
        <f>'Sampling Data'!D980</f>
        <v>0</v>
      </c>
      <c r="F980" s="18">
        <f>'Sampling Data'!E980</f>
        <v>0</v>
      </c>
      <c r="G980" s="18">
        <f>'Sampling Data'!F980</f>
        <v>0</v>
      </c>
      <c r="H980" s="18">
        <f>'Sampling Data'!G980</f>
        <v>0</v>
      </c>
      <c r="I980" s="18">
        <f>'Sampling Data'!H980</f>
        <v>0</v>
      </c>
      <c r="J980" s="18">
        <f>'Sampling Data'!I980</f>
        <v>0</v>
      </c>
      <c r="K980" s="18">
        <f>'Sampling Data'!J980</f>
        <v>0</v>
      </c>
      <c r="L980" s="18">
        <f>'Sampling Data'!K980</f>
        <v>0</v>
      </c>
      <c r="M980" s="18">
        <f>'Sampling Data'!L980</f>
        <v>0</v>
      </c>
      <c r="N980" s="18">
        <f>'Sampling Data'!M980</f>
        <v>0</v>
      </c>
      <c r="O980" s="17">
        <f>'Sampling Data'!N980</f>
        <v>0</v>
      </c>
      <c r="P980" s="17">
        <f>'Sampling Data'!O980</f>
        <v>37</v>
      </c>
      <c r="Q980" s="17">
        <f>'Sampling Data'!P980</f>
        <v>678</v>
      </c>
      <c r="R980" s="17">
        <f>'Sampling Data'!AJ980</f>
        <v>0</v>
      </c>
      <c r="S980" s="111"/>
      <c r="T980" s="111"/>
      <c r="U980" s="112"/>
      <c r="V980" s="112"/>
      <c r="W980" s="111"/>
      <c r="X980" s="111"/>
      <c r="Y980" s="111"/>
      <c r="Z980" s="111"/>
      <c r="AA980" s="14"/>
      <c r="AB980" s="14"/>
      <c r="AC980" s="14"/>
      <c r="AD980" s="14"/>
      <c r="AE980" s="113" t="str">
        <f>IF(NOT(ISBLANK(Audit[[#This Row],[Audit Winning Candidate]])), Audit[[#This Row],[Audit Winning Candidate]]-Audit[[#This Row],[Winning Candidate]], "")</f>
        <v/>
      </c>
      <c r="AF980" s="17" t="str">
        <f>IF(NOT(ISBLANK(Audit[[#This Row],[Audit Losing Candidate]])), Audit[[#This Row],[Audit Losing Candidate]]-Audit[[#This Row],[Losing Candidate]], "")</f>
        <v/>
      </c>
      <c r="AG980" s="17" t="str">
        <f>IF(NOT(ISBLANK(Audit[[#This Row],[Audit Candidate 3]])), Audit[[#This Row],[Audit Candidate 3]]-Audit[[#This Row],[Candidate 3]], "")</f>
        <v/>
      </c>
      <c r="AH980" s="17" t="str">
        <f>IF(NOT(ISBLANK(Audit[[#This Row],[Audit Candidate 4]])),Audit[[#This Row],[Audit Candidate 4]]-Audit[[#This Row],[Candidate 4]], "")</f>
        <v/>
      </c>
      <c r="AI980" s="17" t="str">
        <f>IF(NOT(ISBLANK(Audit[[#This Row],[Audit Candidate 5]])), Audit[[#This Row],[Audit Candidate 5]]-Audit[[#This Row],[Candidate 5]], "")</f>
        <v/>
      </c>
      <c r="AJ980" s="17" t="str">
        <f>IF(NOT(ISBLANK(Audit[[#This Row],[Audit Candidate 6]])), Audit[[#This Row],[Audit Candidate 6]]-Audit[[#This Row],[Candidate 6]], "")</f>
        <v/>
      </c>
      <c r="AK980" s="17" t="str">
        <f>IF(NOT(ISBLANK(Audit[[#This Row],[Audit Candidate 7]])), Audit[[#This Row],[Audit Candidate 7]]-Audit[[#This Row],[Candidate 7]], "")</f>
        <v/>
      </c>
      <c r="AL980" s="17" t="str">
        <f>IF(NOT(ISBLANK(Audit[[#This Row],[Audit Candidate 8]])), Audit[[#This Row],[Audit Candidate 8]]-Audit[[#This Row],[Candidate 8]], "")</f>
        <v/>
      </c>
      <c r="AM980" s="17" t="str">
        <f>IF(NOT(ISBLANK(Audit[[#This Row],[Audit Candidate 9]])), Audit[[#This Row],[Audit Candidate 9]]-Audit[[#This Row],[Candidate 9]], "")</f>
        <v/>
      </c>
      <c r="AN980" s="17" t="str">
        <f>IF(NOT(ISBLANK(Audit[[#This Row],[Audit Candidate 10]])), Audit[[#This Row],[Audit Candidate 10]]-Audit[[#This Row],[Candidate 10]], "")</f>
        <v/>
      </c>
      <c r="AO980" s="17" t="str">
        <f>IF(NOT(ISBLANK(Audit[[#This Row],[Audit Candidate 11]])), Audit[[#This Row],[Audit Candidate 11]]-Audit[[#This Row],[Candidate 11]], "")</f>
        <v/>
      </c>
      <c r="AP980" s="17" t="str">
        <f>IF(NOT(ISBLANK(Audit[[#This Row],[Audit Candidate 12]])), Audit[[#This Row],[Audit Candidate 12]]-Audit[[#This Row],[Candidate 12]], "")</f>
        <v/>
      </c>
      <c r="AQ980" s="17">
        <f>SUMIF(Audit[[#This Row],[Difference Winner]:[Difference Candidate 12]], "&gt;0")</f>
        <v>0</v>
      </c>
      <c r="AR980" s="17">
        <f>SUM(Audit[[#This Row],[Difference Winner]:[Difference Candidate 12]])</f>
        <v>0</v>
      </c>
      <c r="AS980" s="17">
        <f>IF(Audit[[#This Row],[Times p Drawn - With Replacement]]&gt;0, IF(Audit[[#This Row],[Canceled Differences]]&lt;0, Audit[[#This Row],[Max Differences]]+ABS(Audit[[#This Row],[Canceled Differences]]), Audit[[#This Row],[Max Differences]]), 0)</f>
        <v>0</v>
      </c>
      <c r="AT980" s="17">
        <f>'Sampling Data'!AB980</f>
        <v>1.0651841792564929E-2</v>
      </c>
      <c r="AU980" s="17">
        <f>IF(
      SUM(Audit[[#This Row],[Audit Losing Candidate]:[Audit Candidate 12]])
      &lt;&gt;0,
      (Audit[[#This Row],[Winning Candidate]]-Audit[[#This Row],[Losing Candidate]]-(Audit[[#This Row],[Audit Winning Candidate]]-Audit[[#This Row],[Audit Losing Candidate]]))/(Audit[[#Totals],[Winning Candidate]]-Audit[[#Totals],[Losing Candidate]]),
      0
)</f>
        <v>0</v>
      </c>
      <c r="AV9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0" s="17">
        <f>IF(Audit[[#This Row],[Max Relative Error (ep)]] = 0, 0, Audit[[#This Row],[Max Relative Error (ep)]]/Audit[[#This Row],[Error Bound (up) - Max. possible relative overstatement]])</f>
        <v>0</v>
      </c>
      <c r="BH9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80" s="17">
        <f t="shared" si="16"/>
        <v>1</v>
      </c>
      <c r="BJ980" s="17">
        <f>PRODUCT($BI$5:BI980)</f>
        <v>0.14573522051577942</v>
      </c>
      <c r="BK980" s="19">
        <f>1 - Audit[[#This Row],[K-M P Value]]</f>
        <v>0.85426477948422064</v>
      </c>
      <c r="BL980" s="17" t="str">
        <f>IF(Audit[[#This Row],[K-M P Value]]&gt;1-'General Info'!$B$12,"Continue", "Stop")</f>
        <v>Continue</v>
      </c>
      <c r="BM980" s="22" t="b">
        <f>IF(Audit[[#This Row],[Status - Continue or stop audit]] = "Continue", TRUE, IF(BL979 = "Continue", TRUE, FALSE))</f>
        <v>1</v>
      </c>
      <c r="BN980" s="22"/>
    </row>
    <row r="981" spans="1:66" ht="15" hidden="1" customHeight="1" x14ac:dyDescent="0.35">
      <c r="A981" s="17" t="str">
        <f>'Sampling Data'!AI981</f>
        <v/>
      </c>
      <c r="B981" s="17" t="str">
        <f>'Sampling Data'!A981</f>
        <v>6518 DELHI R   (ED)</v>
      </c>
      <c r="C981" s="17">
        <f>'Sampling Data'!B981</f>
        <v>68</v>
      </c>
      <c r="D981" s="17">
        <f>'Sampling Data'!C981</f>
        <v>217</v>
      </c>
      <c r="E981" s="18">
        <f>'Sampling Data'!D981</f>
        <v>0</v>
      </c>
      <c r="F981" s="18">
        <f>'Sampling Data'!E981</f>
        <v>0</v>
      </c>
      <c r="G981" s="18">
        <f>'Sampling Data'!F981</f>
        <v>0</v>
      </c>
      <c r="H981" s="18">
        <f>'Sampling Data'!G981</f>
        <v>0</v>
      </c>
      <c r="I981" s="18">
        <f>'Sampling Data'!H981</f>
        <v>0</v>
      </c>
      <c r="J981" s="18">
        <f>'Sampling Data'!I981</f>
        <v>0</v>
      </c>
      <c r="K981" s="18">
        <f>'Sampling Data'!J981</f>
        <v>0</v>
      </c>
      <c r="L981" s="18">
        <f>'Sampling Data'!K981</f>
        <v>0</v>
      </c>
      <c r="M981" s="18">
        <f>'Sampling Data'!L981</f>
        <v>0</v>
      </c>
      <c r="N981" s="18">
        <f>'Sampling Data'!M981</f>
        <v>0</v>
      </c>
      <c r="O981" s="17">
        <f>'Sampling Data'!N981</f>
        <v>0</v>
      </c>
      <c r="P981" s="17">
        <f>'Sampling Data'!O981</f>
        <v>24</v>
      </c>
      <c r="Q981" s="17">
        <f>'Sampling Data'!P981</f>
        <v>309</v>
      </c>
      <c r="R981" s="17">
        <f>'Sampling Data'!AJ981</f>
        <v>0</v>
      </c>
      <c r="S981" s="111"/>
      <c r="T981" s="111"/>
      <c r="U981" s="112"/>
      <c r="V981" s="112"/>
      <c r="W981" s="111"/>
      <c r="X981" s="111"/>
      <c r="Y981" s="111"/>
      <c r="Z981" s="111"/>
      <c r="AA981" s="14"/>
      <c r="AB981" s="14"/>
      <c r="AC981" s="14"/>
      <c r="AD981" s="14"/>
      <c r="AE981" s="113" t="str">
        <f>IF(NOT(ISBLANK(Audit[[#This Row],[Audit Winning Candidate]])), Audit[[#This Row],[Audit Winning Candidate]]-Audit[[#This Row],[Winning Candidate]], "")</f>
        <v/>
      </c>
      <c r="AF981" s="17" t="str">
        <f>IF(NOT(ISBLANK(Audit[[#This Row],[Audit Losing Candidate]])), Audit[[#This Row],[Audit Losing Candidate]]-Audit[[#This Row],[Losing Candidate]], "")</f>
        <v/>
      </c>
      <c r="AG981" s="17" t="str">
        <f>IF(NOT(ISBLANK(Audit[[#This Row],[Audit Candidate 3]])), Audit[[#This Row],[Audit Candidate 3]]-Audit[[#This Row],[Candidate 3]], "")</f>
        <v/>
      </c>
      <c r="AH981" s="17" t="str">
        <f>IF(NOT(ISBLANK(Audit[[#This Row],[Audit Candidate 4]])),Audit[[#This Row],[Audit Candidate 4]]-Audit[[#This Row],[Candidate 4]], "")</f>
        <v/>
      </c>
      <c r="AI981" s="17" t="str">
        <f>IF(NOT(ISBLANK(Audit[[#This Row],[Audit Candidate 5]])), Audit[[#This Row],[Audit Candidate 5]]-Audit[[#This Row],[Candidate 5]], "")</f>
        <v/>
      </c>
      <c r="AJ981" s="17" t="str">
        <f>IF(NOT(ISBLANK(Audit[[#This Row],[Audit Candidate 6]])), Audit[[#This Row],[Audit Candidate 6]]-Audit[[#This Row],[Candidate 6]], "")</f>
        <v/>
      </c>
      <c r="AK981" s="17" t="str">
        <f>IF(NOT(ISBLANK(Audit[[#This Row],[Audit Candidate 7]])), Audit[[#This Row],[Audit Candidate 7]]-Audit[[#This Row],[Candidate 7]], "")</f>
        <v/>
      </c>
      <c r="AL981" s="17" t="str">
        <f>IF(NOT(ISBLANK(Audit[[#This Row],[Audit Candidate 8]])), Audit[[#This Row],[Audit Candidate 8]]-Audit[[#This Row],[Candidate 8]], "")</f>
        <v/>
      </c>
      <c r="AM981" s="17" t="str">
        <f>IF(NOT(ISBLANK(Audit[[#This Row],[Audit Candidate 9]])), Audit[[#This Row],[Audit Candidate 9]]-Audit[[#This Row],[Candidate 9]], "")</f>
        <v/>
      </c>
      <c r="AN981" s="17" t="str">
        <f>IF(NOT(ISBLANK(Audit[[#This Row],[Audit Candidate 10]])), Audit[[#This Row],[Audit Candidate 10]]-Audit[[#This Row],[Candidate 10]], "")</f>
        <v/>
      </c>
      <c r="AO981" s="17" t="str">
        <f>IF(NOT(ISBLANK(Audit[[#This Row],[Audit Candidate 11]])), Audit[[#This Row],[Audit Candidate 11]]-Audit[[#This Row],[Candidate 11]], "")</f>
        <v/>
      </c>
      <c r="AP981" s="17" t="str">
        <f>IF(NOT(ISBLANK(Audit[[#This Row],[Audit Candidate 12]])), Audit[[#This Row],[Audit Candidate 12]]-Audit[[#This Row],[Candidate 12]], "")</f>
        <v/>
      </c>
      <c r="AQ981" s="17">
        <f>SUMIF(Audit[[#This Row],[Difference Winner]:[Difference Candidate 12]], "&gt;0")</f>
        <v>0</v>
      </c>
      <c r="AR981" s="17">
        <f>SUM(Audit[[#This Row],[Difference Winner]:[Difference Candidate 12]])</f>
        <v>0</v>
      </c>
      <c r="AS981" s="17">
        <f>IF(Audit[[#This Row],[Times p Drawn - With Replacement]]&gt;0, IF(Audit[[#This Row],[Canceled Differences]]&lt;0, Audit[[#This Row],[Max Differences]]+ABS(Audit[[#This Row],[Canceled Differences]]), Audit[[#This Row],[Max Differences]]), 0)</f>
        <v>0</v>
      </c>
      <c r="AT981" s="17">
        <f>'Sampling Data'!AB981</f>
        <v>6.7900186725513498E-3</v>
      </c>
      <c r="AU981" s="17">
        <f>IF(
      SUM(Audit[[#This Row],[Audit Losing Candidate]:[Audit Candidate 12]])
      &lt;&gt;0,
      (Audit[[#This Row],[Winning Candidate]]-Audit[[#This Row],[Losing Candidate]]-(Audit[[#This Row],[Audit Winning Candidate]]-Audit[[#This Row],[Audit Losing Candidate]]))/(Audit[[#Totals],[Winning Candidate]]-Audit[[#Totals],[Losing Candidate]]),
      0
)</f>
        <v>0</v>
      </c>
      <c r="AV9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1" s="17">
        <f>IF(Audit[[#This Row],[Max Relative Error (ep)]] = 0, 0, Audit[[#This Row],[Max Relative Error (ep)]]/Audit[[#This Row],[Error Bound (up) - Max. possible relative overstatement]])</f>
        <v>0</v>
      </c>
      <c r="BH9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81" s="17">
        <f t="shared" si="16"/>
        <v>1</v>
      </c>
      <c r="BJ981" s="17">
        <f>PRODUCT($BI$5:BI981)</f>
        <v>0.14573522051577942</v>
      </c>
      <c r="BK981" s="19">
        <f>1 - Audit[[#This Row],[K-M P Value]]</f>
        <v>0.85426477948422064</v>
      </c>
      <c r="BL981" s="17" t="str">
        <f>IF(Audit[[#This Row],[K-M P Value]]&gt;1-'General Info'!$B$12,"Continue", "Stop")</f>
        <v>Continue</v>
      </c>
      <c r="BM981" s="22" t="b">
        <f>IF(Audit[[#This Row],[Status - Continue or stop audit]] = "Continue", TRUE, IF(BL980 = "Continue", TRUE, FALSE))</f>
        <v>1</v>
      </c>
      <c r="BN981" s="22"/>
    </row>
    <row r="982" spans="1:66" ht="15" hidden="1" customHeight="1" x14ac:dyDescent="0.35">
      <c r="A982" s="17" t="str">
        <f>'Sampling Data'!AI982</f>
        <v/>
      </c>
      <c r="B982" s="17" t="str">
        <f>'Sampling Data'!A982</f>
        <v>6519 DELHI S   (ED)</v>
      </c>
      <c r="C982" s="17">
        <f>'Sampling Data'!B982</f>
        <v>131</v>
      </c>
      <c r="D982" s="17">
        <f>'Sampling Data'!C982</f>
        <v>408</v>
      </c>
      <c r="E982" s="18">
        <f>'Sampling Data'!D982</f>
        <v>0</v>
      </c>
      <c r="F982" s="18">
        <f>'Sampling Data'!E982</f>
        <v>0</v>
      </c>
      <c r="G982" s="18">
        <f>'Sampling Data'!F982</f>
        <v>0</v>
      </c>
      <c r="H982" s="18">
        <f>'Sampling Data'!G982</f>
        <v>0</v>
      </c>
      <c r="I982" s="18">
        <f>'Sampling Data'!H982</f>
        <v>0</v>
      </c>
      <c r="J982" s="18">
        <f>'Sampling Data'!I982</f>
        <v>0</v>
      </c>
      <c r="K982" s="18">
        <f>'Sampling Data'!J982</f>
        <v>0</v>
      </c>
      <c r="L982" s="18">
        <f>'Sampling Data'!K982</f>
        <v>0</v>
      </c>
      <c r="M982" s="18">
        <f>'Sampling Data'!L982</f>
        <v>0</v>
      </c>
      <c r="N982" s="18">
        <f>'Sampling Data'!M982</f>
        <v>0</v>
      </c>
      <c r="O982" s="17">
        <f>'Sampling Data'!N982</f>
        <v>0</v>
      </c>
      <c r="P982" s="17">
        <f>'Sampling Data'!O982</f>
        <v>45</v>
      </c>
      <c r="Q982" s="17">
        <f>'Sampling Data'!P982</f>
        <v>584</v>
      </c>
      <c r="R982" s="17">
        <f>'Sampling Data'!AJ982</f>
        <v>0</v>
      </c>
      <c r="S982" s="111"/>
      <c r="T982" s="111"/>
      <c r="U982" s="112"/>
      <c r="V982" s="112"/>
      <c r="W982" s="111"/>
      <c r="X982" s="111"/>
      <c r="Y982" s="111"/>
      <c r="Z982" s="111"/>
      <c r="AA982" s="14"/>
      <c r="AB982" s="14"/>
      <c r="AC982" s="14"/>
      <c r="AD982" s="14"/>
      <c r="AE982" s="113" t="str">
        <f>IF(NOT(ISBLANK(Audit[[#This Row],[Audit Winning Candidate]])), Audit[[#This Row],[Audit Winning Candidate]]-Audit[[#This Row],[Winning Candidate]], "")</f>
        <v/>
      </c>
      <c r="AF982" s="17" t="str">
        <f>IF(NOT(ISBLANK(Audit[[#This Row],[Audit Losing Candidate]])), Audit[[#This Row],[Audit Losing Candidate]]-Audit[[#This Row],[Losing Candidate]], "")</f>
        <v/>
      </c>
      <c r="AG982" s="17" t="str">
        <f>IF(NOT(ISBLANK(Audit[[#This Row],[Audit Candidate 3]])), Audit[[#This Row],[Audit Candidate 3]]-Audit[[#This Row],[Candidate 3]], "")</f>
        <v/>
      </c>
      <c r="AH982" s="17" t="str">
        <f>IF(NOT(ISBLANK(Audit[[#This Row],[Audit Candidate 4]])),Audit[[#This Row],[Audit Candidate 4]]-Audit[[#This Row],[Candidate 4]], "")</f>
        <v/>
      </c>
      <c r="AI982" s="17" t="str">
        <f>IF(NOT(ISBLANK(Audit[[#This Row],[Audit Candidate 5]])), Audit[[#This Row],[Audit Candidate 5]]-Audit[[#This Row],[Candidate 5]], "")</f>
        <v/>
      </c>
      <c r="AJ982" s="17" t="str">
        <f>IF(NOT(ISBLANK(Audit[[#This Row],[Audit Candidate 6]])), Audit[[#This Row],[Audit Candidate 6]]-Audit[[#This Row],[Candidate 6]], "")</f>
        <v/>
      </c>
      <c r="AK982" s="17" t="str">
        <f>IF(NOT(ISBLANK(Audit[[#This Row],[Audit Candidate 7]])), Audit[[#This Row],[Audit Candidate 7]]-Audit[[#This Row],[Candidate 7]], "")</f>
        <v/>
      </c>
      <c r="AL982" s="17" t="str">
        <f>IF(NOT(ISBLANK(Audit[[#This Row],[Audit Candidate 8]])), Audit[[#This Row],[Audit Candidate 8]]-Audit[[#This Row],[Candidate 8]], "")</f>
        <v/>
      </c>
      <c r="AM982" s="17" t="str">
        <f>IF(NOT(ISBLANK(Audit[[#This Row],[Audit Candidate 9]])), Audit[[#This Row],[Audit Candidate 9]]-Audit[[#This Row],[Candidate 9]], "")</f>
        <v/>
      </c>
      <c r="AN982" s="17" t="str">
        <f>IF(NOT(ISBLANK(Audit[[#This Row],[Audit Candidate 10]])), Audit[[#This Row],[Audit Candidate 10]]-Audit[[#This Row],[Candidate 10]], "")</f>
        <v/>
      </c>
      <c r="AO982" s="17" t="str">
        <f>IF(NOT(ISBLANK(Audit[[#This Row],[Audit Candidate 11]])), Audit[[#This Row],[Audit Candidate 11]]-Audit[[#This Row],[Candidate 11]], "")</f>
        <v/>
      </c>
      <c r="AP982" s="17" t="str">
        <f>IF(NOT(ISBLANK(Audit[[#This Row],[Audit Candidate 12]])), Audit[[#This Row],[Audit Candidate 12]]-Audit[[#This Row],[Candidate 12]], "")</f>
        <v/>
      </c>
      <c r="AQ982" s="17">
        <f>SUMIF(Audit[[#This Row],[Difference Winner]:[Difference Candidate 12]], "&gt;0")</f>
        <v>0</v>
      </c>
      <c r="AR982" s="17">
        <f>SUM(Audit[[#This Row],[Difference Winner]:[Difference Candidate 12]])</f>
        <v>0</v>
      </c>
      <c r="AS982" s="17">
        <f>IF(Audit[[#This Row],[Times p Drawn - With Replacement]]&gt;0, IF(Audit[[#This Row],[Canceled Differences]]&lt;0, Audit[[#This Row],[Max Differences]]+ABS(Audit[[#This Row],[Canceled Differences]]), Audit[[#This Row],[Max Differences]]), 0)</f>
        <v>0</v>
      </c>
      <c r="AT982" s="17">
        <f>'Sampling Data'!AB982</f>
        <v>1.3028348327957903E-2</v>
      </c>
      <c r="AU982" s="17">
        <f>IF(
      SUM(Audit[[#This Row],[Audit Losing Candidate]:[Audit Candidate 12]])
      &lt;&gt;0,
      (Audit[[#This Row],[Winning Candidate]]-Audit[[#This Row],[Losing Candidate]]-(Audit[[#This Row],[Audit Winning Candidate]]-Audit[[#This Row],[Audit Losing Candidate]]))/(Audit[[#Totals],[Winning Candidate]]-Audit[[#Totals],[Losing Candidate]]),
      0
)</f>
        <v>0</v>
      </c>
      <c r="AV9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2" s="17">
        <f>IF(Audit[[#This Row],[Max Relative Error (ep)]] = 0, 0, Audit[[#This Row],[Max Relative Error (ep)]]/Audit[[#This Row],[Error Bound (up) - Max. possible relative overstatement]])</f>
        <v>0</v>
      </c>
      <c r="BH9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82" s="17">
        <f t="shared" si="16"/>
        <v>1</v>
      </c>
      <c r="BJ982" s="17">
        <f>PRODUCT($BI$5:BI982)</f>
        <v>0.14573522051577942</v>
      </c>
      <c r="BK982" s="19">
        <f>1 - Audit[[#This Row],[K-M P Value]]</f>
        <v>0.85426477948422064</v>
      </c>
      <c r="BL982" s="17" t="str">
        <f>IF(Audit[[#This Row],[K-M P Value]]&gt;1-'General Info'!$B$12,"Continue", "Stop")</f>
        <v>Continue</v>
      </c>
      <c r="BM982" s="22" t="b">
        <f>IF(Audit[[#This Row],[Status - Continue or stop audit]] = "Continue", TRUE, IF(BL981 = "Continue", TRUE, FALSE))</f>
        <v>1</v>
      </c>
      <c r="BN982" s="22"/>
    </row>
    <row r="983" spans="1:66" ht="15" hidden="1" customHeight="1" x14ac:dyDescent="0.35">
      <c r="A983" s="17" t="str">
        <f>'Sampling Data'!AI983</f>
        <v/>
      </c>
      <c r="B983" s="17" t="str">
        <f>'Sampling Data'!A983</f>
        <v>6701 ELMW A   (ED)</v>
      </c>
      <c r="C983" s="17">
        <f>'Sampling Data'!B983</f>
        <v>143</v>
      </c>
      <c r="D983" s="17">
        <f>'Sampling Data'!C983</f>
        <v>196</v>
      </c>
      <c r="E983" s="18">
        <f>'Sampling Data'!D983</f>
        <v>0</v>
      </c>
      <c r="F983" s="18">
        <f>'Sampling Data'!E983</f>
        <v>0</v>
      </c>
      <c r="G983" s="18">
        <f>'Sampling Data'!F983</f>
        <v>0</v>
      </c>
      <c r="H983" s="18">
        <f>'Sampling Data'!G983</f>
        <v>0</v>
      </c>
      <c r="I983" s="18">
        <f>'Sampling Data'!H983</f>
        <v>0</v>
      </c>
      <c r="J983" s="18">
        <f>'Sampling Data'!I983</f>
        <v>0</v>
      </c>
      <c r="K983" s="18">
        <f>'Sampling Data'!J983</f>
        <v>0</v>
      </c>
      <c r="L983" s="18">
        <f>'Sampling Data'!K983</f>
        <v>0</v>
      </c>
      <c r="M983" s="18">
        <f>'Sampling Data'!L983</f>
        <v>0</v>
      </c>
      <c r="N983" s="18">
        <f>'Sampling Data'!M983</f>
        <v>0</v>
      </c>
      <c r="O983" s="17">
        <f>'Sampling Data'!N983</f>
        <v>2</v>
      </c>
      <c r="P983" s="17">
        <f>'Sampling Data'!O983</f>
        <v>36</v>
      </c>
      <c r="Q983" s="17">
        <f>'Sampling Data'!P983</f>
        <v>377</v>
      </c>
      <c r="R983" s="17">
        <f>'Sampling Data'!AJ983</f>
        <v>0</v>
      </c>
      <c r="S983" s="111"/>
      <c r="T983" s="111"/>
      <c r="U983" s="112"/>
      <c r="V983" s="112"/>
      <c r="W983" s="111"/>
      <c r="X983" s="111"/>
      <c r="Y983" s="111"/>
      <c r="Z983" s="111"/>
      <c r="AA983" s="14"/>
      <c r="AB983" s="14"/>
      <c r="AC983" s="14"/>
      <c r="AD983" s="14"/>
      <c r="AE983" s="113" t="str">
        <f>IF(NOT(ISBLANK(Audit[[#This Row],[Audit Winning Candidate]])), Audit[[#This Row],[Audit Winning Candidate]]-Audit[[#This Row],[Winning Candidate]], "")</f>
        <v/>
      </c>
      <c r="AF983" s="17" t="str">
        <f>IF(NOT(ISBLANK(Audit[[#This Row],[Audit Losing Candidate]])), Audit[[#This Row],[Audit Losing Candidate]]-Audit[[#This Row],[Losing Candidate]], "")</f>
        <v/>
      </c>
      <c r="AG983" s="17" t="str">
        <f>IF(NOT(ISBLANK(Audit[[#This Row],[Audit Candidate 3]])), Audit[[#This Row],[Audit Candidate 3]]-Audit[[#This Row],[Candidate 3]], "")</f>
        <v/>
      </c>
      <c r="AH983" s="17" t="str">
        <f>IF(NOT(ISBLANK(Audit[[#This Row],[Audit Candidate 4]])),Audit[[#This Row],[Audit Candidate 4]]-Audit[[#This Row],[Candidate 4]], "")</f>
        <v/>
      </c>
      <c r="AI983" s="17" t="str">
        <f>IF(NOT(ISBLANK(Audit[[#This Row],[Audit Candidate 5]])), Audit[[#This Row],[Audit Candidate 5]]-Audit[[#This Row],[Candidate 5]], "")</f>
        <v/>
      </c>
      <c r="AJ983" s="17" t="str">
        <f>IF(NOT(ISBLANK(Audit[[#This Row],[Audit Candidate 6]])), Audit[[#This Row],[Audit Candidate 6]]-Audit[[#This Row],[Candidate 6]], "")</f>
        <v/>
      </c>
      <c r="AK983" s="17" t="str">
        <f>IF(NOT(ISBLANK(Audit[[#This Row],[Audit Candidate 7]])), Audit[[#This Row],[Audit Candidate 7]]-Audit[[#This Row],[Candidate 7]], "")</f>
        <v/>
      </c>
      <c r="AL983" s="17" t="str">
        <f>IF(NOT(ISBLANK(Audit[[#This Row],[Audit Candidate 8]])), Audit[[#This Row],[Audit Candidate 8]]-Audit[[#This Row],[Candidate 8]], "")</f>
        <v/>
      </c>
      <c r="AM983" s="17" t="str">
        <f>IF(NOT(ISBLANK(Audit[[#This Row],[Audit Candidate 9]])), Audit[[#This Row],[Audit Candidate 9]]-Audit[[#This Row],[Candidate 9]], "")</f>
        <v/>
      </c>
      <c r="AN983" s="17" t="str">
        <f>IF(NOT(ISBLANK(Audit[[#This Row],[Audit Candidate 10]])), Audit[[#This Row],[Audit Candidate 10]]-Audit[[#This Row],[Candidate 10]], "")</f>
        <v/>
      </c>
      <c r="AO983" s="17" t="str">
        <f>IF(NOT(ISBLANK(Audit[[#This Row],[Audit Candidate 11]])), Audit[[#This Row],[Audit Candidate 11]]-Audit[[#This Row],[Candidate 11]], "")</f>
        <v/>
      </c>
      <c r="AP983" s="17" t="str">
        <f>IF(NOT(ISBLANK(Audit[[#This Row],[Audit Candidate 12]])), Audit[[#This Row],[Audit Candidate 12]]-Audit[[#This Row],[Candidate 12]], "")</f>
        <v/>
      </c>
      <c r="AQ983" s="17">
        <f>SUMIF(Audit[[#This Row],[Difference Winner]:[Difference Candidate 12]], "&gt;0")</f>
        <v>0</v>
      </c>
      <c r="AR983" s="17">
        <f>SUM(Audit[[#This Row],[Difference Winner]:[Difference Candidate 12]])</f>
        <v>0</v>
      </c>
      <c r="AS983" s="17">
        <f>IF(Audit[[#This Row],[Times p Drawn - With Replacement]]&gt;0, IF(Audit[[#This Row],[Canceled Differences]]&lt;0, Audit[[#This Row],[Max Differences]]+ABS(Audit[[#This Row],[Canceled Differences]]), Audit[[#This Row],[Max Differences]]), 0)</f>
        <v>0</v>
      </c>
      <c r="AT983" s="17">
        <f>'Sampling Data'!AB983</f>
        <v>1.3749787811916483E-2</v>
      </c>
      <c r="AU983" s="17">
        <f>IF(
      SUM(Audit[[#This Row],[Audit Losing Candidate]:[Audit Candidate 12]])
      &lt;&gt;0,
      (Audit[[#This Row],[Winning Candidate]]-Audit[[#This Row],[Losing Candidate]]-(Audit[[#This Row],[Audit Winning Candidate]]-Audit[[#This Row],[Audit Losing Candidate]]))/(Audit[[#Totals],[Winning Candidate]]-Audit[[#Totals],[Losing Candidate]]),
      0
)</f>
        <v>0</v>
      </c>
      <c r="AV9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3" s="17">
        <f>IF(Audit[[#This Row],[Max Relative Error (ep)]] = 0, 0, Audit[[#This Row],[Max Relative Error (ep)]]/Audit[[#This Row],[Error Bound (up) - Max. possible relative overstatement]])</f>
        <v>0</v>
      </c>
      <c r="BH9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83" s="17">
        <f t="shared" si="16"/>
        <v>1</v>
      </c>
      <c r="BJ983" s="17">
        <f>PRODUCT($BI$5:BI983)</f>
        <v>0.14573522051577942</v>
      </c>
      <c r="BK983" s="19">
        <f>1 - Audit[[#This Row],[K-M P Value]]</f>
        <v>0.85426477948422064</v>
      </c>
      <c r="BL983" s="17" t="str">
        <f>IF(Audit[[#This Row],[K-M P Value]]&gt;1-'General Info'!$B$12,"Continue", "Stop")</f>
        <v>Continue</v>
      </c>
      <c r="BM983" s="22" t="b">
        <f>IF(Audit[[#This Row],[Status - Continue or stop audit]] = "Continue", TRUE, IF(BL982 = "Continue", TRUE, FALSE))</f>
        <v>1</v>
      </c>
      <c r="BN983" s="22"/>
    </row>
    <row r="984" spans="1:66" ht="15" hidden="1" customHeight="1" x14ac:dyDescent="0.35">
      <c r="A984" s="17" t="str">
        <f>'Sampling Data'!AI984</f>
        <v/>
      </c>
      <c r="B984" s="17" t="str">
        <f>'Sampling Data'!A984</f>
        <v>6801 EVEN A   (ED)</v>
      </c>
      <c r="C984" s="17">
        <f>'Sampling Data'!B984</f>
        <v>199</v>
      </c>
      <c r="D984" s="17">
        <f>'Sampling Data'!C984</f>
        <v>318</v>
      </c>
      <c r="E984" s="18">
        <f>'Sampling Data'!D984</f>
        <v>0</v>
      </c>
      <c r="F984" s="18">
        <f>'Sampling Data'!E984</f>
        <v>0</v>
      </c>
      <c r="G984" s="18">
        <f>'Sampling Data'!F984</f>
        <v>0</v>
      </c>
      <c r="H984" s="18">
        <f>'Sampling Data'!G984</f>
        <v>0</v>
      </c>
      <c r="I984" s="18">
        <f>'Sampling Data'!H984</f>
        <v>0</v>
      </c>
      <c r="J984" s="18">
        <f>'Sampling Data'!I984</f>
        <v>0</v>
      </c>
      <c r="K984" s="18">
        <f>'Sampling Data'!J984</f>
        <v>0</v>
      </c>
      <c r="L984" s="18">
        <f>'Sampling Data'!K984</f>
        <v>0</v>
      </c>
      <c r="M984" s="18">
        <f>'Sampling Data'!L984</f>
        <v>0</v>
      </c>
      <c r="N984" s="18">
        <f>'Sampling Data'!M984</f>
        <v>0</v>
      </c>
      <c r="O984" s="17">
        <f>'Sampling Data'!N984</f>
        <v>1</v>
      </c>
      <c r="P984" s="17">
        <f>'Sampling Data'!O984</f>
        <v>35</v>
      </c>
      <c r="Q984" s="17">
        <f>'Sampling Data'!P984</f>
        <v>553</v>
      </c>
      <c r="R984" s="17">
        <f>'Sampling Data'!AJ984</f>
        <v>0</v>
      </c>
      <c r="S984" s="111"/>
      <c r="T984" s="111"/>
      <c r="U984" s="112"/>
      <c r="V984" s="112"/>
      <c r="W984" s="111"/>
      <c r="X984" s="111"/>
      <c r="Y984" s="111"/>
      <c r="Z984" s="111"/>
      <c r="AA984" s="14"/>
      <c r="AB984" s="14"/>
      <c r="AC984" s="14"/>
      <c r="AD984" s="14"/>
      <c r="AE984" s="113" t="str">
        <f>IF(NOT(ISBLANK(Audit[[#This Row],[Audit Winning Candidate]])), Audit[[#This Row],[Audit Winning Candidate]]-Audit[[#This Row],[Winning Candidate]], "")</f>
        <v/>
      </c>
      <c r="AF984" s="17" t="str">
        <f>IF(NOT(ISBLANK(Audit[[#This Row],[Audit Losing Candidate]])), Audit[[#This Row],[Audit Losing Candidate]]-Audit[[#This Row],[Losing Candidate]], "")</f>
        <v/>
      </c>
      <c r="AG984" s="17" t="str">
        <f>IF(NOT(ISBLANK(Audit[[#This Row],[Audit Candidate 3]])), Audit[[#This Row],[Audit Candidate 3]]-Audit[[#This Row],[Candidate 3]], "")</f>
        <v/>
      </c>
      <c r="AH984" s="17" t="str">
        <f>IF(NOT(ISBLANK(Audit[[#This Row],[Audit Candidate 4]])),Audit[[#This Row],[Audit Candidate 4]]-Audit[[#This Row],[Candidate 4]], "")</f>
        <v/>
      </c>
      <c r="AI984" s="17" t="str">
        <f>IF(NOT(ISBLANK(Audit[[#This Row],[Audit Candidate 5]])), Audit[[#This Row],[Audit Candidate 5]]-Audit[[#This Row],[Candidate 5]], "")</f>
        <v/>
      </c>
      <c r="AJ984" s="17" t="str">
        <f>IF(NOT(ISBLANK(Audit[[#This Row],[Audit Candidate 6]])), Audit[[#This Row],[Audit Candidate 6]]-Audit[[#This Row],[Candidate 6]], "")</f>
        <v/>
      </c>
      <c r="AK984" s="17" t="str">
        <f>IF(NOT(ISBLANK(Audit[[#This Row],[Audit Candidate 7]])), Audit[[#This Row],[Audit Candidate 7]]-Audit[[#This Row],[Candidate 7]], "")</f>
        <v/>
      </c>
      <c r="AL984" s="17" t="str">
        <f>IF(NOT(ISBLANK(Audit[[#This Row],[Audit Candidate 8]])), Audit[[#This Row],[Audit Candidate 8]]-Audit[[#This Row],[Candidate 8]], "")</f>
        <v/>
      </c>
      <c r="AM984" s="17" t="str">
        <f>IF(NOT(ISBLANK(Audit[[#This Row],[Audit Candidate 9]])), Audit[[#This Row],[Audit Candidate 9]]-Audit[[#This Row],[Candidate 9]], "")</f>
        <v/>
      </c>
      <c r="AN984" s="17" t="str">
        <f>IF(NOT(ISBLANK(Audit[[#This Row],[Audit Candidate 10]])), Audit[[#This Row],[Audit Candidate 10]]-Audit[[#This Row],[Candidate 10]], "")</f>
        <v/>
      </c>
      <c r="AO984" s="17" t="str">
        <f>IF(NOT(ISBLANK(Audit[[#This Row],[Audit Candidate 11]])), Audit[[#This Row],[Audit Candidate 11]]-Audit[[#This Row],[Candidate 11]], "")</f>
        <v/>
      </c>
      <c r="AP984" s="17" t="str">
        <f>IF(NOT(ISBLANK(Audit[[#This Row],[Audit Candidate 12]])), Audit[[#This Row],[Audit Candidate 12]]-Audit[[#This Row],[Candidate 12]], "")</f>
        <v/>
      </c>
      <c r="AQ984" s="17">
        <f>SUMIF(Audit[[#This Row],[Difference Winner]:[Difference Candidate 12]], "&gt;0")</f>
        <v>0</v>
      </c>
      <c r="AR984" s="17">
        <f>SUM(Audit[[#This Row],[Difference Winner]:[Difference Candidate 12]])</f>
        <v>0</v>
      </c>
      <c r="AS984" s="17">
        <f>IF(Audit[[#This Row],[Times p Drawn - With Replacement]]&gt;0, IF(Audit[[#This Row],[Canceled Differences]]&lt;0, Audit[[#This Row],[Max Differences]]+ABS(Audit[[#This Row],[Canceled Differences]]), Audit[[#This Row],[Max Differences]]), 0)</f>
        <v>0</v>
      </c>
      <c r="AT984" s="17">
        <f>'Sampling Data'!AB984</f>
        <v>1.8417925649295536E-2</v>
      </c>
      <c r="AU984" s="17">
        <f>IF(
      SUM(Audit[[#This Row],[Audit Losing Candidate]:[Audit Candidate 12]])
      &lt;&gt;0,
      (Audit[[#This Row],[Winning Candidate]]-Audit[[#This Row],[Losing Candidate]]-(Audit[[#This Row],[Audit Winning Candidate]]-Audit[[#This Row],[Audit Losing Candidate]]))/(Audit[[#Totals],[Winning Candidate]]-Audit[[#Totals],[Losing Candidate]]),
      0
)</f>
        <v>0</v>
      </c>
      <c r="AV9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4" s="17">
        <f>IF(Audit[[#This Row],[Max Relative Error (ep)]] = 0, 0, Audit[[#This Row],[Max Relative Error (ep)]]/Audit[[#This Row],[Error Bound (up) - Max. possible relative overstatement]])</f>
        <v>0</v>
      </c>
      <c r="BH9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84" s="17">
        <f t="shared" si="16"/>
        <v>1</v>
      </c>
      <c r="BJ984" s="17">
        <f>PRODUCT($BI$5:BI984)</f>
        <v>0.14573522051577942</v>
      </c>
      <c r="BK984" s="19">
        <f>1 - Audit[[#This Row],[K-M P Value]]</f>
        <v>0.85426477948422064</v>
      </c>
      <c r="BL984" s="17" t="str">
        <f>IF(Audit[[#This Row],[K-M P Value]]&gt;1-'General Info'!$B$12,"Continue", "Stop")</f>
        <v>Continue</v>
      </c>
      <c r="BM984" s="22" t="b">
        <f>IF(Audit[[#This Row],[Status - Continue or stop audit]] = "Continue", TRUE, IF(BL983 = "Continue", TRUE, FALSE))</f>
        <v>1</v>
      </c>
      <c r="BN984" s="22"/>
    </row>
    <row r="985" spans="1:66" ht="15" hidden="1" customHeight="1" x14ac:dyDescent="0.35">
      <c r="A985" s="17" t="str">
        <f>'Sampling Data'!AI985</f>
        <v/>
      </c>
      <c r="B985" s="17" t="str">
        <f>'Sampling Data'!A985</f>
        <v>6802 EVEN B   (ED)</v>
      </c>
      <c r="C985" s="17">
        <f>'Sampling Data'!B985</f>
        <v>131</v>
      </c>
      <c r="D985" s="17">
        <f>'Sampling Data'!C985</f>
        <v>314</v>
      </c>
      <c r="E985" s="18">
        <f>'Sampling Data'!D985</f>
        <v>0</v>
      </c>
      <c r="F985" s="18">
        <f>'Sampling Data'!E985</f>
        <v>0</v>
      </c>
      <c r="G985" s="18">
        <f>'Sampling Data'!F985</f>
        <v>0</v>
      </c>
      <c r="H985" s="18">
        <f>'Sampling Data'!G985</f>
        <v>0</v>
      </c>
      <c r="I985" s="18">
        <f>'Sampling Data'!H985</f>
        <v>0</v>
      </c>
      <c r="J985" s="18">
        <f>'Sampling Data'!I985</f>
        <v>0</v>
      </c>
      <c r="K985" s="18">
        <f>'Sampling Data'!J985</f>
        <v>0</v>
      </c>
      <c r="L985" s="18">
        <f>'Sampling Data'!K985</f>
        <v>0</v>
      </c>
      <c r="M985" s="18">
        <f>'Sampling Data'!L985</f>
        <v>0</v>
      </c>
      <c r="N985" s="18">
        <f>'Sampling Data'!M985</f>
        <v>0</v>
      </c>
      <c r="O985" s="17">
        <f>'Sampling Data'!N985</f>
        <v>0</v>
      </c>
      <c r="P985" s="17">
        <f>'Sampling Data'!O985</f>
        <v>29</v>
      </c>
      <c r="Q985" s="17">
        <f>'Sampling Data'!P985</f>
        <v>474</v>
      </c>
      <c r="R985" s="17">
        <f>'Sampling Data'!AJ985</f>
        <v>0</v>
      </c>
      <c r="S985" s="111"/>
      <c r="T985" s="111"/>
      <c r="U985" s="112"/>
      <c r="V985" s="112"/>
      <c r="W985" s="111"/>
      <c r="X985" s="111"/>
      <c r="Y985" s="111"/>
      <c r="Z985" s="111"/>
      <c r="AA985" s="14"/>
      <c r="AB985" s="14"/>
      <c r="AC985" s="14"/>
      <c r="AD985" s="14"/>
      <c r="AE985" s="113" t="str">
        <f>IF(NOT(ISBLANK(Audit[[#This Row],[Audit Winning Candidate]])), Audit[[#This Row],[Audit Winning Candidate]]-Audit[[#This Row],[Winning Candidate]], "")</f>
        <v/>
      </c>
      <c r="AF985" s="17" t="str">
        <f>IF(NOT(ISBLANK(Audit[[#This Row],[Audit Losing Candidate]])), Audit[[#This Row],[Audit Losing Candidate]]-Audit[[#This Row],[Losing Candidate]], "")</f>
        <v/>
      </c>
      <c r="AG985" s="17" t="str">
        <f>IF(NOT(ISBLANK(Audit[[#This Row],[Audit Candidate 3]])), Audit[[#This Row],[Audit Candidate 3]]-Audit[[#This Row],[Candidate 3]], "")</f>
        <v/>
      </c>
      <c r="AH985" s="17" t="str">
        <f>IF(NOT(ISBLANK(Audit[[#This Row],[Audit Candidate 4]])),Audit[[#This Row],[Audit Candidate 4]]-Audit[[#This Row],[Candidate 4]], "")</f>
        <v/>
      </c>
      <c r="AI985" s="17" t="str">
        <f>IF(NOT(ISBLANK(Audit[[#This Row],[Audit Candidate 5]])), Audit[[#This Row],[Audit Candidate 5]]-Audit[[#This Row],[Candidate 5]], "")</f>
        <v/>
      </c>
      <c r="AJ985" s="17" t="str">
        <f>IF(NOT(ISBLANK(Audit[[#This Row],[Audit Candidate 6]])), Audit[[#This Row],[Audit Candidate 6]]-Audit[[#This Row],[Candidate 6]], "")</f>
        <v/>
      </c>
      <c r="AK985" s="17" t="str">
        <f>IF(NOT(ISBLANK(Audit[[#This Row],[Audit Candidate 7]])), Audit[[#This Row],[Audit Candidate 7]]-Audit[[#This Row],[Candidate 7]], "")</f>
        <v/>
      </c>
      <c r="AL985" s="17" t="str">
        <f>IF(NOT(ISBLANK(Audit[[#This Row],[Audit Candidate 8]])), Audit[[#This Row],[Audit Candidate 8]]-Audit[[#This Row],[Candidate 8]], "")</f>
        <v/>
      </c>
      <c r="AM985" s="17" t="str">
        <f>IF(NOT(ISBLANK(Audit[[#This Row],[Audit Candidate 9]])), Audit[[#This Row],[Audit Candidate 9]]-Audit[[#This Row],[Candidate 9]], "")</f>
        <v/>
      </c>
      <c r="AN985" s="17" t="str">
        <f>IF(NOT(ISBLANK(Audit[[#This Row],[Audit Candidate 10]])), Audit[[#This Row],[Audit Candidate 10]]-Audit[[#This Row],[Candidate 10]], "")</f>
        <v/>
      </c>
      <c r="AO985" s="17" t="str">
        <f>IF(NOT(ISBLANK(Audit[[#This Row],[Audit Candidate 11]])), Audit[[#This Row],[Audit Candidate 11]]-Audit[[#This Row],[Candidate 11]], "")</f>
        <v/>
      </c>
      <c r="AP985" s="17" t="str">
        <f>IF(NOT(ISBLANK(Audit[[#This Row],[Audit Candidate 12]])), Audit[[#This Row],[Audit Candidate 12]]-Audit[[#This Row],[Candidate 12]], "")</f>
        <v/>
      </c>
      <c r="AQ985" s="17">
        <f>SUMIF(Audit[[#This Row],[Difference Winner]:[Difference Candidate 12]], "&gt;0")</f>
        <v>0</v>
      </c>
      <c r="AR985" s="17">
        <f>SUM(Audit[[#This Row],[Difference Winner]:[Difference Candidate 12]])</f>
        <v>0</v>
      </c>
      <c r="AS985" s="17">
        <f>IF(Audit[[#This Row],[Times p Drawn - With Replacement]]&gt;0, IF(Audit[[#This Row],[Canceled Differences]]&lt;0, Audit[[#This Row],[Max Differences]]+ABS(Audit[[#This Row],[Canceled Differences]]), Audit[[#This Row],[Max Differences]]), 0)</f>
        <v>0</v>
      </c>
      <c r="AT985" s="17">
        <f>'Sampling Data'!AB985</f>
        <v>1.2349346460702766E-2</v>
      </c>
      <c r="AU985" s="17">
        <f>IF(
      SUM(Audit[[#This Row],[Audit Losing Candidate]:[Audit Candidate 12]])
      &lt;&gt;0,
      (Audit[[#This Row],[Winning Candidate]]-Audit[[#This Row],[Losing Candidate]]-(Audit[[#This Row],[Audit Winning Candidate]]-Audit[[#This Row],[Audit Losing Candidate]]))/(Audit[[#Totals],[Winning Candidate]]-Audit[[#Totals],[Losing Candidate]]),
      0
)</f>
        <v>0</v>
      </c>
      <c r="AV9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5" s="17">
        <f>IF(Audit[[#This Row],[Max Relative Error (ep)]] = 0, 0, Audit[[#This Row],[Max Relative Error (ep)]]/Audit[[#This Row],[Error Bound (up) - Max. possible relative overstatement]])</f>
        <v>0</v>
      </c>
      <c r="BH9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85" s="17">
        <f t="shared" si="16"/>
        <v>1</v>
      </c>
      <c r="BJ985" s="17">
        <f>PRODUCT($BI$5:BI985)</f>
        <v>0.14573522051577942</v>
      </c>
      <c r="BK985" s="19">
        <f>1 - Audit[[#This Row],[K-M P Value]]</f>
        <v>0.85426477948422064</v>
      </c>
      <c r="BL985" s="17" t="str">
        <f>IF(Audit[[#This Row],[K-M P Value]]&gt;1-'General Info'!$B$12,"Continue", "Stop")</f>
        <v>Continue</v>
      </c>
      <c r="BM985" s="22" t="b">
        <f>IF(Audit[[#This Row],[Status - Continue or stop audit]] = "Continue", TRUE, IF(BL984 = "Continue", TRUE, FALSE))</f>
        <v>1</v>
      </c>
      <c r="BN985" s="22"/>
    </row>
    <row r="986" spans="1:66" ht="15" hidden="1" customHeight="1" x14ac:dyDescent="0.35">
      <c r="A986" s="17" t="str">
        <f>'Sampling Data'!AI986</f>
        <v/>
      </c>
      <c r="B986" s="17" t="str">
        <f>'Sampling Data'!A986</f>
        <v>6803 EVEN C   (ED)</v>
      </c>
      <c r="C986" s="17">
        <f>'Sampling Data'!B986</f>
        <v>51</v>
      </c>
      <c r="D986" s="17">
        <f>'Sampling Data'!C986</f>
        <v>53</v>
      </c>
      <c r="E986" s="18">
        <f>'Sampling Data'!D986</f>
        <v>0</v>
      </c>
      <c r="F986" s="18">
        <f>'Sampling Data'!E986</f>
        <v>0</v>
      </c>
      <c r="G986" s="18">
        <f>'Sampling Data'!F986</f>
        <v>0</v>
      </c>
      <c r="H986" s="18">
        <f>'Sampling Data'!G986</f>
        <v>0</v>
      </c>
      <c r="I986" s="18">
        <f>'Sampling Data'!H986</f>
        <v>0</v>
      </c>
      <c r="J986" s="18">
        <f>'Sampling Data'!I986</f>
        <v>0</v>
      </c>
      <c r="K986" s="18">
        <f>'Sampling Data'!J986</f>
        <v>0</v>
      </c>
      <c r="L986" s="18">
        <f>'Sampling Data'!K986</f>
        <v>0</v>
      </c>
      <c r="M986" s="18">
        <f>'Sampling Data'!L986</f>
        <v>0</v>
      </c>
      <c r="N986" s="18">
        <f>'Sampling Data'!M986</f>
        <v>0</v>
      </c>
      <c r="O986" s="17">
        <f>'Sampling Data'!N986</f>
        <v>0</v>
      </c>
      <c r="P986" s="17">
        <f>'Sampling Data'!O986</f>
        <v>7</v>
      </c>
      <c r="Q986" s="17">
        <f>'Sampling Data'!P986</f>
        <v>111</v>
      </c>
      <c r="R986" s="17">
        <f>'Sampling Data'!AJ986</f>
        <v>0</v>
      </c>
      <c r="S986" s="111"/>
      <c r="T986" s="111"/>
      <c r="U986" s="112"/>
      <c r="V986" s="112"/>
      <c r="W986" s="111"/>
      <c r="X986" s="111"/>
      <c r="Y986" s="111"/>
      <c r="Z986" s="111"/>
      <c r="AA986" s="14"/>
      <c r="AB986" s="14"/>
      <c r="AC986" s="14"/>
      <c r="AD986" s="14"/>
      <c r="AE986" s="113" t="str">
        <f>IF(NOT(ISBLANK(Audit[[#This Row],[Audit Winning Candidate]])), Audit[[#This Row],[Audit Winning Candidate]]-Audit[[#This Row],[Winning Candidate]], "")</f>
        <v/>
      </c>
      <c r="AF986" s="17" t="str">
        <f>IF(NOT(ISBLANK(Audit[[#This Row],[Audit Losing Candidate]])), Audit[[#This Row],[Audit Losing Candidate]]-Audit[[#This Row],[Losing Candidate]], "")</f>
        <v/>
      </c>
      <c r="AG986" s="17" t="str">
        <f>IF(NOT(ISBLANK(Audit[[#This Row],[Audit Candidate 3]])), Audit[[#This Row],[Audit Candidate 3]]-Audit[[#This Row],[Candidate 3]], "")</f>
        <v/>
      </c>
      <c r="AH986" s="17" t="str">
        <f>IF(NOT(ISBLANK(Audit[[#This Row],[Audit Candidate 4]])),Audit[[#This Row],[Audit Candidate 4]]-Audit[[#This Row],[Candidate 4]], "")</f>
        <v/>
      </c>
      <c r="AI986" s="17" t="str">
        <f>IF(NOT(ISBLANK(Audit[[#This Row],[Audit Candidate 5]])), Audit[[#This Row],[Audit Candidate 5]]-Audit[[#This Row],[Candidate 5]], "")</f>
        <v/>
      </c>
      <c r="AJ986" s="17" t="str">
        <f>IF(NOT(ISBLANK(Audit[[#This Row],[Audit Candidate 6]])), Audit[[#This Row],[Audit Candidate 6]]-Audit[[#This Row],[Candidate 6]], "")</f>
        <v/>
      </c>
      <c r="AK986" s="17" t="str">
        <f>IF(NOT(ISBLANK(Audit[[#This Row],[Audit Candidate 7]])), Audit[[#This Row],[Audit Candidate 7]]-Audit[[#This Row],[Candidate 7]], "")</f>
        <v/>
      </c>
      <c r="AL986" s="17" t="str">
        <f>IF(NOT(ISBLANK(Audit[[#This Row],[Audit Candidate 8]])), Audit[[#This Row],[Audit Candidate 8]]-Audit[[#This Row],[Candidate 8]], "")</f>
        <v/>
      </c>
      <c r="AM986" s="17" t="str">
        <f>IF(NOT(ISBLANK(Audit[[#This Row],[Audit Candidate 9]])), Audit[[#This Row],[Audit Candidate 9]]-Audit[[#This Row],[Candidate 9]], "")</f>
        <v/>
      </c>
      <c r="AN986" s="17" t="str">
        <f>IF(NOT(ISBLANK(Audit[[#This Row],[Audit Candidate 10]])), Audit[[#This Row],[Audit Candidate 10]]-Audit[[#This Row],[Candidate 10]], "")</f>
        <v/>
      </c>
      <c r="AO986" s="17" t="str">
        <f>IF(NOT(ISBLANK(Audit[[#This Row],[Audit Candidate 11]])), Audit[[#This Row],[Audit Candidate 11]]-Audit[[#This Row],[Candidate 11]], "")</f>
        <v/>
      </c>
      <c r="AP986" s="17" t="str">
        <f>IF(NOT(ISBLANK(Audit[[#This Row],[Audit Candidate 12]])), Audit[[#This Row],[Audit Candidate 12]]-Audit[[#This Row],[Candidate 12]], "")</f>
        <v/>
      </c>
      <c r="AQ986" s="17">
        <f>SUMIF(Audit[[#This Row],[Difference Winner]:[Difference Candidate 12]], "&gt;0")</f>
        <v>0</v>
      </c>
      <c r="AR986" s="17">
        <f>SUM(Audit[[#This Row],[Difference Winner]:[Difference Candidate 12]])</f>
        <v>0</v>
      </c>
      <c r="AS986" s="17">
        <f>IF(Audit[[#This Row],[Times p Drawn - With Replacement]]&gt;0, IF(Audit[[#This Row],[Canceled Differences]]&lt;0, Audit[[#This Row],[Max Differences]]+ABS(Audit[[#This Row],[Canceled Differences]]), Audit[[#This Row],[Max Differences]]), 0)</f>
        <v>0</v>
      </c>
      <c r="AT986" s="17">
        <f>'Sampling Data'!AB986</f>
        <v>4.6257002206756071E-3</v>
      </c>
      <c r="AU986" s="17">
        <f>IF(
      SUM(Audit[[#This Row],[Audit Losing Candidate]:[Audit Candidate 12]])
      &lt;&gt;0,
      (Audit[[#This Row],[Winning Candidate]]-Audit[[#This Row],[Losing Candidate]]-(Audit[[#This Row],[Audit Winning Candidate]]-Audit[[#This Row],[Audit Losing Candidate]]))/(Audit[[#Totals],[Winning Candidate]]-Audit[[#Totals],[Losing Candidate]]),
      0
)</f>
        <v>0</v>
      </c>
      <c r="AV9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6" s="17">
        <f>IF(Audit[[#This Row],[Max Relative Error (ep)]] = 0, 0, Audit[[#This Row],[Max Relative Error (ep)]]/Audit[[#This Row],[Error Bound (up) - Max. possible relative overstatement]])</f>
        <v>0</v>
      </c>
      <c r="BH9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86" s="17">
        <f t="shared" si="16"/>
        <v>1</v>
      </c>
      <c r="BJ986" s="17">
        <f>PRODUCT($BI$5:BI986)</f>
        <v>0.14573522051577942</v>
      </c>
      <c r="BK986" s="19">
        <f>1 - Audit[[#This Row],[K-M P Value]]</f>
        <v>0.85426477948422064</v>
      </c>
      <c r="BL986" s="17" t="str">
        <f>IF(Audit[[#This Row],[K-M P Value]]&gt;1-'General Info'!$B$12,"Continue", "Stop")</f>
        <v>Continue</v>
      </c>
      <c r="BM986" s="22" t="b">
        <f>IF(Audit[[#This Row],[Status - Continue or stop audit]] = "Continue", TRUE, IF(BL985 = "Continue", TRUE, FALSE))</f>
        <v>1</v>
      </c>
      <c r="BN986" s="22"/>
    </row>
    <row r="987" spans="1:66" ht="15" hidden="1" customHeight="1" x14ac:dyDescent="0.35">
      <c r="A987" s="17" t="str">
        <f>'Sampling Data'!AI987</f>
        <v/>
      </c>
      <c r="B987" s="17" t="str">
        <f>'Sampling Data'!A987</f>
        <v>6901 FAIRFX A   (ED)</v>
      </c>
      <c r="C987" s="17">
        <f>'Sampling Data'!B987</f>
        <v>301</v>
      </c>
      <c r="D987" s="17">
        <f>'Sampling Data'!C987</f>
        <v>414</v>
      </c>
      <c r="E987" s="18">
        <f>'Sampling Data'!D987</f>
        <v>0</v>
      </c>
      <c r="F987" s="18">
        <f>'Sampling Data'!E987</f>
        <v>0</v>
      </c>
      <c r="G987" s="18">
        <f>'Sampling Data'!F987</f>
        <v>0</v>
      </c>
      <c r="H987" s="18">
        <f>'Sampling Data'!G987</f>
        <v>0</v>
      </c>
      <c r="I987" s="18">
        <f>'Sampling Data'!H987</f>
        <v>0</v>
      </c>
      <c r="J987" s="18">
        <f>'Sampling Data'!I987</f>
        <v>0</v>
      </c>
      <c r="K987" s="18">
        <f>'Sampling Data'!J987</f>
        <v>0</v>
      </c>
      <c r="L987" s="18">
        <f>'Sampling Data'!K987</f>
        <v>0</v>
      </c>
      <c r="M987" s="18">
        <f>'Sampling Data'!L987</f>
        <v>0</v>
      </c>
      <c r="N987" s="18">
        <f>'Sampling Data'!M987</f>
        <v>0</v>
      </c>
      <c r="O987" s="17">
        <f>'Sampling Data'!N987</f>
        <v>2</v>
      </c>
      <c r="P987" s="17">
        <f>'Sampling Data'!O987</f>
        <v>56</v>
      </c>
      <c r="Q987" s="17">
        <f>'Sampling Data'!P987</f>
        <v>773</v>
      </c>
      <c r="R987" s="17">
        <f>'Sampling Data'!AJ987</f>
        <v>0</v>
      </c>
      <c r="S987" s="111"/>
      <c r="T987" s="111"/>
      <c r="U987" s="112"/>
      <c r="V987" s="112"/>
      <c r="W987" s="111"/>
      <c r="X987" s="111"/>
      <c r="Y987" s="111"/>
      <c r="Z987" s="111"/>
      <c r="AA987" s="14"/>
      <c r="AB987" s="14"/>
      <c r="AC987" s="14"/>
      <c r="AD987" s="14"/>
      <c r="AE987" s="113" t="str">
        <f>IF(NOT(ISBLANK(Audit[[#This Row],[Audit Winning Candidate]])), Audit[[#This Row],[Audit Winning Candidate]]-Audit[[#This Row],[Winning Candidate]], "")</f>
        <v/>
      </c>
      <c r="AF987" s="17" t="str">
        <f>IF(NOT(ISBLANK(Audit[[#This Row],[Audit Losing Candidate]])), Audit[[#This Row],[Audit Losing Candidate]]-Audit[[#This Row],[Losing Candidate]], "")</f>
        <v/>
      </c>
      <c r="AG987" s="17" t="str">
        <f>IF(NOT(ISBLANK(Audit[[#This Row],[Audit Candidate 3]])), Audit[[#This Row],[Audit Candidate 3]]-Audit[[#This Row],[Candidate 3]], "")</f>
        <v/>
      </c>
      <c r="AH987" s="17" t="str">
        <f>IF(NOT(ISBLANK(Audit[[#This Row],[Audit Candidate 4]])),Audit[[#This Row],[Audit Candidate 4]]-Audit[[#This Row],[Candidate 4]], "")</f>
        <v/>
      </c>
      <c r="AI987" s="17" t="str">
        <f>IF(NOT(ISBLANK(Audit[[#This Row],[Audit Candidate 5]])), Audit[[#This Row],[Audit Candidate 5]]-Audit[[#This Row],[Candidate 5]], "")</f>
        <v/>
      </c>
      <c r="AJ987" s="17" t="str">
        <f>IF(NOT(ISBLANK(Audit[[#This Row],[Audit Candidate 6]])), Audit[[#This Row],[Audit Candidate 6]]-Audit[[#This Row],[Candidate 6]], "")</f>
        <v/>
      </c>
      <c r="AK987" s="17" t="str">
        <f>IF(NOT(ISBLANK(Audit[[#This Row],[Audit Candidate 7]])), Audit[[#This Row],[Audit Candidate 7]]-Audit[[#This Row],[Candidate 7]], "")</f>
        <v/>
      </c>
      <c r="AL987" s="17" t="str">
        <f>IF(NOT(ISBLANK(Audit[[#This Row],[Audit Candidate 8]])), Audit[[#This Row],[Audit Candidate 8]]-Audit[[#This Row],[Candidate 8]], "")</f>
        <v/>
      </c>
      <c r="AM987" s="17" t="str">
        <f>IF(NOT(ISBLANK(Audit[[#This Row],[Audit Candidate 9]])), Audit[[#This Row],[Audit Candidate 9]]-Audit[[#This Row],[Candidate 9]], "")</f>
        <v/>
      </c>
      <c r="AN987" s="17" t="str">
        <f>IF(NOT(ISBLANK(Audit[[#This Row],[Audit Candidate 10]])), Audit[[#This Row],[Audit Candidate 10]]-Audit[[#This Row],[Candidate 10]], "")</f>
        <v/>
      </c>
      <c r="AO987" s="17" t="str">
        <f>IF(NOT(ISBLANK(Audit[[#This Row],[Audit Candidate 11]])), Audit[[#This Row],[Audit Candidate 11]]-Audit[[#This Row],[Candidate 11]], "")</f>
        <v/>
      </c>
      <c r="AP987" s="17" t="str">
        <f>IF(NOT(ISBLANK(Audit[[#This Row],[Audit Candidate 12]])), Audit[[#This Row],[Audit Candidate 12]]-Audit[[#This Row],[Candidate 12]], "")</f>
        <v/>
      </c>
      <c r="AQ987" s="17">
        <f>SUMIF(Audit[[#This Row],[Difference Winner]:[Difference Candidate 12]], "&gt;0")</f>
        <v>0</v>
      </c>
      <c r="AR987" s="17">
        <f>SUM(Audit[[#This Row],[Difference Winner]:[Difference Candidate 12]])</f>
        <v>0</v>
      </c>
      <c r="AS987" s="17">
        <f>IF(Audit[[#This Row],[Times p Drawn - With Replacement]]&gt;0, IF(Audit[[#This Row],[Canceled Differences]]&lt;0, Audit[[#This Row],[Max Differences]]+ABS(Audit[[#This Row],[Canceled Differences]]), Audit[[#This Row],[Max Differences]]), 0)</f>
        <v>0</v>
      </c>
      <c r="AT987" s="17">
        <f>'Sampling Data'!AB987</f>
        <v>2.8008827024274315E-2</v>
      </c>
      <c r="AU987" s="17">
        <f>IF(
      SUM(Audit[[#This Row],[Audit Losing Candidate]:[Audit Candidate 12]])
      &lt;&gt;0,
      (Audit[[#This Row],[Winning Candidate]]-Audit[[#This Row],[Losing Candidate]]-(Audit[[#This Row],[Audit Winning Candidate]]-Audit[[#This Row],[Audit Losing Candidate]]))/(Audit[[#Totals],[Winning Candidate]]-Audit[[#Totals],[Losing Candidate]]),
      0
)</f>
        <v>0</v>
      </c>
      <c r="AV9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7" s="17">
        <f>IF(Audit[[#This Row],[Max Relative Error (ep)]] = 0, 0, Audit[[#This Row],[Max Relative Error (ep)]]/Audit[[#This Row],[Error Bound (up) - Max. possible relative overstatement]])</f>
        <v>0</v>
      </c>
      <c r="BH9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87" s="17">
        <f t="shared" si="16"/>
        <v>1</v>
      </c>
      <c r="BJ987" s="17">
        <f>PRODUCT($BI$5:BI987)</f>
        <v>0.14573522051577942</v>
      </c>
      <c r="BK987" s="19">
        <f>1 - Audit[[#This Row],[K-M P Value]]</f>
        <v>0.85426477948422064</v>
      </c>
      <c r="BL987" s="17" t="str">
        <f>IF(Audit[[#This Row],[K-M P Value]]&gt;1-'General Info'!$B$12,"Continue", "Stop")</f>
        <v>Continue</v>
      </c>
      <c r="BM987" s="22" t="b">
        <f>IF(Audit[[#This Row],[Status - Continue or stop audit]] = "Continue", TRUE, IF(BL986 = "Continue", TRUE, FALSE))</f>
        <v>1</v>
      </c>
      <c r="BN987" s="22"/>
    </row>
    <row r="988" spans="1:66" ht="15" hidden="1" customHeight="1" x14ac:dyDescent="0.35">
      <c r="A988" s="17" t="str">
        <f>'Sampling Data'!AI988</f>
        <v/>
      </c>
      <c r="B988" s="17" t="str">
        <f>'Sampling Data'!A988</f>
        <v>7001 GLEN A   (ED)</v>
      </c>
      <c r="C988" s="17">
        <f>'Sampling Data'!B988</f>
        <v>208</v>
      </c>
      <c r="D988" s="17">
        <f>'Sampling Data'!C988</f>
        <v>289</v>
      </c>
      <c r="E988" s="18">
        <f>'Sampling Data'!D988</f>
        <v>0</v>
      </c>
      <c r="F988" s="18">
        <f>'Sampling Data'!E988</f>
        <v>0</v>
      </c>
      <c r="G988" s="18">
        <f>'Sampling Data'!F988</f>
        <v>0</v>
      </c>
      <c r="H988" s="18">
        <f>'Sampling Data'!G988</f>
        <v>0</v>
      </c>
      <c r="I988" s="18">
        <f>'Sampling Data'!H988</f>
        <v>0</v>
      </c>
      <c r="J988" s="18">
        <f>'Sampling Data'!I988</f>
        <v>0</v>
      </c>
      <c r="K988" s="18">
        <f>'Sampling Data'!J988</f>
        <v>0</v>
      </c>
      <c r="L988" s="18">
        <f>'Sampling Data'!K988</f>
        <v>0</v>
      </c>
      <c r="M988" s="18">
        <f>'Sampling Data'!L988</f>
        <v>0</v>
      </c>
      <c r="N988" s="18">
        <f>'Sampling Data'!M988</f>
        <v>0</v>
      </c>
      <c r="O988" s="17">
        <f>'Sampling Data'!N988</f>
        <v>1</v>
      </c>
      <c r="P988" s="17">
        <f>'Sampling Data'!O988</f>
        <v>29</v>
      </c>
      <c r="Q988" s="17">
        <f>'Sampling Data'!P988</f>
        <v>527</v>
      </c>
      <c r="R988" s="17">
        <f>'Sampling Data'!AJ988</f>
        <v>0</v>
      </c>
      <c r="S988" s="111"/>
      <c r="T988" s="111"/>
      <c r="U988" s="112"/>
      <c r="V988" s="112"/>
      <c r="W988" s="111"/>
      <c r="X988" s="111"/>
      <c r="Y988" s="111"/>
      <c r="Z988" s="111"/>
      <c r="AA988" s="14"/>
      <c r="AB988" s="14"/>
      <c r="AC988" s="14"/>
      <c r="AD988" s="14"/>
      <c r="AE988" s="113" t="str">
        <f>IF(NOT(ISBLANK(Audit[[#This Row],[Audit Winning Candidate]])), Audit[[#This Row],[Audit Winning Candidate]]-Audit[[#This Row],[Winning Candidate]], "")</f>
        <v/>
      </c>
      <c r="AF988" s="17" t="str">
        <f>IF(NOT(ISBLANK(Audit[[#This Row],[Audit Losing Candidate]])), Audit[[#This Row],[Audit Losing Candidate]]-Audit[[#This Row],[Losing Candidate]], "")</f>
        <v/>
      </c>
      <c r="AG988" s="17" t="str">
        <f>IF(NOT(ISBLANK(Audit[[#This Row],[Audit Candidate 3]])), Audit[[#This Row],[Audit Candidate 3]]-Audit[[#This Row],[Candidate 3]], "")</f>
        <v/>
      </c>
      <c r="AH988" s="17" t="str">
        <f>IF(NOT(ISBLANK(Audit[[#This Row],[Audit Candidate 4]])),Audit[[#This Row],[Audit Candidate 4]]-Audit[[#This Row],[Candidate 4]], "")</f>
        <v/>
      </c>
      <c r="AI988" s="17" t="str">
        <f>IF(NOT(ISBLANK(Audit[[#This Row],[Audit Candidate 5]])), Audit[[#This Row],[Audit Candidate 5]]-Audit[[#This Row],[Candidate 5]], "")</f>
        <v/>
      </c>
      <c r="AJ988" s="17" t="str">
        <f>IF(NOT(ISBLANK(Audit[[#This Row],[Audit Candidate 6]])), Audit[[#This Row],[Audit Candidate 6]]-Audit[[#This Row],[Candidate 6]], "")</f>
        <v/>
      </c>
      <c r="AK988" s="17" t="str">
        <f>IF(NOT(ISBLANK(Audit[[#This Row],[Audit Candidate 7]])), Audit[[#This Row],[Audit Candidate 7]]-Audit[[#This Row],[Candidate 7]], "")</f>
        <v/>
      </c>
      <c r="AL988" s="17" t="str">
        <f>IF(NOT(ISBLANK(Audit[[#This Row],[Audit Candidate 8]])), Audit[[#This Row],[Audit Candidate 8]]-Audit[[#This Row],[Candidate 8]], "")</f>
        <v/>
      </c>
      <c r="AM988" s="17" t="str">
        <f>IF(NOT(ISBLANK(Audit[[#This Row],[Audit Candidate 9]])), Audit[[#This Row],[Audit Candidate 9]]-Audit[[#This Row],[Candidate 9]], "")</f>
        <v/>
      </c>
      <c r="AN988" s="17" t="str">
        <f>IF(NOT(ISBLANK(Audit[[#This Row],[Audit Candidate 10]])), Audit[[#This Row],[Audit Candidate 10]]-Audit[[#This Row],[Candidate 10]], "")</f>
        <v/>
      </c>
      <c r="AO988" s="17" t="str">
        <f>IF(NOT(ISBLANK(Audit[[#This Row],[Audit Candidate 11]])), Audit[[#This Row],[Audit Candidate 11]]-Audit[[#This Row],[Candidate 11]], "")</f>
        <v/>
      </c>
      <c r="AP988" s="17" t="str">
        <f>IF(NOT(ISBLANK(Audit[[#This Row],[Audit Candidate 12]])), Audit[[#This Row],[Audit Candidate 12]]-Audit[[#This Row],[Candidate 12]], "")</f>
        <v/>
      </c>
      <c r="AQ988" s="17">
        <f>SUMIF(Audit[[#This Row],[Difference Winner]:[Difference Candidate 12]], "&gt;0")</f>
        <v>0</v>
      </c>
      <c r="AR988" s="17">
        <f>SUM(Audit[[#This Row],[Difference Winner]:[Difference Candidate 12]])</f>
        <v>0</v>
      </c>
      <c r="AS988" s="17">
        <f>IF(Audit[[#This Row],[Times p Drawn - With Replacement]]&gt;0, IF(Audit[[#This Row],[Canceled Differences]]&lt;0, Audit[[#This Row],[Max Differences]]+ABS(Audit[[#This Row],[Canceled Differences]]), Audit[[#This Row],[Max Differences]]), 0)</f>
        <v>0</v>
      </c>
      <c r="AT988" s="17">
        <f>'Sampling Data'!AB988</f>
        <v>1.8927177049736888E-2</v>
      </c>
      <c r="AU988" s="17">
        <f>IF(
      SUM(Audit[[#This Row],[Audit Losing Candidate]:[Audit Candidate 12]])
      &lt;&gt;0,
      (Audit[[#This Row],[Winning Candidate]]-Audit[[#This Row],[Losing Candidate]]-(Audit[[#This Row],[Audit Winning Candidate]]-Audit[[#This Row],[Audit Losing Candidate]]))/(Audit[[#Totals],[Winning Candidate]]-Audit[[#Totals],[Losing Candidate]]),
      0
)</f>
        <v>0</v>
      </c>
      <c r="AV9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8" s="17">
        <f>IF(Audit[[#This Row],[Max Relative Error (ep)]] = 0, 0, Audit[[#This Row],[Max Relative Error (ep)]]/Audit[[#This Row],[Error Bound (up) - Max. possible relative overstatement]])</f>
        <v>0</v>
      </c>
      <c r="BH9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88" s="17">
        <f t="shared" si="16"/>
        <v>1</v>
      </c>
      <c r="BJ988" s="17">
        <f>PRODUCT($BI$5:BI988)</f>
        <v>0.14573522051577942</v>
      </c>
      <c r="BK988" s="19">
        <f>1 - Audit[[#This Row],[K-M P Value]]</f>
        <v>0.85426477948422064</v>
      </c>
      <c r="BL988" s="17" t="str">
        <f>IF(Audit[[#This Row],[K-M P Value]]&gt;1-'General Info'!$B$12,"Continue", "Stop")</f>
        <v>Continue</v>
      </c>
      <c r="BM988" s="22" t="b">
        <f>IF(Audit[[#This Row],[Status - Continue or stop audit]] = "Continue", TRUE, IF(BL987 = "Continue", TRUE, FALSE))</f>
        <v>1</v>
      </c>
      <c r="BN988" s="22"/>
    </row>
    <row r="989" spans="1:66" ht="15" hidden="1" customHeight="1" x14ac:dyDescent="0.35">
      <c r="A989" s="17" t="str">
        <f>'Sampling Data'!AI989</f>
        <v/>
      </c>
      <c r="B989" s="17" t="str">
        <f>'Sampling Data'!A989</f>
        <v>7002 GLEN B   (ED)</v>
      </c>
      <c r="C989" s="17">
        <f>'Sampling Data'!B989</f>
        <v>271</v>
      </c>
      <c r="D989" s="17">
        <f>'Sampling Data'!C989</f>
        <v>279</v>
      </c>
      <c r="E989" s="18">
        <f>'Sampling Data'!D989</f>
        <v>0</v>
      </c>
      <c r="F989" s="18">
        <f>'Sampling Data'!E989</f>
        <v>0</v>
      </c>
      <c r="G989" s="18">
        <f>'Sampling Data'!F989</f>
        <v>0</v>
      </c>
      <c r="H989" s="18">
        <f>'Sampling Data'!G989</f>
        <v>0</v>
      </c>
      <c r="I989" s="18">
        <f>'Sampling Data'!H989</f>
        <v>0</v>
      </c>
      <c r="J989" s="18">
        <f>'Sampling Data'!I989</f>
        <v>0</v>
      </c>
      <c r="K989" s="18">
        <f>'Sampling Data'!J989</f>
        <v>0</v>
      </c>
      <c r="L989" s="18">
        <f>'Sampling Data'!K989</f>
        <v>0</v>
      </c>
      <c r="M989" s="18">
        <f>'Sampling Data'!L989</f>
        <v>0</v>
      </c>
      <c r="N989" s="18">
        <f>'Sampling Data'!M989</f>
        <v>0</v>
      </c>
      <c r="O989" s="17">
        <f>'Sampling Data'!N989</f>
        <v>0</v>
      </c>
      <c r="P989" s="17">
        <f>'Sampling Data'!O989</f>
        <v>31</v>
      </c>
      <c r="Q989" s="17">
        <f>'Sampling Data'!P989</f>
        <v>581</v>
      </c>
      <c r="R989" s="17">
        <f>'Sampling Data'!AJ989</f>
        <v>0</v>
      </c>
      <c r="S989" s="111"/>
      <c r="T989" s="111"/>
      <c r="U989" s="112"/>
      <c r="V989" s="112"/>
      <c r="W989" s="111"/>
      <c r="X989" s="111"/>
      <c r="Y989" s="111"/>
      <c r="Z989" s="111"/>
      <c r="AA989" s="14"/>
      <c r="AB989" s="14"/>
      <c r="AC989" s="14"/>
      <c r="AD989" s="14"/>
      <c r="AE989" s="113" t="str">
        <f>IF(NOT(ISBLANK(Audit[[#This Row],[Audit Winning Candidate]])), Audit[[#This Row],[Audit Winning Candidate]]-Audit[[#This Row],[Winning Candidate]], "")</f>
        <v/>
      </c>
      <c r="AF989" s="17" t="str">
        <f>IF(NOT(ISBLANK(Audit[[#This Row],[Audit Losing Candidate]])), Audit[[#This Row],[Audit Losing Candidate]]-Audit[[#This Row],[Losing Candidate]], "")</f>
        <v/>
      </c>
      <c r="AG989" s="17" t="str">
        <f>IF(NOT(ISBLANK(Audit[[#This Row],[Audit Candidate 3]])), Audit[[#This Row],[Audit Candidate 3]]-Audit[[#This Row],[Candidate 3]], "")</f>
        <v/>
      </c>
      <c r="AH989" s="17" t="str">
        <f>IF(NOT(ISBLANK(Audit[[#This Row],[Audit Candidate 4]])),Audit[[#This Row],[Audit Candidate 4]]-Audit[[#This Row],[Candidate 4]], "")</f>
        <v/>
      </c>
      <c r="AI989" s="17" t="str">
        <f>IF(NOT(ISBLANK(Audit[[#This Row],[Audit Candidate 5]])), Audit[[#This Row],[Audit Candidate 5]]-Audit[[#This Row],[Candidate 5]], "")</f>
        <v/>
      </c>
      <c r="AJ989" s="17" t="str">
        <f>IF(NOT(ISBLANK(Audit[[#This Row],[Audit Candidate 6]])), Audit[[#This Row],[Audit Candidate 6]]-Audit[[#This Row],[Candidate 6]], "")</f>
        <v/>
      </c>
      <c r="AK989" s="17" t="str">
        <f>IF(NOT(ISBLANK(Audit[[#This Row],[Audit Candidate 7]])), Audit[[#This Row],[Audit Candidate 7]]-Audit[[#This Row],[Candidate 7]], "")</f>
        <v/>
      </c>
      <c r="AL989" s="17" t="str">
        <f>IF(NOT(ISBLANK(Audit[[#This Row],[Audit Candidate 8]])), Audit[[#This Row],[Audit Candidate 8]]-Audit[[#This Row],[Candidate 8]], "")</f>
        <v/>
      </c>
      <c r="AM989" s="17" t="str">
        <f>IF(NOT(ISBLANK(Audit[[#This Row],[Audit Candidate 9]])), Audit[[#This Row],[Audit Candidate 9]]-Audit[[#This Row],[Candidate 9]], "")</f>
        <v/>
      </c>
      <c r="AN989" s="17" t="str">
        <f>IF(NOT(ISBLANK(Audit[[#This Row],[Audit Candidate 10]])), Audit[[#This Row],[Audit Candidate 10]]-Audit[[#This Row],[Candidate 10]], "")</f>
        <v/>
      </c>
      <c r="AO989" s="17" t="str">
        <f>IF(NOT(ISBLANK(Audit[[#This Row],[Audit Candidate 11]])), Audit[[#This Row],[Audit Candidate 11]]-Audit[[#This Row],[Candidate 11]], "")</f>
        <v/>
      </c>
      <c r="AP989" s="17" t="str">
        <f>IF(NOT(ISBLANK(Audit[[#This Row],[Audit Candidate 12]])), Audit[[#This Row],[Audit Candidate 12]]-Audit[[#This Row],[Candidate 12]], "")</f>
        <v/>
      </c>
      <c r="AQ989" s="17">
        <f>SUMIF(Audit[[#This Row],[Difference Winner]:[Difference Candidate 12]], "&gt;0")</f>
        <v>0</v>
      </c>
      <c r="AR989" s="17">
        <f>SUM(Audit[[#This Row],[Difference Winner]:[Difference Candidate 12]])</f>
        <v>0</v>
      </c>
      <c r="AS989" s="17">
        <f>IF(Audit[[#This Row],[Times p Drawn - With Replacement]]&gt;0, IF(Audit[[#This Row],[Canceled Differences]]&lt;0, Audit[[#This Row],[Max Differences]]+ABS(Audit[[#This Row],[Canceled Differences]]), Audit[[#This Row],[Max Differences]]), 0)</f>
        <v>0</v>
      </c>
      <c r="AT989" s="17">
        <f>'Sampling Data'!AB989</f>
        <v>2.4316754371074521E-2</v>
      </c>
      <c r="AU989" s="17">
        <f>IF(
      SUM(Audit[[#This Row],[Audit Losing Candidate]:[Audit Candidate 12]])
      &lt;&gt;0,
      (Audit[[#This Row],[Winning Candidate]]-Audit[[#This Row],[Losing Candidate]]-(Audit[[#This Row],[Audit Winning Candidate]]-Audit[[#This Row],[Audit Losing Candidate]]))/(Audit[[#Totals],[Winning Candidate]]-Audit[[#Totals],[Losing Candidate]]),
      0
)</f>
        <v>0</v>
      </c>
      <c r="AV9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9" s="17">
        <f>IF(Audit[[#This Row],[Max Relative Error (ep)]] = 0, 0, Audit[[#This Row],[Max Relative Error (ep)]]/Audit[[#This Row],[Error Bound (up) - Max. possible relative overstatement]])</f>
        <v>0</v>
      </c>
      <c r="BH9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89" s="17">
        <f t="shared" si="16"/>
        <v>1</v>
      </c>
      <c r="BJ989" s="17">
        <f>PRODUCT($BI$5:BI989)</f>
        <v>0.14573522051577942</v>
      </c>
      <c r="BK989" s="19">
        <f>1 - Audit[[#This Row],[K-M P Value]]</f>
        <v>0.85426477948422064</v>
      </c>
      <c r="BL989" s="17" t="str">
        <f>IF(Audit[[#This Row],[K-M P Value]]&gt;1-'General Info'!$B$12,"Continue", "Stop")</f>
        <v>Continue</v>
      </c>
      <c r="BM989" s="22" t="b">
        <f>IF(Audit[[#This Row],[Status - Continue or stop audit]] = "Continue", TRUE, IF(BL988 = "Continue", TRUE, FALSE))</f>
        <v>1</v>
      </c>
      <c r="BN989" s="22"/>
    </row>
    <row r="990" spans="1:66" ht="15" hidden="1" customHeight="1" x14ac:dyDescent="0.35">
      <c r="A990" s="17" t="str">
        <f>'Sampling Data'!AI990</f>
        <v/>
      </c>
      <c r="B990" s="17" t="str">
        <f>'Sampling Data'!A990</f>
        <v>7101 GOLF A   (ED)</v>
      </c>
      <c r="C990" s="17">
        <f>'Sampling Data'!B990</f>
        <v>302</v>
      </c>
      <c r="D990" s="17">
        <f>'Sampling Data'!C990</f>
        <v>138</v>
      </c>
      <c r="E990" s="18">
        <f>'Sampling Data'!D990</f>
        <v>0</v>
      </c>
      <c r="F990" s="18">
        <f>'Sampling Data'!E990</f>
        <v>0</v>
      </c>
      <c r="G990" s="18">
        <f>'Sampling Data'!F990</f>
        <v>0</v>
      </c>
      <c r="H990" s="18">
        <f>'Sampling Data'!G990</f>
        <v>0</v>
      </c>
      <c r="I990" s="18">
        <f>'Sampling Data'!H990</f>
        <v>0</v>
      </c>
      <c r="J990" s="18">
        <f>'Sampling Data'!I990</f>
        <v>0</v>
      </c>
      <c r="K990" s="18">
        <f>'Sampling Data'!J990</f>
        <v>0</v>
      </c>
      <c r="L990" s="18">
        <f>'Sampling Data'!K990</f>
        <v>0</v>
      </c>
      <c r="M990" s="18">
        <f>'Sampling Data'!L990</f>
        <v>0</v>
      </c>
      <c r="N990" s="18">
        <f>'Sampling Data'!M990</f>
        <v>0</v>
      </c>
      <c r="O990" s="17">
        <f>'Sampling Data'!N990</f>
        <v>0</v>
      </c>
      <c r="P990" s="17">
        <f>'Sampling Data'!O990</f>
        <v>29</v>
      </c>
      <c r="Q990" s="17">
        <f>'Sampling Data'!P990</f>
        <v>469</v>
      </c>
      <c r="R990" s="17">
        <f>'Sampling Data'!AJ990</f>
        <v>0</v>
      </c>
      <c r="S990" s="111"/>
      <c r="T990" s="111"/>
      <c r="U990" s="112"/>
      <c r="V990" s="112"/>
      <c r="W990" s="111"/>
      <c r="X990" s="111"/>
      <c r="Y990" s="111"/>
      <c r="Z990" s="111"/>
      <c r="AA990" s="14"/>
      <c r="AB990" s="14"/>
      <c r="AC990" s="14"/>
      <c r="AD990" s="14"/>
      <c r="AE990" s="113" t="str">
        <f>IF(NOT(ISBLANK(Audit[[#This Row],[Audit Winning Candidate]])), Audit[[#This Row],[Audit Winning Candidate]]-Audit[[#This Row],[Winning Candidate]], "")</f>
        <v/>
      </c>
      <c r="AF990" s="17" t="str">
        <f>IF(NOT(ISBLANK(Audit[[#This Row],[Audit Losing Candidate]])), Audit[[#This Row],[Audit Losing Candidate]]-Audit[[#This Row],[Losing Candidate]], "")</f>
        <v/>
      </c>
      <c r="AG990" s="17" t="str">
        <f>IF(NOT(ISBLANK(Audit[[#This Row],[Audit Candidate 3]])), Audit[[#This Row],[Audit Candidate 3]]-Audit[[#This Row],[Candidate 3]], "")</f>
        <v/>
      </c>
      <c r="AH990" s="17" t="str">
        <f>IF(NOT(ISBLANK(Audit[[#This Row],[Audit Candidate 4]])),Audit[[#This Row],[Audit Candidate 4]]-Audit[[#This Row],[Candidate 4]], "")</f>
        <v/>
      </c>
      <c r="AI990" s="17" t="str">
        <f>IF(NOT(ISBLANK(Audit[[#This Row],[Audit Candidate 5]])), Audit[[#This Row],[Audit Candidate 5]]-Audit[[#This Row],[Candidate 5]], "")</f>
        <v/>
      </c>
      <c r="AJ990" s="17" t="str">
        <f>IF(NOT(ISBLANK(Audit[[#This Row],[Audit Candidate 6]])), Audit[[#This Row],[Audit Candidate 6]]-Audit[[#This Row],[Candidate 6]], "")</f>
        <v/>
      </c>
      <c r="AK990" s="17" t="str">
        <f>IF(NOT(ISBLANK(Audit[[#This Row],[Audit Candidate 7]])), Audit[[#This Row],[Audit Candidate 7]]-Audit[[#This Row],[Candidate 7]], "")</f>
        <v/>
      </c>
      <c r="AL990" s="17" t="str">
        <f>IF(NOT(ISBLANK(Audit[[#This Row],[Audit Candidate 8]])), Audit[[#This Row],[Audit Candidate 8]]-Audit[[#This Row],[Candidate 8]], "")</f>
        <v/>
      </c>
      <c r="AM990" s="17" t="str">
        <f>IF(NOT(ISBLANK(Audit[[#This Row],[Audit Candidate 9]])), Audit[[#This Row],[Audit Candidate 9]]-Audit[[#This Row],[Candidate 9]], "")</f>
        <v/>
      </c>
      <c r="AN990" s="17" t="str">
        <f>IF(NOT(ISBLANK(Audit[[#This Row],[Audit Candidate 10]])), Audit[[#This Row],[Audit Candidate 10]]-Audit[[#This Row],[Candidate 10]], "")</f>
        <v/>
      </c>
      <c r="AO990" s="17" t="str">
        <f>IF(NOT(ISBLANK(Audit[[#This Row],[Audit Candidate 11]])), Audit[[#This Row],[Audit Candidate 11]]-Audit[[#This Row],[Candidate 11]], "")</f>
        <v/>
      </c>
      <c r="AP990" s="17" t="str">
        <f>IF(NOT(ISBLANK(Audit[[#This Row],[Audit Candidate 12]])), Audit[[#This Row],[Audit Candidate 12]]-Audit[[#This Row],[Candidate 12]], "")</f>
        <v/>
      </c>
      <c r="AQ990" s="17">
        <f>SUMIF(Audit[[#This Row],[Difference Winner]:[Difference Candidate 12]], "&gt;0")</f>
        <v>0</v>
      </c>
      <c r="AR990" s="17">
        <f>SUM(Audit[[#This Row],[Difference Winner]:[Difference Candidate 12]])</f>
        <v>0</v>
      </c>
      <c r="AS990" s="17">
        <f>IF(Audit[[#This Row],[Times p Drawn - With Replacement]]&gt;0, IF(Audit[[#This Row],[Canceled Differences]]&lt;0, Audit[[#This Row],[Max Differences]]+ABS(Audit[[#This Row],[Canceled Differences]]), Audit[[#This Row],[Max Differences]]), 0)</f>
        <v>0</v>
      </c>
      <c r="AT990" s="17">
        <f>'Sampling Data'!AB990</f>
        <v>2.6863011373281277E-2</v>
      </c>
      <c r="AU990" s="17">
        <f>IF(
      SUM(Audit[[#This Row],[Audit Losing Candidate]:[Audit Candidate 12]])
      &lt;&gt;0,
      (Audit[[#This Row],[Winning Candidate]]-Audit[[#This Row],[Losing Candidate]]-(Audit[[#This Row],[Audit Winning Candidate]]-Audit[[#This Row],[Audit Losing Candidate]]))/(Audit[[#Totals],[Winning Candidate]]-Audit[[#Totals],[Losing Candidate]]),
      0
)</f>
        <v>0</v>
      </c>
      <c r="AV9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0" s="17">
        <f>IF(Audit[[#This Row],[Max Relative Error (ep)]] = 0, 0, Audit[[#This Row],[Max Relative Error (ep)]]/Audit[[#This Row],[Error Bound (up) - Max. possible relative overstatement]])</f>
        <v>0</v>
      </c>
      <c r="BH9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90" s="17">
        <f t="shared" si="16"/>
        <v>1</v>
      </c>
      <c r="BJ990" s="17">
        <f>PRODUCT($BI$5:BI990)</f>
        <v>0.14573522051577942</v>
      </c>
      <c r="BK990" s="19">
        <f>1 - Audit[[#This Row],[K-M P Value]]</f>
        <v>0.85426477948422064</v>
      </c>
      <c r="BL990" s="17" t="str">
        <f>IF(Audit[[#This Row],[K-M P Value]]&gt;1-'General Info'!$B$12,"Continue", "Stop")</f>
        <v>Continue</v>
      </c>
      <c r="BM990" s="22" t="b">
        <f>IF(Audit[[#This Row],[Status - Continue or stop audit]] = "Continue", TRUE, IF(BL989 = "Continue", TRUE, FALSE))</f>
        <v>1</v>
      </c>
      <c r="BN990" s="22"/>
    </row>
    <row r="991" spans="1:66" ht="15" hidden="1" customHeight="1" x14ac:dyDescent="0.35">
      <c r="A991" s="17" t="str">
        <f>'Sampling Data'!AI991</f>
        <v/>
      </c>
      <c r="B991" s="17" t="str">
        <f>'Sampling Data'!A991</f>
        <v>7102 GOLF B   (ED)</v>
      </c>
      <c r="C991" s="17">
        <f>'Sampling Data'!B991</f>
        <v>341</v>
      </c>
      <c r="D991" s="17">
        <f>'Sampling Data'!C991</f>
        <v>80</v>
      </c>
      <c r="E991" s="18">
        <f>'Sampling Data'!D991</f>
        <v>0</v>
      </c>
      <c r="F991" s="18">
        <f>'Sampling Data'!E991</f>
        <v>0</v>
      </c>
      <c r="G991" s="18">
        <f>'Sampling Data'!F991</f>
        <v>0</v>
      </c>
      <c r="H991" s="18">
        <f>'Sampling Data'!G991</f>
        <v>0</v>
      </c>
      <c r="I991" s="18">
        <f>'Sampling Data'!H991</f>
        <v>0</v>
      </c>
      <c r="J991" s="18">
        <f>'Sampling Data'!I991</f>
        <v>0</v>
      </c>
      <c r="K991" s="18">
        <f>'Sampling Data'!J991</f>
        <v>0</v>
      </c>
      <c r="L991" s="18">
        <f>'Sampling Data'!K991</f>
        <v>0</v>
      </c>
      <c r="M991" s="18">
        <f>'Sampling Data'!L991</f>
        <v>0</v>
      </c>
      <c r="N991" s="18">
        <f>'Sampling Data'!M991</f>
        <v>0</v>
      </c>
      <c r="O991" s="17">
        <f>'Sampling Data'!N991</f>
        <v>1</v>
      </c>
      <c r="P991" s="17">
        <f>'Sampling Data'!O991</f>
        <v>23</v>
      </c>
      <c r="Q991" s="17">
        <f>'Sampling Data'!P991</f>
        <v>445</v>
      </c>
      <c r="R991" s="17">
        <f>'Sampling Data'!AJ991</f>
        <v>0</v>
      </c>
      <c r="S991" s="111"/>
      <c r="T991" s="111"/>
      <c r="U991" s="112"/>
      <c r="V991" s="112"/>
      <c r="W991" s="111"/>
      <c r="X991" s="111"/>
      <c r="Y991" s="111"/>
      <c r="Z991" s="111"/>
      <c r="AA991" s="14"/>
      <c r="AB991" s="14"/>
      <c r="AC991" s="14"/>
      <c r="AD991" s="14"/>
      <c r="AE991" s="113" t="str">
        <f>IF(NOT(ISBLANK(Audit[[#This Row],[Audit Winning Candidate]])), Audit[[#This Row],[Audit Winning Candidate]]-Audit[[#This Row],[Winning Candidate]], "")</f>
        <v/>
      </c>
      <c r="AF991" s="17" t="str">
        <f>IF(NOT(ISBLANK(Audit[[#This Row],[Audit Losing Candidate]])), Audit[[#This Row],[Audit Losing Candidate]]-Audit[[#This Row],[Losing Candidate]], "")</f>
        <v/>
      </c>
      <c r="AG991" s="17" t="str">
        <f>IF(NOT(ISBLANK(Audit[[#This Row],[Audit Candidate 3]])), Audit[[#This Row],[Audit Candidate 3]]-Audit[[#This Row],[Candidate 3]], "")</f>
        <v/>
      </c>
      <c r="AH991" s="17" t="str">
        <f>IF(NOT(ISBLANK(Audit[[#This Row],[Audit Candidate 4]])),Audit[[#This Row],[Audit Candidate 4]]-Audit[[#This Row],[Candidate 4]], "")</f>
        <v/>
      </c>
      <c r="AI991" s="17" t="str">
        <f>IF(NOT(ISBLANK(Audit[[#This Row],[Audit Candidate 5]])), Audit[[#This Row],[Audit Candidate 5]]-Audit[[#This Row],[Candidate 5]], "")</f>
        <v/>
      </c>
      <c r="AJ991" s="17" t="str">
        <f>IF(NOT(ISBLANK(Audit[[#This Row],[Audit Candidate 6]])), Audit[[#This Row],[Audit Candidate 6]]-Audit[[#This Row],[Candidate 6]], "")</f>
        <v/>
      </c>
      <c r="AK991" s="17" t="str">
        <f>IF(NOT(ISBLANK(Audit[[#This Row],[Audit Candidate 7]])), Audit[[#This Row],[Audit Candidate 7]]-Audit[[#This Row],[Candidate 7]], "")</f>
        <v/>
      </c>
      <c r="AL991" s="17" t="str">
        <f>IF(NOT(ISBLANK(Audit[[#This Row],[Audit Candidate 8]])), Audit[[#This Row],[Audit Candidate 8]]-Audit[[#This Row],[Candidate 8]], "")</f>
        <v/>
      </c>
      <c r="AM991" s="17" t="str">
        <f>IF(NOT(ISBLANK(Audit[[#This Row],[Audit Candidate 9]])), Audit[[#This Row],[Audit Candidate 9]]-Audit[[#This Row],[Candidate 9]], "")</f>
        <v/>
      </c>
      <c r="AN991" s="17" t="str">
        <f>IF(NOT(ISBLANK(Audit[[#This Row],[Audit Candidate 10]])), Audit[[#This Row],[Audit Candidate 10]]-Audit[[#This Row],[Candidate 10]], "")</f>
        <v/>
      </c>
      <c r="AO991" s="17" t="str">
        <f>IF(NOT(ISBLANK(Audit[[#This Row],[Audit Candidate 11]])), Audit[[#This Row],[Audit Candidate 11]]-Audit[[#This Row],[Candidate 11]], "")</f>
        <v/>
      </c>
      <c r="AP991" s="17" t="str">
        <f>IF(NOT(ISBLANK(Audit[[#This Row],[Audit Candidate 12]])), Audit[[#This Row],[Audit Candidate 12]]-Audit[[#This Row],[Candidate 12]], "")</f>
        <v/>
      </c>
      <c r="AQ991" s="17">
        <f>SUMIF(Audit[[#This Row],[Difference Winner]:[Difference Candidate 12]], "&gt;0")</f>
        <v>0</v>
      </c>
      <c r="AR991" s="17">
        <f>SUM(Audit[[#This Row],[Difference Winner]:[Difference Candidate 12]])</f>
        <v>0</v>
      </c>
      <c r="AS991" s="17">
        <f>IF(Audit[[#This Row],[Times p Drawn - With Replacement]]&gt;0, IF(Audit[[#This Row],[Canceled Differences]]&lt;0, Audit[[#This Row],[Max Differences]]+ABS(Audit[[#This Row],[Canceled Differences]]), Audit[[#This Row],[Max Differences]]), 0)</f>
        <v>0</v>
      </c>
      <c r="AT991" s="17">
        <f>'Sampling Data'!AB991</f>
        <v>2.9960957392632829E-2</v>
      </c>
      <c r="AU991" s="17">
        <f>IF(
      SUM(Audit[[#This Row],[Audit Losing Candidate]:[Audit Candidate 12]])
      &lt;&gt;0,
      (Audit[[#This Row],[Winning Candidate]]-Audit[[#This Row],[Losing Candidate]]-(Audit[[#This Row],[Audit Winning Candidate]]-Audit[[#This Row],[Audit Losing Candidate]]))/(Audit[[#Totals],[Winning Candidate]]-Audit[[#Totals],[Losing Candidate]]),
      0
)</f>
        <v>0</v>
      </c>
      <c r="AV9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1" s="17">
        <f>IF(Audit[[#This Row],[Max Relative Error (ep)]] = 0, 0, Audit[[#This Row],[Max Relative Error (ep)]]/Audit[[#This Row],[Error Bound (up) - Max. possible relative overstatement]])</f>
        <v>0</v>
      </c>
      <c r="BH9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91" s="17">
        <f t="shared" si="16"/>
        <v>1</v>
      </c>
      <c r="BJ991" s="17">
        <f>PRODUCT($BI$5:BI991)</f>
        <v>0.14573522051577942</v>
      </c>
      <c r="BK991" s="19">
        <f>1 - Audit[[#This Row],[K-M P Value]]</f>
        <v>0.85426477948422064</v>
      </c>
      <c r="BL991" s="17" t="str">
        <f>IF(Audit[[#This Row],[K-M P Value]]&gt;1-'General Info'!$B$12,"Continue", "Stop")</f>
        <v>Continue</v>
      </c>
      <c r="BM991" s="22" t="b">
        <f>IF(Audit[[#This Row],[Status - Continue or stop audit]] = "Continue", TRUE, IF(BL990 = "Continue", TRUE, FALSE))</f>
        <v>1</v>
      </c>
      <c r="BN991" s="22"/>
    </row>
    <row r="992" spans="1:66" ht="15" hidden="1" customHeight="1" x14ac:dyDescent="0.35">
      <c r="A992" s="17" t="str">
        <f>'Sampling Data'!AI992</f>
        <v/>
      </c>
      <c r="B992" s="17" t="str">
        <f>'Sampling Data'!A992</f>
        <v>7301 GREEN A   (ED)</v>
      </c>
      <c r="C992" s="17">
        <f>'Sampling Data'!B992</f>
        <v>145</v>
      </c>
      <c r="D992" s="17">
        <f>'Sampling Data'!C992</f>
        <v>441</v>
      </c>
      <c r="E992" s="18">
        <f>'Sampling Data'!D992</f>
        <v>0</v>
      </c>
      <c r="F992" s="18">
        <f>'Sampling Data'!E992</f>
        <v>0</v>
      </c>
      <c r="G992" s="18">
        <f>'Sampling Data'!F992</f>
        <v>0</v>
      </c>
      <c r="H992" s="18">
        <f>'Sampling Data'!G992</f>
        <v>0</v>
      </c>
      <c r="I992" s="18">
        <f>'Sampling Data'!H992</f>
        <v>0</v>
      </c>
      <c r="J992" s="18">
        <f>'Sampling Data'!I992</f>
        <v>0</v>
      </c>
      <c r="K992" s="18">
        <f>'Sampling Data'!J992</f>
        <v>0</v>
      </c>
      <c r="L992" s="18">
        <f>'Sampling Data'!K992</f>
        <v>0</v>
      </c>
      <c r="M992" s="18">
        <f>'Sampling Data'!L992</f>
        <v>0</v>
      </c>
      <c r="N992" s="18">
        <f>'Sampling Data'!M992</f>
        <v>0</v>
      </c>
      <c r="O992" s="17">
        <f>'Sampling Data'!N992</f>
        <v>0</v>
      </c>
      <c r="P992" s="17">
        <f>'Sampling Data'!O992</f>
        <v>44</v>
      </c>
      <c r="Q992" s="17">
        <f>'Sampling Data'!P992</f>
        <v>630</v>
      </c>
      <c r="R992" s="17">
        <f>'Sampling Data'!AJ992</f>
        <v>0</v>
      </c>
      <c r="S992" s="111"/>
      <c r="T992" s="111"/>
      <c r="U992" s="112"/>
      <c r="V992" s="112"/>
      <c r="W992" s="111"/>
      <c r="X992" s="111"/>
      <c r="Y992" s="111"/>
      <c r="Z992" s="111"/>
      <c r="AA992" s="14"/>
      <c r="AB992" s="14"/>
      <c r="AC992" s="14"/>
      <c r="AD992" s="14"/>
      <c r="AE992" s="113" t="str">
        <f>IF(NOT(ISBLANK(Audit[[#This Row],[Audit Winning Candidate]])), Audit[[#This Row],[Audit Winning Candidate]]-Audit[[#This Row],[Winning Candidate]], "")</f>
        <v/>
      </c>
      <c r="AF992" s="17" t="str">
        <f>IF(NOT(ISBLANK(Audit[[#This Row],[Audit Losing Candidate]])), Audit[[#This Row],[Audit Losing Candidate]]-Audit[[#This Row],[Losing Candidate]], "")</f>
        <v/>
      </c>
      <c r="AG992" s="17" t="str">
        <f>IF(NOT(ISBLANK(Audit[[#This Row],[Audit Candidate 3]])), Audit[[#This Row],[Audit Candidate 3]]-Audit[[#This Row],[Candidate 3]], "")</f>
        <v/>
      </c>
      <c r="AH992" s="17" t="str">
        <f>IF(NOT(ISBLANK(Audit[[#This Row],[Audit Candidate 4]])),Audit[[#This Row],[Audit Candidate 4]]-Audit[[#This Row],[Candidate 4]], "")</f>
        <v/>
      </c>
      <c r="AI992" s="17" t="str">
        <f>IF(NOT(ISBLANK(Audit[[#This Row],[Audit Candidate 5]])), Audit[[#This Row],[Audit Candidate 5]]-Audit[[#This Row],[Candidate 5]], "")</f>
        <v/>
      </c>
      <c r="AJ992" s="17" t="str">
        <f>IF(NOT(ISBLANK(Audit[[#This Row],[Audit Candidate 6]])), Audit[[#This Row],[Audit Candidate 6]]-Audit[[#This Row],[Candidate 6]], "")</f>
        <v/>
      </c>
      <c r="AK992" s="17" t="str">
        <f>IF(NOT(ISBLANK(Audit[[#This Row],[Audit Candidate 7]])), Audit[[#This Row],[Audit Candidate 7]]-Audit[[#This Row],[Candidate 7]], "")</f>
        <v/>
      </c>
      <c r="AL992" s="17" t="str">
        <f>IF(NOT(ISBLANK(Audit[[#This Row],[Audit Candidate 8]])), Audit[[#This Row],[Audit Candidate 8]]-Audit[[#This Row],[Candidate 8]], "")</f>
        <v/>
      </c>
      <c r="AM992" s="17" t="str">
        <f>IF(NOT(ISBLANK(Audit[[#This Row],[Audit Candidate 9]])), Audit[[#This Row],[Audit Candidate 9]]-Audit[[#This Row],[Candidate 9]], "")</f>
        <v/>
      </c>
      <c r="AN992" s="17" t="str">
        <f>IF(NOT(ISBLANK(Audit[[#This Row],[Audit Candidate 10]])), Audit[[#This Row],[Audit Candidate 10]]-Audit[[#This Row],[Candidate 10]], "")</f>
        <v/>
      </c>
      <c r="AO992" s="17" t="str">
        <f>IF(NOT(ISBLANK(Audit[[#This Row],[Audit Candidate 11]])), Audit[[#This Row],[Audit Candidate 11]]-Audit[[#This Row],[Candidate 11]], "")</f>
        <v/>
      </c>
      <c r="AP992" s="17" t="str">
        <f>IF(NOT(ISBLANK(Audit[[#This Row],[Audit Candidate 12]])), Audit[[#This Row],[Audit Candidate 12]]-Audit[[#This Row],[Candidate 12]], "")</f>
        <v/>
      </c>
      <c r="AQ992" s="17">
        <f>SUMIF(Audit[[#This Row],[Difference Winner]:[Difference Candidate 12]], "&gt;0")</f>
        <v>0</v>
      </c>
      <c r="AR992" s="17">
        <f>SUM(Audit[[#This Row],[Difference Winner]:[Difference Candidate 12]])</f>
        <v>0</v>
      </c>
      <c r="AS992" s="17">
        <f>IF(Audit[[#This Row],[Times p Drawn - With Replacement]]&gt;0, IF(Audit[[#This Row],[Canceled Differences]]&lt;0, Audit[[#This Row],[Max Differences]]+ABS(Audit[[#This Row],[Canceled Differences]]), Audit[[#This Row],[Max Differences]]), 0)</f>
        <v>0</v>
      </c>
      <c r="AT992" s="17">
        <f>'Sampling Data'!AB992</f>
        <v>1.4174163978950943E-2</v>
      </c>
      <c r="AU992" s="17">
        <f>IF(
      SUM(Audit[[#This Row],[Audit Losing Candidate]:[Audit Candidate 12]])
      &lt;&gt;0,
      (Audit[[#This Row],[Winning Candidate]]-Audit[[#This Row],[Losing Candidate]]-(Audit[[#This Row],[Audit Winning Candidate]]-Audit[[#This Row],[Audit Losing Candidate]]))/(Audit[[#Totals],[Winning Candidate]]-Audit[[#Totals],[Losing Candidate]]),
      0
)</f>
        <v>0</v>
      </c>
      <c r="AV9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2" s="17">
        <f>IF(Audit[[#This Row],[Max Relative Error (ep)]] = 0, 0, Audit[[#This Row],[Max Relative Error (ep)]]/Audit[[#This Row],[Error Bound (up) - Max. possible relative overstatement]])</f>
        <v>0</v>
      </c>
      <c r="BH9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92" s="17">
        <f t="shared" si="16"/>
        <v>1</v>
      </c>
      <c r="BJ992" s="17">
        <f>PRODUCT($BI$5:BI992)</f>
        <v>0.14573522051577942</v>
      </c>
      <c r="BK992" s="19">
        <f>1 - Audit[[#This Row],[K-M P Value]]</f>
        <v>0.85426477948422064</v>
      </c>
      <c r="BL992" s="17" t="str">
        <f>IF(Audit[[#This Row],[K-M P Value]]&gt;1-'General Info'!$B$12,"Continue", "Stop")</f>
        <v>Continue</v>
      </c>
      <c r="BM992" s="22" t="b">
        <f>IF(Audit[[#This Row],[Status - Continue or stop audit]] = "Continue", TRUE, IF(BL991 = "Continue", TRUE, FALSE))</f>
        <v>1</v>
      </c>
      <c r="BN992" s="22"/>
    </row>
    <row r="993" spans="1:66" ht="15" hidden="1" customHeight="1" x14ac:dyDescent="0.35">
      <c r="A993" s="17" t="str">
        <f>'Sampling Data'!AI993</f>
        <v/>
      </c>
      <c r="B993" s="17" t="str">
        <f>'Sampling Data'!A993</f>
        <v>7302 GREEN B   (ED)</v>
      </c>
      <c r="C993" s="17">
        <f>'Sampling Data'!B993</f>
        <v>203</v>
      </c>
      <c r="D993" s="17">
        <f>'Sampling Data'!C993</f>
        <v>358</v>
      </c>
      <c r="E993" s="18">
        <f>'Sampling Data'!D993</f>
        <v>0</v>
      </c>
      <c r="F993" s="18">
        <f>'Sampling Data'!E993</f>
        <v>0</v>
      </c>
      <c r="G993" s="18">
        <f>'Sampling Data'!F993</f>
        <v>0</v>
      </c>
      <c r="H993" s="18">
        <f>'Sampling Data'!G993</f>
        <v>0</v>
      </c>
      <c r="I993" s="18">
        <f>'Sampling Data'!H993</f>
        <v>0</v>
      </c>
      <c r="J993" s="18">
        <f>'Sampling Data'!I993</f>
        <v>0</v>
      </c>
      <c r="K993" s="18">
        <f>'Sampling Data'!J993</f>
        <v>0</v>
      </c>
      <c r="L993" s="18">
        <f>'Sampling Data'!K993</f>
        <v>0</v>
      </c>
      <c r="M993" s="18">
        <f>'Sampling Data'!L993</f>
        <v>0</v>
      </c>
      <c r="N993" s="18">
        <f>'Sampling Data'!M993</f>
        <v>0</v>
      </c>
      <c r="O993" s="17">
        <f>'Sampling Data'!N993</f>
        <v>0</v>
      </c>
      <c r="P993" s="17">
        <f>'Sampling Data'!O993</f>
        <v>50</v>
      </c>
      <c r="Q993" s="17">
        <f>'Sampling Data'!P993</f>
        <v>611</v>
      </c>
      <c r="R993" s="17">
        <f>'Sampling Data'!AJ993</f>
        <v>0</v>
      </c>
      <c r="S993" s="111"/>
      <c r="T993" s="111"/>
      <c r="U993" s="112"/>
      <c r="V993" s="112"/>
      <c r="W993" s="111"/>
      <c r="X993" s="111"/>
      <c r="Y993" s="111"/>
      <c r="Z993" s="111"/>
      <c r="AA993" s="14"/>
      <c r="AB993" s="14"/>
      <c r="AC993" s="14"/>
      <c r="AD993" s="14"/>
      <c r="AE993" s="113" t="str">
        <f>IF(NOT(ISBLANK(Audit[[#This Row],[Audit Winning Candidate]])), Audit[[#This Row],[Audit Winning Candidate]]-Audit[[#This Row],[Winning Candidate]], "")</f>
        <v/>
      </c>
      <c r="AF993" s="17" t="str">
        <f>IF(NOT(ISBLANK(Audit[[#This Row],[Audit Losing Candidate]])), Audit[[#This Row],[Audit Losing Candidate]]-Audit[[#This Row],[Losing Candidate]], "")</f>
        <v/>
      </c>
      <c r="AG993" s="17" t="str">
        <f>IF(NOT(ISBLANK(Audit[[#This Row],[Audit Candidate 3]])), Audit[[#This Row],[Audit Candidate 3]]-Audit[[#This Row],[Candidate 3]], "")</f>
        <v/>
      </c>
      <c r="AH993" s="17" t="str">
        <f>IF(NOT(ISBLANK(Audit[[#This Row],[Audit Candidate 4]])),Audit[[#This Row],[Audit Candidate 4]]-Audit[[#This Row],[Candidate 4]], "")</f>
        <v/>
      </c>
      <c r="AI993" s="17" t="str">
        <f>IF(NOT(ISBLANK(Audit[[#This Row],[Audit Candidate 5]])), Audit[[#This Row],[Audit Candidate 5]]-Audit[[#This Row],[Candidate 5]], "")</f>
        <v/>
      </c>
      <c r="AJ993" s="17" t="str">
        <f>IF(NOT(ISBLANK(Audit[[#This Row],[Audit Candidate 6]])), Audit[[#This Row],[Audit Candidate 6]]-Audit[[#This Row],[Candidate 6]], "")</f>
        <v/>
      </c>
      <c r="AK993" s="17" t="str">
        <f>IF(NOT(ISBLANK(Audit[[#This Row],[Audit Candidate 7]])), Audit[[#This Row],[Audit Candidate 7]]-Audit[[#This Row],[Candidate 7]], "")</f>
        <v/>
      </c>
      <c r="AL993" s="17" t="str">
        <f>IF(NOT(ISBLANK(Audit[[#This Row],[Audit Candidate 8]])), Audit[[#This Row],[Audit Candidate 8]]-Audit[[#This Row],[Candidate 8]], "")</f>
        <v/>
      </c>
      <c r="AM993" s="17" t="str">
        <f>IF(NOT(ISBLANK(Audit[[#This Row],[Audit Candidate 9]])), Audit[[#This Row],[Audit Candidate 9]]-Audit[[#This Row],[Candidate 9]], "")</f>
        <v/>
      </c>
      <c r="AN993" s="17" t="str">
        <f>IF(NOT(ISBLANK(Audit[[#This Row],[Audit Candidate 10]])), Audit[[#This Row],[Audit Candidate 10]]-Audit[[#This Row],[Candidate 10]], "")</f>
        <v/>
      </c>
      <c r="AO993" s="17" t="str">
        <f>IF(NOT(ISBLANK(Audit[[#This Row],[Audit Candidate 11]])), Audit[[#This Row],[Audit Candidate 11]]-Audit[[#This Row],[Candidate 11]], "")</f>
        <v/>
      </c>
      <c r="AP993" s="17" t="str">
        <f>IF(NOT(ISBLANK(Audit[[#This Row],[Audit Candidate 12]])), Audit[[#This Row],[Audit Candidate 12]]-Audit[[#This Row],[Candidate 12]], "")</f>
        <v/>
      </c>
      <c r="AQ993" s="17">
        <f>SUMIF(Audit[[#This Row],[Difference Winner]:[Difference Candidate 12]], "&gt;0")</f>
        <v>0</v>
      </c>
      <c r="AR993" s="17">
        <f>SUM(Audit[[#This Row],[Difference Winner]:[Difference Candidate 12]])</f>
        <v>0</v>
      </c>
      <c r="AS993" s="17">
        <f>IF(Audit[[#This Row],[Times p Drawn - With Replacement]]&gt;0, IF(Audit[[#This Row],[Canceled Differences]]&lt;0, Audit[[#This Row],[Max Differences]]+ABS(Audit[[#This Row],[Canceled Differences]]), Audit[[#This Row],[Max Differences]]), 0)</f>
        <v>0</v>
      </c>
      <c r="AT993" s="17">
        <f>'Sampling Data'!AB993</f>
        <v>1.9351553216771344E-2</v>
      </c>
      <c r="AU993" s="17">
        <f>IF(
      SUM(Audit[[#This Row],[Audit Losing Candidate]:[Audit Candidate 12]])
      &lt;&gt;0,
      (Audit[[#This Row],[Winning Candidate]]-Audit[[#This Row],[Losing Candidate]]-(Audit[[#This Row],[Audit Winning Candidate]]-Audit[[#This Row],[Audit Losing Candidate]]))/(Audit[[#Totals],[Winning Candidate]]-Audit[[#Totals],[Losing Candidate]]),
      0
)</f>
        <v>0</v>
      </c>
      <c r="AV9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3" s="17">
        <f>IF(Audit[[#This Row],[Max Relative Error (ep)]] = 0, 0, Audit[[#This Row],[Max Relative Error (ep)]]/Audit[[#This Row],[Error Bound (up) - Max. possible relative overstatement]])</f>
        <v>0</v>
      </c>
      <c r="BH9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93" s="17">
        <f t="shared" si="16"/>
        <v>1</v>
      </c>
      <c r="BJ993" s="17">
        <f>PRODUCT($BI$5:BI993)</f>
        <v>0.14573522051577942</v>
      </c>
      <c r="BK993" s="19">
        <f>1 - Audit[[#This Row],[K-M P Value]]</f>
        <v>0.85426477948422064</v>
      </c>
      <c r="BL993" s="17" t="str">
        <f>IF(Audit[[#This Row],[K-M P Value]]&gt;1-'General Info'!$B$12,"Continue", "Stop")</f>
        <v>Continue</v>
      </c>
      <c r="BM993" s="22" t="b">
        <f>IF(Audit[[#This Row],[Status - Continue or stop audit]] = "Continue", TRUE, IF(BL992 = "Continue", TRUE, FALSE))</f>
        <v>1</v>
      </c>
      <c r="BN993" s="22"/>
    </row>
    <row r="994" spans="1:66" ht="15" hidden="1" customHeight="1" x14ac:dyDescent="0.35">
      <c r="A994" s="17" t="str">
        <f>'Sampling Data'!AI994</f>
        <v/>
      </c>
      <c r="B994" s="17" t="str">
        <f>'Sampling Data'!A994</f>
        <v>7303 GREEN C   (ED)</v>
      </c>
      <c r="C994" s="17">
        <f>'Sampling Data'!B994</f>
        <v>174</v>
      </c>
      <c r="D994" s="17">
        <f>'Sampling Data'!C994</f>
        <v>249</v>
      </c>
      <c r="E994" s="18">
        <f>'Sampling Data'!D994</f>
        <v>0</v>
      </c>
      <c r="F994" s="18">
        <f>'Sampling Data'!E994</f>
        <v>0</v>
      </c>
      <c r="G994" s="18">
        <f>'Sampling Data'!F994</f>
        <v>0</v>
      </c>
      <c r="H994" s="18">
        <f>'Sampling Data'!G994</f>
        <v>0</v>
      </c>
      <c r="I994" s="18">
        <f>'Sampling Data'!H994</f>
        <v>0</v>
      </c>
      <c r="J994" s="18">
        <f>'Sampling Data'!I994</f>
        <v>0</v>
      </c>
      <c r="K994" s="18">
        <f>'Sampling Data'!J994</f>
        <v>0</v>
      </c>
      <c r="L994" s="18">
        <f>'Sampling Data'!K994</f>
        <v>0</v>
      </c>
      <c r="M994" s="18">
        <f>'Sampling Data'!L994</f>
        <v>0</v>
      </c>
      <c r="N994" s="18">
        <f>'Sampling Data'!M994</f>
        <v>0</v>
      </c>
      <c r="O994" s="17">
        <f>'Sampling Data'!N994</f>
        <v>0</v>
      </c>
      <c r="P994" s="17">
        <f>'Sampling Data'!O994</f>
        <v>42</v>
      </c>
      <c r="Q994" s="17">
        <f>'Sampling Data'!P994</f>
        <v>465</v>
      </c>
      <c r="R994" s="17">
        <f>'Sampling Data'!AJ994</f>
        <v>0</v>
      </c>
      <c r="S994" s="111"/>
      <c r="T994" s="111"/>
      <c r="U994" s="112"/>
      <c r="V994" s="112"/>
      <c r="W994" s="111"/>
      <c r="X994" s="111"/>
      <c r="Y994" s="111"/>
      <c r="Z994" s="111"/>
      <c r="AA994" s="14"/>
      <c r="AB994" s="14"/>
      <c r="AC994" s="14"/>
      <c r="AD994" s="14"/>
      <c r="AE994" s="113" t="str">
        <f>IF(NOT(ISBLANK(Audit[[#This Row],[Audit Winning Candidate]])), Audit[[#This Row],[Audit Winning Candidate]]-Audit[[#This Row],[Winning Candidate]], "")</f>
        <v/>
      </c>
      <c r="AF994" s="17" t="str">
        <f>IF(NOT(ISBLANK(Audit[[#This Row],[Audit Losing Candidate]])), Audit[[#This Row],[Audit Losing Candidate]]-Audit[[#This Row],[Losing Candidate]], "")</f>
        <v/>
      </c>
      <c r="AG994" s="17" t="str">
        <f>IF(NOT(ISBLANK(Audit[[#This Row],[Audit Candidate 3]])), Audit[[#This Row],[Audit Candidate 3]]-Audit[[#This Row],[Candidate 3]], "")</f>
        <v/>
      </c>
      <c r="AH994" s="17" t="str">
        <f>IF(NOT(ISBLANK(Audit[[#This Row],[Audit Candidate 4]])),Audit[[#This Row],[Audit Candidate 4]]-Audit[[#This Row],[Candidate 4]], "")</f>
        <v/>
      </c>
      <c r="AI994" s="17" t="str">
        <f>IF(NOT(ISBLANK(Audit[[#This Row],[Audit Candidate 5]])), Audit[[#This Row],[Audit Candidate 5]]-Audit[[#This Row],[Candidate 5]], "")</f>
        <v/>
      </c>
      <c r="AJ994" s="17" t="str">
        <f>IF(NOT(ISBLANK(Audit[[#This Row],[Audit Candidate 6]])), Audit[[#This Row],[Audit Candidate 6]]-Audit[[#This Row],[Candidate 6]], "")</f>
        <v/>
      </c>
      <c r="AK994" s="17" t="str">
        <f>IF(NOT(ISBLANK(Audit[[#This Row],[Audit Candidate 7]])), Audit[[#This Row],[Audit Candidate 7]]-Audit[[#This Row],[Candidate 7]], "")</f>
        <v/>
      </c>
      <c r="AL994" s="17" t="str">
        <f>IF(NOT(ISBLANK(Audit[[#This Row],[Audit Candidate 8]])), Audit[[#This Row],[Audit Candidate 8]]-Audit[[#This Row],[Candidate 8]], "")</f>
        <v/>
      </c>
      <c r="AM994" s="17" t="str">
        <f>IF(NOT(ISBLANK(Audit[[#This Row],[Audit Candidate 9]])), Audit[[#This Row],[Audit Candidate 9]]-Audit[[#This Row],[Candidate 9]], "")</f>
        <v/>
      </c>
      <c r="AN994" s="17" t="str">
        <f>IF(NOT(ISBLANK(Audit[[#This Row],[Audit Candidate 10]])), Audit[[#This Row],[Audit Candidate 10]]-Audit[[#This Row],[Candidate 10]], "")</f>
        <v/>
      </c>
      <c r="AO994" s="17" t="str">
        <f>IF(NOT(ISBLANK(Audit[[#This Row],[Audit Candidate 11]])), Audit[[#This Row],[Audit Candidate 11]]-Audit[[#This Row],[Candidate 11]], "")</f>
        <v/>
      </c>
      <c r="AP994" s="17" t="str">
        <f>IF(NOT(ISBLANK(Audit[[#This Row],[Audit Candidate 12]])), Audit[[#This Row],[Audit Candidate 12]]-Audit[[#This Row],[Candidate 12]], "")</f>
        <v/>
      </c>
      <c r="AQ994" s="17">
        <f>SUMIF(Audit[[#This Row],[Difference Winner]:[Difference Candidate 12]], "&gt;0")</f>
        <v>0</v>
      </c>
      <c r="AR994" s="17">
        <f>SUM(Audit[[#This Row],[Difference Winner]:[Difference Candidate 12]])</f>
        <v>0</v>
      </c>
      <c r="AS994" s="17">
        <f>IF(Audit[[#This Row],[Times p Drawn - With Replacement]]&gt;0, IF(Audit[[#This Row],[Canceled Differences]]&lt;0, Audit[[#This Row],[Max Differences]]+ABS(Audit[[#This Row],[Canceled Differences]]), Audit[[#This Row],[Max Differences]]), 0)</f>
        <v>0</v>
      </c>
      <c r="AT994" s="17">
        <f>'Sampling Data'!AB994</f>
        <v>1.6550670514343915E-2</v>
      </c>
      <c r="AU994" s="17">
        <f>IF(
      SUM(Audit[[#This Row],[Audit Losing Candidate]:[Audit Candidate 12]])
      &lt;&gt;0,
      (Audit[[#This Row],[Winning Candidate]]-Audit[[#This Row],[Losing Candidate]]-(Audit[[#This Row],[Audit Winning Candidate]]-Audit[[#This Row],[Audit Losing Candidate]]))/(Audit[[#Totals],[Winning Candidate]]-Audit[[#Totals],[Losing Candidate]]),
      0
)</f>
        <v>0</v>
      </c>
      <c r="AV9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4" s="17">
        <f>IF(Audit[[#This Row],[Max Relative Error (ep)]] = 0, 0, Audit[[#This Row],[Max Relative Error (ep)]]/Audit[[#This Row],[Error Bound (up) - Max. possible relative overstatement]])</f>
        <v>0</v>
      </c>
      <c r="BH9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94" s="17">
        <f t="shared" si="16"/>
        <v>1</v>
      </c>
      <c r="BJ994" s="17">
        <f>PRODUCT($BI$5:BI994)</f>
        <v>0.14573522051577942</v>
      </c>
      <c r="BK994" s="19">
        <f>1 - Audit[[#This Row],[K-M P Value]]</f>
        <v>0.85426477948422064</v>
      </c>
      <c r="BL994" s="17" t="str">
        <f>IF(Audit[[#This Row],[K-M P Value]]&gt;1-'General Info'!$B$12,"Continue", "Stop")</f>
        <v>Continue</v>
      </c>
      <c r="BM994" s="22" t="b">
        <f>IF(Audit[[#This Row],[Status - Continue or stop audit]] = "Continue", TRUE, IF(BL993 = "Continue", TRUE, FALSE))</f>
        <v>1</v>
      </c>
      <c r="BN994" s="22"/>
    </row>
    <row r="995" spans="1:66" ht="15" customHeight="1" x14ac:dyDescent="0.35">
      <c r="A995" s="17">
        <f>'Sampling Data'!AI995</f>
        <v>18</v>
      </c>
      <c r="B995" s="17" t="str">
        <f>'Sampling Data'!A995</f>
        <v>7304 GREEN D   (ED)</v>
      </c>
      <c r="C995" s="17">
        <f>'Sampling Data'!B995</f>
        <v>153</v>
      </c>
      <c r="D995" s="17">
        <f>'Sampling Data'!C995</f>
        <v>429</v>
      </c>
      <c r="E995" s="18">
        <f>'Sampling Data'!D995</f>
        <v>0</v>
      </c>
      <c r="F995" s="18">
        <f>'Sampling Data'!E995</f>
        <v>0</v>
      </c>
      <c r="G995" s="18">
        <f>'Sampling Data'!F995</f>
        <v>0</v>
      </c>
      <c r="H995" s="18">
        <f>'Sampling Data'!G995</f>
        <v>0</v>
      </c>
      <c r="I995" s="18">
        <f>'Sampling Data'!H995</f>
        <v>0</v>
      </c>
      <c r="J995" s="18">
        <f>'Sampling Data'!I995</f>
        <v>0</v>
      </c>
      <c r="K995" s="18">
        <f>'Sampling Data'!J995</f>
        <v>0</v>
      </c>
      <c r="L995" s="18">
        <f>'Sampling Data'!K995</f>
        <v>0</v>
      </c>
      <c r="M995" s="18">
        <f>'Sampling Data'!L995</f>
        <v>0</v>
      </c>
      <c r="N995" s="18">
        <f>'Sampling Data'!M995</f>
        <v>0</v>
      </c>
      <c r="O995" s="17">
        <f>'Sampling Data'!N995</f>
        <v>0</v>
      </c>
      <c r="P995" s="17">
        <f>'Sampling Data'!O995</f>
        <v>50</v>
      </c>
      <c r="Q995" s="17">
        <f>'Sampling Data'!P995</f>
        <v>632</v>
      </c>
      <c r="R995" s="17">
        <f>'Sampling Data'!AJ995</f>
        <v>1</v>
      </c>
      <c r="S995" s="111">
        <v>153</v>
      </c>
      <c r="T995" s="111">
        <v>429</v>
      </c>
      <c r="U995" s="112"/>
      <c r="V995" s="112"/>
      <c r="W995" s="111"/>
      <c r="X995" s="111"/>
      <c r="Y995" s="111"/>
      <c r="Z995" s="111"/>
      <c r="AA995" s="14"/>
      <c r="AB995" s="14"/>
      <c r="AC995" s="14"/>
      <c r="AD995" s="14"/>
      <c r="AE995" s="113">
        <f>IF(NOT(ISBLANK(Audit[[#This Row],[Audit Winning Candidate]])), Audit[[#This Row],[Audit Winning Candidate]]-Audit[[#This Row],[Winning Candidate]], "")</f>
        <v>0</v>
      </c>
      <c r="AF995" s="17">
        <f>IF(NOT(ISBLANK(Audit[[#This Row],[Audit Losing Candidate]])), Audit[[#This Row],[Audit Losing Candidate]]-Audit[[#This Row],[Losing Candidate]], "")</f>
        <v>0</v>
      </c>
      <c r="AG995" s="17" t="str">
        <f>IF(NOT(ISBLANK(Audit[[#This Row],[Audit Candidate 3]])), Audit[[#This Row],[Audit Candidate 3]]-Audit[[#This Row],[Candidate 3]], "")</f>
        <v/>
      </c>
      <c r="AH995" s="17" t="str">
        <f>IF(NOT(ISBLANK(Audit[[#This Row],[Audit Candidate 4]])),Audit[[#This Row],[Audit Candidate 4]]-Audit[[#This Row],[Candidate 4]], "")</f>
        <v/>
      </c>
      <c r="AI995" s="17" t="str">
        <f>IF(NOT(ISBLANK(Audit[[#This Row],[Audit Candidate 5]])), Audit[[#This Row],[Audit Candidate 5]]-Audit[[#This Row],[Candidate 5]], "")</f>
        <v/>
      </c>
      <c r="AJ995" s="17" t="str">
        <f>IF(NOT(ISBLANK(Audit[[#This Row],[Audit Candidate 6]])), Audit[[#This Row],[Audit Candidate 6]]-Audit[[#This Row],[Candidate 6]], "")</f>
        <v/>
      </c>
      <c r="AK995" s="17" t="str">
        <f>IF(NOT(ISBLANK(Audit[[#This Row],[Audit Candidate 7]])), Audit[[#This Row],[Audit Candidate 7]]-Audit[[#This Row],[Candidate 7]], "")</f>
        <v/>
      </c>
      <c r="AL995" s="17" t="str">
        <f>IF(NOT(ISBLANK(Audit[[#This Row],[Audit Candidate 8]])), Audit[[#This Row],[Audit Candidate 8]]-Audit[[#This Row],[Candidate 8]], "")</f>
        <v/>
      </c>
      <c r="AM995" s="17" t="str">
        <f>IF(NOT(ISBLANK(Audit[[#This Row],[Audit Candidate 9]])), Audit[[#This Row],[Audit Candidate 9]]-Audit[[#This Row],[Candidate 9]], "")</f>
        <v/>
      </c>
      <c r="AN995" s="17" t="str">
        <f>IF(NOT(ISBLANK(Audit[[#This Row],[Audit Candidate 10]])), Audit[[#This Row],[Audit Candidate 10]]-Audit[[#This Row],[Candidate 10]], "")</f>
        <v/>
      </c>
      <c r="AO995" s="17" t="str">
        <f>IF(NOT(ISBLANK(Audit[[#This Row],[Audit Candidate 11]])), Audit[[#This Row],[Audit Candidate 11]]-Audit[[#This Row],[Candidate 11]], "")</f>
        <v/>
      </c>
      <c r="AP995" s="17" t="str">
        <f>IF(NOT(ISBLANK(Audit[[#This Row],[Audit Candidate 12]])), Audit[[#This Row],[Audit Candidate 12]]-Audit[[#This Row],[Candidate 12]], "")</f>
        <v/>
      </c>
      <c r="AQ995" s="17">
        <f>SUMIF(Audit[[#This Row],[Difference Winner]:[Difference Candidate 12]], "&gt;0")</f>
        <v>0</v>
      </c>
      <c r="AR995" s="17">
        <f>SUM(Audit[[#This Row],[Difference Winner]:[Difference Candidate 12]])</f>
        <v>0</v>
      </c>
      <c r="AS995" s="17">
        <f>IF(Audit[[#This Row],[Times p Drawn - With Replacement]]&gt;0, IF(Audit[[#This Row],[Canceled Differences]]&lt;0, Audit[[#This Row],[Max Differences]]+ABS(Audit[[#This Row],[Canceled Differences]]), Audit[[#This Row],[Max Differences]]), 0)</f>
        <v>0</v>
      </c>
      <c r="AT995" s="17">
        <f>'Sampling Data'!AB995</f>
        <v>1.5107791546426753E-2</v>
      </c>
      <c r="AU995" s="17">
        <f>IF(
      SUM(Audit[[#This Row],[Audit Losing Candidate]:[Audit Candidate 12]])
      &lt;&gt;0,
      (Audit[[#This Row],[Winning Candidate]]-Audit[[#This Row],[Losing Candidate]]-(Audit[[#This Row],[Audit Winning Candidate]]-Audit[[#This Row],[Audit Losing Candidate]]))/(Audit[[#Totals],[Winning Candidate]]-Audit[[#Totals],[Losing Candidate]]),
      0
)</f>
        <v>0</v>
      </c>
      <c r="AV9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5" s="17">
        <f>IF(Audit[[#This Row],[Max Relative Error (ep)]] = 0, 0, Audit[[#This Row],[Max Relative Error (ep)]]/Audit[[#This Row],[Error Bound (up) - Max. possible relative overstatement]])</f>
        <v>0</v>
      </c>
      <c r="BH9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95" s="17">
        <f t="shared" si="16"/>
        <v>0.94645908314247273</v>
      </c>
      <c r="BJ995" s="17">
        <f>PRODUCT($BI$5:BI995)</f>
        <v>0.13793242319093066</v>
      </c>
      <c r="BK995" s="19">
        <f>1 - Audit[[#This Row],[K-M P Value]]</f>
        <v>0.86206757680906931</v>
      </c>
      <c r="BL995" s="17" t="str">
        <f>IF(Audit[[#This Row],[K-M P Value]]&gt;1-'General Info'!$B$12,"Continue", "Stop")</f>
        <v>Continue</v>
      </c>
      <c r="BM995" s="22" t="b">
        <f>IF(Audit[[#This Row],[Status - Continue or stop audit]] = "Continue", TRUE, IF(BL994 = "Continue", TRUE, FALSE))</f>
        <v>1</v>
      </c>
      <c r="BN995" s="22"/>
    </row>
    <row r="996" spans="1:66" ht="15" hidden="1" customHeight="1" x14ac:dyDescent="0.35">
      <c r="A996" s="17" t="str">
        <f>'Sampling Data'!AI996</f>
        <v/>
      </c>
      <c r="B996" s="17" t="str">
        <f>'Sampling Data'!A996</f>
        <v>7305 GREEN E   (ED)</v>
      </c>
      <c r="C996" s="17">
        <f>'Sampling Data'!B996</f>
        <v>130</v>
      </c>
      <c r="D996" s="17">
        <f>'Sampling Data'!C996</f>
        <v>474</v>
      </c>
      <c r="E996" s="18">
        <f>'Sampling Data'!D996</f>
        <v>0</v>
      </c>
      <c r="F996" s="18">
        <f>'Sampling Data'!E996</f>
        <v>0</v>
      </c>
      <c r="G996" s="18">
        <f>'Sampling Data'!F996</f>
        <v>0</v>
      </c>
      <c r="H996" s="18">
        <f>'Sampling Data'!G996</f>
        <v>0</v>
      </c>
      <c r="I996" s="18">
        <f>'Sampling Data'!H996</f>
        <v>0</v>
      </c>
      <c r="J996" s="18">
        <f>'Sampling Data'!I996</f>
        <v>0</v>
      </c>
      <c r="K996" s="18">
        <f>'Sampling Data'!J996</f>
        <v>0</v>
      </c>
      <c r="L996" s="18">
        <f>'Sampling Data'!K996</f>
        <v>0</v>
      </c>
      <c r="M996" s="18">
        <f>'Sampling Data'!L996</f>
        <v>0</v>
      </c>
      <c r="N996" s="18">
        <f>'Sampling Data'!M996</f>
        <v>0</v>
      </c>
      <c r="O996" s="17">
        <f>'Sampling Data'!N996</f>
        <v>1</v>
      </c>
      <c r="P996" s="17">
        <f>'Sampling Data'!O996</f>
        <v>42</v>
      </c>
      <c r="Q996" s="17">
        <f>'Sampling Data'!P996</f>
        <v>647</v>
      </c>
      <c r="R996" s="17">
        <f>'Sampling Data'!AJ996</f>
        <v>0</v>
      </c>
      <c r="S996" s="111"/>
      <c r="T996" s="111"/>
      <c r="U996" s="112"/>
      <c r="V996" s="112"/>
      <c r="W996" s="111"/>
      <c r="X996" s="111"/>
      <c r="Y996" s="111"/>
      <c r="Z996" s="111"/>
      <c r="AA996" s="14"/>
      <c r="AB996" s="14"/>
      <c r="AC996" s="14"/>
      <c r="AD996" s="14"/>
      <c r="AE996" s="113" t="str">
        <f>IF(NOT(ISBLANK(Audit[[#This Row],[Audit Winning Candidate]])), Audit[[#This Row],[Audit Winning Candidate]]-Audit[[#This Row],[Winning Candidate]], "")</f>
        <v/>
      </c>
      <c r="AF996" s="17" t="str">
        <f>IF(NOT(ISBLANK(Audit[[#This Row],[Audit Losing Candidate]])), Audit[[#This Row],[Audit Losing Candidate]]-Audit[[#This Row],[Losing Candidate]], "")</f>
        <v/>
      </c>
      <c r="AG996" s="17" t="str">
        <f>IF(NOT(ISBLANK(Audit[[#This Row],[Audit Candidate 3]])), Audit[[#This Row],[Audit Candidate 3]]-Audit[[#This Row],[Candidate 3]], "")</f>
        <v/>
      </c>
      <c r="AH996" s="17" t="str">
        <f>IF(NOT(ISBLANK(Audit[[#This Row],[Audit Candidate 4]])),Audit[[#This Row],[Audit Candidate 4]]-Audit[[#This Row],[Candidate 4]], "")</f>
        <v/>
      </c>
      <c r="AI996" s="17" t="str">
        <f>IF(NOT(ISBLANK(Audit[[#This Row],[Audit Candidate 5]])), Audit[[#This Row],[Audit Candidate 5]]-Audit[[#This Row],[Candidate 5]], "")</f>
        <v/>
      </c>
      <c r="AJ996" s="17" t="str">
        <f>IF(NOT(ISBLANK(Audit[[#This Row],[Audit Candidate 6]])), Audit[[#This Row],[Audit Candidate 6]]-Audit[[#This Row],[Candidate 6]], "")</f>
        <v/>
      </c>
      <c r="AK996" s="17" t="str">
        <f>IF(NOT(ISBLANK(Audit[[#This Row],[Audit Candidate 7]])), Audit[[#This Row],[Audit Candidate 7]]-Audit[[#This Row],[Candidate 7]], "")</f>
        <v/>
      </c>
      <c r="AL996" s="17" t="str">
        <f>IF(NOT(ISBLANK(Audit[[#This Row],[Audit Candidate 8]])), Audit[[#This Row],[Audit Candidate 8]]-Audit[[#This Row],[Candidate 8]], "")</f>
        <v/>
      </c>
      <c r="AM996" s="17" t="str">
        <f>IF(NOT(ISBLANK(Audit[[#This Row],[Audit Candidate 9]])), Audit[[#This Row],[Audit Candidate 9]]-Audit[[#This Row],[Candidate 9]], "")</f>
        <v/>
      </c>
      <c r="AN996" s="17" t="str">
        <f>IF(NOT(ISBLANK(Audit[[#This Row],[Audit Candidate 10]])), Audit[[#This Row],[Audit Candidate 10]]-Audit[[#This Row],[Candidate 10]], "")</f>
        <v/>
      </c>
      <c r="AO996" s="17" t="str">
        <f>IF(NOT(ISBLANK(Audit[[#This Row],[Audit Candidate 11]])), Audit[[#This Row],[Audit Candidate 11]]-Audit[[#This Row],[Candidate 11]], "")</f>
        <v/>
      </c>
      <c r="AP996" s="17" t="str">
        <f>IF(NOT(ISBLANK(Audit[[#This Row],[Audit Candidate 12]])), Audit[[#This Row],[Audit Candidate 12]]-Audit[[#This Row],[Candidate 12]], "")</f>
        <v/>
      </c>
      <c r="AQ996" s="17">
        <f>SUMIF(Audit[[#This Row],[Difference Winner]:[Difference Candidate 12]], "&gt;0")</f>
        <v>0</v>
      </c>
      <c r="AR996" s="17">
        <f>SUM(Audit[[#This Row],[Difference Winner]:[Difference Candidate 12]])</f>
        <v>0</v>
      </c>
      <c r="AS996" s="17">
        <f>IF(Audit[[#This Row],[Times p Drawn - With Replacement]]&gt;0, IF(Audit[[#This Row],[Canceled Differences]]&lt;0, Audit[[#This Row],[Max Differences]]+ABS(Audit[[#This Row],[Canceled Differences]]), Audit[[#This Row],[Max Differences]]), 0)</f>
        <v>0</v>
      </c>
      <c r="AT996" s="17">
        <f>'Sampling Data'!AB996</f>
        <v>1.2858597861144119E-2</v>
      </c>
      <c r="AU996" s="17">
        <f>IF(
      SUM(Audit[[#This Row],[Audit Losing Candidate]:[Audit Candidate 12]])
      &lt;&gt;0,
      (Audit[[#This Row],[Winning Candidate]]-Audit[[#This Row],[Losing Candidate]]-(Audit[[#This Row],[Audit Winning Candidate]]-Audit[[#This Row],[Audit Losing Candidate]]))/(Audit[[#Totals],[Winning Candidate]]-Audit[[#Totals],[Losing Candidate]]),
      0
)</f>
        <v>0</v>
      </c>
      <c r="AV9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6" s="17">
        <f>IF(Audit[[#This Row],[Max Relative Error (ep)]] = 0, 0, Audit[[#This Row],[Max Relative Error (ep)]]/Audit[[#This Row],[Error Bound (up) - Max. possible relative overstatement]])</f>
        <v>0</v>
      </c>
      <c r="BH9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96" s="17">
        <f t="shared" si="16"/>
        <v>1</v>
      </c>
      <c r="BJ996" s="17">
        <f>PRODUCT($BI$5:BI996)</f>
        <v>0.13793242319093066</v>
      </c>
      <c r="BK996" s="19">
        <f>1 - Audit[[#This Row],[K-M P Value]]</f>
        <v>0.86206757680906931</v>
      </c>
      <c r="BL996" s="17" t="str">
        <f>IF(Audit[[#This Row],[K-M P Value]]&gt;1-'General Info'!$B$12,"Continue", "Stop")</f>
        <v>Continue</v>
      </c>
      <c r="BM996" s="22" t="b">
        <f>IF(Audit[[#This Row],[Status - Continue or stop audit]] = "Continue", TRUE, IF(BL995 = "Continue", TRUE, FALSE))</f>
        <v>1</v>
      </c>
      <c r="BN996" s="22"/>
    </row>
    <row r="997" spans="1:66" ht="15" hidden="1" customHeight="1" x14ac:dyDescent="0.35">
      <c r="A997" s="17" t="str">
        <f>'Sampling Data'!AI997</f>
        <v/>
      </c>
      <c r="B997" s="17" t="str">
        <f>'Sampling Data'!A997</f>
        <v>7306 GREEN F   (ED)</v>
      </c>
      <c r="C997" s="17">
        <f>'Sampling Data'!B997</f>
        <v>138</v>
      </c>
      <c r="D997" s="17">
        <f>'Sampling Data'!C997</f>
        <v>430</v>
      </c>
      <c r="E997" s="18">
        <f>'Sampling Data'!D997</f>
        <v>0</v>
      </c>
      <c r="F997" s="18">
        <f>'Sampling Data'!E997</f>
        <v>0</v>
      </c>
      <c r="G997" s="18">
        <f>'Sampling Data'!F997</f>
        <v>0</v>
      </c>
      <c r="H997" s="18">
        <f>'Sampling Data'!G997</f>
        <v>0</v>
      </c>
      <c r="I997" s="18">
        <f>'Sampling Data'!H997</f>
        <v>0</v>
      </c>
      <c r="J997" s="18">
        <f>'Sampling Data'!I997</f>
        <v>0</v>
      </c>
      <c r="K997" s="18">
        <f>'Sampling Data'!J997</f>
        <v>0</v>
      </c>
      <c r="L997" s="18">
        <f>'Sampling Data'!K997</f>
        <v>0</v>
      </c>
      <c r="M997" s="18">
        <f>'Sampling Data'!L997</f>
        <v>0</v>
      </c>
      <c r="N997" s="18">
        <f>'Sampling Data'!M997</f>
        <v>0</v>
      </c>
      <c r="O997" s="17">
        <f>'Sampling Data'!N997</f>
        <v>0</v>
      </c>
      <c r="P997" s="17">
        <f>'Sampling Data'!O997</f>
        <v>49</v>
      </c>
      <c r="Q997" s="17">
        <f>'Sampling Data'!P997</f>
        <v>617</v>
      </c>
      <c r="R997" s="17">
        <f>'Sampling Data'!AJ997</f>
        <v>0</v>
      </c>
      <c r="S997" s="111"/>
      <c r="T997" s="111"/>
      <c r="U997" s="112"/>
      <c r="V997" s="112"/>
      <c r="W997" s="111"/>
      <c r="X997" s="111"/>
      <c r="Y997" s="111"/>
      <c r="Z997" s="111"/>
      <c r="AA997" s="14"/>
      <c r="AB997" s="14"/>
      <c r="AC997" s="14"/>
      <c r="AD997" s="14"/>
      <c r="AE997" s="113" t="str">
        <f>IF(NOT(ISBLANK(Audit[[#This Row],[Audit Winning Candidate]])), Audit[[#This Row],[Audit Winning Candidate]]-Audit[[#This Row],[Winning Candidate]], "")</f>
        <v/>
      </c>
      <c r="AF997" s="17" t="str">
        <f>IF(NOT(ISBLANK(Audit[[#This Row],[Audit Losing Candidate]])), Audit[[#This Row],[Audit Losing Candidate]]-Audit[[#This Row],[Losing Candidate]], "")</f>
        <v/>
      </c>
      <c r="AG997" s="17" t="str">
        <f>IF(NOT(ISBLANK(Audit[[#This Row],[Audit Candidate 3]])), Audit[[#This Row],[Audit Candidate 3]]-Audit[[#This Row],[Candidate 3]], "")</f>
        <v/>
      </c>
      <c r="AH997" s="17" t="str">
        <f>IF(NOT(ISBLANK(Audit[[#This Row],[Audit Candidate 4]])),Audit[[#This Row],[Audit Candidate 4]]-Audit[[#This Row],[Candidate 4]], "")</f>
        <v/>
      </c>
      <c r="AI997" s="17" t="str">
        <f>IF(NOT(ISBLANK(Audit[[#This Row],[Audit Candidate 5]])), Audit[[#This Row],[Audit Candidate 5]]-Audit[[#This Row],[Candidate 5]], "")</f>
        <v/>
      </c>
      <c r="AJ997" s="17" t="str">
        <f>IF(NOT(ISBLANK(Audit[[#This Row],[Audit Candidate 6]])), Audit[[#This Row],[Audit Candidate 6]]-Audit[[#This Row],[Candidate 6]], "")</f>
        <v/>
      </c>
      <c r="AK997" s="17" t="str">
        <f>IF(NOT(ISBLANK(Audit[[#This Row],[Audit Candidate 7]])), Audit[[#This Row],[Audit Candidate 7]]-Audit[[#This Row],[Candidate 7]], "")</f>
        <v/>
      </c>
      <c r="AL997" s="17" t="str">
        <f>IF(NOT(ISBLANK(Audit[[#This Row],[Audit Candidate 8]])), Audit[[#This Row],[Audit Candidate 8]]-Audit[[#This Row],[Candidate 8]], "")</f>
        <v/>
      </c>
      <c r="AM997" s="17" t="str">
        <f>IF(NOT(ISBLANK(Audit[[#This Row],[Audit Candidate 9]])), Audit[[#This Row],[Audit Candidate 9]]-Audit[[#This Row],[Candidate 9]], "")</f>
        <v/>
      </c>
      <c r="AN997" s="17" t="str">
        <f>IF(NOT(ISBLANK(Audit[[#This Row],[Audit Candidate 10]])), Audit[[#This Row],[Audit Candidate 10]]-Audit[[#This Row],[Candidate 10]], "")</f>
        <v/>
      </c>
      <c r="AO997" s="17" t="str">
        <f>IF(NOT(ISBLANK(Audit[[#This Row],[Audit Candidate 11]])), Audit[[#This Row],[Audit Candidate 11]]-Audit[[#This Row],[Candidate 11]], "")</f>
        <v/>
      </c>
      <c r="AP997" s="17" t="str">
        <f>IF(NOT(ISBLANK(Audit[[#This Row],[Audit Candidate 12]])), Audit[[#This Row],[Audit Candidate 12]]-Audit[[#This Row],[Candidate 12]], "")</f>
        <v/>
      </c>
      <c r="AQ997" s="17">
        <f>SUMIF(Audit[[#This Row],[Difference Winner]:[Difference Candidate 12]], "&gt;0")</f>
        <v>0</v>
      </c>
      <c r="AR997" s="17">
        <f>SUM(Audit[[#This Row],[Difference Winner]:[Difference Candidate 12]])</f>
        <v>0</v>
      </c>
      <c r="AS997" s="17">
        <f>IF(Audit[[#This Row],[Times p Drawn - With Replacement]]&gt;0, IF(Audit[[#This Row],[Canceled Differences]]&lt;0, Audit[[#This Row],[Max Differences]]+ABS(Audit[[#This Row],[Canceled Differences]]), Audit[[#This Row],[Max Differences]]), 0)</f>
        <v>0</v>
      </c>
      <c r="AT997" s="17">
        <f>'Sampling Data'!AB997</f>
        <v>1.3792225428619929E-2</v>
      </c>
      <c r="AU997" s="17">
        <f>IF(
      SUM(Audit[[#This Row],[Audit Losing Candidate]:[Audit Candidate 12]])
      &lt;&gt;0,
      (Audit[[#This Row],[Winning Candidate]]-Audit[[#This Row],[Losing Candidate]]-(Audit[[#This Row],[Audit Winning Candidate]]-Audit[[#This Row],[Audit Losing Candidate]]))/(Audit[[#Totals],[Winning Candidate]]-Audit[[#Totals],[Losing Candidate]]),
      0
)</f>
        <v>0</v>
      </c>
      <c r="AV9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7" s="17">
        <f>IF(Audit[[#This Row],[Max Relative Error (ep)]] = 0, 0, Audit[[#This Row],[Max Relative Error (ep)]]/Audit[[#This Row],[Error Bound (up) - Max. possible relative overstatement]])</f>
        <v>0</v>
      </c>
      <c r="BH9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97" s="17">
        <f t="shared" si="16"/>
        <v>1</v>
      </c>
      <c r="BJ997" s="17">
        <f>PRODUCT($BI$5:BI997)</f>
        <v>0.13793242319093066</v>
      </c>
      <c r="BK997" s="19">
        <f>1 - Audit[[#This Row],[K-M P Value]]</f>
        <v>0.86206757680906931</v>
      </c>
      <c r="BL997" s="17" t="str">
        <f>IF(Audit[[#This Row],[K-M P Value]]&gt;1-'General Info'!$B$12,"Continue", "Stop")</f>
        <v>Continue</v>
      </c>
      <c r="BM997" s="22" t="b">
        <f>IF(Audit[[#This Row],[Status - Continue or stop audit]] = "Continue", TRUE, IF(BL996 = "Continue", TRUE, FALSE))</f>
        <v>1</v>
      </c>
      <c r="BN997" s="22"/>
    </row>
    <row r="998" spans="1:66" ht="15" hidden="1" customHeight="1" x14ac:dyDescent="0.35">
      <c r="A998" s="17" t="str">
        <f>'Sampling Data'!AI998</f>
        <v/>
      </c>
      <c r="B998" s="17" t="str">
        <f>'Sampling Data'!A998</f>
        <v>7307 GREEN G   (ED)</v>
      </c>
      <c r="C998" s="17">
        <f>'Sampling Data'!B998</f>
        <v>58</v>
      </c>
      <c r="D998" s="17">
        <f>'Sampling Data'!C998</f>
        <v>420</v>
      </c>
      <c r="E998" s="18">
        <f>'Sampling Data'!D998</f>
        <v>0</v>
      </c>
      <c r="F998" s="18">
        <f>'Sampling Data'!E998</f>
        <v>0</v>
      </c>
      <c r="G998" s="18">
        <f>'Sampling Data'!F998</f>
        <v>0</v>
      </c>
      <c r="H998" s="18">
        <f>'Sampling Data'!G998</f>
        <v>0</v>
      </c>
      <c r="I998" s="18">
        <f>'Sampling Data'!H998</f>
        <v>0</v>
      </c>
      <c r="J998" s="18">
        <f>'Sampling Data'!I998</f>
        <v>0</v>
      </c>
      <c r="K998" s="18">
        <f>'Sampling Data'!J998</f>
        <v>0</v>
      </c>
      <c r="L998" s="18">
        <f>'Sampling Data'!K998</f>
        <v>0</v>
      </c>
      <c r="M998" s="18">
        <f>'Sampling Data'!L998</f>
        <v>0</v>
      </c>
      <c r="N998" s="18">
        <f>'Sampling Data'!M998</f>
        <v>0</v>
      </c>
      <c r="O998" s="17">
        <f>'Sampling Data'!N998</f>
        <v>0</v>
      </c>
      <c r="P998" s="17">
        <f>'Sampling Data'!O998</f>
        <v>21</v>
      </c>
      <c r="Q998" s="17">
        <f>'Sampling Data'!P998</f>
        <v>499</v>
      </c>
      <c r="R998" s="17">
        <f>'Sampling Data'!AJ998</f>
        <v>0</v>
      </c>
      <c r="S998" s="111"/>
      <c r="T998" s="111"/>
      <c r="U998" s="112"/>
      <c r="V998" s="112"/>
      <c r="W998" s="111"/>
      <c r="X998" s="111"/>
      <c r="Y998" s="111"/>
      <c r="Z998" s="111"/>
      <c r="AA998" s="14"/>
      <c r="AB998" s="14"/>
      <c r="AC998" s="14"/>
      <c r="AD998" s="14"/>
      <c r="AE998" s="113" t="str">
        <f>IF(NOT(ISBLANK(Audit[[#This Row],[Audit Winning Candidate]])), Audit[[#This Row],[Audit Winning Candidate]]-Audit[[#This Row],[Winning Candidate]], "")</f>
        <v/>
      </c>
      <c r="AF998" s="17" t="str">
        <f>IF(NOT(ISBLANK(Audit[[#This Row],[Audit Losing Candidate]])), Audit[[#This Row],[Audit Losing Candidate]]-Audit[[#This Row],[Losing Candidate]], "")</f>
        <v/>
      </c>
      <c r="AG998" s="17" t="str">
        <f>IF(NOT(ISBLANK(Audit[[#This Row],[Audit Candidate 3]])), Audit[[#This Row],[Audit Candidate 3]]-Audit[[#This Row],[Candidate 3]], "")</f>
        <v/>
      </c>
      <c r="AH998" s="17" t="str">
        <f>IF(NOT(ISBLANK(Audit[[#This Row],[Audit Candidate 4]])),Audit[[#This Row],[Audit Candidate 4]]-Audit[[#This Row],[Candidate 4]], "")</f>
        <v/>
      </c>
      <c r="AI998" s="17" t="str">
        <f>IF(NOT(ISBLANK(Audit[[#This Row],[Audit Candidate 5]])), Audit[[#This Row],[Audit Candidate 5]]-Audit[[#This Row],[Candidate 5]], "")</f>
        <v/>
      </c>
      <c r="AJ998" s="17" t="str">
        <f>IF(NOT(ISBLANK(Audit[[#This Row],[Audit Candidate 6]])), Audit[[#This Row],[Audit Candidate 6]]-Audit[[#This Row],[Candidate 6]], "")</f>
        <v/>
      </c>
      <c r="AK998" s="17" t="str">
        <f>IF(NOT(ISBLANK(Audit[[#This Row],[Audit Candidate 7]])), Audit[[#This Row],[Audit Candidate 7]]-Audit[[#This Row],[Candidate 7]], "")</f>
        <v/>
      </c>
      <c r="AL998" s="17" t="str">
        <f>IF(NOT(ISBLANK(Audit[[#This Row],[Audit Candidate 8]])), Audit[[#This Row],[Audit Candidate 8]]-Audit[[#This Row],[Candidate 8]], "")</f>
        <v/>
      </c>
      <c r="AM998" s="17" t="str">
        <f>IF(NOT(ISBLANK(Audit[[#This Row],[Audit Candidate 9]])), Audit[[#This Row],[Audit Candidate 9]]-Audit[[#This Row],[Candidate 9]], "")</f>
        <v/>
      </c>
      <c r="AN998" s="17" t="str">
        <f>IF(NOT(ISBLANK(Audit[[#This Row],[Audit Candidate 10]])), Audit[[#This Row],[Audit Candidate 10]]-Audit[[#This Row],[Candidate 10]], "")</f>
        <v/>
      </c>
      <c r="AO998" s="17" t="str">
        <f>IF(NOT(ISBLANK(Audit[[#This Row],[Audit Candidate 11]])), Audit[[#This Row],[Audit Candidate 11]]-Audit[[#This Row],[Candidate 11]], "")</f>
        <v/>
      </c>
      <c r="AP998" s="17" t="str">
        <f>IF(NOT(ISBLANK(Audit[[#This Row],[Audit Candidate 12]])), Audit[[#This Row],[Audit Candidate 12]]-Audit[[#This Row],[Candidate 12]], "")</f>
        <v/>
      </c>
      <c r="AQ998" s="17">
        <f>SUMIF(Audit[[#This Row],[Difference Winner]:[Difference Candidate 12]], "&gt;0")</f>
        <v>0</v>
      </c>
      <c r="AR998" s="17">
        <f>SUM(Audit[[#This Row],[Difference Winner]:[Difference Candidate 12]])</f>
        <v>0</v>
      </c>
      <c r="AS998" s="17">
        <f>IF(Audit[[#This Row],[Times p Drawn - With Replacement]]&gt;0, IF(Audit[[#This Row],[Canceled Differences]]&lt;0, Audit[[#This Row],[Max Differences]]+ABS(Audit[[#This Row],[Canceled Differences]]), Audit[[#This Row],[Max Differences]]), 0)</f>
        <v>0</v>
      </c>
      <c r="AT998" s="17">
        <f>'Sampling Data'!AB998</f>
        <v>5.8139534883720929E-3</v>
      </c>
      <c r="AU998" s="17">
        <f>IF(
      SUM(Audit[[#This Row],[Audit Losing Candidate]:[Audit Candidate 12]])
      &lt;&gt;0,
      (Audit[[#This Row],[Winning Candidate]]-Audit[[#This Row],[Losing Candidate]]-(Audit[[#This Row],[Audit Winning Candidate]]-Audit[[#This Row],[Audit Losing Candidate]]))/(Audit[[#Totals],[Winning Candidate]]-Audit[[#Totals],[Losing Candidate]]),
      0
)</f>
        <v>0</v>
      </c>
      <c r="AV9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8" s="17">
        <f>IF(Audit[[#This Row],[Max Relative Error (ep)]] = 0, 0, Audit[[#This Row],[Max Relative Error (ep)]]/Audit[[#This Row],[Error Bound (up) - Max. possible relative overstatement]])</f>
        <v>0</v>
      </c>
      <c r="BH9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98" s="17">
        <f t="shared" si="16"/>
        <v>1</v>
      </c>
      <c r="BJ998" s="17">
        <f>PRODUCT($BI$5:BI998)</f>
        <v>0.13793242319093066</v>
      </c>
      <c r="BK998" s="19">
        <f>1 - Audit[[#This Row],[K-M P Value]]</f>
        <v>0.86206757680906931</v>
      </c>
      <c r="BL998" s="17" t="str">
        <f>IF(Audit[[#This Row],[K-M P Value]]&gt;1-'General Info'!$B$12,"Continue", "Stop")</f>
        <v>Continue</v>
      </c>
      <c r="BM998" s="22" t="b">
        <f>IF(Audit[[#This Row],[Status - Continue or stop audit]] = "Continue", TRUE, IF(BL997 = "Continue", TRUE, FALSE))</f>
        <v>1</v>
      </c>
      <c r="BN998" s="22"/>
    </row>
    <row r="999" spans="1:66" ht="15" hidden="1" customHeight="1" x14ac:dyDescent="0.35">
      <c r="A999" s="17" t="str">
        <f>'Sampling Data'!AI999</f>
        <v/>
      </c>
      <c r="B999" s="17" t="str">
        <f>'Sampling Data'!A999</f>
        <v>7308 GREEN H   (ED)</v>
      </c>
      <c r="C999" s="17">
        <f>'Sampling Data'!B999</f>
        <v>144</v>
      </c>
      <c r="D999" s="17">
        <f>'Sampling Data'!C999</f>
        <v>227</v>
      </c>
      <c r="E999" s="18">
        <f>'Sampling Data'!D999</f>
        <v>0</v>
      </c>
      <c r="F999" s="18">
        <f>'Sampling Data'!E999</f>
        <v>0</v>
      </c>
      <c r="G999" s="18">
        <f>'Sampling Data'!F999</f>
        <v>0</v>
      </c>
      <c r="H999" s="18">
        <f>'Sampling Data'!G999</f>
        <v>0</v>
      </c>
      <c r="I999" s="18">
        <f>'Sampling Data'!H999</f>
        <v>0</v>
      </c>
      <c r="J999" s="18">
        <f>'Sampling Data'!I999</f>
        <v>0</v>
      </c>
      <c r="K999" s="18">
        <f>'Sampling Data'!J999</f>
        <v>0</v>
      </c>
      <c r="L999" s="18">
        <f>'Sampling Data'!K999</f>
        <v>0</v>
      </c>
      <c r="M999" s="18">
        <f>'Sampling Data'!L999</f>
        <v>0</v>
      </c>
      <c r="N999" s="18">
        <f>'Sampling Data'!M999</f>
        <v>0</v>
      </c>
      <c r="O999" s="17">
        <f>'Sampling Data'!N999</f>
        <v>0</v>
      </c>
      <c r="P999" s="17">
        <f>'Sampling Data'!O999</f>
        <v>24</v>
      </c>
      <c r="Q999" s="17">
        <f>'Sampling Data'!P999</f>
        <v>395</v>
      </c>
      <c r="R999" s="17">
        <f>'Sampling Data'!AJ999</f>
        <v>0</v>
      </c>
      <c r="S999" s="111"/>
      <c r="T999" s="111"/>
      <c r="U999" s="112"/>
      <c r="V999" s="112"/>
      <c r="W999" s="111"/>
      <c r="X999" s="111"/>
      <c r="Y999" s="111"/>
      <c r="Z999" s="111"/>
      <c r="AA999" s="14"/>
      <c r="AB999" s="14"/>
      <c r="AC999" s="14"/>
      <c r="AD999" s="14"/>
      <c r="AE999" s="113" t="str">
        <f>IF(NOT(ISBLANK(Audit[[#This Row],[Audit Winning Candidate]])), Audit[[#This Row],[Audit Winning Candidate]]-Audit[[#This Row],[Winning Candidate]], "")</f>
        <v/>
      </c>
      <c r="AF999" s="17" t="str">
        <f>IF(NOT(ISBLANK(Audit[[#This Row],[Audit Losing Candidate]])), Audit[[#This Row],[Audit Losing Candidate]]-Audit[[#This Row],[Losing Candidate]], "")</f>
        <v/>
      </c>
      <c r="AG999" s="17" t="str">
        <f>IF(NOT(ISBLANK(Audit[[#This Row],[Audit Candidate 3]])), Audit[[#This Row],[Audit Candidate 3]]-Audit[[#This Row],[Candidate 3]], "")</f>
        <v/>
      </c>
      <c r="AH999" s="17" t="str">
        <f>IF(NOT(ISBLANK(Audit[[#This Row],[Audit Candidate 4]])),Audit[[#This Row],[Audit Candidate 4]]-Audit[[#This Row],[Candidate 4]], "")</f>
        <v/>
      </c>
      <c r="AI999" s="17" t="str">
        <f>IF(NOT(ISBLANK(Audit[[#This Row],[Audit Candidate 5]])), Audit[[#This Row],[Audit Candidate 5]]-Audit[[#This Row],[Candidate 5]], "")</f>
        <v/>
      </c>
      <c r="AJ999" s="17" t="str">
        <f>IF(NOT(ISBLANK(Audit[[#This Row],[Audit Candidate 6]])), Audit[[#This Row],[Audit Candidate 6]]-Audit[[#This Row],[Candidate 6]], "")</f>
        <v/>
      </c>
      <c r="AK999" s="17" t="str">
        <f>IF(NOT(ISBLANK(Audit[[#This Row],[Audit Candidate 7]])), Audit[[#This Row],[Audit Candidate 7]]-Audit[[#This Row],[Candidate 7]], "")</f>
        <v/>
      </c>
      <c r="AL999" s="17" t="str">
        <f>IF(NOT(ISBLANK(Audit[[#This Row],[Audit Candidate 8]])), Audit[[#This Row],[Audit Candidate 8]]-Audit[[#This Row],[Candidate 8]], "")</f>
        <v/>
      </c>
      <c r="AM999" s="17" t="str">
        <f>IF(NOT(ISBLANK(Audit[[#This Row],[Audit Candidate 9]])), Audit[[#This Row],[Audit Candidate 9]]-Audit[[#This Row],[Candidate 9]], "")</f>
        <v/>
      </c>
      <c r="AN999" s="17" t="str">
        <f>IF(NOT(ISBLANK(Audit[[#This Row],[Audit Candidate 10]])), Audit[[#This Row],[Audit Candidate 10]]-Audit[[#This Row],[Candidate 10]], "")</f>
        <v/>
      </c>
      <c r="AO999" s="17" t="str">
        <f>IF(NOT(ISBLANK(Audit[[#This Row],[Audit Candidate 11]])), Audit[[#This Row],[Audit Candidate 11]]-Audit[[#This Row],[Candidate 11]], "")</f>
        <v/>
      </c>
      <c r="AP999" s="17" t="str">
        <f>IF(NOT(ISBLANK(Audit[[#This Row],[Audit Candidate 12]])), Audit[[#This Row],[Audit Candidate 12]]-Audit[[#This Row],[Candidate 12]], "")</f>
        <v/>
      </c>
      <c r="AQ999" s="17">
        <f>SUMIF(Audit[[#This Row],[Difference Winner]:[Difference Candidate 12]], "&gt;0")</f>
        <v>0</v>
      </c>
      <c r="AR999" s="17">
        <f>SUM(Audit[[#This Row],[Difference Winner]:[Difference Candidate 12]])</f>
        <v>0</v>
      </c>
      <c r="AS999" s="17">
        <f>IF(Audit[[#This Row],[Times p Drawn - With Replacement]]&gt;0, IF(Audit[[#This Row],[Canceled Differences]]&lt;0, Audit[[#This Row],[Max Differences]]+ABS(Audit[[#This Row],[Canceled Differences]]), Audit[[#This Row],[Max Differences]]), 0)</f>
        <v>0</v>
      </c>
      <c r="AT999" s="17">
        <f>'Sampling Data'!AB999</f>
        <v>1.3240536411475132E-2</v>
      </c>
      <c r="AU999" s="17">
        <f>IF(
      SUM(Audit[[#This Row],[Audit Losing Candidate]:[Audit Candidate 12]])
      &lt;&gt;0,
      (Audit[[#This Row],[Winning Candidate]]-Audit[[#This Row],[Losing Candidate]]-(Audit[[#This Row],[Audit Winning Candidate]]-Audit[[#This Row],[Audit Losing Candidate]]))/(Audit[[#Totals],[Winning Candidate]]-Audit[[#Totals],[Losing Candidate]]),
      0
)</f>
        <v>0</v>
      </c>
      <c r="AV9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9" s="17">
        <f>IF(Audit[[#This Row],[Max Relative Error (ep)]] = 0, 0, Audit[[#This Row],[Max Relative Error (ep)]]/Audit[[#This Row],[Error Bound (up) - Max. possible relative overstatement]])</f>
        <v>0</v>
      </c>
      <c r="BH9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999" s="17">
        <f t="shared" si="16"/>
        <v>1</v>
      </c>
      <c r="BJ999" s="17">
        <f>PRODUCT($BI$5:BI999)</f>
        <v>0.13793242319093066</v>
      </c>
      <c r="BK999" s="19">
        <f>1 - Audit[[#This Row],[K-M P Value]]</f>
        <v>0.86206757680906931</v>
      </c>
      <c r="BL999" s="17" t="str">
        <f>IF(Audit[[#This Row],[K-M P Value]]&gt;1-'General Info'!$B$12,"Continue", "Stop")</f>
        <v>Continue</v>
      </c>
      <c r="BM999" s="22" t="b">
        <f>IF(Audit[[#This Row],[Status - Continue or stop audit]] = "Continue", TRUE, IF(BL998 = "Continue", TRUE, FALSE))</f>
        <v>1</v>
      </c>
      <c r="BN999" s="22"/>
    </row>
    <row r="1000" spans="1:66" ht="15" hidden="1" customHeight="1" x14ac:dyDescent="0.35">
      <c r="A1000" s="17" t="str">
        <f>'Sampling Data'!AI1000</f>
        <v/>
      </c>
      <c r="B1000" s="17" t="str">
        <f>'Sampling Data'!A1000</f>
        <v>7309 GREEN I   (ED)</v>
      </c>
      <c r="C1000" s="17">
        <f>'Sampling Data'!B1000</f>
        <v>151</v>
      </c>
      <c r="D1000" s="17">
        <f>'Sampling Data'!C1000</f>
        <v>393</v>
      </c>
      <c r="E1000" s="18">
        <f>'Sampling Data'!D1000</f>
        <v>0</v>
      </c>
      <c r="F1000" s="18">
        <f>'Sampling Data'!E1000</f>
        <v>0</v>
      </c>
      <c r="G1000" s="18">
        <f>'Sampling Data'!F1000</f>
        <v>0</v>
      </c>
      <c r="H1000" s="18">
        <f>'Sampling Data'!G1000</f>
        <v>0</v>
      </c>
      <c r="I1000" s="18">
        <f>'Sampling Data'!H1000</f>
        <v>0</v>
      </c>
      <c r="J1000" s="18">
        <f>'Sampling Data'!I1000</f>
        <v>0</v>
      </c>
      <c r="K1000" s="18">
        <f>'Sampling Data'!J1000</f>
        <v>0</v>
      </c>
      <c r="L1000" s="18">
        <f>'Sampling Data'!K1000</f>
        <v>0</v>
      </c>
      <c r="M1000" s="18">
        <f>'Sampling Data'!L1000</f>
        <v>0</v>
      </c>
      <c r="N1000" s="18">
        <f>'Sampling Data'!M1000</f>
        <v>0</v>
      </c>
      <c r="O1000" s="17">
        <f>'Sampling Data'!N1000</f>
        <v>0</v>
      </c>
      <c r="P1000" s="17">
        <f>'Sampling Data'!O1000</f>
        <v>46</v>
      </c>
      <c r="Q1000" s="17">
        <f>'Sampling Data'!P1000</f>
        <v>590</v>
      </c>
      <c r="R1000" s="17">
        <f>'Sampling Data'!AJ1000</f>
        <v>0</v>
      </c>
      <c r="S1000" s="111"/>
      <c r="T1000" s="111"/>
      <c r="U1000" s="112"/>
      <c r="V1000" s="112"/>
      <c r="W1000" s="111"/>
      <c r="X1000" s="111"/>
      <c r="Y1000" s="111"/>
      <c r="Z1000" s="111"/>
      <c r="AA1000" s="14"/>
      <c r="AB1000" s="14"/>
      <c r="AC1000" s="14"/>
      <c r="AD1000" s="14"/>
      <c r="AE1000" s="113" t="str">
        <f>IF(NOT(ISBLANK(Audit[[#This Row],[Audit Winning Candidate]])), Audit[[#This Row],[Audit Winning Candidate]]-Audit[[#This Row],[Winning Candidate]], "")</f>
        <v/>
      </c>
      <c r="AF1000" s="17" t="str">
        <f>IF(NOT(ISBLANK(Audit[[#This Row],[Audit Losing Candidate]])), Audit[[#This Row],[Audit Losing Candidate]]-Audit[[#This Row],[Losing Candidate]], "")</f>
        <v/>
      </c>
      <c r="AG1000" s="17" t="str">
        <f>IF(NOT(ISBLANK(Audit[[#This Row],[Audit Candidate 3]])), Audit[[#This Row],[Audit Candidate 3]]-Audit[[#This Row],[Candidate 3]], "")</f>
        <v/>
      </c>
      <c r="AH1000" s="17" t="str">
        <f>IF(NOT(ISBLANK(Audit[[#This Row],[Audit Candidate 4]])),Audit[[#This Row],[Audit Candidate 4]]-Audit[[#This Row],[Candidate 4]], "")</f>
        <v/>
      </c>
      <c r="AI1000" s="17" t="str">
        <f>IF(NOT(ISBLANK(Audit[[#This Row],[Audit Candidate 5]])), Audit[[#This Row],[Audit Candidate 5]]-Audit[[#This Row],[Candidate 5]], "")</f>
        <v/>
      </c>
      <c r="AJ1000" s="17" t="str">
        <f>IF(NOT(ISBLANK(Audit[[#This Row],[Audit Candidate 6]])), Audit[[#This Row],[Audit Candidate 6]]-Audit[[#This Row],[Candidate 6]], "")</f>
        <v/>
      </c>
      <c r="AK1000" s="17" t="str">
        <f>IF(NOT(ISBLANK(Audit[[#This Row],[Audit Candidate 7]])), Audit[[#This Row],[Audit Candidate 7]]-Audit[[#This Row],[Candidate 7]], "")</f>
        <v/>
      </c>
      <c r="AL1000" s="17" t="str">
        <f>IF(NOT(ISBLANK(Audit[[#This Row],[Audit Candidate 8]])), Audit[[#This Row],[Audit Candidate 8]]-Audit[[#This Row],[Candidate 8]], "")</f>
        <v/>
      </c>
      <c r="AM1000" s="17" t="str">
        <f>IF(NOT(ISBLANK(Audit[[#This Row],[Audit Candidate 9]])), Audit[[#This Row],[Audit Candidate 9]]-Audit[[#This Row],[Candidate 9]], "")</f>
        <v/>
      </c>
      <c r="AN1000" s="17" t="str">
        <f>IF(NOT(ISBLANK(Audit[[#This Row],[Audit Candidate 10]])), Audit[[#This Row],[Audit Candidate 10]]-Audit[[#This Row],[Candidate 10]], "")</f>
        <v/>
      </c>
      <c r="AO1000" s="17" t="str">
        <f>IF(NOT(ISBLANK(Audit[[#This Row],[Audit Candidate 11]])), Audit[[#This Row],[Audit Candidate 11]]-Audit[[#This Row],[Candidate 11]], "")</f>
        <v/>
      </c>
      <c r="AP1000" s="17" t="str">
        <f>IF(NOT(ISBLANK(Audit[[#This Row],[Audit Candidate 12]])), Audit[[#This Row],[Audit Candidate 12]]-Audit[[#This Row],[Candidate 12]], "")</f>
        <v/>
      </c>
      <c r="AQ1000" s="17">
        <f>SUMIF(Audit[[#This Row],[Difference Winner]:[Difference Candidate 12]], "&gt;0")</f>
        <v>0</v>
      </c>
      <c r="AR1000" s="17">
        <f>SUM(Audit[[#This Row],[Difference Winner]:[Difference Candidate 12]])</f>
        <v>0</v>
      </c>
      <c r="AS1000" s="17">
        <f>IF(Audit[[#This Row],[Times p Drawn - With Replacement]]&gt;0, IF(Audit[[#This Row],[Canceled Differences]]&lt;0, Audit[[#This Row],[Max Differences]]+ABS(Audit[[#This Row],[Canceled Differences]]), Audit[[#This Row],[Max Differences]]), 0)</f>
        <v>0</v>
      </c>
      <c r="AT1000" s="17">
        <f>'Sampling Data'!AB1000</f>
        <v>1.4768290612799185E-2</v>
      </c>
      <c r="AU1000" s="17">
        <f>IF(
      SUM(Audit[[#This Row],[Audit Losing Candidate]:[Audit Candidate 12]])
      &lt;&gt;0,
      (Audit[[#This Row],[Winning Candidate]]-Audit[[#This Row],[Losing Candidate]]-(Audit[[#This Row],[Audit Winning Candidate]]-Audit[[#This Row],[Audit Losing Candidate]]))/(Audit[[#Totals],[Winning Candidate]]-Audit[[#Totals],[Losing Candidate]]),
      0
)</f>
        <v>0</v>
      </c>
      <c r="AV10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0" s="17">
        <f>IF(Audit[[#This Row],[Max Relative Error (ep)]] = 0, 0, Audit[[#This Row],[Max Relative Error (ep)]]/Audit[[#This Row],[Error Bound (up) - Max. possible relative overstatement]])</f>
        <v>0</v>
      </c>
      <c r="BH10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00" s="17">
        <f t="shared" si="16"/>
        <v>1</v>
      </c>
      <c r="BJ1000" s="17">
        <f>PRODUCT($BI$5:BI1000)</f>
        <v>0.13793242319093066</v>
      </c>
      <c r="BK1000" s="19">
        <f>1 - Audit[[#This Row],[K-M P Value]]</f>
        <v>0.86206757680906931</v>
      </c>
      <c r="BL1000" s="17" t="str">
        <f>IF(Audit[[#This Row],[K-M P Value]]&gt;1-'General Info'!$B$12,"Continue", "Stop")</f>
        <v>Continue</v>
      </c>
      <c r="BM1000" s="22" t="b">
        <f>IF(Audit[[#This Row],[Status - Continue or stop audit]] = "Continue", TRUE, IF(BL999 = "Continue", TRUE, FALSE))</f>
        <v>1</v>
      </c>
      <c r="BN1000" s="22"/>
    </row>
    <row r="1001" spans="1:66" ht="15" hidden="1" customHeight="1" x14ac:dyDescent="0.35">
      <c r="A1001" s="17" t="str">
        <f>'Sampling Data'!AI1001</f>
        <v/>
      </c>
      <c r="B1001" s="17" t="str">
        <f>'Sampling Data'!A1001</f>
        <v>7310 GREEN J   (ED)</v>
      </c>
      <c r="C1001" s="17">
        <f>'Sampling Data'!B1001</f>
        <v>105</v>
      </c>
      <c r="D1001" s="17">
        <f>'Sampling Data'!C1001</f>
        <v>314</v>
      </c>
      <c r="E1001" s="18">
        <f>'Sampling Data'!D1001</f>
        <v>0</v>
      </c>
      <c r="F1001" s="18">
        <f>'Sampling Data'!E1001</f>
        <v>0</v>
      </c>
      <c r="G1001" s="18">
        <f>'Sampling Data'!F1001</f>
        <v>0</v>
      </c>
      <c r="H1001" s="18">
        <f>'Sampling Data'!G1001</f>
        <v>0</v>
      </c>
      <c r="I1001" s="18">
        <f>'Sampling Data'!H1001</f>
        <v>0</v>
      </c>
      <c r="J1001" s="18">
        <f>'Sampling Data'!I1001</f>
        <v>0</v>
      </c>
      <c r="K1001" s="18">
        <f>'Sampling Data'!J1001</f>
        <v>0</v>
      </c>
      <c r="L1001" s="18">
        <f>'Sampling Data'!K1001</f>
        <v>0</v>
      </c>
      <c r="M1001" s="18">
        <f>'Sampling Data'!L1001</f>
        <v>0</v>
      </c>
      <c r="N1001" s="18">
        <f>'Sampling Data'!M1001</f>
        <v>0</v>
      </c>
      <c r="O1001" s="17">
        <f>'Sampling Data'!N1001</f>
        <v>0</v>
      </c>
      <c r="P1001" s="17">
        <f>'Sampling Data'!O1001</f>
        <v>24</v>
      </c>
      <c r="Q1001" s="17">
        <f>'Sampling Data'!P1001</f>
        <v>443</v>
      </c>
      <c r="R1001" s="17">
        <f>'Sampling Data'!AJ1001</f>
        <v>0</v>
      </c>
      <c r="S1001" s="111"/>
      <c r="T1001" s="111"/>
      <c r="U1001" s="112"/>
      <c r="V1001" s="112"/>
      <c r="W1001" s="111"/>
      <c r="X1001" s="111"/>
      <c r="Y1001" s="111"/>
      <c r="Z1001" s="111"/>
      <c r="AA1001" s="14"/>
      <c r="AB1001" s="14"/>
      <c r="AC1001" s="14"/>
      <c r="AD1001" s="14"/>
      <c r="AE1001" s="113" t="str">
        <f>IF(NOT(ISBLANK(Audit[[#This Row],[Audit Winning Candidate]])), Audit[[#This Row],[Audit Winning Candidate]]-Audit[[#This Row],[Winning Candidate]], "")</f>
        <v/>
      </c>
      <c r="AF1001" s="17" t="str">
        <f>IF(NOT(ISBLANK(Audit[[#This Row],[Audit Losing Candidate]])), Audit[[#This Row],[Audit Losing Candidate]]-Audit[[#This Row],[Losing Candidate]], "")</f>
        <v/>
      </c>
      <c r="AG1001" s="17" t="str">
        <f>IF(NOT(ISBLANK(Audit[[#This Row],[Audit Candidate 3]])), Audit[[#This Row],[Audit Candidate 3]]-Audit[[#This Row],[Candidate 3]], "")</f>
        <v/>
      </c>
      <c r="AH1001" s="17" t="str">
        <f>IF(NOT(ISBLANK(Audit[[#This Row],[Audit Candidate 4]])),Audit[[#This Row],[Audit Candidate 4]]-Audit[[#This Row],[Candidate 4]], "")</f>
        <v/>
      </c>
      <c r="AI1001" s="17" t="str">
        <f>IF(NOT(ISBLANK(Audit[[#This Row],[Audit Candidate 5]])), Audit[[#This Row],[Audit Candidate 5]]-Audit[[#This Row],[Candidate 5]], "")</f>
        <v/>
      </c>
      <c r="AJ1001" s="17" t="str">
        <f>IF(NOT(ISBLANK(Audit[[#This Row],[Audit Candidate 6]])), Audit[[#This Row],[Audit Candidate 6]]-Audit[[#This Row],[Candidate 6]], "")</f>
        <v/>
      </c>
      <c r="AK1001" s="17" t="str">
        <f>IF(NOT(ISBLANK(Audit[[#This Row],[Audit Candidate 7]])), Audit[[#This Row],[Audit Candidate 7]]-Audit[[#This Row],[Candidate 7]], "")</f>
        <v/>
      </c>
      <c r="AL1001" s="17" t="str">
        <f>IF(NOT(ISBLANK(Audit[[#This Row],[Audit Candidate 8]])), Audit[[#This Row],[Audit Candidate 8]]-Audit[[#This Row],[Candidate 8]], "")</f>
        <v/>
      </c>
      <c r="AM1001" s="17" t="str">
        <f>IF(NOT(ISBLANK(Audit[[#This Row],[Audit Candidate 9]])), Audit[[#This Row],[Audit Candidate 9]]-Audit[[#This Row],[Candidate 9]], "")</f>
        <v/>
      </c>
      <c r="AN1001" s="17" t="str">
        <f>IF(NOT(ISBLANK(Audit[[#This Row],[Audit Candidate 10]])), Audit[[#This Row],[Audit Candidate 10]]-Audit[[#This Row],[Candidate 10]], "")</f>
        <v/>
      </c>
      <c r="AO1001" s="17" t="str">
        <f>IF(NOT(ISBLANK(Audit[[#This Row],[Audit Candidate 11]])), Audit[[#This Row],[Audit Candidate 11]]-Audit[[#This Row],[Candidate 11]], "")</f>
        <v/>
      </c>
      <c r="AP1001" s="17" t="str">
        <f>IF(NOT(ISBLANK(Audit[[#This Row],[Audit Candidate 12]])), Audit[[#This Row],[Audit Candidate 12]]-Audit[[#This Row],[Candidate 12]], "")</f>
        <v/>
      </c>
      <c r="AQ1001" s="17">
        <f>SUMIF(Audit[[#This Row],[Difference Winner]:[Difference Candidate 12]], "&gt;0")</f>
        <v>0</v>
      </c>
      <c r="AR1001" s="17">
        <f>SUM(Audit[[#This Row],[Difference Winner]:[Difference Candidate 12]])</f>
        <v>0</v>
      </c>
      <c r="AS1001" s="17">
        <f>IF(Audit[[#This Row],[Times p Drawn - With Replacement]]&gt;0, IF(Audit[[#This Row],[Canceled Differences]]&lt;0, Audit[[#This Row],[Max Differences]]+ABS(Audit[[#This Row],[Canceled Differences]]), Audit[[#This Row],[Max Differences]]), 0)</f>
        <v>0</v>
      </c>
      <c r="AT1001" s="17">
        <f>'Sampling Data'!AB1001</f>
        <v>9.9304023086063484E-3</v>
      </c>
      <c r="AU1001" s="17">
        <f>IF(
      SUM(Audit[[#This Row],[Audit Losing Candidate]:[Audit Candidate 12]])
      &lt;&gt;0,
      (Audit[[#This Row],[Winning Candidate]]-Audit[[#This Row],[Losing Candidate]]-(Audit[[#This Row],[Audit Winning Candidate]]-Audit[[#This Row],[Audit Losing Candidate]]))/(Audit[[#Totals],[Winning Candidate]]-Audit[[#Totals],[Losing Candidate]]),
      0
)</f>
        <v>0</v>
      </c>
      <c r="AV10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1" s="17">
        <f>IF(Audit[[#This Row],[Max Relative Error (ep)]] = 0, 0, Audit[[#This Row],[Max Relative Error (ep)]]/Audit[[#This Row],[Error Bound (up) - Max. possible relative overstatement]])</f>
        <v>0</v>
      </c>
      <c r="BH10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01" s="17">
        <f t="shared" si="16"/>
        <v>1</v>
      </c>
      <c r="BJ1001" s="17">
        <f>PRODUCT($BI$5:BI1001)</f>
        <v>0.13793242319093066</v>
      </c>
      <c r="BK1001" s="19">
        <f>1 - Audit[[#This Row],[K-M P Value]]</f>
        <v>0.86206757680906931</v>
      </c>
      <c r="BL1001" s="17" t="str">
        <f>IF(Audit[[#This Row],[K-M P Value]]&gt;1-'General Info'!$B$12,"Continue", "Stop")</f>
        <v>Continue</v>
      </c>
      <c r="BM1001" s="22" t="b">
        <f>IF(Audit[[#This Row],[Status - Continue or stop audit]] = "Continue", TRUE, IF(BL1000 = "Continue", TRUE, FALSE))</f>
        <v>1</v>
      </c>
      <c r="BN1001" s="22"/>
    </row>
    <row r="1002" spans="1:66" ht="15" hidden="1" customHeight="1" x14ac:dyDescent="0.35">
      <c r="A1002" s="17" t="str">
        <f>'Sampling Data'!AI1002</f>
        <v/>
      </c>
      <c r="B1002" s="17" t="str">
        <f>'Sampling Data'!A1002</f>
        <v>7311 GREEN K   (ED)</v>
      </c>
      <c r="C1002" s="17">
        <f>'Sampling Data'!B1002</f>
        <v>115</v>
      </c>
      <c r="D1002" s="17">
        <f>'Sampling Data'!C1002</f>
        <v>428</v>
      </c>
      <c r="E1002" s="18">
        <f>'Sampling Data'!D1002</f>
        <v>0</v>
      </c>
      <c r="F1002" s="18">
        <f>'Sampling Data'!E1002</f>
        <v>0</v>
      </c>
      <c r="G1002" s="18">
        <f>'Sampling Data'!F1002</f>
        <v>0</v>
      </c>
      <c r="H1002" s="18">
        <f>'Sampling Data'!G1002</f>
        <v>0</v>
      </c>
      <c r="I1002" s="18">
        <f>'Sampling Data'!H1002</f>
        <v>0</v>
      </c>
      <c r="J1002" s="18">
        <f>'Sampling Data'!I1002</f>
        <v>0</v>
      </c>
      <c r="K1002" s="18">
        <f>'Sampling Data'!J1002</f>
        <v>0</v>
      </c>
      <c r="L1002" s="18">
        <f>'Sampling Data'!K1002</f>
        <v>0</v>
      </c>
      <c r="M1002" s="18">
        <f>'Sampling Data'!L1002</f>
        <v>0</v>
      </c>
      <c r="N1002" s="18">
        <f>'Sampling Data'!M1002</f>
        <v>0</v>
      </c>
      <c r="O1002" s="17">
        <f>'Sampling Data'!N1002</f>
        <v>1</v>
      </c>
      <c r="P1002" s="17">
        <f>'Sampling Data'!O1002</f>
        <v>45</v>
      </c>
      <c r="Q1002" s="17">
        <f>'Sampling Data'!P1002</f>
        <v>589</v>
      </c>
      <c r="R1002" s="17">
        <f>'Sampling Data'!AJ1002</f>
        <v>0</v>
      </c>
      <c r="S1002" s="111"/>
      <c r="T1002" s="111"/>
      <c r="U1002" s="112"/>
      <c r="V1002" s="112"/>
      <c r="W1002" s="111"/>
      <c r="X1002" s="111"/>
      <c r="Y1002" s="111"/>
      <c r="Z1002" s="111"/>
      <c r="AA1002" s="14"/>
      <c r="AB1002" s="14"/>
      <c r="AC1002" s="14"/>
      <c r="AD1002" s="14"/>
      <c r="AE1002" s="113" t="str">
        <f>IF(NOT(ISBLANK(Audit[[#This Row],[Audit Winning Candidate]])), Audit[[#This Row],[Audit Winning Candidate]]-Audit[[#This Row],[Winning Candidate]], "")</f>
        <v/>
      </c>
      <c r="AF1002" s="17" t="str">
        <f>IF(NOT(ISBLANK(Audit[[#This Row],[Audit Losing Candidate]])), Audit[[#This Row],[Audit Losing Candidate]]-Audit[[#This Row],[Losing Candidate]], "")</f>
        <v/>
      </c>
      <c r="AG1002" s="17" t="str">
        <f>IF(NOT(ISBLANK(Audit[[#This Row],[Audit Candidate 3]])), Audit[[#This Row],[Audit Candidate 3]]-Audit[[#This Row],[Candidate 3]], "")</f>
        <v/>
      </c>
      <c r="AH1002" s="17" t="str">
        <f>IF(NOT(ISBLANK(Audit[[#This Row],[Audit Candidate 4]])),Audit[[#This Row],[Audit Candidate 4]]-Audit[[#This Row],[Candidate 4]], "")</f>
        <v/>
      </c>
      <c r="AI1002" s="17" t="str">
        <f>IF(NOT(ISBLANK(Audit[[#This Row],[Audit Candidate 5]])), Audit[[#This Row],[Audit Candidate 5]]-Audit[[#This Row],[Candidate 5]], "")</f>
        <v/>
      </c>
      <c r="AJ1002" s="17" t="str">
        <f>IF(NOT(ISBLANK(Audit[[#This Row],[Audit Candidate 6]])), Audit[[#This Row],[Audit Candidate 6]]-Audit[[#This Row],[Candidate 6]], "")</f>
        <v/>
      </c>
      <c r="AK1002" s="17" t="str">
        <f>IF(NOT(ISBLANK(Audit[[#This Row],[Audit Candidate 7]])), Audit[[#This Row],[Audit Candidate 7]]-Audit[[#This Row],[Candidate 7]], "")</f>
        <v/>
      </c>
      <c r="AL1002" s="17" t="str">
        <f>IF(NOT(ISBLANK(Audit[[#This Row],[Audit Candidate 8]])), Audit[[#This Row],[Audit Candidate 8]]-Audit[[#This Row],[Candidate 8]], "")</f>
        <v/>
      </c>
      <c r="AM1002" s="17" t="str">
        <f>IF(NOT(ISBLANK(Audit[[#This Row],[Audit Candidate 9]])), Audit[[#This Row],[Audit Candidate 9]]-Audit[[#This Row],[Candidate 9]], "")</f>
        <v/>
      </c>
      <c r="AN1002" s="17" t="str">
        <f>IF(NOT(ISBLANK(Audit[[#This Row],[Audit Candidate 10]])), Audit[[#This Row],[Audit Candidate 10]]-Audit[[#This Row],[Candidate 10]], "")</f>
        <v/>
      </c>
      <c r="AO1002" s="17" t="str">
        <f>IF(NOT(ISBLANK(Audit[[#This Row],[Audit Candidate 11]])), Audit[[#This Row],[Audit Candidate 11]]-Audit[[#This Row],[Candidate 11]], "")</f>
        <v/>
      </c>
      <c r="AP1002" s="17" t="str">
        <f>IF(NOT(ISBLANK(Audit[[#This Row],[Audit Candidate 12]])), Audit[[#This Row],[Audit Candidate 12]]-Audit[[#This Row],[Candidate 12]], "")</f>
        <v/>
      </c>
      <c r="AQ1002" s="17">
        <f>SUMIF(Audit[[#This Row],[Difference Winner]:[Difference Candidate 12]], "&gt;0")</f>
        <v>0</v>
      </c>
      <c r="AR1002" s="17">
        <f>SUM(Audit[[#This Row],[Difference Winner]:[Difference Candidate 12]])</f>
        <v>0</v>
      </c>
      <c r="AS1002" s="17">
        <f>IF(Audit[[#This Row],[Times p Drawn - With Replacement]]&gt;0, IF(Audit[[#This Row],[Canceled Differences]]&lt;0, Audit[[#This Row],[Max Differences]]+ABS(Audit[[#This Row],[Canceled Differences]]), Audit[[#This Row],[Max Differences]]), 0)</f>
        <v>0</v>
      </c>
      <c r="AT1002" s="17">
        <f>'Sampling Data'!AB1002</f>
        <v>1.1712782210151079E-2</v>
      </c>
      <c r="AU1002" s="17">
        <f>IF(
      SUM(Audit[[#This Row],[Audit Losing Candidate]:[Audit Candidate 12]])
      &lt;&gt;0,
      (Audit[[#This Row],[Winning Candidate]]-Audit[[#This Row],[Losing Candidate]]-(Audit[[#This Row],[Audit Winning Candidate]]-Audit[[#This Row],[Audit Losing Candidate]]))/(Audit[[#Totals],[Winning Candidate]]-Audit[[#Totals],[Losing Candidate]]),
      0
)</f>
        <v>0</v>
      </c>
      <c r="AV10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2" s="17">
        <f>IF(Audit[[#This Row],[Max Relative Error (ep)]] = 0, 0, Audit[[#This Row],[Max Relative Error (ep)]]/Audit[[#This Row],[Error Bound (up) - Max. possible relative overstatement]])</f>
        <v>0</v>
      </c>
      <c r="BH10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02" s="17">
        <f t="shared" si="16"/>
        <v>1</v>
      </c>
      <c r="BJ1002" s="17">
        <f>PRODUCT($BI$5:BI1002)</f>
        <v>0.13793242319093066</v>
      </c>
      <c r="BK1002" s="19">
        <f>1 - Audit[[#This Row],[K-M P Value]]</f>
        <v>0.86206757680906931</v>
      </c>
      <c r="BL1002" s="17" t="str">
        <f>IF(Audit[[#This Row],[K-M P Value]]&gt;1-'General Info'!$B$12,"Continue", "Stop")</f>
        <v>Continue</v>
      </c>
      <c r="BM1002" s="22" t="b">
        <f>IF(Audit[[#This Row],[Status - Continue or stop audit]] = "Continue", TRUE, IF(BL1001 = "Continue", TRUE, FALSE))</f>
        <v>1</v>
      </c>
      <c r="BN1002" s="22"/>
    </row>
    <row r="1003" spans="1:66" ht="15" hidden="1" customHeight="1" x14ac:dyDescent="0.35">
      <c r="A1003" s="17" t="str">
        <f>'Sampling Data'!AI1003</f>
        <v/>
      </c>
      <c r="B1003" s="17" t="str">
        <f>'Sampling Data'!A1003</f>
        <v>7312 GREEN L   (ED)</v>
      </c>
      <c r="C1003" s="17">
        <f>'Sampling Data'!B1003</f>
        <v>160</v>
      </c>
      <c r="D1003" s="17">
        <f>'Sampling Data'!C1003</f>
        <v>451</v>
      </c>
      <c r="E1003" s="18">
        <f>'Sampling Data'!D1003</f>
        <v>0</v>
      </c>
      <c r="F1003" s="18">
        <f>'Sampling Data'!E1003</f>
        <v>0</v>
      </c>
      <c r="G1003" s="18">
        <f>'Sampling Data'!F1003</f>
        <v>0</v>
      </c>
      <c r="H1003" s="18">
        <f>'Sampling Data'!G1003</f>
        <v>0</v>
      </c>
      <c r="I1003" s="18">
        <f>'Sampling Data'!H1003</f>
        <v>0</v>
      </c>
      <c r="J1003" s="18">
        <f>'Sampling Data'!I1003</f>
        <v>0</v>
      </c>
      <c r="K1003" s="18">
        <f>'Sampling Data'!J1003</f>
        <v>0</v>
      </c>
      <c r="L1003" s="18">
        <f>'Sampling Data'!K1003</f>
        <v>0</v>
      </c>
      <c r="M1003" s="18">
        <f>'Sampling Data'!L1003</f>
        <v>0</v>
      </c>
      <c r="N1003" s="18">
        <f>'Sampling Data'!M1003</f>
        <v>0</v>
      </c>
      <c r="O1003" s="17">
        <f>'Sampling Data'!N1003</f>
        <v>0</v>
      </c>
      <c r="P1003" s="17">
        <f>'Sampling Data'!O1003</f>
        <v>51</v>
      </c>
      <c r="Q1003" s="17">
        <f>'Sampling Data'!P1003</f>
        <v>662</v>
      </c>
      <c r="R1003" s="17">
        <f>'Sampling Data'!AJ1003</f>
        <v>0</v>
      </c>
      <c r="S1003" s="111"/>
      <c r="T1003" s="111"/>
      <c r="U1003" s="112"/>
      <c r="V1003" s="112"/>
      <c r="W1003" s="111"/>
      <c r="X1003" s="111"/>
      <c r="Y1003" s="111"/>
      <c r="Z1003" s="111"/>
      <c r="AA1003" s="14"/>
      <c r="AB1003" s="14"/>
      <c r="AC1003" s="14"/>
      <c r="AD1003" s="14"/>
      <c r="AE1003" s="113" t="str">
        <f>IF(NOT(ISBLANK(Audit[[#This Row],[Audit Winning Candidate]])), Audit[[#This Row],[Audit Winning Candidate]]-Audit[[#This Row],[Winning Candidate]], "")</f>
        <v/>
      </c>
      <c r="AF1003" s="17" t="str">
        <f>IF(NOT(ISBLANK(Audit[[#This Row],[Audit Losing Candidate]])), Audit[[#This Row],[Audit Losing Candidate]]-Audit[[#This Row],[Losing Candidate]], "")</f>
        <v/>
      </c>
      <c r="AG1003" s="17" t="str">
        <f>IF(NOT(ISBLANK(Audit[[#This Row],[Audit Candidate 3]])), Audit[[#This Row],[Audit Candidate 3]]-Audit[[#This Row],[Candidate 3]], "")</f>
        <v/>
      </c>
      <c r="AH1003" s="17" t="str">
        <f>IF(NOT(ISBLANK(Audit[[#This Row],[Audit Candidate 4]])),Audit[[#This Row],[Audit Candidate 4]]-Audit[[#This Row],[Candidate 4]], "")</f>
        <v/>
      </c>
      <c r="AI1003" s="17" t="str">
        <f>IF(NOT(ISBLANK(Audit[[#This Row],[Audit Candidate 5]])), Audit[[#This Row],[Audit Candidate 5]]-Audit[[#This Row],[Candidate 5]], "")</f>
        <v/>
      </c>
      <c r="AJ1003" s="17" t="str">
        <f>IF(NOT(ISBLANK(Audit[[#This Row],[Audit Candidate 6]])), Audit[[#This Row],[Audit Candidate 6]]-Audit[[#This Row],[Candidate 6]], "")</f>
        <v/>
      </c>
      <c r="AK1003" s="17" t="str">
        <f>IF(NOT(ISBLANK(Audit[[#This Row],[Audit Candidate 7]])), Audit[[#This Row],[Audit Candidate 7]]-Audit[[#This Row],[Candidate 7]], "")</f>
        <v/>
      </c>
      <c r="AL1003" s="17" t="str">
        <f>IF(NOT(ISBLANK(Audit[[#This Row],[Audit Candidate 8]])), Audit[[#This Row],[Audit Candidate 8]]-Audit[[#This Row],[Candidate 8]], "")</f>
        <v/>
      </c>
      <c r="AM1003" s="17" t="str">
        <f>IF(NOT(ISBLANK(Audit[[#This Row],[Audit Candidate 9]])), Audit[[#This Row],[Audit Candidate 9]]-Audit[[#This Row],[Candidate 9]], "")</f>
        <v/>
      </c>
      <c r="AN1003" s="17" t="str">
        <f>IF(NOT(ISBLANK(Audit[[#This Row],[Audit Candidate 10]])), Audit[[#This Row],[Audit Candidate 10]]-Audit[[#This Row],[Candidate 10]], "")</f>
        <v/>
      </c>
      <c r="AO1003" s="17" t="str">
        <f>IF(NOT(ISBLANK(Audit[[#This Row],[Audit Candidate 11]])), Audit[[#This Row],[Audit Candidate 11]]-Audit[[#This Row],[Candidate 11]], "")</f>
        <v/>
      </c>
      <c r="AP1003" s="17" t="str">
        <f>IF(NOT(ISBLANK(Audit[[#This Row],[Audit Candidate 12]])), Audit[[#This Row],[Audit Candidate 12]]-Audit[[#This Row],[Candidate 12]], "")</f>
        <v/>
      </c>
      <c r="AQ1003" s="17">
        <f>SUMIF(Audit[[#This Row],[Difference Winner]:[Difference Candidate 12]], "&gt;0")</f>
        <v>0</v>
      </c>
      <c r="AR1003" s="17">
        <f>SUM(Audit[[#This Row],[Difference Winner]:[Difference Candidate 12]])</f>
        <v>0</v>
      </c>
      <c r="AS1003" s="17">
        <f>IF(Audit[[#This Row],[Times p Drawn - With Replacement]]&gt;0, IF(Audit[[#This Row],[Canceled Differences]]&lt;0, Audit[[#This Row],[Max Differences]]+ABS(Audit[[#This Row],[Canceled Differences]]), Audit[[#This Row],[Max Differences]]), 0)</f>
        <v>0</v>
      </c>
      <c r="AT1003" s="17">
        <f>'Sampling Data'!AB1003</f>
        <v>1.5744355796978443E-2</v>
      </c>
      <c r="AU1003" s="17">
        <f>IF(
      SUM(Audit[[#This Row],[Audit Losing Candidate]:[Audit Candidate 12]])
      &lt;&gt;0,
      (Audit[[#This Row],[Winning Candidate]]-Audit[[#This Row],[Losing Candidate]]-(Audit[[#This Row],[Audit Winning Candidate]]-Audit[[#This Row],[Audit Losing Candidate]]))/(Audit[[#Totals],[Winning Candidate]]-Audit[[#Totals],[Losing Candidate]]),
      0
)</f>
        <v>0</v>
      </c>
      <c r="AV10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3" s="17">
        <f>IF(Audit[[#This Row],[Max Relative Error (ep)]] = 0, 0, Audit[[#This Row],[Max Relative Error (ep)]]/Audit[[#This Row],[Error Bound (up) - Max. possible relative overstatement]])</f>
        <v>0</v>
      </c>
      <c r="BH10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03" s="17">
        <f t="shared" si="16"/>
        <v>1</v>
      </c>
      <c r="BJ1003" s="17">
        <f>PRODUCT($BI$5:BI1003)</f>
        <v>0.13793242319093066</v>
      </c>
      <c r="BK1003" s="19">
        <f>1 - Audit[[#This Row],[K-M P Value]]</f>
        <v>0.86206757680906931</v>
      </c>
      <c r="BL1003" s="17" t="str">
        <f>IF(Audit[[#This Row],[K-M P Value]]&gt;1-'General Info'!$B$12,"Continue", "Stop")</f>
        <v>Continue</v>
      </c>
      <c r="BM1003" s="22" t="b">
        <f>IF(Audit[[#This Row],[Status - Continue or stop audit]] = "Continue", TRUE, IF(BL1002 = "Continue", TRUE, FALSE))</f>
        <v>1</v>
      </c>
      <c r="BN1003" s="22"/>
    </row>
    <row r="1004" spans="1:66" ht="15" hidden="1" customHeight="1" x14ac:dyDescent="0.35">
      <c r="A1004" s="17" t="str">
        <f>'Sampling Data'!AI1004</f>
        <v/>
      </c>
      <c r="B1004" s="17" t="str">
        <f>'Sampling Data'!A1004</f>
        <v>7313 GREEN M   (ED)</v>
      </c>
      <c r="C1004" s="17">
        <f>'Sampling Data'!B1004</f>
        <v>60</v>
      </c>
      <c r="D1004" s="17">
        <f>'Sampling Data'!C1004</f>
        <v>302</v>
      </c>
      <c r="E1004" s="18">
        <f>'Sampling Data'!D1004</f>
        <v>0</v>
      </c>
      <c r="F1004" s="18">
        <f>'Sampling Data'!E1004</f>
        <v>0</v>
      </c>
      <c r="G1004" s="18">
        <f>'Sampling Data'!F1004</f>
        <v>0</v>
      </c>
      <c r="H1004" s="18">
        <f>'Sampling Data'!G1004</f>
        <v>0</v>
      </c>
      <c r="I1004" s="18">
        <f>'Sampling Data'!H1004</f>
        <v>0</v>
      </c>
      <c r="J1004" s="18">
        <f>'Sampling Data'!I1004</f>
        <v>0</v>
      </c>
      <c r="K1004" s="18">
        <f>'Sampling Data'!J1004</f>
        <v>0</v>
      </c>
      <c r="L1004" s="18">
        <f>'Sampling Data'!K1004</f>
        <v>0</v>
      </c>
      <c r="M1004" s="18">
        <f>'Sampling Data'!L1004</f>
        <v>0</v>
      </c>
      <c r="N1004" s="18">
        <f>'Sampling Data'!M1004</f>
        <v>0</v>
      </c>
      <c r="O1004" s="17">
        <f>'Sampling Data'!N1004</f>
        <v>1</v>
      </c>
      <c r="P1004" s="17">
        <f>'Sampling Data'!O1004</f>
        <v>31</v>
      </c>
      <c r="Q1004" s="17">
        <f>'Sampling Data'!P1004</f>
        <v>394</v>
      </c>
      <c r="R1004" s="17">
        <f>'Sampling Data'!AJ1004</f>
        <v>0</v>
      </c>
      <c r="S1004" s="111"/>
      <c r="T1004" s="111"/>
      <c r="U1004" s="112"/>
      <c r="V1004" s="112"/>
      <c r="W1004" s="111"/>
      <c r="X1004" s="111"/>
      <c r="Y1004" s="111"/>
      <c r="Z1004" s="111"/>
      <c r="AA1004" s="14"/>
      <c r="AB1004" s="14"/>
      <c r="AC1004" s="14"/>
      <c r="AD1004" s="14"/>
      <c r="AE1004" s="113" t="str">
        <f>IF(NOT(ISBLANK(Audit[[#This Row],[Audit Winning Candidate]])), Audit[[#This Row],[Audit Winning Candidate]]-Audit[[#This Row],[Winning Candidate]], "")</f>
        <v/>
      </c>
      <c r="AF1004" s="17" t="str">
        <f>IF(NOT(ISBLANK(Audit[[#This Row],[Audit Losing Candidate]])), Audit[[#This Row],[Audit Losing Candidate]]-Audit[[#This Row],[Losing Candidate]], "")</f>
        <v/>
      </c>
      <c r="AG1004" s="17" t="str">
        <f>IF(NOT(ISBLANK(Audit[[#This Row],[Audit Candidate 3]])), Audit[[#This Row],[Audit Candidate 3]]-Audit[[#This Row],[Candidate 3]], "")</f>
        <v/>
      </c>
      <c r="AH1004" s="17" t="str">
        <f>IF(NOT(ISBLANK(Audit[[#This Row],[Audit Candidate 4]])),Audit[[#This Row],[Audit Candidate 4]]-Audit[[#This Row],[Candidate 4]], "")</f>
        <v/>
      </c>
      <c r="AI1004" s="17" t="str">
        <f>IF(NOT(ISBLANK(Audit[[#This Row],[Audit Candidate 5]])), Audit[[#This Row],[Audit Candidate 5]]-Audit[[#This Row],[Candidate 5]], "")</f>
        <v/>
      </c>
      <c r="AJ1004" s="17" t="str">
        <f>IF(NOT(ISBLANK(Audit[[#This Row],[Audit Candidate 6]])), Audit[[#This Row],[Audit Candidate 6]]-Audit[[#This Row],[Candidate 6]], "")</f>
        <v/>
      </c>
      <c r="AK1004" s="17" t="str">
        <f>IF(NOT(ISBLANK(Audit[[#This Row],[Audit Candidate 7]])), Audit[[#This Row],[Audit Candidate 7]]-Audit[[#This Row],[Candidate 7]], "")</f>
        <v/>
      </c>
      <c r="AL1004" s="17" t="str">
        <f>IF(NOT(ISBLANK(Audit[[#This Row],[Audit Candidate 8]])), Audit[[#This Row],[Audit Candidate 8]]-Audit[[#This Row],[Candidate 8]], "")</f>
        <v/>
      </c>
      <c r="AM1004" s="17" t="str">
        <f>IF(NOT(ISBLANK(Audit[[#This Row],[Audit Candidate 9]])), Audit[[#This Row],[Audit Candidate 9]]-Audit[[#This Row],[Candidate 9]], "")</f>
        <v/>
      </c>
      <c r="AN1004" s="17" t="str">
        <f>IF(NOT(ISBLANK(Audit[[#This Row],[Audit Candidate 10]])), Audit[[#This Row],[Audit Candidate 10]]-Audit[[#This Row],[Candidate 10]], "")</f>
        <v/>
      </c>
      <c r="AO1004" s="17" t="str">
        <f>IF(NOT(ISBLANK(Audit[[#This Row],[Audit Candidate 11]])), Audit[[#This Row],[Audit Candidate 11]]-Audit[[#This Row],[Candidate 11]], "")</f>
        <v/>
      </c>
      <c r="AP1004" s="17" t="str">
        <f>IF(NOT(ISBLANK(Audit[[#This Row],[Audit Candidate 12]])), Audit[[#This Row],[Audit Candidate 12]]-Audit[[#This Row],[Candidate 12]], "")</f>
        <v/>
      </c>
      <c r="AQ1004" s="17">
        <f>SUMIF(Audit[[#This Row],[Difference Winner]:[Difference Candidate 12]], "&gt;0")</f>
        <v>0</v>
      </c>
      <c r="AR1004" s="17">
        <f>SUM(Audit[[#This Row],[Difference Winner]:[Difference Candidate 12]])</f>
        <v>0</v>
      </c>
      <c r="AS1004" s="17">
        <f>IF(Audit[[#This Row],[Times p Drawn - With Replacement]]&gt;0, IF(Audit[[#This Row],[Canceled Differences]]&lt;0, Audit[[#This Row],[Max Differences]]+ABS(Audit[[#This Row],[Canceled Differences]]), Audit[[#This Row],[Max Differences]]), 0)</f>
        <v>0</v>
      </c>
      <c r="AT1004" s="17">
        <f>'Sampling Data'!AB1004</f>
        <v>6.4505177389237818E-3</v>
      </c>
      <c r="AU1004" s="17">
        <f>IF(
      SUM(Audit[[#This Row],[Audit Losing Candidate]:[Audit Candidate 12]])
      &lt;&gt;0,
      (Audit[[#This Row],[Winning Candidate]]-Audit[[#This Row],[Losing Candidate]]-(Audit[[#This Row],[Audit Winning Candidate]]-Audit[[#This Row],[Audit Losing Candidate]]))/(Audit[[#Totals],[Winning Candidate]]-Audit[[#Totals],[Losing Candidate]]),
      0
)</f>
        <v>0</v>
      </c>
      <c r="AV10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4" s="17">
        <f>IF(Audit[[#This Row],[Max Relative Error (ep)]] = 0, 0, Audit[[#This Row],[Max Relative Error (ep)]]/Audit[[#This Row],[Error Bound (up) - Max. possible relative overstatement]])</f>
        <v>0</v>
      </c>
      <c r="BH10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04" s="17">
        <f t="shared" si="16"/>
        <v>1</v>
      </c>
      <c r="BJ1004" s="17">
        <f>PRODUCT($BI$5:BI1004)</f>
        <v>0.13793242319093066</v>
      </c>
      <c r="BK1004" s="19">
        <f>1 - Audit[[#This Row],[K-M P Value]]</f>
        <v>0.86206757680906931</v>
      </c>
      <c r="BL1004" s="17" t="str">
        <f>IF(Audit[[#This Row],[K-M P Value]]&gt;1-'General Info'!$B$12,"Continue", "Stop")</f>
        <v>Continue</v>
      </c>
      <c r="BM1004" s="22" t="b">
        <f>IF(Audit[[#This Row],[Status - Continue or stop audit]] = "Continue", TRUE, IF(BL1003 = "Continue", TRUE, FALSE))</f>
        <v>1</v>
      </c>
      <c r="BN1004" s="22"/>
    </row>
    <row r="1005" spans="1:66" ht="15" hidden="1" customHeight="1" x14ac:dyDescent="0.35">
      <c r="A1005" s="17" t="str">
        <f>'Sampling Data'!AI1005</f>
        <v/>
      </c>
      <c r="B1005" s="17" t="str">
        <f>'Sampling Data'!A1005</f>
        <v>7314 GREEN N   (ED)</v>
      </c>
      <c r="C1005" s="17">
        <f>'Sampling Data'!B1005</f>
        <v>175</v>
      </c>
      <c r="D1005" s="17">
        <f>'Sampling Data'!C1005</f>
        <v>506</v>
      </c>
      <c r="E1005" s="18">
        <f>'Sampling Data'!D1005</f>
        <v>0</v>
      </c>
      <c r="F1005" s="18">
        <f>'Sampling Data'!E1005</f>
        <v>0</v>
      </c>
      <c r="G1005" s="18">
        <f>'Sampling Data'!F1005</f>
        <v>0</v>
      </c>
      <c r="H1005" s="18">
        <f>'Sampling Data'!G1005</f>
        <v>0</v>
      </c>
      <c r="I1005" s="18">
        <f>'Sampling Data'!H1005</f>
        <v>0</v>
      </c>
      <c r="J1005" s="18">
        <f>'Sampling Data'!I1005</f>
        <v>0</v>
      </c>
      <c r="K1005" s="18">
        <f>'Sampling Data'!J1005</f>
        <v>0</v>
      </c>
      <c r="L1005" s="18">
        <f>'Sampling Data'!K1005</f>
        <v>0</v>
      </c>
      <c r="M1005" s="18">
        <f>'Sampling Data'!L1005</f>
        <v>0</v>
      </c>
      <c r="N1005" s="18">
        <f>'Sampling Data'!M1005</f>
        <v>0</v>
      </c>
      <c r="O1005" s="17">
        <f>'Sampling Data'!N1005</f>
        <v>0</v>
      </c>
      <c r="P1005" s="17">
        <f>'Sampling Data'!O1005</f>
        <v>64</v>
      </c>
      <c r="Q1005" s="17">
        <f>'Sampling Data'!P1005</f>
        <v>745</v>
      </c>
      <c r="R1005" s="17">
        <f>'Sampling Data'!AJ1005</f>
        <v>0</v>
      </c>
      <c r="S1005" s="111"/>
      <c r="T1005" s="111"/>
      <c r="U1005" s="112"/>
      <c r="V1005" s="112"/>
      <c r="W1005" s="111"/>
      <c r="X1005" s="111"/>
      <c r="Y1005" s="111"/>
      <c r="Z1005" s="111"/>
      <c r="AA1005" s="14"/>
      <c r="AB1005" s="14"/>
      <c r="AC1005" s="14"/>
      <c r="AD1005" s="14"/>
      <c r="AE1005" s="113" t="str">
        <f>IF(NOT(ISBLANK(Audit[[#This Row],[Audit Winning Candidate]])), Audit[[#This Row],[Audit Winning Candidate]]-Audit[[#This Row],[Winning Candidate]], "")</f>
        <v/>
      </c>
      <c r="AF1005" s="17" t="str">
        <f>IF(NOT(ISBLANK(Audit[[#This Row],[Audit Losing Candidate]])), Audit[[#This Row],[Audit Losing Candidate]]-Audit[[#This Row],[Losing Candidate]], "")</f>
        <v/>
      </c>
      <c r="AG1005" s="17" t="str">
        <f>IF(NOT(ISBLANK(Audit[[#This Row],[Audit Candidate 3]])), Audit[[#This Row],[Audit Candidate 3]]-Audit[[#This Row],[Candidate 3]], "")</f>
        <v/>
      </c>
      <c r="AH1005" s="17" t="str">
        <f>IF(NOT(ISBLANK(Audit[[#This Row],[Audit Candidate 4]])),Audit[[#This Row],[Audit Candidate 4]]-Audit[[#This Row],[Candidate 4]], "")</f>
        <v/>
      </c>
      <c r="AI1005" s="17" t="str">
        <f>IF(NOT(ISBLANK(Audit[[#This Row],[Audit Candidate 5]])), Audit[[#This Row],[Audit Candidate 5]]-Audit[[#This Row],[Candidate 5]], "")</f>
        <v/>
      </c>
      <c r="AJ1005" s="17" t="str">
        <f>IF(NOT(ISBLANK(Audit[[#This Row],[Audit Candidate 6]])), Audit[[#This Row],[Audit Candidate 6]]-Audit[[#This Row],[Candidate 6]], "")</f>
        <v/>
      </c>
      <c r="AK1005" s="17" t="str">
        <f>IF(NOT(ISBLANK(Audit[[#This Row],[Audit Candidate 7]])), Audit[[#This Row],[Audit Candidate 7]]-Audit[[#This Row],[Candidate 7]], "")</f>
        <v/>
      </c>
      <c r="AL1005" s="17" t="str">
        <f>IF(NOT(ISBLANK(Audit[[#This Row],[Audit Candidate 8]])), Audit[[#This Row],[Audit Candidate 8]]-Audit[[#This Row],[Candidate 8]], "")</f>
        <v/>
      </c>
      <c r="AM1005" s="17" t="str">
        <f>IF(NOT(ISBLANK(Audit[[#This Row],[Audit Candidate 9]])), Audit[[#This Row],[Audit Candidate 9]]-Audit[[#This Row],[Candidate 9]], "")</f>
        <v/>
      </c>
      <c r="AN1005" s="17" t="str">
        <f>IF(NOT(ISBLANK(Audit[[#This Row],[Audit Candidate 10]])), Audit[[#This Row],[Audit Candidate 10]]-Audit[[#This Row],[Candidate 10]], "")</f>
        <v/>
      </c>
      <c r="AO1005" s="17" t="str">
        <f>IF(NOT(ISBLANK(Audit[[#This Row],[Audit Candidate 11]])), Audit[[#This Row],[Audit Candidate 11]]-Audit[[#This Row],[Candidate 11]], "")</f>
        <v/>
      </c>
      <c r="AP1005" s="17" t="str">
        <f>IF(NOT(ISBLANK(Audit[[#This Row],[Audit Candidate 12]])), Audit[[#This Row],[Audit Candidate 12]]-Audit[[#This Row],[Candidate 12]], "")</f>
        <v/>
      </c>
      <c r="AQ1005" s="17">
        <f>SUMIF(Audit[[#This Row],[Difference Winner]:[Difference Candidate 12]], "&gt;0")</f>
        <v>0</v>
      </c>
      <c r="AR1005" s="17">
        <f>SUM(Audit[[#This Row],[Difference Winner]:[Difference Candidate 12]])</f>
        <v>0</v>
      </c>
      <c r="AS1005" s="17">
        <f>IF(Audit[[#This Row],[Times p Drawn - With Replacement]]&gt;0, IF(Audit[[#This Row],[Canceled Differences]]&lt;0, Audit[[#This Row],[Max Differences]]+ABS(Audit[[#This Row],[Canceled Differences]]), Audit[[#This Row],[Max Differences]]), 0)</f>
        <v>0</v>
      </c>
      <c r="AT1005" s="17">
        <f>'Sampling Data'!AB1005</f>
        <v>1.7569173315226616E-2</v>
      </c>
      <c r="AU1005" s="17">
        <f>IF(
      SUM(Audit[[#This Row],[Audit Losing Candidate]:[Audit Candidate 12]])
      &lt;&gt;0,
      (Audit[[#This Row],[Winning Candidate]]-Audit[[#This Row],[Losing Candidate]]-(Audit[[#This Row],[Audit Winning Candidate]]-Audit[[#This Row],[Audit Losing Candidate]]))/(Audit[[#Totals],[Winning Candidate]]-Audit[[#Totals],[Losing Candidate]]),
      0
)</f>
        <v>0</v>
      </c>
      <c r="AV10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5" s="17">
        <f>IF(Audit[[#This Row],[Max Relative Error (ep)]] = 0, 0, Audit[[#This Row],[Max Relative Error (ep)]]/Audit[[#This Row],[Error Bound (up) - Max. possible relative overstatement]])</f>
        <v>0</v>
      </c>
      <c r="BH10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05" s="17">
        <f t="shared" si="16"/>
        <v>1</v>
      </c>
      <c r="BJ1005" s="17">
        <f>PRODUCT($BI$5:BI1005)</f>
        <v>0.13793242319093066</v>
      </c>
      <c r="BK1005" s="19">
        <f>1 - Audit[[#This Row],[K-M P Value]]</f>
        <v>0.86206757680906931</v>
      </c>
      <c r="BL1005" s="17" t="str">
        <f>IF(Audit[[#This Row],[K-M P Value]]&gt;1-'General Info'!$B$12,"Continue", "Stop")</f>
        <v>Continue</v>
      </c>
      <c r="BM1005" s="22" t="b">
        <f>IF(Audit[[#This Row],[Status - Continue or stop audit]] = "Continue", TRUE, IF(BL1004 = "Continue", TRUE, FALSE))</f>
        <v>1</v>
      </c>
      <c r="BN1005" s="22"/>
    </row>
    <row r="1006" spans="1:66" ht="15" hidden="1" customHeight="1" x14ac:dyDescent="0.35">
      <c r="A1006" s="17" t="str">
        <f>'Sampling Data'!AI1006</f>
        <v/>
      </c>
      <c r="B1006" s="17" t="str">
        <f>'Sampling Data'!A1006</f>
        <v>7315 GREEN O   (ED)</v>
      </c>
      <c r="C1006" s="17">
        <f>'Sampling Data'!B1006</f>
        <v>229</v>
      </c>
      <c r="D1006" s="17">
        <f>'Sampling Data'!C1006</f>
        <v>369</v>
      </c>
      <c r="E1006" s="18">
        <f>'Sampling Data'!D1006</f>
        <v>0</v>
      </c>
      <c r="F1006" s="18">
        <f>'Sampling Data'!E1006</f>
        <v>0</v>
      </c>
      <c r="G1006" s="18">
        <f>'Sampling Data'!F1006</f>
        <v>0</v>
      </c>
      <c r="H1006" s="18">
        <f>'Sampling Data'!G1006</f>
        <v>0</v>
      </c>
      <c r="I1006" s="18">
        <f>'Sampling Data'!H1006</f>
        <v>0</v>
      </c>
      <c r="J1006" s="18">
        <f>'Sampling Data'!I1006</f>
        <v>0</v>
      </c>
      <c r="K1006" s="18">
        <f>'Sampling Data'!J1006</f>
        <v>0</v>
      </c>
      <c r="L1006" s="18">
        <f>'Sampling Data'!K1006</f>
        <v>0</v>
      </c>
      <c r="M1006" s="18">
        <f>'Sampling Data'!L1006</f>
        <v>0</v>
      </c>
      <c r="N1006" s="18">
        <f>'Sampling Data'!M1006</f>
        <v>0</v>
      </c>
      <c r="O1006" s="17">
        <f>'Sampling Data'!N1006</f>
        <v>0</v>
      </c>
      <c r="P1006" s="17">
        <f>'Sampling Data'!O1006</f>
        <v>62</v>
      </c>
      <c r="Q1006" s="17">
        <f>'Sampling Data'!P1006</f>
        <v>660</v>
      </c>
      <c r="R1006" s="17">
        <f>'Sampling Data'!AJ1006</f>
        <v>0</v>
      </c>
      <c r="S1006" s="111"/>
      <c r="T1006" s="111"/>
      <c r="U1006" s="112"/>
      <c r="V1006" s="112"/>
      <c r="W1006" s="111"/>
      <c r="X1006" s="111"/>
      <c r="Y1006" s="111"/>
      <c r="Z1006" s="111"/>
      <c r="AA1006" s="14"/>
      <c r="AB1006" s="14"/>
      <c r="AC1006" s="14"/>
      <c r="AD1006" s="14"/>
      <c r="AE1006" s="113" t="str">
        <f>IF(NOT(ISBLANK(Audit[[#This Row],[Audit Winning Candidate]])), Audit[[#This Row],[Audit Winning Candidate]]-Audit[[#This Row],[Winning Candidate]], "")</f>
        <v/>
      </c>
      <c r="AF1006" s="17" t="str">
        <f>IF(NOT(ISBLANK(Audit[[#This Row],[Audit Losing Candidate]])), Audit[[#This Row],[Audit Losing Candidate]]-Audit[[#This Row],[Losing Candidate]], "")</f>
        <v/>
      </c>
      <c r="AG1006" s="17" t="str">
        <f>IF(NOT(ISBLANK(Audit[[#This Row],[Audit Candidate 3]])), Audit[[#This Row],[Audit Candidate 3]]-Audit[[#This Row],[Candidate 3]], "")</f>
        <v/>
      </c>
      <c r="AH1006" s="17" t="str">
        <f>IF(NOT(ISBLANK(Audit[[#This Row],[Audit Candidate 4]])),Audit[[#This Row],[Audit Candidate 4]]-Audit[[#This Row],[Candidate 4]], "")</f>
        <v/>
      </c>
      <c r="AI1006" s="17" t="str">
        <f>IF(NOT(ISBLANK(Audit[[#This Row],[Audit Candidate 5]])), Audit[[#This Row],[Audit Candidate 5]]-Audit[[#This Row],[Candidate 5]], "")</f>
        <v/>
      </c>
      <c r="AJ1006" s="17" t="str">
        <f>IF(NOT(ISBLANK(Audit[[#This Row],[Audit Candidate 6]])), Audit[[#This Row],[Audit Candidate 6]]-Audit[[#This Row],[Candidate 6]], "")</f>
        <v/>
      </c>
      <c r="AK1006" s="17" t="str">
        <f>IF(NOT(ISBLANK(Audit[[#This Row],[Audit Candidate 7]])), Audit[[#This Row],[Audit Candidate 7]]-Audit[[#This Row],[Candidate 7]], "")</f>
        <v/>
      </c>
      <c r="AL1006" s="17" t="str">
        <f>IF(NOT(ISBLANK(Audit[[#This Row],[Audit Candidate 8]])), Audit[[#This Row],[Audit Candidate 8]]-Audit[[#This Row],[Candidate 8]], "")</f>
        <v/>
      </c>
      <c r="AM1006" s="17" t="str">
        <f>IF(NOT(ISBLANK(Audit[[#This Row],[Audit Candidate 9]])), Audit[[#This Row],[Audit Candidate 9]]-Audit[[#This Row],[Candidate 9]], "")</f>
        <v/>
      </c>
      <c r="AN1006" s="17" t="str">
        <f>IF(NOT(ISBLANK(Audit[[#This Row],[Audit Candidate 10]])), Audit[[#This Row],[Audit Candidate 10]]-Audit[[#This Row],[Candidate 10]], "")</f>
        <v/>
      </c>
      <c r="AO1006" s="17" t="str">
        <f>IF(NOT(ISBLANK(Audit[[#This Row],[Audit Candidate 11]])), Audit[[#This Row],[Audit Candidate 11]]-Audit[[#This Row],[Candidate 11]], "")</f>
        <v/>
      </c>
      <c r="AP1006" s="17" t="str">
        <f>IF(NOT(ISBLANK(Audit[[#This Row],[Audit Candidate 12]])), Audit[[#This Row],[Audit Candidate 12]]-Audit[[#This Row],[Candidate 12]], "")</f>
        <v/>
      </c>
      <c r="AQ1006" s="17">
        <f>SUMIF(Audit[[#This Row],[Difference Winner]:[Difference Candidate 12]], "&gt;0")</f>
        <v>0</v>
      </c>
      <c r="AR1006" s="17">
        <f>SUM(Audit[[#This Row],[Difference Winner]:[Difference Candidate 12]])</f>
        <v>0</v>
      </c>
      <c r="AS1006" s="17">
        <f>IF(Audit[[#This Row],[Times p Drawn - With Replacement]]&gt;0, IF(Audit[[#This Row],[Canceled Differences]]&lt;0, Audit[[#This Row],[Max Differences]]+ABS(Audit[[#This Row],[Canceled Differences]]), Audit[[#This Row],[Max Differences]]), 0)</f>
        <v>0</v>
      </c>
      <c r="AT1006" s="17">
        <f>'Sampling Data'!AB1006</f>
        <v>2.2067560685791885E-2</v>
      </c>
      <c r="AU1006" s="17">
        <f>IF(
      SUM(Audit[[#This Row],[Audit Losing Candidate]:[Audit Candidate 12]])
      &lt;&gt;0,
      (Audit[[#This Row],[Winning Candidate]]-Audit[[#This Row],[Losing Candidate]]-(Audit[[#This Row],[Audit Winning Candidate]]-Audit[[#This Row],[Audit Losing Candidate]]))/(Audit[[#Totals],[Winning Candidate]]-Audit[[#Totals],[Losing Candidate]]),
      0
)</f>
        <v>0</v>
      </c>
      <c r="AV10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6" s="17">
        <f>IF(Audit[[#This Row],[Max Relative Error (ep)]] = 0, 0, Audit[[#This Row],[Max Relative Error (ep)]]/Audit[[#This Row],[Error Bound (up) - Max. possible relative overstatement]])</f>
        <v>0</v>
      </c>
      <c r="BH10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06" s="17">
        <f t="shared" si="16"/>
        <v>1</v>
      </c>
      <c r="BJ1006" s="17">
        <f>PRODUCT($BI$5:BI1006)</f>
        <v>0.13793242319093066</v>
      </c>
      <c r="BK1006" s="19">
        <f>1 - Audit[[#This Row],[K-M P Value]]</f>
        <v>0.86206757680906931</v>
      </c>
      <c r="BL1006" s="17" t="str">
        <f>IF(Audit[[#This Row],[K-M P Value]]&gt;1-'General Info'!$B$12,"Continue", "Stop")</f>
        <v>Continue</v>
      </c>
      <c r="BM1006" s="22" t="b">
        <f>IF(Audit[[#This Row],[Status - Continue or stop audit]] = "Continue", TRUE, IF(BL1005 = "Continue", TRUE, FALSE))</f>
        <v>1</v>
      </c>
      <c r="BN1006" s="22"/>
    </row>
    <row r="1007" spans="1:66" ht="15" hidden="1" customHeight="1" x14ac:dyDescent="0.35">
      <c r="A1007" s="17" t="str">
        <f>'Sampling Data'!AI1007</f>
        <v/>
      </c>
      <c r="B1007" s="17" t="str">
        <f>'Sampling Data'!A1007</f>
        <v>7316 GREEN P   (ED)</v>
      </c>
      <c r="C1007" s="17">
        <f>'Sampling Data'!B1007</f>
        <v>85</v>
      </c>
      <c r="D1007" s="17">
        <f>'Sampling Data'!C1007</f>
        <v>409</v>
      </c>
      <c r="E1007" s="18">
        <f>'Sampling Data'!D1007</f>
        <v>0</v>
      </c>
      <c r="F1007" s="18">
        <f>'Sampling Data'!E1007</f>
        <v>0</v>
      </c>
      <c r="G1007" s="18">
        <f>'Sampling Data'!F1007</f>
        <v>0</v>
      </c>
      <c r="H1007" s="18">
        <f>'Sampling Data'!G1007</f>
        <v>0</v>
      </c>
      <c r="I1007" s="18">
        <f>'Sampling Data'!H1007</f>
        <v>0</v>
      </c>
      <c r="J1007" s="18">
        <f>'Sampling Data'!I1007</f>
        <v>0</v>
      </c>
      <c r="K1007" s="18">
        <f>'Sampling Data'!J1007</f>
        <v>0</v>
      </c>
      <c r="L1007" s="18">
        <f>'Sampling Data'!K1007</f>
        <v>0</v>
      </c>
      <c r="M1007" s="18">
        <f>'Sampling Data'!L1007</f>
        <v>0</v>
      </c>
      <c r="N1007" s="18">
        <f>'Sampling Data'!M1007</f>
        <v>0</v>
      </c>
      <c r="O1007" s="17">
        <f>'Sampling Data'!N1007</f>
        <v>0</v>
      </c>
      <c r="P1007" s="17">
        <f>'Sampling Data'!O1007</f>
        <v>51</v>
      </c>
      <c r="Q1007" s="17">
        <f>'Sampling Data'!P1007</f>
        <v>545</v>
      </c>
      <c r="R1007" s="17">
        <f>'Sampling Data'!AJ1007</f>
        <v>0</v>
      </c>
      <c r="S1007" s="111"/>
      <c r="T1007" s="111"/>
      <c r="U1007" s="112"/>
      <c r="V1007" s="112"/>
      <c r="W1007" s="111"/>
      <c r="X1007" s="111"/>
      <c r="Y1007" s="111"/>
      <c r="Z1007" s="111"/>
      <c r="AA1007" s="14"/>
      <c r="AB1007" s="14"/>
      <c r="AC1007" s="14"/>
      <c r="AD1007" s="14"/>
      <c r="AE1007" s="113" t="str">
        <f>IF(NOT(ISBLANK(Audit[[#This Row],[Audit Winning Candidate]])), Audit[[#This Row],[Audit Winning Candidate]]-Audit[[#This Row],[Winning Candidate]], "")</f>
        <v/>
      </c>
      <c r="AF1007" s="17" t="str">
        <f>IF(NOT(ISBLANK(Audit[[#This Row],[Audit Losing Candidate]])), Audit[[#This Row],[Audit Losing Candidate]]-Audit[[#This Row],[Losing Candidate]], "")</f>
        <v/>
      </c>
      <c r="AG1007" s="17" t="str">
        <f>IF(NOT(ISBLANK(Audit[[#This Row],[Audit Candidate 3]])), Audit[[#This Row],[Audit Candidate 3]]-Audit[[#This Row],[Candidate 3]], "")</f>
        <v/>
      </c>
      <c r="AH1007" s="17" t="str">
        <f>IF(NOT(ISBLANK(Audit[[#This Row],[Audit Candidate 4]])),Audit[[#This Row],[Audit Candidate 4]]-Audit[[#This Row],[Candidate 4]], "")</f>
        <v/>
      </c>
      <c r="AI1007" s="17" t="str">
        <f>IF(NOT(ISBLANK(Audit[[#This Row],[Audit Candidate 5]])), Audit[[#This Row],[Audit Candidate 5]]-Audit[[#This Row],[Candidate 5]], "")</f>
        <v/>
      </c>
      <c r="AJ1007" s="17" t="str">
        <f>IF(NOT(ISBLANK(Audit[[#This Row],[Audit Candidate 6]])), Audit[[#This Row],[Audit Candidate 6]]-Audit[[#This Row],[Candidate 6]], "")</f>
        <v/>
      </c>
      <c r="AK1007" s="17" t="str">
        <f>IF(NOT(ISBLANK(Audit[[#This Row],[Audit Candidate 7]])), Audit[[#This Row],[Audit Candidate 7]]-Audit[[#This Row],[Candidate 7]], "")</f>
        <v/>
      </c>
      <c r="AL1007" s="17" t="str">
        <f>IF(NOT(ISBLANK(Audit[[#This Row],[Audit Candidate 8]])), Audit[[#This Row],[Audit Candidate 8]]-Audit[[#This Row],[Candidate 8]], "")</f>
        <v/>
      </c>
      <c r="AM1007" s="17" t="str">
        <f>IF(NOT(ISBLANK(Audit[[#This Row],[Audit Candidate 9]])), Audit[[#This Row],[Audit Candidate 9]]-Audit[[#This Row],[Candidate 9]], "")</f>
        <v/>
      </c>
      <c r="AN1007" s="17" t="str">
        <f>IF(NOT(ISBLANK(Audit[[#This Row],[Audit Candidate 10]])), Audit[[#This Row],[Audit Candidate 10]]-Audit[[#This Row],[Candidate 10]], "")</f>
        <v/>
      </c>
      <c r="AO1007" s="17" t="str">
        <f>IF(NOT(ISBLANK(Audit[[#This Row],[Audit Candidate 11]])), Audit[[#This Row],[Audit Candidate 11]]-Audit[[#This Row],[Candidate 11]], "")</f>
        <v/>
      </c>
      <c r="AP1007" s="17" t="str">
        <f>IF(NOT(ISBLANK(Audit[[#This Row],[Audit Candidate 12]])), Audit[[#This Row],[Audit Candidate 12]]-Audit[[#This Row],[Candidate 12]], "")</f>
        <v/>
      </c>
      <c r="AQ1007" s="17">
        <f>SUMIF(Audit[[#This Row],[Difference Winner]:[Difference Candidate 12]], "&gt;0")</f>
        <v>0</v>
      </c>
      <c r="AR1007" s="17">
        <f>SUM(Audit[[#This Row],[Difference Winner]:[Difference Candidate 12]])</f>
        <v>0</v>
      </c>
      <c r="AS1007" s="17">
        <f>IF(Audit[[#This Row],[Times p Drawn - With Replacement]]&gt;0, IF(Audit[[#This Row],[Canceled Differences]]&lt;0, Audit[[#This Row],[Max Differences]]+ABS(Audit[[#This Row],[Canceled Differences]]), Audit[[#This Row],[Max Differences]]), 0)</f>
        <v>0</v>
      </c>
      <c r="AT1007" s="17">
        <f>'Sampling Data'!AB1007</f>
        <v>9.3787132914615514E-3</v>
      </c>
      <c r="AU1007" s="17">
        <f>IF(
      SUM(Audit[[#This Row],[Audit Losing Candidate]:[Audit Candidate 12]])
      &lt;&gt;0,
      (Audit[[#This Row],[Winning Candidate]]-Audit[[#This Row],[Losing Candidate]]-(Audit[[#This Row],[Audit Winning Candidate]]-Audit[[#This Row],[Audit Losing Candidate]]))/(Audit[[#Totals],[Winning Candidate]]-Audit[[#Totals],[Losing Candidate]]),
      0
)</f>
        <v>0</v>
      </c>
      <c r="AV10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7" s="17">
        <f>IF(Audit[[#This Row],[Max Relative Error (ep)]] = 0, 0, Audit[[#This Row],[Max Relative Error (ep)]]/Audit[[#This Row],[Error Bound (up) - Max. possible relative overstatement]])</f>
        <v>0</v>
      </c>
      <c r="BH10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07" s="17">
        <f t="shared" si="16"/>
        <v>1</v>
      </c>
      <c r="BJ1007" s="17">
        <f>PRODUCT($BI$5:BI1007)</f>
        <v>0.13793242319093066</v>
      </c>
      <c r="BK1007" s="19">
        <f>1 - Audit[[#This Row],[K-M P Value]]</f>
        <v>0.86206757680906931</v>
      </c>
      <c r="BL1007" s="17" t="str">
        <f>IF(Audit[[#This Row],[K-M P Value]]&gt;1-'General Info'!$B$12,"Continue", "Stop")</f>
        <v>Continue</v>
      </c>
      <c r="BM1007" s="22" t="b">
        <f>IF(Audit[[#This Row],[Status - Continue or stop audit]] = "Continue", TRUE, IF(BL1006 = "Continue", TRUE, FALSE))</f>
        <v>1</v>
      </c>
      <c r="BN1007" s="22"/>
    </row>
    <row r="1008" spans="1:66" ht="15" hidden="1" customHeight="1" x14ac:dyDescent="0.35">
      <c r="A1008" s="17" t="str">
        <f>'Sampling Data'!AI1008</f>
        <v/>
      </c>
      <c r="B1008" s="17" t="str">
        <f>'Sampling Data'!A1008</f>
        <v>7317 GREEN Q   (ED)</v>
      </c>
      <c r="C1008" s="17">
        <f>'Sampling Data'!B1008</f>
        <v>102</v>
      </c>
      <c r="D1008" s="17">
        <f>'Sampling Data'!C1008</f>
        <v>501</v>
      </c>
      <c r="E1008" s="18">
        <f>'Sampling Data'!D1008</f>
        <v>0</v>
      </c>
      <c r="F1008" s="18">
        <f>'Sampling Data'!E1008</f>
        <v>0</v>
      </c>
      <c r="G1008" s="18">
        <f>'Sampling Data'!F1008</f>
        <v>0</v>
      </c>
      <c r="H1008" s="18">
        <f>'Sampling Data'!G1008</f>
        <v>0</v>
      </c>
      <c r="I1008" s="18">
        <f>'Sampling Data'!H1008</f>
        <v>0</v>
      </c>
      <c r="J1008" s="18">
        <f>'Sampling Data'!I1008</f>
        <v>0</v>
      </c>
      <c r="K1008" s="18">
        <f>'Sampling Data'!J1008</f>
        <v>0</v>
      </c>
      <c r="L1008" s="18">
        <f>'Sampling Data'!K1008</f>
        <v>0</v>
      </c>
      <c r="M1008" s="18">
        <f>'Sampling Data'!L1008</f>
        <v>0</v>
      </c>
      <c r="N1008" s="18">
        <f>'Sampling Data'!M1008</f>
        <v>0</v>
      </c>
      <c r="O1008" s="17">
        <f>'Sampling Data'!N1008</f>
        <v>0</v>
      </c>
      <c r="P1008" s="17">
        <f>'Sampling Data'!O1008</f>
        <v>32</v>
      </c>
      <c r="Q1008" s="17">
        <f>'Sampling Data'!P1008</f>
        <v>635</v>
      </c>
      <c r="R1008" s="17">
        <f>'Sampling Data'!AJ1008</f>
        <v>0</v>
      </c>
      <c r="S1008" s="111"/>
      <c r="T1008" s="111"/>
      <c r="U1008" s="112"/>
      <c r="V1008" s="112"/>
      <c r="W1008" s="111"/>
      <c r="X1008" s="111"/>
      <c r="Y1008" s="111"/>
      <c r="Z1008" s="111"/>
      <c r="AA1008" s="14"/>
      <c r="AB1008" s="14"/>
      <c r="AC1008" s="14"/>
      <c r="AD1008" s="14"/>
      <c r="AE1008" s="113" t="str">
        <f>IF(NOT(ISBLANK(Audit[[#This Row],[Audit Winning Candidate]])), Audit[[#This Row],[Audit Winning Candidate]]-Audit[[#This Row],[Winning Candidate]], "")</f>
        <v/>
      </c>
      <c r="AF1008" s="17" t="str">
        <f>IF(NOT(ISBLANK(Audit[[#This Row],[Audit Losing Candidate]])), Audit[[#This Row],[Audit Losing Candidate]]-Audit[[#This Row],[Losing Candidate]], "")</f>
        <v/>
      </c>
      <c r="AG1008" s="17" t="str">
        <f>IF(NOT(ISBLANK(Audit[[#This Row],[Audit Candidate 3]])), Audit[[#This Row],[Audit Candidate 3]]-Audit[[#This Row],[Candidate 3]], "")</f>
        <v/>
      </c>
      <c r="AH1008" s="17" t="str">
        <f>IF(NOT(ISBLANK(Audit[[#This Row],[Audit Candidate 4]])),Audit[[#This Row],[Audit Candidate 4]]-Audit[[#This Row],[Candidate 4]], "")</f>
        <v/>
      </c>
      <c r="AI1008" s="17" t="str">
        <f>IF(NOT(ISBLANK(Audit[[#This Row],[Audit Candidate 5]])), Audit[[#This Row],[Audit Candidate 5]]-Audit[[#This Row],[Candidate 5]], "")</f>
        <v/>
      </c>
      <c r="AJ1008" s="17" t="str">
        <f>IF(NOT(ISBLANK(Audit[[#This Row],[Audit Candidate 6]])), Audit[[#This Row],[Audit Candidate 6]]-Audit[[#This Row],[Candidate 6]], "")</f>
        <v/>
      </c>
      <c r="AK1008" s="17" t="str">
        <f>IF(NOT(ISBLANK(Audit[[#This Row],[Audit Candidate 7]])), Audit[[#This Row],[Audit Candidate 7]]-Audit[[#This Row],[Candidate 7]], "")</f>
        <v/>
      </c>
      <c r="AL1008" s="17" t="str">
        <f>IF(NOT(ISBLANK(Audit[[#This Row],[Audit Candidate 8]])), Audit[[#This Row],[Audit Candidate 8]]-Audit[[#This Row],[Candidate 8]], "")</f>
        <v/>
      </c>
      <c r="AM1008" s="17" t="str">
        <f>IF(NOT(ISBLANK(Audit[[#This Row],[Audit Candidate 9]])), Audit[[#This Row],[Audit Candidate 9]]-Audit[[#This Row],[Candidate 9]], "")</f>
        <v/>
      </c>
      <c r="AN1008" s="17" t="str">
        <f>IF(NOT(ISBLANK(Audit[[#This Row],[Audit Candidate 10]])), Audit[[#This Row],[Audit Candidate 10]]-Audit[[#This Row],[Candidate 10]], "")</f>
        <v/>
      </c>
      <c r="AO1008" s="17" t="str">
        <f>IF(NOT(ISBLANK(Audit[[#This Row],[Audit Candidate 11]])), Audit[[#This Row],[Audit Candidate 11]]-Audit[[#This Row],[Candidate 11]], "")</f>
        <v/>
      </c>
      <c r="AP1008" s="17" t="str">
        <f>IF(NOT(ISBLANK(Audit[[#This Row],[Audit Candidate 12]])), Audit[[#This Row],[Audit Candidate 12]]-Audit[[#This Row],[Candidate 12]], "")</f>
        <v/>
      </c>
      <c r="AQ1008" s="17">
        <f>SUMIF(Audit[[#This Row],[Difference Winner]:[Difference Candidate 12]], "&gt;0")</f>
        <v>0</v>
      </c>
      <c r="AR1008" s="17">
        <f>SUM(Audit[[#This Row],[Difference Winner]:[Difference Candidate 12]])</f>
        <v>0</v>
      </c>
      <c r="AS1008" s="17">
        <f>IF(Audit[[#This Row],[Times p Drawn - With Replacement]]&gt;0, IF(Audit[[#This Row],[Canceled Differences]]&lt;0, Audit[[#This Row],[Max Differences]]+ABS(Audit[[#This Row],[Canceled Differences]]), Audit[[#This Row],[Max Differences]]), 0)</f>
        <v>0</v>
      </c>
      <c r="AT1008" s="17">
        <f>'Sampling Data'!AB1008</f>
        <v>1.0015277542013241E-2</v>
      </c>
      <c r="AU1008" s="17">
        <f>IF(
      SUM(Audit[[#This Row],[Audit Losing Candidate]:[Audit Candidate 12]])
      &lt;&gt;0,
      (Audit[[#This Row],[Winning Candidate]]-Audit[[#This Row],[Losing Candidate]]-(Audit[[#This Row],[Audit Winning Candidate]]-Audit[[#This Row],[Audit Losing Candidate]]))/(Audit[[#Totals],[Winning Candidate]]-Audit[[#Totals],[Losing Candidate]]),
      0
)</f>
        <v>0</v>
      </c>
      <c r="AV10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8" s="17">
        <f>IF(Audit[[#This Row],[Max Relative Error (ep)]] = 0, 0, Audit[[#This Row],[Max Relative Error (ep)]]/Audit[[#This Row],[Error Bound (up) - Max. possible relative overstatement]])</f>
        <v>0</v>
      </c>
      <c r="BH10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08" s="17">
        <f t="shared" si="16"/>
        <v>1</v>
      </c>
      <c r="BJ1008" s="17">
        <f>PRODUCT($BI$5:BI1008)</f>
        <v>0.13793242319093066</v>
      </c>
      <c r="BK1008" s="19">
        <f>1 - Audit[[#This Row],[K-M P Value]]</f>
        <v>0.86206757680906931</v>
      </c>
      <c r="BL1008" s="17" t="str">
        <f>IF(Audit[[#This Row],[K-M P Value]]&gt;1-'General Info'!$B$12,"Continue", "Stop")</f>
        <v>Continue</v>
      </c>
      <c r="BM1008" s="22" t="b">
        <f>IF(Audit[[#This Row],[Status - Continue or stop audit]] = "Continue", TRUE, IF(BL1007 = "Continue", TRUE, FALSE))</f>
        <v>1</v>
      </c>
      <c r="BN1008" s="22"/>
    </row>
    <row r="1009" spans="1:66" ht="15" hidden="1" customHeight="1" x14ac:dyDescent="0.35">
      <c r="A1009" s="17" t="str">
        <f>'Sampling Data'!AI1009</f>
        <v/>
      </c>
      <c r="B1009" s="17" t="str">
        <f>'Sampling Data'!A1009</f>
        <v>7318 GREEN R   (ED)</v>
      </c>
      <c r="C1009" s="17">
        <f>'Sampling Data'!B1009</f>
        <v>54</v>
      </c>
      <c r="D1009" s="17">
        <f>'Sampling Data'!C1009</f>
        <v>347</v>
      </c>
      <c r="E1009" s="18">
        <f>'Sampling Data'!D1009</f>
        <v>0</v>
      </c>
      <c r="F1009" s="18">
        <f>'Sampling Data'!E1009</f>
        <v>0</v>
      </c>
      <c r="G1009" s="18">
        <f>'Sampling Data'!F1009</f>
        <v>0</v>
      </c>
      <c r="H1009" s="18">
        <f>'Sampling Data'!G1009</f>
        <v>0</v>
      </c>
      <c r="I1009" s="18">
        <f>'Sampling Data'!H1009</f>
        <v>0</v>
      </c>
      <c r="J1009" s="18">
        <f>'Sampling Data'!I1009</f>
        <v>0</v>
      </c>
      <c r="K1009" s="18">
        <f>'Sampling Data'!J1009</f>
        <v>0</v>
      </c>
      <c r="L1009" s="18">
        <f>'Sampling Data'!K1009</f>
        <v>0</v>
      </c>
      <c r="M1009" s="18">
        <f>'Sampling Data'!L1009</f>
        <v>0</v>
      </c>
      <c r="N1009" s="18">
        <f>'Sampling Data'!M1009</f>
        <v>0</v>
      </c>
      <c r="O1009" s="17">
        <f>'Sampling Data'!N1009</f>
        <v>1</v>
      </c>
      <c r="P1009" s="17">
        <f>'Sampling Data'!O1009</f>
        <v>23</v>
      </c>
      <c r="Q1009" s="17">
        <f>'Sampling Data'!P1009</f>
        <v>425</v>
      </c>
      <c r="R1009" s="17">
        <f>'Sampling Data'!AJ1009</f>
        <v>0</v>
      </c>
      <c r="S1009" s="111"/>
      <c r="T1009" s="111"/>
      <c r="U1009" s="112"/>
      <c r="V1009" s="112"/>
      <c r="W1009" s="111"/>
      <c r="X1009" s="111"/>
      <c r="Y1009" s="111"/>
      <c r="Z1009" s="111"/>
      <c r="AA1009" s="14"/>
      <c r="AB1009" s="14"/>
      <c r="AC1009" s="14"/>
      <c r="AD1009" s="14"/>
      <c r="AE1009" s="113" t="str">
        <f>IF(NOT(ISBLANK(Audit[[#This Row],[Audit Winning Candidate]])), Audit[[#This Row],[Audit Winning Candidate]]-Audit[[#This Row],[Winning Candidate]], "")</f>
        <v/>
      </c>
      <c r="AF1009" s="17" t="str">
        <f>IF(NOT(ISBLANK(Audit[[#This Row],[Audit Losing Candidate]])), Audit[[#This Row],[Audit Losing Candidate]]-Audit[[#This Row],[Losing Candidate]], "")</f>
        <v/>
      </c>
      <c r="AG1009" s="17" t="str">
        <f>IF(NOT(ISBLANK(Audit[[#This Row],[Audit Candidate 3]])), Audit[[#This Row],[Audit Candidate 3]]-Audit[[#This Row],[Candidate 3]], "")</f>
        <v/>
      </c>
      <c r="AH1009" s="17" t="str">
        <f>IF(NOT(ISBLANK(Audit[[#This Row],[Audit Candidate 4]])),Audit[[#This Row],[Audit Candidate 4]]-Audit[[#This Row],[Candidate 4]], "")</f>
        <v/>
      </c>
      <c r="AI1009" s="17" t="str">
        <f>IF(NOT(ISBLANK(Audit[[#This Row],[Audit Candidate 5]])), Audit[[#This Row],[Audit Candidate 5]]-Audit[[#This Row],[Candidate 5]], "")</f>
        <v/>
      </c>
      <c r="AJ1009" s="17" t="str">
        <f>IF(NOT(ISBLANK(Audit[[#This Row],[Audit Candidate 6]])), Audit[[#This Row],[Audit Candidate 6]]-Audit[[#This Row],[Candidate 6]], "")</f>
        <v/>
      </c>
      <c r="AK1009" s="17" t="str">
        <f>IF(NOT(ISBLANK(Audit[[#This Row],[Audit Candidate 7]])), Audit[[#This Row],[Audit Candidate 7]]-Audit[[#This Row],[Candidate 7]], "")</f>
        <v/>
      </c>
      <c r="AL1009" s="17" t="str">
        <f>IF(NOT(ISBLANK(Audit[[#This Row],[Audit Candidate 8]])), Audit[[#This Row],[Audit Candidate 8]]-Audit[[#This Row],[Candidate 8]], "")</f>
        <v/>
      </c>
      <c r="AM1009" s="17" t="str">
        <f>IF(NOT(ISBLANK(Audit[[#This Row],[Audit Candidate 9]])), Audit[[#This Row],[Audit Candidate 9]]-Audit[[#This Row],[Candidate 9]], "")</f>
        <v/>
      </c>
      <c r="AN1009" s="17" t="str">
        <f>IF(NOT(ISBLANK(Audit[[#This Row],[Audit Candidate 10]])), Audit[[#This Row],[Audit Candidate 10]]-Audit[[#This Row],[Candidate 10]], "")</f>
        <v/>
      </c>
      <c r="AO1009" s="17" t="str">
        <f>IF(NOT(ISBLANK(Audit[[#This Row],[Audit Candidate 11]])), Audit[[#This Row],[Audit Candidate 11]]-Audit[[#This Row],[Candidate 11]], "")</f>
        <v/>
      </c>
      <c r="AP1009" s="17" t="str">
        <f>IF(NOT(ISBLANK(Audit[[#This Row],[Audit Candidate 12]])), Audit[[#This Row],[Audit Candidate 12]]-Audit[[#This Row],[Candidate 12]], "")</f>
        <v/>
      </c>
      <c r="AQ1009" s="17">
        <f>SUMIF(Audit[[#This Row],[Difference Winner]:[Difference Candidate 12]], "&gt;0")</f>
        <v>0</v>
      </c>
      <c r="AR1009" s="17">
        <f>SUM(Audit[[#This Row],[Difference Winner]:[Difference Candidate 12]])</f>
        <v>0</v>
      </c>
      <c r="AS1009" s="17">
        <f>IF(Audit[[#This Row],[Times p Drawn - With Replacement]]&gt;0, IF(Audit[[#This Row],[Canceled Differences]]&lt;0, Audit[[#This Row],[Max Differences]]+ABS(Audit[[#This Row],[Canceled Differences]]), Audit[[#This Row],[Max Differences]]), 0)</f>
        <v>0</v>
      </c>
      <c r="AT1009" s="17">
        <f>'Sampling Data'!AB1009</f>
        <v>5.601765404854863E-3</v>
      </c>
      <c r="AU1009" s="17">
        <f>IF(
      SUM(Audit[[#This Row],[Audit Losing Candidate]:[Audit Candidate 12]])
      &lt;&gt;0,
      (Audit[[#This Row],[Winning Candidate]]-Audit[[#This Row],[Losing Candidate]]-(Audit[[#This Row],[Audit Winning Candidate]]-Audit[[#This Row],[Audit Losing Candidate]]))/(Audit[[#Totals],[Winning Candidate]]-Audit[[#Totals],[Losing Candidate]]),
      0
)</f>
        <v>0</v>
      </c>
      <c r="AV10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9" s="17">
        <f>IF(Audit[[#This Row],[Max Relative Error (ep)]] = 0, 0, Audit[[#This Row],[Max Relative Error (ep)]]/Audit[[#This Row],[Error Bound (up) - Max. possible relative overstatement]])</f>
        <v>0</v>
      </c>
      <c r="BH10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09" s="17">
        <f t="shared" si="16"/>
        <v>1</v>
      </c>
      <c r="BJ1009" s="17">
        <f>PRODUCT($BI$5:BI1009)</f>
        <v>0.13793242319093066</v>
      </c>
      <c r="BK1009" s="19">
        <f>1 - Audit[[#This Row],[K-M P Value]]</f>
        <v>0.86206757680906931</v>
      </c>
      <c r="BL1009" s="17" t="str">
        <f>IF(Audit[[#This Row],[K-M P Value]]&gt;1-'General Info'!$B$12,"Continue", "Stop")</f>
        <v>Continue</v>
      </c>
      <c r="BM1009" s="22" t="b">
        <f>IF(Audit[[#This Row],[Status - Continue or stop audit]] = "Continue", TRUE, IF(BL1008 = "Continue", TRUE, FALSE))</f>
        <v>1</v>
      </c>
      <c r="BN1009" s="22"/>
    </row>
    <row r="1010" spans="1:66" ht="15" hidden="1" customHeight="1" x14ac:dyDescent="0.35">
      <c r="A1010" s="17" t="str">
        <f>'Sampling Data'!AI1010</f>
        <v/>
      </c>
      <c r="B1010" s="17" t="str">
        <f>'Sampling Data'!A1010</f>
        <v>7319 GREEN S   (ED)</v>
      </c>
      <c r="C1010" s="17">
        <f>'Sampling Data'!B1010</f>
        <v>175</v>
      </c>
      <c r="D1010" s="17">
        <f>'Sampling Data'!C1010</f>
        <v>424</v>
      </c>
      <c r="E1010" s="18">
        <f>'Sampling Data'!D1010</f>
        <v>0</v>
      </c>
      <c r="F1010" s="18">
        <f>'Sampling Data'!E1010</f>
        <v>0</v>
      </c>
      <c r="G1010" s="18">
        <f>'Sampling Data'!F1010</f>
        <v>0</v>
      </c>
      <c r="H1010" s="18">
        <f>'Sampling Data'!G1010</f>
        <v>0</v>
      </c>
      <c r="I1010" s="18">
        <f>'Sampling Data'!H1010</f>
        <v>0</v>
      </c>
      <c r="J1010" s="18">
        <f>'Sampling Data'!I1010</f>
        <v>0</v>
      </c>
      <c r="K1010" s="18">
        <f>'Sampling Data'!J1010</f>
        <v>0</v>
      </c>
      <c r="L1010" s="18">
        <f>'Sampling Data'!K1010</f>
        <v>0</v>
      </c>
      <c r="M1010" s="18">
        <f>'Sampling Data'!L1010</f>
        <v>0</v>
      </c>
      <c r="N1010" s="18">
        <f>'Sampling Data'!M1010</f>
        <v>0</v>
      </c>
      <c r="O1010" s="17">
        <f>'Sampling Data'!N1010</f>
        <v>0</v>
      </c>
      <c r="P1010" s="17">
        <f>'Sampling Data'!O1010</f>
        <v>52</v>
      </c>
      <c r="Q1010" s="17">
        <f>'Sampling Data'!P1010</f>
        <v>651</v>
      </c>
      <c r="R1010" s="17">
        <f>'Sampling Data'!AJ1010</f>
        <v>0</v>
      </c>
      <c r="S1010" s="111"/>
      <c r="T1010" s="111"/>
      <c r="U1010" s="112"/>
      <c r="V1010" s="112"/>
      <c r="W1010" s="111"/>
      <c r="X1010" s="111"/>
      <c r="Y1010" s="111"/>
      <c r="Z1010" s="111"/>
      <c r="AA1010" s="14"/>
      <c r="AB1010" s="14"/>
      <c r="AC1010" s="14"/>
      <c r="AD1010" s="14"/>
      <c r="AE1010" s="113" t="str">
        <f>IF(NOT(ISBLANK(Audit[[#This Row],[Audit Winning Candidate]])), Audit[[#This Row],[Audit Winning Candidate]]-Audit[[#This Row],[Winning Candidate]], "")</f>
        <v/>
      </c>
      <c r="AF1010" s="17" t="str">
        <f>IF(NOT(ISBLANK(Audit[[#This Row],[Audit Losing Candidate]])), Audit[[#This Row],[Audit Losing Candidate]]-Audit[[#This Row],[Losing Candidate]], "")</f>
        <v/>
      </c>
      <c r="AG1010" s="17" t="str">
        <f>IF(NOT(ISBLANK(Audit[[#This Row],[Audit Candidate 3]])), Audit[[#This Row],[Audit Candidate 3]]-Audit[[#This Row],[Candidate 3]], "")</f>
        <v/>
      </c>
      <c r="AH1010" s="17" t="str">
        <f>IF(NOT(ISBLANK(Audit[[#This Row],[Audit Candidate 4]])),Audit[[#This Row],[Audit Candidate 4]]-Audit[[#This Row],[Candidate 4]], "")</f>
        <v/>
      </c>
      <c r="AI1010" s="17" t="str">
        <f>IF(NOT(ISBLANK(Audit[[#This Row],[Audit Candidate 5]])), Audit[[#This Row],[Audit Candidate 5]]-Audit[[#This Row],[Candidate 5]], "")</f>
        <v/>
      </c>
      <c r="AJ1010" s="17" t="str">
        <f>IF(NOT(ISBLANK(Audit[[#This Row],[Audit Candidate 6]])), Audit[[#This Row],[Audit Candidate 6]]-Audit[[#This Row],[Candidate 6]], "")</f>
        <v/>
      </c>
      <c r="AK1010" s="17" t="str">
        <f>IF(NOT(ISBLANK(Audit[[#This Row],[Audit Candidate 7]])), Audit[[#This Row],[Audit Candidate 7]]-Audit[[#This Row],[Candidate 7]], "")</f>
        <v/>
      </c>
      <c r="AL1010" s="17" t="str">
        <f>IF(NOT(ISBLANK(Audit[[#This Row],[Audit Candidate 8]])), Audit[[#This Row],[Audit Candidate 8]]-Audit[[#This Row],[Candidate 8]], "")</f>
        <v/>
      </c>
      <c r="AM1010" s="17" t="str">
        <f>IF(NOT(ISBLANK(Audit[[#This Row],[Audit Candidate 9]])), Audit[[#This Row],[Audit Candidate 9]]-Audit[[#This Row],[Candidate 9]], "")</f>
        <v/>
      </c>
      <c r="AN1010" s="17" t="str">
        <f>IF(NOT(ISBLANK(Audit[[#This Row],[Audit Candidate 10]])), Audit[[#This Row],[Audit Candidate 10]]-Audit[[#This Row],[Candidate 10]], "")</f>
        <v/>
      </c>
      <c r="AO1010" s="17" t="str">
        <f>IF(NOT(ISBLANK(Audit[[#This Row],[Audit Candidate 11]])), Audit[[#This Row],[Audit Candidate 11]]-Audit[[#This Row],[Candidate 11]], "")</f>
        <v/>
      </c>
      <c r="AP1010" s="17" t="str">
        <f>IF(NOT(ISBLANK(Audit[[#This Row],[Audit Candidate 12]])), Audit[[#This Row],[Audit Candidate 12]]-Audit[[#This Row],[Candidate 12]], "")</f>
        <v/>
      </c>
      <c r="AQ1010" s="17">
        <f>SUMIF(Audit[[#This Row],[Difference Winner]:[Difference Candidate 12]], "&gt;0")</f>
        <v>0</v>
      </c>
      <c r="AR1010" s="17">
        <f>SUM(Audit[[#This Row],[Difference Winner]:[Difference Candidate 12]])</f>
        <v>0</v>
      </c>
      <c r="AS1010" s="17">
        <f>IF(Audit[[#This Row],[Times p Drawn - With Replacement]]&gt;0, IF(Audit[[#This Row],[Canceled Differences]]&lt;0, Audit[[#This Row],[Max Differences]]+ABS(Audit[[#This Row],[Canceled Differences]]), Audit[[#This Row],[Max Differences]]), 0)</f>
        <v>0</v>
      </c>
      <c r="AT1010" s="17">
        <f>'Sampling Data'!AB1010</f>
        <v>1.7059921914785267E-2</v>
      </c>
      <c r="AU1010" s="17">
        <f>IF(
      SUM(Audit[[#This Row],[Audit Losing Candidate]:[Audit Candidate 12]])
      &lt;&gt;0,
      (Audit[[#This Row],[Winning Candidate]]-Audit[[#This Row],[Losing Candidate]]-(Audit[[#This Row],[Audit Winning Candidate]]-Audit[[#This Row],[Audit Losing Candidate]]))/(Audit[[#Totals],[Winning Candidate]]-Audit[[#Totals],[Losing Candidate]]),
      0
)</f>
        <v>0</v>
      </c>
      <c r="AV10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0" s="17">
        <f>IF(Audit[[#This Row],[Max Relative Error (ep)]] = 0, 0, Audit[[#This Row],[Max Relative Error (ep)]]/Audit[[#This Row],[Error Bound (up) - Max. possible relative overstatement]])</f>
        <v>0</v>
      </c>
      <c r="BH10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10" s="17">
        <f t="shared" si="16"/>
        <v>1</v>
      </c>
      <c r="BJ1010" s="17">
        <f>PRODUCT($BI$5:BI1010)</f>
        <v>0.13793242319093066</v>
      </c>
      <c r="BK1010" s="19">
        <f>1 - Audit[[#This Row],[K-M P Value]]</f>
        <v>0.86206757680906931</v>
      </c>
      <c r="BL1010" s="17" t="str">
        <f>IF(Audit[[#This Row],[K-M P Value]]&gt;1-'General Info'!$B$12,"Continue", "Stop")</f>
        <v>Continue</v>
      </c>
      <c r="BM1010" s="22" t="b">
        <f>IF(Audit[[#This Row],[Status - Continue or stop audit]] = "Continue", TRUE, IF(BL1009 = "Continue", TRUE, FALSE))</f>
        <v>1</v>
      </c>
      <c r="BN1010" s="22"/>
    </row>
    <row r="1011" spans="1:66" ht="15" hidden="1" customHeight="1" x14ac:dyDescent="0.35">
      <c r="A1011" s="17" t="str">
        <f>'Sampling Data'!AI1011</f>
        <v/>
      </c>
      <c r="B1011" s="17" t="str">
        <f>'Sampling Data'!A1011</f>
        <v>7320 GREEN T   (ED)</v>
      </c>
      <c r="C1011" s="17">
        <f>'Sampling Data'!B1011</f>
        <v>75</v>
      </c>
      <c r="D1011" s="17">
        <f>'Sampling Data'!C1011</f>
        <v>189</v>
      </c>
      <c r="E1011" s="18">
        <f>'Sampling Data'!D1011</f>
        <v>0</v>
      </c>
      <c r="F1011" s="18">
        <f>'Sampling Data'!E1011</f>
        <v>0</v>
      </c>
      <c r="G1011" s="18">
        <f>'Sampling Data'!F1011</f>
        <v>0</v>
      </c>
      <c r="H1011" s="18">
        <f>'Sampling Data'!G1011</f>
        <v>0</v>
      </c>
      <c r="I1011" s="18">
        <f>'Sampling Data'!H1011</f>
        <v>0</v>
      </c>
      <c r="J1011" s="18">
        <f>'Sampling Data'!I1011</f>
        <v>0</v>
      </c>
      <c r="K1011" s="18">
        <f>'Sampling Data'!J1011</f>
        <v>0</v>
      </c>
      <c r="L1011" s="18">
        <f>'Sampling Data'!K1011</f>
        <v>0</v>
      </c>
      <c r="M1011" s="18">
        <f>'Sampling Data'!L1011</f>
        <v>0</v>
      </c>
      <c r="N1011" s="18">
        <f>'Sampling Data'!M1011</f>
        <v>0</v>
      </c>
      <c r="O1011" s="17">
        <f>'Sampling Data'!N1011</f>
        <v>0</v>
      </c>
      <c r="P1011" s="17">
        <f>'Sampling Data'!O1011</f>
        <v>26</v>
      </c>
      <c r="Q1011" s="17">
        <f>'Sampling Data'!P1011</f>
        <v>290</v>
      </c>
      <c r="R1011" s="17">
        <f>'Sampling Data'!AJ1011</f>
        <v>0</v>
      </c>
      <c r="S1011" s="111"/>
      <c r="T1011" s="111"/>
      <c r="U1011" s="112"/>
      <c r="V1011" s="112"/>
      <c r="W1011" s="111"/>
      <c r="X1011" s="111"/>
      <c r="Y1011" s="111"/>
      <c r="Z1011" s="111"/>
      <c r="AA1011" s="14"/>
      <c r="AB1011" s="14"/>
      <c r="AC1011" s="14"/>
      <c r="AD1011" s="14"/>
      <c r="AE1011" s="113" t="str">
        <f>IF(NOT(ISBLANK(Audit[[#This Row],[Audit Winning Candidate]])), Audit[[#This Row],[Audit Winning Candidate]]-Audit[[#This Row],[Winning Candidate]], "")</f>
        <v/>
      </c>
      <c r="AF1011" s="17" t="str">
        <f>IF(NOT(ISBLANK(Audit[[#This Row],[Audit Losing Candidate]])), Audit[[#This Row],[Audit Losing Candidate]]-Audit[[#This Row],[Losing Candidate]], "")</f>
        <v/>
      </c>
      <c r="AG1011" s="17" t="str">
        <f>IF(NOT(ISBLANK(Audit[[#This Row],[Audit Candidate 3]])), Audit[[#This Row],[Audit Candidate 3]]-Audit[[#This Row],[Candidate 3]], "")</f>
        <v/>
      </c>
      <c r="AH1011" s="17" t="str">
        <f>IF(NOT(ISBLANK(Audit[[#This Row],[Audit Candidate 4]])),Audit[[#This Row],[Audit Candidate 4]]-Audit[[#This Row],[Candidate 4]], "")</f>
        <v/>
      </c>
      <c r="AI1011" s="17" t="str">
        <f>IF(NOT(ISBLANK(Audit[[#This Row],[Audit Candidate 5]])), Audit[[#This Row],[Audit Candidate 5]]-Audit[[#This Row],[Candidate 5]], "")</f>
        <v/>
      </c>
      <c r="AJ1011" s="17" t="str">
        <f>IF(NOT(ISBLANK(Audit[[#This Row],[Audit Candidate 6]])), Audit[[#This Row],[Audit Candidate 6]]-Audit[[#This Row],[Candidate 6]], "")</f>
        <v/>
      </c>
      <c r="AK1011" s="17" t="str">
        <f>IF(NOT(ISBLANK(Audit[[#This Row],[Audit Candidate 7]])), Audit[[#This Row],[Audit Candidate 7]]-Audit[[#This Row],[Candidate 7]], "")</f>
        <v/>
      </c>
      <c r="AL1011" s="17" t="str">
        <f>IF(NOT(ISBLANK(Audit[[#This Row],[Audit Candidate 8]])), Audit[[#This Row],[Audit Candidate 8]]-Audit[[#This Row],[Candidate 8]], "")</f>
        <v/>
      </c>
      <c r="AM1011" s="17" t="str">
        <f>IF(NOT(ISBLANK(Audit[[#This Row],[Audit Candidate 9]])), Audit[[#This Row],[Audit Candidate 9]]-Audit[[#This Row],[Candidate 9]], "")</f>
        <v/>
      </c>
      <c r="AN1011" s="17" t="str">
        <f>IF(NOT(ISBLANK(Audit[[#This Row],[Audit Candidate 10]])), Audit[[#This Row],[Audit Candidate 10]]-Audit[[#This Row],[Candidate 10]], "")</f>
        <v/>
      </c>
      <c r="AO1011" s="17" t="str">
        <f>IF(NOT(ISBLANK(Audit[[#This Row],[Audit Candidate 11]])), Audit[[#This Row],[Audit Candidate 11]]-Audit[[#This Row],[Candidate 11]], "")</f>
        <v/>
      </c>
      <c r="AP1011" s="17" t="str">
        <f>IF(NOT(ISBLANK(Audit[[#This Row],[Audit Candidate 12]])), Audit[[#This Row],[Audit Candidate 12]]-Audit[[#This Row],[Candidate 12]], "")</f>
        <v/>
      </c>
      <c r="AQ1011" s="17">
        <f>SUMIF(Audit[[#This Row],[Difference Winner]:[Difference Candidate 12]], "&gt;0")</f>
        <v>0</v>
      </c>
      <c r="AR1011" s="17">
        <f>SUM(Audit[[#This Row],[Difference Winner]:[Difference Candidate 12]])</f>
        <v>0</v>
      </c>
      <c r="AS1011" s="17">
        <f>IF(Audit[[#This Row],[Times p Drawn - With Replacement]]&gt;0, IF(Audit[[#This Row],[Canceled Differences]]&lt;0, Audit[[#This Row],[Max Differences]]+ABS(Audit[[#This Row],[Canceled Differences]]), Audit[[#This Row],[Max Differences]]), 0)</f>
        <v>0</v>
      </c>
      <c r="AT1011" s="17">
        <f>'Sampling Data'!AB1011</f>
        <v>7.4690205398064841E-3</v>
      </c>
      <c r="AU1011" s="17">
        <f>IF(
      SUM(Audit[[#This Row],[Audit Losing Candidate]:[Audit Candidate 12]])
      &lt;&gt;0,
      (Audit[[#This Row],[Winning Candidate]]-Audit[[#This Row],[Losing Candidate]]-(Audit[[#This Row],[Audit Winning Candidate]]-Audit[[#This Row],[Audit Losing Candidate]]))/(Audit[[#Totals],[Winning Candidate]]-Audit[[#Totals],[Losing Candidate]]),
      0
)</f>
        <v>0</v>
      </c>
      <c r="AV10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1" s="17">
        <f>IF(Audit[[#This Row],[Max Relative Error (ep)]] = 0, 0, Audit[[#This Row],[Max Relative Error (ep)]]/Audit[[#This Row],[Error Bound (up) - Max. possible relative overstatement]])</f>
        <v>0</v>
      </c>
      <c r="BH10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11" s="17">
        <f t="shared" si="16"/>
        <v>1</v>
      </c>
      <c r="BJ1011" s="17">
        <f>PRODUCT($BI$5:BI1011)</f>
        <v>0.13793242319093066</v>
      </c>
      <c r="BK1011" s="19">
        <f>1 - Audit[[#This Row],[K-M P Value]]</f>
        <v>0.86206757680906931</v>
      </c>
      <c r="BL1011" s="17" t="str">
        <f>IF(Audit[[#This Row],[K-M P Value]]&gt;1-'General Info'!$B$12,"Continue", "Stop")</f>
        <v>Continue</v>
      </c>
      <c r="BM1011" s="22" t="b">
        <f>IF(Audit[[#This Row],[Status - Continue or stop audit]] = "Continue", TRUE, IF(BL1010 = "Continue", TRUE, FALSE))</f>
        <v>1</v>
      </c>
      <c r="BN1011" s="22"/>
    </row>
    <row r="1012" spans="1:66" ht="15" hidden="1" customHeight="1" x14ac:dyDescent="0.35">
      <c r="A1012" s="17" t="str">
        <f>'Sampling Data'!AI1012</f>
        <v/>
      </c>
      <c r="B1012" s="17" t="str">
        <f>'Sampling Data'!A1012</f>
        <v>7321 GREEN U   (ED)</v>
      </c>
      <c r="C1012" s="17">
        <f>'Sampling Data'!B1012</f>
        <v>70</v>
      </c>
      <c r="D1012" s="17">
        <f>'Sampling Data'!C1012</f>
        <v>289</v>
      </c>
      <c r="E1012" s="18">
        <f>'Sampling Data'!D1012</f>
        <v>0</v>
      </c>
      <c r="F1012" s="18">
        <f>'Sampling Data'!E1012</f>
        <v>0</v>
      </c>
      <c r="G1012" s="18">
        <f>'Sampling Data'!F1012</f>
        <v>0</v>
      </c>
      <c r="H1012" s="18">
        <f>'Sampling Data'!G1012</f>
        <v>0</v>
      </c>
      <c r="I1012" s="18">
        <f>'Sampling Data'!H1012</f>
        <v>0</v>
      </c>
      <c r="J1012" s="18">
        <f>'Sampling Data'!I1012</f>
        <v>0</v>
      </c>
      <c r="K1012" s="18">
        <f>'Sampling Data'!J1012</f>
        <v>0</v>
      </c>
      <c r="L1012" s="18">
        <f>'Sampling Data'!K1012</f>
        <v>0</v>
      </c>
      <c r="M1012" s="18">
        <f>'Sampling Data'!L1012</f>
        <v>0</v>
      </c>
      <c r="N1012" s="18">
        <f>'Sampling Data'!M1012</f>
        <v>0</v>
      </c>
      <c r="O1012" s="17">
        <f>'Sampling Data'!N1012</f>
        <v>0</v>
      </c>
      <c r="P1012" s="17">
        <f>'Sampling Data'!O1012</f>
        <v>36</v>
      </c>
      <c r="Q1012" s="17">
        <f>'Sampling Data'!P1012</f>
        <v>395</v>
      </c>
      <c r="R1012" s="17">
        <f>'Sampling Data'!AJ1012</f>
        <v>0</v>
      </c>
      <c r="S1012" s="111"/>
      <c r="T1012" s="111"/>
      <c r="U1012" s="112"/>
      <c r="V1012" s="112"/>
      <c r="W1012" s="111"/>
      <c r="X1012" s="111"/>
      <c r="Y1012" s="111"/>
      <c r="Z1012" s="111"/>
      <c r="AA1012" s="14"/>
      <c r="AB1012" s="14"/>
      <c r="AC1012" s="14"/>
      <c r="AD1012" s="14"/>
      <c r="AE1012" s="113" t="str">
        <f>IF(NOT(ISBLANK(Audit[[#This Row],[Audit Winning Candidate]])), Audit[[#This Row],[Audit Winning Candidate]]-Audit[[#This Row],[Winning Candidate]], "")</f>
        <v/>
      </c>
      <c r="AF1012" s="17" t="str">
        <f>IF(NOT(ISBLANK(Audit[[#This Row],[Audit Losing Candidate]])), Audit[[#This Row],[Audit Losing Candidate]]-Audit[[#This Row],[Losing Candidate]], "")</f>
        <v/>
      </c>
      <c r="AG1012" s="17" t="str">
        <f>IF(NOT(ISBLANK(Audit[[#This Row],[Audit Candidate 3]])), Audit[[#This Row],[Audit Candidate 3]]-Audit[[#This Row],[Candidate 3]], "")</f>
        <v/>
      </c>
      <c r="AH1012" s="17" t="str">
        <f>IF(NOT(ISBLANK(Audit[[#This Row],[Audit Candidate 4]])),Audit[[#This Row],[Audit Candidate 4]]-Audit[[#This Row],[Candidate 4]], "")</f>
        <v/>
      </c>
      <c r="AI1012" s="17" t="str">
        <f>IF(NOT(ISBLANK(Audit[[#This Row],[Audit Candidate 5]])), Audit[[#This Row],[Audit Candidate 5]]-Audit[[#This Row],[Candidate 5]], "")</f>
        <v/>
      </c>
      <c r="AJ1012" s="17" t="str">
        <f>IF(NOT(ISBLANK(Audit[[#This Row],[Audit Candidate 6]])), Audit[[#This Row],[Audit Candidate 6]]-Audit[[#This Row],[Candidate 6]], "")</f>
        <v/>
      </c>
      <c r="AK1012" s="17" t="str">
        <f>IF(NOT(ISBLANK(Audit[[#This Row],[Audit Candidate 7]])), Audit[[#This Row],[Audit Candidate 7]]-Audit[[#This Row],[Candidate 7]], "")</f>
        <v/>
      </c>
      <c r="AL1012" s="17" t="str">
        <f>IF(NOT(ISBLANK(Audit[[#This Row],[Audit Candidate 8]])), Audit[[#This Row],[Audit Candidate 8]]-Audit[[#This Row],[Candidate 8]], "")</f>
        <v/>
      </c>
      <c r="AM1012" s="17" t="str">
        <f>IF(NOT(ISBLANK(Audit[[#This Row],[Audit Candidate 9]])), Audit[[#This Row],[Audit Candidate 9]]-Audit[[#This Row],[Candidate 9]], "")</f>
        <v/>
      </c>
      <c r="AN1012" s="17" t="str">
        <f>IF(NOT(ISBLANK(Audit[[#This Row],[Audit Candidate 10]])), Audit[[#This Row],[Audit Candidate 10]]-Audit[[#This Row],[Candidate 10]], "")</f>
        <v/>
      </c>
      <c r="AO1012" s="17" t="str">
        <f>IF(NOT(ISBLANK(Audit[[#This Row],[Audit Candidate 11]])), Audit[[#This Row],[Audit Candidate 11]]-Audit[[#This Row],[Candidate 11]], "")</f>
        <v/>
      </c>
      <c r="AP1012" s="17" t="str">
        <f>IF(NOT(ISBLANK(Audit[[#This Row],[Audit Candidate 12]])), Audit[[#This Row],[Audit Candidate 12]]-Audit[[#This Row],[Candidate 12]], "")</f>
        <v/>
      </c>
      <c r="AQ1012" s="17">
        <f>SUMIF(Audit[[#This Row],[Difference Winner]:[Difference Candidate 12]], "&gt;0")</f>
        <v>0</v>
      </c>
      <c r="AR1012" s="17">
        <f>SUM(Audit[[#This Row],[Difference Winner]:[Difference Candidate 12]])</f>
        <v>0</v>
      </c>
      <c r="AS1012" s="17">
        <f>IF(Audit[[#This Row],[Times p Drawn - With Replacement]]&gt;0, IF(Audit[[#This Row],[Canceled Differences]]&lt;0, Audit[[#This Row],[Max Differences]]+ABS(Audit[[#This Row],[Canceled Differences]]), Audit[[#This Row],[Max Differences]]), 0)</f>
        <v>0</v>
      </c>
      <c r="AT1012" s="17">
        <f>'Sampling Data'!AB1012</f>
        <v>7.4690205398064841E-3</v>
      </c>
      <c r="AU1012" s="17">
        <f>IF(
      SUM(Audit[[#This Row],[Audit Losing Candidate]:[Audit Candidate 12]])
      &lt;&gt;0,
      (Audit[[#This Row],[Winning Candidate]]-Audit[[#This Row],[Losing Candidate]]-(Audit[[#This Row],[Audit Winning Candidate]]-Audit[[#This Row],[Audit Losing Candidate]]))/(Audit[[#Totals],[Winning Candidate]]-Audit[[#Totals],[Losing Candidate]]),
      0
)</f>
        <v>0</v>
      </c>
      <c r="AV10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2" s="17">
        <f>IF(Audit[[#This Row],[Max Relative Error (ep)]] = 0, 0, Audit[[#This Row],[Max Relative Error (ep)]]/Audit[[#This Row],[Error Bound (up) - Max. possible relative overstatement]])</f>
        <v>0</v>
      </c>
      <c r="BH10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12" s="17">
        <f t="shared" si="16"/>
        <v>1</v>
      </c>
      <c r="BJ1012" s="17">
        <f>PRODUCT($BI$5:BI1012)</f>
        <v>0.13793242319093066</v>
      </c>
      <c r="BK1012" s="19">
        <f>1 - Audit[[#This Row],[K-M P Value]]</f>
        <v>0.86206757680906931</v>
      </c>
      <c r="BL1012" s="17" t="str">
        <f>IF(Audit[[#This Row],[K-M P Value]]&gt;1-'General Info'!$B$12,"Continue", "Stop")</f>
        <v>Continue</v>
      </c>
      <c r="BM1012" s="22" t="b">
        <f>IF(Audit[[#This Row],[Status - Continue or stop audit]] = "Continue", TRUE, IF(BL1011 = "Continue", TRUE, FALSE))</f>
        <v>1</v>
      </c>
      <c r="BN1012" s="22"/>
    </row>
    <row r="1013" spans="1:66" ht="15" hidden="1" customHeight="1" x14ac:dyDescent="0.35">
      <c r="A1013" s="17" t="str">
        <f>'Sampling Data'!AI1013</f>
        <v/>
      </c>
      <c r="B1013" s="17" t="str">
        <f>'Sampling Data'!A1013</f>
        <v>7322 GREEN V   (ED)</v>
      </c>
      <c r="C1013" s="17">
        <f>'Sampling Data'!B1013</f>
        <v>147</v>
      </c>
      <c r="D1013" s="17">
        <f>'Sampling Data'!C1013</f>
        <v>368</v>
      </c>
      <c r="E1013" s="18">
        <f>'Sampling Data'!D1013</f>
        <v>0</v>
      </c>
      <c r="F1013" s="18">
        <f>'Sampling Data'!E1013</f>
        <v>0</v>
      </c>
      <c r="G1013" s="18">
        <f>'Sampling Data'!F1013</f>
        <v>0</v>
      </c>
      <c r="H1013" s="18">
        <f>'Sampling Data'!G1013</f>
        <v>0</v>
      </c>
      <c r="I1013" s="18">
        <f>'Sampling Data'!H1013</f>
        <v>0</v>
      </c>
      <c r="J1013" s="18">
        <f>'Sampling Data'!I1013</f>
        <v>0</v>
      </c>
      <c r="K1013" s="18">
        <f>'Sampling Data'!J1013</f>
        <v>0</v>
      </c>
      <c r="L1013" s="18">
        <f>'Sampling Data'!K1013</f>
        <v>0</v>
      </c>
      <c r="M1013" s="18">
        <f>'Sampling Data'!L1013</f>
        <v>0</v>
      </c>
      <c r="N1013" s="18">
        <f>'Sampling Data'!M1013</f>
        <v>0</v>
      </c>
      <c r="O1013" s="17">
        <f>'Sampling Data'!N1013</f>
        <v>2</v>
      </c>
      <c r="P1013" s="17">
        <f>'Sampling Data'!O1013</f>
        <v>50</v>
      </c>
      <c r="Q1013" s="17">
        <f>'Sampling Data'!P1013</f>
        <v>567</v>
      </c>
      <c r="R1013" s="17">
        <f>'Sampling Data'!AJ1013</f>
        <v>0</v>
      </c>
      <c r="S1013" s="111"/>
      <c r="T1013" s="111"/>
      <c r="U1013" s="112"/>
      <c r="V1013" s="112"/>
      <c r="W1013" s="111"/>
      <c r="X1013" s="111"/>
      <c r="Y1013" s="111"/>
      <c r="Z1013" s="111"/>
      <c r="AA1013" s="14"/>
      <c r="AB1013" s="14"/>
      <c r="AC1013" s="14"/>
      <c r="AD1013" s="14"/>
      <c r="AE1013" s="113" t="str">
        <f>IF(NOT(ISBLANK(Audit[[#This Row],[Audit Winning Candidate]])), Audit[[#This Row],[Audit Winning Candidate]]-Audit[[#This Row],[Winning Candidate]], "")</f>
        <v/>
      </c>
      <c r="AF1013" s="17" t="str">
        <f>IF(NOT(ISBLANK(Audit[[#This Row],[Audit Losing Candidate]])), Audit[[#This Row],[Audit Losing Candidate]]-Audit[[#This Row],[Losing Candidate]], "")</f>
        <v/>
      </c>
      <c r="AG1013" s="17" t="str">
        <f>IF(NOT(ISBLANK(Audit[[#This Row],[Audit Candidate 3]])), Audit[[#This Row],[Audit Candidate 3]]-Audit[[#This Row],[Candidate 3]], "")</f>
        <v/>
      </c>
      <c r="AH1013" s="17" t="str">
        <f>IF(NOT(ISBLANK(Audit[[#This Row],[Audit Candidate 4]])),Audit[[#This Row],[Audit Candidate 4]]-Audit[[#This Row],[Candidate 4]], "")</f>
        <v/>
      </c>
      <c r="AI1013" s="17" t="str">
        <f>IF(NOT(ISBLANK(Audit[[#This Row],[Audit Candidate 5]])), Audit[[#This Row],[Audit Candidate 5]]-Audit[[#This Row],[Candidate 5]], "")</f>
        <v/>
      </c>
      <c r="AJ1013" s="17" t="str">
        <f>IF(NOT(ISBLANK(Audit[[#This Row],[Audit Candidate 6]])), Audit[[#This Row],[Audit Candidate 6]]-Audit[[#This Row],[Candidate 6]], "")</f>
        <v/>
      </c>
      <c r="AK1013" s="17" t="str">
        <f>IF(NOT(ISBLANK(Audit[[#This Row],[Audit Candidate 7]])), Audit[[#This Row],[Audit Candidate 7]]-Audit[[#This Row],[Candidate 7]], "")</f>
        <v/>
      </c>
      <c r="AL1013" s="17" t="str">
        <f>IF(NOT(ISBLANK(Audit[[#This Row],[Audit Candidate 8]])), Audit[[#This Row],[Audit Candidate 8]]-Audit[[#This Row],[Candidate 8]], "")</f>
        <v/>
      </c>
      <c r="AM1013" s="17" t="str">
        <f>IF(NOT(ISBLANK(Audit[[#This Row],[Audit Candidate 9]])), Audit[[#This Row],[Audit Candidate 9]]-Audit[[#This Row],[Candidate 9]], "")</f>
        <v/>
      </c>
      <c r="AN1013" s="17" t="str">
        <f>IF(NOT(ISBLANK(Audit[[#This Row],[Audit Candidate 10]])), Audit[[#This Row],[Audit Candidate 10]]-Audit[[#This Row],[Candidate 10]], "")</f>
        <v/>
      </c>
      <c r="AO1013" s="17" t="str">
        <f>IF(NOT(ISBLANK(Audit[[#This Row],[Audit Candidate 11]])), Audit[[#This Row],[Audit Candidate 11]]-Audit[[#This Row],[Candidate 11]], "")</f>
        <v/>
      </c>
      <c r="AP1013" s="17" t="str">
        <f>IF(NOT(ISBLANK(Audit[[#This Row],[Audit Candidate 12]])), Audit[[#This Row],[Audit Candidate 12]]-Audit[[#This Row],[Candidate 12]], "")</f>
        <v/>
      </c>
      <c r="AQ1013" s="17">
        <f>SUMIF(Audit[[#This Row],[Difference Winner]:[Difference Candidate 12]], "&gt;0")</f>
        <v>0</v>
      </c>
      <c r="AR1013" s="17">
        <f>SUM(Audit[[#This Row],[Difference Winner]:[Difference Candidate 12]])</f>
        <v>0</v>
      </c>
      <c r="AS1013" s="17">
        <f>IF(Audit[[#This Row],[Times p Drawn - With Replacement]]&gt;0, IF(Audit[[#This Row],[Canceled Differences]]&lt;0, Audit[[#This Row],[Max Differences]]+ABS(Audit[[#This Row],[Canceled Differences]]), Audit[[#This Row],[Max Differences]]), 0)</f>
        <v>0</v>
      </c>
      <c r="AT1013" s="17">
        <f>'Sampling Data'!AB1013</f>
        <v>1.4683415379392294E-2</v>
      </c>
      <c r="AU1013" s="17">
        <f>IF(
      SUM(Audit[[#This Row],[Audit Losing Candidate]:[Audit Candidate 12]])
      &lt;&gt;0,
      (Audit[[#This Row],[Winning Candidate]]-Audit[[#This Row],[Losing Candidate]]-(Audit[[#This Row],[Audit Winning Candidate]]-Audit[[#This Row],[Audit Losing Candidate]]))/(Audit[[#Totals],[Winning Candidate]]-Audit[[#Totals],[Losing Candidate]]),
      0
)</f>
        <v>0</v>
      </c>
      <c r="AV10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3" s="17">
        <f>IF(Audit[[#This Row],[Max Relative Error (ep)]] = 0, 0, Audit[[#This Row],[Max Relative Error (ep)]]/Audit[[#This Row],[Error Bound (up) - Max. possible relative overstatement]])</f>
        <v>0</v>
      </c>
      <c r="BH10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13" s="17">
        <f t="shared" si="16"/>
        <v>1</v>
      </c>
      <c r="BJ1013" s="17">
        <f>PRODUCT($BI$5:BI1013)</f>
        <v>0.13793242319093066</v>
      </c>
      <c r="BK1013" s="19">
        <f>1 - Audit[[#This Row],[K-M P Value]]</f>
        <v>0.86206757680906931</v>
      </c>
      <c r="BL1013" s="17" t="str">
        <f>IF(Audit[[#This Row],[K-M P Value]]&gt;1-'General Info'!$B$12,"Continue", "Stop")</f>
        <v>Continue</v>
      </c>
      <c r="BM1013" s="22" t="b">
        <f>IF(Audit[[#This Row],[Status - Continue or stop audit]] = "Continue", TRUE, IF(BL1012 = "Continue", TRUE, FALSE))</f>
        <v>1</v>
      </c>
      <c r="BN1013" s="22"/>
    </row>
    <row r="1014" spans="1:66" ht="15" hidden="1" customHeight="1" x14ac:dyDescent="0.35">
      <c r="A1014" s="17" t="str">
        <f>'Sampling Data'!AI1014</f>
        <v/>
      </c>
      <c r="B1014" s="17" t="str">
        <f>'Sampling Data'!A1014</f>
        <v>7323 GREEN W   (ED)</v>
      </c>
      <c r="C1014" s="17">
        <f>'Sampling Data'!B1014</f>
        <v>111</v>
      </c>
      <c r="D1014" s="17">
        <f>'Sampling Data'!C1014</f>
        <v>606</v>
      </c>
      <c r="E1014" s="18">
        <f>'Sampling Data'!D1014</f>
        <v>0</v>
      </c>
      <c r="F1014" s="18">
        <f>'Sampling Data'!E1014</f>
        <v>0</v>
      </c>
      <c r="G1014" s="18">
        <f>'Sampling Data'!F1014</f>
        <v>0</v>
      </c>
      <c r="H1014" s="18">
        <f>'Sampling Data'!G1014</f>
        <v>0</v>
      </c>
      <c r="I1014" s="18">
        <f>'Sampling Data'!H1014</f>
        <v>0</v>
      </c>
      <c r="J1014" s="18">
        <f>'Sampling Data'!I1014</f>
        <v>0</v>
      </c>
      <c r="K1014" s="18">
        <f>'Sampling Data'!J1014</f>
        <v>0</v>
      </c>
      <c r="L1014" s="18">
        <f>'Sampling Data'!K1014</f>
        <v>0</v>
      </c>
      <c r="M1014" s="18">
        <f>'Sampling Data'!L1014</f>
        <v>0</v>
      </c>
      <c r="N1014" s="18">
        <f>'Sampling Data'!M1014</f>
        <v>0</v>
      </c>
      <c r="O1014" s="17">
        <f>'Sampling Data'!N1014</f>
        <v>0</v>
      </c>
      <c r="P1014" s="17">
        <f>'Sampling Data'!O1014</f>
        <v>34</v>
      </c>
      <c r="Q1014" s="17">
        <f>'Sampling Data'!P1014</f>
        <v>751</v>
      </c>
      <c r="R1014" s="17">
        <f>'Sampling Data'!AJ1014</f>
        <v>0</v>
      </c>
      <c r="S1014" s="111"/>
      <c r="T1014" s="111"/>
      <c r="U1014" s="112"/>
      <c r="V1014" s="112"/>
      <c r="W1014" s="111"/>
      <c r="X1014" s="111"/>
      <c r="Y1014" s="111"/>
      <c r="Z1014" s="111"/>
      <c r="AA1014" s="14"/>
      <c r="AB1014" s="14"/>
      <c r="AC1014" s="14"/>
      <c r="AD1014" s="14"/>
      <c r="AE1014" s="113" t="str">
        <f>IF(NOT(ISBLANK(Audit[[#This Row],[Audit Winning Candidate]])), Audit[[#This Row],[Audit Winning Candidate]]-Audit[[#This Row],[Winning Candidate]], "")</f>
        <v/>
      </c>
      <c r="AF1014" s="17" t="str">
        <f>IF(NOT(ISBLANK(Audit[[#This Row],[Audit Losing Candidate]])), Audit[[#This Row],[Audit Losing Candidate]]-Audit[[#This Row],[Losing Candidate]], "")</f>
        <v/>
      </c>
      <c r="AG1014" s="17" t="str">
        <f>IF(NOT(ISBLANK(Audit[[#This Row],[Audit Candidate 3]])), Audit[[#This Row],[Audit Candidate 3]]-Audit[[#This Row],[Candidate 3]], "")</f>
        <v/>
      </c>
      <c r="AH1014" s="17" t="str">
        <f>IF(NOT(ISBLANK(Audit[[#This Row],[Audit Candidate 4]])),Audit[[#This Row],[Audit Candidate 4]]-Audit[[#This Row],[Candidate 4]], "")</f>
        <v/>
      </c>
      <c r="AI1014" s="17" t="str">
        <f>IF(NOT(ISBLANK(Audit[[#This Row],[Audit Candidate 5]])), Audit[[#This Row],[Audit Candidate 5]]-Audit[[#This Row],[Candidate 5]], "")</f>
        <v/>
      </c>
      <c r="AJ1014" s="17" t="str">
        <f>IF(NOT(ISBLANK(Audit[[#This Row],[Audit Candidate 6]])), Audit[[#This Row],[Audit Candidate 6]]-Audit[[#This Row],[Candidate 6]], "")</f>
        <v/>
      </c>
      <c r="AK1014" s="17" t="str">
        <f>IF(NOT(ISBLANK(Audit[[#This Row],[Audit Candidate 7]])), Audit[[#This Row],[Audit Candidate 7]]-Audit[[#This Row],[Candidate 7]], "")</f>
        <v/>
      </c>
      <c r="AL1014" s="17" t="str">
        <f>IF(NOT(ISBLANK(Audit[[#This Row],[Audit Candidate 8]])), Audit[[#This Row],[Audit Candidate 8]]-Audit[[#This Row],[Candidate 8]], "")</f>
        <v/>
      </c>
      <c r="AM1014" s="17" t="str">
        <f>IF(NOT(ISBLANK(Audit[[#This Row],[Audit Candidate 9]])), Audit[[#This Row],[Audit Candidate 9]]-Audit[[#This Row],[Candidate 9]], "")</f>
        <v/>
      </c>
      <c r="AN1014" s="17" t="str">
        <f>IF(NOT(ISBLANK(Audit[[#This Row],[Audit Candidate 10]])), Audit[[#This Row],[Audit Candidate 10]]-Audit[[#This Row],[Candidate 10]], "")</f>
        <v/>
      </c>
      <c r="AO1014" s="17" t="str">
        <f>IF(NOT(ISBLANK(Audit[[#This Row],[Audit Candidate 11]])), Audit[[#This Row],[Audit Candidate 11]]-Audit[[#This Row],[Candidate 11]], "")</f>
        <v/>
      </c>
      <c r="AP1014" s="17" t="str">
        <f>IF(NOT(ISBLANK(Audit[[#This Row],[Audit Candidate 12]])), Audit[[#This Row],[Audit Candidate 12]]-Audit[[#This Row],[Candidate 12]], "")</f>
        <v/>
      </c>
      <c r="AQ1014" s="17">
        <f>SUMIF(Audit[[#This Row],[Difference Winner]:[Difference Candidate 12]], "&gt;0")</f>
        <v>0</v>
      </c>
      <c r="AR1014" s="17">
        <f>SUM(Audit[[#This Row],[Difference Winner]:[Difference Candidate 12]])</f>
        <v>0</v>
      </c>
      <c r="AS1014" s="17">
        <f>IF(Audit[[#This Row],[Times p Drawn - With Replacement]]&gt;0, IF(Audit[[#This Row],[Canceled Differences]]&lt;0, Audit[[#This Row],[Max Differences]]+ABS(Audit[[#This Row],[Canceled Differences]]), Audit[[#This Row],[Max Differences]]), 0)</f>
        <v>0</v>
      </c>
      <c r="AT1014" s="17">
        <f>'Sampling Data'!AB1014</f>
        <v>1.0864029876082159E-2</v>
      </c>
      <c r="AU1014" s="17">
        <f>IF(
      SUM(Audit[[#This Row],[Audit Losing Candidate]:[Audit Candidate 12]])
      &lt;&gt;0,
      (Audit[[#This Row],[Winning Candidate]]-Audit[[#This Row],[Losing Candidate]]-(Audit[[#This Row],[Audit Winning Candidate]]-Audit[[#This Row],[Audit Losing Candidate]]))/(Audit[[#Totals],[Winning Candidate]]-Audit[[#Totals],[Losing Candidate]]),
      0
)</f>
        <v>0</v>
      </c>
      <c r="AV10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4" s="17">
        <f>IF(Audit[[#This Row],[Max Relative Error (ep)]] = 0, 0, Audit[[#This Row],[Max Relative Error (ep)]]/Audit[[#This Row],[Error Bound (up) - Max. possible relative overstatement]])</f>
        <v>0</v>
      </c>
      <c r="BH10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14" s="17">
        <f t="shared" si="16"/>
        <v>1</v>
      </c>
      <c r="BJ1014" s="17">
        <f>PRODUCT($BI$5:BI1014)</f>
        <v>0.13793242319093066</v>
      </c>
      <c r="BK1014" s="19">
        <f>1 - Audit[[#This Row],[K-M P Value]]</f>
        <v>0.86206757680906931</v>
      </c>
      <c r="BL1014" s="17" t="str">
        <f>IF(Audit[[#This Row],[K-M P Value]]&gt;1-'General Info'!$B$12,"Continue", "Stop")</f>
        <v>Continue</v>
      </c>
      <c r="BM1014" s="22" t="b">
        <f>IF(Audit[[#This Row],[Status - Continue or stop audit]] = "Continue", TRUE, IF(BL1013 = "Continue", TRUE, FALSE))</f>
        <v>1</v>
      </c>
      <c r="BN1014" s="22"/>
    </row>
    <row r="1015" spans="1:66" ht="15" hidden="1" customHeight="1" x14ac:dyDescent="0.35">
      <c r="A1015" s="17" t="str">
        <f>'Sampling Data'!AI1015</f>
        <v/>
      </c>
      <c r="B1015" s="17" t="str">
        <f>'Sampling Data'!A1015</f>
        <v>7324 GREEN X   (ED)</v>
      </c>
      <c r="C1015" s="17">
        <f>'Sampling Data'!B1015</f>
        <v>167</v>
      </c>
      <c r="D1015" s="17">
        <f>'Sampling Data'!C1015</f>
        <v>455</v>
      </c>
      <c r="E1015" s="18">
        <f>'Sampling Data'!D1015</f>
        <v>0</v>
      </c>
      <c r="F1015" s="18">
        <f>'Sampling Data'!E1015</f>
        <v>0</v>
      </c>
      <c r="G1015" s="18">
        <f>'Sampling Data'!F1015</f>
        <v>0</v>
      </c>
      <c r="H1015" s="18">
        <f>'Sampling Data'!G1015</f>
        <v>0</v>
      </c>
      <c r="I1015" s="18">
        <f>'Sampling Data'!H1015</f>
        <v>0</v>
      </c>
      <c r="J1015" s="18">
        <f>'Sampling Data'!I1015</f>
        <v>0</v>
      </c>
      <c r="K1015" s="18">
        <f>'Sampling Data'!J1015</f>
        <v>0</v>
      </c>
      <c r="L1015" s="18">
        <f>'Sampling Data'!K1015</f>
        <v>0</v>
      </c>
      <c r="M1015" s="18">
        <f>'Sampling Data'!L1015</f>
        <v>0</v>
      </c>
      <c r="N1015" s="18">
        <f>'Sampling Data'!M1015</f>
        <v>0</v>
      </c>
      <c r="O1015" s="17">
        <f>'Sampling Data'!N1015</f>
        <v>1</v>
      </c>
      <c r="P1015" s="17">
        <f>'Sampling Data'!O1015</f>
        <v>34</v>
      </c>
      <c r="Q1015" s="17">
        <f>'Sampling Data'!P1015</f>
        <v>657</v>
      </c>
      <c r="R1015" s="17">
        <f>'Sampling Data'!AJ1015</f>
        <v>0</v>
      </c>
      <c r="S1015" s="111"/>
      <c r="T1015" s="111"/>
      <c r="U1015" s="112"/>
      <c r="V1015" s="112"/>
      <c r="W1015" s="111"/>
      <c r="X1015" s="111"/>
      <c r="Y1015" s="111"/>
      <c r="Z1015" s="111"/>
      <c r="AA1015" s="14"/>
      <c r="AB1015" s="14"/>
      <c r="AC1015" s="14"/>
      <c r="AD1015" s="14"/>
      <c r="AE1015" s="113" t="str">
        <f>IF(NOT(ISBLANK(Audit[[#This Row],[Audit Winning Candidate]])), Audit[[#This Row],[Audit Winning Candidate]]-Audit[[#This Row],[Winning Candidate]], "")</f>
        <v/>
      </c>
      <c r="AF1015" s="17" t="str">
        <f>IF(NOT(ISBLANK(Audit[[#This Row],[Audit Losing Candidate]])), Audit[[#This Row],[Audit Losing Candidate]]-Audit[[#This Row],[Losing Candidate]], "")</f>
        <v/>
      </c>
      <c r="AG1015" s="17" t="str">
        <f>IF(NOT(ISBLANK(Audit[[#This Row],[Audit Candidate 3]])), Audit[[#This Row],[Audit Candidate 3]]-Audit[[#This Row],[Candidate 3]], "")</f>
        <v/>
      </c>
      <c r="AH1015" s="17" t="str">
        <f>IF(NOT(ISBLANK(Audit[[#This Row],[Audit Candidate 4]])),Audit[[#This Row],[Audit Candidate 4]]-Audit[[#This Row],[Candidate 4]], "")</f>
        <v/>
      </c>
      <c r="AI1015" s="17" t="str">
        <f>IF(NOT(ISBLANK(Audit[[#This Row],[Audit Candidate 5]])), Audit[[#This Row],[Audit Candidate 5]]-Audit[[#This Row],[Candidate 5]], "")</f>
        <v/>
      </c>
      <c r="AJ1015" s="17" t="str">
        <f>IF(NOT(ISBLANK(Audit[[#This Row],[Audit Candidate 6]])), Audit[[#This Row],[Audit Candidate 6]]-Audit[[#This Row],[Candidate 6]], "")</f>
        <v/>
      </c>
      <c r="AK1015" s="17" t="str">
        <f>IF(NOT(ISBLANK(Audit[[#This Row],[Audit Candidate 7]])), Audit[[#This Row],[Audit Candidate 7]]-Audit[[#This Row],[Candidate 7]], "")</f>
        <v/>
      </c>
      <c r="AL1015" s="17" t="str">
        <f>IF(NOT(ISBLANK(Audit[[#This Row],[Audit Candidate 8]])), Audit[[#This Row],[Audit Candidate 8]]-Audit[[#This Row],[Candidate 8]], "")</f>
        <v/>
      </c>
      <c r="AM1015" s="17" t="str">
        <f>IF(NOT(ISBLANK(Audit[[#This Row],[Audit Candidate 9]])), Audit[[#This Row],[Audit Candidate 9]]-Audit[[#This Row],[Candidate 9]], "")</f>
        <v/>
      </c>
      <c r="AN1015" s="17" t="str">
        <f>IF(NOT(ISBLANK(Audit[[#This Row],[Audit Candidate 10]])), Audit[[#This Row],[Audit Candidate 10]]-Audit[[#This Row],[Candidate 10]], "")</f>
        <v/>
      </c>
      <c r="AO1015" s="17" t="str">
        <f>IF(NOT(ISBLANK(Audit[[#This Row],[Audit Candidate 11]])), Audit[[#This Row],[Audit Candidate 11]]-Audit[[#This Row],[Candidate 11]], "")</f>
        <v/>
      </c>
      <c r="AP1015" s="17" t="str">
        <f>IF(NOT(ISBLANK(Audit[[#This Row],[Audit Candidate 12]])), Audit[[#This Row],[Audit Candidate 12]]-Audit[[#This Row],[Candidate 12]], "")</f>
        <v/>
      </c>
      <c r="AQ1015" s="17">
        <f>SUMIF(Audit[[#This Row],[Difference Winner]:[Difference Candidate 12]], "&gt;0")</f>
        <v>0</v>
      </c>
      <c r="AR1015" s="17">
        <f>SUM(Audit[[#This Row],[Difference Winner]:[Difference Candidate 12]])</f>
        <v>0</v>
      </c>
      <c r="AS1015" s="17">
        <f>IF(Audit[[#This Row],[Times p Drawn - With Replacement]]&gt;0, IF(Audit[[#This Row],[Canceled Differences]]&lt;0, Audit[[#This Row],[Max Differences]]+ABS(Audit[[#This Row],[Canceled Differences]]), Audit[[#This Row],[Max Differences]]), 0)</f>
        <v>0</v>
      </c>
      <c r="AT1015" s="17">
        <f>'Sampling Data'!AB1015</f>
        <v>1.565948056357155E-2</v>
      </c>
      <c r="AU1015" s="17">
        <f>IF(
      SUM(Audit[[#This Row],[Audit Losing Candidate]:[Audit Candidate 12]])
      &lt;&gt;0,
      (Audit[[#This Row],[Winning Candidate]]-Audit[[#This Row],[Losing Candidate]]-(Audit[[#This Row],[Audit Winning Candidate]]-Audit[[#This Row],[Audit Losing Candidate]]))/(Audit[[#Totals],[Winning Candidate]]-Audit[[#Totals],[Losing Candidate]]),
      0
)</f>
        <v>0</v>
      </c>
      <c r="AV10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5" s="17">
        <f>IF(Audit[[#This Row],[Max Relative Error (ep)]] = 0, 0, Audit[[#This Row],[Max Relative Error (ep)]]/Audit[[#This Row],[Error Bound (up) - Max. possible relative overstatement]])</f>
        <v>0</v>
      </c>
      <c r="BH10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15" s="17">
        <f t="shared" si="16"/>
        <v>1</v>
      </c>
      <c r="BJ1015" s="17">
        <f>PRODUCT($BI$5:BI1015)</f>
        <v>0.13793242319093066</v>
      </c>
      <c r="BK1015" s="19">
        <f>1 - Audit[[#This Row],[K-M P Value]]</f>
        <v>0.86206757680906931</v>
      </c>
      <c r="BL1015" s="17" t="str">
        <f>IF(Audit[[#This Row],[K-M P Value]]&gt;1-'General Info'!$B$12,"Continue", "Stop")</f>
        <v>Continue</v>
      </c>
      <c r="BM1015" s="22" t="b">
        <f>IF(Audit[[#This Row],[Status - Continue or stop audit]] = "Continue", TRUE, IF(BL1014 = "Continue", TRUE, FALSE))</f>
        <v>1</v>
      </c>
      <c r="BN1015" s="22"/>
    </row>
    <row r="1016" spans="1:66" ht="15" hidden="1" customHeight="1" x14ac:dyDescent="0.35">
      <c r="A1016" s="17" t="str">
        <f>'Sampling Data'!AI1016</f>
        <v/>
      </c>
      <c r="B1016" s="17" t="str">
        <f>'Sampling Data'!A1016</f>
        <v>7325 GREEN Y   (ED)</v>
      </c>
      <c r="C1016" s="17">
        <f>'Sampling Data'!B1016</f>
        <v>99</v>
      </c>
      <c r="D1016" s="17">
        <f>'Sampling Data'!C1016</f>
        <v>366</v>
      </c>
      <c r="E1016" s="18">
        <f>'Sampling Data'!D1016</f>
        <v>0</v>
      </c>
      <c r="F1016" s="18">
        <f>'Sampling Data'!E1016</f>
        <v>0</v>
      </c>
      <c r="G1016" s="18">
        <f>'Sampling Data'!F1016</f>
        <v>0</v>
      </c>
      <c r="H1016" s="18">
        <f>'Sampling Data'!G1016</f>
        <v>0</v>
      </c>
      <c r="I1016" s="18">
        <f>'Sampling Data'!H1016</f>
        <v>0</v>
      </c>
      <c r="J1016" s="18">
        <f>'Sampling Data'!I1016</f>
        <v>0</v>
      </c>
      <c r="K1016" s="18">
        <f>'Sampling Data'!J1016</f>
        <v>0</v>
      </c>
      <c r="L1016" s="18">
        <f>'Sampling Data'!K1016</f>
        <v>0</v>
      </c>
      <c r="M1016" s="18">
        <f>'Sampling Data'!L1016</f>
        <v>0</v>
      </c>
      <c r="N1016" s="18">
        <f>'Sampling Data'!M1016</f>
        <v>0</v>
      </c>
      <c r="O1016" s="17">
        <f>'Sampling Data'!N1016</f>
        <v>0</v>
      </c>
      <c r="P1016" s="17">
        <f>'Sampling Data'!O1016</f>
        <v>37</v>
      </c>
      <c r="Q1016" s="17">
        <f>'Sampling Data'!P1016</f>
        <v>502</v>
      </c>
      <c r="R1016" s="17">
        <f>'Sampling Data'!AJ1016</f>
        <v>0</v>
      </c>
      <c r="S1016" s="111"/>
      <c r="T1016" s="111"/>
      <c r="U1016" s="112"/>
      <c r="V1016" s="112"/>
      <c r="W1016" s="111"/>
      <c r="X1016" s="111"/>
      <c r="Y1016" s="111"/>
      <c r="Z1016" s="111"/>
      <c r="AA1016" s="14"/>
      <c r="AB1016" s="14"/>
      <c r="AC1016" s="14"/>
      <c r="AD1016" s="14"/>
      <c r="AE1016" s="113" t="str">
        <f>IF(NOT(ISBLANK(Audit[[#This Row],[Audit Winning Candidate]])), Audit[[#This Row],[Audit Winning Candidate]]-Audit[[#This Row],[Winning Candidate]], "")</f>
        <v/>
      </c>
      <c r="AF1016" s="17" t="str">
        <f>IF(NOT(ISBLANK(Audit[[#This Row],[Audit Losing Candidate]])), Audit[[#This Row],[Audit Losing Candidate]]-Audit[[#This Row],[Losing Candidate]], "")</f>
        <v/>
      </c>
      <c r="AG1016" s="17" t="str">
        <f>IF(NOT(ISBLANK(Audit[[#This Row],[Audit Candidate 3]])), Audit[[#This Row],[Audit Candidate 3]]-Audit[[#This Row],[Candidate 3]], "")</f>
        <v/>
      </c>
      <c r="AH1016" s="17" t="str">
        <f>IF(NOT(ISBLANK(Audit[[#This Row],[Audit Candidate 4]])),Audit[[#This Row],[Audit Candidate 4]]-Audit[[#This Row],[Candidate 4]], "")</f>
        <v/>
      </c>
      <c r="AI1016" s="17" t="str">
        <f>IF(NOT(ISBLANK(Audit[[#This Row],[Audit Candidate 5]])), Audit[[#This Row],[Audit Candidate 5]]-Audit[[#This Row],[Candidate 5]], "")</f>
        <v/>
      </c>
      <c r="AJ1016" s="17" t="str">
        <f>IF(NOT(ISBLANK(Audit[[#This Row],[Audit Candidate 6]])), Audit[[#This Row],[Audit Candidate 6]]-Audit[[#This Row],[Candidate 6]], "")</f>
        <v/>
      </c>
      <c r="AK1016" s="17" t="str">
        <f>IF(NOT(ISBLANK(Audit[[#This Row],[Audit Candidate 7]])), Audit[[#This Row],[Audit Candidate 7]]-Audit[[#This Row],[Candidate 7]], "")</f>
        <v/>
      </c>
      <c r="AL1016" s="17" t="str">
        <f>IF(NOT(ISBLANK(Audit[[#This Row],[Audit Candidate 8]])), Audit[[#This Row],[Audit Candidate 8]]-Audit[[#This Row],[Candidate 8]], "")</f>
        <v/>
      </c>
      <c r="AM1016" s="17" t="str">
        <f>IF(NOT(ISBLANK(Audit[[#This Row],[Audit Candidate 9]])), Audit[[#This Row],[Audit Candidate 9]]-Audit[[#This Row],[Candidate 9]], "")</f>
        <v/>
      </c>
      <c r="AN1016" s="17" t="str">
        <f>IF(NOT(ISBLANK(Audit[[#This Row],[Audit Candidate 10]])), Audit[[#This Row],[Audit Candidate 10]]-Audit[[#This Row],[Candidate 10]], "")</f>
        <v/>
      </c>
      <c r="AO1016" s="17" t="str">
        <f>IF(NOT(ISBLANK(Audit[[#This Row],[Audit Candidate 11]])), Audit[[#This Row],[Audit Candidate 11]]-Audit[[#This Row],[Candidate 11]], "")</f>
        <v/>
      </c>
      <c r="AP1016" s="17" t="str">
        <f>IF(NOT(ISBLANK(Audit[[#This Row],[Audit Candidate 12]])), Audit[[#This Row],[Audit Candidate 12]]-Audit[[#This Row],[Candidate 12]], "")</f>
        <v/>
      </c>
      <c r="AQ1016" s="17">
        <f>SUMIF(Audit[[#This Row],[Difference Winner]:[Difference Candidate 12]], "&gt;0")</f>
        <v>0</v>
      </c>
      <c r="AR1016" s="17">
        <f>SUM(Audit[[#This Row],[Difference Winner]:[Difference Candidate 12]])</f>
        <v>0</v>
      </c>
      <c r="AS1016" s="17">
        <f>IF(Audit[[#This Row],[Times p Drawn - With Replacement]]&gt;0, IF(Audit[[#This Row],[Canceled Differences]]&lt;0, Audit[[#This Row],[Max Differences]]+ABS(Audit[[#This Row],[Canceled Differences]]), Audit[[#This Row],[Max Differences]]), 0)</f>
        <v>0</v>
      </c>
      <c r="AT1016" s="17">
        <f>'Sampling Data'!AB1016</f>
        <v>9.9728399253097948E-3</v>
      </c>
      <c r="AU1016" s="17">
        <f>IF(
      SUM(Audit[[#This Row],[Audit Losing Candidate]:[Audit Candidate 12]])
      &lt;&gt;0,
      (Audit[[#This Row],[Winning Candidate]]-Audit[[#This Row],[Losing Candidate]]-(Audit[[#This Row],[Audit Winning Candidate]]-Audit[[#This Row],[Audit Losing Candidate]]))/(Audit[[#Totals],[Winning Candidate]]-Audit[[#Totals],[Losing Candidate]]),
      0
)</f>
        <v>0</v>
      </c>
      <c r="AV10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6" s="17">
        <f>IF(Audit[[#This Row],[Max Relative Error (ep)]] = 0, 0, Audit[[#This Row],[Max Relative Error (ep)]]/Audit[[#This Row],[Error Bound (up) - Max. possible relative overstatement]])</f>
        <v>0</v>
      </c>
      <c r="BH10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16" s="17">
        <f t="shared" si="16"/>
        <v>1</v>
      </c>
      <c r="BJ1016" s="17">
        <f>PRODUCT($BI$5:BI1016)</f>
        <v>0.13793242319093066</v>
      </c>
      <c r="BK1016" s="19">
        <f>1 - Audit[[#This Row],[K-M P Value]]</f>
        <v>0.86206757680906931</v>
      </c>
      <c r="BL1016" s="17" t="str">
        <f>IF(Audit[[#This Row],[K-M P Value]]&gt;1-'General Info'!$B$12,"Continue", "Stop")</f>
        <v>Continue</v>
      </c>
      <c r="BM1016" s="22" t="b">
        <f>IF(Audit[[#This Row],[Status - Continue or stop audit]] = "Continue", TRUE, IF(BL1015 = "Continue", TRUE, FALSE))</f>
        <v>1</v>
      </c>
      <c r="BN1016" s="22"/>
    </row>
    <row r="1017" spans="1:66" ht="15" hidden="1" customHeight="1" x14ac:dyDescent="0.35">
      <c r="A1017" s="17" t="str">
        <f>'Sampling Data'!AI1017</f>
        <v/>
      </c>
      <c r="B1017" s="17" t="str">
        <f>'Sampling Data'!A1017</f>
        <v>7326 GREEN Z   (ED)</v>
      </c>
      <c r="C1017" s="17">
        <f>'Sampling Data'!B1017</f>
        <v>131</v>
      </c>
      <c r="D1017" s="17">
        <f>'Sampling Data'!C1017</f>
        <v>487</v>
      </c>
      <c r="E1017" s="18">
        <f>'Sampling Data'!D1017</f>
        <v>0</v>
      </c>
      <c r="F1017" s="18">
        <f>'Sampling Data'!E1017</f>
        <v>0</v>
      </c>
      <c r="G1017" s="18">
        <f>'Sampling Data'!F1017</f>
        <v>0</v>
      </c>
      <c r="H1017" s="18">
        <f>'Sampling Data'!G1017</f>
        <v>0</v>
      </c>
      <c r="I1017" s="18">
        <f>'Sampling Data'!H1017</f>
        <v>0</v>
      </c>
      <c r="J1017" s="18">
        <f>'Sampling Data'!I1017</f>
        <v>0</v>
      </c>
      <c r="K1017" s="18">
        <f>'Sampling Data'!J1017</f>
        <v>0</v>
      </c>
      <c r="L1017" s="18">
        <f>'Sampling Data'!K1017</f>
        <v>0</v>
      </c>
      <c r="M1017" s="18">
        <f>'Sampling Data'!L1017</f>
        <v>0</v>
      </c>
      <c r="N1017" s="18">
        <f>'Sampling Data'!M1017</f>
        <v>0</v>
      </c>
      <c r="O1017" s="17">
        <f>'Sampling Data'!N1017</f>
        <v>0</v>
      </c>
      <c r="P1017" s="17">
        <f>'Sampling Data'!O1017</f>
        <v>59</v>
      </c>
      <c r="Q1017" s="17">
        <f>'Sampling Data'!P1017</f>
        <v>677</v>
      </c>
      <c r="R1017" s="17">
        <f>'Sampling Data'!AJ1017</f>
        <v>0</v>
      </c>
      <c r="S1017" s="111"/>
      <c r="T1017" s="111"/>
      <c r="U1017" s="112"/>
      <c r="V1017" s="112"/>
      <c r="W1017" s="111"/>
      <c r="X1017" s="111"/>
      <c r="Y1017" s="111"/>
      <c r="Z1017" s="111"/>
      <c r="AA1017" s="14"/>
      <c r="AB1017" s="14"/>
      <c r="AC1017" s="14"/>
      <c r="AD1017" s="14"/>
      <c r="AE1017" s="113" t="str">
        <f>IF(NOT(ISBLANK(Audit[[#This Row],[Audit Winning Candidate]])), Audit[[#This Row],[Audit Winning Candidate]]-Audit[[#This Row],[Winning Candidate]], "")</f>
        <v/>
      </c>
      <c r="AF1017" s="17" t="str">
        <f>IF(NOT(ISBLANK(Audit[[#This Row],[Audit Losing Candidate]])), Audit[[#This Row],[Audit Losing Candidate]]-Audit[[#This Row],[Losing Candidate]], "")</f>
        <v/>
      </c>
      <c r="AG1017" s="17" t="str">
        <f>IF(NOT(ISBLANK(Audit[[#This Row],[Audit Candidate 3]])), Audit[[#This Row],[Audit Candidate 3]]-Audit[[#This Row],[Candidate 3]], "")</f>
        <v/>
      </c>
      <c r="AH1017" s="17" t="str">
        <f>IF(NOT(ISBLANK(Audit[[#This Row],[Audit Candidate 4]])),Audit[[#This Row],[Audit Candidate 4]]-Audit[[#This Row],[Candidate 4]], "")</f>
        <v/>
      </c>
      <c r="AI1017" s="17" t="str">
        <f>IF(NOT(ISBLANK(Audit[[#This Row],[Audit Candidate 5]])), Audit[[#This Row],[Audit Candidate 5]]-Audit[[#This Row],[Candidate 5]], "")</f>
        <v/>
      </c>
      <c r="AJ1017" s="17" t="str">
        <f>IF(NOT(ISBLANK(Audit[[#This Row],[Audit Candidate 6]])), Audit[[#This Row],[Audit Candidate 6]]-Audit[[#This Row],[Candidate 6]], "")</f>
        <v/>
      </c>
      <c r="AK1017" s="17" t="str">
        <f>IF(NOT(ISBLANK(Audit[[#This Row],[Audit Candidate 7]])), Audit[[#This Row],[Audit Candidate 7]]-Audit[[#This Row],[Candidate 7]], "")</f>
        <v/>
      </c>
      <c r="AL1017" s="17" t="str">
        <f>IF(NOT(ISBLANK(Audit[[#This Row],[Audit Candidate 8]])), Audit[[#This Row],[Audit Candidate 8]]-Audit[[#This Row],[Candidate 8]], "")</f>
        <v/>
      </c>
      <c r="AM1017" s="17" t="str">
        <f>IF(NOT(ISBLANK(Audit[[#This Row],[Audit Candidate 9]])), Audit[[#This Row],[Audit Candidate 9]]-Audit[[#This Row],[Candidate 9]], "")</f>
        <v/>
      </c>
      <c r="AN1017" s="17" t="str">
        <f>IF(NOT(ISBLANK(Audit[[#This Row],[Audit Candidate 10]])), Audit[[#This Row],[Audit Candidate 10]]-Audit[[#This Row],[Candidate 10]], "")</f>
        <v/>
      </c>
      <c r="AO1017" s="17" t="str">
        <f>IF(NOT(ISBLANK(Audit[[#This Row],[Audit Candidate 11]])), Audit[[#This Row],[Audit Candidate 11]]-Audit[[#This Row],[Candidate 11]], "")</f>
        <v/>
      </c>
      <c r="AP1017" s="17" t="str">
        <f>IF(NOT(ISBLANK(Audit[[#This Row],[Audit Candidate 12]])), Audit[[#This Row],[Audit Candidate 12]]-Audit[[#This Row],[Candidate 12]], "")</f>
        <v/>
      </c>
      <c r="AQ1017" s="17">
        <f>SUMIF(Audit[[#This Row],[Difference Winner]:[Difference Candidate 12]], "&gt;0")</f>
        <v>0</v>
      </c>
      <c r="AR1017" s="17">
        <f>SUM(Audit[[#This Row],[Difference Winner]:[Difference Candidate 12]])</f>
        <v>0</v>
      </c>
      <c r="AS1017" s="17">
        <f>IF(Audit[[#This Row],[Times p Drawn - With Replacement]]&gt;0, IF(Audit[[#This Row],[Canceled Differences]]&lt;0, Audit[[#This Row],[Max Differences]]+ABS(Audit[[#This Row],[Canceled Differences]]), Audit[[#This Row],[Max Differences]]), 0)</f>
        <v>0</v>
      </c>
      <c r="AT1017" s="17">
        <f>'Sampling Data'!AB1017</f>
        <v>1.3622474961806144E-2</v>
      </c>
      <c r="AU1017" s="17">
        <f>IF(
      SUM(Audit[[#This Row],[Audit Losing Candidate]:[Audit Candidate 12]])
      &lt;&gt;0,
      (Audit[[#This Row],[Winning Candidate]]-Audit[[#This Row],[Losing Candidate]]-(Audit[[#This Row],[Audit Winning Candidate]]-Audit[[#This Row],[Audit Losing Candidate]]))/(Audit[[#Totals],[Winning Candidate]]-Audit[[#Totals],[Losing Candidate]]),
      0
)</f>
        <v>0</v>
      </c>
      <c r="AV10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7" s="17">
        <f>IF(Audit[[#This Row],[Max Relative Error (ep)]] = 0, 0, Audit[[#This Row],[Max Relative Error (ep)]]/Audit[[#This Row],[Error Bound (up) - Max. possible relative overstatement]])</f>
        <v>0</v>
      </c>
      <c r="BH10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17" s="17">
        <f t="shared" si="16"/>
        <v>1</v>
      </c>
      <c r="BJ1017" s="17">
        <f>PRODUCT($BI$5:BI1017)</f>
        <v>0.13793242319093066</v>
      </c>
      <c r="BK1017" s="19">
        <f>1 - Audit[[#This Row],[K-M P Value]]</f>
        <v>0.86206757680906931</v>
      </c>
      <c r="BL1017" s="17" t="str">
        <f>IF(Audit[[#This Row],[K-M P Value]]&gt;1-'General Info'!$B$12,"Continue", "Stop")</f>
        <v>Continue</v>
      </c>
      <c r="BM1017" s="22" t="b">
        <f>IF(Audit[[#This Row],[Status - Continue or stop audit]] = "Continue", TRUE, IF(BL1016 = "Continue", TRUE, FALSE))</f>
        <v>1</v>
      </c>
      <c r="BN1017" s="22"/>
    </row>
    <row r="1018" spans="1:66" ht="15" hidden="1" customHeight="1" x14ac:dyDescent="0.35">
      <c r="A1018" s="17" t="str">
        <f>'Sampling Data'!AI1018</f>
        <v/>
      </c>
      <c r="B1018" s="17" t="str">
        <f>'Sampling Data'!A1018</f>
        <v>7327 GREEN AA   (ED)</v>
      </c>
      <c r="C1018" s="17">
        <f>'Sampling Data'!B1018</f>
        <v>103</v>
      </c>
      <c r="D1018" s="17">
        <f>'Sampling Data'!C1018</f>
        <v>380</v>
      </c>
      <c r="E1018" s="18">
        <f>'Sampling Data'!D1018</f>
        <v>0</v>
      </c>
      <c r="F1018" s="18">
        <f>'Sampling Data'!E1018</f>
        <v>0</v>
      </c>
      <c r="G1018" s="18">
        <f>'Sampling Data'!F1018</f>
        <v>0</v>
      </c>
      <c r="H1018" s="18">
        <f>'Sampling Data'!G1018</f>
        <v>0</v>
      </c>
      <c r="I1018" s="18">
        <f>'Sampling Data'!H1018</f>
        <v>0</v>
      </c>
      <c r="J1018" s="18">
        <f>'Sampling Data'!I1018</f>
        <v>0</v>
      </c>
      <c r="K1018" s="18">
        <f>'Sampling Data'!J1018</f>
        <v>0</v>
      </c>
      <c r="L1018" s="18">
        <f>'Sampling Data'!K1018</f>
        <v>0</v>
      </c>
      <c r="M1018" s="18">
        <f>'Sampling Data'!L1018</f>
        <v>0</v>
      </c>
      <c r="N1018" s="18">
        <f>'Sampling Data'!M1018</f>
        <v>0</v>
      </c>
      <c r="O1018" s="17">
        <f>'Sampling Data'!N1018</f>
        <v>0</v>
      </c>
      <c r="P1018" s="17">
        <f>'Sampling Data'!O1018</f>
        <v>37</v>
      </c>
      <c r="Q1018" s="17">
        <f>'Sampling Data'!P1018</f>
        <v>520</v>
      </c>
      <c r="R1018" s="17">
        <f>'Sampling Data'!AJ1018</f>
        <v>0</v>
      </c>
      <c r="S1018" s="111"/>
      <c r="T1018" s="111"/>
      <c r="U1018" s="112"/>
      <c r="V1018" s="112"/>
      <c r="W1018" s="111"/>
      <c r="X1018" s="111"/>
      <c r="Y1018" s="111"/>
      <c r="Z1018" s="111"/>
      <c r="AA1018" s="14"/>
      <c r="AB1018" s="14"/>
      <c r="AC1018" s="14"/>
      <c r="AD1018" s="14"/>
      <c r="AE1018" s="113" t="str">
        <f>IF(NOT(ISBLANK(Audit[[#This Row],[Audit Winning Candidate]])), Audit[[#This Row],[Audit Winning Candidate]]-Audit[[#This Row],[Winning Candidate]], "")</f>
        <v/>
      </c>
      <c r="AF1018" s="17" t="str">
        <f>IF(NOT(ISBLANK(Audit[[#This Row],[Audit Losing Candidate]])), Audit[[#This Row],[Audit Losing Candidate]]-Audit[[#This Row],[Losing Candidate]], "")</f>
        <v/>
      </c>
      <c r="AG1018" s="17" t="str">
        <f>IF(NOT(ISBLANK(Audit[[#This Row],[Audit Candidate 3]])), Audit[[#This Row],[Audit Candidate 3]]-Audit[[#This Row],[Candidate 3]], "")</f>
        <v/>
      </c>
      <c r="AH1018" s="17" t="str">
        <f>IF(NOT(ISBLANK(Audit[[#This Row],[Audit Candidate 4]])),Audit[[#This Row],[Audit Candidate 4]]-Audit[[#This Row],[Candidate 4]], "")</f>
        <v/>
      </c>
      <c r="AI1018" s="17" t="str">
        <f>IF(NOT(ISBLANK(Audit[[#This Row],[Audit Candidate 5]])), Audit[[#This Row],[Audit Candidate 5]]-Audit[[#This Row],[Candidate 5]], "")</f>
        <v/>
      </c>
      <c r="AJ1018" s="17" t="str">
        <f>IF(NOT(ISBLANK(Audit[[#This Row],[Audit Candidate 6]])), Audit[[#This Row],[Audit Candidate 6]]-Audit[[#This Row],[Candidate 6]], "")</f>
        <v/>
      </c>
      <c r="AK1018" s="17" t="str">
        <f>IF(NOT(ISBLANK(Audit[[#This Row],[Audit Candidate 7]])), Audit[[#This Row],[Audit Candidate 7]]-Audit[[#This Row],[Candidate 7]], "")</f>
        <v/>
      </c>
      <c r="AL1018" s="17" t="str">
        <f>IF(NOT(ISBLANK(Audit[[#This Row],[Audit Candidate 8]])), Audit[[#This Row],[Audit Candidate 8]]-Audit[[#This Row],[Candidate 8]], "")</f>
        <v/>
      </c>
      <c r="AM1018" s="17" t="str">
        <f>IF(NOT(ISBLANK(Audit[[#This Row],[Audit Candidate 9]])), Audit[[#This Row],[Audit Candidate 9]]-Audit[[#This Row],[Candidate 9]], "")</f>
        <v/>
      </c>
      <c r="AN1018" s="17" t="str">
        <f>IF(NOT(ISBLANK(Audit[[#This Row],[Audit Candidate 10]])), Audit[[#This Row],[Audit Candidate 10]]-Audit[[#This Row],[Candidate 10]], "")</f>
        <v/>
      </c>
      <c r="AO1018" s="17" t="str">
        <f>IF(NOT(ISBLANK(Audit[[#This Row],[Audit Candidate 11]])), Audit[[#This Row],[Audit Candidate 11]]-Audit[[#This Row],[Candidate 11]], "")</f>
        <v/>
      </c>
      <c r="AP1018" s="17" t="str">
        <f>IF(NOT(ISBLANK(Audit[[#This Row],[Audit Candidate 12]])), Audit[[#This Row],[Audit Candidate 12]]-Audit[[#This Row],[Candidate 12]], "")</f>
        <v/>
      </c>
      <c r="AQ1018" s="17">
        <f>SUMIF(Audit[[#This Row],[Difference Winner]:[Difference Candidate 12]], "&gt;0")</f>
        <v>0</v>
      </c>
      <c r="AR1018" s="17">
        <f>SUM(Audit[[#This Row],[Difference Winner]:[Difference Candidate 12]])</f>
        <v>0</v>
      </c>
      <c r="AS1018" s="17">
        <f>IF(Audit[[#This Row],[Times p Drawn - With Replacement]]&gt;0, IF(Audit[[#This Row],[Canceled Differences]]&lt;0, Audit[[#This Row],[Max Differences]]+ABS(Audit[[#This Row],[Canceled Differences]]), Audit[[#This Row],[Max Differences]]), 0)</f>
        <v>0</v>
      </c>
      <c r="AT1018" s="17">
        <f>'Sampling Data'!AB1018</f>
        <v>1.0312340858937362E-2</v>
      </c>
      <c r="AU1018" s="17">
        <f>IF(
      SUM(Audit[[#This Row],[Audit Losing Candidate]:[Audit Candidate 12]])
      &lt;&gt;0,
      (Audit[[#This Row],[Winning Candidate]]-Audit[[#This Row],[Losing Candidate]]-(Audit[[#This Row],[Audit Winning Candidate]]-Audit[[#This Row],[Audit Losing Candidate]]))/(Audit[[#Totals],[Winning Candidate]]-Audit[[#Totals],[Losing Candidate]]),
      0
)</f>
        <v>0</v>
      </c>
      <c r="AV10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8" s="17">
        <f>IF(Audit[[#This Row],[Max Relative Error (ep)]] = 0, 0, Audit[[#This Row],[Max Relative Error (ep)]]/Audit[[#This Row],[Error Bound (up) - Max. possible relative overstatement]])</f>
        <v>0</v>
      </c>
      <c r="BH10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18" s="17">
        <f t="shared" si="16"/>
        <v>1</v>
      </c>
      <c r="BJ1018" s="17">
        <f>PRODUCT($BI$5:BI1018)</f>
        <v>0.13793242319093066</v>
      </c>
      <c r="BK1018" s="19">
        <f>1 - Audit[[#This Row],[K-M P Value]]</f>
        <v>0.86206757680906931</v>
      </c>
      <c r="BL1018" s="17" t="str">
        <f>IF(Audit[[#This Row],[K-M P Value]]&gt;1-'General Info'!$B$12,"Continue", "Stop")</f>
        <v>Continue</v>
      </c>
      <c r="BM1018" s="22" t="b">
        <f>IF(Audit[[#This Row],[Status - Continue or stop audit]] = "Continue", TRUE, IF(BL1017 = "Continue", TRUE, FALSE))</f>
        <v>1</v>
      </c>
      <c r="BN1018" s="22"/>
    </row>
    <row r="1019" spans="1:66" ht="15" hidden="1" customHeight="1" x14ac:dyDescent="0.35">
      <c r="A1019" s="17" t="str">
        <f>'Sampling Data'!AI1019</f>
        <v/>
      </c>
      <c r="B1019" s="17" t="str">
        <f>'Sampling Data'!A1019</f>
        <v>7328 GREEN BB   (ED)</v>
      </c>
      <c r="C1019" s="17">
        <f>'Sampling Data'!B1019</f>
        <v>120</v>
      </c>
      <c r="D1019" s="17">
        <f>'Sampling Data'!C1019</f>
        <v>366</v>
      </c>
      <c r="E1019" s="18">
        <f>'Sampling Data'!D1019</f>
        <v>0</v>
      </c>
      <c r="F1019" s="18">
        <f>'Sampling Data'!E1019</f>
        <v>0</v>
      </c>
      <c r="G1019" s="18">
        <f>'Sampling Data'!F1019</f>
        <v>0</v>
      </c>
      <c r="H1019" s="18">
        <f>'Sampling Data'!G1019</f>
        <v>0</v>
      </c>
      <c r="I1019" s="18">
        <f>'Sampling Data'!H1019</f>
        <v>0</v>
      </c>
      <c r="J1019" s="18">
        <f>'Sampling Data'!I1019</f>
        <v>0</v>
      </c>
      <c r="K1019" s="18">
        <f>'Sampling Data'!J1019</f>
        <v>0</v>
      </c>
      <c r="L1019" s="18">
        <f>'Sampling Data'!K1019</f>
        <v>0</v>
      </c>
      <c r="M1019" s="18">
        <f>'Sampling Data'!L1019</f>
        <v>0</v>
      </c>
      <c r="N1019" s="18">
        <f>'Sampling Data'!M1019</f>
        <v>0</v>
      </c>
      <c r="O1019" s="17">
        <f>'Sampling Data'!N1019</f>
        <v>1</v>
      </c>
      <c r="P1019" s="17">
        <f>'Sampling Data'!O1019</f>
        <v>31</v>
      </c>
      <c r="Q1019" s="17">
        <f>'Sampling Data'!P1019</f>
        <v>518</v>
      </c>
      <c r="R1019" s="17">
        <f>'Sampling Data'!AJ1019</f>
        <v>0</v>
      </c>
      <c r="S1019" s="111"/>
      <c r="T1019" s="111"/>
      <c r="U1019" s="112"/>
      <c r="V1019" s="112"/>
      <c r="W1019" s="111"/>
      <c r="X1019" s="111"/>
      <c r="Y1019" s="111"/>
      <c r="Z1019" s="111"/>
      <c r="AA1019" s="14"/>
      <c r="AB1019" s="14"/>
      <c r="AC1019" s="14"/>
      <c r="AD1019" s="14"/>
      <c r="AE1019" s="113" t="str">
        <f>IF(NOT(ISBLANK(Audit[[#This Row],[Audit Winning Candidate]])), Audit[[#This Row],[Audit Winning Candidate]]-Audit[[#This Row],[Winning Candidate]], "")</f>
        <v/>
      </c>
      <c r="AF1019" s="17" t="str">
        <f>IF(NOT(ISBLANK(Audit[[#This Row],[Audit Losing Candidate]])), Audit[[#This Row],[Audit Losing Candidate]]-Audit[[#This Row],[Losing Candidate]], "")</f>
        <v/>
      </c>
      <c r="AG1019" s="17" t="str">
        <f>IF(NOT(ISBLANK(Audit[[#This Row],[Audit Candidate 3]])), Audit[[#This Row],[Audit Candidate 3]]-Audit[[#This Row],[Candidate 3]], "")</f>
        <v/>
      </c>
      <c r="AH1019" s="17" t="str">
        <f>IF(NOT(ISBLANK(Audit[[#This Row],[Audit Candidate 4]])),Audit[[#This Row],[Audit Candidate 4]]-Audit[[#This Row],[Candidate 4]], "")</f>
        <v/>
      </c>
      <c r="AI1019" s="17" t="str">
        <f>IF(NOT(ISBLANK(Audit[[#This Row],[Audit Candidate 5]])), Audit[[#This Row],[Audit Candidate 5]]-Audit[[#This Row],[Candidate 5]], "")</f>
        <v/>
      </c>
      <c r="AJ1019" s="17" t="str">
        <f>IF(NOT(ISBLANK(Audit[[#This Row],[Audit Candidate 6]])), Audit[[#This Row],[Audit Candidate 6]]-Audit[[#This Row],[Candidate 6]], "")</f>
        <v/>
      </c>
      <c r="AK1019" s="17" t="str">
        <f>IF(NOT(ISBLANK(Audit[[#This Row],[Audit Candidate 7]])), Audit[[#This Row],[Audit Candidate 7]]-Audit[[#This Row],[Candidate 7]], "")</f>
        <v/>
      </c>
      <c r="AL1019" s="17" t="str">
        <f>IF(NOT(ISBLANK(Audit[[#This Row],[Audit Candidate 8]])), Audit[[#This Row],[Audit Candidate 8]]-Audit[[#This Row],[Candidate 8]], "")</f>
        <v/>
      </c>
      <c r="AM1019" s="17" t="str">
        <f>IF(NOT(ISBLANK(Audit[[#This Row],[Audit Candidate 9]])), Audit[[#This Row],[Audit Candidate 9]]-Audit[[#This Row],[Candidate 9]], "")</f>
        <v/>
      </c>
      <c r="AN1019" s="17" t="str">
        <f>IF(NOT(ISBLANK(Audit[[#This Row],[Audit Candidate 10]])), Audit[[#This Row],[Audit Candidate 10]]-Audit[[#This Row],[Candidate 10]], "")</f>
        <v/>
      </c>
      <c r="AO1019" s="17" t="str">
        <f>IF(NOT(ISBLANK(Audit[[#This Row],[Audit Candidate 11]])), Audit[[#This Row],[Audit Candidate 11]]-Audit[[#This Row],[Candidate 11]], "")</f>
        <v/>
      </c>
      <c r="AP1019" s="17" t="str">
        <f>IF(NOT(ISBLANK(Audit[[#This Row],[Audit Candidate 12]])), Audit[[#This Row],[Audit Candidate 12]]-Audit[[#This Row],[Candidate 12]], "")</f>
        <v/>
      </c>
      <c r="AQ1019" s="17">
        <f>SUMIF(Audit[[#This Row],[Difference Winner]:[Difference Candidate 12]], "&gt;0")</f>
        <v>0</v>
      </c>
      <c r="AR1019" s="17">
        <f>SUM(Audit[[#This Row],[Difference Winner]:[Difference Candidate 12]])</f>
        <v>0</v>
      </c>
      <c r="AS1019" s="17">
        <f>IF(Audit[[#This Row],[Times p Drawn - With Replacement]]&gt;0, IF(Audit[[#This Row],[Canceled Differences]]&lt;0, Audit[[#This Row],[Max Differences]]+ABS(Audit[[#This Row],[Canceled Differences]]), Audit[[#This Row],[Max Differences]]), 0)</f>
        <v>0</v>
      </c>
      <c r="AT1019" s="17">
        <f>'Sampling Data'!AB1019</f>
        <v>1.1543031743337295E-2</v>
      </c>
      <c r="AU1019" s="17">
        <f>IF(
      SUM(Audit[[#This Row],[Audit Losing Candidate]:[Audit Candidate 12]])
      &lt;&gt;0,
      (Audit[[#This Row],[Winning Candidate]]-Audit[[#This Row],[Losing Candidate]]-(Audit[[#This Row],[Audit Winning Candidate]]-Audit[[#This Row],[Audit Losing Candidate]]))/(Audit[[#Totals],[Winning Candidate]]-Audit[[#Totals],[Losing Candidate]]),
      0
)</f>
        <v>0</v>
      </c>
      <c r="AV10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9" s="17">
        <f>IF(Audit[[#This Row],[Max Relative Error (ep)]] = 0, 0, Audit[[#This Row],[Max Relative Error (ep)]]/Audit[[#This Row],[Error Bound (up) - Max. possible relative overstatement]])</f>
        <v>0</v>
      </c>
      <c r="BH10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19" s="17">
        <f t="shared" si="16"/>
        <v>1</v>
      </c>
      <c r="BJ1019" s="17">
        <f>PRODUCT($BI$5:BI1019)</f>
        <v>0.13793242319093066</v>
      </c>
      <c r="BK1019" s="19">
        <f>1 - Audit[[#This Row],[K-M P Value]]</f>
        <v>0.86206757680906931</v>
      </c>
      <c r="BL1019" s="17" t="str">
        <f>IF(Audit[[#This Row],[K-M P Value]]&gt;1-'General Info'!$B$12,"Continue", "Stop")</f>
        <v>Continue</v>
      </c>
      <c r="BM1019" s="22" t="b">
        <f>IF(Audit[[#This Row],[Status - Continue or stop audit]] = "Continue", TRUE, IF(BL1018 = "Continue", TRUE, FALSE))</f>
        <v>1</v>
      </c>
      <c r="BN1019" s="22"/>
    </row>
    <row r="1020" spans="1:66" ht="15" hidden="1" customHeight="1" x14ac:dyDescent="0.35">
      <c r="A1020" s="17" t="str">
        <f>'Sampling Data'!AI1020</f>
        <v/>
      </c>
      <c r="B1020" s="17" t="str">
        <f>'Sampling Data'!A1020</f>
        <v>7329 GREEN CC   (ED)</v>
      </c>
      <c r="C1020" s="17">
        <f>'Sampling Data'!B1020</f>
        <v>135</v>
      </c>
      <c r="D1020" s="17">
        <f>'Sampling Data'!C1020</f>
        <v>327</v>
      </c>
      <c r="E1020" s="18">
        <f>'Sampling Data'!D1020</f>
        <v>0</v>
      </c>
      <c r="F1020" s="18">
        <f>'Sampling Data'!E1020</f>
        <v>0</v>
      </c>
      <c r="G1020" s="18">
        <f>'Sampling Data'!F1020</f>
        <v>0</v>
      </c>
      <c r="H1020" s="18">
        <f>'Sampling Data'!G1020</f>
        <v>0</v>
      </c>
      <c r="I1020" s="18">
        <f>'Sampling Data'!H1020</f>
        <v>0</v>
      </c>
      <c r="J1020" s="18">
        <f>'Sampling Data'!I1020</f>
        <v>0</v>
      </c>
      <c r="K1020" s="18">
        <f>'Sampling Data'!J1020</f>
        <v>0</v>
      </c>
      <c r="L1020" s="18">
        <f>'Sampling Data'!K1020</f>
        <v>0</v>
      </c>
      <c r="M1020" s="18">
        <f>'Sampling Data'!L1020</f>
        <v>0</v>
      </c>
      <c r="N1020" s="18">
        <f>'Sampling Data'!M1020</f>
        <v>0</v>
      </c>
      <c r="O1020" s="17">
        <f>'Sampling Data'!N1020</f>
        <v>0</v>
      </c>
      <c r="P1020" s="17">
        <f>'Sampling Data'!O1020</f>
        <v>29</v>
      </c>
      <c r="Q1020" s="17">
        <f>'Sampling Data'!P1020</f>
        <v>491</v>
      </c>
      <c r="R1020" s="17">
        <f>'Sampling Data'!AJ1020</f>
        <v>0</v>
      </c>
      <c r="S1020" s="111"/>
      <c r="T1020" s="111"/>
      <c r="U1020" s="112"/>
      <c r="V1020" s="112"/>
      <c r="W1020" s="111"/>
      <c r="X1020" s="111"/>
      <c r="Y1020" s="111"/>
      <c r="Z1020" s="111"/>
      <c r="AA1020" s="14"/>
      <c r="AB1020" s="14"/>
      <c r="AC1020" s="14"/>
      <c r="AD1020" s="14"/>
      <c r="AE1020" s="113" t="str">
        <f>IF(NOT(ISBLANK(Audit[[#This Row],[Audit Winning Candidate]])), Audit[[#This Row],[Audit Winning Candidate]]-Audit[[#This Row],[Winning Candidate]], "")</f>
        <v/>
      </c>
      <c r="AF1020" s="17" t="str">
        <f>IF(NOT(ISBLANK(Audit[[#This Row],[Audit Losing Candidate]])), Audit[[#This Row],[Audit Losing Candidate]]-Audit[[#This Row],[Losing Candidate]], "")</f>
        <v/>
      </c>
      <c r="AG1020" s="17" t="str">
        <f>IF(NOT(ISBLANK(Audit[[#This Row],[Audit Candidate 3]])), Audit[[#This Row],[Audit Candidate 3]]-Audit[[#This Row],[Candidate 3]], "")</f>
        <v/>
      </c>
      <c r="AH1020" s="17" t="str">
        <f>IF(NOT(ISBLANK(Audit[[#This Row],[Audit Candidate 4]])),Audit[[#This Row],[Audit Candidate 4]]-Audit[[#This Row],[Candidate 4]], "")</f>
        <v/>
      </c>
      <c r="AI1020" s="17" t="str">
        <f>IF(NOT(ISBLANK(Audit[[#This Row],[Audit Candidate 5]])), Audit[[#This Row],[Audit Candidate 5]]-Audit[[#This Row],[Candidate 5]], "")</f>
        <v/>
      </c>
      <c r="AJ1020" s="17" t="str">
        <f>IF(NOT(ISBLANK(Audit[[#This Row],[Audit Candidate 6]])), Audit[[#This Row],[Audit Candidate 6]]-Audit[[#This Row],[Candidate 6]], "")</f>
        <v/>
      </c>
      <c r="AK1020" s="17" t="str">
        <f>IF(NOT(ISBLANK(Audit[[#This Row],[Audit Candidate 7]])), Audit[[#This Row],[Audit Candidate 7]]-Audit[[#This Row],[Candidate 7]], "")</f>
        <v/>
      </c>
      <c r="AL1020" s="17" t="str">
        <f>IF(NOT(ISBLANK(Audit[[#This Row],[Audit Candidate 8]])), Audit[[#This Row],[Audit Candidate 8]]-Audit[[#This Row],[Candidate 8]], "")</f>
        <v/>
      </c>
      <c r="AM1020" s="17" t="str">
        <f>IF(NOT(ISBLANK(Audit[[#This Row],[Audit Candidate 9]])), Audit[[#This Row],[Audit Candidate 9]]-Audit[[#This Row],[Candidate 9]], "")</f>
        <v/>
      </c>
      <c r="AN1020" s="17" t="str">
        <f>IF(NOT(ISBLANK(Audit[[#This Row],[Audit Candidate 10]])), Audit[[#This Row],[Audit Candidate 10]]-Audit[[#This Row],[Candidate 10]], "")</f>
        <v/>
      </c>
      <c r="AO1020" s="17" t="str">
        <f>IF(NOT(ISBLANK(Audit[[#This Row],[Audit Candidate 11]])), Audit[[#This Row],[Audit Candidate 11]]-Audit[[#This Row],[Candidate 11]], "")</f>
        <v/>
      </c>
      <c r="AP1020" s="17" t="str">
        <f>IF(NOT(ISBLANK(Audit[[#This Row],[Audit Candidate 12]])), Audit[[#This Row],[Audit Candidate 12]]-Audit[[#This Row],[Candidate 12]], "")</f>
        <v/>
      </c>
      <c r="AQ1020" s="17">
        <f>SUMIF(Audit[[#This Row],[Difference Winner]:[Difference Candidate 12]], "&gt;0")</f>
        <v>0</v>
      </c>
      <c r="AR1020" s="17">
        <f>SUM(Audit[[#This Row],[Difference Winner]:[Difference Candidate 12]])</f>
        <v>0</v>
      </c>
      <c r="AS1020" s="17">
        <f>IF(Audit[[#This Row],[Times p Drawn - With Replacement]]&gt;0, IF(Audit[[#This Row],[Canceled Differences]]&lt;0, Audit[[#This Row],[Max Differences]]+ABS(Audit[[#This Row],[Canceled Differences]]), Audit[[#This Row],[Max Differences]]), 0)</f>
        <v>0</v>
      </c>
      <c r="AT1020" s="17">
        <f>'Sampling Data'!AB1020</f>
        <v>1.2688847394330334E-2</v>
      </c>
      <c r="AU1020" s="17">
        <f>IF(
      SUM(Audit[[#This Row],[Audit Losing Candidate]:[Audit Candidate 12]])
      &lt;&gt;0,
      (Audit[[#This Row],[Winning Candidate]]-Audit[[#This Row],[Losing Candidate]]-(Audit[[#This Row],[Audit Winning Candidate]]-Audit[[#This Row],[Audit Losing Candidate]]))/(Audit[[#Totals],[Winning Candidate]]-Audit[[#Totals],[Losing Candidate]]),
      0
)</f>
        <v>0</v>
      </c>
      <c r="AV10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0" s="17">
        <f>IF(Audit[[#This Row],[Max Relative Error (ep)]] = 0, 0, Audit[[#This Row],[Max Relative Error (ep)]]/Audit[[#This Row],[Error Bound (up) - Max. possible relative overstatement]])</f>
        <v>0</v>
      </c>
      <c r="BH10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20" s="17">
        <f t="shared" si="16"/>
        <v>1</v>
      </c>
      <c r="BJ1020" s="17">
        <f>PRODUCT($BI$5:BI1020)</f>
        <v>0.13793242319093066</v>
      </c>
      <c r="BK1020" s="19">
        <f>1 - Audit[[#This Row],[K-M P Value]]</f>
        <v>0.86206757680906931</v>
      </c>
      <c r="BL1020" s="17" t="str">
        <f>IF(Audit[[#This Row],[K-M P Value]]&gt;1-'General Info'!$B$12,"Continue", "Stop")</f>
        <v>Continue</v>
      </c>
      <c r="BM1020" s="22" t="b">
        <f>IF(Audit[[#This Row],[Status - Continue or stop audit]] = "Continue", TRUE, IF(BL1019 = "Continue", TRUE, FALSE))</f>
        <v>1</v>
      </c>
      <c r="BN1020" s="22"/>
    </row>
    <row r="1021" spans="1:66" ht="15" hidden="1" customHeight="1" x14ac:dyDescent="0.35">
      <c r="A1021" s="17" t="str">
        <f>'Sampling Data'!AI1021</f>
        <v/>
      </c>
      <c r="B1021" s="17" t="str">
        <f>'Sampling Data'!A1021</f>
        <v>7330 GREEN DD   (ED)</v>
      </c>
      <c r="C1021" s="17">
        <f>'Sampling Data'!B1021</f>
        <v>81</v>
      </c>
      <c r="D1021" s="17">
        <f>'Sampling Data'!C1021</f>
        <v>251</v>
      </c>
      <c r="E1021" s="18">
        <f>'Sampling Data'!D1021</f>
        <v>0</v>
      </c>
      <c r="F1021" s="18">
        <f>'Sampling Data'!E1021</f>
        <v>0</v>
      </c>
      <c r="G1021" s="18">
        <f>'Sampling Data'!F1021</f>
        <v>0</v>
      </c>
      <c r="H1021" s="18">
        <f>'Sampling Data'!G1021</f>
        <v>0</v>
      </c>
      <c r="I1021" s="18">
        <f>'Sampling Data'!H1021</f>
        <v>0</v>
      </c>
      <c r="J1021" s="18">
        <f>'Sampling Data'!I1021</f>
        <v>0</v>
      </c>
      <c r="K1021" s="18">
        <f>'Sampling Data'!J1021</f>
        <v>0</v>
      </c>
      <c r="L1021" s="18">
        <f>'Sampling Data'!K1021</f>
        <v>0</v>
      </c>
      <c r="M1021" s="18">
        <f>'Sampling Data'!L1021</f>
        <v>0</v>
      </c>
      <c r="N1021" s="18">
        <f>'Sampling Data'!M1021</f>
        <v>0</v>
      </c>
      <c r="O1021" s="17">
        <f>'Sampling Data'!N1021</f>
        <v>0</v>
      </c>
      <c r="P1021" s="17">
        <f>'Sampling Data'!O1021</f>
        <v>15</v>
      </c>
      <c r="Q1021" s="17">
        <f>'Sampling Data'!P1021</f>
        <v>347</v>
      </c>
      <c r="R1021" s="17">
        <f>'Sampling Data'!AJ1021</f>
        <v>0</v>
      </c>
      <c r="S1021" s="111"/>
      <c r="T1021" s="111"/>
      <c r="U1021" s="112"/>
      <c r="V1021" s="112"/>
      <c r="W1021" s="111"/>
      <c r="X1021" s="111"/>
      <c r="Y1021" s="111"/>
      <c r="Z1021" s="111"/>
      <c r="AA1021" s="14"/>
      <c r="AB1021" s="14"/>
      <c r="AC1021" s="14"/>
      <c r="AD1021" s="14"/>
      <c r="AE1021" s="113" t="str">
        <f>IF(NOT(ISBLANK(Audit[[#This Row],[Audit Winning Candidate]])), Audit[[#This Row],[Audit Winning Candidate]]-Audit[[#This Row],[Winning Candidate]], "")</f>
        <v/>
      </c>
      <c r="AF1021" s="17" t="str">
        <f>IF(NOT(ISBLANK(Audit[[#This Row],[Audit Losing Candidate]])), Audit[[#This Row],[Audit Losing Candidate]]-Audit[[#This Row],[Losing Candidate]], "")</f>
        <v/>
      </c>
      <c r="AG1021" s="17" t="str">
        <f>IF(NOT(ISBLANK(Audit[[#This Row],[Audit Candidate 3]])), Audit[[#This Row],[Audit Candidate 3]]-Audit[[#This Row],[Candidate 3]], "")</f>
        <v/>
      </c>
      <c r="AH1021" s="17" t="str">
        <f>IF(NOT(ISBLANK(Audit[[#This Row],[Audit Candidate 4]])),Audit[[#This Row],[Audit Candidate 4]]-Audit[[#This Row],[Candidate 4]], "")</f>
        <v/>
      </c>
      <c r="AI1021" s="17" t="str">
        <f>IF(NOT(ISBLANK(Audit[[#This Row],[Audit Candidate 5]])), Audit[[#This Row],[Audit Candidate 5]]-Audit[[#This Row],[Candidate 5]], "")</f>
        <v/>
      </c>
      <c r="AJ1021" s="17" t="str">
        <f>IF(NOT(ISBLANK(Audit[[#This Row],[Audit Candidate 6]])), Audit[[#This Row],[Audit Candidate 6]]-Audit[[#This Row],[Candidate 6]], "")</f>
        <v/>
      </c>
      <c r="AK1021" s="17" t="str">
        <f>IF(NOT(ISBLANK(Audit[[#This Row],[Audit Candidate 7]])), Audit[[#This Row],[Audit Candidate 7]]-Audit[[#This Row],[Candidate 7]], "")</f>
        <v/>
      </c>
      <c r="AL1021" s="17" t="str">
        <f>IF(NOT(ISBLANK(Audit[[#This Row],[Audit Candidate 8]])), Audit[[#This Row],[Audit Candidate 8]]-Audit[[#This Row],[Candidate 8]], "")</f>
        <v/>
      </c>
      <c r="AM1021" s="17" t="str">
        <f>IF(NOT(ISBLANK(Audit[[#This Row],[Audit Candidate 9]])), Audit[[#This Row],[Audit Candidate 9]]-Audit[[#This Row],[Candidate 9]], "")</f>
        <v/>
      </c>
      <c r="AN1021" s="17" t="str">
        <f>IF(NOT(ISBLANK(Audit[[#This Row],[Audit Candidate 10]])), Audit[[#This Row],[Audit Candidate 10]]-Audit[[#This Row],[Candidate 10]], "")</f>
        <v/>
      </c>
      <c r="AO1021" s="17" t="str">
        <f>IF(NOT(ISBLANK(Audit[[#This Row],[Audit Candidate 11]])), Audit[[#This Row],[Audit Candidate 11]]-Audit[[#This Row],[Candidate 11]], "")</f>
        <v/>
      </c>
      <c r="AP1021" s="17" t="str">
        <f>IF(NOT(ISBLANK(Audit[[#This Row],[Audit Candidate 12]])), Audit[[#This Row],[Audit Candidate 12]]-Audit[[#This Row],[Candidate 12]], "")</f>
        <v/>
      </c>
      <c r="AQ1021" s="17">
        <f>SUMIF(Audit[[#This Row],[Difference Winner]:[Difference Candidate 12]], "&gt;0")</f>
        <v>0</v>
      </c>
      <c r="AR1021" s="17">
        <f>SUM(Audit[[#This Row],[Difference Winner]:[Difference Candidate 12]])</f>
        <v>0</v>
      </c>
      <c r="AS1021" s="17">
        <f>IF(Audit[[#This Row],[Times p Drawn - With Replacement]]&gt;0, IF(Audit[[#This Row],[Canceled Differences]]&lt;0, Audit[[#This Row],[Max Differences]]+ABS(Audit[[#This Row],[Canceled Differences]]), Audit[[#This Row],[Max Differences]]), 0)</f>
        <v>0</v>
      </c>
      <c r="AT1021" s="17">
        <f>'Sampling Data'!AB1021</f>
        <v>7.5114581565099304E-3</v>
      </c>
      <c r="AU1021" s="17">
        <f>IF(
      SUM(Audit[[#This Row],[Audit Losing Candidate]:[Audit Candidate 12]])
      &lt;&gt;0,
      (Audit[[#This Row],[Winning Candidate]]-Audit[[#This Row],[Losing Candidate]]-(Audit[[#This Row],[Audit Winning Candidate]]-Audit[[#This Row],[Audit Losing Candidate]]))/(Audit[[#Totals],[Winning Candidate]]-Audit[[#Totals],[Losing Candidate]]),
      0
)</f>
        <v>0</v>
      </c>
      <c r="AV10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1" s="17">
        <f>IF(Audit[[#This Row],[Max Relative Error (ep)]] = 0, 0, Audit[[#This Row],[Max Relative Error (ep)]]/Audit[[#This Row],[Error Bound (up) - Max. possible relative overstatement]])</f>
        <v>0</v>
      </c>
      <c r="BH10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21" s="17">
        <f t="shared" si="16"/>
        <v>1</v>
      </c>
      <c r="BJ1021" s="17">
        <f>PRODUCT($BI$5:BI1021)</f>
        <v>0.13793242319093066</v>
      </c>
      <c r="BK1021" s="19">
        <f>1 - Audit[[#This Row],[K-M P Value]]</f>
        <v>0.86206757680906931</v>
      </c>
      <c r="BL1021" s="17" t="str">
        <f>IF(Audit[[#This Row],[K-M P Value]]&gt;1-'General Info'!$B$12,"Continue", "Stop")</f>
        <v>Continue</v>
      </c>
      <c r="BM1021" s="22" t="b">
        <f>IF(Audit[[#This Row],[Status - Continue or stop audit]] = "Continue", TRUE, IF(BL1020 = "Continue", TRUE, FALSE))</f>
        <v>1</v>
      </c>
      <c r="BN1021" s="22"/>
    </row>
    <row r="1022" spans="1:66" ht="15" hidden="1" customHeight="1" x14ac:dyDescent="0.35">
      <c r="A1022" s="17" t="str">
        <f>'Sampling Data'!AI1022</f>
        <v/>
      </c>
      <c r="B1022" s="17" t="str">
        <f>'Sampling Data'!A1022</f>
        <v>7331 GREEN EE   (ED)</v>
      </c>
      <c r="C1022" s="17">
        <f>'Sampling Data'!B1022</f>
        <v>169</v>
      </c>
      <c r="D1022" s="17">
        <f>'Sampling Data'!C1022</f>
        <v>322</v>
      </c>
      <c r="E1022" s="18">
        <f>'Sampling Data'!D1022</f>
        <v>0</v>
      </c>
      <c r="F1022" s="18">
        <f>'Sampling Data'!E1022</f>
        <v>0</v>
      </c>
      <c r="G1022" s="18">
        <f>'Sampling Data'!F1022</f>
        <v>0</v>
      </c>
      <c r="H1022" s="18">
        <f>'Sampling Data'!G1022</f>
        <v>0</v>
      </c>
      <c r="I1022" s="18">
        <f>'Sampling Data'!H1022</f>
        <v>0</v>
      </c>
      <c r="J1022" s="18">
        <f>'Sampling Data'!I1022</f>
        <v>0</v>
      </c>
      <c r="K1022" s="18">
        <f>'Sampling Data'!J1022</f>
        <v>0</v>
      </c>
      <c r="L1022" s="18">
        <f>'Sampling Data'!K1022</f>
        <v>0</v>
      </c>
      <c r="M1022" s="18">
        <f>'Sampling Data'!L1022</f>
        <v>0</v>
      </c>
      <c r="N1022" s="18">
        <f>'Sampling Data'!M1022</f>
        <v>0</v>
      </c>
      <c r="O1022" s="17">
        <f>'Sampling Data'!N1022</f>
        <v>0</v>
      </c>
      <c r="P1022" s="17">
        <f>'Sampling Data'!O1022</f>
        <v>38</v>
      </c>
      <c r="Q1022" s="17">
        <f>'Sampling Data'!P1022</f>
        <v>529</v>
      </c>
      <c r="R1022" s="17">
        <f>'Sampling Data'!AJ1022</f>
        <v>0</v>
      </c>
      <c r="S1022" s="111"/>
      <c r="T1022" s="111"/>
      <c r="U1022" s="112"/>
      <c r="V1022" s="112"/>
      <c r="W1022" s="111"/>
      <c r="X1022" s="111"/>
      <c r="Y1022" s="111"/>
      <c r="Z1022" s="111"/>
      <c r="AA1022" s="14"/>
      <c r="AB1022" s="14"/>
      <c r="AC1022" s="14"/>
      <c r="AD1022" s="14"/>
      <c r="AE1022" s="113" t="str">
        <f>IF(NOT(ISBLANK(Audit[[#This Row],[Audit Winning Candidate]])), Audit[[#This Row],[Audit Winning Candidate]]-Audit[[#This Row],[Winning Candidate]], "")</f>
        <v/>
      </c>
      <c r="AF1022" s="17" t="str">
        <f>IF(NOT(ISBLANK(Audit[[#This Row],[Audit Losing Candidate]])), Audit[[#This Row],[Audit Losing Candidate]]-Audit[[#This Row],[Losing Candidate]], "")</f>
        <v/>
      </c>
      <c r="AG1022" s="17" t="str">
        <f>IF(NOT(ISBLANK(Audit[[#This Row],[Audit Candidate 3]])), Audit[[#This Row],[Audit Candidate 3]]-Audit[[#This Row],[Candidate 3]], "")</f>
        <v/>
      </c>
      <c r="AH1022" s="17" t="str">
        <f>IF(NOT(ISBLANK(Audit[[#This Row],[Audit Candidate 4]])),Audit[[#This Row],[Audit Candidate 4]]-Audit[[#This Row],[Candidate 4]], "")</f>
        <v/>
      </c>
      <c r="AI1022" s="17" t="str">
        <f>IF(NOT(ISBLANK(Audit[[#This Row],[Audit Candidate 5]])), Audit[[#This Row],[Audit Candidate 5]]-Audit[[#This Row],[Candidate 5]], "")</f>
        <v/>
      </c>
      <c r="AJ1022" s="17" t="str">
        <f>IF(NOT(ISBLANK(Audit[[#This Row],[Audit Candidate 6]])), Audit[[#This Row],[Audit Candidate 6]]-Audit[[#This Row],[Candidate 6]], "")</f>
        <v/>
      </c>
      <c r="AK1022" s="17" t="str">
        <f>IF(NOT(ISBLANK(Audit[[#This Row],[Audit Candidate 7]])), Audit[[#This Row],[Audit Candidate 7]]-Audit[[#This Row],[Candidate 7]], "")</f>
        <v/>
      </c>
      <c r="AL1022" s="17" t="str">
        <f>IF(NOT(ISBLANK(Audit[[#This Row],[Audit Candidate 8]])), Audit[[#This Row],[Audit Candidate 8]]-Audit[[#This Row],[Candidate 8]], "")</f>
        <v/>
      </c>
      <c r="AM1022" s="17" t="str">
        <f>IF(NOT(ISBLANK(Audit[[#This Row],[Audit Candidate 9]])), Audit[[#This Row],[Audit Candidate 9]]-Audit[[#This Row],[Candidate 9]], "")</f>
        <v/>
      </c>
      <c r="AN1022" s="17" t="str">
        <f>IF(NOT(ISBLANK(Audit[[#This Row],[Audit Candidate 10]])), Audit[[#This Row],[Audit Candidate 10]]-Audit[[#This Row],[Candidate 10]], "")</f>
        <v/>
      </c>
      <c r="AO1022" s="17" t="str">
        <f>IF(NOT(ISBLANK(Audit[[#This Row],[Audit Candidate 11]])), Audit[[#This Row],[Audit Candidate 11]]-Audit[[#This Row],[Candidate 11]], "")</f>
        <v/>
      </c>
      <c r="AP1022" s="17" t="str">
        <f>IF(NOT(ISBLANK(Audit[[#This Row],[Audit Candidate 12]])), Audit[[#This Row],[Audit Candidate 12]]-Audit[[#This Row],[Candidate 12]], "")</f>
        <v/>
      </c>
      <c r="AQ1022" s="17">
        <f>SUMIF(Audit[[#This Row],[Difference Winner]:[Difference Candidate 12]], "&gt;0")</f>
        <v>0</v>
      </c>
      <c r="AR1022" s="17">
        <f>SUM(Audit[[#This Row],[Difference Winner]:[Difference Candidate 12]])</f>
        <v>0</v>
      </c>
      <c r="AS1022" s="17">
        <f>IF(Audit[[#This Row],[Times p Drawn - With Replacement]]&gt;0, IF(Audit[[#This Row],[Canceled Differences]]&lt;0, Audit[[#This Row],[Max Differences]]+ABS(Audit[[#This Row],[Canceled Differences]]), Audit[[#This Row],[Max Differences]]), 0)</f>
        <v>0</v>
      </c>
      <c r="AT1022" s="17">
        <f>'Sampling Data'!AB1022</f>
        <v>1.5956543880495673E-2</v>
      </c>
      <c r="AU1022" s="17">
        <f>IF(
      SUM(Audit[[#This Row],[Audit Losing Candidate]:[Audit Candidate 12]])
      &lt;&gt;0,
      (Audit[[#This Row],[Winning Candidate]]-Audit[[#This Row],[Losing Candidate]]-(Audit[[#This Row],[Audit Winning Candidate]]-Audit[[#This Row],[Audit Losing Candidate]]))/(Audit[[#Totals],[Winning Candidate]]-Audit[[#Totals],[Losing Candidate]]),
      0
)</f>
        <v>0</v>
      </c>
      <c r="AV10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2" s="17">
        <f>IF(Audit[[#This Row],[Max Relative Error (ep)]] = 0, 0, Audit[[#This Row],[Max Relative Error (ep)]]/Audit[[#This Row],[Error Bound (up) - Max. possible relative overstatement]])</f>
        <v>0</v>
      </c>
      <c r="BH10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22" s="17">
        <f t="shared" si="16"/>
        <v>1</v>
      </c>
      <c r="BJ1022" s="17">
        <f>PRODUCT($BI$5:BI1022)</f>
        <v>0.13793242319093066</v>
      </c>
      <c r="BK1022" s="19">
        <f>1 - Audit[[#This Row],[K-M P Value]]</f>
        <v>0.86206757680906931</v>
      </c>
      <c r="BL1022" s="17" t="str">
        <f>IF(Audit[[#This Row],[K-M P Value]]&gt;1-'General Info'!$B$12,"Continue", "Stop")</f>
        <v>Continue</v>
      </c>
      <c r="BM1022" s="22" t="b">
        <f>IF(Audit[[#This Row],[Status - Continue or stop audit]] = "Continue", TRUE, IF(BL1021 = "Continue", TRUE, FALSE))</f>
        <v>1</v>
      </c>
      <c r="BN1022" s="22"/>
    </row>
    <row r="1023" spans="1:66" ht="15" hidden="1" customHeight="1" x14ac:dyDescent="0.35">
      <c r="A1023" s="17" t="str">
        <f>'Sampling Data'!AI1023</f>
        <v/>
      </c>
      <c r="B1023" s="17" t="str">
        <f>'Sampling Data'!A1023</f>
        <v>7332 GREEN FF   (ED)</v>
      </c>
      <c r="C1023" s="17">
        <f>'Sampling Data'!B1023</f>
        <v>121</v>
      </c>
      <c r="D1023" s="17">
        <f>'Sampling Data'!C1023</f>
        <v>297</v>
      </c>
      <c r="E1023" s="18">
        <f>'Sampling Data'!D1023</f>
        <v>0</v>
      </c>
      <c r="F1023" s="18">
        <f>'Sampling Data'!E1023</f>
        <v>0</v>
      </c>
      <c r="G1023" s="18">
        <f>'Sampling Data'!F1023</f>
        <v>0</v>
      </c>
      <c r="H1023" s="18">
        <f>'Sampling Data'!G1023</f>
        <v>0</v>
      </c>
      <c r="I1023" s="18">
        <f>'Sampling Data'!H1023</f>
        <v>0</v>
      </c>
      <c r="J1023" s="18">
        <f>'Sampling Data'!I1023</f>
        <v>0</v>
      </c>
      <c r="K1023" s="18">
        <f>'Sampling Data'!J1023</f>
        <v>0</v>
      </c>
      <c r="L1023" s="18">
        <f>'Sampling Data'!K1023</f>
        <v>0</v>
      </c>
      <c r="M1023" s="18">
        <f>'Sampling Data'!L1023</f>
        <v>0</v>
      </c>
      <c r="N1023" s="18">
        <f>'Sampling Data'!M1023</f>
        <v>0</v>
      </c>
      <c r="O1023" s="17">
        <f>'Sampling Data'!N1023</f>
        <v>0</v>
      </c>
      <c r="P1023" s="17">
        <f>'Sampling Data'!O1023</f>
        <v>33</v>
      </c>
      <c r="Q1023" s="17">
        <f>'Sampling Data'!P1023</f>
        <v>451</v>
      </c>
      <c r="R1023" s="17">
        <f>'Sampling Data'!AJ1023</f>
        <v>0</v>
      </c>
      <c r="S1023" s="111"/>
      <c r="T1023" s="111"/>
      <c r="U1023" s="112"/>
      <c r="V1023" s="112"/>
      <c r="W1023" s="111"/>
      <c r="X1023" s="111"/>
      <c r="Y1023" s="111"/>
      <c r="Z1023" s="111"/>
      <c r="AA1023" s="14"/>
      <c r="AB1023" s="14"/>
      <c r="AC1023" s="14"/>
      <c r="AD1023" s="14"/>
      <c r="AE1023" s="113" t="str">
        <f>IF(NOT(ISBLANK(Audit[[#This Row],[Audit Winning Candidate]])), Audit[[#This Row],[Audit Winning Candidate]]-Audit[[#This Row],[Winning Candidate]], "")</f>
        <v/>
      </c>
      <c r="AF1023" s="17" t="str">
        <f>IF(NOT(ISBLANK(Audit[[#This Row],[Audit Losing Candidate]])), Audit[[#This Row],[Audit Losing Candidate]]-Audit[[#This Row],[Losing Candidate]], "")</f>
        <v/>
      </c>
      <c r="AG1023" s="17" t="str">
        <f>IF(NOT(ISBLANK(Audit[[#This Row],[Audit Candidate 3]])), Audit[[#This Row],[Audit Candidate 3]]-Audit[[#This Row],[Candidate 3]], "")</f>
        <v/>
      </c>
      <c r="AH1023" s="17" t="str">
        <f>IF(NOT(ISBLANK(Audit[[#This Row],[Audit Candidate 4]])),Audit[[#This Row],[Audit Candidate 4]]-Audit[[#This Row],[Candidate 4]], "")</f>
        <v/>
      </c>
      <c r="AI1023" s="17" t="str">
        <f>IF(NOT(ISBLANK(Audit[[#This Row],[Audit Candidate 5]])), Audit[[#This Row],[Audit Candidate 5]]-Audit[[#This Row],[Candidate 5]], "")</f>
        <v/>
      </c>
      <c r="AJ1023" s="17" t="str">
        <f>IF(NOT(ISBLANK(Audit[[#This Row],[Audit Candidate 6]])), Audit[[#This Row],[Audit Candidate 6]]-Audit[[#This Row],[Candidate 6]], "")</f>
        <v/>
      </c>
      <c r="AK1023" s="17" t="str">
        <f>IF(NOT(ISBLANK(Audit[[#This Row],[Audit Candidate 7]])), Audit[[#This Row],[Audit Candidate 7]]-Audit[[#This Row],[Candidate 7]], "")</f>
        <v/>
      </c>
      <c r="AL1023" s="17" t="str">
        <f>IF(NOT(ISBLANK(Audit[[#This Row],[Audit Candidate 8]])), Audit[[#This Row],[Audit Candidate 8]]-Audit[[#This Row],[Candidate 8]], "")</f>
        <v/>
      </c>
      <c r="AM1023" s="17" t="str">
        <f>IF(NOT(ISBLANK(Audit[[#This Row],[Audit Candidate 9]])), Audit[[#This Row],[Audit Candidate 9]]-Audit[[#This Row],[Candidate 9]], "")</f>
        <v/>
      </c>
      <c r="AN1023" s="17" t="str">
        <f>IF(NOT(ISBLANK(Audit[[#This Row],[Audit Candidate 10]])), Audit[[#This Row],[Audit Candidate 10]]-Audit[[#This Row],[Candidate 10]], "")</f>
        <v/>
      </c>
      <c r="AO1023" s="17" t="str">
        <f>IF(NOT(ISBLANK(Audit[[#This Row],[Audit Candidate 11]])), Audit[[#This Row],[Audit Candidate 11]]-Audit[[#This Row],[Candidate 11]], "")</f>
        <v/>
      </c>
      <c r="AP1023" s="17" t="str">
        <f>IF(NOT(ISBLANK(Audit[[#This Row],[Audit Candidate 12]])), Audit[[#This Row],[Audit Candidate 12]]-Audit[[#This Row],[Candidate 12]], "")</f>
        <v/>
      </c>
      <c r="AQ1023" s="17">
        <f>SUMIF(Audit[[#This Row],[Difference Winner]:[Difference Candidate 12]], "&gt;0")</f>
        <v>0</v>
      </c>
      <c r="AR1023" s="17">
        <f>SUM(Audit[[#This Row],[Difference Winner]:[Difference Candidate 12]])</f>
        <v>0</v>
      </c>
      <c r="AS1023" s="17">
        <f>IF(Audit[[#This Row],[Times p Drawn - With Replacement]]&gt;0, IF(Audit[[#This Row],[Canceled Differences]]&lt;0, Audit[[#This Row],[Max Differences]]+ABS(Audit[[#This Row],[Canceled Differences]]), Audit[[#This Row],[Max Differences]]), 0)</f>
        <v>0</v>
      </c>
      <c r="AT1023" s="17">
        <f>'Sampling Data'!AB1023</f>
        <v>1.1670344593447632E-2</v>
      </c>
      <c r="AU1023" s="17">
        <f>IF(
      SUM(Audit[[#This Row],[Audit Losing Candidate]:[Audit Candidate 12]])
      &lt;&gt;0,
      (Audit[[#This Row],[Winning Candidate]]-Audit[[#This Row],[Losing Candidate]]-(Audit[[#This Row],[Audit Winning Candidate]]-Audit[[#This Row],[Audit Losing Candidate]]))/(Audit[[#Totals],[Winning Candidate]]-Audit[[#Totals],[Losing Candidate]]),
      0
)</f>
        <v>0</v>
      </c>
      <c r="AV10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3" s="17">
        <f>IF(Audit[[#This Row],[Max Relative Error (ep)]] = 0, 0, Audit[[#This Row],[Max Relative Error (ep)]]/Audit[[#This Row],[Error Bound (up) - Max. possible relative overstatement]])</f>
        <v>0</v>
      </c>
      <c r="BH10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23" s="17">
        <f t="shared" si="16"/>
        <v>1</v>
      </c>
      <c r="BJ1023" s="17">
        <f>PRODUCT($BI$5:BI1023)</f>
        <v>0.13793242319093066</v>
      </c>
      <c r="BK1023" s="19">
        <f>1 - Audit[[#This Row],[K-M P Value]]</f>
        <v>0.86206757680906931</v>
      </c>
      <c r="BL1023" s="17" t="str">
        <f>IF(Audit[[#This Row],[K-M P Value]]&gt;1-'General Info'!$B$12,"Continue", "Stop")</f>
        <v>Continue</v>
      </c>
      <c r="BM1023" s="22" t="b">
        <f>IF(Audit[[#This Row],[Status - Continue or stop audit]] = "Continue", TRUE, IF(BL1022 = "Continue", TRUE, FALSE))</f>
        <v>1</v>
      </c>
      <c r="BN1023" s="22"/>
    </row>
    <row r="1024" spans="1:66" ht="15" hidden="1" customHeight="1" x14ac:dyDescent="0.35">
      <c r="A1024" s="17" t="str">
        <f>'Sampling Data'!AI1024</f>
        <v/>
      </c>
      <c r="B1024" s="17" t="str">
        <f>'Sampling Data'!A1024</f>
        <v>7333 GREEN GG   (ED)</v>
      </c>
      <c r="C1024" s="17">
        <f>'Sampling Data'!B1024</f>
        <v>141</v>
      </c>
      <c r="D1024" s="17">
        <f>'Sampling Data'!C1024</f>
        <v>480</v>
      </c>
      <c r="E1024" s="18">
        <f>'Sampling Data'!D1024</f>
        <v>0</v>
      </c>
      <c r="F1024" s="18">
        <f>'Sampling Data'!E1024</f>
        <v>0</v>
      </c>
      <c r="G1024" s="18">
        <f>'Sampling Data'!F1024</f>
        <v>0</v>
      </c>
      <c r="H1024" s="18">
        <f>'Sampling Data'!G1024</f>
        <v>0</v>
      </c>
      <c r="I1024" s="18">
        <f>'Sampling Data'!H1024</f>
        <v>0</v>
      </c>
      <c r="J1024" s="18">
        <f>'Sampling Data'!I1024</f>
        <v>0</v>
      </c>
      <c r="K1024" s="18">
        <f>'Sampling Data'!J1024</f>
        <v>0</v>
      </c>
      <c r="L1024" s="18">
        <f>'Sampling Data'!K1024</f>
        <v>0</v>
      </c>
      <c r="M1024" s="18">
        <f>'Sampling Data'!L1024</f>
        <v>0</v>
      </c>
      <c r="N1024" s="18">
        <f>'Sampling Data'!M1024</f>
        <v>0</v>
      </c>
      <c r="O1024" s="17">
        <f>'Sampling Data'!N1024</f>
        <v>2</v>
      </c>
      <c r="P1024" s="17">
        <f>'Sampling Data'!O1024</f>
        <v>50</v>
      </c>
      <c r="Q1024" s="17">
        <f>'Sampling Data'!P1024</f>
        <v>673</v>
      </c>
      <c r="R1024" s="17">
        <f>'Sampling Data'!AJ1024</f>
        <v>0</v>
      </c>
      <c r="S1024" s="111"/>
      <c r="T1024" s="111"/>
      <c r="U1024" s="112"/>
      <c r="V1024" s="112"/>
      <c r="W1024" s="111"/>
      <c r="X1024" s="111"/>
      <c r="Y1024" s="111"/>
      <c r="Z1024" s="111"/>
      <c r="AA1024" s="14"/>
      <c r="AB1024" s="14"/>
      <c r="AC1024" s="14"/>
      <c r="AD1024" s="14"/>
      <c r="AE1024" s="113" t="str">
        <f>IF(NOT(ISBLANK(Audit[[#This Row],[Audit Winning Candidate]])), Audit[[#This Row],[Audit Winning Candidate]]-Audit[[#This Row],[Winning Candidate]], "")</f>
        <v/>
      </c>
      <c r="AF1024" s="17" t="str">
        <f>IF(NOT(ISBLANK(Audit[[#This Row],[Audit Losing Candidate]])), Audit[[#This Row],[Audit Losing Candidate]]-Audit[[#This Row],[Losing Candidate]], "")</f>
        <v/>
      </c>
      <c r="AG1024" s="17" t="str">
        <f>IF(NOT(ISBLANK(Audit[[#This Row],[Audit Candidate 3]])), Audit[[#This Row],[Audit Candidate 3]]-Audit[[#This Row],[Candidate 3]], "")</f>
        <v/>
      </c>
      <c r="AH1024" s="17" t="str">
        <f>IF(NOT(ISBLANK(Audit[[#This Row],[Audit Candidate 4]])),Audit[[#This Row],[Audit Candidate 4]]-Audit[[#This Row],[Candidate 4]], "")</f>
        <v/>
      </c>
      <c r="AI1024" s="17" t="str">
        <f>IF(NOT(ISBLANK(Audit[[#This Row],[Audit Candidate 5]])), Audit[[#This Row],[Audit Candidate 5]]-Audit[[#This Row],[Candidate 5]], "")</f>
        <v/>
      </c>
      <c r="AJ1024" s="17" t="str">
        <f>IF(NOT(ISBLANK(Audit[[#This Row],[Audit Candidate 6]])), Audit[[#This Row],[Audit Candidate 6]]-Audit[[#This Row],[Candidate 6]], "")</f>
        <v/>
      </c>
      <c r="AK1024" s="17" t="str">
        <f>IF(NOT(ISBLANK(Audit[[#This Row],[Audit Candidate 7]])), Audit[[#This Row],[Audit Candidate 7]]-Audit[[#This Row],[Candidate 7]], "")</f>
        <v/>
      </c>
      <c r="AL1024" s="17" t="str">
        <f>IF(NOT(ISBLANK(Audit[[#This Row],[Audit Candidate 8]])), Audit[[#This Row],[Audit Candidate 8]]-Audit[[#This Row],[Candidate 8]], "")</f>
        <v/>
      </c>
      <c r="AM1024" s="17" t="str">
        <f>IF(NOT(ISBLANK(Audit[[#This Row],[Audit Candidate 9]])), Audit[[#This Row],[Audit Candidate 9]]-Audit[[#This Row],[Candidate 9]], "")</f>
        <v/>
      </c>
      <c r="AN1024" s="17" t="str">
        <f>IF(NOT(ISBLANK(Audit[[#This Row],[Audit Candidate 10]])), Audit[[#This Row],[Audit Candidate 10]]-Audit[[#This Row],[Candidate 10]], "")</f>
        <v/>
      </c>
      <c r="AO1024" s="17" t="str">
        <f>IF(NOT(ISBLANK(Audit[[#This Row],[Audit Candidate 11]])), Audit[[#This Row],[Audit Candidate 11]]-Audit[[#This Row],[Candidate 11]], "")</f>
        <v/>
      </c>
      <c r="AP1024" s="17" t="str">
        <f>IF(NOT(ISBLANK(Audit[[#This Row],[Audit Candidate 12]])), Audit[[#This Row],[Audit Candidate 12]]-Audit[[#This Row],[Candidate 12]], "")</f>
        <v/>
      </c>
      <c r="AQ1024" s="17">
        <f>SUMIF(Audit[[#This Row],[Difference Winner]:[Difference Candidate 12]], "&gt;0")</f>
        <v>0</v>
      </c>
      <c r="AR1024" s="17">
        <f>SUM(Audit[[#This Row],[Difference Winner]:[Difference Candidate 12]])</f>
        <v>0</v>
      </c>
      <c r="AS1024" s="17">
        <f>IF(Audit[[#This Row],[Times p Drawn - With Replacement]]&gt;0, IF(Audit[[#This Row],[Canceled Differences]]&lt;0, Audit[[#This Row],[Max Differences]]+ABS(Audit[[#This Row],[Canceled Differences]]), Audit[[#This Row],[Max Differences]]), 0)</f>
        <v>0</v>
      </c>
      <c r="AT1024" s="17">
        <f>'Sampling Data'!AB1024</f>
        <v>1.4174163978950943E-2</v>
      </c>
      <c r="AU1024" s="17">
        <f>IF(
      SUM(Audit[[#This Row],[Audit Losing Candidate]:[Audit Candidate 12]])
      &lt;&gt;0,
      (Audit[[#This Row],[Winning Candidate]]-Audit[[#This Row],[Losing Candidate]]-(Audit[[#This Row],[Audit Winning Candidate]]-Audit[[#This Row],[Audit Losing Candidate]]))/(Audit[[#Totals],[Winning Candidate]]-Audit[[#Totals],[Losing Candidate]]),
      0
)</f>
        <v>0</v>
      </c>
      <c r="AV10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4" s="17">
        <f>IF(Audit[[#This Row],[Max Relative Error (ep)]] = 0, 0, Audit[[#This Row],[Max Relative Error (ep)]]/Audit[[#This Row],[Error Bound (up) - Max. possible relative overstatement]])</f>
        <v>0</v>
      </c>
      <c r="BH10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24" s="17">
        <f t="shared" si="16"/>
        <v>1</v>
      </c>
      <c r="BJ1024" s="17">
        <f>PRODUCT($BI$5:BI1024)</f>
        <v>0.13793242319093066</v>
      </c>
      <c r="BK1024" s="19">
        <f>1 - Audit[[#This Row],[K-M P Value]]</f>
        <v>0.86206757680906931</v>
      </c>
      <c r="BL1024" s="17" t="str">
        <f>IF(Audit[[#This Row],[K-M P Value]]&gt;1-'General Info'!$B$12,"Continue", "Stop")</f>
        <v>Continue</v>
      </c>
      <c r="BM1024" s="22" t="b">
        <f>IF(Audit[[#This Row],[Status - Continue or stop audit]] = "Continue", TRUE, IF(BL1023 = "Continue", TRUE, FALSE))</f>
        <v>1</v>
      </c>
      <c r="BN1024" s="22"/>
    </row>
    <row r="1025" spans="1:66" ht="15" hidden="1" customHeight="1" x14ac:dyDescent="0.35">
      <c r="A1025" s="17" t="str">
        <f>'Sampling Data'!AI1025</f>
        <v/>
      </c>
      <c r="B1025" s="17" t="str">
        <f>'Sampling Data'!A1025</f>
        <v>7334 GREEN HH   (ED)</v>
      </c>
      <c r="C1025" s="17">
        <f>'Sampling Data'!B1025</f>
        <v>162</v>
      </c>
      <c r="D1025" s="17">
        <f>'Sampling Data'!C1025</f>
        <v>398</v>
      </c>
      <c r="E1025" s="18">
        <f>'Sampling Data'!D1025</f>
        <v>0</v>
      </c>
      <c r="F1025" s="18">
        <f>'Sampling Data'!E1025</f>
        <v>0</v>
      </c>
      <c r="G1025" s="18">
        <f>'Sampling Data'!F1025</f>
        <v>0</v>
      </c>
      <c r="H1025" s="18">
        <f>'Sampling Data'!G1025</f>
        <v>0</v>
      </c>
      <c r="I1025" s="18">
        <f>'Sampling Data'!H1025</f>
        <v>0</v>
      </c>
      <c r="J1025" s="18">
        <f>'Sampling Data'!I1025</f>
        <v>0</v>
      </c>
      <c r="K1025" s="18">
        <f>'Sampling Data'!J1025</f>
        <v>0</v>
      </c>
      <c r="L1025" s="18">
        <f>'Sampling Data'!K1025</f>
        <v>0</v>
      </c>
      <c r="M1025" s="18">
        <f>'Sampling Data'!L1025</f>
        <v>0</v>
      </c>
      <c r="N1025" s="18">
        <f>'Sampling Data'!M1025</f>
        <v>0</v>
      </c>
      <c r="O1025" s="17">
        <f>'Sampling Data'!N1025</f>
        <v>1</v>
      </c>
      <c r="P1025" s="17">
        <f>'Sampling Data'!O1025</f>
        <v>48</v>
      </c>
      <c r="Q1025" s="17">
        <f>'Sampling Data'!P1025</f>
        <v>609</v>
      </c>
      <c r="R1025" s="17">
        <f>'Sampling Data'!AJ1025</f>
        <v>0</v>
      </c>
      <c r="S1025" s="111"/>
      <c r="T1025" s="111"/>
      <c r="U1025" s="112"/>
      <c r="V1025" s="112"/>
      <c r="W1025" s="111"/>
      <c r="X1025" s="111"/>
      <c r="Y1025" s="111"/>
      <c r="Z1025" s="111"/>
      <c r="AA1025" s="14"/>
      <c r="AB1025" s="14"/>
      <c r="AC1025" s="14"/>
      <c r="AD1025" s="14"/>
      <c r="AE1025" s="113" t="str">
        <f>IF(NOT(ISBLANK(Audit[[#This Row],[Audit Winning Candidate]])), Audit[[#This Row],[Audit Winning Candidate]]-Audit[[#This Row],[Winning Candidate]], "")</f>
        <v/>
      </c>
      <c r="AF1025" s="17" t="str">
        <f>IF(NOT(ISBLANK(Audit[[#This Row],[Audit Losing Candidate]])), Audit[[#This Row],[Audit Losing Candidate]]-Audit[[#This Row],[Losing Candidate]], "")</f>
        <v/>
      </c>
      <c r="AG1025" s="17" t="str">
        <f>IF(NOT(ISBLANK(Audit[[#This Row],[Audit Candidate 3]])), Audit[[#This Row],[Audit Candidate 3]]-Audit[[#This Row],[Candidate 3]], "")</f>
        <v/>
      </c>
      <c r="AH1025" s="17" t="str">
        <f>IF(NOT(ISBLANK(Audit[[#This Row],[Audit Candidate 4]])),Audit[[#This Row],[Audit Candidate 4]]-Audit[[#This Row],[Candidate 4]], "")</f>
        <v/>
      </c>
      <c r="AI1025" s="17" t="str">
        <f>IF(NOT(ISBLANK(Audit[[#This Row],[Audit Candidate 5]])), Audit[[#This Row],[Audit Candidate 5]]-Audit[[#This Row],[Candidate 5]], "")</f>
        <v/>
      </c>
      <c r="AJ1025" s="17" t="str">
        <f>IF(NOT(ISBLANK(Audit[[#This Row],[Audit Candidate 6]])), Audit[[#This Row],[Audit Candidate 6]]-Audit[[#This Row],[Candidate 6]], "")</f>
        <v/>
      </c>
      <c r="AK1025" s="17" t="str">
        <f>IF(NOT(ISBLANK(Audit[[#This Row],[Audit Candidate 7]])), Audit[[#This Row],[Audit Candidate 7]]-Audit[[#This Row],[Candidate 7]], "")</f>
        <v/>
      </c>
      <c r="AL1025" s="17" t="str">
        <f>IF(NOT(ISBLANK(Audit[[#This Row],[Audit Candidate 8]])), Audit[[#This Row],[Audit Candidate 8]]-Audit[[#This Row],[Candidate 8]], "")</f>
        <v/>
      </c>
      <c r="AM1025" s="17" t="str">
        <f>IF(NOT(ISBLANK(Audit[[#This Row],[Audit Candidate 9]])), Audit[[#This Row],[Audit Candidate 9]]-Audit[[#This Row],[Candidate 9]], "")</f>
        <v/>
      </c>
      <c r="AN1025" s="17" t="str">
        <f>IF(NOT(ISBLANK(Audit[[#This Row],[Audit Candidate 10]])), Audit[[#This Row],[Audit Candidate 10]]-Audit[[#This Row],[Candidate 10]], "")</f>
        <v/>
      </c>
      <c r="AO1025" s="17" t="str">
        <f>IF(NOT(ISBLANK(Audit[[#This Row],[Audit Candidate 11]])), Audit[[#This Row],[Audit Candidate 11]]-Audit[[#This Row],[Candidate 11]], "")</f>
        <v/>
      </c>
      <c r="AP1025" s="17" t="str">
        <f>IF(NOT(ISBLANK(Audit[[#This Row],[Audit Candidate 12]])), Audit[[#This Row],[Audit Candidate 12]]-Audit[[#This Row],[Candidate 12]], "")</f>
        <v/>
      </c>
      <c r="AQ1025" s="17">
        <f>SUMIF(Audit[[#This Row],[Difference Winner]:[Difference Candidate 12]], "&gt;0")</f>
        <v>0</v>
      </c>
      <c r="AR1025" s="17">
        <f>SUM(Audit[[#This Row],[Difference Winner]:[Difference Candidate 12]])</f>
        <v>0</v>
      </c>
      <c r="AS1025" s="17">
        <f>IF(Audit[[#This Row],[Times p Drawn - With Replacement]]&gt;0, IF(Audit[[#This Row],[Canceled Differences]]&lt;0, Audit[[#This Row],[Max Differences]]+ABS(Audit[[#This Row],[Canceled Differences]]), Audit[[#This Row],[Max Differences]]), 0)</f>
        <v>0</v>
      </c>
      <c r="AT1025" s="17">
        <f>'Sampling Data'!AB1025</f>
        <v>1.5829231030385332E-2</v>
      </c>
      <c r="AU1025" s="17">
        <f>IF(
      SUM(Audit[[#This Row],[Audit Losing Candidate]:[Audit Candidate 12]])
      &lt;&gt;0,
      (Audit[[#This Row],[Winning Candidate]]-Audit[[#This Row],[Losing Candidate]]-(Audit[[#This Row],[Audit Winning Candidate]]-Audit[[#This Row],[Audit Losing Candidate]]))/(Audit[[#Totals],[Winning Candidate]]-Audit[[#Totals],[Losing Candidate]]),
      0
)</f>
        <v>0</v>
      </c>
      <c r="AV10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5" s="17">
        <f>IF(Audit[[#This Row],[Max Relative Error (ep)]] = 0, 0, Audit[[#This Row],[Max Relative Error (ep)]]/Audit[[#This Row],[Error Bound (up) - Max. possible relative overstatement]])</f>
        <v>0</v>
      </c>
      <c r="BH10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25" s="17">
        <f t="shared" si="16"/>
        <v>1</v>
      </c>
      <c r="BJ1025" s="17">
        <f>PRODUCT($BI$5:BI1025)</f>
        <v>0.13793242319093066</v>
      </c>
      <c r="BK1025" s="19">
        <f>1 - Audit[[#This Row],[K-M P Value]]</f>
        <v>0.86206757680906931</v>
      </c>
      <c r="BL1025" s="17" t="str">
        <f>IF(Audit[[#This Row],[K-M P Value]]&gt;1-'General Info'!$B$12,"Continue", "Stop")</f>
        <v>Continue</v>
      </c>
      <c r="BM1025" s="22" t="b">
        <f>IF(Audit[[#This Row],[Status - Continue or stop audit]] = "Continue", TRUE, IF(BL1024 = "Continue", TRUE, FALSE))</f>
        <v>1</v>
      </c>
      <c r="BN1025" s="22"/>
    </row>
    <row r="1026" spans="1:66" ht="15" hidden="1" customHeight="1" x14ac:dyDescent="0.35">
      <c r="A1026" s="17" t="str">
        <f>'Sampling Data'!AI1026</f>
        <v/>
      </c>
      <c r="B1026" s="17" t="str">
        <f>'Sampling Data'!A1026</f>
        <v>7335 GREEN II   (ED)</v>
      </c>
      <c r="C1026" s="17">
        <f>'Sampling Data'!B1026</f>
        <v>142</v>
      </c>
      <c r="D1026" s="17">
        <f>'Sampling Data'!C1026</f>
        <v>147</v>
      </c>
      <c r="E1026" s="18">
        <f>'Sampling Data'!D1026</f>
        <v>0</v>
      </c>
      <c r="F1026" s="18">
        <f>'Sampling Data'!E1026</f>
        <v>0</v>
      </c>
      <c r="G1026" s="18">
        <f>'Sampling Data'!F1026</f>
        <v>0</v>
      </c>
      <c r="H1026" s="18">
        <f>'Sampling Data'!G1026</f>
        <v>0</v>
      </c>
      <c r="I1026" s="18">
        <f>'Sampling Data'!H1026</f>
        <v>0</v>
      </c>
      <c r="J1026" s="18">
        <f>'Sampling Data'!I1026</f>
        <v>0</v>
      </c>
      <c r="K1026" s="18">
        <f>'Sampling Data'!J1026</f>
        <v>0</v>
      </c>
      <c r="L1026" s="18">
        <f>'Sampling Data'!K1026</f>
        <v>0</v>
      </c>
      <c r="M1026" s="18">
        <f>'Sampling Data'!L1026</f>
        <v>0</v>
      </c>
      <c r="N1026" s="18">
        <f>'Sampling Data'!M1026</f>
        <v>0</v>
      </c>
      <c r="O1026" s="17">
        <f>'Sampling Data'!N1026</f>
        <v>0</v>
      </c>
      <c r="P1026" s="17">
        <f>'Sampling Data'!O1026</f>
        <v>21</v>
      </c>
      <c r="Q1026" s="17">
        <f>'Sampling Data'!P1026</f>
        <v>310</v>
      </c>
      <c r="R1026" s="17">
        <f>'Sampling Data'!AJ1026</f>
        <v>0</v>
      </c>
      <c r="S1026" s="111"/>
      <c r="T1026" s="111"/>
      <c r="U1026" s="112"/>
      <c r="V1026" s="112"/>
      <c r="W1026" s="111"/>
      <c r="X1026" s="111"/>
      <c r="Y1026" s="111"/>
      <c r="Z1026" s="111"/>
      <c r="AA1026" s="14"/>
      <c r="AB1026" s="14"/>
      <c r="AC1026" s="14"/>
      <c r="AD1026" s="14"/>
      <c r="AE1026" s="113" t="str">
        <f>IF(NOT(ISBLANK(Audit[[#This Row],[Audit Winning Candidate]])), Audit[[#This Row],[Audit Winning Candidate]]-Audit[[#This Row],[Winning Candidate]], "")</f>
        <v/>
      </c>
      <c r="AF1026" s="17" t="str">
        <f>IF(NOT(ISBLANK(Audit[[#This Row],[Audit Losing Candidate]])), Audit[[#This Row],[Audit Losing Candidate]]-Audit[[#This Row],[Losing Candidate]], "")</f>
        <v/>
      </c>
      <c r="AG1026" s="17" t="str">
        <f>IF(NOT(ISBLANK(Audit[[#This Row],[Audit Candidate 3]])), Audit[[#This Row],[Audit Candidate 3]]-Audit[[#This Row],[Candidate 3]], "")</f>
        <v/>
      </c>
      <c r="AH1026" s="17" t="str">
        <f>IF(NOT(ISBLANK(Audit[[#This Row],[Audit Candidate 4]])),Audit[[#This Row],[Audit Candidate 4]]-Audit[[#This Row],[Candidate 4]], "")</f>
        <v/>
      </c>
      <c r="AI1026" s="17" t="str">
        <f>IF(NOT(ISBLANK(Audit[[#This Row],[Audit Candidate 5]])), Audit[[#This Row],[Audit Candidate 5]]-Audit[[#This Row],[Candidate 5]], "")</f>
        <v/>
      </c>
      <c r="AJ1026" s="17" t="str">
        <f>IF(NOT(ISBLANK(Audit[[#This Row],[Audit Candidate 6]])), Audit[[#This Row],[Audit Candidate 6]]-Audit[[#This Row],[Candidate 6]], "")</f>
        <v/>
      </c>
      <c r="AK1026" s="17" t="str">
        <f>IF(NOT(ISBLANK(Audit[[#This Row],[Audit Candidate 7]])), Audit[[#This Row],[Audit Candidate 7]]-Audit[[#This Row],[Candidate 7]], "")</f>
        <v/>
      </c>
      <c r="AL1026" s="17" t="str">
        <f>IF(NOT(ISBLANK(Audit[[#This Row],[Audit Candidate 8]])), Audit[[#This Row],[Audit Candidate 8]]-Audit[[#This Row],[Candidate 8]], "")</f>
        <v/>
      </c>
      <c r="AM1026" s="17" t="str">
        <f>IF(NOT(ISBLANK(Audit[[#This Row],[Audit Candidate 9]])), Audit[[#This Row],[Audit Candidate 9]]-Audit[[#This Row],[Candidate 9]], "")</f>
        <v/>
      </c>
      <c r="AN1026" s="17" t="str">
        <f>IF(NOT(ISBLANK(Audit[[#This Row],[Audit Candidate 10]])), Audit[[#This Row],[Audit Candidate 10]]-Audit[[#This Row],[Candidate 10]], "")</f>
        <v/>
      </c>
      <c r="AO1026" s="17" t="str">
        <f>IF(NOT(ISBLANK(Audit[[#This Row],[Audit Candidate 11]])), Audit[[#This Row],[Audit Candidate 11]]-Audit[[#This Row],[Candidate 11]], "")</f>
        <v/>
      </c>
      <c r="AP1026" s="17" t="str">
        <f>IF(NOT(ISBLANK(Audit[[#This Row],[Audit Candidate 12]])), Audit[[#This Row],[Audit Candidate 12]]-Audit[[#This Row],[Candidate 12]], "")</f>
        <v/>
      </c>
      <c r="AQ1026" s="17">
        <f>SUMIF(Audit[[#This Row],[Difference Winner]:[Difference Candidate 12]], "&gt;0")</f>
        <v>0</v>
      </c>
      <c r="AR1026" s="17">
        <f>SUM(Audit[[#This Row],[Difference Winner]:[Difference Candidate 12]])</f>
        <v>0</v>
      </c>
      <c r="AS1026" s="17">
        <f>IF(Audit[[#This Row],[Times p Drawn - With Replacement]]&gt;0, IF(Audit[[#This Row],[Canceled Differences]]&lt;0, Audit[[#This Row],[Max Differences]]+ABS(Audit[[#This Row],[Canceled Differences]]), Audit[[#This Row],[Max Differences]]), 0)</f>
        <v>0</v>
      </c>
      <c r="AT1026" s="17">
        <f>'Sampling Data'!AB1026</f>
        <v>1.294347309455101E-2</v>
      </c>
      <c r="AU1026" s="17">
        <f>IF(
      SUM(Audit[[#This Row],[Audit Losing Candidate]:[Audit Candidate 12]])
      &lt;&gt;0,
      (Audit[[#This Row],[Winning Candidate]]-Audit[[#This Row],[Losing Candidate]]-(Audit[[#This Row],[Audit Winning Candidate]]-Audit[[#This Row],[Audit Losing Candidate]]))/(Audit[[#Totals],[Winning Candidate]]-Audit[[#Totals],[Losing Candidate]]),
      0
)</f>
        <v>0</v>
      </c>
      <c r="AV10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6" s="17">
        <f>IF(Audit[[#This Row],[Max Relative Error (ep)]] = 0, 0, Audit[[#This Row],[Max Relative Error (ep)]]/Audit[[#This Row],[Error Bound (up) - Max. possible relative overstatement]])</f>
        <v>0</v>
      </c>
      <c r="BH10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26" s="17">
        <f t="shared" si="16"/>
        <v>1</v>
      </c>
      <c r="BJ1026" s="17">
        <f>PRODUCT($BI$5:BI1026)</f>
        <v>0.13793242319093066</v>
      </c>
      <c r="BK1026" s="19">
        <f>1 - Audit[[#This Row],[K-M P Value]]</f>
        <v>0.86206757680906931</v>
      </c>
      <c r="BL1026" s="17" t="str">
        <f>IF(Audit[[#This Row],[K-M P Value]]&gt;1-'General Info'!$B$12,"Continue", "Stop")</f>
        <v>Continue</v>
      </c>
      <c r="BM1026" s="22" t="b">
        <f>IF(Audit[[#This Row],[Status - Continue or stop audit]] = "Continue", TRUE, IF(BL1025 = "Continue", TRUE, FALSE))</f>
        <v>1</v>
      </c>
      <c r="BN1026" s="22"/>
    </row>
    <row r="1027" spans="1:66" ht="15" hidden="1" customHeight="1" x14ac:dyDescent="0.35">
      <c r="A1027" s="17" t="str">
        <f>'Sampling Data'!AI1027</f>
        <v/>
      </c>
      <c r="B1027" s="17" t="str">
        <f>'Sampling Data'!A1027</f>
        <v>7336 GREEN JJ   (ED)</v>
      </c>
      <c r="C1027" s="17">
        <f>'Sampling Data'!B1027</f>
        <v>190</v>
      </c>
      <c r="D1027" s="17">
        <f>'Sampling Data'!C1027</f>
        <v>392</v>
      </c>
      <c r="E1027" s="18">
        <f>'Sampling Data'!D1027</f>
        <v>0</v>
      </c>
      <c r="F1027" s="18">
        <f>'Sampling Data'!E1027</f>
        <v>0</v>
      </c>
      <c r="G1027" s="18">
        <f>'Sampling Data'!F1027</f>
        <v>0</v>
      </c>
      <c r="H1027" s="18">
        <f>'Sampling Data'!G1027</f>
        <v>0</v>
      </c>
      <c r="I1027" s="18">
        <f>'Sampling Data'!H1027</f>
        <v>0</v>
      </c>
      <c r="J1027" s="18">
        <f>'Sampling Data'!I1027</f>
        <v>0</v>
      </c>
      <c r="K1027" s="18">
        <f>'Sampling Data'!J1027</f>
        <v>0</v>
      </c>
      <c r="L1027" s="18">
        <f>'Sampling Data'!K1027</f>
        <v>0</v>
      </c>
      <c r="M1027" s="18">
        <f>'Sampling Data'!L1027</f>
        <v>0</v>
      </c>
      <c r="N1027" s="18">
        <f>'Sampling Data'!M1027</f>
        <v>0</v>
      </c>
      <c r="O1027" s="17">
        <f>'Sampling Data'!N1027</f>
        <v>0</v>
      </c>
      <c r="P1027" s="17">
        <f>'Sampling Data'!O1027</f>
        <v>37</v>
      </c>
      <c r="Q1027" s="17">
        <f>'Sampling Data'!P1027</f>
        <v>619</v>
      </c>
      <c r="R1027" s="17">
        <f>'Sampling Data'!AJ1027</f>
        <v>0</v>
      </c>
      <c r="S1027" s="111"/>
      <c r="T1027" s="111"/>
      <c r="U1027" s="112"/>
      <c r="V1027" s="112"/>
      <c r="W1027" s="111"/>
      <c r="X1027" s="111"/>
      <c r="Y1027" s="111"/>
      <c r="Z1027" s="111"/>
      <c r="AA1027" s="14"/>
      <c r="AB1027" s="14"/>
      <c r="AC1027" s="14"/>
      <c r="AD1027" s="14"/>
      <c r="AE1027" s="113" t="str">
        <f>IF(NOT(ISBLANK(Audit[[#This Row],[Audit Winning Candidate]])), Audit[[#This Row],[Audit Winning Candidate]]-Audit[[#This Row],[Winning Candidate]], "")</f>
        <v/>
      </c>
      <c r="AF1027" s="17" t="str">
        <f>IF(NOT(ISBLANK(Audit[[#This Row],[Audit Losing Candidate]])), Audit[[#This Row],[Audit Losing Candidate]]-Audit[[#This Row],[Losing Candidate]], "")</f>
        <v/>
      </c>
      <c r="AG1027" s="17" t="str">
        <f>IF(NOT(ISBLANK(Audit[[#This Row],[Audit Candidate 3]])), Audit[[#This Row],[Audit Candidate 3]]-Audit[[#This Row],[Candidate 3]], "")</f>
        <v/>
      </c>
      <c r="AH1027" s="17" t="str">
        <f>IF(NOT(ISBLANK(Audit[[#This Row],[Audit Candidate 4]])),Audit[[#This Row],[Audit Candidate 4]]-Audit[[#This Row],[Candidate 4]], "")</f>
        <v/>
      </c>
      <c r="AI1027" s="17" t="str">
        <f>IF(NOT(ISBLANK(Audit[[#This Row],[Audit Candidate 5]])), Audit[[#This Row],[Audit Candidate 5]]-Audit[[#This Row],[Candidate 5]], "")</f>
        <v/>
      </c>
      <c r="AJ1027" s="17" t="str">
        <f>IF(NOT(ISBLANK(Audit[[#This Row],[Audit Candidate 6]])), Audit[[#This Row],[Audit Candidate 6]]-Audit[[#This Row],[Candidate 6]], "")</f>
        <v/>
      </c>
      <c r="AK1027" s="17" t="str">
        <f>IF(NOT(ISBLANK(Audit[[#This Row],[Audit Candidate 7]])), Audit[[#This Row],[Audit Candidate 7]]-Audit[[#This Row],[Candidate 7]], "")</f>
        <v/>
      </c>
      <c r="AL1027" s="17" t="str">
        <f>IF(NOT(ISBLANK(Audit[[#This Row],[Audit Candidate 8]])), Audit[[#This Row],[Audit Candidate 8]]-Audit[[#This Row],[Candidate 8]], "")</f>
        <v/>
      </c>
      <c r="AM1027" s="17" t="str">
        <f>IF(NOT(ISBLANK(Audit[[#This Row],[Audit Candidate 9]])), Audit[[#This Row],[Audit Candidate 9]]-Audit[[#This Row],[Candidate 9]], "")</f>
        <v/>
      </c>
      <c r="AN1027" s="17" t="str">
        <f>IF(NOT(ISBLANK(Audit[[#This Row],[Audit Candidate 10]])), Audit[[#This Row],[Audit Candidate 10]]-Audit[[#This Row],[Candidate 10]], "")</f>
        <v/>
      </c>
      <c r="AO1027" s="17" t="str">
        <f>IF(NOT(ISBLANK(Audit[[#This Row],[Audit Candidate 11]])), Audit[[#This Row],[Audit Candidate 11]]-Audit[[#This Row],[Candidate 11]], "")</f>
        <v/>
      </c>
      <c r="AP1027" s="17" t="str">
        <f>IF(NOT(ISBLANK(Audit[[#This Row],[Audit Candidate 12]])), Audit[[#This Row],[Audit Candidate 12]]-Audit[[#This Row],[Candidate 12]], "")</f>
        <v/>
      </c>
      <c r="AQ1027" s="17">
        <f>SUMIF(Audit[[#This Row],[Difference Winner]:[Difference Candidate 12]], "&gt;0")</f>
        <v>0</v>
      </c>
      <c r="AR1027" s="17">
        <f>SUM(Audit[[#This Row],[Difference Winner]:[Difference Candidate 12]])</f>
        <v>0</v>
      </c>
      <c r="AS1027" s="17">
        <f>IF(Audit[[#This Row],[Times p Drawn - With Replacement]]&gt;0, IF(Audit[[#This Row],[Canceled Differences]]&lt;0, Audit[[#This Row],[Max Differences]]+ABS(Audit[[#This Row],[Canceled Differences]]), Audit[[#This Row],[Max Differences]]), 0)</f>
        <v>0</v>
      </c>
      <c r="AT1027" s="17">
        <f>'Sampling Data'!AB1027</f>
        <v>1.7696486165336953E-2</v>
      </c>
      <c r="AU1027" s="17">
        <f>IF(
      SUM(Audit[[#This Row],[Audit Losing Candidate]:[Audit Candidate 12]])
      &lt;&gt;0,
      (Audit[[#This Row],[Winning Candidate]]-Audit[[#This Row],[Losing Candidate]]-(Audit[[#This Row],[Audit Winning Candidate]]-Audit[[#This Row],[Audit Losing Candidate]]))/(Audit[[#Totals],[Winning Candidate]]-Audit[[#Totals],[Losing Candidate]]),
      0
)</f>
        <v>0</v>
      </c>
      <c r="AV10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7" s="17">
        <f>IF(Audit[[#This Row],[Max Relative Error (ep)]] = 0, 0, Audit[[#This Row],[Max Relative Error (ep)]]/Audit[[#This Row],[Error Bound (up) - Max. possible relative overstatement]])</f>
        <v>0</v>
      </c>
      <c r="BH10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27" s="17">
        <f t="shared" si="16"/>
        <v>1</v>
      </c>
      <c r="BJ1027" s="17">
        <f>PRODUCT($BI$5:BI1027)</f>
        <v>0.13793242319093066</v>
      </c>
      <c r="BK1027" s="19">
        <f>1 - Audit[[#This Row],[K-M P Value]]</f>
        <v>0.86206757680906931</v>
      </c>
      <c r="BL1027" s="17" t="str">
        <f>IF(Audit[[#This Row],[K-M P Value]]&gt;1-'General Info'!$B$12,"Continue", "Stop")</f>
        <v>Continue</v>
      </c>
      <c r="BM1027" s="22" t="b">
        <f>IF(Audit[[#This Row],[Status - Continue or stop audit]] = "Continue", TRUE, IF(BL1026 = "Continue", TRUE, FALSE))</f>
        <v>1</v>
      </c>
      <c r="BN1027" s="22"/>
    </row>
    <row r="1028" spans="1:66" ht="15" hidden="1" customHeight="1" x14ac:dyDescent="0.35">
      <c r="A1028" s="17" t="str">
        <f>'Sampling Data'!AI1028</f>
        <v/>
      </c>
      <c r="B1028" s="17" t="str">
        <f>'Sampling Data'!A1028</f>
        <v>7337 GREEN KK   (ED)</v>
      </c>
      <c r="C1028" s="17">
        <f>'Sampling Data'!B1028</f>
        <v>94</v>
      </c>
      <c r="D1028" s="17">
        <f>'Sampling Data'!C1028</f>
        <v>485</v>
      </c>
      <c r="E1028" s="18">
        <f>'Sampling Data'!D1028</f>
        <v>0</v>
      </c>
      <c r="F1028" s="18">
        <f>'Sampling Data'!E1028</f>
        <v>0</v>
      </c>
      <c r="G1028" s="18">
        <f>'Sampling Data'!F1028</f>
        <v>0</v>
      </c>
      <c r="H1028" s="18">
        <f>'Sampling Data'!G1028</f>
        <v>0</v>
      </c>
      <c r="I1028" s="18">
        <f>'Sampling Data'!H1028</f>
        <v>0</v>
      </c>
      <c r="J1028" s="18">
        <f>'Sampling Data'!I1028</f>
        <v>0</v>
      </c>
      <c r="K1028" s="18">
        <f>'Sampling Data'!J1028</f>
        <v>0</v>
      </c>
      <c r="L1028" s="18">
        <f>'Sampling Data'!K1028</f>
        <v>0</v>
      </c>
      <c r="M1028" s="18">
        <f>'Sampling Data'!L1028</f>
        <v>0</v>
      </c>
      <c r="N1028" s="18">
        <f>'Sampling Data'!M1028</f>
        <v>0</v>
      </c>
      <c r="O1028" s="17">
        <f>'Sampling Data'!N1028</f>
        <v>2</v>
      </c>
      <c r="P1028" s="17">
        <f>'Sampling Data'!O1028</f>
        <v>52</v>
      </c>
      <c r="Q1028" s="17">
        <f>'Sampling Data'!P1028</f>
        <v>633</v>
      </c>
      <c r="R1028" s="17">
        <f>'Sampling Data'!AJ1028</f>
        <v>0</v>
      </c>
      <c r="S1028" s="111"/>
      <c r="T1028" s="111"/>
      <c r="U1028" s="112"/>
      <c r="V1028" s="112"/>
      <c r="W1028" s="111"/>
      <c r="X1028" s="111"/>
      <c r="Y1028" s="111"/>
      <c r="Z1028" s="111"/>
      <c r="AA1028" s="14"/>
      <c r="AB1028" s="14"/>
      <c r="AC1028" s="14"/>
      <c r="AD1028" s="14"/>
      <c r="AE1028" s="113" t="str">
        <f>IF(NOT(ISBLANK(Audit[[#This Row],[Audit Winning Candidate]])), Audit[[#This Row],[Audit Winning Candidate]]-Audit[[#This Row],[Winning Candidate]], "")</f>
        <v/>
      </c>
      <c r="AF1028" s="17" t="str">
        <f>IF(NOT(ISBLANK(Audit[[#This Row],[Audit Losing Candidate]])), Audit[[#This Row],[Audit Losing Candidate]]-Audit[[#This Row],[Losing Candidate]], "")</f>
        <v/>
      </c>
      <c r="AG1028" s="17" t="str">
        <f>IF(NOT(ISBLANK(Audit[[#This Row],[Audit Candidate 3]])), Audit[[#This Row],[Audit Candidate 3]]-Audit[[#This Row],[Candidate 3]], "")</f>
        <v/>
      </c>
      <c r="AH1028" s="17" t="str">
        <f>IF(NOT(ISBLANK(Audit[[#This Row],[Audit Candidate 4]])),Audit[[#This Row],[Audit Candidate 4]]-Audit[[#This Row],[Candidate 4]], "")</f>
        <v/>
      </c>
      <c r="AI1028" s="17" t="str">
        <f>IF(NOT(ISBLANK(Audit[[#This Row],[Audit Candidate 5]])), Audit[[#This Row],[Audit Candidate 5]]-Audit[[#This Row],[Candidate 5]], "")</f>
        <v/>
      </c>
      <c r="AJ1028" s="17" t="str">
        <f>IF(NOT(ISBLANK(Audit[[#This Row],[Audit Candidate 6]])), Audit[[#This Row],[Audit Candidate 6]]-Audit[[#This Row],[Candidate 6]], "")</f>
        <v/>
      </c>
      <c r="AK1028" s="17" t="str">
        <f>IF(NOT(ISBLANK(Audit[[#This Row],[Audit Candidate 7]])), Audit[[#This Row],[Audit Candidate 7]]-Audit[[#This Row],[Candidate 7]], "")</f>
        <v/>
      </c>
      <c r="AL1028" s="17" t="str">
        <f>IF(NOT(ISBLANK(Audit[[#This Row],[Audit Candidate 8]])), Audit[[#This Row],[Audit Candidate 8]]-Audit[[#This Row],[Candidate 8]], "")</f>
        <v/>
      </c>
      <c r="AM1028" s="17" t="str">
        <f>IF(NOT(ISBLANK(Audit[[#This Row],[Audit Candidate 9]])), Audit[[#This Row],[Audit Candidate 9]]-Audit[[#This Row],[Candidate 9]], "")</f>
        <v/>
      </c>
      <c r="AN1028" s="17" t="str">
        <f>IF(NOT(ISBLANK(Audit[[#This Row],[Audit Candidate 10]])), Audit[[#This Row],[Audit Candidate 10]]-Audit[[#This Row],[Candidate 10]], "")</f>
        <v/>
      </c>
      <c r="AO1028" s="17" t="str">
        <f>IF(NOT(ISBLANK(Audit[[#This Row],[Audit Candidate 11]])), Audit[[#This Row],[Audit Candidate 11]]-Audit[[#This Row],[Candidate 11]], "")</f>
        <v/>
      </c>
      <c r="AP1028" s="17" t="str">
        <f>IF(NOT(ISBLANK(Audit[[#This Row],[Audit Candidate 12]])), Audit[[#This Row],[Audit Candidate 12]]-Audit[[#This Row],[Candidate 12]], "")</f>
        <v/>
      </c>
      <c r="AQ1028" s="17">
        <f>SUMIF(Audit[[#This Row],[Difference Winner]:[Difference Candidate 12]], "&gt;0")</f>
        <v>0</v>
      </c>
      <c r="AR1028" s="17">
        <f>SUM(Audit[[#This Row],[Difference Winner]:[Difference Candidate 12]])</f>
        <v>0</v>
      </c>
      <c r="AS1028" s="17">
        <f>IF(Audit[[#This Row],[Times p Drawn - With Replacement]]&gt;0, IF(Audit[[#This Row],[Canceled Differences]]&lt;0, Audit[[#This Row],[Max Differences]]+ABS(Audit[[#This Row],[Canceled Differences]]), Audit[[#This Row],[Max Differences]]), 0)</f>
        <v>0</v>
      </c>
      <c r="AT1028" s="17">
        <f>'Sampling Data'!AB1028</f>
        <v>1.0269903242233916E-2</v>
      </c>
      <c r="AU1028" s="17">
        <f>IF(
      SUM(Audit[[#This Row],[Audit Losing Candidate]:[Audit Candidate 12]])
      &lt;&gt;0,
      (Audit[[#This Row],[Winning Candidate]]-Audit[[#This Row],[Losing Candidate]]-(Audit[[#This Row],[Audit Winning Candidate]]-Audit[[#This Row],[Audit Losing Candidate]]))/(Audit[[#Totals],[Winning Candidate]]-Audit[[#Totals],[Losing Candidate]]),
      0
)</f>
        <v>0</v>
      </c>
      <c r="AV10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8" s="17">
        <f>IF(Audit[[#This Row],[Max Relative Error (ep)]] = 0, 0, Audit[[#This Row],[Max Relative Error (ep)]]/Audit[[#This Row],[Error Bound (up) - Max. possible relative overstatement]])</f>
        <v>0</v>
      </c>
      <c r="BH10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28" s="17">
        <f t="shared" si="16"/>
        <v>1</v>
      </c>
      <c r="BJ1028" s="17">
        <f>PRODUCT($BI$5:BI1028)</f>
        <v>0.13793242319093066</v>
      </c>
      <c r="BK1028" s="19">
        <f>1 - Audit[[#This Row],[K-M P Value]]</f>
        <v>0.86206757680906931</v>
      </c>
      <c r="BL1028" s="17" t="str">
        <f>IF(Audit[[#This Row],[K-M P Value]]&gt;1-'General Info'!$B$12,"Continue", "Stop")</f>
        <v>Continue</v>
      </c>
      <c r="BM1028" s="22" t="b">
        <f>IF(Audit[[#This Row],[Status - Continue or stop audit]] = "Continue", TRUE, IF(BL1027 = "Continue", TRUE, FALSE))</f>
        <v>1</v>
      </c>
      <c r="BN1028" s="22"/>
    </row>
    <row r="1029" spans="1:66" ht="15" hidden="1" customHeight="1" x14ac:dyDescent="0.35">
      <c r="A1029" s="17" t="str">
        <f>'Sampling Data'!AI1029</f>
        <v/>
      </c>
      <c r="B1029" s="17" t="str">
        <f>'Sampling Data'!A1029</f>
        <v>7338 GREEN LL   (ED)</v>
      </c>
      <c r="C1029" s="17">
        <f>'Sampling Data'!B1029</f>
        <v>77</v>
      </c>
      <c r="D1029" s="17">
        <f>'Sampling Data'!C1029</f>
        <v>411</v>
      </c>
      <c r="E1029" s="18">
        <f>'Sampling Data'!D1029</f>
        <v>0</v>
      </c>
      <c r="F1029" s="18">
        <f>'Sampling Data'!E1029</f>
        <v>0</v>
      </c>
      <c r="G1029" s="18">
        <f>'Sampling Data'!F1029</f>
        <v>0</v>
      </c>
      <c r="H1029" s="18">
        <f>'Sampling Data'!G1029</f>
        <v>0</v>
      </c>
      <c r="I1029" s="18">
        <f>'Sampling Data'!H1029</f>
        <v>0</v>
      </c>
      <c r="J1029" s="18">
        <f>'Sampling Data'!I1029</f>
        <v>0</v>
      </c>
      <c r="K1029" s="18">
        <f>'Sampling Data'!J1029</f>
        <v>0</v>
      </c>
      <c r="L1029" s="18">
        <f>'Sampling Data'!K1029</f>
        <v>0</v>
      </c>
      <c r="M1029" s="18">
        <f>'Sampling Data'!L1029</f>
        <v>0</v>
      </c>
      <c r="N1029" s="18">
        <f>'Sampling Data'!M1029</f>
        <v>0</v>
      </c>
      <c r="O1029" s="17">
        <f>'Sampling Data'!N1029</f>
        <v>0</v>
      </c>
      <c r="P1029" s="17">
        <f>'Sampling Data'!O1029</f>
        <v>31</v>
      </c>
      <c r="Q1029" s="17">
        <f>'Sampling Data'!P1029</f>
        <v>519</v>
      </c>
      <c r="R1029" s="17">
        <f>'Sampling Data'!AJ1029</f>
        <v>0</v>
      </c>
      <c r="S1029" s="111"/>
      <c r="T1029" s="111"/>
      <c r="U1029" s="112"/>
      <c r="V1029" s="112"/>
      <c r="W1029" s="111"/>
      <c r="X1029" s="111"/>
      <c r="Y1029" s="111"/>
      <c r="Z1029" s="111"/>
      <c r="AA1029" s="14"/>
      <c r="AB1029" s="14"/>
      <c r="AC1029" s="14"/>
      <c r="AD1029" s="14"/>
      <c r="AE1029" s="113" t="str">
        <f>IF(NOT(ISBLANK(Audit[[#This Row],[Audit Winning Candidate]])), Audit[[#This Row],[Audit Winning Candidate]]-Audit[[#This Row],[Winning Candidate]], "")</f>
        <v/>
      </c>
      <c r="AF1029" s="17" t="str">
        <f>IF(NOT(ISBLANK(Audit[[#This Row],[Audit Losing Candidate]])), Audit[[#This Row],[Audit Losing Candidate]]-Audit[[#This Row],[Losing Candidate]], "")</f>
        <v/>
      </c>
      <c r="AG1029" s="17" t="str">
        <f>IF(NOT(ISBLANK(Audit[[#This Row],[Audit Candidate 3]])), Audit[[#This Row],[Audit Candidate 3]]-Audit[[#This Row],[Candidate 3]], "")</f>
        <v/>
      </c>
      <c r="AH1029" s="17" t="str">
        <f>IF(NOT(ISBLANK(Audit[[#This Row],[Audit Candidate 4]])),Audit[[#This Row],[Audit Candidate 4]]-Audit[[#This Row],[Candidate 4]], "")</f>
        <v/>
      </c>
      <c r="AI1029" s="17" t="str">
        <f>IF(NOT(ISBLANK(Audit[[#This Row],[Audit Candidate 5]])), Audit[[#This Row],[Audit Candidate 5]]-Audit[[#This Row],[Candidate 5]], "")</f>
        <v/>
      </c>
      <c r="AJ1029" s="17" t="str">
        <f>IF(NOT(ISBLANK(Audit[[#This Row],[Audit Candidate 6]])), Audit[[#This Row],[Audit Candidate 6]]-Audit[[#This Row],[Candidate 6]], "")</f>
        <v/>
      </c>
      <c r="AK1029" s="17" t="str">
        <f>IF(NOT(ISBLANK(Audit[[#This Row],[Audit Candidate 7]])), Audit[[#This Row],[Audit Candidate 7]]-Audit[[#This Row],[Candidate 7]], "")</f>
        <v/>
      </c>
      <c r="AL1029" s="17" t="str">
        <f>IF(NOT(ISBLANK(Audit[[#This Row],[Audit Candidate 8]])), Audit[[#This Row],[Audit Candidate 8]]-Audit[[#This Row],[Candidate 8]], "")</f>
        <v/>
      </c>
      <c r="AM1029" s="17" t="str">
        <f>IF(NOT(ISBLANK(Audit[[#This Row],[Audit Candidate 9]])), Audit[[#This Row],[Audit Candidate 9]]-Audit[[#This Row],[Candidate 9]], "")</f>
        <v/>
      </c>
      <c r="AN1029" s="17" t="str">
        <f>IF(NOT(ISBLANK(Audit[[#This Row],[Audit Candidate 10]])), Audit[[#This Row],[Audit Candidate 10]]-Audit[[#This Row],[Candidate 10]], "")</f>
        <v/>
      </c>
      <c r="AO1029" s="17" t="str">
        <f>IF(NOT(ISBLANK(Audit[[#This Row],[Audit Candidate 11]])), Audit[[#This Row],[Audit Candidate 11]]-Audit[[#This Row],[Candidate 11]], "")</f>
        <v/>
      </c>
      <c r="AP1029" s="17" t="str">
        <f>IF(NOT(ISBLANK(Audit[[#This Row],[Audit Candidate 12]])), Audit[[#This Row],[Audit Candidate 12]]-Audit[[#This Row],[Candidate 12]], "")</f>
        <v/>
      </c>
      <c r="AQ1029" s="17">
        <f>SUMIF(Audit[[#This Row],[Difference Winner]:[Difference Candidate 12]], "&gt;0")</f>
        <v>0</v>
      </c>
      <c r="AR1029" s="17">
        <f>SUM(Audit[[#This Row],[Difference Winner]:[Difference Candidate 12]])</f>
        <v>0</v>
      </c>
      <c r="AS1029" s="17">
        <f>IF(Audit[[#This Row],[Times p Drawn - With Replacement]]&gt;0, IF(Audit[[#This Row],[Canceled Differences]]&lt;0, Audit[[#This Row],[Max Differences]]+ABS(Audit[[#This Row],[Canceled Differences]]), Audit[[#This Row],[Max Differences]]), 0)</f>
        <v>0</v>
      </c>
      <c r="AT1029" s="17">
        <f>'Sampling Data'!AB1029</f>
        <v>7.8509590901374975E-3</v>
      </c>
      <c r="AU1029" s="17">
        <f>IF(
      SUM(Audit[[#This Row],[Audit Losing Candidate]:[Audit Candidate 12]])
      &lt;&gt;0,
      (Audit[[#This Row],[Winning Candidate]]-Audit[[#This Row],[Losing Candidate]]-(Audit[[#This Row],[Audit Winning Candidate]]-Audit[[#This Row],[Audit Losing Candidate]]))/(Audit[[#Totals],[Winning Candidate]]-Audit[[#Totals],[Losing Candidate]]),
      0
)</f>
        <v>0</v>
      </c>
      <c r="AV10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9" s="17">
        <f>IF(Audit[[#This Row],[Max Relative Error (ep)]] = 0, 0, Audit[[#This Row],[Max Relative Error (ep)]]/Audit[[#This Row],[Error Bound (up) - Max. possible relative overstatement]])</f>
        <v>0</v>
      </c>
      <c r="BH10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29" s="17">
        <f t="shared" si="16"/>
        <v>1</v>
      </c>
      <c r="BJ1029" s="17">
        <f>PRODUCT($BI$5:BI1029)</f>
        <v>0.13793242319093066</v>
      </c>
      <c r="BK1029" s="19">
        <f>1 - Audit[[#This Row],[K-M P Value]]</f>
        <v>0.86206757680906931</v>
      </c>
      <c r="BL1029" s="17" t="str">
        <f>IF(Audit[[#This Row],[K-M P Value]]&gt;1-'General Info'!$B$12,"Continue", "Stop")</f>
        <v>Continue</v>
      </c>
      <c r="BM1029" s="22" t="b">
        <f>IF(Audit[[#This Row],[Status - Continue or stop audit]] = "Continue", TRUE, IF(BL1028 = "Continue", TRUE, FALSE))</f>
        <v>1</v>
      </c>
      <c r="BN1029" s="22"/>
    </row>
    <row r="1030" spans="1:66" ht="15" hidden="1" customHeight="1" x14ac:dyDescent="0.35">
      <c r="A1030" s="17" t="str">
        <f>'Sampling Data'!AI1030</f>
        <v/>
      </c>
      <c r="B1030" s="17" t="str">
        <f>'Sampling Data'!A1030</f>
        <v>7339 GREEN MM   (ED)</v>
      </c>
      <c r="C1030" s="17">
        <f>'Sampling Data'!B1030</f>
        <v>65</v>
      </c>
      <c r="D1030" s="17">
        <f>'Sampling Data'!C1030</f>
        <v>324</v>
      </c>
      <c r="E1030" s="18">
        <f>'Sampling Data'!D1030</f>
        <v>0</v>
      </c>
      <c r="F1030" s="18">
        <f>'Sampling Data'!E1030</f>
        <v>0</v>
      </c>
      <c r="G1030" s="18">
        <f>'Sampling Data'!F1030</f>
        <v>0</v>
      </c>
      <c r="H1030" s="18">
        <f>'Sampling Data'!G1030</f>
        <v>0</v>
      </c>
      <c r="I1030" s="18">
        <f>'Sampling Data'!H1030</f>
        <v>0</v>
      </c>
      <c r="J1030" s="18">
        <f>'Sampling Data'!I1030</f>
        <v>0</v>
      </c>
      <c r="K1030" s="18">
        <f>'Sampling Data'!J1030</f>
        <v>0</v>
      </c>
      <c r="L1030" s="18">
        <f>'Sampling Data'!K1030</f>
        <v>0</v>
      </c>
      <c r="M1030" s="18">
        <f>'Sampling Data'!L1030</f>
        <v>0</v>
      </c>
      <c r="N1030" s="18">
        <f>'Sampling Data'!M1030</f>
        <v>0</v>
      </c>
      <c r="O1030" s="17">
        <f>'Sampling Data'!N1030</f>
        <v>0</v>
      </c>
      <c r="P1030" s="17">
        <f>'Sampling Data'!O1030</f>
        <v>30</v>
      </c>
      <c r="Q1030" s="17">
        <f>'Sampling Data'!P1030</f>
        <v>419</v>
      </c>
      <c r="R1030" s="17">
        <f>'Sampling Data'!AJ1030</f>
        <v>0</v>
      </c>
      <c r="S1030" s="111"/>
      <c r="T1030" s="111"/>
      <c r="U1030" s="112"/>
      <c r="V1030" s="112"/>
      <c r="W1030" s="111"/>
      <c r="X1030" s="111"/>
      <c r="Y1030" s="111"/>
      <c r="Z1030" s="111"/>
      <c r="AA1030" s="14"/>
      <c r="AB1030" s="14"/>
      <c r="AC1030" s="14"/>
      <c r="AD1030" s="14"/>
      <c r="AE1030" s="113" t="str">
        <f>IF(NOT(ISBLANK(Audit[[#This Row],[Audit Winning Candidate]])), Audit[[#This Row],[Audit Winning Candidate]]-Audit[[#This Row],[Winning Candidate]], "")</f>
        <v/>
      </c>
      <c r="AF1030" s="17" t="str">
        <f>IF(NOT(ISBLANK(Audit[[#This Row],[Audit Losing Candidate]])), Audit[[#This Row],[Audit Losing Candidate]]-Audit[[#This Row],[Losing Candidate]], "")</f>
        <v/>
      </c>
      <c r="AG1030" s="17" t="str">
        <f>IF(NOT(ISBLANK(Audit[[#This Row],[Audit Candidate 3]])), Audit[[#This Row],[Audit Candidate 3]]-Audit[[#This Row],[Candidate 3]], "")</f>
        <v/>
      </c>
      <c r="AH1030" s="17" t="str">
        <f>IF(NOT(ISBLANK(Audit[[#This Row],[Audit Candidate 4]])),Audit[[#This Row],[Audit Candidate 4]]-Audit[[#This Row],[Candidate 4]], "")</f>
        <v/>
      </c>
      <c r="AI1030" s="17" t="str">
        <f>IF(NOT(ISBLANK(Audit[[#This Row],[Audit Candidate 5]])), Audit[[#This Row],[Audit Candidate 5]]-Audit[[#This Row],[Candidate 5]], "")</f>
        <v/>
      </c>
      <c r="AJ1030" s="17" t="str">
        <f>IF(NOT(ISBLANK(Audit[[#This Row],[Audit Candidate 6]])), Audit[[#This Row],[Audit Candidate 6]]-Audit[[#This Row],[Candidate 6]], "")</f>
        <v/>
      </c>
      <c r="AK1030" s="17" t="str">
        <f>IF(NOT(ISBLANK(Audit[[#This Row],[Audit Candidate 7]])), Audit[[#This Row],[Audit Candidate 7]]-Audit[[#This Row],[Candidate 7]], "")</f>
        <v/>
      </c>
      <c r="AL1030" s="17" t="str">
        <f>IF(NOT(ISBLANK(Audit[[#This Row],[Audit Candidate 8]])), Audit[[#This Row],[Audit Candidate 8]]-Audit[[#This Row],[Candidate 8]], "")</f>
        <v/>
      </c>
      <c r="AM1030" s="17" t="str">
        <f>IF(NOT(ISBLANK(Audit[[#This Row],[Audit Candidate 9]])), Audit[[#This Row],[Audit Candidate 9]]-Audit[[#This Row],[Candidate 9]], "")</f>
        <v/>
      </c>
      <c r="AN1030" s="17" t="str">
        <f>IF(NOT(ISBLANK(Audit[[#This Row],[Audit Candidate 10]])), Audit[[#This Row],[Audit Candidate 10]]-Audit[[#This Row],[Candidate 10]], "")</f>
        <v/>
      </c>
      <c r="AO1030" s="17" t="str">
        <f>IF(NOT(ISBLANK(Audit[[#This Row],[Audit Candidate 11]])), Audit[[#This Row],[Audit Candidate 11]]-Audit[[#This Row],[Candidate 11]], "")</f>
        <v/>
      </c>
      <c r="AP1030" s="17" t="str">
        <f>IF(NOT(ISBLANK(Audit[[#This Row],[Audit Candidate 12]])), Audit[[#This Row],[Audit Candidate 12]]-Audit[[#This Row],[Candidate 12]], "")</f>
        <v/>
      </c>
      <c r="AQ1030" s="17">
        <f>SUMIF(Audit[[#This Row],[Difference Winner]:[Difference Candidate 12]], "&gt;0")</f>
        <v>0</v>
      </c>
      <c r="AR1030" s="17">
        <f>SUM(Audit[[#This Row],[Difference Winner]:[Difference Candidate 12]])</f>
        <v>0</v>
      </c>
      <c r="AS1030" s="17">
        <f>IF(Audit[[#This Row],[Times p Drawn - With Replacement]]&gt;0, IF(Audit[[#This Row],[Canceled Differences]]&lt;0, Audit[[#This Row],[Max Differences]]+ABS(Audit[[#This Row],[Canceled Differences]]), Audit[[#This Row],[Max Differences]]), 0)</f>
        <v>0</v>
      </c>
      <c r="AT1030" s="17">
        <f>'Sampling Data'!AB1030</f>
        <v>6.7900186725513498E-3</v>
      </c>
      <c r="AU1030" s="17">
        <f>IF(
      SUM(Audit[[#This Row],[Audit Losing Candidate]:[Audit Candidate 12]])
      &lt;&gt;0,
      (Audit[[#This Row],[Winning Candidate]]-Audit[[#This Row],[Losing Candidate]]-(Audit[[#This Row],[Audit Winning Candidate]]-Audit[[#This Row],[Audit Losing Candidate]]))/(Audit[[#Totals],[Winning Candidate]]-Audit[[#Totals],[Losing Candidate]]),
      0
)</f>
        <v>0</v>
      </c>
      <c r="AV10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0" s="17">
        <f>IF(Audit[[#This Row],[Max Relative Error (ep)]] = 0, 0, Audit[[#This Row],[Max Relative Error (ep)]]/Audit[[#This Row],[Error Bound (up) - Max. possible relative overstatement]])</f>
        <v>0</v>
      </c>
      <c r="BH10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30" s="17">
        <f t="shared" si="16"/>
        <v>1</v>
      </c>
      <c r="BJ1030" s="17">
        <f>PRODUCT($BI$5:BI1030)</f>
        <v>0.13793242319093066</v>
      </c>
      <c r="BK1030" s="19">
        <f>1 - Audit[[#This Row],[K-M P Value]]</f>
        <v>0.86206757680906931</v>
      </c>
      <c r="BL1030" s="17" t="str">
        <f>IF(Audit[[#This Row],[K-M P Value]]&gt;1-'General Info'!$B$12,"Continue", "Stop")</f>
        <v>Continue</v>
      </c>
      <c r="BM1030" s="22" t="b">
        <f>IF(Audit[[#This Row],[Status - Continue or stop audit]] = "Continue", TRUE, IF(BL1029 = "Continue", TRUE, FALSE))</f>
        <v>1</v>
      </c>
      <c r="BN1030" s="22"/>
    </row>
    <row r="1031" spans="1:66" ht="15" hidden="1" customHeight="1" x14ac:dyDescent="0.35">
      <c r="A1031" s="17" t="str">
        <f>'Sampling Data'!AI1031</f>
        <v/>
      </c>
      <c r="B1031" s="17" t="str">
        <f>'Sampling Data'!A1031</f>
        <v>7340 GREEN NN   (ED)</v>
      </c>
      <c r="C1031" s="17">
        <f>'Sampling Data'!B1031</f>
        <v>73</v>
      </c>
      <c r="D1031" s="17">
        <f>'Sampling Data'!C1031</f>
        <v>292</v>
      </c>
      <c r="E1031" s="18">
        <f>'Sampling Data'!D1031</f>
        <v>0</v>
      </c>
      <c r="F1031" s="18">
        <f>'Sampling Data'!E1031</f>
        <v>0</v>
      </c>
      <c r="G1031" s="18">
        <f>'Sampling Data'!F1031</f>
        <v>0</v>
      </c>
      <c r="H1031" s="18">
        <f>'Sampling Data'!G1031</f>
        <v>0</v>
      </c>
      <c r="I1031" s="18">
        <f>'Sampling Data'!H1031</f>
        <v>0</v>
      </c>
      <c r="J1031" s="18">
        <f>'Sampling Data'!I1031</f>
        <v>0</v>
      </c>
      <c r="K1031" s="18">
        <f>'Sampling Data'!J1031</f>
        <v>0</v>
      </c>
      <c r="L1031" s="18">
        <f>'Sampling Data'!K1031</f>
        <v>0</v>
      </c>
      <c r="M1031" s="18">
        <f>'Sampling Data'!L1031</f>
        <v>0</v>
      </c>
      <c r="N1031" s="18">
        <f>'Sampling Data'!M1031</f>
        <v>0</v>
      </c>
      <c r="O1031" s="17">
        <f>'Sampling Data'!N1031</f>
        <v>0</v>
      </c>
      <c r="P1031" s="17">
        <f>'Sampling Data'!O1031</f>
        <v>24</v>
      </c>
      <c r="Q1031" s="17">
        <f>'Sampling Data'!P1031</f>
        <v>389</v>
      </c>
      <c r="R1031" s="17">
        <f>'Sampling Data'!AJ1031</f>
        <v>0</v>
      </c>
      <c r="S1031" s="111"/>
      <c r="T1031" s="111"/>
      <c r="U1031" s="112"/>
      <c r="V1031" s="112"/>
      <c r="W1031" s="111"/>
      <c r="X1031" s="111"/>
      <c r="Y1031" s="111"/>
      <c r="Z1031" s="111"/>
      <c r="AA1031" s="14"/>
      <c r="AB1031" s="14"/>
      <c r="AC1031" s="14"/>
      <c r="AD1031" s="14"/>
      <c r="AE1031" s="113" t="str">
        <f>IF(NOT(ISBLANK(Audit[[#This Row],[Audit Winning Candidate]])), Audit[[#This Row],[Audit Winning Candidate]]-Audit[[#This Row],[Winning Candidate]], "")</f>
        <v/>
      </c>
      <c r="AF1031" s="17" t="str">
        <f>IF(NOT(ISBLANK(Audit[[#This Row],[Audit Losing Candidate]])), Audit[[#This Row],[Audit Losing Candidate]]-Audit[[#This Row],[Losing Candidate]], "")</f>
        <v/>
      </c>
      <c r="AG1031" s="17" t="str">
        <f>IF(NOT(ISBLANK(Audit[[#This Row],[Audit Candidate 3]])), Audit[[#This Row],[Audit Candidate 3]]-Audit[[#This Row],[Candidate 3]], "")</f>
        <v/>
      </c>
      <c r="AH1031" s="17" t="str">
        <f>IF(NOT(ISBLANK(Audit[[#This Row],[Audit Candidate 4]])),Audit[[#This Row],[Audit Candidate 4]]-Audit[[#This Row],[Candidate 4]], "")</f>
        <v/>
      </c>
      <c r="AI1031" s="17" t="str">
        <f>IF(NOT(ISBLANK(Audit[[#This Row],[Audit Candidate 5]])), Audit[[#This Row],[Audit Candidate 5]]-Audit[[#This Row],[Candidate 5]], "")</f>
        <v/>
      </c>
      <c r="AJ1031" s="17" t="str">
        <f>IF(NOT(ISBLANK(Audit[[#This Row],[Audit Candidate 6]])), Audit[[#This Row],[Audit Candidate 6]]-Audit[[#This Row],[Candidate 6]], "")</f>
        <v/>
      </c>
      <c r="AK1031" s="17" t="str">
        <f>IF(NOT(ISBLANK(Audit[[#This Row],[Audit Candidate 7]])), Audit[[#This Row],[Audit Candidate 7]]-Audit[[#This Row],[Candidate 7]], "")</f>
        <v/>
      </c>
      <c r="AL1031" s="17" t="str">
        <f>IF(NOT(ISBLANK(Audit[[#This Row],[Audit Candidate 8]])), Audit[[#This Row],[Audit Candidate 8]]-Audit[[#This Row],[Candidate 8]], "")</f>
        <v/>
      </c>
      <c r="AM1031" s="17" t="str">
        <f>IF(NOT(ISBLANK(Audit[[#This Row],[Audit Candidate 9]])), Audit[[#This Row],[Audit Candidate 9]]-Audit[[#This Row],[Candidate 9]], "")</f>
        <v/>
      </c>
      <c r="AN1031" s="17" t="str">
        <f>IF(NOT(ISBLANK(Audit[[#This Row],[Audit Candidate 10]])), Audit[[#This Row],[Audit Candidate 10]]-Audit[[#This Row],[Candidate 10]], "")</f>
        <v/>
      </c>
      <c r="AO1031" s="17" t="str">
        <f>IF(NOT(ISBLANK(Audit[[#This Row],[Audit Candidate 11]])), Audit[[#This Row],[Audit Candidate 11]]-Audit[[#This Row],[Candidate 11]], "")</f>
        <v/>
      </c>
      <c r="AP1031" s="17" t="str">
        <f>IF(NOT(ISBLANK(Audit[[#This Row],[Audit Candidate 12]])), Audit[[#This Row],[Audit Candidate 12]]-Audit[[#This Row],[Candidate 12]], "")</f>
        <v/>
      </c>
      <c r="AQ1031" s="17">
        <f>SUMIF(Audit[[#This Row],[Difference Winner]:[Difference Candidate 12]], "&gt;0")</f>
        <v>0</v>
      </c>
      <c r="AR1031" s="17">
        <f>SUM(Audit[[#This Row],[Difference Winner]:[Difference Candidate 12]])</f>
        <v>0</v>
      </c>
      <c r="AS1031" s="17">
        <f>IF(Audit[[#This Row],[Times p Drawn - With Replacement]]&gt;0, IF(Audit[[#This Row],[Canceled Differences]]&lt;0, Audit[[#This Row],[Max Differences]]+ABS(Audit[[#This Row],[Canceled Differences]]), Audit[[#This Row],[Max Differences]]), 0)</f>
        <v>0</v>
      </c>
      <c r="AT1031" s="17">
        <f>'Sampling Data'!AB1031</f>
        <v>7.2143948395858087E-3</v>
      </c>
      <c r="AU1031" s="17">
        <f>IF(
      SUM(Audit[[#This Row],[Audit Losing Candidate]:[Audit Candidate 12]])
      &lt;&gt;0,
      (Audit[[#This Row],[Winning Candidate]]-Audit[[#This Row],[Losing Candidate]]-(Audit[[#This Row],[Audit Winning Candidate]]-Audit[[#This Row],[Audit Losing Candidate]]))/(Audit[[#Totals],[Winning Candidate]]-Audit[[#Totals],[Losing Candidate]]),
      0
)</f>
        <v>0</v>
      </c>
      <c r="AV10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1" s="17">
        <f>IF(Audit[[#This Row],[Max Relative Error (ep)]] = 0, 0, Audit[[#This Row],[Max Relative Error (ep)]]/Audit[[#This Row],[Error Bound (up) - Max. possible relative overstatement]])</f>
        <v>0</v>
      </c>
      <c r="BH10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31" s="17">
        <f t="shared" si="16"/>
        <v>1</v>
      </c>
      <c r="BJ1031" s="17">
        <f>PRODUCT($BI$5:BI1031)</f>
        <v>0.13793242319093066</v>
      </c>
      <c r="BK1031" s="19">
        <f>1 - Audit[[#This Row],[K-M P Value]]</f>
        <v>0.86206757680906931</v>
      </c>
      <c r="BL1031" s="17" t="str">
        <f>IF(Audit[[#This Row],[K-M P Value]]&gt;1-'General Info'!$B$12,"Continue", "Stop")</f>
        <v>Continue</v>
      </c>
      <c r="BM1031" s="22" t="b">
        <f>IF(Audit[[#This Row],[Status - Continue or stop audit]] = "Continue", TRUE, IF(BL1030 = "Continue", TRUE, FALSE))</f>
        <v>1</v>
      </c>
      <c r="BN1031" s="22"/>
    </row>
    <row r="1032" spans="1:66" ht="15" hidden="1" customHeight="1" x14ac:dyDescent="0.35">
      <c r="A1032" s="17" t="str">
        <f>'Sampling Data'!AI1032</f>
        <v/>
      </c>
      <c r="B1032" s="17" t="str">
        <f>'Sampling Data'!A1032</f>
        <v>7341 GREEN OO   (ED)</v>
      </c>
      <c r="C1032" s="17">
        <f>'Sampling Data'!B1032</f>
        <v>67</v>
      </c>
      <c r="D1032" s="17">
        <f>'Sampling Data'!C1032</f>
        <v>270</v>
      </c>
      <c r="E1032" s="18">
        <f>'Sampling Data'!D1032</f>
        <v>0</v>
      </c>
      <c r="F1032" s="18">
        <f>'Sampling Data'!E1032</f>
        <v>0</v>
      </c>
      <c r="G1032" s="18">
        <f>'Sampling Data'!F1032</f>
        <v>0</v>
      </c>
      <c r="H1032" s="18">
        <f>'Sampling Data'!G1032</f>
        <v>0</v>
      </c>
      <c r="I1032" s="18">
        <f>'Sampling Data'!H1032</f>
        <v>0</v>
      </c>
      <c r="J1032" s="18">
        <f>'Sampling Data'!I1032</f>
        <v>0</v>
      </c>
      <c r="K1032" s="18">
        <f>'Sampling Data'!J1032</f>
        <v>0</v>
      </c>
      <c r="L1032" s="18">
        <f>'Sampling Data'!K1032</f>
        <v>0</v>
      </c>
      <c r="M1032" s="18">
        <f>'Sampling Data'!L1032</f>
        <v>0</v>
      </c>
      <c r="N1032" s="18">
        <f>'Sampling Data'!M1032</f>
        <v>0</v>
      </c>
      <c r="O1032" s="17">
        <f>'Sampling Data'!N1032</f>
        <v>0</v>
      </c>
      <c r="P1032" s="17">
        <f>'Sampling Data'!O1032</f>
        <v>40</v>
      </c>
      <c r="Q1032" s="17">
        <f>'Sampling Data'!P1032</f>
        <v>377</v>
      </c>
      <c r="R1032" s="17">
        <f>'Sampling Data'!AJ1032</f>
        <v>0</v>
      </c>
      <c r="S1032" s="111"/>
      <c r="T1032" s="111"/>
      <c r="U1032" s="112"/>
      <c r="V1032" s="112"/>
      <c r="W1032" s="111"/>
      <c r="X1032" s="111"/>
      <c r="Y1032" s="111"/>
      <c r="Z1032" s="111"/>
      <c r="AA1032" s="14"/>
      <c r="AB1032" s="14"/>
      <c r="AC1032" s="14"/>
      <c r="AD1032" s="14"/>
      <c r="AE1032" s="113" t="str">
        <f>IF(NOT(ISBLANK(Audit[[#This Row],[Audit Winning Candidate]])), Audit[[#This Row],[Audit Winning Candidate]]-Audit[[#This Row],[Winning Candidate]], "")</f>
        <v/>
      </c>
      <c r="AF1032" s="17" t="str">
        <f>IF(NOT(ISBLANK(Audit[[#This Row],[Audit Losing Candidate]])), Audit[[#This Row],[Audit Losing Candidate]]-Audit[[#This Row],[Losing Candidate]], "")</f>
        <v/>
      </c>
      <c r="AG1032" s="17" t="str">
        <f>IF(NOT(ISBLANK(Audit[[#This Row],[Audit Candidate 3]])), Audit[[#This Row],[Audit Candidate 3]]-Audit[[#This Row],[Candidate 3]], "")</f>
        <v/>
      </c>
      <c r="AH1032" s="17" t="str">
        <f>IF(NOT(ISBLANK(Audit[[#This Row],[Audit Candidate 4]])),Audit[[#This Row],[Audit Candidate 4]]-Audit[[#This Row],[Candidate 4]], "")</f>
        <v/>
      </c>
      <c r="AI1032" s="17" t="str">
        <f>IF(NOT(ISBLANK(Audit[[#This Row],[Audit Candidate 5]])), Audit[[#This Row],[Audit Candidate 5]]-Audit[[#This Row],[Candidate 5]], "")</f>
        <v/>
      </c>
      <c r="AJ1032" s="17" t="str">
        <f>IF(NOT(ISBLANK(Audit[[#This Row],[Audit Candidate 6]])), Audit[[#This Row],[Audit Candidate 6]]-Audit[[#This Row],[Candidate 6]], "")</f>
        <v/>
      </c>
      <c r="AK1032" s="17" t="str">
        <f>IF(NOT(ISBLANK(Audit[[#This Row],[Audit Candidate 7]])), Audit[[#This Row],[Audit Candidate 7]]-Audit[[#This Row],[Candidate 7]], "")</f>
        <v/>
      </c>
      <c r="AL1032" s="17" t="str">
        <f>IF(NOT(ISBLANK(Audit[[#This Row],[Audit Candidate 8]])), Audit[[#This Row],[Audit Candidate 8]]-Audit[[#This Row],[Candidate 8]], "")</f>
        <v/>
      </c>
      <c r="AM1032" s="17" t="str">
        <f>IF(NOT(ISBLANK(Audit[[#This Row],[Audit Candidate 9]])), Audit[[#This Row],[Audit Candidate 9]]-Audit[[#This Row],[Candidate 9]], "")</f>
        <v/>
      </c>
      <c r="AN1032" s="17" t="str">
        <f>IF(NOT(ISBLANK(Audit[[#This Row],[Audit Candidate 10]])), Audit[[#This Row],[Audit Candidate 10]]-Audit[[#This Row],[Candidate 10]], "")</f>
        <v/>
      </c>
      <c r="AO1032" s="17" t="str">
        <f>IF(NOT(ISBLANK(Audit[[#This Row],[Audit Candidate 11]])), Audit[[#This Row],[Audit Candidate 11]]-Audit[[#This Row],[Candidate 11]], "")</f>
        <v/>
      </c>
      <c r="AP1032" s="17" t="str">
        <f>IF(NOT(ISBLANK(Audit[[#This Row],[Audit Candidate 12]])), Audit[[#This Row],[Audit Candidate 12]]-Audit[[#This Row],[Candidate 12]], "")</f>
        <v/>
      </c>
      <c r="AQ1032" s="17">
        <f>SUMIF(Audit[[#This Row],[Difference Winner]:[Difference Candidate 12]], "&gt;0")</f>
        <v>0</v>
      </c>
      <c r="AR1032" s="17">
        <f>SUM(Audit[[#This Row],[Difference Winner]:[Difference Candidate 12]])</f>
        <v>0</v>
      </c>
      <c r="AS1032" s="17">
        <f>IF(Audit[[#This Row],[Times p Drawn - With Replacement]]&gt;0, IF(Audit[[#This Row],[Canceled Differences]]&lt;0, Audit[[#This Row],[Max Differences]]+ABS(Audit[[#This Row],[Canceled Differences]]), Audit[[#This Row],[Max Differences]]), 0)</f>
        <v>0</v>
      </c>
      <c r="AT1032" s="17">
        <f>'Sampling Data'!AB1032</f>
        <v>7.3841453063995923E-3</v>
      </c>
      <c r="AU1032" s="17">
        <f>IF(
      SUM(Audit[[#This Row],[Audit Losing Candidate]:[Audit Candidate 12]])
      &lt;&gt;0,
      (Audit[[#This Row],[Winning Candidate]]-Audit[[#This Row],[Losing Candidate]]-(Audit[[#This Row],[Audit Winning Candidate]]-Audit[[#This Row],[Audit Losing Candidate]]))/(Audit[[#Totals],[Winning Candidate]]-Audit[[#Totals],[Losing Candidate]]),
      0
)</f>
        <v>0</v>
      </c>
      <c r="AV10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2" s="17">
        <f>IF(Audit[[#This Row],[Max Relative Error (ep)]] = 0, 0, Audit[[#This Row],[Max Relative Error (ep)]]/Audit[[#This Row],[Error Bound (up) - Max. possible relative overstatement]])</f>
        <v>0</v>
      </c>
      <c r="BH10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32" s="17">
        <f t="shared" si="16"/>
        <v>1</v>
      </c>
      <c r="BJ1032" s="17">
        <f>PRODUCT($BI$5:BI1032)</f>
        <v>0.13793242319093066</v>
      </c>
      <c r="BK1032" s="19">
        <f>1 - Audit[[#This Row],[K-M P Value]]</f>
        <v>0.86206757680906931</v>
      </c>
      <c r="BL1032" s="17" t="str">
        <f>IF(Audit[[#This Row],[K-M P Value]]&gt;1-'General Info'!$B$12,"Continue", "Stop")</f>
        <v>Continue</v>
      </c>
      <c r="BM1032" s="22" t="b">
        <f>IF(Audit[[#This Row],[Status - Continue or stop audit]] = "Continue", TRUE, IF(BL1031 = "Continue", TRUE, FALSE))</f>
        <v>1</v>
      </c>
      <c r="BN1032" s="22"/>
    </row>
    <row r="1033" spans="1:66" ht="15" hidden="1" customHeight="1" x14ac:dyDescent="0.35">
      <c r="A1033" s="17" t="str">
        <f>'Sampling Data'!AI1033</f>
        <v/>
      </c>
      <c r="B1033" s="17" t="str">
        <f>'Sampling Data'!A1033</f>
        <v>7342 GREEN PP   (ED)</v>
      </c>
      <c r="C1033" s="17">
        <f>'Sampling Data'!B1033</f>
        <v>125</v>
      </c>
      <c r="D1033" s="17">
        <f>'Sampling Data'!C1033</f>
        <v>525</v>
      </c>
      <c r="E1033" s="18">
        <f>'Sampling Data'!D1033</f>
        <v>0</v>
      </c>
      <c r="F1033" s="18">
        <f>'Sampling Data'!E1033</f>
        <v>0</v>
      </c>
      <c r="G1033" s="18">
        <f>'Sampling Data'!F1033</f>
        <v>0</v>
      </c>
      <c r="H1033" s="18">
        <f>'Sampling Data'!G1033</f>
        <v>0</v>
      </c>
      <c r="I1033" s="18">
        <f>'Sampling Data'!H1033</f>
        <v>0</v>
      </c>
      <c r="J1033" s="18">
        <f>'Sampling Data'!I1033</f>
        <v>0</v>
      </c>
      <c r="K1033" s="18">
        <f>'Sampling Data'!J1033</f>
        <v>0</v>
      </c>
      <c r="L1033" s="18">
        <f>'Sampling Data'!K1033</f>
        <v>0</v>
      </c>
      <c r="M1033" s="18">
        <f>'Sampling Data'!L1033</f>
        <v>0</v>
      </c>
      <c r="N1033" s="18">
        <f>'Sampling Data'!M1033</f>
        <v>0</v>
      </c>
      <c r="O1033" s="17">
        <f>'Sampling Data'!N1033</f>
        <v>1</v>
      </c>
      <c r="P1033" s="17">
        <f>'Sampling Data'!O1033</f>
        <v>50</v>
      </c>
      <c r="Q1033" s="17">
        <f>'Sampling Data'!P1033</f>
        <v>701</v>
      </c>
      <c r="R1033" s="17">
        <f>'Sampling Data'!AJ1033</f>
        <v>0</v>
      </c>
      <c r="S1033" s="111"/>
      <c r="T1033" s="111"/>
      <c r="U1033" s="112"/>
      <c r="V1033" s="112"/>
      <c r="W1033" s="111"/>
      <c r="X1033" s="111"/>
      <c r="Y1033" s="111"/>
      <c r="Z1033" s="111"/>
      <c r="AA1033" s="14"/>
      <c r="AB1033" s="14"/>
      <c r="AC1033" s="14"/>
      <c r="AD1033" s="14"/>
      <c r="AE1033" s="113" t="str">
        <f>IF(NOT(ISBLANK(Audit[[#This Row],[Audit Winning Candidate]])), Audit[[#This Row],[Audit Winning Candidate]]-Audit[[#This Row],[Winning Candidate]], "")</f>
        <v/>
      </c>
      <c r="AF1033" s="17" t="str">
        <f>IF(NOT(ISBLANK(Audit[[#This Row],[Audit Losing Candidate]])), Audit[[#This Row],[Audit Losing Candidate]]-Audit[[#This Row],[Losing Candidate]], "")</f>
        <v/>
      </c>
      <c r="AG1033" s="17" t="str">
        <f>IF(NOT(ISBLANK(Audit[[#This Row],[Audit Candidate 3]])), Audit[[#This Row],[Audit Candidate 3]]-Audit[[#This Row],[Candidate 3]], "")</f>
        <v/>
      </c>
      <c r="AH1033" s="17" t="str">
        <f>IF(NOT(ISBLANK(Audit[[#This Row],[Audit Candidate 4]])),Audit[[#This Row],[Audit Candidate 4]]-Audit[[#This Row],[Candidate 4]], "")</f>
        <v/>
      </c>
      <c r="AI1033" s="17" t="str">
        <f>IF(NOT(ISBLANK(Audit[[#This Row],[Audit Candidate 5]])), Audit[[#This Row],[Audit Candidate 5]]-Audit[[#This Row],[Candidate 5]], "")</f>
        <v/>
      </c>
      <c r="AJ1033" s="17" t="str">
        <f>IF(NOT(ISBLANK(Audit[[#This Row],[Audit Candidate 6]])), Audit[[#This Row],[Audit Candidate 6]]-Audit[[#This Row],[Candidate 6]], "")</f>
        <v/>
      </c>
      <c r="AK1033" s="17" t="str">
        <f>IF(NOT(ISBLANK(Audit[[#This Row],[Audit Candidate 7]])), Audit[[#This Row],[Audit Candidate 7]]-Audit[[#This Row],[Candidate 7]], "")</f>
        <v/>
      </c>
      <c r="AL1033" s="17" t="str">
        <f>IF(NOT(ISBLANK(Audit[[#This Row],[Audit Candidate 8]])), Audit[[#This Row],[Audit Candidate 8]]-Audit[[#This Row],[Candidate 8]], "")</f>
        <v/>
      </c>
      <c r="AM1033" s="17" t="str">
        <f>IF(NOT(ISBLANK(Audit[[#This Row],[Audit Candidate 9]])), Audit[[#This Row],[Audit Candidate 9]]-Audit[[#This Row],[Candidate 9]], "")</f>
        <v/>
      </c>
      <c r="AN1033" s="17" t="str">
        <f>IF(NOT(ISBLANK(Audit[[#This Row],[Audit Candidate 10]])), Audit[[#This Row],[Audit Candidate 10]]-Audit[[#This Row],[Candidate 10]], "")</f>
        <v/>
      </c>
      <c r="AO1033" s="17" t="str">
        <f>IF(NOT(ISBLANK(Audit[[#This Row],[Audit Candidate 11]])), Audit[[#This Row],[Audit Candidate 11]]-Audit[[#This Row],[Candidate 11]], "")</f>
        <v/>
      </c>
      <c r="AP1033" s="17" t="str">
        <f>IF(NOT(ISBLANK(Audit[[#This Row],[Audit Candidate 12]])), Audit[[#This Row],[Audit Candidate 12]]-Audit[[#This Row],[Candidate 12]], "")</f>
        <v/>
      </c>
      <c r="AQ1033" s="17">
        <f>SUMIF(Audit[[#This Row],[Difference Winner]:[Difference Candidate 12]], "&gt;0")</f>
        <v>0</v>
      </c>
      <c r="AR1033" s="17">
        <f>SUM(Audit[[#This Row],[Difference Winner]:[Difference Candidate 12]])</f>
        <v>0</v>
      </c>
      <c r="AS1033" s="17">
        <f>IF(Audit[[#This Row],[Times p Drawn - With Replacement]]&gt;0, IF(Audit[[#This Row],[Canceled Differences]]&lt;0, Audit[[#This Row],[Max Differences]]+ABS(Audit[[#This Row],[Canceled Differences]]), Audit[[#This Row],[Max Differences]]), 0)</f>
        <v>0</v>
      </c>
      <c r="AT1033" s="17">
        <f>'Sampling Data'!AB1033</f>
        <v>1.2773722627737226E-2</v>
      </c>
      <c r="AU1033" s="17">
        <f>IF(
      SUM(Audit[[#This Row],[Audit Losing Candidate]:[Audit Candidate 12]])
      &lt;&gt;0,
      (Audit[[#This Row],[Winning Candidate]]-Audit[[#This Row],[Losing Candidate]]-(Audit[[#This Row],[Audit Winning Candidate]]-Audit[[#This Row],[Audit Losing Candidate]]))/(Audit[[#Totals],[Winning Candidate]]-Audit[[#Totals],[Losing Candidate]]),
      0
)</f>
        <v>0</v>
      </c>
      <c r="AV10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3" s="17">
        <f>IF(Audit[[#This Row],[Max Relative Error (ep)]] = 0, 0, Audit[[#This Row],[Max Relative Error (ep)]]/Audit[[#This Row],[Error Bound (up) - Max. possible relative overstatement]])</f>
        <v>0</v>
      </c>
      <c r="BH10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33" s="17">
        <f t="shared" si="16"/>
        <v>1</v>
      </c>
      <c r="BJ1033" s="17">
        <f>PRODUCT($BI$5:BI1033)</f>
        <v>0.13793242319093066</v>
      </c>
      <c r="BK1033" s="19">
        <f>1 - Audit[[#This Row],[K-M P Value]]</f>
        <v>0.86206757680906931</v>
      </c>
      <c r="BL1033" s="17" t="str">
        <f>IF(Audit[[#This Row],[K-M P Value]]&gt;1-'General Info'!$B$12,"Continue", "Stop")</f>
        <v>Continue</v>
      </c>
      <c r="BM1033" s="22" t="b">
        <f>IF(Audit[[#This Row],[Status - Continue or stop audit]] = "Continue", TRUE, IF(BL1032 = "Continue", TRUE, FALSE))</f>
        <v>1</v>
      </c>
      <c r="BN1033" s="22"/>
    </row>
    <row r="1034" spans="1:66" ht="15" hidden="1" customHeight="1" x14ac:dyDescent="0.35">
      <c r="A1034" s="17" t="str">
        <f>'Sampling Data'!AI1034</f>
        <v/>
      </c>
      <c r="B1034" s="17" t="str">
        <f>'Sampling Data'!A1034</f>
        <v>7343 GREEN QQ   (ED)</v>
      </c>
      <c r="C1034" s="17">
        <f>'Sampling Data'!B1034</f>
        <v>101</v>
      </c>
      <c r="D1034" s="17">
        <f>'Sampling Data'!C1034</f>
        <v>532</v>
      </c>
      <c r="E1034" s="18">
        <f>'Sampling Data'!D1034</f>
        <v>0</v>
      </c>
      <c r="F1034" s="18">
        <f>'Sampling Data'!E1034</f>
        <v>0</v>
      </c>
      <c r="G1034" s="18">
        <f>'Sampling Data'!F1034</f>
        <v>0</v>
      </c>
      <c r="H1034" s="18">
        <f>'Sampling Data'!G1034</f>
        <v>0</v>
      </c>
      <c r="I1034" s="18">
        <f>'Sampling Data'!H1034</f>
        <v>0</v>
      </c>
      <c r="J1034" s="18">
        <f>'Sampling Data'!I1034</f>
        <v>0</v>
      </c>
      <c r="K1034" s="18">
        <f>'Sampling Data'!J1034</f>
        <v>0</v>
      </c>
      <c r="L1034" s="18">
        <f>'Sampling Data'!K1034</f>
        <v>0</v>
      </c>
      <c r="M1034" s="18">
        <f>'Sampling Data'!L1034</f>
        <v>0</v>
      </c>
      <c r="N1034" s="18">
        <f>'Sampling Data'!M1034</f>
        <v>0</v>
      </c>
      <c r="O1034" s="17">
        <f>'Sampling Data'!N1034</f>
        <v>0</v>
      </c>
      <c r="P1034" s="17">
        <f>'Sampling Data'!O1034</f>
        <v>31</v>
      </c>
      <c r="Q1034" s="17">
        <f>'Sampling Data'!P1034</f>
        <v>664</v>
      </c>
      <c r="R1034" s="17">
        <f>'Sampling Data'!AJ1034</f>
        <v>0</v>
      </c>
      <c r="S1034" s="111"/>
      <c r="T1034" s="111"/>
      <c r="U1034" s="112"/>
      <c r="V1034" s="112"/>
      <c r="W1034" s="111"/>
      <c r="X1034" s="111"/>
      <c r="Y1034" s="111"/>
      <c r="Z1034" s="111"/>
      <c r="AA1034" s="14"/>
      <c r="AB1034" s="14"/>
      <c r="AC1034" s="14"/>
      <c r="AD1034" s="14"/>
      <c r="AE1034" s="113" t="str">
        <f>IF(NOT(ISBLANK(Audit[[#This Row],[Audit Winning Candidate]])), Audit[[#This Row],[Audit Winning Candidate]]-Audit[[#This Row],[Winning Candidate]], "")</f>
        <v/>
      </c>
      <c r="AF1034" s="17" t="str">
        <f>IF(NOT(ISBLANK(Audit[[#This Row],[Audit Losing Candidate]])), Audit[[#This Row],[Audit Losing Candidate]]-Audit[[#This Row],[Losing Candidate]], "")</f>
        <v/>
      </c>
      <c r="AG1034" s="17" t="str">
        <f>IF(NOT(ISBLANK(Audit[[#This Row],[Audit Candidate 3]])), Audit[[#This Row],[Audit Candidate 3]]-Audit[[#This Row],[Candidate 3]], "")</f>
        <v/>
      </c>
      <c r="AH1034" s="17" t="str">
        <f>IF(NOT(ISBLANK(Audit[[#This Row],[Audit Candidate 4]])),Audit[[#This Row],[Audit Candidate 4]]-Audit[[#This Row],[Candidate 4]], "")</f>
        <v/>
      </c>
      <c r="AI1034" s="17" t="str">
        <f>IF(NOT(ISBLANK(Audit[[#This Row],[Audit Candidate 5]])), Audit[[#This Row],[Audit Candidate 5]]-Audit[[#This Row],[Candidate 5]], "")</f>
        <v/>
      </c>
      <c r="AJ1034" s="17" t="str">
        <f>IF(NOT(ISBLANK(Audit[[#This Row],[Audit Candidate 6]])), Audit[[#This Row],[Audit Candidate 6]]-Audit[[#This Row],[Candidate 6]], "")</f>
        <v/>
      </c>
      <c r="AK1034" s="17" t="str">
        <f>IF(NOT(ISBLANK(Audit[[#This Row],[Audit Candidate 7]])), Audit[[#This Row],[Audit Candidate 7]]-Audit[[#This Row],[Candidate 7]], "")</f>
        <v/>
      </c>
      <c r="AL1034" s="17" t="str">
        <f>IF(NOT(ISBLANK(Audit[[#This Row],[Audit Candidate 8]])), Audit[[#This Row],[Audit Candidate 8]]-Audit[[#This Row],[Candidate 8]], "")</f>
        <v/>
      </c>
      <c r="AM1034" s="17" t="str">
        <f>IF(NOT(ISBLANK(Audit[[#This Row],[Audit Candidate 9]])), Audit[[#This Row],[Audit Candidate 9]]-Audit[[#This Row],[Candidate 9]], "")</f>
        <v/>
      </c>
      <c r="AN1034" s="17" t="str">
        <f>IF(NOT(ISBLANK(Audit[[#This Row],[Audit Candidate 10]])), Audit[[#This Row],[Audit Candidate 10]]-Audit[[#This Row],[Candidate 10]], "")</f>
        <v/>
      </c>
      <c r="AO1034" s="17" t="str">
        <f>IF(NOT(ISBLANK(Audit[[#This Row],[Audit Candidate 11]])), Audit[[#This Row],[Audit Candidate 11]]-Audit[[#This Row],[Candidate 11]], "")</f>
        <v/>
      </c>
      <c r="AP1034" s="17" t="str">
        <f>IF(NOT(ISBLANK(Audit[[#This Row],[Audit Candidate 12]])), Audit[[#This Row],[Audit Candidate 12]]-Audit[[#This Row],[Candidate 12]], "")</f>
        <v/>
      </c>
      <c r="AQ1034" s="17">
        <f>SUMIF(Audit[[#This Row],[Difference Winner]:[Difference Candidate 12]], "&gt;0")</f>
        <v>0</v>
      </c>
      <c r="AR1034" s="17">
        <f>SUM(Audit[[#This Row],[Difference Winner]:[Difference Candidate 12]])</f>
        <v>0</v>
      </c>
      <c r="AS1034" s="17">
        <f>IF(Audit[[#This Row],[Times p Drawn - With Replacement]]&gt;0, IF(Audit[[#This Row],[Canceled Differences]]&lt;0, Audit[[#This Row],[Max Differences]]+ABS(Audit[[#This Row],[Canceled Differences]]), Audit[[#This Row],[Max Differences]]), 0)</f>
        <v>0</v>
      </c>
      <c r="AT1034" s="17">
        <f>'Sampling Data'!AB1034</f>
        <v>9.8879646919029021E-3</v>
      </c>
      <c r="AU1034" s="17">
        <f>IF(
      SUM(Audit[[#This Row],[Audit Losing Candidate]:[Audit Candidate 12]])
      &lt;&gt;0,
      (Audit[[#This Row],[Winning Candidate]]-Audit[[#This Row],[Losing Candidate]]-(Audit[[#This Row],[Audit Winning Candidate]]-Audit[[#This Row],[Audit Losing Candidate]]))/(Audit[[#Totals],[Winning Candidate]]-Audit[[#Totals],[Losing Candidate]]),
      0
)</f>
        <v>0</v>
      </c>
      <c r="AV10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4" s="17">
        <f>IF(Audit[[#This Row],[Max Relative Error (ep)]] = 0, 0, Audit[[#This Row],[Max Relative Error (ep)]]/Audit[[#This Row],[Error Bound (up) - Max. possible relative overstatement]])</f>
        <v>0</v>
      </c>
      <c r="BH10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34" s="17">
        <f t="shared" si="16"/>
        <v>1</v>
      </c>
      <c r="BJ1034" s="17">
        <f>PRODUCT($BI$5:BI1034)</f>
        <v>0.13793242319093066</v>
      </c>
      <c r="BK1034" s="19">
        <f>1 - Audit[[#This Row],[K-M P Value]]</f>
        <v>0.86206757680906931</v>
      </c>
      <c r="BL1034" s="17" t="str">
        <f>IF(Audit[[#This Row],[K-M P Value]]&gt;1-'General Info'!$B$12,"Continue", "Stop")</f>
        <v>Continue</v>
      </c>
      <c r="BM1034" s="22" t="b">
        <f>IF(Audit[[#This Row],[Status - Continue or stop audit]] = "Continue", TRUE, IF(BL1033 = "Continue", TRUE, FALSE))</f>
        <v>1</v>
      </c>
      <c r="BN1034" s="22"/>
    </row>
    <row r="1035" spans="1:66" ht="15" hidden="1" customHeight="1" x14ac:dyDescent="0.35">
      <c r="A1035" s="17" t="str">
        <f>'Sampling Data'!AI1035</f>
        <v/>
      </c>
      <c r="B1035" s="17" t="str">
        <f>'Sampling Data'!A1035</f>
        <v>7401 GR HL A   (ED)</v>
      </c>
      <c r="C1035" s="17">
        <f>'Sampling Data'!B1035</f>
        <v>117</v>
      </c>
      <c r="D1035" s="17">
        <f>'Sampling Data'!C1035</f>
        <v>120</v>
      </c>
      <c r="E1035" s="18">
        <f>'Sampling Data'!D1035</f>
        <v>0</v>
      </c>
      <c r="F1035" s="18">
        <f>'Sampling Data'!E1035</f>
        <v>0</v>
      </c>
      <c r="G1035" s="18">
        <f>'Sampling Data'!F1035</f>
        <v>0</v>
      </c>
      <c r="H1035" s="18">
        <f>'Sampling Data'!G1035</f>
        <v>0</v>
      </c>
      <c r="I1035" s="18">
        <f>'Sampling Data'!H1035</f>
        <v>0</v>
      </c>
      <c r="J1035" s="18">
        <f>'Sampling Data'!I1035</f>
        <v>0</v>
      </c>
      <c r="K1035" s="18">
        <f>'Sampling Data'!J1035</f>
        <v>0</v>
      </c>
      <c r="L1035" s="18">
        <f>'Sampling Data'!K1035</f>
        <v>0</v>
      </c>
      <c r="M1035" s="18">
        <f>'Sampling Data'!L1035</f>
        <v>0</v>
      </c>
      <c r="N1035" s="18">
        <f>'Sampling Data'!M1035</f>
        <v>0</v>
      </c>
      <c r="O1035" s="17">
        <f>'Sampling Data'!N1035</f>
        <v>0</v>
      </c>
      <c r="P1035" s="17">
        <f>'Sampling Data'!O1035</f>
        <v>17</v>
      </c>
      <c r="Q1035" s="17">
        <f>'Sampling Data'!P1035</f>
        <v>254</v>
      </c>
      <c r="R1035" s="17">
        <f>'Sampling Data'!AJ1035</f>
        <v>0</v>
      </c>
      <c r="S1035" s="111"/>
      <c r="T1035" s="111"/>
      <c r="U1035" s="112"/>
      <c r="V1035" s="112"/>
      <c r="W1035" s="111"/>
      <c r="X1035" s="111"/>
      <c r="Y1035" s="111"/>
      <c r="Z1035" s="111"/>
      <c r="AA1035" s="14"/>
      <c r="AB1035" s="14"/>
      <c r="AC1035" s="14"/>
      <c r="AD1035" s="14"/>
      <c r="AE1035" s="113" t="str">
        <f>IF(NOT(ISBLANK(Audit[[#This Row],[Audit Winning Candidate]])), Audit[[#This Row],[Audit Winning Candidate]]-Audit[[#This Row],[Winning Candidate]], "")</f>
        <v/>
      </c>
      <c r="AF1035" s="17" t="str">
        <f>IF(NOT(ISBLANK(Audit[[#This Row],[Audit Losing Candidate]])), Audit[[#This Row],[Audit Losing Candidate]]-Audit[[#This Row],[Losing Candidate]], "")</f>
        <v/>
      </c>
      <c r="AG1035" s="17" t="str">
        <f>IF(NOT(ISBLANK(Audit[[#This Row],[Audit Candidate 3]])), Audit[[#This Row],[Audit Candidate 3]]-Audit[[#This Row],[Candidate 3]], "")</f>
        <v/>
      </c>
      <c r="AH1035" s="17" t="str">
        <f>IF(NOT(ISBLANK(Audit[[#This Row],[Audit Candidate 4]])),Audit[[#This Row],[Audit Candidate 4]]-Audit[[#This Row],[Candidate 4]], "")</f>
        <v/>
      </c>
      <c r="AI1035" s="17" t="str">
        <f>IF(NOT(ISBLANK(Audit[[#This Row],[Audit Candidate 5]])), Audit[[#This Row],[Audit Candidate 5]]-Audit[[#This Row],[Candidate 5]], "")</f>
        <v/>
      </c>
      <c r="AJ1035" s="17" t="str">
        <f>IF(NOT(ISBLANK(Audit[[#This Row],[Audit Candidate 6]])), Audit[[#This Row],[Audit Candidate 6]]-Audit[[#This Row],[Candidate 6]], "")</f>
        <v/>
      </c>
      <c r="AK1035" s="17" t="str">
        <f>IF(NOT(ISBLANK(Audit[[#This Row],[Audit Candidate 7]])), Audit[[#This Row],[Audit Candidate 7]]-Audit[[#This Row],[Candidate 7]], "")</f>
        <v/>
      </c>
      <c r="AL1035" s="17" t="str">
        <f>IF(NOT(ISBLANK(Audit[[#This Row],[Audit Candidate 8]])), Audit[[#This Row],[Audit Candidate 8]]-Audit[[#This Row],[Candidate 8]], "")</f>
        <v/>
      </c>
      <c r="AM1035" s="17" t="str">
        <f>IF(NOT(ISBLANK(Audit[[#This Row],[Audit Candidate 9]])), Audit[[#This Row],[Audit Candidate 9]]-Audit[[#This Row],[Candidate 9]], "")</f>
        <v/>
      </c>
      <c r="AN1035" s="17" t="str">
        <f>IF(NOT(ISBLANK(Audit[[#This Row],[Audit Candidate 10]])), Audit[[#This Row],[Audit Candidate 10]]-Audit[[#This Row],[Candidate 10]], "")</f>
        <v/>
      </c>
      <c r="AO1035" s="17" t="str">
        <f>IF(NOT(ISBLANK(Audit[[#This Row],[Audit Candidate 11]])), Audit[[#This Row],[Audit Candidate 11]]-Audit[[#This Row],[Candidate 11]], "")</f>
        <v/>
      </c>
      <c r="AP1035" s="17" t="str">
        <f>IF(NOT(ISBLANK(Audit[[#This Row],[Audit Candidate 12]])), Audit[[#This Row],[Audit Candidate 12]]-Audit[[#This Row],[Candidate 12]], "")</f>
        <v/>
      </c>
      <c r="AQ1035" s="17">
        <f>SUMIF(Audit[[#This Row],[Difference Winner]:[Difference Candidate 12]], "&gt;0")</f>
        <v>0</v>
      </c>
      <c r="AR1035" s="17">
        <f>SUM(Audit[[#This Row],[Difference Winner]:[Difference Candidate 12]])</f>
        <v>0</v>
      </c>
      <c r="AS1035" s="17">
        <f>IF(Audit[[#This Row],[Times p Drawn - With Replacement]]&gt;0, IF(Audit[[#This Row],[Canceled Differences]]&lt;0, Audit[[#This Row],[Max Differences]]+ABS(Audit[[#This Row],[Canceled Differences]]), Audit[[#This Row],[Max Differences]]), 0)</f>
        <v>0</v>
      </c>
      <c r="AT1035" s="17">
        <f>'Sampling Data'!AB1035</f>
        <v>1.0651841792564929E-2</v>
      </c>
      <c r="AU1035" s="17">
        <f>IF(
      SUM(Audit[[#This Row],[Audit Losing Candidate]:[Audit Candidate 12]])
      &lt;&gt;0,
      (Audit[[#This Row],[Winning Candidate]]-Audit[[#This Row],[Losing Candidate]]-(Audit[[#This Row],[Audit Winning Candidate]]-Audit[[#This Row],[Audit Losing Candidate]]))/(Audit[[#Totals],[Winning Candidate]]-Audit[[#Totals],[Losing Candidate]]),
      0
)</f>
        <v>0</v>
      </c>
      <c r="AV10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5" s="17">
        <f>IF(Audit[[#This Row],[Max Relative Error (ep)]] = 0, 0, Audit[[#This Row],[Max Relative Error (ep)]]/Audit[[#This Row],[Error Bound (up) - Max. possible relative overstatement]])</f>
        <v>0</v>
      </c>
      <c r="BH10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35" s="17">
        <f t="shared" si="16"/>
        <v>1</v>
      </c>
      <c r="BJ1035" s="17">
        <f>PRODUCT($BI$5:BI1035)</f>
        <v>0.13793242319093066</v>
      </c>
      <c r="BK1035" s="19">
        <f>1 - Audit[[#This Row],[K-M P Value]]</f>
        <v>0.86206757680906931</v>
      </c>
      <c r="BL1035" s="17" t="str">
        <f>IF(Audit[[#This Row],[K-M P Value]]&gt;1-'General Info'!$B$12,"Continue", "Stop")</f>
        <v>Continue</v>
      </c>
      <c r="BM1035" s="22" t="b">
        <f>IF(Audit[[#This Row],[Status - Continue or stop audit]] = "Continue", TRUE, IF(BL1034 = "Continue", TRUE, FALSE))</f>
        <v>1</v>
      </c>
      <c r="BN1035" s="22"/>
    </row>
    <row r="1036" spans="1:66" ht="15" hidden="1" customHeight="1" x14ac:dyDescent="0.35">
      <c r="A1036" s="17" t="str">
        <f>'Sampling Data'!AI1036</f>
        <v/>
      </c>
      <c r="B1036" s="17" t="str">
        <f>'Sampling Data'!A1036</f>
        <v>7402 GR HL B   (ED)</v>
      </c>
      <c r="C1036" s="17">
        <f>'Sampling Data'!B1036</f>
        <v>234</v>
      </c>
      <c r="D1036" s="17">
        <f>'Sampling Data'!C1036</f>
        <v>294</v>
      </c>
      <c r="E1036" s="18">
        <f>'Sampling Data'!D1036</f>
        <v>0</v>
      </c>
      <c r="F1036" s="18">
        <f>'Sampling Data'!E1036</f>
        <v>0</v>
      </c>
      <c r="G1036" s="18">
        <f>'Sampling Data'!F1036</f>
        <v>0</v>
      </c>
      <c r="H1036" s="18">
        <f>'Sampling Data'!G1036</f>
        <v>0</v>
      </c>
      <c r="I1036" s="18">
        <f>'Sampling Data'!H1036</f>
        <v>0</v>
      </c>
      <c r="J1036" s="18">
        <f>'Sampling Data'!I1036</f>
        <v>0</v>
      </c>
      <c r="K1036" s="18">
        <f>'Sampling Data'!J1036</f>
        <v>0</v>
      </c>
      <c r="L1036" s="18">
        <f>'Sampling Data'!K1036</f>
        <v>0</v>
      </c>
      <c r="M1036" s="18">
        <f>'Sampling Data'!L1036</f>
        <v>0</v>
      </c>
      <c r="N1036" s="18">
        <f>'Sampling Data'!M1036</f>
        <v>0</v>
      </c>
      <c r="O1036" s="17">
        <f>'Sampling Data'!N1036</f>
        <v>1</v>
      </c>
      <c r="P1036" s="17">
        <f>'Sampling Data'!O1036</f>
        <v>43</v>
      </c>
      <c r="Q1036" s="17">
        <f>'Sampling Data'!P1036</f>
        <v>572</v>
      </c>
      <c r="R1036" s="17">
        <f>'Sampling Data'!AJ1036</f>
        <v>0</v>
      </c>
      <c r="S1036" s="111"/>
      <c r="T1036" s="111"/>
      <c r="U1036" s="112"/>
      <c r="V1036" s="112"/>
      <c r="W1036" s="111"/>
      <c r="X1036" s="111"/>
      <c r="Y1036" s="111"/>
      <c r="Z1036" s="111"/>
      <c r="AA1036" s="14"/>
      <c r="AB1036" s="14"/>
      <c r="AC1036" s="14"/>
      <c r="AD1036" s="14"/>
      <c r="AE1036" s="113" t="str">
        <f>IF(NOT(ISBLANK(Audit[[#This Row],[Audit Winning Candidate]])), Audit[[#This Row],[Audit Winning Candidate]]-Audit[[#This Row],[Winning Candidate]], "")</f>
        <v/>
      </c>
      <c r="AF1036" s="17" t="str">
        <f>IF(NOT(ISBLANK(Audit[[#This Row],[Audit Losing Candidate]])), Audit[[#This Row],[Audit Losing Candidate]]-Audit[[#This Row],[Losing Candidate]], "")</f>
        <v/>
      </c>
      <c r="AG1036" s="17" t="str">
        <f>IF(NOT(ISBLANK(Audit[[#This Row],[Audit Candidate 3]])), Audit[[#This Row],[Audit Candidate 3]]-Audit[[#This Row],[Candidate 3]], "")</f>
        <v/>
      </c>
      <c r="AH1036" s="17" t="str">
        <f>IF(NOT(ISBLANK(Audit[[#This Row],[Audit Candidate 4]])),Audit[[#This Row],[Audit Candidate 4]]-Audit[[#This Row],[Candidate 4]], "")</f>
        <v/>
      </c>
      <c r="AI1036" s="17" t="str">
        <f>IF(NOT(ISBLANK(Audit[[#This Row],[Audit Candidate 5]])), Audit[[#This Row],[Audit Candidate 5]]-Audit[[#This Row],[Candidate 5]], "")</f>
        <v/>
      </c>
      <c r="AJ1036" s="17" t="str">
        <f>IF(NOT(ISBLANK(Audit[[#This Row],[Audit Candidate 6]])), Audit[[#This Row],[Audit Candidate 6]]-Audit[[#This Row],[Candidate 6]], "")</f>
        <v/>
      </c>
      <c r="AK1036" s="17" t="str">
        <f>IF(NOT(ISBLANK(Audit[[#This Row],[Audit Candidate 7]])), Audit[[#This Row],[Audit Candidate 7]]-Audit[[#This Row],[Candidate 7]], "")</f>
        <v/>
      </c>
      <c r="AL1036" s="17" t="str">
        <f>IF(NOT(ISBLANK(Audit[[#This Row],[Audit Candidate 8]])), Audit[[#This Row],[Audit Candidate 8]]-Audit[[#This Row],[Candidate 8]], "")</f>
        <v/>
      </c>
      <c r="AM1036" s="17" t="str">
        <f>IF(NOT(ISBLANK(Audit[[#This Row],[Audit Candidate 9]])), Audit[[#This Row],[Audit Candidate 9]]-Audit[[#This Row],[Candidate 9]], "")</f>
        <v/>
      </c>
      <c r="AN1036" s="17" t="str">
        <f>IF(NOT(ISBLANK(Audit[[#This Row],[Audit Candidate 10]])), Audit[[#This Row],[Audit Candidate 10]]-Audit[[#This Row],[Candidate 10]], "")</f>
        <v/>
      </c>
      <c r="AO1036" s="17" t="str">
        <f>IF(NOT(ISBLANK(Audit[[#This Row],[Audit Candidate 11]])), Audit[[#This Row],[Audit Candidate 11]]-Audit[[#This Row],[Candidate 11]], "")</f>
        <v/>
      </c>
      <c r="AP1036" s="17" t="str">
        <f>IF(NOT(ISBLANK(Audit[[#This Row],[Audit Candidate 12]])), Audit[[#This Row],[Audit Candidate 12]]-Audit[[#This Row],[Candidate 12]], "")</f>
        <v/>
      </c>
      <c r="AQ1036" s="17">
        <f>SUMIF(Audit[[#This Row],[Difference Winner]:[Difference Candidate 12]], "&gt;0")</f>
        <v>0</v>
      </c>
      <c r="AR1036" s="17">
        <f>SUM(Audit[[#This Row],[Difference Winner]:[Difference Candidate 12]])</f>
        <v>0</v>
      </c>
      <c r="AS1036" s="17">
        <f>IF(Audit[[#This Row],[Times p Drawn - With Replacement]]&gt;0, IF(Audit[[#This Row],[Canceled Differences]]&lt;0, Audit[[#This Row],[Max Differences]]+ABS(Audit[[#This Row],[Canceled Differences]]), Audit[[#This Row],[Max Differences]]), 0)</f>
        <v>0</v>
      </c>
      <c r="AT1036" s="17">
        <f>'Sampling Data'!AB1036</f>
        <v>2.1728059752164318E-2</v>
      </c>
      <c r="AU1036" s="17">
        <f>IF(
      SUM(Audit[[#This Row],[Audit Losing Candidate]:[Audit Candidate 12]])
      &lt;&gt;0,
      (Audit[[#This Row],[Winning Candidate]]-Audit[[#This Row],[Losing Candidate]]-(Audit[[#This Row],[Audit Winning Candidate]]-Audit[[#This Row],[Audit Losing Candidate]]))/(Audit[[#Totals],[Winning Candidate]]-Audit[[#Totals],[Losing Candidate]]),
      0
)</f>
        <v>0</v>
      </c>
      <c r="AV10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6" s="17">
        <f>IF(Audit[[#This Row],[Max Relative Error (ep)]] = 0, 0, Audit[[#This Row],[Max Relative Error (ep)]]/Audit[[#This Row],[Error Bound (up) - Max. possible relative overstatement]])</f>
        <v>0</v>
      </c>
      <c r="BH10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36" s="17">
        <f t="shared" si="16"/>
        <v>1</v>
      </c>
      <c r="BJ1036" s="17">
        <f>PRODUCT($BI$5:BI1036)</f>
        <v>0.13793242319093066</v>
      </c>
      <c r="BK1036" s="19">
        <f>1 - Audit[[#This Row],[K-M P Value]]</f>
        <v>0.86206757680906931</v>
      </c>
      <c r="BL1036" s="17" t="str">
        <f>IF(Audit[[#This Row],[K-M P Value]]&gt;1-'General Info'!$B$12,"Continue", "Stop")</f>
        <v>Continue</v>
      </c>
      <c r="BM1036" s="22" t="b">
        <f>IF(Audit[[#This Row],[Status - Continue or stop audit]] = "Continue", TRUE, IF(BL1035 = "Continue", TRUE, FALSE))</f>
        <v>1</v>
      </c>
      <c r="BN1036" s="22"/>
    </row>
    <row r="1037" spans="1:66" ht="15" hidden="1" customHeight="1" x14ac:dyDescent="0.35">
      <c r="A1037" s="17" t="str">
        <f>'Sampling Data'!AI1037</f>
        <v/>
      </c>
      <c r="B1037" s="17" t="str">
        <f>'Sampling Data'!A1037</f>
        <v>7403 GR HL C   (ED)</v>
      </c>
      <c r="C1037" s="17">
        <f>'Sampling Data'!B1037</f>
        <v>260</v>
      </c>
      <c r="D1037" s="17">
        <f>'Sampling Data'!C1037</f>
        <v>275</v>
      </c>
      <c r="E1037" s="18">
        <f>'Sampling Data'!D1037</f>
        <v>0</v>
      </c>
      <c r="F1037" s="18">
        <f>'Sampling Data'!E1037</f>
        <v>0</v>
      </c>
      <c r="G1037" s="18">
        <f>'Sampling Data'!F1037</f>
        <v>0</v>
      </c>
      <c r="H1037" s="18">
        <f>'Sampling Data'!G1037</f>
        <v>0</v>
      </c>
      <c r="I1037" s="18">
        <f>'Sampling Data'!H1037</f>
        <v>0</v>
      </c>
      <c r="J1037" s="18">
        <f>'Sampling Data'!I1037</f>
        <v>0</v>
      </c>
      <c r="K1037" s="18">
        <f>'Sampling Data'!J1037</f>
        <v>0</v>
      </c>
      <c r="L1037" s="18">
        <f>'Sampling Data'!K1037</f>
        <v>0</v>
      </c>
      <c r="M1037" s="18">
        <f>'Sampling Data'!L1037</f>
        <v>0</v>
      </c>
      <c r="N1037" s="18">
        <f>'Sampling Data'!M1037</f>
        <v>0</v>
      </c>
      <c r="O1037" s="17">
        <f>'Sampling Data'!N1037</f>
        <v>0</v>
      </c>
      <c r="P1037" s="17">
        <f>'Sampling Data'!O1037</f>
        <v>32</v>
      </c>
      <c r="Q1037" s="17">
        <f>'Sampling Data'!P1037</f>
        <v>567</v>
      </c>
      <c r="R1037" s="17">
        <f>'Sampling Data'!AJ1037</f>
        <v>0</v>
      </c>
      <c r="S1037" s="111"/>
      <c r="T1037" s="111"/>
      <c r="U1037" s="112"/>
      <c r="V1037" s="112"/>
      <c r="W1037" s="111"/>
      <c r="X1037" s="111"/>
      <c r="Y1037" s="111"/>
      <c r="Z1037" s="111"/>
      <c r="AA1037" s="14"/>
      <c r="AB1037" s="14"/>
      <c r="AC1037" s="14"/>
      <c r="AD1037" s="14"/>
      <c r="AE1037" s="113" t="str">
        <f>IF(NOT(ISBLANK(Audit[[#This Row],[Audit Winning Candidate]])), Audit[[#This Row],[Audit Winning Candidate]]-Audit[[#This Row],[Winning Candidate]], "")</f>
        <v/>
      </c>
      <c r="AF1037" s="17" t="str">
        <f>IF(NOT(ISBLANK(Audit[[#This Row],[Audit Losing Candidate]])), Audit[[#This Row],[Audit Losing Candidate]]-Audit[[#This Row],[Losing Candidate]], "")</f>
        <v/>
      </c>
      <c r="AG1037" s="17" t="str">
        <f>IF(NOT(ISBLANK(Audit[[#This Row],[Audit Candidate 3]])), Audit[[#This Row],[Audit Candidate 3]]-Audit[[#This Row],[Candidate 3]], "")</f>
        <v/>
      </c>
      <c r="AH1037" s="17" t="str">
        <f>IF(NOT(ISBLANK(Audit[[#This Row],[Audit Candidate 4]])),Audit[[#This Row],[Audit Candidate 4]]-Audit[[#This Row],[Candidate 4]], "")</f>
        <v/>
      </c>
      <c r="AI1037" s="17" t="str">
        <f>IF(NOT(ISBLANK(Audit[[#This Row],[Audit Candidate 5]])), Audit[[#This Row],[Audit Candidate 5]]-Audit[[#This Row],[Candidate 5]], "")</f>
        <v/>
      </c>
      <c r="AJ1037" s="17" t="str">
        <f>IF(NOT(ISBLANK(Audit[[#This Row],[Audit Candidate 6]])), Audit[[#This Row],[Audit Candidate 6]]-Audit[[#This Row],[Candidate 6]], "")</f>
        <v/>
      </c>
      <c r="AK1037" s="17" t="str">
        <f>IF(NOT(ISBLANK(Audit[[#This Row],[Audit Candidate 7]])), Audit[[#This Row],[Audit Candidate 7]]-Audit[[#This Row],[Candidate 7]], "")</f>
        <v/>
      </c>
      <c r="AL1037" s="17" t="str">
        <f>IF(NOT(ISBLANK(Audit[[#This Row],[Audit Candidate 8]])), Audit[[#This Row],[Audit Candidate 8]]-Audit[[#This Row],[Candidate 8]], "")</f>
        <v/>
      </c>
      <c r="AM1037" s="17" t="str">
        <f>IF(NOT(ISBLANK(Audit[[#This Row],[Audit Candidate 9]])), Audit[[#This Row],[Audit Candidate 9]]-Audit[[#This Row],[Candidate 9]], "")</f>
        <v/>
      </c>
      <c r="AN1037" s="17" t="str">
        <f>IF(NOT(ISBLANK(Audit[[#This Row],[Audit Candidate 10]])), Audit[[#This Row],[Audit Candidate 10]]-Audit[[#This Row],[Candidate 10]], "")</f>
        <v/>
      </c>
      <c r="AO1037" s="17" t="str">
        <f>IF(NOT(ISBLANK(Audit[[#This Row],[Audit Candidate 11]])), Audit[[#This Row],[Audit Candidate 11]]-Audit[[#This Row],[Candidate 11]], "")</f>
        <v/>
      </c>
      <c r="AP1037" s="17" t="str">
        <f>IF(NOT(ISBLANK(Audit[[#This Row],[Audit Candidate 12]])), Audit[[#This Row],[Audit Candidate 12]]-Audit[[#This Row],[Candidate 12]], "")</f>
        <v/>
      </c>
      <c r="AQ1037" s="17">
        <f>SUMIF(Audit[[#This Row],[Difference Winner]:[Difference Candidate 12]], "&gt;0")</f>
        <v>0</v>
      </c>
      <c r="AR1037" s="17">
        <f>SUM(Audit[[#This Row],[Difference Winner]:[Difference Candidate 12]])</f>
        <v>0</v>
      </c>
      <c r="AS1037" s="17">
        <f>IF(Audit[[#This Row],[Times p Drawn - With Replacement]]&gt;0, IF(Audit[[#This Row],[Canceled Differences]]&lt;0, Audit[[#This Row],[Max Differences]]+ABS(Audit[[#This Row],[Canceled Differences]]), Audit[[#This Row],[Max Differences]]), 0)</f>
        <v>0</v>
      </c>
      <c r="AT1037" s="17">
        <f>'Sampling Data'!AB1037</f>
        <v>2.3425564420302157E-2</v>
      </c>
      <c r="AU1037" s="17">
        <f>IF(
      SUM(Audit[[#This Row],[Audit Losing Candidate]:[Audit Candidate 12]])
      &lt;&gt;0,
      (Audit[[#This Row],[Winning Candidate]]-Audit[[#This Row],[Losing Candidate]]-(Audit[[#This Row],[Audit Winning Candidate]]-Audit[[#This Row],[Audit Losing Candidate]]))/(Audit[[#Totals],[Winning Candidate]]-Audit[[#Totals],[Losing Candidate]]),
      0
)</f>
        <v>0</v>
      </c>
      <c r="AV10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7" s="17">
        <f>IF(Audit[[#This Row],[Max Relative Error (ep)]] = 0, 0, Audit[[#This Row],[Max Relative Error (ep)]]/Audit[[#This Row],[Error Bound (up) - Max. possible relative overstatement]])</f>
        <v>0</v>
      </c>
      <c r="BH10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37" s="17">
        <f t="shared" si="16"/>
        <v>1</v>
      </c>
      <c r="BJ1037" s="17">
        <f>PRODUCT($BI$5:BI1037)</f>
        <v>0.13793242319093066</v>
      </c>
      <c r="BK1037" s="19">
        <f>1 - Audit[[#This Row],[K-M P Value]]</f>
        <v>0.86206757680906931</v>
      </c>
      <c r="BL1037" s="17" t="str">
        <f>IF(Audit[[#This Row],[K-M P Value]]&gt;1-'General Info'!$B$12,"Continue", "Stop")</f>
        <v>Continue</v>
      </c>
      <c r="BM1037" s="22" t="b">
        <f>IF(Audit[[#This Row],[Status - Continue or stop audit]] = "Continue", TRUE, IF(BL1036 = "Continue", TRUE, FALSE))</f>
        <v>1</v>
      </c>
      <c r="BN1037" s="22"/>
    </row>
    <row r="1038" spans="1:66" ht="15" hidden="1" customHeight="1" x14ac:dyDescent="0.35">
      <c r="A1038" s="17" t="str">
        <f>'Sampling Data'!AI1038</f>
        <v/>
      </c>
      <c r="B1038" s="17" t="str">
        <f>'Sampling Data'!A1038</f>
        <v>7601 HARR AA   (ED)</v>
      </c>
      <c r="C1038" s="17">
        <f>'Sampling Data'!B1038</f>
        <v>54</v>
      </c>
      <c r="D1038" s="17">
        <f>'Sampling Data'!C1038</f>
        <v>375</v>
      </c>
      <c r="E1038" s="18">
        <f>'Sampling Data'!D1038</f>
        <v>0</v>
      </c>
      <c r="F1038" s="18">
        <f>'Sampling Data'!E1038</f>
        <v>0</v>
      </c>
      <c r="G1038" s="18">
        <f>'Sampling Data'!F1038</f>
        <v>0</v>
      </c>
      <c r="H1038" s="18">
        <f>'Sampling Data'!G1038</f>
        <v>0</v>
      </c>
      <c r="I1038" s="18">
        <f>'Sampling Data'!H1038</f>
        <v>0</v>
      </c>
      <c r="J1038" s="18">
        <f>'Sampling Data'!I1038</f>
        <v>0</v>
      </c>
      <c r="K1038" s="18">
        <f>'Sampling Data'!J1038</f>
        <v>0</v>
      </c>
      <c r="L1038" s="18">
        <f>'Sampling Data'!K1038</f>
        <v>0</v>
      </c>
      <c r="M1038" s="18">
        <f>'Sampling Data'!L1038</f>
        <v>0</v>
      </c>
      <c r="N1038" s="18">
        <f>'Sampling Data'!M1038</f>
        <v>0</v>
      </c>
      <c r="O1038" s="17">
        <f>'Sampling Data'!N1038</f>
        <v>0</v>
      </c>
      <c r="P1038" s="17">
        <f>'Sampling Data'!O1038</f>
        <v>38</v>
      </c>
      <c r="Q1038" s="17">
        <f>'Sampling Data'!P1038</f>
        <v>467</v>
      </c>
      <c r="R1038" s="17">
        <f>'Sampling Data'!AJ1038</f>
        <v>0</v>
      </c>
      <c r="S1038" s="111"/>
      <c r="T1038" s="111"/>
      <c r="U1038" s="112"/>
      <c r="V1038" s="112"/>
      <c r="W1038" s="111"/>
      <c r="X1038" s="111"/>
      <c r="Y1038" s="111"/>
      <c r="Z1038" s="111"/>
      <c r="AA1038" s="14"/>
      <c r="AB1038" s="14"/>
      <c r="AC1038" s="14"/>
      <c r="AD1038" s="14"/>
      <c r="AE1038" s="113" t="str">
        <f>IF(NOT(ISBLANK(Audit[[#This Row],[Audit Winning Candidate]])), Audit[[#This Row],[Audit Winning Candidate]]-Audit[[#This Row],[Winning Candidate]], "")</f>
        <v/>
      </c>
      <c r="AF1038" s="17" t="str">
        <f>IF(NOT(ISBLANK(Audit[[#This Row],[Audit Losing Candidate]])), Audit[[#This Row],[Audit Losing Candidate]]-Audit[[#This Row],[Losing Candidate]], "")</f>
        <v/>
      </c>
      <c r="AG1038" s="17" t="str">
        <f>IF(NOT(ISBLANK(Audit[[#This Row],[Audit Candidate 3]])), Audit[[#This Row],[Audit Candidate 3]]-Audit[[#This Row],[Candidate 3]], "")</f>
        <v/>
      </c>
      <c r="AH1038" s="17" t="str">
        <f>IF(NOT(ISBLANK(Audit[[#This Row],[Audit Candidate 4]])),Audit[[#This Row],[Audit Candidate 4]]-Audit[[#This Row],[Candidate 4]], "")</f>
        <v/>
      </c>
      <c r="AI1038" s="17" t="str">
        <f>IF(NOT(ISBLANK(Audit[[#This Row],[Audit Candidate 5]])), Audit[[#This Row],[Audit Candidate 5]]-Audit[[#This Row],[Candidate 5]], "")</f>
        <v/>
      </c>
      <c r="AJ1038" s="17" t="str">
        <f>IF(NOT(ISBLANK(Audit[[#This Row],[Audit Candidate 6]])), Audit[[#This Row],[Audit Candidate 6]]-Audit[[#This Row],[Candidate 6]], "")</f>
        <v/>
      </c>
      <c r="AK1038" s="17" t="str">
        <f>IF(NOT(ISBLANK(Audit[[#This Row],[Audit Candidate 7]])), Audit[[#This Row],[Audit Candidate 7]]-Audit[[#This Row],[Candidate 7]], "")</f>
        <v/>
      </c>
      <c r="AL1038" s="17" t="str">
        <f>IF(NOT(ISBLANK(Audit[[#This Row],[Audit Candidate 8]])), Audit[[#This Row],[Audit Candidate 8]]-Audit[[#This Row],[Candidate 8]], "")</f>
        <v/>
      </c>
      <c r="AM1038" s="17" t="str">
        <f>IF(NOT(ISBLANK(Audit[[#This Row],[Audit Candidate 9]])), Audit[[#This Row],[Audit Candidate 9]]-Audit[[#This Row],[Candidate 9]], "")</f>
        <v/>
      </c>
      <c r="AN1038" s="17" t="str">
        <f>IF(NOT(ISBLANK(Audit[[#This Row],[Audit Candidate 10]])), Audit[[#This Row],[Audit Candidate 10]]-Audit[[#This Row],[Candidate 10]], "")</f>
        <v/>
      </c>
      <c r="AO1038" s="17" t="str">
        <f>IF(NOT(ISBLANK(Audit[[#This Row],[Audit Candidate 11]])), Audit[[#This Row],[Audit Candidate 11]]-Audit[[#This Row],[Candidate 11]], "")</f>
        <v/>
      </c>
      <c r="AP1038" s="17" t="str">
        <f>IF(NOT(ISBLANK(Audit[[#This Row],[Audit Candidate 12]])), Audit[[#This Row],[Audit Candidate 12]]-Audit[[#This Row],[Candidate 12]], "")</f>
        <v/>
      </c>
      <c r="AQ1038" s="17">
        <f>SUMIF(Audit[[#This Row],[Difference Winner]:[Difference Candidate 12]], "&gt;0")</f>
        <v>0</v>
      </c>
      <c r="AR1038" s="17">
        <f>SUM(Audit[[#This Row],[Difference Winner]:[Difference Candidate 12]])</f>
        <v>0</v>
      </c>
      <c r="AS1038" s="17">
        <f>IF(Audit[[#This Row],[Times p Drawn - With Replacement]]&gt;0, IF(Audit[[#This Row],[Canceled Differences]]&lt;0, Audit[[#This Row],[Max Differences]]+ABS(Audit[[#This Row],[Canceled Differences]]), Audit[[#This Row],[Max Differences]]), 0)</f>
        <v>0</v>
      </c>
      <c r="AT1038" s="17">
        <f>'Sampling Data'!AB1038</f>
        <v>6.1958920387031064E-3</v>
      </c>
      <c r="AU1038" s="17">
        <f>IF(
      SUM(Audit[[#This Row],[Audit Losing Candidate]:[Audit Candidate 12]])
      &lt;&gt;0,
      (Audit[[#This Row],[Winning Candidate]]-Audit[[#This Row],[Losing Candidate]]-(Audit[[#This Row],[Audit Winning Candidate]]-Audit[[#This Row],[Audit Losing Candidate]]))/(Audit[[#Totals],[Winning Candidate]]-Audit[[#Totals],[Losing Candidate]]),
      0
)</f>
        <v>0</v>
      </c>
      <c r="AV10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8" s="17">
        <f>IF(Audit[[#This Row],[Max Relative Error (ep)]] = 0, 0, Audit[[#This Row],[Max Relative Error (ep)]]/Audit[[#This Row],[Error Bound (up) - Max. possible relative overstatement]])</f>
        <v>0</v>
      </c>
      <c r="BH10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38" s="17">
        <f t="shared" si="16"/>
        <v>1</v>
      </c>
      <c r="BJ1038" s="17">
        <f>PRODUCT($BI$5:BI1038)</f>
        <v>0.13793242319093066</v>
      </c>
      <c r="BK1038" s="19">
        <f>1 - Audit[[#This Row],[K-M P Value]]</f>
        <v>0.86206757680906931</v>
      </c>
      <c r="BL1038" s="17" t="str">
        <f>IF(Audit[[#This Row],[K-M P Value]]&gt;1-'General Info'!$B$12,"Continue", "Stop")</f>
        <v>Continue</v>
      </c>
      <c r="BM1038" s="22" t="b">
        <f>IF(Audit[[#This Row],[Status - Continue or stop audit]] = "Continue", TRUE, IF(BL1037 = "Continue", TRUE, FALSE))</f>
        <v>1</v>
      </c>
      <c r="BN1038" s="22"/>
    </row>
    <row r="1039" spans="1:66" ht="15" hidden="1" customHeight="1" x14ac:dyDescent="0.35">
      <c r="A1039" s="17" t="str">
        <f>'Sampling Data'!AI1039</f>
        <v/>
      </c>
      <c r="B1039" s="17" t="str">
        <f>'Sampling Data'!A1039</f>
        <v>7602 HARR BB   (ED)</v>
      </c>
      <c r="C1039" s="17">
        <f>'Sampling Data'!B1039</f>
        <v>103</v>
      </c>
      <c r="D1039" s="17">
        <f>'Sampling Data'!C1039</f>
        <v>586</v>
      </c>
      <c r="E1039" s="18">
        <f>'Sampling Data'!D1039</f>
        <v>0</v>
      </c>
      <c r="F1039" s="18">
        <f>'Sampling Data'!E1039</f>
        <v>0</v>
      </c>
      <c r="G1039" s="18">
        <f>'Sampling Data'!F1039</f>
        <v>0</v>
      </c>
      <c r="H1039" s="18">
        <f>'Sampling Data'!G1039</f>
        <v>0</v>
      </c>
      <c r="I1039" s="18">
        <f>'Sampling Data'!H1039</f>
        <v>0</v>
      </c>
      <c r="J1039" s="18">
        <f>'Sampling Data'!I1039</f>
        <v>0</v>
      </c>
      <c r="K1039" s="18">
        <f>'Sampling Data'!J1039</f>
        <v>0</v>
      </c>
      <c r="L1039" s="18">
        <f>'Sampling Data'!K1039</f>
        <v>0</v>
      </c>
      <c r="M1039" s="18">
        <f>'Sampling Data'!L1039</f>
        <v>0</v>
      </c>
      <c r="N1039" s="18">
        <f>'Sampling Data'!M1039</f>
        <v>0</v>
      </c>
      <c r="O1039" s="17">
        <f>'Sampling Data'!N1039</f>
        <v>0</v>
      </c>
      <c r="P1039" s="17">
        <f>'Sampling Data'!O1039</f>
        <v>59</v>
      </c>
      <c r="Q1039" s="17">
        <f>'Sampling Data'!P1039</f>
        <v>748</v>
      </c>
      <c r="R1039" s="17">
        <f>'Sampling Data'!AJ1039</f>
        <v>0</v>
      </c>
      <c r="S1039" s="111"/>
      <c r="T1039" s="111"/>
      <c r="U1039" s="112"/>
      <c r="V1039" s="112"/>
      <c r="W1039" s="111"/>
      <c r="X1039" s="111"/>
      <c r="Y1039" s="111"/>
      <c r="Z1039" s="111"/>
      <c r="AA1039" s="14"/>
      <c r="AB1039" s="14"/>
      <c r="AC1039" s="14"/>
      <c r="AD1039" s="14"/>
      <c r="AE1039" s="113" t="str">
        <f>IF(NOT(ISBLANK(Audit[[#This Row],[Audit Winning Candidate]])), Audit[[#This Row],[Audit Winning Candidate]]-Audit[[#This Row],[Winning Candidate]], "")</f>
        <v/>
      </c>
      <c r="AF1039" s="17" t="str">
        <f>IF(NOT(ISBLANK(Audit[[#This Row],[Audit Losing Candidate]])), Audit[[#This Row],[Audit Losing Candidate]]-Audit[[#This Row],[Losing Candidate]], "")</f>
        <v/>
      </c>
      <c r="AG1039" s="17" t="str">
        <f>IF(NOT(ISBLANK(Audit[[#This Row],[Audit Candidate 3]])), Audit[[#This Row],[Audit Candidate 3]]-Audit[[#This Row],[Candidate 3]], "")</f>
        <v/>
      </c>
      <c r="AH1039" s="17" t="str">
        <f>IF(NOT(ISBLANK(Audit[[#This Row],[Audit Candidate 4]])),Audit[[#This Row],[Audit Candidate 4]]-Audit[[#This Row],[Candidate 4]], "")</f>
        <v/>
      </c>
      <c r="AI1039" s="17" t="str">
        <f>IF(NOT(ISBLANK(Audit[[#This Row],[Audit Candidate 5]])), Audit[[#This Row],[Audit Candidate 5]]-Audit[[#This Row],[Candidate 5]], "")</f>
        <v/>
      </c>
      <c r="AJ1039" s="17" t="str">
        <f>IF(NOT(ISBLANK(Audit[[#This Row],[Audit Candidate 6]])), Audit[[#This Row],[Audit Candidate 6]]-Audit[[#This Row],[Candidate 6]], "")</f>
        <v/>
      </c>
      <c r="AK1039" s="17" t="str">
        <f>IF(NOT(ISBLANK(Audit[[#This Row],[Audit Candidate 7]])), Audit[[#This Row],[Audit Candidate 7]]-Audit[[#This Row],[Candidate 7]], "")</f>
        <v/>
      </c>
      <c r="AL1039" s="17" t="str">
        <f>IF(NOT(ISBLANK(Audit[[#This Row],[Audit Candidate 8]])), Audit[[#This Row],[Audit Candidate 8]]-Audit[[#This Row],[Candidate 8]], "")</f>
        <v/>
      </c>
      <c r="AM1039" s="17" t="str">
        <f>IF(NOT(ISBLANK(Audit[[#This Row],[Audit Candidate 9]])), Audit[[#This Row],[Audit Candidate 9]]-Audit[[#This Row],[Candidate 9]], "")</f>
        <v/>
      </c>
      <c r="AN1039" s="17" t="str">
        <f>IF(NOT(ISBLANK(Audit[[#This Row],[Audit Candidate 10]])), Audit[[#This Row],[Audit Candidate 10]]-Audit[[#This Row],[Candidate 10]], "")</f>
        <v/>
      </c>
      <c r="AO1039" s="17" t="str">
        <f>IF(NOT(ISBLANK(Audit[[#This Row],[Audit Candidate 11]])), Audit[[#This Row],[Audit Candidate 11]]-Audit[[#This Row],[Candidate 11]], "")</f>
        <v/>
      </c>
      <c r="AP1039" s="17" t="str">
        <f>IF(NOT(ISBLANK(Audit[[#This Row],[Audit Candidate 12]])), Audit[[#This Row],[Audit Candidate 12]]-Audit[[#This Row],[Candidate 12]], "")</f>
        <v/>
      </c>
      <c r="AQ1039" s="17">
        <f>SUMIF(Audit[[#This Row],[Difference Winner]:[Difference Candidate 12]], "&gt;0")</f>
        <v>0</v>
      </c>
      <c r="AR1039" s="17">
        <f>SUM(Audit[[#This Row],[Difference Winner]:[Difference Candidate 12]])</f>
        <v>0</v>
      </c>
      <c r="AS1039" s="17">
        <f>IF(Audit[[#This Row],[Times p Drawn - With Replacement]]&gt;0, IF(Audit[[#This Row],[Canceled Differences]]&lt;0, Audit[[#This Row],[Max Differences]]+ABS(Audit[[#This Row],[Canceled Differences]]), Audit[[#This Row],[Max Differences]]), 0)</f>
        <v>0</v>
      </c>
      <c r="AT1039" s="17">
        <f>'Sampling Data'!AB1039</f>
        <v>1.1245968426413172E-2</v>
      </c>
      <c r="AU1039" s="17">
        <f>IF(
      SUM(Audit[[#This Row],[Audit Losing Candidate]:[Audit Candidate 12]])
      &lt;&gt;0,
      (Audit[[#This Row],[Winning Candidate]]-Audit[[#This Row],[Losing Candidate]]-(Audit[[#This Row],[Audit Winning Candidate]]-Audit[[#This Row],[Audit Losing Candidate]]))/(Audit[[#Totals],[Winning Candidate]]-Audit[[#Totals],[Losing Candidate]]),
      0
)</f>
        <v>0</v>
      </c>
      <c r="AV10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9" s="17">
        <f>IF(Audit[[#This Row],[Max Relative Error (ep)]] = 0, 0, Audit[[#This Row],[Max Relative Error (ep)]]/Audit[[#This Row],[Error Bound (up) - Max. possible relative overstatement]])</f>
        <v>0</v>
      </c>
      <c r="BH10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39" s="17">
        <f t="shared" ref="BI1039:BI1102" si="17">IF(ISERR(POWER(BH1039,R1039)), 0, POWER(BH1039,R1039))</f>
        <v>1</v>
      </c>
      <c r="BJ1039" s="17">
        <f>PRODUCT($BI$5:BI1039)</f>
        <v>0.13793242319093066</v>
      </c>
      <c r="BK1039" s="19">
        <f>1 - Audit[[#This Row],[K-M P Value]]</f>
        <v>0.86206757680906931</v>
      </c>
      <c r="BL1039" s="17" t="str">
        <f>IF(Audit[[#This Row],[K-M P Value]]&gt;1-'General Info'!$B$12,"Continue", "Stop")</f>
        <v>Continue</v>
      </c>
      <c r="BM1039" s="22" t="b">
        <f>IF(Audit[[#This Row],[Status - Continue or stop audit]] = "Continue", TRUE, IF(BL1038 = "Continue", TRUE, FALSE))</f>
        <v>1</v>
      </c>
      <c r="BN1039" s="22"/>
    </row>
    <row r="1040" spans="1:66" ht="15" hidden="1" customHeight="1" x14ac:dyDescent="0.35">
      <c r="A1040" s="17" t="str">
        <f>'Sampling Data'!AI1040</f>
        <v/>
      </c>
      <c r="B1040" s="17" t="str">
        <f>'Sampling Data'!A1040</f>
        <v>7603 HARR CC   (ED)</v>
      </c>
      <c r="C1040" s="17">
        <f>'Sampling Data'!B1040</f>
        <v>55</v>
      </c>
      <c r="D1040" s="17">
        <f>'Sampling Data'!C1040</f>
        <v>337</v>
      </c>
      <c r="E1040" s="18">
        <f>'Sampling Data'!D1040</f>
        <v>0</v>
      </c>
      <c r="F1040" s="18">
        <f>'Sampling Data'!E1040</f>
        <v>0</v>
      </c>
      <c r="G1040" s="18">
        <f>'Sampling Data'!F1040</f>
        <v>0</v>
      </c>
      <c r="H1040" s="18">
        <f>'Sampling Data'!G1040</f>
        <v>0</v>
      </c>
      <c r="I1040" s="18">
        <f>'Sampling Data'!H1040</f>
        <v>0</v>
      </c>
      <c r="J1040" s="18">
        <f>'Sampling Data'!I1040</f>
        <v>0</v>
      </c>
      <c r="K1040" s="18">
        <f>'Sampling Data'!J1040</f>
        <v>0</v>
      </c>
      <c r="L1040" s="18">
        <f>'Sampling Data'!K1040</f>
        <v>0</v>
      </c>
      <c r="M1040" s="18">
        <f>'Sampling Data'!L1040</f>
        <v>0</v>
      </c>
      <c r="N1040" s="18">
        <f>'Sampling Data'!M1040</f>
        <v>0</v>
      </c>
      <c r="O1040" s="17">
        <f>'Sampling Data'!N1040</f>
        <v>0</v>
      </c>
      <c r="P1040" s="17">
        <f>'Sampling Data'!O1040</f>
        <v>23</v>
      </c>
      <c r="Q1040" s="17">
        <f>'Sampling Data'!P1040</f>
        <v>415</v>
      </c>
      <c r="R1040" s="17">
        <f>'Sampling Data'!AJ1040</f>
        <v>0</v>
      </c>
      <c r="S1040" s="111"/>
      <c r="T1040" s="111"/>
      <c r="U1040" s="112"/>
      <c r="V1040" s="112"/>
      <c r="W1040" s="111"/>
      <c r="X1040" s="111"/>
      <c r="Y1040" s="111"/>
      <c r="Z1040" s="111"/>
      <c r="AA1040" s="14"/>
      <c r="AB1040" s="14"/>
      <c r="AC1040" s="14"/>
      <c r="AD1040" s="14"/>
      <c r="AE1040" s="113" t="str">
        <f>IF(NOT(ISBLANK(Audit[[#This Row],[Audit Winning Candidate]])), Audit[[#This Row],[Audit Winning Candidate]]-Audit[[#This Row],[Winning Candidate]], "")</f>
        <v/>
      </c>
      <c r="AF1040" s="17" t="str">
        <f>IF(NOT(ISBLANK(Audit[[#This Row],[Audit Losing Candidate]])), Audit[[#This Row],[Audit Losing Candidate]]-Audit[[#This Row],[Losing Candidate]], "")</f>
        <v/>
      </c>
      <c r="AG1040" s="17" t="str">
        <f>IF(NOT(ISBLANK(Audit[[#This Row],[Audit Candidate 3]])), Audit[[#This Row],[Audit Candidate 3]]-Audit[[#This Row],[Candidate 3]], "")</f>
        <v/>
      </c>
      <c r="AH1040" s="17" t="str">
        <f>IF(NOT(ISBLANK(Audit[[#This Row],[Audit Candidate 4]])),Audit[[#This Row],[Audit Candidate 4]]-Audit[[#This Row],[Candidate 4]], "")</f>
        <v/>
      </c>
      <c r="AI1040" s="17" t="str">
        <f>IF(NOT(ISBLANK(Audit[[#This Row],[Audit Candidate 5]])), Audit[[#This Row],[Audit Candidate 5]]-Audit[[#This Row],[Candidate 5]], "")</f>
        <v/>
      </c>
      <c r="AJ1040" s="17" t="str">
        <f>IF(NOT(ISBLANK(Audit[[#This Row],[Audit Candidate 6]])), Audit[[#This Row],[Audit Candidate 6]]-Audit[[#This Row],[Candidate 6]], "")</f>
        <v/>
      </c>
      <c r="AK1040" s="17" t="str">
        <f>IF(NOT(ISBLANK(Audit[[#This Row],[Audit Candidate 7]])), Audit[[#This Row],[Audit Candidate 7]]-Audit[[#This Row],[Candidate 7]], "")</f>
        <v/>
      </c>
      <c r="AL1040" s="17" t="str">
        <f>IF(NOT(ISBLANK(Audit[[#This Row],[Audit Candidate 8]])), Audit[[#This Row],[Audit Candidate 8]]-Audit[[#This Row],[Candidate 8]], "")</f>
        <v/>
      </c>
      <c r="AM1040" s="17" t="str">
        <f>IF(NOT(ISBLANK(Audit[[#This Row],[Audit Candidate 9]])), Audit[[#This Row],[Audit Candidate 9]]-Audit[[#This Row],[Candidate 9]], "")</f>
        <v/>
      </c>
      <c r="AN1040" s="17" t="str">
        <f>IF(NOT(ISBLANK(Audit[[#This Row],[Audit Candidate 10]])), Audit[[#This Row],[Audit Candidate 10]]-Audit[[#This Row],[Candidate 10]], "")</f>
        <v/>
      </c>
      <c r="AO1040" s="17" t="str">
        <f>IF(NOT(ISBLANK(Audit[[#This Row],[Audit Candidate 11]])), Audit[[#This Row],[Audit Candidate 11]]-Audit[[#This Row],[Candidate 11]], "")</f>
        <v/>
      </c>
      <c r="AP1040" s="17" t="str">
        <f>IF(NOT(ISBLANK(Audit[[#This Row],[Audit Candidate 12]])), Audit[[#This Row],[Audit Candidate 12]]-Audit[[#This Row],[Candidate 12]], "")</f>
        <v/>
      </c>
      <c r="AQ1040" s="17">
        <f>SUMIF(Audit[[#This Row],[Difference Winner]:[Difference Candidate 12]], "&gt;0")</f>
        <v>0</v>
      </c>
      <c r="AR1040" s="17">
        <f>SUM(Audit[[#This Row],[Difference Winner]:[Difference Candidate 12]])</f>
        <v>0</v>
      </c>
      <c r="AS1040" s="17">
        <f>IF(Audit[[#This Row],[Times p Drawn - With Replacement]]&gt;0, IF(Audit[[#This Row],[Canceled Differences]]&lt;0, Audit[[#This Row],[Max Differences]]+ABS(Audit[[#This Row],[Canceled Differences]]), Audit[[#This Row],[Max Differences]]), 0)</f>
        <v>0</v>
      </c>
      <c r="AT1040" s="17">
        <f>'Sampling Data'!AB1040</f>
        <v>5.6442030215583094E-3</v>
      </c>
      <c r="AU1040" s="17">
        <f>IF(
      SUM(Audit[[#This Row],[Audit Losing Candidate]:[Audit Candidate 12]])
      &lt;&gt;0,
      (Audit[[#This Row],[Winning Candidate]]-Audit[[#This Row],[Losing Candidate]]-(Audit[[#This Row],[Audit Winning Candidate]]-Audit[[#This Row],[Audit Losing Candidate]]))/(Audit[[#Totals],[Winning Candidate]]-Audit[[#Totals],[Losing Candidate]]),
      0
)</f>
        <v>0</v>
      </c>
      <c r="AV10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0" s="17">
        <f>IF(Audit[[#This Row],[Max Relative Error (ep)]] = 0, 0, Audit[[#This Row],[Max Relative Error (ep)]]/Audit[[#This Row],[Error Bound (up) - Max. possible relative overstatement]])</f>
        <v>0</v>
      </c>
      <c r="BH10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40" s="17">
        <f t="shared" si="17"/>
        <v>1</v>
      </c>
      <c r="BJ1040" s="17">
        <f>PRODUCT($BI$5:BI1040)</f>
        <v>0.13793242319093066</v>
      </c>
      <c r="BK1040" s="19">
        <f>1 - Audit[[#This Row],[K-M P Value]]</f>
        <v>0.86206757680906931</v>
      </c>
      <c r="BL1040" s="17" t="str">
        <f>IF(Audit[[#This Row],[K-M P Value]]&gt;1-'General Info'!$B$12,"Continue", "Stop")</f>
        <v>Continue</v>
      </c>
      <c r="BM1040" s="22" t="b">
        <f>IF(Audit[[#This Row],[Status - Continue or stop audit]] = "Continue", TRUE, IF(BL1039 = "Continue", TRUE, FALSE))</f>
        <v>1</v>
      </c>
      <c r="BN1040" s="22"/>
    </row>
    <row r="1041" spans="1:66" ht="15" hidden="1" customHeight="1" x14ac:dyDescent="0.35">
      <c r="A1041" s="17" t="str">
        <f>'Sampling Data'!AI1041</f>
        <v/>
      </c>
      <c r="B1041" s="17" t="str">
        <f>'Sampling Data'!A1041</f>
        <v>7701 LIN HT A   (ED)</v>
      </c>
      <c r="C1041" s="17">
        <f>'Sampling Data'!B1041</f>
        <v>421</v>
      </c>
      <c r="D1041" s="17">
        <f>'Sampling Data'!C1041</f>
        <v>37</v>
      </c>
      <c r="E1041" s="18">
        <f>'Sampling Data'!D1041</f>
        <v>0</v>
      </c>
      <c r="F1041" s="18">
        <f>'Sampling Data'!E1041</f>
        <v>0</v>
      </c>
      <c r="G1041" s="18">
        <f>'Sampling Data'!F1041</f>
        <v>0</v>
      </c>
      <c r="H1041" s="18">
        <f>'Sampling Data'!G1041</f>
        <v>0</v>
      </c>
      <c r="I1041" s="18">
        <f>'Sampling Data'!H1041</f>
        <v>0</v>
      </c>
      <c r="J1041" s="18">
        <f>'Sampling Data'!I1041</f>
        <v>0</v>
      </c>
      <c r="K1041" s="18">
        <f>'Sampling Data'!J1041</f>
        <v>0</v>
      </c>
      <c r="L1041" s="18">
        <f>'Sampling Data'!K1041</f>
        <v>0</v>
      </c>
      <c r="M1041" s="18">
        <f>'Sampling Data'!L1041</f>
        <v>0</v>
      </c>
      <c r="N1041" s="18">
        <f>'Sampling Data'!M1041</f>
        <v>0</v>
      </c>
      <c r="O1041" s="17">
        <f>'Sampling Data'!N1041</f>
        <v>3</v>
      </c>
      <c r="P1041" s="17">
        <f>'Sampling Data'!O1041</f>
        <v>35</v>
      </c>
      <c r="Q1041" s="17">
        <f>'Sampling Data'!P1041</f>
        <v>496</v>
      </c>
      <c r="R1041" s="17">
        <f>'Sampling Data'!AJ1041</f>
        <v>0</v>
      </c>
      <c r="S1041" s="111"/>
      <c r="T1041" s="111"/>
      <c r="U1041" s="112"/>
      <c r="V1041" s="112"/>
      <c r="W1041" s="111"/>
      <c r="X1041" s="111"/>
      <c r="Y1041" s="111"/>
      <c r="Z1041" s="111"/>
      <c r="AA1041" s="14"/>
      <c r="AB1041" s="14"/>
      <c r="AC1041" s="14"/>
      <c r="AD1041" s="14"/>
      <c r="AE1041" s="113" t="str">
        <f>IF(NOT(ISBLANK(Audit[[#This Row],[Audit Winning Candidate]])), Audit[[#This Row],[Audit Winning Candidate]]-Audit[[#This Row],[Winning Candidate]], "")</f>
        <v/>
      </c>
      <c r="AF1041" s="17" t="str">
        <f>IF(NOT(ISBLANK(Audit[[#This Row],[Audit Losing Candidate]])), Audit[[#This Row],[Audit Losing Candidate]]-Audit[[#This Row],[Losing Candidate]], "")</f>
        <v/>
      </c>
      <c r="AG1041" s="17" t="str">
        <f>IF(NOT(ISBLANK(Audit[[#This Row],[Audit Candidate 3]])), Audit[[#This Row],[Audit Candidate 3]]-Audit[[#This Row],[Candidate 3]], "")</f>
        <v/>
      </c>
      <c r="AH1041" s="17" t="str">
        <f>IF(NOT(ISBLANK(Audit[[#This Row],[Audit Candidate 4]])),Audit[[#This Row],[Audit Candidate 4]]-Audit[[#This Row],[Candidate 4]], "")</f>
        <v/>
      </c>
      <c r="AI1041" s="17" t="str">
        <f>IF(NOT(ISBLANK(Audit[[#This Row],[Audit Candidate 5]])), Audit[[#This Row],[Audit Candidate 5]]-Audit[[#This Row],[Candidate 5]], "")</f>
        <v/>
      </c>
      <c r="AJ1041" s="17" t="str">
        <f>IF(NOT(ISBLANK(Audit[[#This Row],[Audit Candidate 6]])), Audit[[#This Row],[Audit Candidate 6]]-Audit[[#This Row],[Candidate 6]], "")</f>
        <v/>
      </c>
      <c r="AK1041" s="17" t="str">
        <f>IF(NOT(ISBLANK(Audit[[#This Row],[Audit Candidate 7]])), Audit[[#This Row],[Audit Candidate 7]]-Audit[[#This Row],[Candidate 7]], "")</f>
        <v/>
      </c>
      <c r="AL1041" s="17" t="str">
        <f>IF(NOT(ISBLANK(Audit[[#This Row],[Audit Candidate 8]])), Audit[[#This Row],[Audit Candidate 8]]-Audit[[#This Row],[Candidate 8]], "")</f>
        <v/>
      </c>
      <c r="AM1041" s="17" t="str">
        <f>IF(NOT(ISBLANK(Audit[[#This Row],[Audit Candidate 9]])), Audit[[#This Row],[Audit Candidate 9]]-Audit[[#This Row],[Candidate 9]], "")</f>
        <v/>
      </c>
      <c r="AN1041" s="17" t="str">
        <f>IF(NOT(ISBLANK(Audit[[#This Row],[Audit Candidate 10]])), Audit[[#This Row],[Audit Candidate 10]]-Audit[[#This Row],[Candidate 10]], "")</f>
        <v/>
      </c>
      <c r="AO1041" s="17" t="str">
        <f>IF(NOT(ISBLANK(Audit[[#This Row],[Audit Candidate 11]])), Audit[[#This Row],[Audit Candidate 11]]-Audit[[#This Row],[Candidate 11]], "")</f>
        <v/>
      </c>
      <c r="AP1041" s="17" t="str">
        <f>IF(NOT(ISBLANK(Audit[[#This Row],[Audit Candidate 12]])), Audit[[#This Row],[Audit Candidate 12]]-Audit[[#This Row],[Candidate 12]], "")</f>
        <v/>
      </c>
      <c r="AQ1041" s="17">
        <f>SUMIF(Audit[[#This Row],[Difference Winner]:[Difference Candidate 12]], "&gt;0")</f>
        <v>0</v>
      </c>
      <c r="AR1041" s="17">
        <f>SUM(Audit[[#This Row],[Difference Winner]:[Difference Candidate 12]])</f>
        <v>0</v>
      </c>
      <c r="AS1041" s="17">
        <f>IF(Audit[[#This Row],[Times p Drawn - With Replacement]]&gt;0, IF(Audit[[#This Row],[Canceled Differences]]&lt;0, Audit[[#This Row],[Max Differences]]+ABS(Audit[[#This Row],[Canceled Differences]]), Audit[[#This Row],[Max Differences]]), 0)</f>
        <v>0</v>
      </c>
      <c r="AT1041" s="17">
        <f>'Sampling Data'!AB1041</f>
        <v>3.734510269903242E-2</v>
      </c>
      <c r="AU1041" s="17">
        <f>IF(
      SUM(Audit[[#This Row],[Audit Losing Candidate]:[Audit Candidate 12]])
      &lt;&gt;0,
      (Audit[[#This Row],[Winning Candidate]]-Audit[[#This Row],[Losing Candidate]]-(Audit[[#This Row],[Audit Winning Candidate]]-Audit[[#This Row],[Audit Losing Candidate]]))/(Audit[[#Totals],[Winning Candidate]]-Audit[[#Totals],[Losing Candidate]]),
      0
)</f>
        <v>0</v>
      </c>
      <c r="AV10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1" s="17">
        <f>IF(Audit[[#This Row],[Max Relative Error (ep)]] = 0, 0, Audit[[#This Row],[Max Relative Error (ep)]]/Audit[[#This Row],[Error Bound (up) - Max. possible relative overstatement]])</f>
        <v>0</v>
      </c>
      <c r="BH10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41" s="17">
        <f t="shared" si="17"/>
        <v>1</v>
      </c>
      <c r="BJ1041" s="17">
        <f>PRODUCT($BI$5:BI1041)</f>
        <v>0.13793242319093066</v>
      </c>
      <c r="BK1041" s="19">
        <f>1 - Audit[[#This Row],[K-M P Value]]</f>
        <v>0.86206757680906931</v>
      </c>
      <c r="BL1041" s="17" t="str">
        <f>IF(Audit[[#This Row],[K-M P Value]]&gt;1-'General Info'!$B$12,"Continue", "Stop")</f>
        <v>Continue</v>
      </c>
      <c r="BM1041" s="22" t="b">
        <f>IF(Audit[[#This Row],[Status - Continue or stop audit]] = "Continue", TRUE, IF(BL1040 = "Continue", TRUE, FALSE))</f>
        <v>1</v>
      </c>
      <c r="BN1041" s="22"/>
    </row>
    <row r="1042" spans="1:66" ht="15" hidden="1" customHeight="1" x14ac:dyDescent="0.35">
      <c r="A1042" s="17" t="str">
        <f>'Sampling Data'!AI1042</f>
        <v/>
      </c>
      <c r="B1042" s="17" t="str">
        <f>'Sampling Data'!A1042</f>
        <v>7702 LIN HT B   (ED)</v>
      </c>
      <c r="C1042" s="17">
        <f>'Sampling Data'!B1042</f>
        <v>247</v>
      </c>
      <c r="D1042" s="17">
        <f>'Sampling Data'!C1042</f>
        <v>25</v>
      </c>
      <c r="E1042" s="18">
        <f>'Sampling Data'!D1042</f>
        <v>0</v>
      </c>
      <c r="F1042" s="18">
        <f>'Sampling Data'!E1042</f>
        <v>0</v>
      </c>
      <c r="G1042" s="18">
        <f>'Sampling Data'!F1042</f>
        <v>0</v>
      </c>
      <c r="H1042" s="18">
        <f>'Sampling Data'!G1042</f>
        <v>0</v>
      </c>
      <c r="I1042" s="18">
        <f>'Sampling Data'!H1042</f>
        <v>0</v>
      </c>
      <c r="J1042" s="18">
        <f>'Sampling Data'!I1042</f>
        <v>0</v>
      </c>
      <c r="K1042" s="18">
        <f>'Sampling Data'!J1042</f>
        <v>0</v>
      </c>
      <c r="L1042" s="18">
        <f>'Sampling Data'!K1042</f>
        <v>0</v>
      </c>
      <c r="M1042" s="18">
        <f>'Sampling Data'!L1042</f>
        <v>0</v>
      </c>
      <c r="N1042" s="18">
        <f>'Sampling Data'!M1042</f>
        <v>0</v>
      </c>
      <c r="O1042" s="17">
        <f>'Sampling Data'!N1042</f>
        <v>0</v>
      </c>
      <c r="P1042" s="17">
        <f>'Sampling Data'!O1042</f>
        <v>12</v>
      </c>
      <c r="Q1042" s="17">
        <f>'Sampling Data'!P1042</f>
        <v>284</v>
      </c>
      <c r="R1042" s="17">
        <f>'Sampling Data'!AJ1042</f>
        <v>0</v>
      </c>
      <c r="S1042" s="111"/>
      <c r="T1042" s="111"/>
      <c r="U1042" s="112"/>
      <c r="V1042" s="112"/>
      <c r="W1042" s="111"/>
      <c r="X1042" s="111"/>
      <c r="Y1042" s="111"/>
      <c r="Z1042" s="111"/>
      <c r="AA1042" s="14"/>
      <c r="AB1042" s="14"/>
      <c r="AC1042" s="14"/>
      <c r="AD1042" s="14"/>
      <c r="AE1042" s="113" t="str">
        <f>IF(NOT(ISBLANK(Audit[[#This Row],[Audit Winning Candidate]])), Audit[[#This Row],[Audit Winning Candidate]]-Audit[[#This Row],[Winning Candidate]], "")</f>
        <v/>
      </c>
      <c r="AF1042" s="17" t="str">
        <f>IF(NOT(ISBLANK(Audit[[#This Row],[Audit Losing Candidate]])), Audit[[#This Row],[Audit Losing Candidate]]-Audit[[#This Row],[Losing Candidate]], "")</f>
        <v/>
      </c>
      <c r="AG1042" s="17" t="str">
        <f>IF(NOT(ISBLANK(Audit[[#This Row],[Audit Candidate 3]])), Audit[[#This Row],[Audit Candidate 3]]-Audit[[#This Row],[Candidate 3]], "")</f>
        <v/>
      </c>
      <c r="AH1042" s="17" t="str">
        <f>IF(NOT(ISBLANK(Audit[[#This Row],[Audit Candidate 4]])),Audit[[#This Row],[Audit Candidate 4]]-Audit[[#This Row],[Candidate 4]], "")</f>
        <v/>
      </c>
      <c r="AI1042" s="17" t="str">
        <f>IF(NOT(ISBLANK(Audit[[#This Row],[Audit Candidate 5]])), Audit[[#This Row],[Audit Candidate 5]]-Audit[[#This Row],[Candidate 5]], "")</f>
        <v/>
      </c>
      <c r="AJ1042" s="17" t="str">
        <f>IF(NOT(ISBLANK(Audit[[#This Row],[Audit Candidate 6]])), Audit[[#This Row],[Audit Candidate 6]]-Audit[[#This Row],[Candidate 6]], "")</f>
        <v/>
      </c>
      <c r="AK1042" s="17" t="str">
        <f>IF(NOT(ISBLANK(Audit[[#This Row],[Audit Candidate 7]])), Audit[[#This Row],[Audit Candidate 7]]-Audit[[#This Row],[Candidate 7]], "")</f>
        <v/>
      </c>
      <c r="AL1042" s="17" t="str">
        <f>IF(NOT(ISBLANK(Audit[[#This Row],[Audit Candidate 8]])), Audit[[#This Row],[Audit Candidate 8]]-Audit[[#This Row],[Candidate 8]], "")</f>
        <v/>
      </c>
      <c r="AM1042" s="17" t="str">
        <f>IF(NOT(ISBLANK(Audit[[#This Row],[Audit Candidate 9]])), Audit[[#This Row],[Audit Candidate 9]]-Audit[[#This Row],[Candidate 9]], "")</f>
        <v/>
      </c>
      <c r="AN1042" s="17" t="str">
        <f>IF(NOT(ISBLANK(Audit[[#This Row],[Audit Candidate 10]])), Audit[[#This Row],[Audit Candidate 10]]-Audit[[#This Row],[Candidate 10]], "")</f>
        <v/>
      </c>
      <c r="AO1042" s="17" t="str">
        <f>IF(NOT(ISBLANK(Audit[[#This Row],[Audit Candidate 11]])), Audit[[#This Row],[Audit Candidate 11]]-Audit[[#This Row],[Candidate 11]], "")</f>
        <v/>
      </c>
      <c r="AP1042" s="17" t="str">
        <f>IF(NOT(ISBLANK(Audit[[#This Row],[Audit Candidate 12]])), Audit[[#This Row],[Audit Candidate 12]]-Audit[[#This Row],[Candidate 12]], "")</f>
        <v/>
      </c>
      <c r="AQ1042" s="17">
        <f>SUMIF(Audit[[#This Row],[Difference Winner]:[Difference Candidate 12]], "&gt;0")</f>
        <v>0</v>
      </c>
      <c r="AR1042" s="17">
        <f>SUM(Audit[[#This Row],[Difference Winner]:[Difference Candidate 12]])</f>
        <v>0</v>
      </c>
      <c r="AS1042" s="17">
        <f>IF(Audit[[#This Row],[Times p Drawn - With Replacement]]&gt;0, IF(Audit[[#This Row],[Canceled Differences]]&lt;0, Audit[[#This Row],[Max Differences]]+ABS(Audit[[#This Row],[Canceled Differences]]), Audit[[#This Row],[Max Differences]]), 0)</f>
        <v>0</v>
      </c>
      <c r="AT1042" s="17">
        <f>'Sampling Data'!AB1042</f>
        <v>2.1473434051943643E-2</v>
      </c>
      <c r="AU1042" s="17">
        <f>IF(
      SUM(Audit[[#This Row],[Audit Losing Candidate]:[Audit Candidate 12]])
      &lt;&gt;0,
      (Audit[[#This Row],[Winning Candidate]]-Audit[[#This Row],[Losing Candidate]]-(Audit[[#This Row],[Audit Winning Candidate]]-Audit[[#This Row],[Audit Losing Candidate]]))/(Audit[[#Totals],[Winning Candidate]]-Audit[[#Totals],[Losing Candidate]]),
      0
)</f>
        <v>0</v>
      </c>
      <c r="AV10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2" s="17">
        <f>IF(Audit[[#This Row],[Max Relative Error (ep)]] = 0, 0, Audit[[#This Row],[Max Relative Error (ep)]]/Audit[[#This Row],[Error Bound (up) - Max. possible relative overstatement]])</f>
        <v>0</v>
      </c>
      <c r="BH10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42" s="17">
        <f t="shared" si="17"/>
        <v>1</v>
      </c>
      <c r="BJ1042" s="17">
        <f>PRODUCT($BI$5:BI1042)</f>
        <v>0.13793242319093066</v>
      </c>
      <c r="BK1042" s="19">
        <f>1 - Audit[[#This Row],[K-M P Value]]</f>
        <v>0.86206757680906931</v>
      </c>
      <c r="BL1042" s="17" t="str">
        <f>IF(Audit[[#This Row],[K-M P Value]]&gt;1-'General Info'!$B$12,"Continue", "Stop")</f>
        <v>Continue</v>
      </c>
      <c r="BM1042" s="22" t="b">
        <f>IF(Audit[[#This Row],[Status - Continue or stop audit]] = "Continue", TRUE, IF(BL1041 = "Continue", TRUE, FALSE))</f>
        <v>1</v>
      </c>
      <c r="BN1042" s="22"/>
    </row>
    <row r="1043" spans="1:66" ht="15" hidden="1" customHeight="1" x14ac:dyDescent="0.35">
      <c r="A1043" s="17" t="str">
        <f>'Sampling Data'!AI1043</f>
        <v/>
      </c>
      <c r="B1043" s="17" t="str">
        <f>'Sampling Data'!A1043</f>
        <v>7901 LOCK A   (ED)</v>
      </c>
      <c r="C1043" s="17">
        <f>'Sampling Data'!B1043</f>
        <v>120</v>
      </c>
      <c r="D1043" s="17">
        <f>'Sampling Data'!C1043</f>
        <v>215</v>
      </c>
      <c r="E1043" s="18">
        <f>'Sampling Data'!D1043</f>
        <v>0</v>
      </c>
      <c r="F1043" s="18">
        <f>'Sampling Data'!E1043</f>
        <v>0</v>
      </c>
      <c r="G1043" s="18">
        <f>'Sampling Data'!F1043</f>
        <v>0</v>
      </c>
      <c r="H1043" s="18">
        <f>'Sampling Data'!G1043</f>
        <v>0</v>
      </c>
      <c r="I1043" s="18">
        <f>'Sampling Data'!H1043</f>
        <v>0</v>
      </c>
      <c r="J1043" s="18">
        <f>'Sampling Data'!I1043</f>
        <v>0</v>
      </c>
      <c r="K1043" s="18">
        <f>'Sampling Data'!J1043</f>
        <v>0</v>
      </c>
      <c r="L1043" s="18">
        <f>'Sampling Data'!K1043</f>
        <v>0</v>
      </c>
      <c r="M1043" s="18">
        <f>'Sampling Data'!L1043</f>
        <v>0</v>
      </c>
      <c r="N1043" s="18">
        <f>'Sampling Data'!M1043</f>
        <v>0</v>
      </c>
      <c r="O1043" s="17">
        <f>'Sampling Data'!N1043</f>
        <v>1</v>
      </c>
      <c r="P1043" s="17">
        <f>'Sampling Data'!O1043</f>
        <v>29</v>
      </c>
      <c r="Q1043" s="17">
        <f>'Sampling Data'!P1043</f>
        <v>365</v>
      </c>
      <c r="R1043" s="17">
        <f>'Sampling Data'!AJ1043</f>
        <v>0</v>
      </c>
      <c r="S1043" s="111"/>
      <c r="T1043" s="111"/>
      <c r="U1043" s="112"/>
      <c r="V1043" s="112"/>
      <c r="W1043" s="111"/>
      <c r="X1043" s="111"/>
      <c r="Y1043" s="111"/>
      <c r="Z1043" s="111"/>
      <c r="AA1043" s="14"/>
      <c r="AB1043" s="14"/>
      <c r="AC1043" s="14"/>
      <c r="AD1043" s="14"/>
      <c r="AE1043" s="113" t="str">
        <f>IF(NOT(ISBLANK(Audit[[#This Row],[Audit Winning Candidate]])), Audit[[#This Row],[Audit Winning Candidate]]-Audit[[#This Row],[Winning Candidate]], "")</f>
        <v/>
      </c>
      <c r="AF1043" s="17" t="str">
        <f>IF(NOT(ISBLANK(Audit[[#This Row],[Audit Losing Candidate]])), Audit[[#This Row],[Audit Losing Candidate]]-Audit[[#This Row],[Losing Candidate]], "")</f>
        <v/>
      </c>
      <c r="AG1043" s="17" t="str">
        <f>IF(NOT(ISBLANK(Audit[[#This Row],[Audit Candidate 3]])), Audit[[#This Row],[Audit Candidate 3]]-Audit[[#This Row],[Candidate 3]], "")</f>
        <v/>
      </c>
      <c r="AH1043" s="17" t="str">
        <f>IF(NOT(ISBLANK(Audit[[#This Row],[Audit Candidate 4]])),Audit[[#This Row],[Audit Candidate 4]]-Audit[[#This Row],[Candidate 4]], "")</f>
        <v/>
      </c>
      <c r="AI1043" s="17" t="str">
        <f>IF(NOT(ISBLANK(Audit[[#This Row],[Audit Candidate 5]])), Audit[[#This Row],[Audit Candidate 5]]-Audit[[#This Row],[Candidate 5]], "")</f>
        <v/>
      </c>
      <c r="AJ1043" s="17" t="str">
        <f>IF(NOT(ISBLANK(Audit[[#This Row],[Audit Candidate 6]])), Audit[[#This Row],[Audit Candidate 6]]-Audit[[#This Row],[Candidate 6]], "")</f>
        <v/>
      </c>
      <c r="AK1043" s="17" t="str">
        <f>IF(NOT(ISBLANK(Audit[[#This Row],[Audit Candidate 7]])), Audit[[#This Row],[Audit Candidate 7]]-Audit[[#This Row],[Candidate 7]], "")</f>
        <v/>
      </c>
      <c r="AL1043" s="17" t="str">
        <f>IF(NOT(ISBLANK(Audit[[#This Row],[Audit Candidate 8]])), Audit[[#This Row],[Audit Candidate 8]]-Audit[[#This Row],[Candidate 8]], "")</f>
        <v/>
      </c>
      <c r="AM1043" s="17" t="str">
        <f>IF(NOT(ISBLANK(Audit[[#This Row],[Audit Candidate 9]])), Audit[[#This Row],[Audit Candidate 9]]-Audit[[#This Row],[Candidate 9]], "")</f>
        <v/>
      </c>
      <c r="AN1043" s="17" t="str">
        <f>IF(NOT(ISBLANK(Audit[[#This Row],[Audit Candidate 10]])), Audit[[#This Row],[Audit Candidate 10]]-Audit[[#This Row],[Candidate 10]], "")</f>
        <v/>
      </c>
      <c r="AO1043" s="17" t="str">
        <f>IF(NOT(ISBLANK(Audit[[#This Row],[Audit Candidate 11]])), Audit[[#This Row],[Audit Candidate 11]]-Audit[[#This Row],[Candidate 11]], "")</f>
        <v/>
      </c>
      <c r="AP1043" s="17" t="str">
        <f>IF(NOT(ISBLANK(Audit[[#This Row],[Audit Candidate 12]])), Audit[[#This Row],[Audit Candidate 12]]-Audit[[#This Row],[Candidate 12]], "")</f>
        <v/>
      </c>
      <c r="AQ1043" s="17">
        <f>SUMIF(Audit[[#This Row],[Difference Winner]:[Difference Candidate 12]], "&gt;0")</f>
        <v>0</v>
      </c>
      <c r="AR1043" s="17">
        <f>SUM(Audit[[#This Row],[Difference Winner]:[Difference Candidate 12]])</f>
        <v>0</v>
      </c>
      <c r="AS1043" s="17">
        <f>IF(Audit[[#This Row],[Times p Drawn - With Replacement]]&gt;0, IF(Audit[[#This Row],[Canceled Differences]]&lt;0, Audit[[#This Row],[Max Differences]]+ABS(Audit[[#This Row],[Canceled Differences]]), Audit[[#This Row],[Max Differences]]), 0)</f>
        <v>0</v>
      </c>
      <c r="AT1043" s="17">
        <f>'Sampling Data'!AB1043</f>
        <v>1.1458156509930402E-2</v>
      </c>
      <c r="AU1043" s="17">
        <f>IF(
      SUM(Audit[[#This Row],[Audit Losing Candidate]:[Audit Candidate 12]])
      &lt;&gt;0,
      (Audit[[#This Row],[Winning Candidate]]-Audit[[#This Row],[Losing Candidate]]-(Audit[[#This Row],[Audit Winning Candidate]]-Audit[[#This Row],[Audit Losing Candidate]]))/(Audit[[#Totals],[Winning Candidate]]-Audit[[#Totals],[Losing Candidate]]),
      0
)</f>
        <v>0</v>
      </c>
      <c r="AV10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3" s="17">
        <f>IF(Audit[[#This Row],[Max Relative Error (ep)]] = 0, 0, Audit[[#This Row],[Max Relative Error (ep)]]/Audit[[#This Row],[Error Bound (up) - Max. possible relative overstatement]])</f>
        <v>0</v>
      </c>
      <c r="BH10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43" s="17">
        <f t="shared" si="17"/>
        <v>1</v>
      </c>
      <c r="BJ1043" s="17">
        <f>PRODUCT($BI$5:BI1043)</f>
        <v>0.13793242319093066</v>
      </c>
      <c r="BK1043" s="19">
        <f>1 - Audit[[#This Row],[K-M P Value]]</f>
        <v>0.86206757680906931</v>
      </c>
      <c r="BL1043" s="17" t="str">
        <f>IF(Audit[[#This Row],[K-M P Value]]&gt;1-'General Info'!$B$12,"Continue", "Stop")</f>
        <v>Continue</v>
      </c>
      <c r="BM1043" s="22" t="b">
        <f>IF(Audit[[#This Row],[Status - Continue or stop audit]] = "Continue", TRUE, IF(BL1042 = "Continue", TRUE, FALSE))</f>
        <v>1</v>
      </c>
      <c r="BN1043" s="22"/>
    </row>
    <row r="1044" spans="1:66" ht="15" hidden="1" customHeight="1" x14ac:dyDescent="0.35">
      <c r="A1044" s="17" t="str">
        <f>'Sampling Data'!AI1044</f>
        <v/>
      </c>
      <c r="B1044" s="17" t="str">
        <f>'Sampling Data'!A1044</f>
        <v>7902 LOCK B   (ED)</v>
      </c>
      <c r="C1044" s="17">
        <f>'Sampling Data'!B1044</f>
        <v>291</v>
      </c>
      <c r="D1044" s="17">
        <f>'Sampling Data'!C1044</f>
        <v>165</v>
      </c>
      <c r="E1044" s="18">
        <f>'Sampling Data'!D1044</f>
        <v>0</v>
      </c>
      <c r="F1044" s="18">
        <f>'Sampling Data'!E1044</f>
        <v>0</v>
      </c>
      <c r="G1044" s="18">
        <f>'Sampling Data'!F1044</f>
        <v>0</v>
      </c>
      <c r="H1044" s="18">
        <f>'Sampling Data'!G1044</f>
        <v>0</v>
      </c>
      <c r="I1044" s="18">
        <f>'Sampling Data'!H1044</f>
        <v>0</v>
      </c>
      <c r="J1044" s="18">
        <f>'Sampling Data'!I1044</f>
        <v>0</v>
      </c>
      <c r="K1044" s="18">
        <f>'Sampling Data'!J1044</f>
        <v>0</v>
      </c>
      <c r="L1044" s="18">
        <f>'Sampling Data'!K1044</f>
        <v>0</v>
      </c>
      <c r="M1044" s="18">
        <f>'Sampling Data'!L1044</f>
        <v>0</v>
      </c>
      <c r="N1044" s="18">
        <f>'Sampling Data'!M1044</f>
        <v>0</v>
      </c>
      <c r="O1044" s="17">
        <f>'Sampling Data'!N1044</f>
        <v>0</v>
      </c>
      <c r="P1044" s="17">
        <f>'Sampling Data'!O1044</f>
        <v>56</v>
      </c>
      <c r="Q1044" s="17">
        <f>'Sampling Data'!P1044</f>
        <v>512</v>
      </c>
      <c r="R1044" s="17">
        <f>'Sampling Data'!AJ1044</f>
        <v>0</v>
      </c>
      <c r="S1044" s="111"/>
      <c r="T1044" s="111"/>
      <c r="U1044" s="112"/>
      <c r="V1044" s="112"/>
      <c r="W1044" s="111"/>
      <c r="X1044" s="111"/>
      <c r="Y1044" s="111"/>
      <c r="Z1044" s="111"/>
      <c r="AA1044" s="14"/>
      <c r="AB1044" s="14"/>
      <c r="AC1044" s="14"/>
      <c r="AD1044" s="14"/>
      <c r="AE1044" s="113" t="str">
        <f>IF(NOT(ISBLANK(Audit[[#This Row],[Audit Winning Candidate]])), Audit[[#This Row],[Audit Winning Candidate]]-Audit[[#This Row],[Winning Candidate]], "")</f>
        <v/>
      </c>
      <c r="AF1044" s="17" t="str">
        <f>IF(NOT(ISBLANK(Audit[[#This Row],[Audit Losing Candidate]])), Audit[[#This Row],[Audit Losing Candidate]]-Audit[[#This Row],[Losing Candidate]], "")</f>
        <v/>
      </c>
      <c r="AG1044" s="17" t="str">
        <f>IF(NOT(ISBLANK(Audit[[#This Row],[Audit Candidate 3]])), Audit[[#This Row],[Audit Candidate 3]]-Audit[[#This Row],[Candidate 3]], "")</f>
        <v/>
      </c>
      <c r="AH1044" s="17" t="str">
        <f>IF(NOT(ISBLANK(Audit[[#This Row],[Audit Candidate 4]])),Audit[[#This Row],[Audit Candidate 4]]-Audit[[#This Row],[Candidate 4]], "")</f>
        <v/>
      </c>
      <c r="AI1044" s="17" t="str">
        <f>IF(NOT(ISBLANK(Audit[[#This Row],[Audit Candidate 5]])), Audit[[#This Row],[Audit Candidate 5]]-Audit[[#This Row],[Candidate 5]], "")</f>
        <v/>
      </c>
      <c r="AJ1044" s="17" t="str">
        <f>IF(NOT(ISBLANK(Audit[[#This Row],[Audit Candidate 6]])), Audit[[#This Row],[Audit Candidate 6]]-Audit[[#This Row],[Candidate 6]], "")</f>
        <v/>
      </c>
      <c r="AK1044" s="17" t="str">
        <f>IF(NOT(ISBLANK(Audit[[#This Row],[Audit Candidate 7]])), Audit[[#This Row],[Audit Candidate 7]]-Audit[[#This Row],[Candidate 7]], "")</f>
        <v/>
      </c>
      <c r="AL1044" s="17" t="str">
        <f>IF(NOT(ISBLANK(Audit[[#This Row],[Audit Candidate 8]])), Audit[[#This Row],[Audit Candidate 8]]-Audit[[#This Row],[Candidate 8]], "")</f>
        <v/>
      </c>
      <c r="AM1044" s="17" t="str">
        <f>IF(NOT(ISBLANK(Audit[[#This Row],[Audit Candidate 9]])), Audit[[#This Row],[Audit Candidate 9]]-Audit[[#This Row],[Candidate 9]], "")</f>
        <v/>
      </c>
      <c r="AN1044" s="17" t="str">
        <f>IF(NOT(ISBLANK(Audit[[#This Row],[Audit Candidate 10]])), Audit[[#This Row],[Audit Candidate 10]]-Audit[[#This Row],[Candidate 10]], "")</f>
        <v/>
      </c>
      <c r="AO1044" s="17" t="str">
        <f>IF(NOT(ISBLANK(Audit[[#This Row],[Audit Candidate 11]])), Audit[[#This Row],[Audit Candidate 11]]-Audit[[#This Row],[Candidate 11]], "")</f>
        <v/>
      </c>
      <c r="AP1044" s="17" t="str">
        <f>IF(NOT(ISBLANK(Audit[[#This Row],[Audit Candidate 12]])), Audit[[#This Row],[Audit Candidate 12]]-Audit[[#This Row],[Candidate 12]], "")</f>
        <v/>
      </c>
      <c r="AQ1044" s="17">
        <f>SUMIF(Audit[[#This Row],[Difference Winner]:[Difference Candidate 12]], "&gt;0")</f>
        <v>0</v>
      </c>
      <c r="AR1044" s="17">
        <f>SUM(Audit[[#This Row],[Difference Winner]:[Difference Candidate 12]])</f>
        <v>0</v>
      </c>
      <c r="AS1044" s="17">
        <f>IF(Audit[[#This Row],[Times p Drawn - With Replacement]]&gt;0, IF(Audit[[#This Row],[Canceled Differences]]&lt;0, Audit[[#This Row],[Max Differences]]+ABS(Audit[[#This Row],[Canceled Differences]]), Audit[[#This Row],[Max Differences]]), 0)</f>
        <v>0</v>
      </c>
      <c r="AT1044" s="17">
        <f>'Sampling Data'!AB1044</f>
        <v>2.7075199456798506E-2</v>
      </c>
      <c r="AU1044" s="17">
        <f>IF(
      SUM(Audit[[#This Row],[Audit Losing Candidate]:[Audit Candidate 12]])
      &lt;&gt;0,
      (Audit[[#This Row],[Winning Candidate]]-Audit[[#This Row],[Losing Candidate]]-(Audit[[#This Row],[Audit Winning Candidate]]-Audit[[#This Row],[Audit Losing Candidate]]))/(Audit[[#Totals],[Winning Candidate]]-Audit[[#Totals],[Losing Candidate]]),
      0
)</f>
        <v>0</v>
      </c>
      <c r="AV10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4" s="17">
        <f>IF(Audit[[#This Row],[Max Relative Error (ep)]] = 0, 0, Audit[[#This Row],[Max Relative Error (ep)]]/Audit[[#This Row],[Error Bound (up) - Max. possible relative overstatement]])</f>
        <v>0</v>
      </c>
      <c r="BH10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44" s="17">
        <f t="shared" si="17"/>
        <v>1</v>
      </c>
      <c r="BJ1044" s="17">
        <f>PRODUCT($BI$5:BI1044)</f>
        <v>0.13793242319093066</v>
      </c>
      <c r="BK1044" s="19">
        <f>1 - Audit[[#This Row],[K-M P Value]]</f>
        <v>0.86206757680906931</v>
      </c>
      <c r="BL1044" s="17" t="str">
        <f>IF(Audit[[#This Row],[K-M P Value]]&gt;1-'General Info'!$B$12,"Continue", "Stop")</f>
        <v>Continue</v>
      </c>
      <c r="BM1044" s="22" t="b">
        <f>IF(Audit[[#This Row],[Status - Continue or stop audit]] = "Continue", TRUE, IF(BL1043 = "Continue", TRUE, FALSE))</f>
        <v>1</v>
      </c>
      <c r="BN1044" s="22"/>
    </row>
    <row r="1045" spans="1:66" ht="15" hidden="1" customHeight="1" x14ac:dyDescent="0.35">
      <c r="A1045" s="17" t="str">
        <f>'Sampling Data'!AI1045</f>
        <v/>
      </c>
      <c r="B1045" s="17" t="str">
        <f>'Sampling Data'!A1045</f>
        <v>8001 MARMT A   (ED)</v>
      </c>
      <c r="C1045" s="17">
        <f>'Sampling Data'!B1045</f>
        <v>303</v>
      </c>
      <c r="D1045" s="17">
        <f>'Sampling Data'!C1045</f>
        <v>322</v>
      </c>
      <c r="E1045" s="18">
        <f>'Sampling Data'!D1045</f>
        <v>0</v>
      </c>
      <c r="F1045" s="18">
        <f>'Sampling Data'!E1045</f>
        <v>0</v>
      </c>
      <c r="G1045" s="18">
        <f>'Sampling Data'!F1045</f>
        <v>0</v>
      </c>
      <c r="H1045" s="18">
        <f>'Sampling Data'!G1045</f>
        <v>0</v>
      </c>
      <c r="I1045" s="18">
        <f>'Sampling Data'!H1045</f>
        <v>0</v>
      </c>
      <c r="J1045" s="18">
        <f>'Sampling Data'!I1045</f>
        <v>0</v>
      </c>
      <c r="K1045" s="18">
        <f>'Sampling Data'!J1045</f>
        <v>0</v>
      </c>
      <c r="L1045" s="18">
        <f>'Sampling Data'!K1045</f>
        <v>0</v>
      </c>
      <c r="M1045" s="18">
        <f>'Sampling Data'!L1045</f>
        <v>0</v>
      </c>
      <c r="N1045" s="18">
        <f>'Sampling Data'!M1045</f>
        <v>0</v>
      </c>
      <c r="O1045" s="17">
        <f>'Sampling Data'!N1045</f>
        <v>0</v>
      </c>
      <c r="P1045" s="17">
        <f>'Sampling Data'!O1045</f>
        <v>43</v>
      </c>
      <c r="Q1045" s="17">
        <f>'Sampling Data'!P1045</f>
        <v>668</v>
      </c>
      <c r="R1045" s="17">
        <f>'Sampling Data'!AJ1045</f>
        <v>0</v>
      </c>
      <c r="S1045" s="111"/>
      <c r="T1045" s="111"/>
      <c r="U1045" s="112"/>
      <c r="V1045" s="112"/>
      <c r="W1045" s="111"/>
      <c r="X1045" s="111"/>
      <c r="Y1045" s="111"/>
      <c r="Z1045" s="111"/>
      <c r="AA1045" s="14"/>
      <c r="AB1045" s="14"/>
      <c r="AC1045" s="14"/>
      <c r="AD1045" s="14"/>
      <c r="AE1045" s="113" t="str">
        <f>IF(NOT(ISBLANK(Audit[[#This Row],[Audit Winning Candidate]])), Audit[[#This Row],[Audit Winning Candidate]]-Audit[[#This Row],[Winning Candidate]], "")</f>
        <v/>
      </c>
      <c r="AF1045" s="17" t="str">
        <f>IF(NOT(ISBLANK(Audit[[#This Row],[Audit Losing Candidate]])), Audit[[#This Row],[Audit Losing Candidate]]-Audit[[#This Row],[Losing Candidate]], "")</f>
        <v/>
      </c>
      <c r="AG1045" s="17" t="str">
        <f>IF(NOT(ISBLANK(Audit[[#This Row],[Audit Candidate 3]])), Audit[[#This Row],[Audit Candidate 3]]-Audit[[#This Row],[Candidate 3]], "")</f>
        <v/>
      </c>
      <c r="AH1045" s="17" t="str">
        <f>IF(NOT(ISBLANK(Audit[[#This Row],[Audit Candidate 4]])),Audit[[#This Row],[Audit Candidate 4]]-Audit[[#This Row],[Candidate 4]], "")</f>
        <v/>
      </c>
      <c r="AI1045" s="17" t="str">
        <f>IF(NOT(ISBLANK(Audit[[#This Row],[Audit Candidate 5]])), Audit[[#This Row],[Audit Candidate 5]]-Audit[[#This Row],[Candidate 5]], "")</f>
        <v/>
      </c>
      <c r="AJ1045" s="17" t="str">
        <f>IF(NOT(ISBLANK(Audit[[#This Row],[Audit Candidate 6]])), Audit[[#This Row],[Audit Candidate 6]]-Audit[[#This Row],[Candidate 6]], "")</f>
        <v/>
      </c>
      <c r="AK1045" s="17" t="str">
        <f>IF(NOT(ISBLANK(Audit[[#This Row],[Audit Candidate 7]])), Audit[[#This Row],[Audit Candidate 7]]-Audit[[#This Row],[Candidate 7]], "")</f>
        <v/>
      </c>
      <c r="AL1045" s="17" t="str">
        <f>IF(NOT(ISBLANK(Audit[[#This Row],[Audit Candidate 8]])), Audit[[#This Row],[Audit Candidate 8]]-Audit[[#This Row],[Candidate 8]], "")</f>
        <v/>
      </c>
      <c r="AM1045" s="17" t="str">
        <f>IF(NOT(ISBLANK(Audit[[#This Row],[Audit Candidate 9]])), Audit[[#This Row],[Audit Candidate 9]]-Audit[[#This Row],[Candidate 9]], "")</f>
        <v/>
      </c>
      <c r="AN1045" s="17" t="str">
        <f>IF(NOT(ISBLANK(Audit[[#This Row],[Audit Candidate 10]])), Audit[[#This Row],[Audit Candidate 10]]-Audit[[#This Row],[Candidate 10]], "")</f>
        <v/>
      </c>
      <c r="AO1045" s="17" t="str">
        <f>IF(NOT(ISBLANK(Audit[[#This Row],[Audit Candidate 11]])), Audit[[#This Row],[Audit Candidate 11]]-Audit[[#This Row],[Candidate 11]], "")</f>
        <v/>
      </c>
      <c r="AP1045" s="17" t="str">
        <f>IF(NOT(ISBLANK(Audit[[#This Row],[Audit Candidate 12]])), Audit[[#This Row],[Audit Candidate 12]]-Audit[[#This Row],[Candidate 12]], "")</f>
        <v/>
      </c>
      <c r="AQ1045" s="17">
        <f>SUMIF(Audit[[#This Row],[Difference Winner]:[Difference Candidate 12]], "&gt;0")</f>
        <v>0</v>
      </c>
      <c r="AR1045" s="17">
        <f>SUM(Audit[[#This Row],[Difference Winner]:[Difference Candidate 12]])</f>
        <v>0</v>
      </c>
      <c r="AS1045" s="17">
        <f>IF(Audit[[#This Row],[Times p Drawn - With Replacement]]&gt;0, IF(Audit[[#This Row],[Canceled Differences]]&lt;0, Audit[[#This Row],[Max Differences]]+ABS(Audit[[#This Row],[Canceled Differences]]), Audit[[#This Row],[Max Differences]]), 0)</f>
        <v>0</v>
      </c>
      <c r="AT1045" s="17">
        <f>'Sampling Data'!AB1045</f>
        <v>2.7542013240536411E-2</v>
      </c>
      <c r="AU1045" s="17">
        <f>IF(
      SUM(Audit[[#This Row],[Audit Losing Candidate]:[Audit Candidate 12]])
      &lt;&gt;0,
      (Audit[[#This Row],[Winning Candidate]]-Audit[[#This Row],[Losing Candidate]]-(Audit[[#This Row],[Audit Winning Candidate]]-Audit[[#This Row],[Audit Losing Candidate]]))/(Audit[[#Totals],[Winning Candidate]]-Audit[[#Totals],[Losing Candidate]]),
      0
)</f>
        <v>0</v>
      </c>
      <c r="AV10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5" s="17">
        <f>IF(Audit[[#This Row],[Max Relative Error (ep)]] = 0, 0, Audit[[#This Row],[Max Relative Error (ep)]]/Audit[[#This Row],[Error Bound (up) - Max. possible relative overstatement]])</f>
        <v>0</v>
      </c>
      <c r="BH10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45" s="17">
        <f t="shared" si="17"/>
        <v>1</v>
      </c>
      <c r="BJ1045" s="17">
        <f>PRODUCT($BI$5:BI1045)</f>
        <v>0.13793242319093066</v>
      </c>
      <c r="BK1045" s="19">
        <f>1 - Audit[[#This Row],[K-M P Value]]</f>
        <v>0.86206757680906931</v>
      </c>
      <c r="BL1045" s="17" t="str">
        <f>IF(Audit[[#This Row],[K-M P Value]]&gt;1-'General Info'!$B$12,"Continue", "Stop")</f>
        <v>Continue</v>
      </c>
      <c r="BM1045" s="22" t="b">
        <f>IF(Audit[[#This Row],[Status - Continue or stop audit]] = "Continue", TRUE, IF(BL1044 = "Continue", TRUE, FALSE))</f>
        <v>1</v>
      </c>
      <c r="BN1045" s="22"/>
    </row>
    <row r="1046" spans="1:66" ht="15" hidden="1" customHeight="1" x14ac:dyDescent="0.35">
      <c r="A1046" s="17" t="str">
        <f>'Sampling Data'!AI1046</f>
        <v/>
      </c>
      <c r="B1046" s="17" t="str">
        <f>'Sampling Data'!A1046</f>
        <v>8002 MARMT B   (ED)</v>
      </c>
      <c r="C1046" s="17">
        <f>'Sampling Data'!B1046</f>
        <v>233</v>
      </c>
      <c r="D1046" s="17">
        <f>'Sampling Data'!C1046</f>
        <v>246</v>
      </c>
      <c r="E1046" s="18">
        <f>'Sampling Data'!D1046</f>
        <v>0</v>
      </c>
      <c r="F1046" s="18">
        <f>'Sampling Data'!E1046</f>
        <v>0</v>
      </c>
      <c r="G1046" s="18">
        <f>'Sampling Data'!F1046</f>
        <v>0</v>
      </c>
      <c r="H1046" s="18">
        <f>'Sampling Data'!G1046</f>
        <v>0</v>
      </c>
      <c r="I1046" s="18">
        <f>'Sampling Data'!H1046</f>
        <v>0</v>
      </c>
      <c r="J1046" s="18">
        <f>'Sampling Data'!I1046</f>
        <v>0</v>
      </c>
      <c r="K1046" s="18">
        <f>'Sampling Data'!J1046</f>
        <v>0</v>
      </c>
      <c r="L1046" s="18">
        <f>'Sampling Data'!K1046</f>
        <v>0</v>
      </c>
      <c r="M1046" s="18">
        <f>'Sampling Data'!L1046</f>
        <v>0</v>
      </c>
      <c r="N1046" s="18">
        <f>'Sampling Data'!M1046</f>
        <v>0</v>
      </c>
      <c r="O1046" s="17">
        <f>'Sampling Data'!N1046</f>
        <v>1</v>
      </c>
      <c r="P1046" s="17">
        <f>'Sampling Data'!O1046</f>
        <v>58</v>
      </c>
      <c r="Q1046" s="17">
        <f>'Sampling Data'!P1046</f>
        <v>538</v>
      </c>
      <c r="R1046" s="17">
        <f>'Sampling Data'!AJ1046</f>
        <v>0</v>
      </c>
      <c r="S1046" s="111"/>
      <c r="T1046" s="111"/>
      <c r="U1046" s="112"/>
      <c r="V1046" s="112"/>
      <c r="W1046" s="111"/>
      <c r="X1046" s="111"/>
      <c r="Y1046" s="111"/>
      <c r="Z1046" s="111"/>
      <c r="AA1046" s="14"/>
      <c r="AB1046" s="14"/>
      <c r="AC1046" s="14"/>
      <c r="AD1046" s="14"/>
      <c r="AE1046" s="113" t="str">
        <f>IF(NOT(ISBLANK(Audit[[#This Row],[Audit Winning Candidate]])), Audit[[#This Row],[Audit Winning Candidate]]-Audit[[#This Row],[Winning Candidate]], "")</f>
        <v/>
      </c>
      <c r="AF1046" s="17" t="str">
        <f>IF(NOT(ISBLANK(Audit[[#This Row],[Audit Losing Candidate]])), Audit[[#This Row],[Audit Losing Candidate]]-Audit[[#This Row],[Losing Candidate]], "")</f>
        <v/>
      </c>
      <c r="AG1046" s="17" t="str">
        <f>IF(NOT(ISBLANK(Audit[[#This Row],[Audit Candidate 3]])), Audit[[#This Row],[Audit Candidate 3]]-Audit[[#This Row],[Candidate 3]], "")</f>
        <v/>
      </c>
      <c r="AH1046" s="17" t="str">
        <f>IF(NOT(ISBLANK(Audit[[#This Row],[Audit Candidate 4]])),Audit[[#This Row],[Audit Candidate 4]]-Audit[[#This Row],[Candidate 4]], "")</f>
        <v/>
      </c>
      <c r="AI1046" s="17" t="str">
        <f>IF(NOT(ISBLANK(Audit[[#This Row],[Audit Candidate 5]])), Audit[[#This Row],[Audit Candidate 5]]-Audit[[#This Row],[Candidate 5]], "")</f>
        <v/>
      </c>
      <c r="AJ1046" s="17" t="str">
        <f>IF(NOT(ISBLANK(Audit[[#This Row],[Audit Candidate 6]])), Audit[[#This Row],[Audit Candidate 6]]-Audit[[#This Row],[Candidate 6]], "")</f>
        <v/>
      </c>
      <c r="AK1046" s="17" t="str">
        <f>IF(NOT(ISBLANK(Audit[[#This Row],[Audit Candidate 7]])), Audit[[#This Row],[Audit Candidate 7]]-Audit[[#This Row],[Candidate 7]], "")</f>
        <v/>
      </c>
      <c r="AL1046" s="17" t="str">
        <f>IF(NOT(ISBLANK(Audit[[#This Row],[Audit Candidate 8]])), Audit[[#This Row],[Audit Candidate 8]]-Audit[[#This Row],[Candidate 8]], "")</f>
        <v/>
      </c>
      <c r="AM1046" s="17" t="str">
        <f>IF(NOT(ISBLANK(Audit[[#This Row],[Audit Candidate 9]])), Audit[[#This Row],[Audit Candidate 9]]-Audit[[#This Row],[Candidate 9]], "")</f>
        <v/>
      </c>
      <c r="AN1046" s="17" t="str">
        <f>IF(NOT(ISBLANK(Audit[[#This Row],[Audit Candidate 10]])), Audit[[#This Row],[Audit Candidate 10]]-Audit[[#This Row],[Candidate 10]], "")</f>
        <v/>
      </c>
      <c r="AO1046" s="17" t="str">
        <f>IF(NOT(ISBLANK(Audit[[#This Row],[Audit Candidate 11]])), Audit[[#This Row],[Audit Candidate 11]]-Audit[[#This Row],[Candidate 11]], "")</f>
        <v/>
      </c>
      <c r="AP1046" s="17" t="str">
        <f>IF(NOT(ISBLANK(Audit[[#This Row],[Audit Candidate 12]])), Audit[[#This Row],[Audit Candidate 12]]-Audit[[#This Row],[Candidate 12]], "")</f>
        <v/>
      </c>
      <c r="AQ1046" s="17">
        <f>SUMIF(Audit[[#This Row],[Difference Winner]:[Difference Candidate 12]], "&gt;0")</f>
        <v>0</v>
      </c>
      <c r="AR1046" s="17">
        <f>SUM(Audit[[#This Row],[Difference Winner]:[Difference Candidate 12]])</f>
        <v>0</v>
      </c>
      <c r="AS1046" s="17">
        <f>IF(Audit[[#This Row],[Times p Drawn - With Replacement]]&gt;0, IF(Audit[[#This Row],[Canceled Differences]]&lt;0, Audit[[#This Row],[Max Differences]]+ABS(Audit[[#This Row],[Canceled Differences]]), Audit[[#This Row],[Max Differences]]), 0)</f>
        <v>0</v>
      </c>
      <c r="AT1046" s="17">
        <f>'Sampling Data'!AB1046</f>
        <v>2.2279748769309115E-2</v>
      </c>
      <c r="AU1046" s="17">
        <f>IF(
      SUM(Audit[[#This Row],[Audit Losing Candidate]:[Audit Candidate 12]])
      &lt;&gt;0,
      (Audit[[#This Row],[Winning Candidate]]-Audit[[#This Row],[Losing Candidate]]-(Audit[[#This Row],[Audit Winning Candidate]]-Audit[[#This Row],[Audit Losing Candidate]]))/(Audit[[#Totals],[Winning Candidate]]-Audit[[#Totals],[Losing Candidate]]),
      0
)</f>
        <v>0</v>
      </c>
      <c r="AV10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6" s="17">
        <f>IF(Audit[[#This Row],[Max Relative Error (ep)]] = 0, 0, Audit[[#This Row],[Max Relative Error (ep)]]/Audit[[#This Row],[Error Bound (up) - Max. possible relative overstatement]])</f>
        <v>0</v>
      </c>
      <c r="BH10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46" s="17">
        <f t="shared" si="17"/>
        <v>1</v>
      </c>
      <c r="BJ1046" s="17">
        <f>PRODUCT($BI$5:BI1046)</f>
        <v>0.13793242319093066</v>
      </c>
      <c r="BK1046" s="19">
        <f>1 - Audit[[#This Row],[K-M P Value]]</f>
        <v>0.86206757680906931</v>
      </c>
      <c r="BL1046" s="17" t="str">
        <f>IF(Audit[[#This Row],[K-M P Value]]&gt;1-'General Info'!$B$12,"Continue", "Stop")</f>
        <v>Continue</v>
      </c>
      <c r="BM1046" s="22" t="b">
        <f>IF(Audit[[#This Row],[Status - Continue or stop audit]] = "Continue", TRUE, IF(BL1045 = "Continue", TRUE, FALSE))</f>
        <v>1</v>
      </c>
      <c r="BN1046" s="22"/>
    </row>
    <row r="1047" spans="1:66" ht="15" hidden="1" customHeight="1" x14ac:dyDescent="0.35">
      <c r="A1047" s="17" t="str">
        <f>'Sampling Data'!AI1047</f>
        <v/>
      </c>
      <c r="B1047" s="17" t="str">
        <f>'Sampling Data'!A1047</f>
        <v>8211 ADDY A   (ED)</v>
      </c>
      <c r="C1047" s="17">
        <f>'Sampling Data'!B1047</f>
        <v>60</v>
      </c>
      <c r="D1047" s="17">
        <f>'Sampling Data'!C1047</f>
        <v>182</v>
      </c>
      <c r="E1047" s="18">
        <f>'Sampling Data'!D1047</f>
        <v>0</v>
      </c>
      <c r="F1047" s="18">
        <f>'Sampling Data'!E1047</f>
        <v>0</v>
      </c>
      <c r="G1047" s="18">
        <f>'Sampling Data'!F1047</f>
        <v>0</v>
      </c>
      <c r="H1047" s="18">
        <f>'Sampling Data'!G1047</f>
        <v>0</v>
      </c>
      <c r="I1047" s="18">
        <f>'Sampling Data'!H1047</f>
        <v>0</v>
      </c>
      <c r="J1047" s="18">
        <f>'Sampling Data'!I1047</f>
        <v>0</v>
      </c>
      <c r="K1047" s="18">
        <f>'Sampling Data'!J1047</f>
        <v>0</v>
      </c>
      <c r="L1047" s="18">
        <f>'Sampling Data'!K1047</f>
        <v>0</v>
      </c>
      <c r="M1047" s="18">
        <f>'Sampling Data'!L1047</f>
        <v>0</v>
      </c>
      <c r="N1047" s="18">
        <f>'Sampling Data'!M1047</f>
        <v>0</v>
      </c>
      <c r="O1047" s="17">
        <f>'Sampling Data'!N1047</f>
        <v>0</v>
      </c>
      <c r="P1047" s="17">
        <f>'Sampling Data'!O1047</f>
        <v>22</v>
      </c>
      <c r="Q1047" s="17">
        <f>'Sampling Data'!P1047</f>
        <v>264</v>
      </c>
      <c r="R1047" s="17">
        <f>'Sampling Data'!AJ1047</f>
        <v>0</v>
      </c>
      <c r="S1047" s="111"/>
      <c r="T1047" s="111"/>
      <c r="U1047" s="112"/>
      <c r="V1047" s="112"/>
      <c r="W1047" s="111"/>
      <c r="X1047" s="111"/>
      <c r="Y1047" s="111"/>
      <c r="Z1047" s="111"/>
      <c r="AA1047" s="14"/>
      <c r="AB1047" s="14"/>
      <c r="AC1047" s="14"/>
      <c r="AD1047" s="14"/>
      <c r="AE1047" s="113" t="str">
        <f>IF(NOT(ISBLANK(Audit[[#This Row],[Audit Winning Candidate]])), Audit[[#This Row],[Audit Winning Candidate]]-Audit[[#This Row],[Winning Candidate]], "")</f>
        <v/>
      </c>
      <c r="AF1047" s="17" t="str">
        <f>IF(NOT(ISBLANK(Audit[[#This Row],[Audit Losing Candidate]])), Audit[[#This Row],[Audit Losing Candidate]]-Audit[[#This Row],[Losing Candidate]], "")</f>
        <v/>
      </c>
      <c r="AG1047" s="17" t="str">
        <f>IF(NOT(ISBLANK(Audit[[#This Row],[Audit Candidate 3]])), Audit[[#This Row],[Audit Candidate 3]]-Audit[[#This Row],[Candidate 3]], "")</f>
        <v/>
      </c>
      <c r="AH1047" s="17" t="str">
        <f>IF(NOT(ISBLANK(Audit[[#This Row],[Audit Candidate 4]])),Audit[[#This Row],[Audit Candidate 4]]-Audit[[#This Row],[Candidate 4]], "")</f>
        <v/>
      </c>
      <c r="AI1047" s="17" t="str">
        <f>IF(NOT(ISBLANK(Audit[[#This Row],[Audit Candidate 5]])), Audit[[#This Row],[Audit Candidate 5]]-Audit[[#This Row],[Candidate 5]], "")</f>
        <v/>
      </c>
      <c r="AJ1047" s="17" t="str">
        <f>IF(NOT(ISBLANK(Audit[[#This Row],[Audit Candidate 6]])), Audit[[#This Row],[Audit Candidate 6]]-Audit[[#This Row],[Candidate 6]], "")</f>
        <v/>
      </c>
      <c r="AK1047" s="17" t="str">
        <f>IF(NOT(ISBLANK(Audit[[#This Row],[Audit Candidate 7]])), Audit[[#This Row],[Audit Candidate 7]]-Audit[[#This Row],[Candidate 7]], "")</f>
        <v/>
      </c>
      <c r="AL1047" s="17" t="str">
        <f>IF(NOT(ISBLANK(Audit[[#This Row],[Audit Candidate 8]])), Audit[[#This Row],[Audit Candidate 8]]-Audit[[#This Row],[Candidate 8]], "")</f>
        <v/>
      </c>
      <c r="AM1047" s="17" t="str">
        <f>IF(NOT(ISBLANK(Audit[[#This Row],[Audit Candidate 9]])), Audit[[#This Row],[Audit Candidate 9]]-Audit[[#This Row],[Candidate 9]], "")</f>
        <v/>
      </c>
      <c r="AN1047" s="17" t="str">
        <f>IF(NOT(ISBLANK(Audit[[#This Row],[Audit Candidate 10]])), Audit[[#This Row],[Audit Candidate 10]]-Audit[[#This Row],[Candidate 10]], "")</f>
        <v/>
      </c>
      <c r="AO1047" s="17" t="str">
        <f>IF(NOT(ISBLANK(Audit[[#This Row],[Audit Candidate 11]])), Audit[[#This Row],[Audit Candidate 11]]-Audit[[#This Row],[Candidate 11]], "")</f>
        <v/>
      </c>
      <c r="AP1047" s="17" t="str">
        <f>IF(NOT(ISBLANK(Audit[[#This Row],[Audit Candidate 12]])), Audit[[#This Row],[Audit Candidate 12]]-Audit[[#This Row],[Candidate 12]], "")</f>
        <v/>
      </c>
      <c r="AQ1047" s="17">
        <f>SUMIF(Audit[[#This Row],[Difference Winner]:[Difference Candidate 12]], "&gt;0")</f>
        <v>0</v>
      </c>
      <c r="AR1047" s="17">
        <f>SUM(Audit[[#This Row],[Difference Winner]:[Difference Candidate 12]])</f>
        <v>0</v>
      </c>
      <c r="AS1047" s="17">
        <f>IF(Audit[[#This Row],[Times p Drawn - With Replacement]]&gt;0, IF(Audit[[#This Row],[Canceled Differences]]&lt;0, Audit[[#This Row],[Max Differences]]+ABS(Audit[[#This Row],[Canceled Differences]]), Audit[[#This Row],[Max Differences]]), 0)</f>
        <v>0</v>
      </c>
      <c r="AT1047" s="17">
        <f>'Sampling Data'!AB1047</f>
        <v>6.0261415718893228E-3</v>
      </c>
      <c r="AU1047" s="17">
        <f>IF(
      SUM(Audit[[#This Row],[Audit Losing Candidate]:[Audit Candidate 12]])
      &lt;&gt;0,
      (Audit[[#This Row],[Winning Candidate]]-Audit[[#This Row],[Losing Candidate]]-(Audit[[#This Row],[Audit Winning Candidate]]-Audit[[#This Row],[Audit Losing Candidate]]))/(Audit[[#Totals],[Winning Candidate]]-Audit[[#Totals],[Losing Candidate]]),
      0
)</f>
        <v>0</v>
      </c>
      <c r="AV10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7" s="17">
        <f>IF(Audit[[#This Row],[Max Relative Error (ep)]] = 0, 0, Audit[[#This Row],[Max Relative Error (ep)]]/Audit[[#This Row],[Error Bound (up) - Max. possible relative overstatement]])</f>
        <v>0</v>
      </c>
      <c r="BH10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47" s="17">
        <f t="shared" si="17"/>
        <v>1</v>
      </c>
      <c r="BJ1047" s="17">
        <f>PRODUCT($BI$5:BI1047)</f>
        <v>0.13793242319093066</v>
      </c>
      <c r="BK1047" s="19">
        <f>1 - Audit[[#This Row],[K-M P Value]]</f>
        <v>0.86206757680906931</v>
      </c>
      <c r="BL1047" s="17" t="str">
        <f>IF(Audit[[#This Row],[K-M P Value]]&gt;1-'General Info'!$B$12,"Continue", "Stop")</f>
        <v>Continue</v>
      </c>
      <c r="BM1047" s="22" t="b">
        <f>IF(Audit[[#This Row],[Status - Continue or stop audit]] = "Continue", TRUE, IF(BL1046 = "Continue", TRUE, FALSE))</f>
        <v>1</v>
      </c>
      <c r="BN1047" s="22"/>
    </row>
    <row r="1048" spans="1:66" ht="15" hidden="1" customHeight="1" x14ac:dyDescent="0.35">
      <c r="A1048" s="17" t="str">
        <f>'Sampling Data'!AI1048</f>
        <v/>
      </c>
      <c r="B1048" s="17" t="str">
        <f>'Sampling Data'!A1048</f>
        <v>8221 CLEVE A   (ED)</v>
      </c>
      <c r="C1048" s="17">
        <f>'Sampling Data'!B1048</f>
        <v>116</v>
      </c>
      <c r="D1048" s="17">
        <f>'Sampling Data'!C1048</f>
        <v>330</v>
      </c>
      <c r="E1048" s="18">
        <f>'Sampling Data'!D1048</f>
        <v>0</v>
      </c>
      <c r="F1048" s="18">
        <f>'Sampling Data'!E1048</f>
        <v>0</v>
      </c>
      <c r="G1048" s="18">
        <f>'Sampling Data'!F1048</f>
        <v>0</v>
      </c>
      <c r="H1048" s="18">
        <f>'Sampling Data'!G1048</f>
        <v>0</v>
      </c>
      <c r="I1048" s="18">
        <f>'Sampling Data'!H1048</f>
        <v>0</v>
      </c>
      <c r="J1048" s="18">
        <f>'Sampling Data'!I1048</f>
        <v>0</v>
      </c>
      <c r="K1048" s="18">
        <f>'Sampling Data'!J1048</f>
        <v>0</v>
      </c>
      <c r="L1048" s="18">
        <f>'Sampling Data'!K1048</f>
        <v>0</v>
      </c>
      <c r="M1048" s="18">
        <f>'Sampling Data'!L1048</f>
        <v>0</v>
      </c>
      <c r="N1048" s="18">
        <f>'Sampling Data'!M1048</f>
        <v>0</v>
      </c>
      <c r="O1048" s="17">
        <f>'Sampling Data'!N1048</f>
        <v>0</v>
      </c>
      <c r="P1048" s="17">
        <f>'Sampling Data'!O1048</f>
        <v>44</v>
      </c>
      <c r="Q1048" s="17">
        <f>'Sampling Data'!P1048</f>
        <v>490</v>
      </c>
      <c r="R1048" s="17">
        <f>'Sampling Data'!AJ1048</f>
        <v>0</v>
      </c>
      <c r="S1048" s="111"/>
      <c r="T1048" s="111"/>
      <c r="U1048" s="112"/>
      <c r="V1048" s="112"/>
      <c r="W1048" s="111"/>
      <c r="X1048" s="111"/>
      <c r="Y1048" s="111"/>
      <c r="Z1048" s="111"/>
      <c r="AA1048" s="14"/>
      <c r="AB1048" s="14"/>
      <c r="AC1048" s="14"/>
      <c r="AD1048" s="14"/>
      <c r="AE1048" s="113" t="str">
        <f>IF(NOT(ISBLANK(Audit[[#This Row],[Audit Winning Candidate]])), Audit[[#This Row],[Audit Winning Candidate]]-Audit[[#This Row],[Winning Candidate]], "")</f>
        <v/>
      </c>
      <c r="AF1048" s="17" t="str">
        <f>IF(NOT(ISBLANK(Audit[[#This Row],[Audit Losing Candidate]])), Audit[[#This Row],[Audit Losing Candidate]]-Audit[[#This Row],[Losing Candidate]], "")</f>
        <v/>
      </c>
      <c r="AG1048" s="17" t="str">
        <f>IF(NOT(ISBLANK(Audit[[#This Row],[Audit Candidate 3]])), Audit[[#This Row],[Audit Candidate 3]]-Audit[[#This Row],[Candidate 3]], "")</f>
        <v/>
      </c>
      <c r="AH1048" s="17" t="str">
        <f>IF(NOT(ISBLANK(Audit[[#This Row],[Audit Candidate 4]])),Audit[[#This Row],[Audit Candidate 4]]-Audit[[#This Row],[Candidate 4]], "")</f>
        <v/>
      </c>
      <c r="AI1048" s="17" t="str">
        <f>IF(NOT(ISBLANK(Audit[[#This Row],[Audit Candidate 5]])), Audit[[#This Row],[Audit Candidate 5]]-Audit[[#This Row],[Candidate 5]], "")</f>
        <v/>
      </c>
      <c r="AJ1048" s="17" t="str">
        <f>IF(NOT(ISBLANK(Audit[[#This Row],[Audit Candidate 6]])), Audit[[#This Row],[Audit Candidate 6]]-Audit[[#This Row],[Candidate 6]], "")</f>
        <v/>
      </c>
      <c r="AK1048" s="17" t="str">
        <f>IF(NOT(ISBLANK(Audit[[#This Row],[Audit Candidate 7]])), Audit[[#This Row],[Audit Candidate 7]]-Audit[[#This Row],[Candidate 7]], "")</f>
        <v/>
      </c>
      <c r="AL1048" s="17" t="str">
        <f>IF(NOT(ISBLANK(Audit[[#This Row],[Audit Candidate 8]])), Audit[[#This Row],[Audit Candidate 8]]-Audit[[#This Row],[Candidate 8]], "")</f>
        <v/>
      </c>
      <c r="AM1048" s="17" t="str">
        <f>IF(NOT(ISBLANK(Audit[[#This Row],[Audit Candidate 9]])), Audit[[#This Row],[Audit Candidate 9]]-Audit[[#This Row],[Candidate 9]], "")</f>
        <v/>
      </c>
      <c r="AN1048" s="17" t="str">
        <f>IF(NOT(ISBLANK(Audit[[#This Row],[Audit Candidate 10]])), Audit[[#This Row],[Audit Candidate 10]]-Audit[[#This Row],[Candidate 10]], "")</f>
        <v/>
      </c>
      <c r="AO1048" s="17" t="str">
        <f>IF(NOT(ISBLANK(Audit[[#This Row],[Audit Candidate 11]])), Audit[[#This Row],[Audit Candidate 11]]-Audit[[#This Row],[Candidate 11]], "")</f>
        <v/>
      </c>
      <c r="AP1048" s="17" t="str">
        <f>IF(NOT(ISBLANK(Audit[[#This Row],[Audit Candidate 12]])), Audit[[#This Row],[Audit Candidate 12]]-Audit[[#This Row],[Candidate 12]], "")</f>
        <v/>
      </c>
      <c r="AQ1048" s="17">
        <f>SUMIF(Audit[[#This Row],[Difference Winner]:[Difference Candidate 12]], "&gt;0")</f>
        <v>0</v>
      </c>
      <c r="AR1048" s="17">
        <f>SUM(Audit[[#This Row],[Difference Winner]:[Difference Candidate 12]])</f>
        <v>0</v>
      </c>
      <c r="AS1048" s="17">
        <f>IF(Audit[[#This Row],[Times p Drawn - With Replacement]]&gt;0, IF(Audit[[#This Row],[Canceled Differences]]&lt;0, Audit[[#This Row],[Max Differences]]+ABS(Audit[[#This Row],[Canceled Differences]]), Audit[[#This Row],[Max Differences]]), 0)</f>
        <v>0</v>
      </c>
      <c r="AT1048" s="17">
        <f>'Sampling Data'!AB1048</f>
        <v>1.1712782210151079E-2</v>
      </c>
      <c r="AU1048" s="17">
        <f>IF(
      SUM(Audit[[#This Row],[Audit Losing Candidate]:[Audit Candidate 12]])
      &lt;&gt;0,
      (Audit[[#This Row],[Winning Candidate]]-Audit[[#This Row],[Losing Candidate]]-(Audit[[#This Row],[Audit Winning Candidate]]-Audit[[#This Row],[Audit Losing Candidate]]))/(Audit[[#Totals],[Winning Candidate]]-Audit[[#Totals],[Losing Candidate]]),
      0
)</f>
        <v>0</v>
      </c>
      <c r="AV10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8" s="17">
        <f>IF(Audit[[#This Row],[Max Relative Error (ep)]] = 0, 0, Audit[[#This Row],[Max Relative Error (ep)]]/Audit[[#This Row],[Error Bound (up) - Max. possible relative overstatement]])</f>
        <v>0</v>
      </c>
      <c r="BH10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48" s="17">
        <f t="shared" si="17"/>
        <v>1</v>
      </c>
      <c r="BJ1048" s="17">
        <f>PRODUCT($BI$5:BI1048)</f>
        <v>0.13793242319093066</v>
      </c>
      <c r="BK1048" s="19">
        <f>1 - Audit[[#This Row],[K-M P Value]]</f>
        <v>0.86206757680906931</v>
      </c>
      <c r="BL1048" s="17" t="str">
        <f>IF(Audit[[#This Row],[K-M P Value]]&gt;1-'General Info'!$B$12,"Continue", "Stop")</f>
        <v>Continue</v>
      </c>
      <c r="BM1048" s="22" t="b">
        <f>IF(Audit[[#This Row],[Status - Continue or stop audit]] = "Continue", TRUE, IF(BL1047 = "Continue", TRUE, FALSE))</f>
        <v>1</v>
      </c>
      <c r="BN1048" s="22"/>
    </row>
    <row r="1049" spans="1:66" ht="15" hidden="1" customHeight="1" x14ac:dyDescent="0.35">
      <c r="A1049" s="17" t="str">
        <f>'Sampling Data'!AI1049</f>
        <v/>
      </c>
      <c r="B1049" s="17" t="str">
        <f>'Sampling Data'!A1049</f>
        <v>8222 CLEVE B   (ED)</v>
      </c>
      <c r="C1049" s="17">
        <f>'Sampling Data'!B1049</f>
        <v>126</v>
      </c>
      <c r="D1049" s="17">
        <f>'Sampling Data'!C1049</f>
        <v>638</v>
      </c>
      <c r="E1049" s="18">
        <f>'Sampling Data'!D1049</f>
        <v>0</v>
      </c>
      <c r="F1049" s="18">
        <f>'Sampling Data'!E1049</f>
        <v>0</v>
      </c>
      <c r="G1049" s="18">
        <f>'Sampling Data'!F1049</f>
        <v>0</v>
      </c>
      <c r="H1049" s="18">
        <f>'Sampling Data'!G1049</f>
        <v>0</v>
      </c>
      <c r="I1049" s="18">
        <f>'Sampling Data'!H1049</f>
        <v>0</v>
      </c>
      <c r="J1049" s="18">
        <f>'Sampling Data'!I1049</f>
        <v>0</v>
      </c>
      <c r="K1049" s="18">
        <f>'Sampling Data'!J1049</f>
        <v>0</v>
      </c>
      <c r="L1049" s="18">
        <f>'Sampling Data'!K1049</f>
        <v>0</v>
      </c>
      <c r="M1049" s="18">
        <f>'Sampling Data'!L1049</f>
        <v>0</v>
      </c>
      <c r="N1049" s="18">
        <f>'Sampling Data'!M1049</f>
        <v>0</v>
      </c>
      <c r="O1049" s="17">
        <f>'Sampling Data'!N1049</f>
        <v>0</v>
      </c>
      <c r="P1049" s="17">
        <f>'Sampling Data'!O1049</f>
        <v>50</v>
      </c>
      <c r="Q1049" s="17">
        <f>'Sampling Data'!P1049</f>
        <v>814</v>
      </c>
      <c r="R1049" s="17">
        <f>'Sampling Data'!AJ1049</f>
        <v>0</v>
      </c>
      <c r="S1049" s="111"/>
      <c r="T1049" s="111"/>
      <c r="U1049" s="112"/>
      <c r="V1049" s="112"/>
      <c r="W1049" s="111"/>
      <c r="X1049" s="111"/>
      <c r="Y1049" s="111"/>
      <c r="Z1049" s="111"/>
      <c r="AA1049" s="14"/>
      <c r="AB1049" s="14"/>
      <c r="AC1049" s="14"/>
      <c r="AD1049" s="14"/>
      <c r="AE1049" s="113" t="str">
        <f>IF(NOT(ISBLANK(Audit[[#This Row],[Audit Winning Candidate]])), Audit[[#This Row],[Audit Winning Candidate]]-Audit[[#This Row],[Winning Candidate]], "")</f>
        <v/>
      </c>
      <c r="AF1049" s="17" t="str">
        <f>IF(NOT(ISBLANK(Audit[[#This Row],[Audit Losing Candidate]])), Audit[[#This Row],[Audit Losing Candidate]]-Audit[[#This Row],[Losing Candidate]], "")</f>
        <v/>
      </c>
      <c r="AG1049" s="17" t="str">
        <f>IF(NOT(ISBLANK(Audit[[#This Row],[Audit Candidate 3]])), Audit[[#This Row],[Audit Candidate 3]]-Audit[[#This Row],[Candidate 3]], "")</f>
        <v/>
      </c>
      <c r="AH1049" s="17" t="str">
        <f>IF(NOT(ISBLANK(Audit[[#This Row],[Audit Candidate 4]])),Audit[[#This Row],[Audit Candidate 4]]-Audit[[#This Row],[Candidate 4]], "")</f>
        <v/>
      </c>
      <c r="AI1049" s="17" t="str">
        <f>IF(NOT(ISBLANK(Audit[[#This Row],[Audit Candidate 5]])), Audit[[#This Row],[Audit Candidate 5]]-Audit[[#This Row],[Candidate 5]], "")</f>
        <v/>
      </c>
      <c r="AJ1049" s="17" t="str">
        <f>IF(NOT(ISBLANK(Audit[[#This Row],[Audit Candidate 6]])), Audit[[#This Row],[Audit Candidate 6]]-Audit[[#This Row],[Candidate 6]], "")</f>
        <v/>
      </c>
      <c r="AK1049" s="17" t="str">
        <f>IF(NOT(ISBLANK(Audit[[#This Row],[Audit Candidate 7]])), Audit[[#This Row],[Audit Candidate 7]]-Audit[[#This Row],[Candidate 7]], "")</f>
        <v/>
      </c>
      <c r="AL1049" s="17" t="str">
        <f>IF(NOT(ISBLANK(Audit[[#This Row],[Audit Candidate 8]])), Audit[[#This Row],[Audit Candidate 8]]-Audit[[#This Row],[Candidate 8]], "")</f>
        <v/>
      </c>
      <c r="AM1049" s="17" t="str">
        <f>IF(NOT(ISBLANK(Audit[[#This Row],[Audit Candidate 9]])), Audit[[#This Row],[Audit Candidate 9]]-Audit[[#This Row],[Candidate 9]], "")</f>
        <v/>
      </c>
      <c r="AN1049" s="17" t="str">
        <f>IF(NOT(ISBLANK(Audit[[#This Row],[Audit Candidate 10]])), Audit[[#This Row],[Audit Candidate 10]]-Audit[[#This Row],[Candidate 10]], "")</f>
        <v/>
      </c>
      <c r="AO1049" s="17" t="str">
        <f>IF(NOT(ISBLANK(Audit[[#This Row],[Audit Candidate 11]])), Audit[[#This Row],[Audit Candidate 11]]-Audit[[#This Row],[Candidate 11]], "")</f>
        <v/>
      </c>
      <c r="AP1049" s="17" t="str">
        <f>IF(NOT(ISBLANK(Audit[[#This Row],[Audit Candidate 12]])), Audit[[#This Row],[Audit Candidate 12]]-Audit[[#This Row],[Candidate 12]], "")</f>
        <v/>
      </c>
      <c r="AQ1049" s="17">
        <f>SUMIF(Audit[[#This Row],[Difference Winner]:[Difference Candidate 12]], "&gt;0")</f>
        <v>0</v>
      </c>
      <c r="AR1049" s="17">
        <f>SUM(Audit[[#This Row],[Difference Winner]:[Difference Candidate 12]])</f>
        <v>0</v>
      </c>
      <c r="AS1049" s="17">
        <f>IF(Audit[[#This Row],[Times p Drawn - With Replacement]]&gt;0, IF(Audit[[#This Row],[Canceled Differences]]&lt;0, Audit[[#This Row],[Max Differences]]+ABS(Audit[[#This Row],[Canceled Differences]]), Audit[[#This Row],[Max Differences]]), 0)</f>
        <v>0</v>
      </c>
      <c r="AT1049" s="17">
        <f>'Sampling Data'!AB1049</f>
        <v>1.2816160244440673E-2</v>
      </c>
      <c r="AU1049" s="17">
        <f>IF(
      SUM(Audit[[#This Row],[Audit Losing Candidate]:[Audit Candidate 12]])
      &lt;&gt;0,
      (Audit[[#This Row],[Winning Candidate]]-Audit[[#This Row],[Losing Candidate]]-(Audit[[#This Row],[Audit Winning Candidate]]-Audit[[#This Row],[Audit Losing Candidate]]))/(Audit[[#Totals],[Winning Candidate]]-Audit[[#Totals],[Losing Candidate]]),
      0
)</f>
        <v>0</v>
      </c>
      <c r="AV10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9" s="17">
        <f>IF(Audit[[#This Row],[Max Relative Error (ep)]] = 0, 0, Audit[[#This Row],[Max Relative Error (ep)]]/Audit[[#This Row],[Error Bound (up) - Max. possible relative overstatement]])</f>
        <v>0</v>
      </c>
      <c r="BH10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49" s="17">
        <f t="shared" si="17"/>
        <v>1</v>
      </c>
      <c r="BJ1049" s="17">
        <f>PRODUCT($BI$5:BI1049)</f>
        <v>0.13793242319093066</v>
      </c>
      <c r="BK1049" s="19">
        <f>1 - Audit[[#This Row],[K-M P Value]]</f>
        <v>0.86206757680906931</v>
      </c>
      <c r="BL1049" s="17" t="str">
        <f>IF(Audit[[#This Row],[K-M P Value]]&gt;1-'General Info'!$B$12,"Continue", "Stop")</f>
        <v>Continue</v>
      </c>
      <c r="BM1049" s="22" t="b">
        <f>IF(Audit[[#This Row],[Status - Continue or stop audit]] = "Continue", TRUE, IF(BL1048 = "Continue", TRUE, FALSE))</f>
        <v>1</v>
      </c>
      <c r="BN1049" s="22"/>
    </row>
    <row r="1050" spans="1:66" ht="15" hidden="1" customHeight="1" x14ac:dyDescent="0.35">
      <c r="A1050" s="17" t="str">
        <f>'Sampling Data'!AI1050</f>
        <v/>
      </c>
      <c r="B1050" s="17" t="str">
        <f>'Sampling Data'!A1050</f>
        <v>8231 NO BEND A   (ED)</v>
      </c>
      <c r="C1050" s="17">
        <f>'Sampling Data'!B1050</f>
        <v>59</v>
      </c>
      <c r="D1050" s="17">
        <f>'Sampling Data'!C1050</f>
        <v>339</v>
      </c>
      <c r="E1050" s="18">
        <f>'Sampling Data'!D1050</f>
        <v>0</v>
      </c>
      <c r="F1050" s="18">
        <f>'Sampling Data'!E1050</f>
        <v>0</v>
      </c>
      <c r="G1050" s="18">
        <f>'Sampling Data'!F1050</f>
        <v>0</v>
      </c>
      <c r="H1050" s="18">
        <f>'Sampling Data'!G1050</f>
        <v>0</v>
      </c>
      <c r="I1050" s="18">
        <f>'Sampling Data'!H1050</f>
        <v>0</v>
      </c>
      <c r="J1050" s="18">
        <f>'Sampling Data'!I1050</f>
        <v>0</v>
      </c>
      <c r="K1050" s="18">
        <f>'Sampling Data'!J1050</f>
        <v>0</v>
      </c>
      <c r="L1050" s="18">
        <f>'Sampling Data'!K1050</f>
        <v>0</v>
      </c>
      <c r="M1050" s="18">
        <f>'Sampling Data'!L1050</f>
        <v>0</v>
      </c>
      <c r="N1050" s="18">
        <f>'Sampling Data'!M1050</f>
        <v>0</v>
      </c>
      <c r="O1050" s="17">
        <f>'Sampling Data'!N1050</f>
        <v>0</v>
      </c>
      <c r="P1050" s="17">
        <f>'Sampling Data'!O1050</f>
        <v>28</v>
      </c>
      <c r="Q1050" s="17">
        <f>'Sampling Data'!P1050</f>
        <v>426</v>
      </c>
      <c r="R1050" s="17">
        <f>'Sampling Data'!AJ1050</f>
        <v>0</v>
      </c>
      <c r="S1050" s="111"/>
      <c r="T1050" s="111"/>
      <c r="U1050" s="112"/>
      <c r="V1050" s="112"/>
      <c r="W1050" s="111"/>
      <c r="X1050" s="111"/>
      <c r="Y1050" s="111"/>
      <c r="Z1050" s="111"/>
      <c r="AA1050" s="14"/>
      <c r="AB1050" s="14"/>
      <c r="AC1050" s="14"/>
      <c r="AD1050" s="14"/>
      <c r="AE1050" s="113" t="str">
        <f>IF(NOT(ISBLANK(Audit[[#This Row],[Audit Winning Candidate]])), Audit[[#This Row],[Audit Winning Candidate]]-Audit[[#This Row],[Winning Candidate]], "")</f>
        <v/>
      </c>
      <c r="AF1050" s="17" t="str">
        <f>IF(NOT(ISBLANK(Audit[[#This Row],[Audit Losing Candidate]])), Audit[[#This Row],[Audit Losing Candidate]]-Audit[[#This Row],[Losing Candidate]], "")</f>
        <v/>
      </c>
      <c r="AG1050" s="17" t="str">
        <f>IF(NOT(ISBLANK(Audit[[#This Row],[Audit Candidate 3]])), Audit[[#This Row],[Audit Candidate 3]]-Audit[[#This Row],[Candidate 3]], "")</f>
        <v/>
      </c>
      <c r="AH1050" s="17" t="str">
        <f>IF(NOT(ISBLANK(Audit[[#This Row],[Audit Candidate 4]])),Audit[[#This Row],[Audit Candidate 4]]-Audit[[#This Row],[Candidate 4]], "")</f>
        <v/>
      </c>
      <c r="AI1050" s="17" t="str">
        <f>IF(NOT(ISBLANK(Audit[[#This Row],[Audit Candidate 5]])), Audit[[#This Row],[Audit Candidate 5]]-Audit[[#This Row],[Candidate 5]], "")</f>
        <v/>
      </c>
      <c r="AJ1050" s="17" t="str">
        <f>IF(NOT(ISBLANK(Audit[[#This Row],[Audit Candidate 6]])), Audit[[#This Row],[Audit Candidate 6]]-Audit[[#This Row],[Candidate 6]], "")</f>
        <v/>
      </c>
      <c r="AK1050" s="17" t="str">
        <f>IF(NOT(ISBLANK(Audit[[#This Row],[Audit Candidate 7]])), Audit[[#This Row],[Audit Candidate 7]]-Audit[[#This Row],[Candidate 7]], "")</f>
        <v/>
      </c>
      <c r="AL1050" s="17" t="str">
        <f>IF(NOT(ISBLANK(Audit[[#This Row],[Audit Candidate 8]])), Audit[[#This Row],[Audit Candidate 8]]-Audit[[#This Row],[Candidate 8]], "")</f>
        <v/>
      </c>
      <c r="AM1050" s="17" t="str">
        <f>IF(NOT(ISBLANK(Audit[[#This Row],[Audit Candidate 9]])), Audit[[#This Row],[Audit Candidate 9]]-Audit[[#This Row],[Candidate 9]], "")</f>
        <v/>
      </c>
      <c r="AN1050" s="17" t="str">
        <f>IF(NOT(ISBLANK(Audit[[#This Row],[Audit Candidate 10]])), Audit[[#This Row],[Audit Candidate 10]]-Audit[[#This Row],[Candidate 10]], "")</f>
        <v/>
      </c>
      <c r="AO1050" s="17" t="str">
        <f>IF(NOT(ISBLANK(Audit[[#This Row],[Audit Candidate 11]])), Audit[[#This Row],[Audit Candidate 11]]-Audit[[#This Row],[Candidate 11]], "")</f>
        <v/>
      </c>
      <c r="AP1050" s="17" t="str">
        <f>IF(NOT(ISBLANK(Audit[[#This Row],[Audit Candidate 12]])), Audit[[#This Row],[Audit Candidate 12]]-Audit[[#This Row],[Candidate 12]], "")</f>
        <v/>
      </c>
      <c r="AQ1050" s="17">
        <f>SUMIF(Audit[[#This Row],[Difference Winner]:[Difference Candidate 12]], "&gt;0")</f>
        <v>0</v>
      </c>
      <c r="AR1050" s="17">
        <f>SUM(Audit[[#This Row],[Difference Winner]:[Difference Candidate 12]])</f>
        <v>0</v>
      </c>
      <c r="AS1050" s="17">
        <f>IF(Audit[[#This Row],[Times p Drawn - With Replacement]]&gt;0, IF(Audit[[#This Row],[Canceled Differences]]&lt;0, Audit[[#This Row],[Max Differences]]+ABS(Audit[[#This Row],[Canceled Differences]]), Audit[[#This Row],[Max Differences]]), 0)</f>
        <v>0</v>
      </c>
      <c r="AT1050" s="17">
        <f>'Sampling Data'!AB1050</f>
        <v>6.1958920387031064E-3</v>
      </c>
      <c r="AU1050" s="17">
        <f>IF(
      SUM(Audit[[#This Row],[Audit Losing Candidate]:[Audit Candidate 12]])
      &lt;&gt;0,
      (Audit[[#This Row],[Winning Candidate]]-Audit[[#This Row],[Losing Candidate]]-(Audit[[#This Row],[Audit Winning Candidate]]-Audit[[#This Row],[Audit Losing Candidate]]))/(Audit[[#Totals],[Winning Candidate]]-Audit[[#Totals],[Losing Candidate]]),
      0
)</f>
        <v>0</v>
      </c>
      <c r="AV10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0" s="17">
        <f>IF(Audit[[#This Row],[Max Relative Error (ep)]] = 0, 0, Audit[[#This Row],[Max Relative Error (ep)]]/Audit[[#This Row],[Error Bound (up) - Max. possible relative overstatement]])</f>
        <v>0</v>
      </c>
      <c r="BH10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50" s="17">
        <f t="shared" si="17"/>
        <v>1</v>
      </c>
      <c r="BJ1050" s="17">
        <f>PRODUCT($BI$5:BI1050)</f>
        <v>0.13793242319093066</v>
      </c>
      <c r="BK1050" s="19">
        <f>1 - Audit[[#This Row],[K-M P Value]]</f>
        <v>0.86206757680906931</v>
      </c>
      <c r="BL1050" s="17" t="str">
        <f>IF(Audit[[#This Row],[K-M P Value]]&gt;1-'General Info'!$B$12,"Continue", "Stop")</f>
        <v>Continue</v>
      </c>
      <c r="BM1050" s="22" t="b">
        <f>IF(Audit[[#This Row],[Status - Continue or stop audit]] = "Continue", TRUE, IF(BL1049 = "Continue", TRUE, FALSE))</f>
        <v>1</v>
      </c>
      <c r="BN1050" s="22"/>
    </row>
    <row r="1051" spans="1:66" ht="15" hidden="1" customHeight="1" x14ac:dyDescent="0.35">
      <c r="A1051" s="17" t="str">
        <f>'Sampling Data'!AI1051</f>
        <v/>
      </c>
      <c r="B1051" s="17" t="str">
        <f>'Sampling Data'!A1051</f>
        <v>8301 MIAMI A   (ED)</v>
      </c>
      <c r="C1051" s="17">
        <f>'Sampling Data'!B1051</f>
        <v>115</v>
      </c>
      <c r="D1051" s="17">
        <f>'Sampling Data'!C1051</f>
        <v>569</v>
      </c>
      <c r="E1051" s="18">
        <f>'Sampling Data'!D1051</f>
        <v>0</v>
      </c>
      <c r="F1051" s="18">
        <f>'Sampling Data'!E1051</f>
        <v>0</v>
      </c>
      <c r="G1051" s="18">
        <f>'Sampling Data'!F1051</f>
        <v>0</v>
      </c>
      <c r="H1051" s="18">
        <f>'Sampling Data'!G1051</f>
        <v>0</v>
      </c>
      <c r="I1051" s="18">
        <f>'Sampling Data'!H1051</f>
        <v>0</v>
      </c>
      <c r="J1051" s="18">
        <f>'Sampling Data'!I1051</f>
        <v>0</v>
      </c>
      <c r="K1051" s="18">
        <f>'Sampling Data'!J1051</f>
        <v>0</v>
      </c>
      <c r="L1051" s="18">
        <f>'Sampling Data'!K1051</f>
        <v>0</v>
      </c>
      <c r="M1051" s="18">
        <f>'Sampling Data'!L1051</f>
        <v>0</v>
      </c>
      <c r="N1051" s="18">
        <f>'Sampling Data'!M1051</f>
        <v>0</v>
      </c>
      <c r="O1051" s="17">
        <f>'Sampling Data'!N1051</f>
        <v>1</v>
      </c>
      <c r="P1051" s="17">
        <f>'Sampling Data'!O1051</f>
        <v>52</v>
      </c>
      <c r="Q1051" s="17">
        <f>'Sampling Data'!P1051</f>
        <v>737</v>
      </c>
      <c r="R1051" s="17">
        <f>'Sampling Data'!AJ1051</f>
        <v>0</v>
      </c>
      <c r="S1051" s="111"/>
      <c r="T1051" s="111"/>
      <c r="U1051" s="112"/>
      <c r="V1051" s="112"/>
      <c r="W1051" s="111"/>
      <c r="X1051" s="111"/>
      <c r="Y1051" s="111"/>
      <c r="Z1051" s="111"/>
      <c r="AA1051" s="14"/>
      <c r="AB1051" s="14"/>
      <c r="AC1051" s="14"/>
      <c r="AD1051" s="14"/>
      <c r="AE1051" s="113" t="str">
        <f>IF(NOT(ISBLANK(Audit[[#This Row],[Audit Winning Candidate]])), Audit[[#This Row],[Audit Winning Candidate]]-Audit[[#This Row],[Winning Candidate]], "")</f>
        <v/>
      </c>
      <c r="AF1051" s="17" t="str">
        <f>IF(NOT(ISBLANK(Audit[[#This Row],[Audit Losing Candidate]])), Audit[[#This Row],[Audit Losing Candidate]]-Audit[[#This Row],[Losing Candidate]], "")</f>
        <v/>
      </c>
      <c r="AG1051" s="17" t="str">
        <f>IF(NOT(ISBLANK(Audit[[#This Row],[Audit Candidate 3]])), Audit[[#This Row],[Audit Candidate 3]]-Audit[[#This Row],[Candidate 3]], "")</f>
        <v/>
      </c>
      <c r="AH1051" s="17" t="str">
        <f>IF(NOT(ISBLANK(Audit[[#This Row],[Audit Candidate 4]])),Audit[[#This Row],[Audit Candidate 4]]-Audit[[#This Row],[Candidate 4]], "")</f>
        <v/>
      </c>
      <c r="AI1051" s="17" t="str">
        <f>IF(NOT(ISBLANK(Audit[[#This Row],[Audit Candidate 5]])), Audit[[#This Row],[Audit Candidate 5]]-Audit[[#This Row],[Candidate 5]], "")</f>
        <v/>
      </c>
      <c r="AJ1051" s="17" t="str">
        <f>IF(NOT(ISBLANK(Audit[[#This Row],[Audit Candidate 6]])), Audit[[#This Row],[Audit Candidate 6]]-Audit[[#This Row],[Candidate 6]], "")</f>
        <v/>
      </c>
      <c r="AK1051" s="17" t="str">
        <f>IF(NOT(ISBLANK(Audit[[#This Row],[Audit Candidate 7]])), Audit[[#This Row],[Audit Candidate 7]]-Audit[[#This Row],[Candidate 7]], "")</f>
        <v/>
      </c>
      <c r="AL1051" s="17" t="str">
        <f>IF(NOT(ISBLANK(Audit[[#This Row],[Audit Candidate 8]])), Audit[[#This Row],[Audit Candidate 8]]-Audit[[#This Row],[Candidate 8]], "")</f>
        <v/>
      </c>
      <c r="AM1051" s="17" t="str">
        <f>IF(NOT(ISBLANK(Audit[[#This Row],[Audit Candidate 9]])), Audit[[#This Row],[Audit Candidate 9]]-Audit[[#This Row],[Candidate 9]], "")</f>
        <v/>
      </c>
      <c r="AN1051" s="17" t="str">
        <f>IF(NOT(ISBLANK(Audit[[#This Row],[Audit Candidate 10]])), Audit[[#This Row],[Audit Candidate 10]]-Audit[[#This Row],[Candidate 10]], "")</f>
        <v/>
      </c>
      <c r="AO1051" s="17" t="str">
        <f>IF(NOT(ISBLANK(Audit[[#This Row],[Audit Candidate 11]])), Audit[[#This Row],[Audit Candidate 11]]-Audit[[#This Row],[Candidate 11]], "")</f>
        <v/>
      </c>
      <c r="AP1051" s="17" t="str">
        <f>IF(NOT(ISBLANK(Audit[[#This Row],[Audit Candidate 12]])), Audit[[#This Row],[Audit Candidate 12]]-Audit[[#This Row],[Candidate 12]], "")</f>
        <v/>
      </c>
      <c r="AQ1051" s="17">
        <f>SUMIF(Audit[[#This Row],[Difference Winner]:[Difference Candidate 12]], "&gt;0")</f>
        <v>0</v>
      </c>
      <c r="AR1051" s="17">
        <f>SUM(Audit[[#This Row],[Difference Winner]:[Difference Candidate 12]])</f>
        <v>0</v>
      </c>
      <c r="AS1051" s="17">
        <f>IF(Audit[[#This Row],[Times p Drawn - With Replacement]]&gt;0, IF(Audit[[#This Row],[Canceled Differences]]&lt;0, Audit[[#This Row],[Max Differences]]+ABS(Audit[[#This Row],[Canceled Differences]]), Audit[[#This Row],[Max Differences]]), 0)</f>
        <v>0</v>
      </c>
      <c r="AT1051" s="17">
        <f>'Sampling Data'!AB1051</f>
        <v>1.2009845527075199E-2</v>
      </c>
      <c r="AU1051" s="17">
        <f>IF(
      SUM(Audit[[#This Row],[Audit Losing Candidate]:[Audit Candidate 12]])
      &lt;&gt;0,
      (Audit[[#This Row],[Winning Candidate]]-Audit[[#This Row],[Losing Candidate]]-(Audit[[#This Row],[Audit Winning Candidate]]-Audit[[#This Row],[Audit Losing Candidate]]))/(Audit[[#Totals],[Winning Candidate]]-Audit[[#Totals],[Losing Candidate]]),
      0
)</f>
        <v>0</v>
      </c>
      <c r="AV10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1" s="17">
        <f>IF(Audit[[#This Row],[Max Relative Error (ep)]] = 0, 0, Audit[[#This Row],[Max Relative Error (ep)]]/Audit[[#This Row],[Error Bound (up) - Max. possible relative overstatement]])</f>
        <v>0</v>
      </c>
      <c r="BH10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51" s="17">
        <f t="shared" si="17"/>
        <v>1</v>
      </c>
      <c r="BJ1051" s="17">
        <f>PRODUCT($BI$5:BI1051)</f>
        <v>0.13793242319093066</v>
      </c>
      <c r="BK1051" s="19">
        <f>1 - Audit[[#This Row],[K-M P Value]]</f>
        <v>0.86206757680906931</v>
      </c>
      <c r="BL1051" s="17" t="str">
        <f>IF(Audit[[#This Row],[K-M P Value]]&gt;1-'General Info'!$B$12,"Continue", "Stop")</f>
        <v>Continue</v>
      </c>
      <c r="BM1051" s="22" t="b">
        <f>IF(Audit[[#This Row],[Status - Continue or stop audit]] = "Continue", TRUE, IF(BL1050 = "Continue", TRUE, FALSE))</f>
        <v>1</v>
      </c>
      <c r="BN1051" s="22"/>
    </row>
    <row r="1052" spans="1:66" ht="15" hidden="1" customHeight="1" x14ac:dyDescent="0.35">
      <c r="A1052" s="17" t="str">
        <f>'Sampling Data'!AI1052</f>
        <v/>
      </c>
      <c r="B1052" s="17" t="str">
        <f>'Sampling Data'!A1052</f>
        <v>8302 MIAMI B   (ED)</v>
      </c>
      <c r="C1052" s="17">
        <f>'Sampling Data'!B1052</f>
        <v>86</v>
      </c>
      <c r="D1052" s="17">
        <f>'Sampling Data'!C1052</f>
        <v>677</v>
      </c>
      <c r="E1052" s="18">
        <f>'Sampling Data'!D1052</f>
        <v>0</v>
      </c>
      <c r="F1052" s="18">
        <f>'Sampling Data'!E1052</f>
        <v>0</v>
      </c>
      <c r="G1052" s="18">
        <f>'Sampling Data'!F1052</f>
        <v>0</v>
      </c>
      <c r="H1052" s="18">
        <f>'Sampling Data'!G1052</f>
        <v>0</v>
      </c>
      <c r="I1052" s="18">
        <f>'Sampling Data'!H1052</f>
        <v>0</v>
      </c>
      <c r="J1052" s="18">
        <f>'Sampling Data'!I1052</f>
        <v>0</v>
      </c>
      <c r="K1052" s="18">
        <f>'Sampling Data'!J1052</f>
        <v>0</v>
      </c>
      <c r="L1052" s="18">
        <f>'Sampling Data'!K1052</f>
        <v>0</v>
      </c>
      <c r="M1052" s="18">
        <f>'Sampling Data'!L1052</f>
        <v>0</v>
      </c>
      <c r="N1052" s="18">
        <f>'Sampling Data'!M1052</f>
        <v>0</v>
      </c>
      <c r="O1052" s="17">
        <f>'Sampling Data'!N1052</f>
        <v>0</v>
      </c>
      <c r="P1052" s="17">
        <f>'Sampling Data'!O1052</f>
        <v>52</v>
      </c>
      <c r="Q1052" s="17">
        <f>'Sampling Data'!P1052</f>
        <v>815</v>
      </c>
      <c r="R1052" s="17">
        <f>'Sampling Data'!AJ1052</f>
        <v>0</v>
      </c>
      <c r="S1052" s="111"/>
      <c r="T1052" s="111"/>
      <c r="U1052" s="112"/>
      <c r="V1052" s="112"/>
      <c r="W1052" s="111"/>
      <c r="X1052" s="111"/>
      <c r="Y1052" s="111"/>
      <c r="Z1052" s="111"/>
      <c r="AA1052" s="14"/>
      <c r="AB1052" s="14"/>
      <c r="AC1052" s="14"/>
      <c r="AD1052" s="14"/>
      <c r="AE1052" s="113" t="str">
        <f>IF(NOT(ISBLANK(Audit[[#This Row],[Audit Winning Candidate]])), Audit[[#This Row],[Audit Winning Candidate]]-Audit[[#This Row],[Winning Candidate]], "")</f>
        <v/>
      </c>
      <c r="AF1052" s="17" t="str">
        <f>IF(NOT(ISBLANK(Audit[[#This Row],[Audit Losing Candidate]])), Audit[[#This Row],[Audit Losing Candidate]]-Audit[[#This Row],[Losing Candidate]], "")</f>
        <v/>
      </c>
      <c r="AG1052" s="17" t="str">
        <f>IF(NOT(ISBLANK(Audit[[#This Row],[Audit Candidate 3]])), Audit[[#This Row],[Audit Candidate 3]]-Audit[[#This Row],[Candidate 3]], "")</f>
        <v/>
      </c>
      <c r="AH1052" s="17" t="str">
        <f>IF(NOT(ISBLANK(Audit[[#This Row],[Audit Candidate 4]])),Audit[[#This Row],[Audit Candidate 4]]-Audit[[#This Row],[Candidate 4]], "")</f>
        <v/>
      </c>
      <c r="AI1052" s="17" t="str">
        <f>IF(NOT(ISBLANK(Audit[[#This Row],[Audit Candidate 5]])), Audit[[#This Row],[Audit Candidate 5]]-Audit[[#This Row],[Candidate 5]], "")</f>
        <v/>
      </c>
      <c r="AJ1052" s="17" t="str">
        <f>IF(NOT(ISBLANK(Audit[[#This Row],[Audit Candidate 6]])), Audit[[#This Row],[Audit Candidate 6]]-Audit[[#This Row],[Candidate 6]], "")</f>
        <v/>
      </c>
      <c r="AK1052" s="17" t="str">
        <f>IF(NOT(ISBLANK(Audit[[#This Row],[Audit Candidate 7]])), Audit[[#This Row],[Audit Candidate 7]]-Audit[[#This Row],[Candidate 7]], "")</f>
        <v/>
      </c>
      <c r="AL1052" s="17" t="str">
        <f>IF(NOT(ISBLANK(Audit[[#This Row],[Audit Candidate 8]])), Audit[[#This Row],[Audit Candidate 8]]-Audit[[#This Row],[Candidate 8]], "")</f>
        <v/>
      </c>
      <c r="AM1052" s="17" t="str">
        <f>IF(NOT(ISBLANK(Audit[[#This Row],[Audit Candidate 9]])), Audit[[#This Row],[Audit Candidate 9]]-Audit[[#This Row],[Candidate 9]], "")</f>
        <v/>
      </c>
      <c r="AN1052" s="17" t="str">
        <f>IF(NOT(ISBLANK(Audit[[#This Row],[Audit Candidate 10]])), Audit[[#This Row],[Audit Candidate 10]]-Audit[[#This Row],[Candidate 10]], "")</f>
        <v/>
      </c>
      <c r="AO1052" s="17" t="str">
        <f>IF(NOT(ISBLANK(Audit[[#This Row],[Audit Candidate 11]])), Audit[[#This Row],[Audit Candidate 11]]-Audit[[#This Row],[Candidate 11]], "")</f>
        <v/>
      </c>
      <c r="AP1052" s="17" t="str">
        <f>IF(NOT(ISBLANK(Audit[[#This Row],[Audit Candidate 12]])), Audit[[#This Row],[Audit Candidate 12]]-Audit[[#This Row],[Candidate 12]], "")</f>
        <v/>
      </c>
      <c r="AQ1052" s="17">
        <f>SUMIF(Audit[[#This Row],[Difference Winner]:[Difference Candidate 12]], "&gt;0")</f>
        <v>0</v>
      </c>
      <c r="AR1052" s="17">
        <f>SUM(Audit[[#This Row],[Difference Winner]:[Difference Candidate 12]])</f>
        <v>0</v>
      </c>
      <c r="AS1052" s="17">
        <f>IF(Audit[[#This Row],[Times p Drawn - With Replacement]]&gt;0, IF(Audit[[#This Row],[Canceled Differences]]&lt;0, Audit[[#This Row],[Max Differences]]+ABS(Audit[[#This Row],[Canceled Differences]]), Audit[[#This Row],[Max Differences]]), 0)</f>
        <v>0</v>
      </c>
      <c r="AT1052" s="17">
        <f>'Sampling Data'!AB1052</f>
        <v>9.5060261415718886E-3</v>
      </c>
      <c r="AU1052" s="17">
        <f>IF(
      SUM(Audit[[#This Row],[Audit Losing Candidate]:[Audit Candidate 12]])
      &lt;&gt;0,
      (Audit[[#This Row],[Winning Candidate]]-Audit[[#This Row],[Losing Candidate]]-(Audit[[#This Row],[Audit Winning Candidate]]-Audit[[#This Row],[Audit Losing Candidate]]))/(Audit[[#Totals],[Winning Candidate]]-Audit[[#Totals],[Losing Candidate]]),
      0
)</f>
        <v>0</v>
      </c>
      <c r="AV10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2" s="17">
        <f>IF(Audit[[#This Row],[Max Relative Error (ep)]] = 0, 0, Audit[[#This Row],[Max Relative Error (ep)]]/Audit[[#This Row],[Error Bound (up) - Max. possible relative overstatement]])</f>
        <v>0</v>
      </c>
      <c r="BH10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52" s="17">
        <f t="shared" si="17"/>
        <v>1</v>
      </c>
      <c r="BJ1052" s="17">
        <f>PRODUCT($BI$5:BI1052)</f>
        <v>0.13793242319093066</v>
      </c>
      <c r="BK1052" s="19">
        <f>1 - Audit[[#This Row],[K-M P Value]]</f>
        <v>0.86206757680906931</v>
      </c>
      <c r="BL1052" s="17" t="str">
        <f>IF(Audit[[#This Row],[K-M P Value]]&gt;1-'General Info'!$B$12,"Continue", "Stop")</f>
        <v>Continue</v>
      </c>
      <c r="BM1052" s="22" t="b">
        <f>IF(Audit[[#This Row],[Status - Continue or stop audit]] = "Continue", TRUE, IF(BL1051 = "Continue", TRUE, FALSE))</f>
        <v>1</v>
      </c>
      <c r="BN1052" s="22"/>
    </row>
    <row r="1053" spans="1:66" ht="15" hidden="1" customHeight="1" x14ac:dyDescent="0.35">
      <c r="A1053" s="17" t="str">
        <f>'Sampling Data'!AI1053</f>
        <v/>
      </c>
      <c r="B1053" s="17" t="str">
        <f>'Sampling Data'!A1053</f>
        <v>8303 MIAMI C   (ED)</v>
      </c>
      <c r="C1053" s="17">
        <f>'Sampling Data'!B1053</f>
        <v>74</v>
      </c>
      <c r="D1053" s="17">
        <f>'Sampling Data'!C1053</f>
        <v>490</v>
      </c>
      <c r="E1053" s="18">
        <f>'Sampling Data'!D1053</f>
        <v>0</v>
      </c>
      <c r="F1053" s="18">
        <f>'Sampling Data'!E1053</f>
        <v>0</v>
      </c>
      <c r="G1053" s="18">
        <f>'Sampling Data'!F1053</f>
        <v>0</v>
      </c>
      <c r="H1053" s="18">
        <f>'Sampling Data'!G1053</f>
        <v>0</v>
      </c>
      <c r="I1053" s="18">
        <f>'Sampling Data'!H1053</f>
        <v>0</v>
      </c>
      <c r="J1053" s="18">
        <f>'Sampling Data'!I1053</f>
        <v>0</v>
      </c>
      <c r="K1053" s="18">
        <f>'Sampling Data'!J1053</f>
        <v>0</v>
      </c>
      <c r="L1053" s="18">
        <f>'Sampling Data'!K1053</f>
        <v>0</v>
      </c>
      <c r="M1053" s="18">
        <f>'Sampling Data'!L1053</f>
        <v>0</v>
      </c>
      <c r="N1053" s="18">
        <f>'Sampling Data'!M1053</f>
        <v>0</v>
      </c>
      <c r="O1053" s="17">
        <f>'Sampling Data'!N1053</f>
        <v>0</v>
      </c>
      <c r="P1053" s="17">
        <f>'Sampling Data'!O1053</f>
        <v>52</v>
      </c>
      <c r="Q1053" s="17">
        <f>'Sampling Data'!P1053</f>
        <v>616</v>
      </c>
      <c r="R1053" s="17">
        <f>'Sampling Data'!AJ1053</f>
        <v>0</v>
      </c>
      <c r="S1053" s="111"/>
      <c r="T1053" s="111"/>
      <c r="U1053" s="112"/>
      <c r="V1053" s="112"/>
      <c r="W1053" s="111"/>
      <c r="X1053" s="111"/>
      <c r="Y1053" s="111"/>
      <c r="Z1053" s="111"/>
      <c r="AA1053" s="14"/>
      <c r="AB1053" s="14"/>
      <c r="AC1053" s="14"/>
      <c r="AD1053" s="14"/>
      <c r="AE1053" s="113" t="str">
        <f>IF(NOT(ISBLANK(Audit[[#This Row],[Audit Winning Candidate]])), Audit[[#This Row],[Audit Winning Candidate]]-Audit[[#This Row],[Winning Candidate]], "")</f>
        <v/>
      </c>
      <c r="AF1053" s="17" t="str">
        <f>IF(NOT(ISBLANK(Audit[[#This Row],[Audit Losing Candidate]])), Audit[[#This Row],[Audit Losing Candidate]]-Audit[[#This Row],[Losing Candidate]], "")</f>
        <v/>
      </c>
      <c r="AG1053" s="17" t="str">
        <f>IF(NOT(ISBLANK(Audit[[#This Row],[Audit Candidate 3]])), Audit[[#This Row],[Audit Candidate 3]]-Audit[[#This Row],[Candidate 3]], "")</f>
        <v/>
      </c>
      <c r="AH1053" s="17" t="str">
        <f>IF(NOT(ISBLANK(Audit[[#This Row],[Audit Candidate 4]])),Audit[[#This Row],[Audit Candidate 4]]-Audit[[#This Row],[Candidate 4]], "")</f>
        <v/>
      </c>
      <c r="AI1053" s="17" t="str">
        <f>IF(NOT(ISBLANK(Audit[[#This Row],[Audit Candidate 5]])), Audit[[#This Row],[Audit Candidate 5]]-Audit[[#This Row],[Candidate 5]], "")</f>
        <v/>
      </c>
      <c r="AJ1053" s="17" t="str">
        <f>IF(NOT(ISBLANK(Audit[[#This Row],[Audit Candidate 6]])), Audit[[#This Row],[Audit Candidate 6]]-Audit[[#This Row],[Candidate 6]], "")</f>
        <v/>
      </c>
      <c r="AK1053" s="17" t="str">
        <f>IF(NOT(ISBLANK(Audit[[#This Row],[Audit Candidate 7]])), Audit[[#This Row],[Audit Candidate 7]]-Audit[[#This Row],[Candidate 7]], "")</f>
        <v/>
      </c>
      <c r="AL1053" s="17" t="str">
        <f>IF(NOT(ISBLANK(Audit[[#This Row],[Audit Candidate 8]])), Audit[[#This Row],[Audit Candidate 8]]-Audit[[#This Row],[Candidate 8]], "")</f>
        <v/>
      </c>
      <c r="AM1053" s="17" t="str">
        <f>IF(NOT(ISBLANK(Audit[[#This Row],[Audit Candidate 9]])), Audit[[#This Row],[Audit Candidate 9]]-Audit[[#This Row],[Candidate 9]], "")</f>
        <v/>
      </c>
      <c r="AN1053" s="17" t="str">
        <f>IF(NOT(ISBLANK(Audit[[#This Row],[Audit Candidate 10]])), Audit[[#This Row],[Audit Candidate 10]]-Audit[[#This Row],[Candidate 10]], "")</f>
        <v/>
      </c>
      <c r="AO1053" s="17" t="str">
        <f>IF(NOT(ISBLANK(Audit[[#This Row],[Audit Candidate 11]])), Audit[[#This Row],[Audit Candidate 11]]-Audit[[#This Row],[Candidate 11]], "")</f>
        <v/>
      </c>
      <c r="AP1053" s="17" t="str">
        <f>IF(NOT(ISBLANK(Audit[[#This Row],[Audit Candidate 12]])), Audit[[#This Row],[Audit Candidate 12]]-Audit[[#This Row],[Candidate 12]], "")</f>
        <v/>
      </c>
      <c r="AQ1053" s="17">
        <f>SUMIF(Audit[[#This Row],[Difference Winner]:[Difference Candidate 12]], "&gt;0")</f>
        <v>0</v>
      </c>
      <c r="AR1053" s="17">
        <f>SUM(Audit[[#This Row],[Difference Winner]:[Difference Candidate 12]])</f>
        <v>0</v>
      </c>
      <c r="AS1053" s="17">
        <f>IF(Audit[[#This Row],[Times p Drawn - With Replacement]]&gt;0, IF(Audit[[#This Row],[Canceled Differences]]&lt;0, Audit[[#This Row],[Max Differences]]+ABS(Audit[[#This Row],[Canceled Differences]]), Audit[[#This Row],[Max Differences]]), 0)</f>
        <v>0</v>
      </c>
      <c r="AT1053" s="17">
        <f>'Sampling Data'!AB1053</f>
        <v>8.4875233406891872E-3</v>
      </c>
      <c r="AU1053" s="17">
        <f>IF(
      SUM(Audit[[#This Row],[Audit Losing Candidate]:[Audit Candidate 12]])
      &lt;&gt;0,
      (Audit[[#This Row],[Winning Candidate]]-Audit[[#This Row],[Losing Candidate]]-(Audit[[#This Row],[Audit Winning Candidate]]-Audit[[#This Row],[Audit Losing Candidate]]))/(Audit[[#Totals],[Winning Candidate]]-Audit[[#Totals],[Losing Candidate]]),
      0
)</f>
        <v>0</v>
      </c>
      <c r="AV10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3" s="17">
        <f>IF(Audit[[#This Row],[Max Relative Error (ep)]] = 0, 0, Audit[[#This Row],[Max Relative Error (ep)]]/Audit[[#This Row],[Error Bound (up) - Max. possible relative overstatement]])</f>
        <v>0</v>
      </c>
      <c r="BH10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53" s="17">
        <f t="shared" si="17"/>
        <v>1</v>
      </c>
      <c r="BJ1053" s="17">
        <f>PRODUCT($BI$5:BI1053)</f>
        <v>0.13793242319093066</v>
      </c>
      <c r="BK1053" s="19">
        <f>1 - Audit[[#This Row],[K-M P Value]]</f>
        <v>0.86206757680906931</v>
      </c>
      <c r="BL1053" s="17" t="str">
        <f>IF(Audit[[#This Row],[K-M P Value]]&gt;1-'General Info'!$B$12,"Continue", "Stop")</f>
        <v>Continue</v>
      </c>
      <c r="BM1053" s="22" t="b">
        <f>IF(Audit[[#This Row],[Status - Continue or stop audit]] = "Continue", TRUE, IF(BL1052 = "Continue", TRUE, FALSE))</f>
        <v>1</v>
      </c>
      <c r="BN1053" s="22"/>
    </row>
    <row r="1054" spans="1:66" ht="15" hidden="1" customHeight="1" x14ac:dyDescent="0.35">
      <c r="A1054" s="17" t="str">
        <f>'Sampling Data'!AI1054</f>
        <v/>
      </c>
      <c r="B1054" s="17" t="str">
        <f>'Sampling Data'!A1054</f>
        <v>8304 MIAMI D   (ED)</v>
      </c>
      <c r="C1054" s="17">
        <f>'Sampling Data'!B1054</f>
        <v>77</v>
      </c>
      <c r="D1054" s="17">
        <f>'Sampling Data'!C1054</f>
        <v>546</v>
      </c>
      <c r="E1054" s="18">
        <f>'Sampling Data'!D1054</f>
        <v>0</v>
      </c>
      <c r="F1054" s="18">
        <f>'Sampling Data'!E1054</f>
        <v>0</v>
      </c>
      <c r="G1054" s="18">
        <f>'Sampling Data'!F1054</f>
        <v>0</v>
      </c>
      <c r="H1054" s="18">
        <f>'Sampling Data'!G1054</f>
        <v>0</v>
      </c>
      <c r="I1054" s="18">
        <f>'Sampling Data'!H1054</f>
        <v>0</v>
      </c>
      <c r="J1054" s="18">
        <f>'Sampling Data'!I1054</f>
        <v>0</v>
      </c>
      <c r="K1054" s="18">
        <f>'Sampling Data'!J1054</f>
        <v>0</v>
      </c>
      <c r="L1054" s="18">
        <f>'Sampling Data'!K1054</f>
        <v>0</v>
      </c>
      <c r="M1054" s="18">
        <f>'Sampling Data'!L1054</f>
        <v>0</v>
      </c>
      <c r="N1054" s="18">
        <f>'Sampling Data'!M1054</f>
        <v>0</v>
      </c>
      <c r="O1054" s="17">
        <f>'Sampling Data'!N1054</f>
        <v>0</v>
      </c>
      <c r="P1054" s="17">
        <f>'Sampling Data'!O1054</f>
        <v>40</v>
      </c>
      <c r="Q1054" s="17">
        <f>'Sampling Data'!P1054</f>
        <v>663</v>
      </c>
      <c r="R1054" s="17">
        <f>'Sampling Data'!AJ1054</f>
        <v>0</v>
      </c>
      <c r="S1054" s="111"/>
      <c r="T1054" s="111"/>
      <c r="U1054" s="112"/>
      <c r="V1054" s="112"/>
      <c r="W1054" s="111"/>
      <c r="X1054" s="111"/>
      <c r="Y1054" s="111"/>
      <c r="Z1054" s="111"/>
      <c r="AA1054" s="14"/>
      <c r="AB1054" s="14"/>
      <c r="AC1054" s="14"/>
      <c r="AD1054" s="14"/>
      <c r="AE1054" s="113" t="str">
        <f>IF(NOT(ISBLANK(Audit[[#This Row],[Audit Winning Candidate]])), Audit[[#This Row],[Audit Winning Candidate]]-Audit[[#This Row],[Winning Candidate]], "")</f>
        <v/>
      </c>
      <c r="AF1054" s="17" t="str">
        <f>IF(NOT(ISBLANK(Audit[[#This Row],[Audit Losing Candidate]])), Audit[[#This Row],[Audit Losing Candidate]]-Audit[[#This Row],[Losing Candidate]], "")</f>
        <v/>
      </c>
      <c r="AG1054" s="17" t="str">
        <f>IF(NOT(ISBLANK(Audit[[#This Row],[Audit Candidate 3]])), Audit[[#This Row],[Audit Candidate 3]]-Audit[[#This Row],[Candidate 3]], "")</f>
        <v/>
      </c>
      <c r="AH1054" s="17" t="str">
        <f>IF(NOT(ISBLANK(Audit[[#This Row],[Audit Candidate 4]])),Audit[[#This Row],[Audit Candidate 4]]-Audit[[#This Row],[Candidate 4]], "")</f>
        <v/>
      </c>
      <c r="AI1054" s="17" t="str">
        <f>IF(NOT(ISBLANK(Audit[[#This Row],[Audit Candidate 5]])), Audit[[#This Row],[Audit Candidate 5]]-Audit[[#This Row],[Candidate 5]], "")</f>
        <v/>
      </c>
      <c r="AJ1054" s="17" t="str">
        <f>IF(NOT(ISBLANK(Audit[[#This Row],[Audit Candidate 6]])), Audit[[#This Row],[Audit Candidate 6]]-Audit[[#This Row],[Candidate 6]], "")</f>
        <v/>
      </c>
      <c r="AK1054" s="17" t="str">
        <f>IF(NOT(ISBLANK(Audit[[#This Row],[Audit Candidate 7]])), Audit[[#This Row],[Audit Candidate 7]]-Audit[[#This Row],[Candidate 7]], "")</f>
        <v/>
      </c>
      <c r="AL1054" s="17" t="str">
        <f>IF(NOT(ISBLANK(Audit[[#This Row],[Audit Candidate 8]])), Audit[[#This Row],[Audit Candidate 8]]-Audit[[#This Row],[Candidate 8]], "")</f>
        <v/>
      </c>
      <c r="AM1054" s="17" t="str">
        <f>IF(NOT(ISBLANK(Audit[[#This Row],[Audit Candidate 9]])), Audit[[#This Row],[Audit Candidate 9]]-Audit[[#This Row],[Candidate 9]], "")</f>
        <v/>
      </c>
      <c r="AN1054" s="17" t="str">
        <f>IF(NOT(ISBLANK(Audit[[#This Row],[Audit Candidate 10]])), Audit[[#This Row],[Audit Candidate 10]]-Audit[[#This Row],[Candidate 10]], "")</f>
        <v/>
      </c>
      <c r="AO1054" s="17" t="str">
        <f>IF(NOT(ISBLANK(Audit[[#This Row],[Audit Candidate 11]])), Audit[[#This Row],[Audit Candidate 11]]-Audit[[#This Row],[Candidate 11]], "")</f>
        <v/>
      </c>
      <c r="AP1054" s="17" t="str">
        <f>IF(NOT(ISBLANK(Audit[[#This Row],[Audit Candidate 12]])), Audit[[#This Row],[Audit Candidate 12]]-Audit[[#This Row],[Candidate 12]], "")</f>
        <v/>
      </c>
      <c r="AQ1054" s="17">
        <f>SUMIF(Audit[[#This Row],[Difference Winner]:[Difference Candidate 12]], "&gt;0")</f>
        <v>0</v>
      </c>
      <c r="AR1054" s="17">
        <f>SUM(Audit[[#This Row],[Difference Winner]:[Difference Candidate 12]])</f>
        <v>0</v>
      </c>
      <c r="AS1054" s="17">
        <f>IF(Audit[[#This Row],[Times p Drawn - With Replacement]]&gt;0, IF(Audit[[#This Row],[Canceled Differences]]&lt;0, Audit[[#This Row],[Max Differences]]+ABS(Audit[[#This Row],[Canceled Differences]]), Audit[[#This Row],[Max Differences]]), 0)</f>
        <v>0</v>
      </c>
      <c r="AT1054" s="17">
        <f>'Sampling Data'!AB1054</f>
        <v>8.232897640468511E-3</v>
      </c>
      <c r="AU1054" s="17">
        <f>IF(
      SUM(Audit[[#This Row],[Audit Losing Candidate]:[Audit Candidate 12]])
      &lt;&gt;0,
      (Audit[[#This Row],[Winning Candidate]]-Audit[[#This Row],[Losing Candidate]]-(Audit[[#This Row],[Audit Winning Candidate]]-Audit[[#This Row],[Audit Losing Candidate]]))/(Audit[[#Totals],[Winning Candidate]]-Audit[[#Totals],[Losing Candidate]]),
      0
)</f>
        <v>0</v>
      </c>
      <c r="AV10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4" s="17">
        <f>IF(Audit[[#This Row],[Max Relative Error (ep)]] = 0, 0, Audit[[#This Row],[Max Relative Error (ep)]]/Audit[[#This Row],[Error Bound (up) - Max. possible relative overstatement]])</f>
        <v>0</v>
      </c>
      <c r="BH10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54" s="17">
        <f t="shared" si="17"/>
        <v>1</v>
      </c>
      <c r="BJ1054" s="17">
        <f>PRODUCT($BI$5:BI1054)</f>
        <v>0.13793242319093066</v>
      </c>
      <c r="BK1054" s="19">
        <f>1 - Audit[[#This Row],[K-M P Value]]</f>
        <v>0.86206757680906931</v>
      </c>
      <c r="BL1054" s="17" t="str">
        <f>IF(Audit[[#This Row],[K-M P Value]]&gt;1-'General Info'!$B$12,"Continue", "Stop")</f>
        <v>Continue</v>
      </c>
      <c r="BM1054" s="22" t="b">
        <f>IF(Audit[[#This Row],[Status - Continue or stop audit]] = "Continue", TRUE, IF(BL1053 = "Continue", TRUE, FALSE))</f>
        <v>1</v>
      </c>
      <c r="BN1054" s="22"/>
    </row>
    <row r="1055" spans="1:66" ht="15" hidden="1" customHeight="1" x14ac:dyDescent="0.35">
      <c r="A1055" s="17" t="str">
        <f>'Sampling Data'!AI1055</f>
        <v/>
      </c>
      <c r="B1055" s="17" t="str">
        <f>'Sampling Data'!A1055</f>
        <v>8305 MIAMI E   (ED)</v>
      </c>
      <c r="C1055" s="17">
        <f>'Sampling Data'!B1055</f>
        <v>94</v>
      </c>
      <c r="D1055" s="17">
        <f>'Sampling Data'!C1055</f>
        <v>528</v>
      </c>
      <c r="E1055" s="18">
        <f>'Sampling Data'!D1055</f>
        <v>0</v>
      </c>
      <c r="F1055" s="18">
        <f>'Sampling Data'!E1055</f>
        <v>0</v>
      </c>
      <c r="G1055" s="18">
        <f>'Sampling Data'!F1055</f>
        <v>0</v>
      </c>
      <c r="H1055" s="18">
        <f>'Sampling Data'!G1055</f>
        <v>0</v>
      </c>
      <c r="I1055" s="18">
        <f>'Sampling Data'!H1055</f>
        <v>0</v>
      </c>
      <c r="J1055" s="18">
        <f>'Sampling Data'!I1055</f>
        <v>0</v>
      </c>
      <c r="K1055" s="18">
        <f>'Sampling Data'!J1055</f>
        <v>0</v>
      </c>
      <c r="L1055" s="18">
        <f>'Sampling Data'!K1055</f>
        <v>0</v>
      </c>
      <c r="M1055" s="18">
        <f>'Sampling Data'!L1055</f>
        <v>0</v>
      </c>
      <c r="N1055" s="18">
        <f>'Sampling Data'!M1055</f>
        <v>0</v>
      </c>
      <c r="O1055" s="17">
        <f>'Sampling Data'!N1055</f>
        <v>0</v>
      </c>
      <c r="P1055" s="17">
        <f>'Sampling Data'!O1055</f>
        <v>33</v>
      </c>
      <c r="Q1055" s="17">
        <f>'Sampling Data'!P1055</f>
        <v>655</v>
      </c>
      <c r="R1055" s="17">
        <f>'Sampling Data'!AJ1055</f>
        <v>0</v>
      </c>
      <c r="S1055" s="111"/>
      <c r="T1055" s="111"/>
      <c r="U1055" s="112"/>
      <c r="V1055" s="112"/>
      <c r="W1055" s="111"/>
      <c r="X1055" s="111"/>
      <c r="Y1055" s="111"/>
      <c r="Z1055" s="111"/>
      <c r="AA1055" s="14"/>
      <c r="AB1055" s="14"/>
      <c r="AC1055" s="14"/>
      <c r="AD1055" s="14"/>
      <c r="AE1055" s="113" t="str">
        <f>IF(NOT(ISBLANK(Audit[[#This Row],[Audit Winning Candidate]])), Audit[[#This Row],[Audit Winning Candidate]]-Audit[[#This Row],[Winning Candidate]], "")</f>
        <v/>
      </c>
      <c r="AF1055" s="17" t="str">
        <f>IF(NOT(ISBLANK(Audit[[#This Row],[Audit Losing Candidate]])), Audit[[#This Row],[Audit Losing Candidate]]-Audit[[#This Row],[Losing Candidate]], "")</f>
        <v/>
      </c>
      <c r="AG1055" s="17" t="str">
        <f>IF(NOT(ISBLANK(Audit[[#This Row],[Audit Candidate 3]])), Audit[[#This Row],[Audit Candidate 3]]-Audit[[#This Row],[Candidate 3]], "")</f>
        <v/>
      </c>
      <c r="AH1055" s="17" t="str">
        <f>IF(NOT(ISBLANK(Audit[[#This Row],[Audit Candidate 4]])),Audit[[#This Row],[Audit Candidate 4]]-Audit[[#This Row],[Candidate 4]], "")</f>
        <v/>
      </c>
      <c r="AI1055" s="17" t="str">
        <f>IF(NOT(ISBLANK(Audit[[#This Row],[Audit Candidate 5]])), Audit[[#This Row],[Audit Candidate 5]]-Audit[[#This Row],[Candidate 5]], "")</f>
        <v/>
      </c>
      <c r="AJ1055" s="17" t="str">
        <f>IF(NOT(ISBLANK(Audit[[#This Row],[Audit Candidate 6]])), Audit[[#This Row],[Audit Candidate 6]]-Audit[[#This Row],[Candidate 6]], "")</f>
        <v/>
      </c>
      <c r="AK1055" s="17" t="str">
        <f>IF(NOT(ISBLANK(Audit[[#This Row],[Audit Candidate 7]])), Audit[[#This Row],[Audit Candidate 7]]-Audit[[#This Row],[Candidate 7]], "")</f>
        <v/>
      </c>
      <c r="AL1055" s="17" t="str">
        <f>IF(NOT(ISBLANK(Audit[[#This Row],[Audit Candidate 8]])), Audit[[#This Row],[Audit Candidate 8]]-Audit[[#This Row],[Candidate 8]], "")</f>
        <v/>
      </c>
      <c r="AM1055" s="17" t="str">
        <f>IF(NOT(ISBLANK(Audit[[#This Row],[Audit Candidate 9]])), Audit[[#This Row],[Audit Candidate 9]]-Audit[[#This Row],[Candidate 9]], "")</f>
        <v/>
      </c>
      <c r="AN1055" s="17" t="str">
        <f>IF(NOT(ISBLANK(Audit[[#This Row],[Audit Candidate 10]])), Audit[[#This Row],[Audit Candidate 10]]-Audit[[#This Row],[Candidate 10]], "")</f>
        <v/>
      </c>
      <c r="AO1055" s="17" t="str">
        <f>IF(NOT(ISBLANK(Audit[[#This Row],[Audit Candidate 11]])), Audit[[#This Row],[Audit Candidate 11]]-Audit[[#This Row],[Candidate 11]], "")</f>
        <v/>
      </c>
      <c r="AP1055" s="17" t="str">
        <f>IF(NOT(ISBLANK(Audit[[#This Row],[Audit Candidate 12]])), Audit[[#This Row],[Audit Candidate 12]]-Audit[[#This Row],[Candidate 12]], "")</f>
        <v/>
      </c>
      <c r="AQ1055" s="17">
        <f>SUMIF(Audit[[#This Row],[Difference Winner]:[Difference Candidate 12]], "&gt;0")</f>
        <v>0</v>
      </c>
      <c r="AR1055" s="17">
        <f>SUM(Audit[[#This Row],[Difference Winner]:[Difference Candidate 12]])</f>
        <v>0</v>
      </c>
      <c r="AS1055" s="17">
        <f>IF(Audit[[#This Row],[Times p Drawn - With Replacement]]&gt;0, IF(Audit[[#This Row],[Canceled Differences]]&lt;0, Audit[[#This Row],[Max Differences]]+ABS(Audit[[#This Row],[Canceled Differences]]), Audit[[#This Row],[Max Differences]]), 0)</f>
        <v>0</v>
      </c>
      <c r="AT1055" s="17">
        <f>'Sampling Data'!AB1055</f>
        <v>9.3787132914615514E-3</v>
      </c>
      <c r="AU1055" s="17">
        <f>IF(
      SUM(Audit[[#This Row],[Audit Losing Candidate]:[Audit Candidate 12]])
      &lt;&gt;0,
      (Audit[[#This Row],[Winning Candidate]]-Audit[[#This Row],[Losing Candidate]]-(Audit[[#This Row],[Audit Winning Candidate]]-Audit[[#This Row],[Audit Losing Candidate]]))/(Audit[[#Totals],[Winning Candidate]]-Audit[[#Totals],[Losing Candidate]]),
      0
)</f>
        <v>0</v>
      </c>
      <c r="AV10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5" s="17">
        <f>IF(Audit[[#This Row],[Max Relative Error (ep)]] = 0, 0, Audit[[#This Row],[Max Relative Error (ep)]]/Audit[[#This Row],[Error Bound (up) - Max. possible relative overstatement]])</f>
        <v>0</v>
      </c>
      <c r="BH10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55" s="17">
        <f t="shared" si="17"/>
        <v>1</v>
      </c>
      <c r="BJ1055" s="17">
        <f>PRODUCT($BI$5:BI1055)</f>
        <v>0.13793242319093066</v>
      </c>
      <c r="BK1055" s="19">
        <f>1 - Audit[[#This Row],[K-M P Value]]</f>
        <v>0.86206757680906931</v>
      </c>
      <c r="BL1055" s="17" t="str">
        <f>IF(Audit[[#This Row],[K-M P Value]]&gt;1-'General Info'!$B$12,"Continue", "Stop")</f>
        <v>Continue</v>
      </c>
      <c r="BM1055" s="22" t="b">
        <f>IF(Audit[[#This Row],[Status - Continue or stop audit]] = "Continue", TRUE, IF(BL1054 = "Continue", TRUE, FALSE))</f>
        <v>1</v>
      </c>
      <c r="BN1055" s="22"/>
    </row>
    <row r="1056" spans="1:66" ht="15" hidden="1" customHeight="1" x14ac:dyDescent="0.35">
      <c r="A1056" s="17" t="str">
        <f>'Sampling Data'!AI1056</f>
        <v/>
      </c>
      <c r="B1056" s="17" t="str">
        <f>'Sampling Data'!A1056</f>
        <v>8306 MIAMI F   (ED)</v>
      </c>
      <c r="C1056" s="17">
        <f>'Sampling Data'!B1056</f>
        <v>71</v>
      </c>
      <c r="D1056" s="17">
        <f>'Sampling Data'!C1056</f>
        <v>308</v>
      </c>
      <c r="E1056" s="18">
        <f>'Sampling Data'!D1056</f>
        <v>0</v>
      </c>
      <c r="F1056" s="18">
        <f>'Sampling Data'!E1056</f>
        <v>0</v>
      </c>
      <c r="G1056" s="18">
        <f>'Sampling Data'!F1056</f>
        <v>0</v>
      </c>
      <c r="H1056" s="18">
        <f>'Sampling Data'!G1056</f>
        <v>0</v>
      </c>
      <c r="I1056" s="18">
        <f>'Sampling Data'!H1056</f>
        <v>0</v>
      </c>
      <c r="J1056" s="18">
        <f>'Sampling Data'!I1056</f>
        <v>0</v>
      </c>
      <c r="K1056" s="18">
        <f>'Sampling Data'!J1056</f>
        <v>0</v>
      </c>
      <c r="L1056" s="18">
        <f>'Sampling Data'!K1056</f>
        <v>0</v>
      </c>
      <c r="M1056" s="18">
        <f>'Sampling Data'!L1056</f>
        <v>0</v>
      </c>
      <c r="N1056" s="18">
        <f>'Sampling Data'!M1056</f>
        <v>0</v>
      </c>
      <c r="O1056" s="17">
        <f>'Sampling Data'!N1056</f>
        <v>0</v>
      </c>
      <c r="P1056" s="17">
        <f>'Sampling Data'!O1056</f>
        <v>22</v>
      </c>
      <c r="Q1056" s="17">
        <f>'Sampling Data'!P1056</f>
        <v>401</v>
      </c>
      <c r="R1056" s="17">
        <f>'Sampling Data'!AJ1056</f>
        <v>0</v>
      </c>
      <c r="S1056" s="111"/>
      <c r="T1056" s="111"/>
      <c r="U1056" s="112"/>
      <c r="V1056" s="112"/>
      <c r="W1056" s="111"/>
      <c r="X1056" s="111"/>
      <c r="Y1056" s="111"/>
      <c r="Z1056" s="111"/>
      <c r="AA1056" s="14"/>
      <c r="AB1056" s="14"/>
      <c r="AC1056" s="14"/>
      <c r="AD1056" s="14"/>
      <c r="AE1056" s="113" t="str">
        <f>IF(NOT(ISBLANK(Audit[[#This Row],[Audit Winning Candidate]])), Audit[[#This Row],[Audit Winning Candidate]]-Audit[[#This Row],[Winning Candidate]], "")</f>
        <v/>
      </c>
      <c r="AF1056" s="17" t="str">
        <f>IF(NOT(ISBLANK(Audit[[#This Row],[Audit Losing Candidate]])), Audit[[#This Row],[Audit Losing Candidate]]-Audit[[#This Row],[Losing Candidate]], "")</f>
        <v/>
      </c>
      <c r="AG1056" s="17" t="str">
        <f>IF(NOT(ISBLANK(Audit[[#This Row],[Audit Candidate 3]])), Audit[[#This Row],[Audit Candidate 3]]-Audit[[#This Row],[Candidate 3]], "")</f>
        <v/>
      </c>
      <c r="AH1056" s="17" t="str">
        <f>IF(NOT(ISBLANK(Audit[[#This Row],[Audit Candidate 4]])),Audit[[#This Row],[Audit Candidate 4]]-Audit[[#This Row],[Candidate 4]], "")</f>
        <v/>
      </c>
      <c r="AI1056" s="17" t="str">
        <f>IF(NOT(ISBLANK(Audit[[#This Row],[Audit Candidate 5]])), Audit[[#This Row],[Audit Candidate 5]]-Audit[[#This Row],[Candidate 5]], "")</f>
        <v/>
      </c>
      <c r="AJ1056" s="17" t="str">
        <f>IF(NOT(ISBLANK(Audit[[#This Row],[Audit Candidate 6]])), Audit[[#This Row],[Audit Candidate 6]]-Audit[[#This Row],[Candidate 6]], "")</f>
        <v/>
      </c>
      <c r="AK1056" s="17" t="str">
        <f>IF(NOT(ISBLANK(Audit[[#This Row],[Audit Candidate 7]])), Audit[[#This Row],[Audit Candidate 7]]-Audit[[#This Row],[Candidate 7]], "")</f>
        <v/>
      </c>
      <c r="AL1056" s="17" t="str">
        <f>IF(NOT(ISBLANK(Audit[[#This Row],[Audit Candidate 8]])), Audit[[#This Row],[Audit Candidate 8]]-Audit[[#This Row],[Candidate 8]], "")</f>
        <v/>
      </c>
      <c r="AM1056" s="17" t="str">
        <f>IF(NOT(ISBLANK(Audit[[#This Row],[Audit Candidate 9]])), Audit[[#This Row],[Audit Candidate 9]]-Audit[[#This Row],[Candidate 9]], "")</f>
        <v/>
      </c>
      <c r="AN1056" s="17" t="str">
        <f>IF(NOT(ISBLANK(Audit[[#This Row],[Audit Candidate 10]])), Audit[[#This Row],[Audit Candidate 10]]-Audit[[#This Row],[Candidate 10]], "")</f>
        <v/>
      </c>
      <c r="AO1056" s="17" t="str">
        <f>IF(NOT(ISBLANK(Audit[[#This Row],[Audit Candidate 11]])), Audit[[#This Row],[Audit Candidate 11]]-Audit[[#This Row],[Candidate 11]], "")</f>
        <v/>
      </c>
      <c r="AP1056" s="17" t="str">
        <f>IF(NOT(ISBLANK(Audit[[#This Row],[Audit Candidate 12]])), Audit[[#This Row],[Audit Candidate 12]]-Audit[[#This Row],[Candidate 12]], "")</f>
        <v/>
      </c>
      <c r="AQ1056" s="17">
        <f>SUMIF(Audit[[#This Row],[Difference Winner]:[Difference Candidate 12]], "&gt;0")</f>
        <v>0</v>
      </c>
      <c r="AR1056" s="17">
        <f>SUM(Audit[[#This Row],[Difference Winner]:[Difference Candidate 12]])</f>
        <v>0</v>
      </c>
      <c r="AS1056" s="17">
        <f>IF(Audit[[#This Row],[Times p Drawn - With Replacement]]&gt;0, IF(Audit[[#This Row],[Canceled Differences]]&lt;0, Audit[[#This Row],[Max Differences]]+ABS(Audit[[#This Row],[Canceled Differences]]), Audit[[#This Row],[Max Differences]]), 0)</f>
        <v>0</v>
      </c>
      <c r="AT1056" s="17">
        <f>'Sampling Data'!AB1056</f>
        <v>6.9597691393651333E-3</v>
      </c>
      <c r="AU1056" s="17">
        <f>IF(
      SUM(Audit[[#This Row],[Audit Losing Candidate]:[Audit Candidate 12]])
      &lt;&gt;0,
      (Audit[[#This Row],[Winning Candidate]]-Audit[[#This Row],[Losing Candidate]]-(Audit[[#This Row],[Audit Winning Candidate]]-Audit[[#This Row],[Audit Losing Candidate]]))/(Audit[[#Totals],[Winning Candidate]]-Audit[[#Totals],[Losing Candidate]]),
      0
)</f>
        <v>0</v>
      </c>
      <c r="AV10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6" s="17">
        <f>IF(Audit[[#This Row],[Max Relative Error (ep)]] = 0, 0, Audit[[#This Row],[Max Relative Error (ep)]]/Audit[[#This Row],[Error Bound (up) - Max. possible relative overstatement]])</f>
        <v>0</v>
      </c>
      <c r="BH10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56" s="17">
        <f t="shared" si="17"/>
        <v>1</v>
      </c>
      <c r="BJ1056" s="17">
        <f>PRODUCT($BI$5:BI1056)</f>
        <v>0.13793242319093066</v>
      </c>
      <c r="BK1056" s="19">
        <f>1 - Audit[[#This Row],[K-M P Value]]</f>
        <v>0.86206757680906931</v>
      </c>
      <c r="BL1056" s="17" t="str">
        <f>IF(Audit[[#This Row],[K-M P Value]]&gt;1-'General Info'!$B$12,"Continue", "Stop")</f>
        <v>Continue</v>
      </c>
      <c r="BM1056" s="22" t="b">
        <f>IF(Audit[[#This Row],[Status - Continue or stop audit]] = "Continue", TRUE, IF(BL1055 = "Continue", TRUE, FALSE))</f>
        <v>1</v>
      </c>
      <c r="BN1056" s="22"/>
    </row>
    <row r="1057" spans="1:66" ht="15" hidden="1" customHeight="1" x14ac:dyDescent="0.35">
      <c r="A1057" s="17" t="str">
        <f>'Sampling Data'!AI1057</f>
        <v/>
      </c>
      <c r="B1057" s="17" t="str">
        <f>'Sampling Data'!A1057</f>
        <v>8307 MIAMI G   (ED)</v>
      </c>
      <c r="C1057" s="17">
        <f>'Sampling Data'!B1057</f>
        <v>102</v>
      </c>
      <c r="D1057" s="17">
        <f>'Sampling Data'!C1057</f>
        <v>571</v>
      </c>
      <c r="E1057" s="18">
        <f>'Sampling Data'!D1057</f>
        <v>0</v>
      </c>
      <c r="F1057" s="18">
        <f>'Sampling Data'!E1057</f>
        <v>0</v>
      </c>
      <c r="G1057" s="18">
        <f>'Sampling Data'!F1057</f>
        <v>0</v>
      </c>
      <c r="H1057" s="18">
        <f>'Sampling Data'!G1057</f>
        <v>0</v>
      </c>
      <c r="I1057" s="18">
        <f>'Sampling Data'!H1057</f>
        <v>0</v>
      </c>
      <c r="J1057" s="18">
        <f>'Sampling Data'!I1057</f>
        <v>0</v>
      </c>
      <c r="K1057" s="18">
        <f>'Sampling Data'!J1057</f>
        <v>0</v>
      </c>
      <c r="L1057" s="18">
        <f>'Sampling Data'!K1057</f>
        <v>0</v>
      </c>
      <c r="M1057" s="18">
        <f>'Sampling Data'!L1057</f>
        <v>0</v>
      </c>
      <c r="N1057" s="18">
        <f>'Sampling Data'!M1057</f>
        <v>0</v>
      </c>
      <c r="O1057" s="17">
        <f>'Sampling Data'!N1057</f>
        <v>1</v>
      </c>
      <c r="P1057" s="17">
        <f>'Sampling Data'!O1057</f>
        <v>42</v>
      </c>
      <c r="Q1057" s="17">
        <f>'Sampling Data'!P1057</f>
        <v>716</v>
      </c>
      <c r="R1057" s="17">
        <f>'Sampling Data'!AJ1057</f>
        <v>0</v>
      </c>
      <c r="S1057" s="111"/>
      <c r="T1057" s="111"/>
      <c r="U1057" s="112"/>
      <c r="V1057" s="112"/>
      <c r="W1057" s="111"/>
      <c r="X1057" s="111"/>
      <c r="Y1057" s="111"/>
      <c r="Z1057" s="111"/>
      <c r="AA1057" s="14"/>
      <c r="AB1057" s="14"/>
      <c r="AC1057" s="14"/>
      <c r="AD1057" s="14"/>
      <c r="AE1057" s="113" t="str">
        <f>IF(NOT(ISBLANK(Audit[[#This Row],[Audit Winning Candidate]])), Audit[[#This Row],[Audit Winning Candidate]]-Audit[[#This Row],[Winning Candidate]], "")</f>
        <v/>
      </c>
      <c r="AF1057" s="17" t="str">
        <f>IF(NOT(ISBLANK(Audit[[#This Row],[Audit Losing Candidate]])), Audit[[#This Row],[Audit Losing Candidate]]-Audit[[#This Row],[Losing Candidate]], "")</f>
        <v/>
      </c>
      <c r="AG1057" s="17" t="str">
        <f>IF(NOT(ISBLANK(Audit[[#This Row],[Audit Candidate 3]])), Audit[[#This Row],[Audit Candidate 3]]-Audit[[#This Row],[Candidate 3]], "")</f>
        <v/>
      </c>
      <c r="AH1057" s="17" t="str">
        <f>IF(NOT(ISBLANK(Audit[[#This Row],[Audit Candidate 4]])),Audit[[#This Row],[Audit Candidate 4]]-Audit[[#This Row],[Candidate 4]], "")</f>
        <v/>
      </c>
      <c r="AI1057" s="17" t="str">
        <f>IF(NOT(ISBLANK(Audit[[#This Row],[Audit Candidate 5]])), Audit[[#This Row],[Audit Candidate 5]]-Audit[[#This Row],[Candidate 5]], "")</f>
        <v/>
      </c>
      <c r="AJ1057" s="17" t="str">
        <f>IF(NOT(ISBLANK(Audit[[#This Row],[Audit Candidate 6]])), Audit[[#This Row],[Audit Candidate 6]]-Audit[[#This Row],[Candidate 6]], "")</f>
        <v/>
      </c>
      <c r="AK1057" s="17" t="str">
        <f>IF(NOT(ISBLANK(Audit[[#This Row],[Audit Candidate 7]])), Audit[[#This Row],[Audit Candidate 7]]-Audit[[#This Row],[Candidate 7]], "")</f>
        <v/>
      </c>
      <c r="AL1057" s="17" t="str">
        <f>IF(NOT(ISBLANK(Audit[[#This Row],[Audit Candidate 8]])), Audit[[#This Row],[Audit Candidate 8]]-Audit[[#This Row],[Candidate 8]], "")</f>
        <v/>
      </c>
      <c r="AM1057" s="17" t="str">
        <f>IF(NOT(ISBLANK(Audit[[#This Row],[Audit Candidate 9]])), Audit[[#This Row],[Audit Candidate 9]]-Audit[[#This Row],[Candidate 9]], "")</f>
        <v/>
      </c>
      <c r="AN1057" s="17" t="str">
        <f>IF(NOT(ISBLANK(Audit[[#This Row],[Audit Candidate 10]])), Audit[[#This Row],[Audit Candidate 10]]-Audit[[#This Row],[Candidate 10]], "")</f>
        <v/>
      </c>
      <c r="AO1057" s="17" t="str">
        <f>IF(NOT(ISBLANK(Audit[[#This Row],[Audit Candidate 11]])), Audit[[#This Row],[Audit Candidate 11]]-Audit[[#This Row],[Candidate 11]], "")</f>
        <v/>
      </c>
      <c r="AP1057" s="17" t="str">
        <f>IF(NOT(ISBLANK(Audit[[#This Row],[Audit Candidate 12]])), Audit[[#This Row],[Audit Candidate 12]]-Audit[[#This Row],[Candidate 12]], "")</f>
        <v/>
      </c>
      <c r="AQ1057" s="17">
        <f>SUMIF(Audit[[#This Row],[Difference Winner]:[Difference Candidate 12]], "&gt;0")</f>
        <v>0</v>
      </c>
      <c r="AR1057" s="17">
        <f>SUM(Audit[[#This Row],[Difference Winner]:[Difference Candidate 12]])</f>
        <v>0</v>
      </c>
      <c r="AS1057" s="17">
        <f>IF(Audit[[#This Row],[Times p Drawn - With Replacement]]&gt;0, IF(Audit[[#This Row],[Canceled Differences]]&lt;0, Audit[[#This Row],[Max Differences]]+ABS(Audit[[#This Row],[Canceled Differences]]), Audit[[#This Row],[Max Differences]]), 0)</f>
        <v>0</v>
      </c>
      <c r="AT1057" s="17">
        <f>'Sampling Data'!AB1057</f>
        <v>1.0482091325751145E-2</v>
      </c>
      <c r="AU1057" s="17">
        <f>IF(
      SUM(Audit[[#This Row],[Audit Losing Candidate]:[Audit Candidate 12]])
      &lt;&gt;0,
      (Audit[[#This Row],[Winning Candidate]]-Audit[[#This Row],[Losing Candidate]]-(Audit[[#This Row],[Audit Winning Candidate]]-Audit[[#This Row],[Audit Losing Candidate]]))/(Audit[[#Totals],[Winning Candidate]]-Audit[[#Totals],[Losing Candidate]]),
      0
)</f>
        <v>0</v>
      </c>
      <c r="AV10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7" s="17">
        <f>IF(Audit[[#This Row],[Max Relative Error (ep)]] = 0, 0, Audit[[#This Row],[Max Relative Error (ep)]]/Audit[[#This Row],[Error Bound (up) - Max. possible relative overstatement]])</f>
        <v>0</v>
      </c>
      <c r="BH10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57" s="17">
        <f t="shared" si="17"/>
        <v>1</v>
      </c>
      <c r="BJ1057" s="17">
        <f>PRODUCT($BI$5:BI1057)</f>
        <v>0.13793242319093066</v>
      </c>
      <c r="BK1057" s="19">
        <f>1 - Audit[[#This Row],[K-M P Value]]</f>
        <v>0.86206757680906931</v>
      </c>
      <c r="BL1057" s="17" t="str">
        <f>IF(Audit[[#This Row],[K-M P Value]]&gt;1-'General Info'!$B$12,"Continue", "Stop")</f>
        <v>Continue</v>
      </c>
      <c r="BM1057" s="22" t="b">
        <f>IF(Audit[[#This Row],[Status - Continue or stop audit]] = "Continue", TRUE, IF(BL1056 = "Continue", TRUE, FALSE))</f>
        <v>1</v>
      </c>
      <c r="BN1057" s="22"/>
    </row>
    <row r="1058" spans="1:66" ht="15" hidden="1" customHeight="1" x14ac:dyDescent="0.35">
      <c r="A1058" s="17" t="str">
        <f>'Sampling Data'!AI1058</f>
        <v/>
      </c>
      <c r="B1058" s="17" t="str">
        <f>'Sampling Data'!A1058</f>
        <v>8308 MIAMI H   (ED)</v>
      </c>
      <c r="C1058" s="17">
        <f>'Sampling Data'!B1058</f>
        <v>36</v>
      </c>
      <c r="D1058" s="17">
        <f>'Sampling Data'!C1058</f>
        <v>224</v>
      </c>
      <c r="E1058" s="18">
        <f>'Sampling Data'!D1058</f>
        <v>0</v>
      </c>
      <c r="F1058" s="18">
        <f>'Sampling Data'!E1058</f>
        <v>0</v>
      </c>
      <c r="G1058" s="18">
        <f>'Sampling Data'!F1058</f>
        <v>0</v>
      </c>
      <c r="H1058" s="18">
        <f>'Sampling Data'!G1058</f>
        <v>0</v>
      </c>
      <c r="I1058" s="18">
        <f>'Sampling Data'!H1058</f>
        <v>0</v>
      </c>
      <c r="J1058" s="18">
        <f>'Sampling Data'!I1058</f>
        <v>0</v>
      </c>
      <c r="K1058" s="18">
        <f>'Sampling Data'!J1058</f>
        <v>0</v>
      </c>
      <c r="L1058" s="18">
        <f>'Sampling Data'!K1058</f>
        <v>0</v>
      </c>
      <c r="M1058" s="18">
        <f>'Sampling Data'!L1058</f>
        <v>0</v>
      </c>
      <c r="N1058" s="18">
        <f>'Sampling Data'!M1058</f>
        <v>0</v>
      </c>
      <c r="O1058" s="17">
        <f>'Sampling Data'!N1058</f>
        <v>0</v>
      </c>
      <c r="P1058" s="17">
        <f>'Sampling Data'!O1058</f>
        <v>19</v>
      </c>
      <c r="Q1058" s="17">
        <f>'Sampling Data'!P1058</f>
        <v>279</v>
      </c>
      <c r="R1058" s="17">
        <f>'Sampling Data'!AJ1058</f>
        <v>0</v>
      </c>
      <c r="S1058" s="111"/>
      <c r="T1058" s="111"/>
      <c r="U1058" s="112"/>
      <c r="V1058" s="112"/>
      <c r="W1058" s="111"/>
      <c r="X1058" s="111"/>
      <c r="Y1058" s="111"/>
      <c r="Z1058" s="111"/>
      <c r="AA1058" s="14"/>
      <c r="AB1058" s="14"/>
      <c r="AC1058" s="14"/>
      <c r="AD1058" s="14"/>
      <c r="AE1058" s="113" t="str">
        <f>IF(NOT(ISBLANK(Audit[[#This Row],[Audit Winning Candidate]])), Audit[[#This Row],[Audit Winning Candidate]]-Audit[[#This Row],[Winning Candidate]], "")</f>
        <v/>
      </c>
      <c r="AF1058" s="17" t="str">
        <f>IF(NOT(ISBLANK(Audit[[#This Row],[Audit Losing Candidate]])), Audit[[#This Row],[Audit Losing Candidate]]-Audit[[#This Row],[Losing Candidate]], "")</f>
        <v/>
      </c>
      <c r="AG1058" s="17" t="str">
        <f>IF(NOT(ISBLANK(Audit[[#This Row],[Audit Candidate 3]])), Audit[[#This Row],[Audit Candidate 3]]-Audit[[#This Row],[Candidate 3]], "")</f>
        <v/>
      </c>
      <c r="AH1058" s="17" t="str">
        <f>IF(NOT(ISBLANK(Audit[[#This Row],[Audit Candidate 4]])),Audit[[#This Row],[Audit Candidate 4]]-Audit[[#This Row],[Candidate 4]], "")</f>
        <v/>
      </c>
      <c r="AI1058" s="17" t="str">
        <f>IF(NOT(ISBLANK(Audit[[#This Row],[Audit Candidate 5]])), Audit[[#This Row],[Audit Candidate 5]]-Audit[[#This Row],[Candidate 5]], "")</f>
        <v/>
      </c>
      <c r="AJ1058" s="17" t="str">
        <f>IF(NOT(ISBLANK(Audit[[#This Row],[Audit Candidate 6]])), Audit[[#This Row],[Audit Candidate 6]]-Audit[[#This Row],[Candidate 6]], "")</f>
        <v/>
      </c>
      <c r="AK1058" s="17" t="str">
        <f>IF(NOT(ISBLANK(Audit[[#This Row],[Audit Candidate 7]])), Audit[[#This Row],[Audit Candidate 7]]-Audit[[#This Row],[Candidate 7]], "")</f>
        <v/>
      </c>
      <c r="AL1058" s="17" t="str">
        <f>IF(NOT(ISBLANK(Audit[[#This Row],[Audit Candidate 8]])), Audit[[#This Row],[Audit Candidate 8]]-Audit[[#This Row],[Candidate 8]], "")</f>
        <v/>
      </c>
      <c r="AM1058" s="17" t="str">
        <f>IF(NOT(ISBLANK(Audit[[#This Row],[Audit Candidate 9]])), Audit[[#This Row],[Audit Candidate 9]]-Audit[[#This Row],[Candidate 9]], "")</f>
        <v/>
      </c>
      <c r="AN1058" s="17" t="str">
        <f>IF(NOT(ISBLANK(Audit[[#This Row],[Audit Candidate 10]])), Audit[[#This Row],[Audit Candidate 10]]-Audit[[#This Row],[Candidate 10]], "")</f>
        <v/>
      </c>
      <c r="AO1058" s="17" t="str">
        <f>IF(NOT(ISBLANK(Audit[[#This Row],[Audit Candidate 11]])), Audit[[#This Row],[Audit Candidate 11]]-Audit[[#This Row],[Candidate 11]], "")</f>
        <v/>
      </c>
      <c r="AP1058" s="17" t="str">
        <f>IF(NOT(ISBLANK(Audit[[#This Row],[Audit Candidate 12]])), Audit[[#This Row],[Audit Candidate 12]]-Audit[[#This Row],[Candidate 12]], "")</f>
        <v/>
      </c>
      <c r="AQ1058" s="17">
        <f>SUMIF(Audit[[#This Row],[Difference Winner]:[Difference Candidate 12]], "&gt;0")</f>
        <v>0</v>
      </c>
      <c r="AR1058" s="17">
        <f>SUM(Audit[[#This Row],[Difference Winner]:[Difference Candidate 12]])</f>
        <v>0</v>
      </c>
      <c r="AS1058" s="17">
        <f>IF(Audit[[#This Row],[Times p Drawn - With Replacement]]&gt;0, IF(Audit[[#This Row],[Canceled Differences]]&lt;0, Audit[[#This Row],[Max Differences]]+ABS(Audit[[#This Row],[Canceled Differences]]), Audit[[#This Row],[Max Differences]]), 0)</f>
        <v>0</v>
      </c>
      <c r="AT1058" s="17">
        <f>'Sampling Data'!AB1058</f>
        <v>3.8618231200135801E-3</v>
      </c>
      <c r="AU1058" s="17">
        <f>IF(
      SUM(Audit[[#This Row],[Audit Losing Candidate]:[Audit Candidate 12]])
      &lt;&gt;0,
      (Audit[[#This Row],[Winning Candidate]]-Audit[[#This Row],[Losing Candidate]]-(Audit[[#This Row],[Audit Winning Candidate]]-Audit[[#This Row],[Audit Losing Candidate]]))/(Audit[[#Totals],[Winning Candidate]]-Audit[[#Totals],[Losing Candidate]]),
      0
)</f>
        <v>0</v>
      </c>
      <c r="AV10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8" s="17">
        <f>IF(Audit[[#This Row],[Max Relative Error (ep)]] = 0, 0, Audit[[#This Row],[Max Relative Error (ep)]]/Audit[[#This Row],[Error Bound (up) - Max. possible relative overstatement]])</f>
        <v>0</v>
      </c>
      <c r="BH10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58" s="17">
        <f t="shared" si="17"/>
        <v>1</v>
      </c>
      <c r="BJ1058" s="17">
        <f>PRODUCT($BI$5:BI1058)</f>
        <v>0.13793242319093066</v>
      </c>
      <c r="BK1058" s="19">
        <f>1 - Audit[[#This Row],[K-M P Value]]</f>
        <v>0.86206757680906931</v>
      </c>
      <c r="BL1058" s="17" t="str">
        <f>IF(Audit[[#This Row],[K-M P Value]]&gt;1-'General Info'!$B$12,"Continue", "Stop")</f>
        <v>Continue</v>
      </c>
      <c r="BM1058" s="22" t="b">
        <f>IF(Audit[[#This Row],[Status - Continue or stop audit]] = "Continue", TRUE, IF(BL1057 = "Continue", TRUE, FALSE))</f>
        <v>1</v>
      </c>
      <c r="BN1058" s="22"/>
    </row>
    <row r="1059" spans="1:66" ht="15" hidden="1" customHeight="1" x14ac:dyDescent="0.35">
      <c r="A1059" s="17" t="str">
        <f>'Sampling Data'!AI1059</f>
        <v/>
      </c>
      <c r="B1059" s="17" t="str">
        <f>'Sampling Data'!A1059</f>
        <v>8401 NEWT A   (ED)</v>
      </c>
      <c r="C1059" s="17">
        <f>'Sampling Data'!B1059</f>
        <v>154</v>
      </c>
      <c r="D1059" s="17">
        <f>'Sampling Data'!C1059</f>
        <v>259</v>
      </c>
      <c r="E1059" s="18">
        <f>'Sampling Data'!D1059</f>
        <v>0</v>
      </c>
      <c r="F1059" s="18">
        <f>'Sampling Data'!E1059</f>
        <v>0</v>
      </c>
      <c r="G1059" s="18">
        <f>'Sampling Data'!F1059</f>
        <v>0</v>
      </c>
      <c r="H1059" s="18">
        <f>'Sampling Data'!G1059</f>
        <v>0</v>
      </c>
      <c r="I1059" s="18">
        <f>'Sampling Data'!H1059</f>
        <v>0</v>
      </c>
      <c r="J1059" s="18">
        <f>'Sampling Data'!I1059</f>
        <v>0</v>
      </c>
      <c r="K1059" s="18">
        <f>'Sampling Data'!J1059</f>
        <v>0</v>
      </c>
      <c r="L1059" s="18">
        <f>'Sampling Data'!K1059</f>
        <v>0</v>
      </c>
      <c r="M1059" s="18">
        <f>'Sampling Data'!L1059</f>
        <v>0</v>
      </c>
      <c r="N1059" s="18">
        <f>'Sampling Data'!M1059</f>
        <v>0</v>
      </c>
      <c r="O1059" s="17">
        <f>'Sampling Data'!N1059</f>
        <v>0</v>
      </c>
      <c r="P1059" s="17">
        <f>'Sampling Data'!O1059</f>
        <v>31</v>
      </c>
      <c r="Q1059" s="17">
        <f>'Sampling Data'!P1059</f>
        <v>444</v>
      </c>
      <c r="R1059" s="17">
        <f>'Sampling Data'!AJ1059</f>
        <v>0</v>
      </c>
      <c r="S1059" s="111"/>
      <c r="T1059" s="111"/>
      <c r="U1059" s="112"/>
      <c r="V1059" s="112"/>
      <c r="W1059" s="111"/>
      <c r="X1059" s="111"/>
      <c r="Y1059" s="111"/>
      <c r="Z1059" s="111"/>
      <c r="AA1059" s="14"/>
      <c r="AB1059" s="14"/>
      <c r="AC1059" s="14"/>
      <c r="AD1059" s="14"/>
      <c r="AE1059" s="113" t="str">
        <f>IF(NOT(ISBLANK(Audit[[#This Row],[Audit Winning Candidate]])), Audit[[#This Row],[Audit Winning Candidate]]-Audit[[#This Row],[Winning Candidate]], "")</f>
        <v/>
      </c>
      <c r="AF1059" s="17" t="str">
        <f>IF(NOT(ISBLANK(Audit[[#This Row],[Audit Losing Candidate]])), Audit[[#This Row],[Audit Losing Candidate]]-Audit[[#This Row],[Losing Candidate]], "")</f>
        <v/>
      </c>
      <c r="AG1059" s="17" t="str">
        <f>IF(NOT(ISBLANK(Audit[[#This Row],[Audit Candidate 3]])), Audit[[#This Row],[Audit Candidate 3]]-Audit[[#This Row],[Candidate 3]], "")</f>
        <v/>
      </c>
      <c r="AH1059" s="17" t="str">
        <f>IF(NOT(ISBLANK(Audit[[#This Row],[Audit Candidate 4]])),Audit[[#This Row],[Audit Candidate 4]]-Audit[[#This Row],[Candidate 4]], "")</f>
        <v/>
      </c>
      <c r="AI1059" s="17" t="str">
        <f>IF(NOT(ISBLANK(Audit[[#This Row],[Audit Candidate 5]])), Audit[[#This Row],[Audit Candidate 5]]-Audit[[#This Row],[Candidate 5]], "")</f>
        <v/>
      </c>
      <c r="AJ1059" s="17" t="str">
        <f>IF(NOT(ISBLANK(Audit[[#This Row],[Audit Candidate 6]])), Audit[[#This Row],[Audit Candidate 6]]-Audit[[#This Row],[Candidate 6]], "")</f>
        <v/>
      </c>
      <c r="AK1059" s="17" t="str">
        <f>IF(NOT(ISBLANK(Audit[[#This Row],[Audit Candidate 7]])), Audit[[#This Row],[Audit Candidate 7]]-Audit[[#This Row],[Candidate 7]], "")</f>
        <v/>
      </c>
      <c r="AL1059" s="17" t="str">
        <f>IF(NOT(ISBLANK(Audit[[#This Row],[Audit Candidate 8]])), Audit[[#This Row],[Audit Candidate 8]]-Audit[[#This Row],[Candidate 8]], "")</f>
        <v/>
      </c>
      <c r="AM1059" s="17" t="str">
        <f>IF(NOT(ISBLANK(Audit[[#This Row],[Audit Candidate 9]])), Audit[[#This Row],[Audit Candidate 9]]-Audit[[#This Row],[Candidate 9]], "")</f>
        <v/>
      </c>
      <c r="AN1059" s="17" t="str">
        <f>IF(NOT(ISBLANK(Audit[[#This Row],[Audit Candidate 10]])), Audit[[#This Row],[Audit Candidate 10]]-Audit[[#This Row],[Candidate 10]], "")</f>
        <v/>
      </c>
      <c r="AO1059" s="17" t="str">
        <f>IF(NOT(ISBLANK(Audit[[#This Row],[Audit Candidate 11]])), Audit[[#This Row],[Audit Candidate 11]]-Audit[[#This Row],[Candidate 11]], "")</f>
        <v/>
      </c>
      <c r="AP1059" s="17" t="str">
        <f>IF(NOT(ISBLANK(Audit[[#This Row],[Audit Candidate 12]])), Audit[[#This Row],[Audit Candidate 12]]-Audit[[#This Row],[Candidate 12]], "")</f>
        <v/>
      </c>
      <c r="AQ1059" s="17">
        <f>SUMIF(Audit[[#This Row],[Difference Winner]:[Difference Candidate 12]], "&gt;0")</f>
        <v>0</v>
      </c>
      <c r="AR1059" s="17">
        <f>SUM(Audit[[#This Row],[Difference Winner]:[Difference Candidate 12]])</f>
        <v>0</v>
      </c>
      <c r="AS1059" s="17">
        <f>IF(Audit[[#This Row],[Times p Drawn - With Replacement]]&gt;0, IF(Audit[[#This Row],[Canceled Differences]]&lt;0, Audit[[#This Row],[Max Differences]]+ABS(Audit[[#This Row],[Canceled Differences]]), Audit[[#This Row],[Max Differences]]), 0)</f>
        <v>0</v>
      </c>
      <c r="AT1059" s="17">
        <f>'Sampling Data'!AB1059</f>
        <v>1.4386352062468171E-2</v>
      </c>
      <c r="AU1059" s="17">
        <f>IF(
      SUM(Audit[[#This Row],[Audit Losing Candidate]:[Audit Candidate 12]])
      &lt;&gt;0,
      (Audit[[#This Row],[Winning Candidate]]-Audit[[#This Row],[Losing Candidate]]-(Audit[[#This Row],[Audit Winning Candidate]]-Audit[[#This Row],[Audit Losing Candidate]]))/(Audit[[#Totals],[Winning Candidate]]-Audit[[#Totals],[Losing Candidate]]),
      0
)</f>
        <v>0</v>
      </c>
      <c r="AV10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9" s="17">
        <f>IF(Audit[[#This Row],[Max Relative Error (ep)]] = 0, 0, Audit[[#This Row],[Max Relative Error (ep)]]/Audit[[#This Row],[Error Bound (up) - Max. possible relative overstatement]])</f>
        <v>0</v>
      </c>
      <c r="BH10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59" s="17">
        <f t="shared" si="17"/>
        <v>1</v>
      </c>
      <c r="BJ1059" s="17">
        <f>PRODUCT($BI$5:BI1059)</f>
        <v>0.13793242319093066</v>
      </c>
      <c r="BK1059" s="19">
        <f>1 - Audit[[#This Row],[K-M P Value]]</f>
        <v>0.86206757680906931</v>
      </c>
      <c r="BL1059" s="17" t="str">
        <f>IF(Audit[[#This Row],[K-M P Value]]&gt;1-'General Info'!$B$12,"Continue", "Stop")</f>
        <v>Continue</v>
      </c>
      <c r="BM1059" s="22" t="b">
        <f>IF(Audit[[#This Row],[Status - Continue or stop audit]] = "Continue", TRUE, IF(BL1058 = "Continue", TRUE, FALSE))</f>
        <v>1</v>
      </c>
      <c r="BN1059" s="22"/>
    </row>
    <row r="1060" spans="1:66" ht="15" hidden="1" customHeight="1" x14ac:dyDescent="0.35">
      <c r="A1060" s="17" t="str">
        <f>'Sampling Data'!AI1060</f>
        <v/>
      </c>
      <c r="B1060" s="17" t="str">
        <f>'Sampling Data'!A1060</f>
        <v>8402 NEWT B   (ED)</v>
      </c>
      <c r="C1060" s="17">
        <f>'Sampling Data'!B1060</f>
        <v>161</v>
      </c>
      <c r="D1060" s="17">
        <f>'Sampling Data'!C1060</f>
        <v>353</v>
      </c>
      <c r="E1060" s="18">
        <f>'Sampling Data'!D1060</f>
        <v>0</v>
      </c>
      <c r="F1060" s="18">
        <f>'Sampling Data'!E1060</f>
        <v>0</v>
      </c>
      <c r="G1060" s="18">
        <f>'Sampling Data'!F1060</f>
        <v>0</v>
      </c>
      <c r="H1060" s="18">
        <f>'Sampling Data'!G1060</f>
        <v>0</v>
      </c>
      <c r="I1060" s="18">
        <f>'Sampling Data'!H1060</f>
        <v>0</v>
      </c>
      <c r="J1060" s="18">
        <f>'Sampling Data'!I1060</f>
        <v>0</v>
      </c>
      <c r="K1060" s="18">
        <f>'Sampling Data'!J1060</f>
        <v>0</v>
      </c>
      <c r="L1060" s="18">
        <f>'Sampling Data'!K1060</f>
        <v>0</v>
      </c>
      <c r="M1060" s="18">
        <f>'Sampling Data'!L1060</f>
        <v>0</v>
      </c>
      <c r="N1060" s="18">
        <f>'Sampling Data'!M1060</f>
        <v>0</v>
      </c>
      <c r="O1060" s="17">
        <f>'Sampling Data'!N1060</f>
        <v>0</v>
      </c>
      <c r="P1060" s="17">
        <f>'Sampling Data'!O1060</f>
        <v>36</v>
      </c>
      <c r="Q1060" s="17">
        <f>'Sampling Data'!P1060</f>
        <v>550</v>
      </c>
      <c r="R1060" s="17">
        <f>'Sampling Data'!AJ1060</f>
        <v>0</v>
      </c>
      <c r="S1060" s="111"/>
      <c r="T1060" s="111"/>
      <c r="U1060" s="112"/>
      <c r="V1060" s="112"/>
      <c r="W1060" s="111"/>
      <c r="X1060" s="111"/>
      <c r="Y1060" s="111"/>
      <c r="Z1060" s="111"/>
      <c r="AA1060" s="14"/>
      <c r="AB1060" s="14"/>
      <c r="AC1060" s="14"/>
      <c r="AD1060" s="14"/>
      <c r="AE1060" s="113" t="str">
        <f>IF(NOT(ISBLANK(Audit[[#This Row],[Audit Winning Candidate]])), Audit[[#This Row],[Audit Winning Candidate]]-Audit[[#This Row],[Winning Candidate]], "")</f>
        <v/>
      </c>
      <c r="AF1060" s="17" t="str">
        <f>IF(NOT(ISBLANK(Audit[[#This Row],[Audit Losing Candidate]])), Audit[[#This Row],[Audit Losing Candidate]]-Audit[[#This Row],[Losing Candidate]], "")</f>
        <v/>
      </c>
      <c r="AG1060" s="17" t="str">
        <f>IF(NOT(ISBLANK(Audit[[#This Row],[Audit Candidate 3]])), Audit[[#This Row],[Audit Candidate 3]]-Audit[[#This Row],[Candidate 3]], "")</f>
        <v/>
      </c>
      <c r="AH1060" s="17" t="str">
        <f>IF(NOT(ISBLANK(Audit[[#This Row],[Audit Candidate 4]])),Audit[[#This Row],[Audit Candidate 4]]-Audit[[#This Row],[Candidate 4]], "")</f>
        <v/>
      </c>
      <c r="AI1060" s="17" t="str">
        <f>IF(NOT(ISBLANK(Audit[[#This Row],[Audit Candidate 5]])), Audit[[#This Row],[Audit Candidate 5]]-Audit[[#This Row],[Candidate 5]], "")</f>
        <v/>
      </c>
      <c r="AJ1060" s="17" t="str">
        <f>IF(NOT(ISBLANK(Audit[[#This Row],[Audit Candidate 6]])), Audit[[#This Row],[Audit Candidate 6]]-Audit[[#This Row],[Candidate 6]], "")</f>
        <v/>
      </c>
      <c r="AK1060" s="17" t="str">
        <f>IF(NOT(ISBLANK(Audit[[#This Row],[Audit Candidate 7]])), Audit[[#This Row],[Audit Candidate 7]]-Audit[[#This Row],[Candidate 7]], "")</f>
        <v/>
      </c>
      <c r="AL1060" s="17" t="str">
        <f>IF(NOT(ISBLANK(Audit[[#This Row],[Audit Candidate 8]])), Audit[[#This Row],[Audit Candidate 8]]-Audit[[#This Row],[Candidate 8]], "")</f>
        <v/>
      </c>
      <c r="AM1060" s="17" t="str">
        <f>IF(NOT(ISBLANK(Audit[[#This Row],[Audit Candidate 9]])), Audit[[#This Row],[Audit Candidate 9]]-Audit[[#This Row],[Candidate 9]], "")</f>
        <v/>
      </c>
      <c r="AN1060" s="17" t="str">
        <f>IF(NOT(ISBLANK(Audit[[#This Row],[Audit Candidate 10]])), Audit[[#This Row],[Audit Candidate 10]]-Audit[[#This Row],[Candidate 10]], "")</f>
        <v/>
      </c>
      <c r="AO1060" s="17" t="str">
        <f>IF(NOT(ISBLANK(Audit[[#This Row],[Audit Candidate 11]])), Audit[[#This Row],[Audit Candidate 11]]-Audit[[#This Row],[Candidate 11]], "")</f>
        <v/>
      </c>
      <c r="AP1060" s="17" t="str">
        <f>IF(NOT(ISBLANK(Audit[[#This Row],[Audit Candidate 12]])), Audit[[#This Row],[Audit Candidate 12]]-Audit[[#This Row],[Candidate 12]], "")</f>
        <v/>
      </c>
      <c r="AQ1060" s="17">
        <f>SUMIF(Audit[[#This Row],[Difference Winner]:[Difference Candidate 12]], "&gt;0")</f>
        <v>0</v>
      </c>
      <c r="AR1060" s="17">
        <f>SUM(Audit[[#This Row],[Difference Winner]:[Difference Candidate 12]])</f>
        <v>0</v>
      </c>
      <c r="AS1060" s="17">
        <f>IF(Audit[[#This Row],[Times p Drawn - With Replacement]]&gt;0, IF(Audit[[#This Row],[Canceled Differences]]&lt;0, Audit[[#This Row],[Max Differences]]+ABS(Audit[[#This Row],[Canceled Differences]]), Audit[[#This Row],[Max Differences]]), 0)</f>
        <v>0</v>
      </c>
      <c r="AT1060" s="17">
        <f>'Sampling Data'!AB1060</f>
        <v>1.5192666779833644E-2</v>
      </c>
      <c r="AU1060" s="17">
        <f>IF(
      SUM(Audit[[#This Row],[Audit Losing Candidate]:[Audit Candidate 12]])
      &lt;&gt;0,
      (Audit[[#This Row],[Winning Candidate]]-Audit[[#This Row],[Losing Candidate]]-(Audit[[#This Row],[Audit Winning Candidate]]-Audit[[#This Row],[Audit Losing Candidate]]))/(Audit[[#Totals],[Winning Candidate]]-Audit[[#Totals],[Losing Candidate]]),
      0
)</f>
        <v>0</v>
      </c>
      <c r="AV10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0" s="17">
        <f>IF(Audit[[#This Row],[Max Relative Error (ep)]] = 0, 0, Audit[[#This Row],[Max Relative Error (ep)]]/Audit[[#This Row],[Error Bound (up) - Max. possible relative overstatement]])</f>
        <v>0</v>
      </c>
      <c r="BH10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60" s="17">
        <f t="shared" si="17"/>
        <v>1</v>
      </c>
      <c r="BJ1060" s="17">
        <f>PRODUCT($BI$5:BI1060)</f>
        <v>0.13793242319093066</v>
      </c>
      <c r="BK1060" s="19">
        <f>1 - Audit[[#This Row],[K-M P Value]]</f>
        <v>0.86206757680906931</v>
      </c>
      <c r="BL1060" s="17" t="str">
        <f>IF(Audit[[#This Row],[K-M P Value]]&gt;1-'General Info'!$B$12,"Continue", "Stop")</f>
        <v>Continue</v>
      </c>
      <c r="BM1060" s="22" t="b">
        <f>IF(Audit[[#This Row],[Status - Continue or stop audit]] = "Continue", TRUE, IF(BL1059 = "Continue", TRUE, FALSE))</f>
        <v>1</v>
      </c>
      <c r="BN1060" s="22"/>
    </row>
    <row r="1061" spans="1:66" ht="15" hidden="1" customHeight="1" x14ac:dyDescent="0.35">
      <c r="A1061" s="17" t="str">
        <f>'Sampling Data'!AI1061</f>
        <v/>
      </c>
      <c r="B1061" s="17" t="str">
        <f>'Sampling Data'!A1061</f>
        <v>8511 ST BN 1-A   (ED)</v>
      </c>
      <c r="C1061" s="17">
        <f>'Sampling Data'!B1061</f>
        <v>132</v>
      </c>
      <c r="D1061" s="17">
        <f>'Sampling Data'!C1061</f>
        <v>196</v>
      </c>
      <c r="E1061" s="18">
        <f>'Sampling Data'!D1061</f>
        <v>0</v>
      </c>
      <c r="F1061" s="18">
        <f>'Sampling Data'!E1061</f>
        <v>0</v>
      </c>
      <c r="G1061" s="18">
        <f>'Sampling Data'!F1061</f>
        <v>0</v>
      </c>
      <c r="H1061" s="18">
        <f>'Sampling Data'!G1061</f>
        <v>0</v>
      </c>
      <c r="I1061" s="18">
        <f>'Sampling Data'!H1061</f>
        <v>0</v>
      </c>
      <c r="J1061" s="18">
        <f>'Sampling Data'!I1061</f>
        <v>0</v>
      </c>
      <c r="K1061" s="18">
        <f>'Sampling Data'!J1061</f>
        <v>0</v>
      </c>
      <c r="L1061" s="18">
        <f>'Sampling Data'!K1061</f>
        <v>0</v>
      </c>
      <c r="M1061" s="18">
        <f>'Sampling Data'!L1061</f>
        <v>0</v>
      </c>
      <c r="N1061" s="18">
        <f>'Sampling Data'!M1061</f>
        <v>0</v>
      </c>
      <c r="O1061" s="17">
        <f>'Sampling Data'!N1061</f>
        <v>0</v>
      </c>
      <c r="P1061" s="17">
        <f>'Sampling Data'!O1061</f>
        <v>35</v>
      </c>
      <c r="Q1061" s="17">
        <f>'Sampling Data'!P1061</f>
        <v>363</v>
      </c>
      <c r="R1061" s="17">
        <f>'Sampling Data'!AJ1061</f>
        <v>0</v>
      </c>
      <c r="S1061" s="111"/>
      <c r="T1061" s="111"/>
      <c r="U1061" s="112"/>
      <c r="V1061" s="112"/>
      <c r="W1061" s="111"/>
      <c r="X1061" s="111"/>
      <c r="Y1061" s="111"/>
      <c r="Z1061" s="111"/>
      <c r="AA1061" s="14"/>
      <c r="AB1061" s="14"/>
      <c r="AC1061" s="14"/>
      <c r="AD1061" s="14"/>
      <c r="AE1061" s="113" t="str">
        <f>IF(NOT(ISBLANK(Audit[[#This Row],[Audit Winning Candidate]])), Audit[[#This Row],[Audit Winning Candidate]]-Audit[[#This Row],[Winning Candidate]], "")</f>
        <v/>
      </c>
      <c r="AF1061" s="17" t="str">
        <f>IF(NOT(ISBLANK(Audit[[#This Row],[Audit Losing Candidate]])), Audit[[#This Row],[Audit Losing Candidate]]-Audit[[#This Row],[Losing Candidate]], "")</f>
        <v/>
      </c>
      <c r="AG1061" s="17" t="str">
        <f>IF(NOT(ISBLANK(Audit[[#This Row],[Audit Candidate 3]])), Audit[[#This Row],[Audit Candidate 3]]-Audit[[#This Row],[Candidate 3]], "")</f>
        <v/>
      </c>
      <c r="AH1061" s="17" t="str">
        <f>IF(NOT(ISBLANK(Audit[[#This Row],[Audit Candidate 4]])),Audit[[#This Row],[Audit Candidate 4]]-Audit[[#This Row],[Candidate 4]], "")</f>
        <v/>
      </c>
      <c r="AI1061" s="17" t="str">
        <f>IF(NOT(ISBLANK(Audit[[#This Row],[Audit Candidate 5]])), Audit[[#This Row],[Audit Candidate 5]]-Audit[[#This Row],[Candidate 5]], "")</f>
        <v/>
      </c>
      <c r="AJ1061" s="17" t="str">
        <f>IF(NOT(ISBLANK(Audit[[#This Row],[Audit Candidate 6]])), Audit[[#This Row],[Audit Candidate 6]]-Audit[[#This Row],[Candidate 6]], "")</f>
        <v/>
      </c>
      <c r="AK1061" s="17" t="str">
        <f>IF(NOT(ISBLANK(Audit[[#This Row],[Audit Candidate 7]])), Audit[[#This Row],[Audit Candidate 7]]-Audit[[#This Row],[Candidate 7]], "")</f>
        <v/>
      </c>
      <c r="AL1061" s="17" t="str">
        <f>IF(NOT(ISBLANK(Audit[[#This Row],[Audit Candidate 8]])), Audit[[#This Row],[Audit Candidate 8]]-Audit[[#This Row],[Candidate 8]], "")</f>
        <v/>
      </c>
      <c r="AM1061" s="17" t="str">
        <f>IF(NOT(ISBLANK(Audit[[#This Row],[Audit Candidate 9]])), Audit[[#This Row],[Audit Candidate 9]]-Audit[[#This Row],[Candidate 9]], "")</f>
        <v/>
      </c>
      <c r="AN1061" s="17" t="str">
        <f>IF(NOT(ISBLANK(Audit[[#This Row],[Audit Candidate 10]])), Audit[[#This Row],[Audit Candidate 10]]-Audit[[#This Row],[Candidate 10]], "")</f>
        <v/>
      </c>
      <c r="AO1061" s="17" t="str">
        <f>IF(NOT(ISBLANK(Audit[[#This Row],[Audit Candidate 11]])), Audit[[#This Row],[Audit Candidate 11]]-Audit[[#This Row],[Candidate 11]], "")</f>
        <v/>
      </c>
      <c r="AP1061" s="17" t="str">
        <f>IF(NOT(ISBLANK(Audit[[#This Row],[Audit Candidate 12]])), Audit[[#This Row],[Audit Candidate 12]]-Audit[[#This Row],[Candidate 12]], "")</f>
        <v/>
      </c>
      <c r="AQ1061" s="17">
        <f>SUMIF(Audit[[#This Row],[Difference Winner]:[Difference Candidate 12]], "&gt;0")</f>
        <v>0</v>
      </c>
      <c r="AR1061" s="17">
        <f>SUM(Audit[[#This Row],[Difference Winner]:[Difference Candidate 12]])</f>
        <v>0</v>
      </c>
      <c r="AS1061" s="17">
        <f>IF(Audit[[#This Row],[Times p Drawn - With Replacement]]&gt;0, IF(Audit[[#This Row],[Canceled Differences]]&lt;0, Audit[[#This Row],[Max Differences]]+ABS(Audit[[#This Row],[Canceled Differences]]), Audit[[#This Row],[Max Differences]]), 0)</f>
        <v>0</v>
      </c>
      <c r="AT1061" s="17">
        <f>'Sampling Data'!AB1061</f>
        <v>1.2688847394330334E-2</v>
      </c>
      <c r="AU1061" s="17">
        <f>IF(
      SUM(Audit[[#This Row],[Audit Losing Candidate]:[Audit Candidate 12]])
      &lt;&gt;0,
      (Audit[[#This Row],[Winning Candidate]]-Audit[[#This Row],[Losing Candidate]]-(Audit[[#This Row],[Audit Winning Candidate]]-Audit[[#This Row],[Audit Losing Candidate]]))/(Audit[[#Totals],[Winning Candidate]]-Audit[[#Totals],[Losing Candidate]]),
      0
)</f>
        <v>0</v>
      </c>
      <c r="AV10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1" s="17">
        <f>IF(Audit[[#This Row],[Max Relative Error (ep)]] = 0, 0, Audit[[#This Row],[Max Relative Error (ep)]]/Audit[[#This Row],[Error Bound (up) - Max. possible relative overstatement]])</f>
        <v>0</v>
      </c>
      <c r="BH10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61" s="17">
        <f t="shared" si="17"/>
        <v>1</v>
      </c>
      <c r="BJ1061" s="17">
        <f>PRODUCT($BI$5:BI1061)</f>
        <v>0.13793242319093066</v>
      </c>
      <c r="BK1061" s="19">
        <f>1 - Audit[[#This Row],[K-M P Value]]</f>
        <v>0.86206757680906931</v>
      </c>
      <c r="BL1061" s="17" t="str">
        <f>IF(Audit[[#This Row],[K-M P Value]]&gt;1-'General Info'!$B$12,"Continue", "Stop")</f>
        <v>Continue</v>
      </c>
      <c r="BM1061" s="22" t="b">
        <f>IF(Audit[[#This Row],[Status - Continue or stop audit]] = "Continue", TRUE, IF(BL1060 = "Continue", TRUE, FALSE))</f>
        <v>1</v>
      </c>
      <c r="BN1061" s="22"/>
    </row>
    <row r="1062" spans="1:66" ht="15" hidden="1" customHeight="1" x14ac:dyDescent="0.35">
      <c r="A1062" s="17" t="str">
        <f>'Sampling Data'!AI1062</f>
        <v/>
      </c>
      <c r="B1062" s="17" t="str">
        <f>'Sampling Data'!A1062</f>
        <v>8521 ST BN 2-A   (ED)</v>
      </c>
      <c r="C1062" s="17">
        <f>'Sampling Data'!B1062</f>
        <v>123</v>
      </c>
      <c r="D1062" s="17">
        <f>'Sampling Data'!C1062</f>
        <v>138</v>
      </c>
      <c r="E1062" s="18">
        <f>'Sampling Data'!D1062</f>
        <v>0</v>
      </c>
      <c r="F1062" s="18">
        <f>'Sampling Data'!E1062</f>
        <v>0</v>
      </c>
      <c r="G1062" s="18">
        <f>'Sampling Data'!F1062</f>
        <v>0</v>
      </c>
      <c r="H1062" s="18">
        <f>'Sampling Data'!G1062</f>
        <v>0</v>
      </c>
      <c r="I1062" s="18">
        <f>'Sampling Data'!H1062</f>
        <v>0</v>
      </c>
      <c r="J1062" s="18">
        <f>'Sampling Data'!I1062</f>
        <v>0</v>
      </c>
      <c r="K1062" s="18">
        <f>'Sampling Data'!J1062</f>
        <v>0</v>
      </c>
      <c r="L1062" s="18">
        <f>'Sampling Data'!K1062</f>
        <v>0</v>
      </c>
      <c r="M1062" s="18">
        <f>'Sampling Data'!L1062</f>
        <v>0</v>
      </c>
      <c r="N1062" s="18">
        <f>'Sampling Data'!M1062</f>
        <v>0</v>
      </c>
      <c r="O1062" s="17">
        <f>'Sampling Data'!N1062</f>
        <v>0</v>
      </c>
      <c r="P1062" s="17">
        <f>'Sampling Data'!O1062</f>
        <v>26</v>
      </c>
      <c r="Q1062" s="17">
        <f>'Sampling Data'!P1062</f>
        <v>287</v>
      </c>
      <c r="R1062" s="17">
        <f>'Sampling Data'!AJ1062</f>
        <v>0</v>
      </c>
      <c r="S1062" s="111"/>
      <c r="T1062" s="111"/>
      <c r="U1062" s="112"/>
      <c r="V1062" s="112"/>
      <c r="W1062" s="111"/>
      <c r="X1062" s="111"/>
      <c r="Y1062" s="111"/>
      <c r="Z1062" s="111"/>
      <c r="AA1062" s="14"/>
      <c r="AB1062" s="14"/>
      <c r="AC1062" s="14"/>
      <c r="AD1062" s="14"/>
      <c r="AE1062" s="113" t="str">
        <f>IF(NOT(ISBLANK(Audit[[#This Row],[Audit Winning Candidate]])), Audit[[#This Row],[Audit Winning Candidate]]-Audit[[#This Row],[Winning Candidate]], "")</f>
        <v/>
      </c>
      <c r="AF1062" s="17" t="str">
        <f>IF(NOT(ISBLANK(Audit[[#This Row],[Audit Losing Candidate]])), Audit[[#This Row],[Audit Losing Candidate]]-Audit[[#This Row],[Losing Candidate]], "")</f>
        <v/>
      </c>
      <c r="AG1062" s="17" t="str">
        <f>IF(NOT(ISBLANK(Audit[[#This Row],[Audit Candidate 3]])), Audit[[#This Row],[Audit Candidate 3]]-Audit[[#This Row],[Candidate 3]], "")</f>
        <v/>
      </c>
      <c r="AH1062" s="17" t="str">
        <f>IF(NOT(ISBLANK(Audit[[#This Row],[Audit Candidate 4]])),Audit[[#This Row],[Audit Candidate 4]]-Audit[[#This Row],[Candidate 4]], "")</f>
        <v/>
      </c>
      <c r="AI1062" s="17" t="str">
        <f>IF(NOT(ISBLANK(Audit[[#This Row],[Audit Candidate 5]])), Audit[[#This Row],[Audit Candidate 5]]-Audit[[#This Row],[Candidate 5]], "")</f>
        <v/>
      </c>
      <c r="AJ1062" s="17" t="str">
        <f>IF(NOT(ISBLANK(Audit[[#This Row],[Audit Candidate 6]])), Audit[[#This Row],[Audit Candidate 6]]-Audit[[#This Row],[Candidate 6]], "")</f>
        <v/>
      </c>
      <c r="AK1062" s="17" t="str">
        <f>IF(NOT(ISBLANK(Audit[[#This Row],[Audit Candidate 7]])), Audit[[#This Row],[Audit Candidate 7]]-Audit[[#This Row],[Candidate 7]], "")</f>
        <v/>
      </c>
      <c r="AL1062" s="17" t="str">
        <f>IF(NOT(ISBLANK(Audit[[#This Row],[Audit Candidate 8]])), Audit[[#This Row],[Audit Candidate 8]]-Audit[[#This Row],[Candidate 8]], "")</f>
        <v/>
      </c>
      <c r="AM1062" s="17" t="str">
        <f>IF(NOT(ISBLANK(Audit[[#This Row],[Audit Candidate 9]])), Audit[[#This Row],[Audit Candidate 9]]-Audit[[#This Row],[Candidate 9]], "")</f>
        <v/>
      </c>
      <c r="AN1062" s="17" t="str">
        <f>IF(NOT(ISBLANK(Audit[[#This Row],[Audit Candidate 10]])), Audit[[#This Row],[Audit Candidate 10]]-Audit[[#This Row],[Candidate 10]], "")</f>
        <v/>
      </c>
      <c r="AO1062" s="17" t="str">
        <f>IF(NOT(ISBLANK(Audit[[#This Row],[Audit Candidate 11]])), Audit[[#This Row],[Audit Candidate 11]]-Audit[[#This Row],[Candidate 11]], "")</f>
        <v/>
      </c>
      <c r="AP1062" s="17" t="str">
        <f>IF(NOT(ISBLANK(Audit[[#This Row],[Audit Candidate 12]])), Audit[[#This Row],[Audit Candidate 12]]-Audit[[#This Row],[Candidate 12]], "")</f>
        <v/>
      </c>
      <c r="AQ1062" s="17">
        <f>SUMIF(Audit[[#This Row],[Difference Winner]:[Difference Candidate 12]], "&gt;0")</f>
        <v>0</v>
      </c>
      <c r="AR1062" s="17">
        <f>SUM(Audit[[#This Row],[Difference Winner]:[Difference Candidate 12]])</f>
        <v>0</v>
      </c>
      <c r="AS1062" s="17">
        <f>IF(Audit[[#This Row],[Times p Drawn - With Replacement]]&gt;0, IF(Audit[[#This Row],[Canceled Differences]]&lt;0, Audit[[#This Row],[Max Differences]]+ABS(Audit[[#This Row],[Canceled Differences]]), Audit[[#This Row],[Max Differences]]), 0)</f>
        <v>0</v>
      </c>
      <c r="AT1062" s="17">
        <f>'Sampling Data'!AB1062</f>
        <v>1.1543031743337295E-2</v>
      </c>
      <c r="AU1062" s="17">
        <f>IF(
      SUM(Audit[[#This Row],[Audit Losing Candidate]:[Audit Candidate 12]])
      &lt;&gt;0,
      (Audit[[#This Row],[Winning Candidate]]-Audit[[#This Row],[Losing Candidate]]-(Audit[[#This Row],[Audit Winning Candidate]]-Audit[[#This Row],[Audit Losing Candidate]]))/(Audit[[#Totals],[Winning Candidate]]-Audit[[#Totals],[Losing Candidate]]),
      0
)</f>
        <v>0</v>
      </c>
      <c r="AV10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2" s="17">
        <f>IF(Audit[[#This Row],[Max Relative Error (ep)]] = 0, 0, Audit[[#This Row],[Max Relative Error (ep)]]/Audit[[#This Row],[Error Bound (up) - Max. possible relative overstatement]])</f>
        <v>0</v>
      </c>
      <c r="BH10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62" s="17">
        <f t="shared" si="17"/>
        <v>1</v>
      </c>
      <c r="BJ1062" s="17">
        <f>PRODUCT($BI$5:BI1062)</f>
        <v>0.13793242319093066</v>
      </c>
      <c r="BK1062" s="19">
        <f>1 - Audit[[#This Row],[K-M P Value]]</f>
        <v>0.86206757680906931</v>
      </c>
      <c r="BL1062" s="17" t="str">
        <f>IF(Audit[[#This Row],[K-M P Value]]&gt;1-'General Info'!$B$12,"Continue", "Stop")</f>
        <v>Continue</v>
      </c>
      <c r="BM1062" s="22" t="b">
        <f>IF(Audit[[#This Row],[Status - Continue or stop audit]] = "Continue", TRUE, IF(BL1061 = "Continue", TRUE, FALSE))</f>
        <v>1</v>
      </c>
      <c r="BN1062" s="22"/>
    </row>
    <row r="1063" spans="1:66" ht="15" hidden="1" customHeight="1" x14ac:dyDescent="0.35">
      <c r="A1063" s="17" t="str">
        <f>'Sampling Data'!AI1063</f>
        <v/>
      </c>
      <c r="B1063" s="17" t="str">
        <f>'Sampling Data'!A1063</f>
        <v>8531 ST BN 3-A   (ED)</v>
      </c>
      <c r="C1063" s="17">
        <f>'Sampling Data'!B1063</f>
        <v>144</v>
      </c>
      <c r="D1063" s="17">
        <f>'Sampling Data'!C1063</f>
        <v>165</v>
      </c>
      <c r="E1063" s="18">
        <f>'Sampling Data'!D1063</f>
        <v>0</v>
      </c>
      <c r="F1063" s="18">
        <f>'Sampling Data'!E1063</f>
        <v>0</v>
      </c>
      <c r="G1063" s="18">
        <f>'Sampling Data'!F1063</f>
        <v>0</v>
      </c>
      <c r="H1063" s="18">
        <f>'Sampling Data'!G1063</f>
        <v>0</v>
      </c>
      <c r="I1063" s="18">
        <f>'Sampling Data'!H1063</f>
        <v>0</v>
      </c>
      <c r="J1063" s="18">
        <f>'Sampling Data'!I1063</f>
        <v>0</v>
      </c>
      <c r="K1063" s="18">
        <f>'Sampling Data'!J1063</f>
        <v>0</v>
      </c>
      <c r="L1063" s="18">
        <f>'Sampling Data'!K1063</f>
        <v>0</v>
      </c>
      <c r="M1063" s="18">
        <f>'Sampling Data'!L1063</f>
        <v>0</v>
      </c>
      <c r="N1063" s="18">
        <f>'Sampling Data'!M1063</f>
        <v>0</v>
      </c>
      <c r="O1063" s="17">
        <f>'Sampling Data'!N1063</f>
        <v>0</v>
      </c>
      <c r="P1063" s="17">
        <f>'Sampling Data'!O1063</f>
        <v>40</v>
      </c>
      <c r="Q1063" s="17">
        <f>'Sampling Data'!P1063</f>
        <v>349</v>
      </c>
      <c r="R1063" s="17">
        <f>'Sampling Data'!AJ1063</f>
        <v>0</v>
      </c>
      <c r="S1063" s="111"/>
      <c r="T1063" s="111"/>
      <c r="U1063" s="112"/>
      <c r="V1063" s="112"/>
      <c r="W1063" s="111"/>
      <c r="X1063" s="111"/>
      <c r="Y1063" s="111"/>
      <c r="Z1063" s="111"/>
      <c r="AA1063" s="14"/>
      <c r="AB1063" s="14"/>
      <c r="AC1063" s="14"/>
      <c r="AD1063" s="14"/>
      <c r="AE1063" s="113" t="str">
        <f>IF(NOT(ISBLANK(Audit[[#This Row],[Audit Winning Candidate]])), Audit[[#This Row],[Audit Winning Candidate]]-Audit[[#This Row],[Winning Candidate]], "")</f>
        <v/>
      </c>
      <c r="AF1063" s="17" t="str">
        <f>IF(NOT(ISBLANK(Audit[[#This Row],[Audit Losing Candidate]])), Audit[[#This Row],[Audit Losing Candidate]]-Audit[[#This Row],[Losing Candidate]], "")</f>
        <v/>
      </c>
      <c r="AG1063" s="17" t="str">
        <f>IF(NOT(ISBLANK(Audit[[#This Row],[Audit Candidate 3]])), Audit[[#This Row],[Audit Candidate 3]]-Audit[[#This Row],[Candidate 3]], "")</f>
        <v/>
      </c>
      <c r="AH1063" s="17" t="str">
        <f>IF(NOT(ISBLANK(Audit[[#This Row],[Audit Candidate 4]])),Audit[[#This Row],[Audit Candidate 4]]-Audit[[#This Row],[Candidate 4]], "")</f>
        <v/>
      </c>
      <c r="AI1063" s="17" t="str">
        <f>IF(NOT(ISBLANK(Audit[[#This Row],[Audit Candidate 5]])), Audit[[#This Row],[Audit Candidate 5]]-Audit[[#This Row],[Candidate 5]], "")</f>
        <v/>
      </c>
      <c r="AJ1063" s="17" t="str">
        <f>IF(NOT(ISBLANK(Audit[[#This Row],[Audit Candidate 6]])), Audit[[#This Row],[Audit Candidate 6]]-Audit[[#This Row],[Candidate 6]], "")</f>
        <v/>
      </c>
      <c r="AK1063" s="17" t="str">
        <f>IF(NOT(ISBLANK(Audit[[#This Row],[Audit Candidate 7]])), Audit[[#This Row],[Audit Candidate 7]]-Audit[[#This Row],[Candidate 7]], "")</f>
        <v/>
      </c>
      <c r="AL1063" s="17" t="str">
        <f>IF(NOT(ISBLANK(Audit[[#This Row],[Audit Candidate 8]])), Audit[[#This Row],[Audit Candidate 8]]-Audit[[#This Row],[Candidate 8]], "")</f>
        <v/>
      </c>
      <c r="AM1063" s="17" t="str">
        <f>IF(NOT(ISBLANK(Audit[[#This Row],[Audit Candidate 9]])), Audit[[#This Row],[Audit Candidate 9]]-Audit[[#This Row],[Candidate 9]], "")</f>
        <v/>
      </c>
      <c r="AN1063" s="17" t="str">
        <f>IF(NOT(ISBLANK(Audit[[#This Row],[Audit Candidate 10]])), Audit[[#This Row],[Audit Candidate 10]]-Audit[[#This Row],[Candidate 10]], "")</f>
        <v/>
      </c>
      <c r="AO1063" s="17" t="str">
        <f>IF(NOT(ISBLANK(Audit[[#This Row],[Audit Candidate 11]])), Audit[[#This Row],[Audit Candidate 11]]-Audit[[#This Row],[Candidate 11]], "")</f>
        <v/>
      </c>
      <c r="AP1063" s="17" t="str">
        <f>IF(NOT(ISBLANK(Audit[[#This Row],[Audit Candidate 12]])), Audit[[#This Row],[Audit Candidate 12]]-Audit[[#This Row],[Candidate 12]], "")</f>
        <v/>
      </c>
      <c r="AQ1063" s="17">
        <f>SUMIF(Audit[[#This Row],[Difference Winner]:[Difference Candidate 12]], "&gt;0")</f>
        <v>0</v>
      </c>
      <c r="AR1063" s="17">
        <f>SUM(Audit[[#This Row],[Difference Winner]:[Difference Candidate 12]])</f>
        <v>0</v>
      </c>
      <c r="AS1063" s="17">
        <f>IF(Audit[[#This Row],[Times p Drawn - With Replacement]]&gt;0, IF(Audit[[#This Row],[Canceled Differences]]&lt;0, Audit[[#This Row],[Max Differences]]+ABS(Audit[[#This Row],[Canceled Differences]]), Audit[[#This Row],[Max Differences]]), 0)</f>
        <v>0</v>
      </c>
      <c r="AT1063" s="17">
        <f>'Sampling Data'!AB1063</f>
        <v>1.3919538278730267E-2</v>
      </c>
      <c r="AU1063" s="17">
        <f>IF(
      SUM(Audit[[#This Row],[Audit Losing Candidate]:[Audit Candidate 12]])
      &lt;&gt;0,
      (Audit[[#This Row],[Winning Candidate]]-Audit[[#This Row],[Losing Candidate]]-(Audit[[#This Row],[Audit Winning Candidate]]-Audit[[#This Row],[Audit Losing Candidate]]))/(Audit[[#Totals],[Winning Candidate]]-Audit[[#Totals],[Losing Candidate]]),
      0
)</f>
        <v>0</v>
      </c>
      <c r="AV10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3" s="17">
        <f>IF(Audit[[#This Row],[Max Relative Error (ep)]] = 0, 0, Audit[[#This Row],[Max Relative Error (ep)]]/Audit[[#This Row],[Error Bound (up) - Max. possible relative overstatement]])</f>
        <v>0</v>
      </c>
      <c r="BH10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63" s="17">
        <f t="shared" si="17"/>
        <v>1</v>
      </c>
      <c r="BJ1063" s="17">
        <f>PRODUCT($BI$5:BI1063)</f>
        <v>0.13793242319093066</v>
      </c>
      <c r="BK1063" s="19">
        <f>1 - Audit[[#This Row],[K-M P Value]]</f>
        <v>0.86206757680906931</v>
      </c>
      <c r="BL1063" s="17" t="str">
        <f>IF(Audit[[#This Row],[K-M P Value]]&gt;1-'General Info'!$B$12,"Continue", "Stop")</f>
        <v>Continue</v>
      </c>
      <c r="BM1063" s="22" t="b">
        <f>IF(Audit[[#This Row],[Status - Continue or stop audit]] = "Continue", TRUE, IF(BL1062 = "Continue", TRUE, FALSE))</f>
        <v>1</v>
      </c>
      <c r="BN1063" s="22"/>
    </row>
    <row r="1064" spans="1:66" ht="15" hidden="1" customHeight="1" x14ac:dyDescent="0.35">
      <c r="A1064" s="17" t="str">
        <f>'Sampling Data'!AI1064</f>
        <v/>
      </c>
      <c r="B1064" s="17" t="str">
        <f>'Sampling Data'!A1064</f>
        <v>8541 ST BN 4-A   (ED)</v>
      </c>
      <c r="C1064" s="17">
        <f>'Sampling Data'!B1064</f>
        <v>157</v>
      </c>
      <c r="D1064" s="17">
        <f>'Sampling Data'!C1064</f>
        <v>131</v>
      </c>
      <c r="E1064" s="18">
        <f>'Sampling Data'!D1064</f>
        <v>0</v>
      </c>
      <c r="F1064" s="18">
        <f>'Sampling Data'!E1064</f>
        <v>0</v>
      </c>
      <c r="G1064" s="18">
        <f>'Sampling Data'!F1064</f>
        <v>0</v>
      </c>
      <c r="H1064" s="18">
        <f>'Sampling Data'!G1064</f>
        <v>0</v>
      </c>
      <c r="I1064" s="18">
        <f>'Sampling Data'!H1064</f>
        <v>0</v>
      </c>
      <c r="J1064" s="18">
        <f>'Sampling Data'!I1064</f>
        <v>0</v>
      </c>
      <c r="K1064" s="18">
        <f>'Sampling Data'!J1064</f>
        <v>0</v>
      </c>
      <c r="L1064" s="18">
        <f>'Sampling Data'!K1064</f>
        <v>0</v>
      </c>
      <c r="M1064" s="18">
        <f>'Sampling Data'!L1064</f>
        <v>0</v>
      </c>
      <c r="N1064" s="18">
        <f>'Sampling Data'!M1064</f>
        <v>0</v>
      </c>
      <c r="O1064" s="17">
        <f>'Sampling Data'!N1064</f>
        <v>0</v>
      </c>
      <c r="P1064" s="17">
        <f>'Sampling Data'!O1064</f>
        <v>36</v>
      </c>
      <c r="Q1064" s="17">
        <f>'Sampling Data'!P1064</f>
        <v>324</v>
      </c>
      <c r="R1064" s="17">
        <f>'Sampling Data'!AJ1064</f>
        <v>0</v>
      </c>
      <c r="S1064" s="111"/>
      <c r="T1064" s="111"/>
      <c r="U1064" s="112"/>
      <c r="V1064" s="112"/>
      <c r="W1064" s="111"/>
      <c r="X1064" s="111"/>
      <c r="Y1064" s="111"/>
      <c r="Z1064" s="111"/>
      <c r="AA1064" s="14"/>
      <c r="AB1064" s="14"/>
      <c r="AC1064" s="14"/>
      <c r="AD1064" s="14"/>
      <c r="AE1064" s="113" t="str">
        <f>IF(NOT(ISBLANK(Audit[[#This Row],[Audit Winning Candidate]])), Audit[[#This Row],[Audit Winning Candidate]]-Audit[[#This Row],[Winning Candidate]], "")</f>
        <v/>
      </c>
      <c r="AF1064" s="17" t="str">
        <f>IF(NOT(ISBLANK(Audit[[#This Row],[Audit Losing Candidate]])), Audit[[#This Row],[Audit Losing Candidate]]-Audit[[#This Row],[Losing Candidate]], "")</f>
        <v/>
      </c>
      <c r="AG1064" s="17" t="str">
        <f>IF(NOT(ISBLANK(Audit[[#This Row],[Audit Candidate 3]])), Audit[[#This Row],[Audit Candidate 3]]-Audit[[#This Row],[Candidate 3]], "")</f>
        <v/>
      </c>
      <c r="AH1064" s="17" t="str">
        <f>IF(NOT(ISBLANK(Audit[[#This Row],[Audit Candidate 4]])),Audit[[#This Row],[Audit Candidate 4]]-Audit[[#This Row],[Candidate 4]], "")</f>
        <v/>
      </c>
      <c r="AI1064" s="17" t="str">
        <f>IF(NOT(ISBLANK(Audit[[#This Row],[Audit Candidate 5]])), Audit[[#This Row],[Audit Candidate 5]]-Audit[[#This Row],[Candidate 5]], "")</f>
        <v/>
      </c>
      <c r="AJ1064" s="17" t="str">
        <f>IF(NOT(ISBLANK(Audit[[#This Row],[Audit Candidate 6]])), Audit[[#This Row],[Audit Candidate 6]]-Audit[[#This Row],[Candidate 6]], "")</f>
        <v/>
      </c>
      <c r="AK1064" s="17" t="str">
        <f>IF(NOT(ISBLANK(Audit[[#This Row],[Audit Candidate 7]])), Audit[[#This Row],[Audit Candidate 7]]-Audit[[#This Row],[Candidate 7]], "")</f>
        <v/>
      </c>
      <c r="AL1064" s="17" t="str">
        <f>IF(NOT(ISBLANK(Audit[[#This Row],[Audit Candidate 8]])), Audit[[#This Row],[Audit Candidate 8]]-Audit[[#This Row],[Candidate 8]], "")</f>
        <v/>
      </c>
      <c r="AM1064" s="17" t="str">
        <f>IF(NOT(ISBLANK(Audit[[#This Row],[Audit Candidate 9]])), Audit[[#This Row],[Audit Candidate 9]]-Audit[[#This Row],[Candidate 9]], "")</f>
        <v/>
      </c>
      <c r="AN1064" s="17" t="str">
        <f>IF(NOT(ISBLANK(Audit[[#This Row],[Audit Candidate 10]])), Audit[[#This Row],[Audit Candidate 10]]-Audit[[#This Row],[Candidate 10]], "")</f>
        <v/>
      </c>
      <c r="AO1064" s="17" t="str">
        <f>IF(NOT(ISBLANK(Audit[[#This Row],[Audit Candidate 11]])), Audit[[#This Row],[Audit Candidate 11]]-Audit[[#This Row],[Candidate 11]], "")</f>
        <v/>
      </c>
      <c r="AP1064" s="17" t="str">
        <f>IF(NOT(ISBLANK(Audit[[#This Row],[Audit Candidate 12]])), Audit[[#This Row],[Audit Candidate 12]]-Audit[[#This Row],[Candidate 12]], "")</f>
        <v/>
      </c>
      <c r="AQ1064" s="17">
        <f>SUMIF(Audit[[#This Row],[Difference Winner]:[Difference Candidate 12]], "&gt;0")</f>
        <v>0</v>
      </c>
      <c r="AR1064" s="17">
        <f>SUM(Audit[[#This Row],[Difference Winner]:[Difference Candidate 12]])</f>
        <v>0</v>
      </c>
      <c r="AS1064" s="17">
        <f>IF(Audit[[#This Row],[Times p Drawn - With Replacement]]&gt;0, IF(Audit[[#This Row],[Canceled Differences]]&lt;0, Audit[[#This Row],[Max Differences]]+ABS(Audit[[#This Row],[Canceled Differences]]), Audit[[#This Row],[Max Differences]]), 0)</f>
        <v>0</v>
      </c>
      <c r="AT1064" s="17">
        <f>'Sampling Data'!AB1064</f>
        <v>1.4853165846206077E-2</v>
      </c>
      <c r="AU1064" s="17">
        <f>IF(
      SUM(Audit[[#This Row],[Audit Losing Candidate]:[Audit Candidate 12]])
      &lt;&gt;0,
      (Audit[[#This Row],[Winning Candidate]]-Audit[[#This Row],[Losing Candidate]]-(Audit[[#This Row],[Audit Winning Candidate]]-Audit[[#This Row],[Audit Losing Candidate]]))/(Audit[[#Totals],[Winning Candidate]]-Audit[[#Totals],[Losing Candidate]]),
      0
)</f>
        <v>0</v>
      </c>
      <c r="AV10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4" s="17">
        <f>IF(Audit[[#This Row],[Max Relative Error (ep)]] = 0, 0, Audit[[#This Row],[Max Relative Error (ep)]]/Audit[[#This Row],[Error Bound (up) - Max. possible relative overstatement]])</f>
        <v>0</v>
      </c>
      <c r="BH10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64" s="17">
        <f t="shared" si="17"/>
        <v>1</v>
      </c>
      <c r="BJ1064" s="17">
        <f>PRODUCT($BI$5:BI1064)</f>
        <v>0.13793242319093066</v>
      </c>
      <c r="BK1064" s="19">
        <f>1 - Audit[[#This Row],[K-M P Value]]</f>
        <v>0.86206757680906931</v>
      </c>
      <c r="BL1064" s="17" t="str">
        <f>IF(Audit[[#This Row],[K-M P Value]]&gt;1-'General Info'!$B$12,"Continue", "Stop")</f>
        <v>Continue</v>
      </c>
      <c r="BM1064" s="22" t="b">
        <f>IF(Audit[[#This Row],[Status - Continue or stop audit]] = "Continue", TRUE, IF(BL1063 = "Continue", TRUE, FALSE))</f>
        <v>1</v>
      </c>
      <c r="BN1064" s="22"/>
    </row>
    <row r="1065" spans="1:66" ht="15" hidden="1" customHeight="1" x14ac:dyDescent="0.35">
      <c r="A1065" s="17" t="str">
        <f>'Sampling Data'!AI1065</f>
        <v/>
      </c>
      <c r="B1065" s="17" t="str">
        <f>'Sampling Data'!A1065</f>
        <v>8601 SILVT A   (ED)</v>
      </c>
      <c r="C1065" s="17">
        <f>'Sampling Data'!B1065</f>
        <v>226</v>
      </c>
      <c r="D1065" s="17">
        <f>'Sampling Data'!C1065</f>
        <v>140</v>
      </c>
      <c r="E1065" s="18">
        <f>'Sampling Data'!D1065</f>
        <v>0</v>
      </c>
      <c r="F1065" s="18">
        <f>'Sampling Data'!E1065</f>
        <v>0</v>
      </c>
      <c r="G1065" s="18">
        <f>'Sampling Data'!F1065</f>
        <v>0</v>
      </c>
      <c r="H1065" s="18">
        <f>'Sampling Data'!G1065</f>
        <v>0</v>
      </c>
      <c r="I1065" s="18">
        <f>'Sampling Data'!H1065</f>
        <v>0</v>
      </c>
      <c r="J1065" s="18">
        <f>'Sampling Data'!I1065</f>
        <v>0</v>
      </c>
      <c r="K1065" s="18">
        <f>'Sampling Data'!J1065</f>
        <v>0</v>
      </c>
      <c r="L1065" s="18">
        <f>'Sampling Data'!K1065</f>
        <v>0</v>
      </c>
      <c r="M1065" s="18">
        <f>'Sampling Data'!L1065</f>
        <v>0</v>
      </c>
      <c r="N1065" s="18">
        <f>'Sampling Data'!M1065</f>
        <v>0</v>
      </c>
      <c r="O1065" s="17">
        <f>'Sampling Data'!N1065</f>
        <v>0</v>
      </c>
      <c r="P1065" s="17">
        <f>'Sampling Data'!O1065</f>
        <v>40</v>
      </c>
      <c r="Q1065" s="17">
        <f>'Sampling Data'!P1065</f>
        <v>406</v>
      </c>
      <c r="R1065" s="17">
        <f>'Sampling Data'!AJ1065</f>
        <v>0</v>
      </c>
      <c r="S1065" s="111"/>
      <c r="T1065" s="111"/>
      <c r="U1065" s="112"/>
      <c r="V1065" s="112"/>
      <c r="W1065" s="111"/>
      <c r="X1065" s="111"/>
      <c r="Y1065" s="111"/>
      <c r="Z1065" s="111"/>
      <c r="AA1065" s="14"/>
      <c r="AB1065" s="14"/>
      <c r="AC1065" s="14"/>
      <c r="AD1065" s="14"/>
      <c r="AE1065" s="113" t="str">
        <f>IF(NOT(ISBLANK(Audit[[#This Row],[Audit Winning Candidate]])), Audit[[#This Row],[Audit Winning Candidate]]-Audit[[#This Row],[Winning Candidate]], "")</f>
        <v/>
      </c>
      <c r="AF1065" s="17" t="str">
        <f>IF(NOT(ISBLANK(Audit[[#This Row],[Audit Losing Candidate]])), Audit[[#This Row],[Audit Losing Candidate]]-Audit[[#This Row],[Losing Candidate]], "")</f>
        <v/>
      </c>
      <c r="AG1065" s="17" t="str">
        <f>IF(NOT(ISBLANK(Audit[[#This Row],[Audit Candidate 3]])), Audit[[#This Row],[Audit Candidate 3]]-Audit[[#This Row],[Candidate 3]], "")</f>
        <v/>
      </c>
      <c r="AH1065" s="17" t="str">
        <f>IF(NOT(ISBLANK(Audit[[#This Row],[Audit Candidate 4]])),Audit[[#This Row],[Audit Candidate 4]]-Audit[[#This Row],[Candidate 4]], "")</f>
        <v/>
      </c>
      <c r="AI1065" s="17" t="str">
        <f>IF(NOT(ISBLANK(Audit[[#This Row],[Audit Candidate 5]])), Audit[[#This Row],[Audit Candidate 5]]-Audit[[#This Row],[Candidate 5]], "")</f>
        <v/>
      </c>
      <c r="AJ1065" s="17" t="str">
        <f>IF(NOT(ISBLANK(Audit[[#This Row],[Audit Candidate 6]])), Audit[[#This Row],[Audit Candidate 6]]-Audit[[#This Row],[Candidate 6]], "")</f>
        <v/>
      </c>
      <c r="AK1065" s="17" t="str">
        <f>IF(NOT(ISBLANK(Audit[[#This Row],[Audit Candidate 7]])), Audit[[#This Row],[Audit Candidate 7]]-Audit[[#This Row],[Candidate 7]], "")</f>
        <v/>
      </c>
      <c r="AL1065" s="17" t="str">
        <f>IF(NOT(ISBLANK(Audit[[#This Row],[Audit Candidate 8]])), Audit[[#This Row],[Audit Candidate 8]]-Audit[[#This Row],[Candidate 8]], "")</f>
        <v/>
      </c>
      <c r="AM1065" s="17" t="str">
        <f>IF(NOT(ISBLANK(Audit[[#This Row],[Audit Candidate 9]])), Audit[[#This Row],[Audit Candidate 9]]-Audit[[#This Row],[Candidate 9]], "")</f>
        <v/>
      </c>
      <c r="AN1065" s="17" t="str">
        <f>IF(NOT(ISBLANK(Audit[[#This Row],[Audit Candidate 10]])), Audit[[#This Row],[Audit Candidate 10]]-Audit[[#This Row],[Candidate 10]], "")</f>
        <v/>
      </c>
      <c r="AO1065" s="17" t="str">
        <f>IF(NOT(ISBLANK(Audit[[#This Row],[Audit Candidate 11]])), Audit[[#This Row],[Audit Candidate 11]]-Audit[[#This Row],[Candidate 11]], "")</f>
        <v/>
      </c>
      <c r="AP1065" s="17" t="str">
        <f>IF(NOT(ISBLANK(Audit[[#This Row],[Audit Candidate 12]])), Audit[[#This Row],[Audit Candidate 12]]-Audit[[#This Row],[Candidate 12]], "")</f>
        <v/>
      </c>
      <c r="AQ1065" s="17">
        <f>SUMIF(Audit[[#This Row],[Difference Winner]:[Difference Candidate 12]], "&gt;0")</f>
        <v>0</v>
      </c>
      <c r="AR1065" s="17">
        <f>SUM(Audit[[#This Row],[Difference Winner]:[Difference Candidate 12]])</f>
        <v>0</v>
      </c>
      <c r="AS1065" s="17">
        <f>IF(Audit[[#This Row],[Times p Drawn - With Replacement]]&gt;0, IF(Audit[[#This Row],[Canceled Differences]]&lt;0, Audit[[#This Row],[Max Differences]]+ABS(Audit[[#This Row],[Canceled Differences]]), Audit[[#This Row],[Max Differences]]), 0)</f>
        <v>0</v>
      </c>
      <c r="AT1065" s="17">
        <f>'Sampling Data'!AB1065</f>
        <v>2.0879307418095398E-2</v>
      </c>
      <c r="AU1065" s="17">
        <f>IF(
      SUM(Audit[[#This Row],[Audit Losing Candidate]:[Audit Candidate 12]])
      &lt;&gt;0,
      (Audit[[#This Row],[Winning Candidate]]-Audit[[#This Row],[Losing Candidate]]-(Audit[[#This Row],[Audit Winning Candidate]]-Audit[[#This Row],[Audit Losing Candidate]]))/(Audit[[#Totals],[Winning Candidate]]-Audit[[#Totals],[Losing Candidate]]),
      0
)</f>
        <v>0</v>
      </c>
      <c r="AV10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5" s="17">
        <f>IF(Audit[[#This Row],[Max Relative Error (ep)]] = 0, 0, Audit[[#This Row],[Max Relative Error (ep)]]/Audit[[#This Row],[Error Bound (up) - Max. possible relative overstatement]])</f>
        <v>0</v>
      </c>
      <c r="BH10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65" s="17">
        <f t="shared" si="17"/>
        <v>1</v>
      </c>
      <c r="BJ1065" s="17">
        <f>PRODUCT($BI$5:BI1065)</f>
        <v>0.13793242319093066</v>
      </c>
      <c r="BK1065" s="19">
        <f>1 - Audit[[#This Row],[K-M P Value]]</f>
        <v>0.86206757680906931</v>
      </c>
      <c r="BL1065" s="17" t="str">
        <f>IF(Audit[[#This Row],[K-M P Value]]&gt;1-'General Info'!$B$12,"Continue", "Stop")</f>
        <v>Continue</v>
      </c>
      <c r="BM1065" s="22" t="b">
        <f>IF(Audit[[#This Row],[Status - Continue or stop audit]] = "Continue", TRUE, IF(BL1064 = "Continue", TRUE, FALSE))</f>
        <v>1</v>
      </c>
      <c r="BN1065" s="22"/>
    </row>
    <row r="1066" spans="1:66" ht="15" customHeight="1" x14ac:dyDescent="0.35">
      <c r="A1066" s="17">
        <f>'Sampling Data'!AI1066</f>
        <v>22</v>
      </c>
      <c r="B1066" s="17" t="str">
        <f>'Sampling Data'!A1066</f>
        <v>8602 SILVT B   (ED)</v>
      </c>
      <c r="C1066" s="17">
        <f>'Sampling Data'!B1066</f>
        <v>313</v>
      </c>
      <c r="D1066" s="17">
        <f>'Sampling Data'!C1066</f>
        <v>105</v>
      </c>
      <c r="E1066" s="18">
        <f>'Sampling Data'!D1066</f>
        <v>0</v>
      </c>
      <c r="F1066" s="18">
        <f>'Sampling Data'!E1066</f>
        <v>0</v>
      </c>
      <c r="G1066" s="18">
        <f>'Sampling Data'!F1066</f>
        <v>0</v>
      </c>
      <c r="H1066" s="18">
        <f>'Sampling Data'!G1066</f>
        <v>0</v>
      </c>
      <c r="I1066" s="18">
        <f>'Sampling Data'!H1066</f>
        <v>0</v>
      </c>
      <c r="J1066" s="18">
        <f>'Sampling Data'!I1066</f>
        <v>0</v>
      </c>
      <c r="K1066" s="18">
        <f>'Sampling Data'!J1066</f>
        <v>0</v>
      </c>
      <c r="L1066" s="18">
        <f>'Sampling Data'!K1066</f>
        <v>0</v>
      </c>
      <c r="M1066" s="18">
        <f>'Sampling Data'!L1066</f>
        <v>0</v>
      </c>
      <c r="N1066" s="18">
        <f>'Sampling Data'!M1066</f>
        <v>0</v>
      </c>
      <c r="O1066" s="17">
        <f>'Sampling Data'!N1066</f>
        <v>1</v>
      </c>
      <c r="P1066" s="17">
        <f>'Sampling Data'!O1066</f>
        <v>34</v>
      </c>
      <c r="Q1066" s="17">
        <f>'Sampling Data'!P1066</f>
        <v>453</v>
      </c>
      <c r="R1066" s="17">
        <f>'Sampling Data'!AJ1066</f>
        <v>1</v>
      </c>
      <c r="S1066" s="111">
        <v>313</v>
      </c>
      <c r="T1066" s="111">
        <v>105</v>
      </c>
      <c r="U1066" s="112"/>
      <c r="V1066" s="112"/>
      <c r="W1066" s="111"/>
      <c r="X1066" s="111"/>
      <c r="Y1066" s="111"/>
      <c r="Z1066" s="111"/>
      <c r="AA1066" s="14"/>
      <c r="AB1066" s="14"/>
      <c r="AC1066" s="14"/>
      <c r="AD1066" s="14"/>
      <c r="AE1066" s="113">
        <f>IF(NOT(ISBLANK(Audit[[#This Row],[Audit Winning Candidate]])), Audit[[#This Row],[Audit Winning Candidate]]-Audit[[#This Row],[Winning Candidate]], "")</f>
        <v>0</v>
      </c>
      <c r="AF1066" s="17">
        <f>IF(NOT(ISBLANK(Audit[[#This Row],[Audit Losing Candidate]])), Audit[[#This Row],[Audit Losing Candidate]]-Audit[[#This Row],[Losing Candidate]], "")</f>
        <v>0</v>
      </c>
      <c r="AG1066" s="17" t="str">
        <f>IF(NOT(ISBLANK(Audit[[#This Row],[Audit Candidate 3]])), Audit[[#This Row],[Audit Candidate 3]]-Audit[[#This Row],[Candidate 3]], "")</f>
        <v/>
      </c>
      <c r="AH1066" s="17" t="str">
        <f>IF(NOT(ISBLANK(Audit[[#This Row],[Audit Candidate 4]])),Audit[[#This Row],[Audit Candidate 4]]-Audit[[#This Row],[Candidate 4]], "")</f>
        <v/>
      </c>
      <c r="AI1066" s="17" t="str">
        <f>IF(NOT(ISBLANK(Audit[[#This Row],[Audit Candidate 5]])), Audit[[#This Row],[Audit Candidate 5]]-Audit[[#This Row],[Candidate 5]], "")</f>
        <v/>
      </c>
      <c r="AJ1066" s="17" t="str">
        <f>IF(NOT(ISBLANK(Audit[[#This Row],[Audit Candidate 6]])), Audit[[#This Row],[Audit Candidate 6]]-Audit[[#This Row],[Candidate 6]], "")</f>
        <v/>
      </c>
      <c r="AK1066" s="17" t="str">
        <f>IF(NOT(ISBLANK(Audit[[#This Row],[Audit Candidate 7]])), Audit[[#This Row],[Audit Candidate 7]]-Audit[[#This Row],[Candidate 7]], "")</f>
        <v/>
      </c>
      <c r="AL1066" s="17" t="str">
        <f>IF(NOT(ISBLANK(Audit[[#This Row],[Audit Candidate 8]])), Audit[[#This Row],[Audit Candidate 8]]-Audit[[#This Row],[Candidate 8]], "")</f>
        <v/>
      </c>
      <c r="AM1066" s="17" t="str">
        <f>IF(NOT(ISBLANK(Audit[[#This Row],[Audit Candidate 9]])), Audit[[#This Row],[Audit Candidate 9]]-Audit[[#This Row],[Candidate 9]], "")</f>
        <v/>
      </c>
      <c r="AN1066" s="17" t="str">
        <f>IF(NOT(ISBLANK(Audit[[#This Row],[Audit Candidate 10]])), Audit[[#This Row],[Audit Candidate 10]]-Audit[[#This Row],[Candidate 10]], "")</f>
        <v/>
      </c>
      <c r="AO1066" s="17" t="str">
        <f>IF(NOT(ISBLANK(Audit[[#This Row],[Audit Candidate 11]])), Audit[[#This Row],[Audit Candidate 11]]-Audit[[#This Row],[Candidate 11]], "")</f>
        <v/>
      </c>
      <c r="AP1066" s="17" t="str">
        <f>IF(NOT(ISBLANK(Audit[[#This Row],[Audit Candidate 12]])), Audit[[#This Row],[Audit Candidate 12]]-Audit[[#This Row],[Candidate 12]], "")</f>
        <v/>
      </c>
      <c r="AQ1066" s="17">
        <f>SUMIF(Audit[[#This Row],[Difference Winner]:[Difference Candidate 12]], "&gt;0")</f>
        <v>0</v>
      </c>
      <c r="AR1066" s="17">
        <f>SUM(Audit[[#This Row],[Difference Winner]:[Difference Candidate 12]])</f>
        <v>0</v>
      </c>
      <c r="AS1066" s="17">
        <f>IF(Audit[[#This Row],[Times p Drawn - With Replacement]]&gt;0, IF(Audit[[#This Row],[Canceled Differences]]&lt;0, Audit[[#This Row],[Max Differences]]+ABS(Audit[[#This Row],[Canceled Differences]]), Audit[[#This Row],[Max Differences]]), 0)</f>
        <v>0</v>
      </c>
      <c r="AT1066" s="17">
        <f>'Sampling Data'!AB1066</f>
        <v>2.8051264640977763E-2</v>
      </c>
      <c r="AU1066" s="17">
        <f>IF(
      SUM(Audit[[#This Row],[Audit Losing Candidate]:[Audit Candidate 12]])
      &lt;&gt;0,
      (Audit[[#This Row],[Winning Candidate]]-Audit[[#This Row],[Losing Candidate]]-(Audit[[#This Row],[Audit Winning Candidate]]-Audit[[#This Row],[Audit Losing Candidate]]))/(Audit[[#Totals],[Winning Candidate]]-Audit[[#Totals],[Losing Candidate]]),
      0
)</f>
        <v>0</v>
      </c>
      <c r="AV10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6" s="17">
        <f>IF(Audit[[#This Row],[Max Relative Error (ep)]] = 0, 0, Audit[[#This Row],[Max Relative Error (ep)]]/Audit[[#This Row],[Error Bound (up) - Max. possible relative overstatement]])</f>
        <v>0</v>
      </c>
      <c r="BH10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66" s="17">
        <f t="shared" si="17"/>
        <v>0.94645908314247273</v>
      </c>
      <c r="BJ1066" s="17">
        <f>PRODUCT($BI$5:BI1066)</f>
        <v>0.13054739478890778</v>
      </c>
      <c r="BK1066" s="19">
        <f>1 - Audit[[#This Row],[K-M P Value]]</f>
        <v>0.86945260521109224</v>
      </c>
      <c r="BL1066" s="17" t="str">
        <f>IF(Audit[[#This Row],[K-M P Value]]&gt;1-'General Info'!$B$12,"Continue", "Stop")</f>
        <v>Continue</v>
      </c>
      <c r="BM1066" s="22" t="b">
        <f>IF(Audit[[#This Row],[Status - Continue or stop audit]] = "Continue", TRUE, IF(BL1065 = "Continue", TRUE, FALSE))</f>
        <v>1</v>
      </c>
      <c r="BN1066" s="22"/>
    </row>
    <row r="1067" spans="1:66" ht="15" hidden="1" customHeight="1" x14ac:dyDescent="0.35">
      <c r="A1067" s="17" t="str">
        <f>'Sampling Data'!AI1067</f>
        <v/>
      </c>
      <c r="B1067" s="17" t="str">
        <f>'Sampling Data'!A1067</f>
        <v>8603 SILVT C   (ED)</v>
      </c>
      <c r="C1067" s="17">
        <f>'Sampling Data'!B1067</f>
        <v>248</v>
      </c>
      <c r="D1067" s="17">
        <f>'Sampling Data'!C1067</f>
        <v>141</v>
      </c>
      <c r="E1067" s="18">
        <f>'Sampling Data'!D1067</f>
        <v>0</v>
      </c>
      <c r="F1067" s="18">
        <f>'Sampling Data'!E1067</f>
        <v>0</v>
      </c>
      <c r="G1067" s="18">
        <f>'Sampling Data'!F1067</f>
        <v>0</v>
      </c>
      <c r="H1067" s="18">
        <f>'Sampling Data'!G1067</f>
        <v>0</v>
      </c>
      <c r="I1067" s="18">
        <f>'Sampling Data'!H1067</f>
        <v>0</v>
      </c>
      <c r="J1067" s="18">
        <f>'Sampling Data'!I1067</f>
        <v>0</v>
      </c>
      <c r="K1067" s="18">
        <f>'Sampling Data'!J1067</f>
        <v>0</v>
      </c>
      <c r="L1067" s="18">
        <f>'Sampling Data'!K1067</f>
        <v>0</v>
      </c>
      <c r="M1067" s="18">
        <f>'Sampling Data'!L1067</f>
        <v>0</v>
      </c>
      <c r="N1067" s="18">
        <f>'Sampling Data'!M1067</f>
        <v>0</v>
      </c>
      <c r="O1067" s="17">
        <f>'Sampling Data'!N1067</f>
        <v>0</v>
      </c>
      <c r="P1067" s="17">
        <f>'Sampling Data'!O1067</f>
        <v>32</v>
      </c>
      <c r="Q1067" s="17">
        <f>'Sampling Data'!P1067</f>
        <v>421</v>
      </c>
      <c r="R1067" s="17">
        <f>'Sampling Data'!AJ1067</f>
        <v>0</v>
      </c>
      <c r="S1067" s="111"/>
      <c r="T1067" s="111"/>
      <c r="U1067" s="112"/>
      <c r="V1067" s="112"/>
      <c r="W1067" s="111"/>
      <c r="X1067" s="111"/>
      <c r="Y1067" s="111"/>
      <c r="Z1067" s="111"/>
      <c r="AA1067" s="14"/>
      <c r="AB1067" s="14"/>
      <c r="AC1067" s="14"/>
      <c r="AD1067" s="14"/>
      <c r="AE1067" s="113" t="str">
        <f>IF(NOT(ISBLANK(Audit[[#This Row],[Audit Winning Candidate]])), Audit[[#This Row],[Audit Winning Candidate]]-Audit[[#This Row],[Winning Candidate]], "")</f>
        <v/>
      </c>
      <c r="AF1067" s="17" t="str">
        <f>IF(NOT(ISBLANK(Audit[[#This Row],[Audit Losing Candidate]])), Audit[[#This Row],[Audit Losing Candidate]]-Audit[[#This Row],[Losing Candidate]], "")</f>
        <v/>
      </c>
      <c r="AG1067" s="17" t="str">
        <f>IF(NOT(ISBLANK(Audit[[#This Row],[Audit Candidate 3]])), Audit[[#This Row],[Audit Candidate 3]]-Audit[[#This Row],[Candidate 3]], "")</f>
        <v/>
      </c>
      <c r="AH1067" s="17" t="str">
        <f>IF(NOT(ISBLANK(Audit[[#This Row],[Audit Candidate 4]])),Audit[[#This Row],[Audit Candidate 4]]-Audit[[#This Row],[Candidate 4]], "")</f>
        <v/>
      </c>
      <c r="AI1067" s="17" t="str">
        <f>IF(NOT(ISBLANK(Audit[[#This Row],[Audit Candidate 5]])), Audit[[#This Row],[Audit Candidate 5]]-Audit[[#This Row],[Candidate 5]], "")</f>
        <v/>
      </c>
      <c r="AJ1067" s="17" t="str">
        <f>IF(NOT(ISBLANK(Audit[[#This Row],[Audit Candidate 6]])), Audit[[#This Row],[Audit Candidate 6]]-Audit[[#This Row],[Candidate 6]], "")</f>
        <v/>
      </c>
      <c r="AK1067" s="17" t="str">
        <f>IF(NOT(ISBLANK(Audit[[#This Row],[Audit Candidate 7]])), Audit[[#This Row],[Audit Candidate 7]]-Audit[[#This Row],[Candidate 7]], "")</f>
        <v/>
      </c>
      <c r="AL1067" s="17" t="str">
        <f>IF(NOT(ISBLANK(Audit[[#This Row],[Audit Candidate 8]])), Audit[[#This Row],[Audit Candidate 8]]-Audit[[#This Row],[Candidate 8]], "")</f>
        <v/>
      </c>
      <c r="AM1067" s="17" t="str">
        <f>IF(NOT(ISBLANK(Audit[[#This Row],[Audit Candidate 9]])), Audit[[#This Row],[Audit Candidate 9]]-Audit[[#This Row],[Candidate 9]], "")</f>
        <v/>
      </c>
      <c r="AN1067" s="17" t="str">
        <f>IF(NOT(ISBLANK(Audit[[#This Row],[Audit Candidate 10]])), Audit[[#This Row],[Audit Candidate 10]]-Audit[[#This Row],[Candidate 10]], "")</f>
        <v/>
      </c>
      <c r="AO1067" s="17" t="str">
        <f>IF(NOT(ISBLANK(Audit[[#This Row],[Audit Candidate 11]])), Audit[[#This Row],[Audit Candidate 11]]-Audit[[#This Row],[Candidate 11]], "")</f>
        <v/>
      </c>
      <c r="AP1067" s="17" t="str">
        <f>IF(NOT(ISBLANK(Audit[[#This Row],[Audit Candidate 12]])), Audit[[#This Row],[Audit Candidate 12]]-Audit[[#This Row],[Candidate 12]], "")</f>
        <v/>
      </c>
      <c r="AQ1067" s="17">
        <f>SUMIF(Audit[[#This Row],[Difference Winner]:[Difference Candidate 12]], "&gt;0")</f>
        <v>0</v>
      </c>
      <c r="AR1067" s="17">
        <f>SUM(Audit[[#This Row],[Difference Winner]:[Difference Candidate 12]])</f>
        <v>0</v>
      </c>
      <c r="AS1067" s="17">
        <f>IF(Audit[[#This Row],[Times p Drawn - With Replacement]]&gt;0, IF(Audit[[#This Row],[Canceled Differences]]&lt;0, Audit[[#This Row],[Max Differences]]+ABS(Audit[[#This Row],[Canceled Differences]]), Audit[[#This Row],[Max Differences]]), 0)</f>
        <v>0</v>
      </c>
      <c r="AT1067" s="17">
        <f>'Sampling Data'!AB1067</f>
        <v>2.2407061619419452E-2</v>
      </c>
      <c r="AU1067" s="17">
        <f>IF(
      SUM(Audit[[#This Row],[Audit Losing Candidate]:[Audit Candidate 12]])
      &lt;&gt;0,
      (Audit[[#This Row],[Winning Candidate]]-Audit[[#This Row],[Losing Candidate]]-(Audit[[#This Row],[Audit Winning Candidate]]-Audit[[#This Row],[Audit Losing Candidate]]))/(Audit[[#Totals],[Winning Candidate]]-Audit[[#Totals],[Losing Candidate]]),
      0
)</f>
        <v>0</v>
      </c>
      <c r="AV10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7" s="17">
        <f>IF(Audit[[#This Row],[Max Relative Error (ep)]] = 0, 0, Audit[[#This Row],[Max Relative Error (ep)]]/Audit[[#This Row],[Error Bound (up) - Max. possible relative overstatement]])</f>
        <v>0</v>
      </c>
      <c r="BH10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67" s="17">
        <f t="shared" si="17"/>
        <v>1</v>
      </c>
      <c r="BJ1067" s="17">
        <f>PRODUCT($BI$5:BI1067)</f>
        <v>0.13054739478890778</v>
      </c>
      <c r="BK1067" s="19">
        <f>1 - Audit[[#This Row],[K-M P Value]]</f>
        <v>0.86945260521109224</v>
      </c>
      <c r="BL1067" s="17" t="str">
        <f>IF(Audit[[#This Row],[K-M P Value]]&gt;1-'General Info'!$B$12,"Continue", "Stop")</f>
        <v>Continue</v>
      </c>
      <c r="BM1067" s="22" t="b">
        <f>IF(Audit[[#This Row],[Status - Continue or stop audit]] = "Continue", TRUE, IF(BL1066 = "Continue", TRUE, FALSE))</f>
        <v>1</v>
      </c>
      <c r="BN1067" s="22"/>
    </row>
    <row r="1068" spans="1:66" ht="15" customHeight="1" x14ac:dyDescent="0.35">
      <c r="A1068" s="17">
        <f>'Sampling Data'!AI1068</f>
        <v>28</v>
      </c>
      <c r="B1068" s="17" t="str">
        <f>'Sampling Data'!A1068</f>
        <v>8701 SPFLD A   (ED)</v>
      </c>
      <c r="C1068" s="17">
        <f>'Sampling Data'!B1068</f>
        <v>254</v>
      </c>
      <c r="D1068" s="17">
        <f>'Sampling Data'!C1068</f>
        <v>33</v>
      </c>
      <c r="E1068" s="18">
        <f>'Sampling Data'!D1068</f>
        <v>0</v>
      </c>
      <c r="F1068" s="18">
        <f>'Sampling Data'!E1068</f>
        <v>0</v>
      </c>
      <c r="G1068" s="18">
        <f>'Sampling Data'!F1068</f>
        <v>0</v>
      </c>
      <c r="H1068" s="18">
        <f>'Sampling Data'!G1068</f>
        <v>0</v>
      </c>
      <c r="I1068" s="18">
        <f>'Sampling Data'!H1068</f>
        <v>0</v>
      </c>
      <c r="J1068" s="18">
        <f>'Sampling Data'!I1068</f>
        <v>0</v>
      </c>
      <c r="K1068" s="18">
        <f>'Sampling Data'!J1068</f>
        <v>0</v>
      </c>
      <c r="L1068" s="18">
        <f>'Sampling Data'!K1068</f>
        <v>0</v>
      </c>
      <c r="M1068" s="18">
        <f>'Sampling Data'!L1068</f>
        <v>0</v>
      </c>
      <c r="N1068" s="18">
        <f>'Sampling Data'!M1068</f>
        <v>0</v>
      </c>
      <c r="O1068" s="17">
        <f>'Sampling Data'!N1068</f>
        <v>0</v>
      </c>
      <c r="P1068" s="17">
        <f>'Sampling Data'!O1068</f>
        <v>11</v>
      </c>
      <c r="Q1068" s="17">
        <f>'Sampling Data'!P1068</f>
        <v>298</v>
      </c>
      <c r="R1068" s="17">
        <f>'Sampling Data'!AJ1068</f>
        <v>1</v>
      </c>
      <c r="S1068" s="111">
        <v>254</v>
      </c>
      <c r="T1068" s="111">
        <v>33</v>
      </c>
      <c r="U1068" s="112"/>
      <c r="V1068" s="112"/>
      <c r="W1068" s="111"/>
      <c r="X1068" s="111"/>
      <c r="Y1068" s="111"/>
      <c r="Z1068" s="111"/>
      <c r="AA1068" s="14"/>
      <c r="AB1068" s="14"/>
      <c r="AC1068" s="14"/>
      <c r="AD1068" s="14"/>
      <c r="AE1068" s="113">
        <f>IF(NOT(ISBLANK(Audit[[#This Row],[Audit Winning Candidate]])), Audit[[#This Row],[Audit Winning Candidate]]-Audit[[#This Row],[Winning Candidate]], "")</f>
        <v>0</v>
      </c>
      <c r="AF1068" s="17">
        <f>IF(NOT(ISBLANK(Audit[[#This Row],[Audit Losing Candidate]])), Audit[[#This Row],[Audit Losing Candidate]]-Audit[[#This Row],[Losing Candidate]], "")</f>
        <v>0</v>
      </c>
      <c r="AG1068" s="17" t="str">
        <f>IF(NOT(ISBLANK(Audit[[#This Row],[Audit Candidate 3]])), Audit[[#This Row],[Audit Candidate 3]]-Audit[[#This Row],[Candidate 3]], "")</f>
        <v/>
      </c>
      <c r="AH1068" s="17" t="str">
        <f>IF(NOT(ISBLANK(Audit[[#This Row],[Audit Candidate 4]])),Audit[[#This Row],[Audit Candidate 4]]-Audit[[#This Row],[Candidate 4]], "")</f>
        <v/>
      </c>
      <c r="AI1068" s="17" t="str">
        <f>IF(NOT(ISBLANK(Audit[[#This Row],[Audit Candidate 5]])), Audit[[#This Row],[Audit Candidate 5]]-Audit[[#This Row],[Candidate 5]], "")</f>
        <v/>
      </c>
      <c r="AJ1068" s="17" t="str">
        <f>IF(NOT(ISBLANK(Audit[[#This Row],[Audit Candidate 6]])), Audit[[#This Row],[Audit Candidate 6]]-Audit[[#This Row],[Candidate 6]], "")</f>
        <v/>
      </c>
      <c r="AK1068" s="17" t="str">
        <f>IF(NOT(ISBLANK(Audit[[#This Row],[Audit Candidate 7]])), Audit[[#This Row],[Audit Candidate 7]]-Audit[[#This Row],[Candidate 7]], "")</f>
        <v/>
      </c>
      <c r="AL1068" s="17" t="str">
        <f>IF(NOT(ISBLANK(Audit[[#This Row],[Audit Candidate 8]])), Audit[[#This Row],[Audit Candidate 8]]-Audit[[#This Row],[Candidate 8]], "")</f>
        <v/>
      </c>
      <c r="AM1068" s="17" t="str">
        <f>IF(NOT(ISBLANK(Audit[[#This Row],[Audit Candidate 9]])), Audit[[#This Row],[Audit Candidate 9]]-Audit[[#This Row],[Candidate 9]], "")</f>
        <v/>
      </c>
      <c r="AN1068" s="17" t="str">
        <f>IF(NOT(ISBLANK(Audit[[#This Row],[Audit Candidate 10]])), Audit[[#This Row],[Audit Candidate 10]]-Audit[[#This Row],[Candidate 10]], "")</f>
        <v/>
      </c>
      <c r="AO1068" s="17" t="str">
        <f>IF(NOT(ISBLANK(Audit[[#This Row],[Audit Candidate 11]])), Audit[[#This Row],[Audit Candidate 11]]-Audit[[#This Row],[Candidate 11]], "")</f>
        <v/>
      </c>
      <c r="AP1068" s="17" t="str">
        <f>IF(NOT(ISBLANK(Audit[[#This Row],[Audit Candidate 12]])), Audit[[#This Row],[Audit Candidate 12]]-Audit[[#This Row],[Candidate 12]], "")</f>
        <v/>
      </c>
      <c r="AQ1068" s="17">
        <f>SUMIF(Audit[[#This Row],[Difference Winner]:[Difference Candidate 12]], "&gt;0")</f>
        <v>0</v>
      </c>
      <c r="AR1068" s="17">
        <f>SUM(Audit[[#This Row],[Difference Winner]:[Difference Candidate 12]])</f>
        <v>0</v>
      </c>
      <c r="AS1068" s="17">
        <f>IF(Audit[[#This Row],[Times p Drawn - With Replacement]]&gt;0, IF(Audit[[#This Row],[Canceled Differences]]&lt;0, Audit[[#This Row],[Max Differences]]+ABS(Audit[[#This Row],[Canceled Differences]]), Audit[[#This Row],[Max Differences]]), 0)</f>
        <v>0</v>
      </c>
      <c r="AT1068" s="17">
        <f>'Sampling Data'!AB1068</f>
        <v>2.202512306908844E-2</v>
      </c>
      <c r="AU1068" s="17">
        <f>IF(
      SUM(Audit[[#This Row],[Audit Losing Candidate]:[Audit Candidate 12]])
      &lt;&gt;0,
      (Audit[[#This Row],[Winning Candidate]]-Audit[[#This Row],[Losing Candidate]]-(Audit[[#This Row],[Audit Winning Candidate]]-Audit[[#This Row],[Audit Losing Candidate]]))/(Audit[[#Totals],[Winning Candidate]]-Audit[[#Totals],[Losing Candidate]]),
      0
)</f>
        <v>0</v>
      </c>
      <c r="AV10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8" s="17">
        <f>IF(Audit[[#This Row],[Max Relative Error (ep)]] = 0, 0, Audit[[#This Row],[Max Relative Error (ep)]]/Audit[[#This Row],[Error Bound (up) - Max. possible relative overstatement]])</f>
        <v>0</v>
      </c>
      <c r="BH10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68" s="17">
        <f t="shared" si="17"/>
        <v>0.94645908314247273</v>
      </c>
      <c r="BJ1068" s="17">
        <f>PRODUCT($BI$5:BI1068)</f>
        <v>0.12355776757854808</v>
      </c>
      <c r="BK1068" s="19">
        <f>1 - Audit[[#This Row],[K-M P Value]]</f>
        <v>0.87644223242145192</v>
      </c>
      <c r="BL1068" s="17" t="str">
        <f>IF(Audit[[#This Row],[K-M P Value]]&gt;1-'General Info'!$B$12,"Continue", "Stop")</f>
        <v>Continue</v>
      </c>
      <c r="BM1068" s="22" t="b">
        <f>IF(Audit[[#This Row],[Status - Continue or stop audit]] = "Continue", TRUE, IF(BL1067 = "Continue", TRUE, FALSE))</f>
        <v>1</v>
      </c>
      <c r="BN1068" s="22"/>
    </row>
    <row r="1069" spans="1:66" ht="15" hidden="1" customHeight="1" x14ac:dyDescent="0.35">
      <c r="A1069" s="17" t="str">
        <f>'Sampling Data'!AI1069</f>
        <v/>
      </c>
      <c r="B1069" s="17" t="str">
        <f>'Sampling Data'!A1069</f>
        <v>8702 SPFLD B   (ED)</v>
      </c>
      <c r="C1069" s="17">
        <f>'Sampling Data'!B1069</f>
        <v>202</v>
      </c>
      <c r="D1069" s="17">
        <f>'Sampling Data'!C1069</f>
        <v>125</v>
      </c>
      <c r="E1069" s="18">
        <f>'Sampling Data'!D1069</f>
        <v>0</v>
      </c>
      <c r="F1069" s="18">
        <f>'Sampling Data'!E1069</f>
        <v>0</v>
      </c>
      <c r="G1069" s="18">
        <f>'Sampling Data'!F1069</f>
        <v>0</v>
      </c>
      <c r="H1069" s="18">
        <f>'Sampling Data'!G1069</f>
        <v>0</v>
      </c>
      <c r="I1069" s="18">
        <f>'Sampling Data'!H1069</f>
        <v>0</v>
      </c>
      <c r="J1069" s="18">
        <f>'Sampling Data'!I1069</f>
        <v>0</v>
      </c>
      <c r="K1069" s="18">
        <f>'Sampling Data'!J1069</f>
        <v>0</v>
      </c>
      <c r="L1069" s="18">
        <f>'Sampling Data'!K1069</f>
        <v>0</v>
      </c>
      <c r="M1069" s="18">
        <f>'Sampling Data'!L1069</f>
        <v>0</v>
      </c>
      <c r="N1069" s="18">
        <f>'Sampling Data'!M1069</f>
        <v>0</v>
      </c>
      <c r="O1069" s="17">
        <f>'Sampling Data'!N1069</f>
        <v>0</v>
      </c>
      <c r="P1069" s="17">
        <f>'Sampling Data'!O1069</f>
        <v>26</v>
      </c>
      <c r="Q1069" s="17">
        <f>'Sampling Data'!P1069</f>
        <v>353</v>
      </c>
      <c r="R1069" s="17">
        <f>'Sampling Data'!AJ1069</f>
        <v>0</v>
      </c>
      <c r="S1069" s="111"/>
      <c r="T1069" s="111"/>
      <c r="U1069" s="112"/>
      <c r="V1069" s="112"/>
      <c r="W1069" s="111"/>
      <c r="X1069" s="111"/>
      <c r="Y1069" s="111"/>
      <c r="Z1069" s="111"/>
      <c r="AA1069" s="14"/>
      <c r="AB1069" s="14"/>
      <c r="AC1069" s="14"/>
      <c r="AD1069" s="14"/>
      <c r="AE1069" s="113" t="str">
        <f>IF(NOT(ISBLANK(Audit[[#This Row],[Audit Winning Candidate]])), Audit[[#This Row],[Audit Winning Candidate]]-Audit[[#This Row],[Winning Candidate]], "")</f>
        <v/>
      </c>
      <c r="AF1069" s="17" t="str">
        <f>IF(NOT(ISBLANK(Audit[[#This Row],[Audit Losing Candidate]])), Audit[[#This Row],[Audit Losing Candidate]]-Audit[[#This Row],[Losing Candidate]], "")</f>
        <v/>
      </c>
      <c r="AG1069" s="17" t="str">
        <f>IF(NOT(ISBLANK(Audit[[#This Row],[Audit Candidate 3]])), Audit[[#This Row],[Audit Candidate 3]]-Audit[[#This Row],[Candidate 3]], "")</f>
        <v/>
      </c>
      <c r="AH1069" s="17" t="str">
        <f>IF(NOT(ISBLANK(Audit[[#This Row],[Audit Candidate 4]])),Audit[[#This Row],[Audit Candidate 4]]-Audit[[#This Row],[Candidate 4]], "")</f>
        <v/>
      </c>
      <c r="AI1069" s="17" t="str">
        <f>IF(NOT(ISBLANK(Audit[[#This Row],[Audit Candidate 5]])), Audit[[#This Row],[Audit Candidate 5]]-Audit[[#This Row],[Candidate 5]], "")</f>
        <v/>
      </c>
      <c r="AJ1069" s="17" t="str">
        <f>IF(NOT(ISBLANK(Audit[[#This Row],[Audit Candidate 6]])), Audit[[#This Row],[Audit Candidate 6]]-Audit[[#This Row],[Candidate 6]], "")</f>
        <v/>
      </c>
      <c r="AK1069" s="17" t="str">
        <f>IF(NOT(ISBLANK(Audit[[#This Row],[Audit Candidate 7]])), Audit[[#This Row],[Audit Candidate 7]]-Audit[[#This Row],[Candidate 7]], "")</f>
        <v/>
      </c>
      <c r="AL1069" s="17" t="str">
        <f>IF(NOT(ISBLANK(Audit[[#This Row],[Audit Candidate 8]])), Audit[[#This Row],[Audit Candidate 8]]-Audit[[#This Row],[Candidate 8]], "")</f>
        <v/>
      </c>
      <c r="AM1069" s="17" t="str">
        <f>IF(NOT(ISBLANK(Audit[[#This Row],[Audit Candidate 9]])), Audit[[#This Row],[Audit Candidate 9]]-Audit[[#This Row],[Candidate 9]], "")</f>
        <v/>
      </c>
      <c r="AN1069" s="17" t="str">
        <f>IF(NOT(ISBLANK(Audit[[#This Row],[Audit Candidate 10]])), Audit[[#This Row],[Audit Candidate 10]]-Audit[[#This Row],[Candidate 10]], "")</f>
        <v/>
      </c>
      <c r="AO1069" s="17" t="str">
        <f>IF(NOT(ISBLANK(Audit[[#This Row],[Audit Candidate 11]])), Audit[[#This Row],[Audit Candidate 11]]-Audit[[#This Row],[Candidate 11]], "")</f>
        <v/>
      </c>
      <c r="AP1069" s="17" t="str">
        <f>IF(NOT(ISBLANK(Audit[[#This Row],[Audit Candidate 12]])), Audit[[#This Row],[Audit Candidate 12]]-Audit[[#This Row],[Candidate 12]], "")</f>
        <v/>
      </c>
      <c r="AQ1069" s="17">
        <f>SUMIF(Audit[[#This Row],[Difference Winner]:[Difference Candidate 12]], "&gt;0")</f>
        <v>0</v>
      </c>
      <c r="AR1069" s="17">
        <f>SUM(Audit[[#This Row],[Difference Winner]:[Difference Candidate 12]])</f>
        <v>0</v>
      </c>
      <c r="AS1069" s="17">
        <f>IF(Audit[[#This Row],[Times p Drawn - With Replacement]]&gt;0, IF(Audit[[#This Row],[Canceled Differences]]&lt;0, Audit[[#This Row],[Max Differences]]+ABS(Audit[[#This Row],[Canceled Differences]]), Audit[[#This Row],[Max Differences]]), 0)</f>
        <v>0</v>
      </c>
      <c r="AT1069" s="17">
        <f>'Sampling Data'!AB1069</f>
        <v>1.824817518248175E-2</v>
      </c>
      <c r="AU1069" s="17">
        <f>IF(
      SUM(Audit[[#This Row],[Audit Losing Candidate]:[Audit Candidate 12]])
      &lt;&gt;0,
      (Audit[[#This Row],[Winning Candidate]]-Audit[[#This Row],[Losing Candidate]]-(Audit[[#This Row],[Audit Winning Candidate]]-Audit[[#This Row],[Audit Losing Candidate]]))/(Audit[[#Totals],[Winning Candidate]]-Audit[[#Totals],[Losing Candidate]]),
      0
)</f>
        <v>0</v>
      </c>
      <c r="AV10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9" s="17">
        <f>IF(Audit[[#This Row],[Max Relative Error (ep)]] = 0, 0, Audit[[#This Row],[Max Relative Error (ep)]]/Audit[[#This Row],[Error Bound (up) - Max. possible relative overstatement]])</f>
        <v>0</v>
      </c>
      <c r="BH10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69" s="17">
        <f t="shared" si="17"/>
        <v>1</v>
      </c>
      <c r="BJ1069" s="17">
        <f>PRODUCT($BI$5:BI1069)</f>
        <v>0.12355776757854808</v>
      </c>
      <c r="BK1069" s="19">
        <f>1 - Audit[[#This Row],[K-M P Value]]</f>
        <v>0.87644223242145192</v>
      </c>
      <c r="BL1069" s="17" t="str">
        <f>IF(Audit[[#This Row],[K-M P Value]]&gt;1-'General Info'!$B$12,"Continue", "Stop")</f>
        <v>Continue</v>
      </c>
      <c r="BM1069" s="22" t="b">
        <f>IF(Audit[[#This Row],[Status - Continue or stop audit]] = "Continue", TRUE, IF(BL1068 = "Continue", TRUE, FALSE))</f>
        <v>1</v>
      </c>
      <c r="BN1069" s="22"/>
    </row>
    <row r="1070" spans="1:66" ht="15" hidden="1" customHeight="1" x14ac:dyDescent="0.35">
      <c r="A1070" s="17" t="str">
        <f>'Sampling Data'!AI1070</f>
        <v/>
      </c>
      <c r="B1070" s="17" t="str">
        <f>'Sampling Data'!A1070</f>
        <v>8703 SPFLD C   (ED)</v>
      </c>
      <c r="C1070" s="17">
        <f>'Sampling Data'!B1070</f>
        <v>289</v>
      </c>
      <c r="D1070" s="17">
        <f>'Sampling Data'!C1070</f>
        <v>192</v>
      </c>
      <c r="E1070" s="18">
        <f>'Sampling Data'!D1070</f>
        <v>0</v>
      </c>
      <c r="F1070" s="18">
        <f>'Sampling Data'!E1070</f>
        <v>0</v>
      </c>
      <c r="G1070" s="18">
        <f>'Sampling Data'!F1070</f>
        <v>0</v>
      </c>
      <c r="H1070" s="18">
        <f>'Sampling Data'!G1070</f>
        <v>0</v>
      </c>
      <c r="I1070" s="18">
        <f>'Sampling Data'!H1070</f>
        <v>0</v>
      </c>
      <c r="J1070" s="18">
        <f>'Sampling Data'!I1070</f>
        <v>0</v>
      </c>
      <c r="K1070" s="18">
        <f>'Sampling Data'!J1070</f>
        <v>0</v>
      </c>
      <c r="L1070" s="18">
        <f>'Sampling Data'!K1070</f>
        <v>0</v>
      </c>
      <c r="M1070" s="18">
        <f>'Sampling Data'!L1070</f>
        <v>0</v>
      </c>
      <c r="N1070" s="18">
        <f>'Sampling Data'!M1070</f>
        <v>0</v>
      </c>
      <c r="O1070" s="17">
        <f>'Sampling Data'!N1070</f>
        <v>0</v>
      </c>
      <c r="P1070" s="17">
        <f>'Sampling Data'!O1070</f>
        <v>28</v>
      </c>
      <c r="Q1070" s="17">
        <f>'Sampling Data'!P1070</f>
        <v>509</v>
      </c>
      <c r="R1070" s="17">
        <f>'Sampling Data'!AJ1070</f>
        <v>0</v>
      </c>
      <c r="S1070" s="111"/>
      <c r="T1070" s="111"/>
      <c r="U1070" s="112"/>
      <c r="V1070" s="112"/>
      <c r="W1070" s="111"/>
      <c r="X1070" s="111"/>
      <c r="Y1070" s="111"/>
      <c r="Z1070" s="111"/>
      <c r="AA1070" s="14"/>
      <c r="AB1070" s="14"/>
      <c r="AC1070" s="14"/>
      <c r="AD1070" s="14"/>
      <c r="AE1070" s="113" t="str">
        <f>IF(NOT(ISBLANK(Audit[[#This Row],[Audit Winning Candidate]])), Audit[[#This Row],[Audit Winning Candidate]]-Audit[[#This Row],[Winning Candidate]], "")</f>
        <v/>
      </c>
      <c r="AF1070" s="17" t="str">
        <f>IF(NOT(ISBLANK(Audit[[#This Row],[Audit Losing Candidate]])), Audit[[#This Row],[Audit Losing Candidate]]-Audit[[#This Row],[Losing Candidate]], "")</f>
        <v/>
      </c>
      <c r="AG1070" s="17" t="str">
        <f>IF(NOT(ISBLANK(Audit[[#This Row],[Audit Candidate 3]])), Audit[[#This Row],[Audit Candidate 3]]-Audit[[#This Row],[Candidate 3]], "")</f>
        <v/>
      </c>
      <c r="AH1070" s="17" t="str">
        <f>IF(NOT(ISBLANK(Audit[[#This Row],[Audit Candidate 4]])),Audit[[#This Row],[Audit Candidate 4]]-Audit[[#This Row],[Candidate 4]], "")</f>
        <v/>
      </c>
      <c r="AI1070" s="17" t="str">
        <f>IF(NOT(ISBLANK(Audit[[#This Row],[Audit Candidate 5]])), Audit[[#This Row],[Audit Candidate 5]]-Audit[[#This Row],[Candidate 5]], "")</f>
        <v/>
      </c>
      <c r="AJ1070" s="17" t="str">
        <f>IF(NOT(ISBLANK(Audit[[#This Row],[Audit Candidate 6]])), Audit[[#This Row],[Audit Candidate 6]]-Audit[[#This Row],[Candidate 6]], "")</f>
        <v/>
      </c>
      <c r="AK1070" s="17" t="str">
        <f>IF(NOT(ISBLANK(Audit[[#This Row],[Audit Candidate 7]])), Audit[[#This Row],[Audit Candidate 7]]-Audit[[#This Row],[Candidate 7]], "")</f>
        <v/>
      </c>
      <c r="AL1070" s="17" t="str">
        <f>IF(NOT(ISBLANK(Audit[[#This Row],[Audit Candidate 8]])), Audit[[#This Row],[Audit Candidate 8]]-Audit[[#This Row],[Candidate 8]], "")</f>
        <v/>
      </c>
      <c r="AM1070" s="17" t="str">
        <f>IF(NOT(ISBLANK(Audit[[#This Row],[Audit Candidate 9]])), Audit[[#This Row],[Audit Candidate 9]]-Audit[[#This Row],[Candidate 9]], "")</f>
        <v/>
      </c>
      <c r="AN1070" s="17" t="str">
        <f>IF(NOT(ISBLANK(Audit[[#This Row],[Audit Candidate 10]])), Audit[[#This Row],[Audit Candidate 10]]-Audit[[#This Row],[Candidate 10]], "")</f>
        <v/>
      </c>
      <c r="AO1070" s="17" t="str">
        <f>IF(NOT(ISBLANK(Audit[[#This Row],[Audit Candidate 11]])), Audit[[#This Row],[Audit Candidate 11]]-Audit[[#This Row],[Candidate 11]], "")</f>
        <v/>
      </c>
      <c r="AP1070" s="17" t="str">
        <f>IF(NOT(ISBLANK(Audit[[#This Row],[Audit Candidate 12]])), Audit[[#This Row],[Audit Candidate 12]]-Audit[[#This Row],[Candidate 12]], "")</f>
        <v/>
      </c>
      <c r="AQ1070" s="17">
        <f>SUMIF(Audit[[#This Row],[Difference Winner]:[Difference Candidate 12]], "&gt;0")</f>
        <v>0</v>
      </c>
      <c r="AR1070" s="17">
        <f>SUM(Audit[[#This Row],[Difference Winner]:[Difference Candidate 12]])</f>
        <v>0</v>
      </c>
      <c r="AS1070" s="17">
        <f>IF(Audit[[#This Row],[Times p Drawn - With Replacement]]&gt;0, IF(Audit[[#This Row],[Canceled Differences]]&lt;0, Audit[[#This Row],[Max Differences]]+ABS(Audit[[#This Row],[Canceled Differences]]), Audit[[#This Row],[Max Differences]]), 0)</f>
        <v>0</v>
      </c>
      <c r="AT1070" s="17">
        <f>'Sampling Data'!AB1070</f>
        <v>2.5717195722288238E-2</v>
      </c>
      <c r="AU1070" s="17">
        <f>IF(
      SUM(Audit[[#This Row],[Audit Losing Candidate]:[Audit Candidate 12]])
      &lt;&gt;0,
      (Audit[[#This Row],[Winning Candidate]]-Audit[[#This Row],[Losing Candidate]]-(Audit[[#This Row],[Audit Winning Candidate]]-Audit[[#This Row],[Audit Losing Candidate]]))/(Audit[[#Totals],[Winning Candidate]]-Audit[[#Totals],[Losing Candidate]]),
      0
)</f>
        <v>0</v>
      </c>
      <c r="AV10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0" s="17">
        <f>IF(Audit[[#This Row],[Max Relative Error (ep)]] = 0, 0, Audit[[#This Row],[Max Relative Error (ep)]]/Audit[[#This Row],[Error Bound (up) - Max. possible relative overstatement]])</f>
        <v>0</v>
      </c>
      <c r="BH10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70" s="17">
        <f t="shared" si="17"/>
        <v>1</v>
      </c>
      <c r="BJ1070" s="17">
        <f>PRODUCT($BI$5:BI1070)</f>
        <v>0.12355776757854808</v>
      </c>
      <c r="BK1070" s="19">
        <f>1 - Audit[[#This Row],[K-M P Value]]</f>
        <v>0.87644223242145192</v>
      </c>
      <c r="BL1070" s="17" t="str">
        <f>IF(Audit[[#This Row],[K-M P Value]]&gt;1-'General Info'!$B$12,"Continue", "Stop")</f>
        <v>Continue</v>
      </c>
      <c r="BM1070" s="22" t="b">
        <f>IF(Audit[[#This Row],[Status - Continue or stop audit]] = "Continue", TRUE, IF(BL1069 = "Continue", TRUE, FALSE))</f>
        <v>1</v>
      </c>
      <c r="BN1070" s="22"/>
    </row>
    <row r="1071" spans="1:66" ht="15" hidden="1" customHeight="1" x14ac:dyDescent="0.35">
      <c r="A1071" s="17" t="str">
        <f>'Sampling Data'!AI1071</f>
        <v/>
      </c>
      <c r="B1071" s="17" t="str">
        <f>'Sampling Data'!A1071</f>
        <v>8704 SPFLD D   (ED)</v>
      </c>
      <c r="C1071" s="17">
        <f>'Sampling Data'!B1071</f>
        <v>266</v>
      </c>
      <c r="D1071" s="17">
        <f>'Sampling Data'!C1071</f>
        <v>163</v>
      </c>
      <c r="E1071" s="18">
        <f>'Sampling Data'!D1071</f>
        <v>0</v>
      </c>
      <c r="F1071" s="18">
        <f>'Sampling Data'!E1071</f>
        <v>0</v>
      </c>
      <c r="G1071" s="18">
        <f>'Sampling Data'!F1071</f>
        <v>0</v>
      </c>
      <c r="H1071" s="18">
        <f>'Sampling Data'!G1071</f>
        <v>0</v>
      </c>
      <c r="I1071" s="18">
        <f>'Sampling Data'!H1071</f>
        <v>0</v>
      </c>
      <c r="J1071" s="18">
        <f>'Sampling Data'!I1071</f>
        <v>0</v>
      </c>
      <c r="K1071" s="18">
        <f>'Sampling Data'!J1071</f>
        <v>0</v>
      </c>
      <c r="L1071" s="18">
        <f>'Sampling Data'!K1071</f>
        <v>0</v>
      </c>
      <c r="M1071" s="18">
        <f>'Sampling Data'!L1071</f>
        <v>0</v>
      </c>
      <c r="N1071" s="18">
        <f>'Sampling Data'!M1071</f>
        <v>0</v>
      </c>
      <c r="O1071" s="17">
        <f>'Sampling Data'!N1071</f>
        <v>0</v>
      </c>
      <c r="P1071" s="17">
        <f>'Sampling Data'!O1071</f>
        <v>32</v>
      </c>
      <c r="Q1071" s="17">
        <f>'Sampling Data'!P1071</f>
        <v>461</v>
      </c>
      <c r="R1071" s="17">
        <f>'Sampling Data'!AJ1071</f>
        <v>0</v>
      </c>
      <c r="S1071" s="111"/>
      <c r="T1071" s="111"/>
      <c r="U1071" s="112"/>
      <c r="V1071" s="112"/>
      <c r="W1071" s="111"/>
      <c r="X1071" s="111"/>
      <c r="Y1071" s="111"/>
      <c r="Z1071" s="111"/>
      <c r="AA1071" s="14"/>
      <c r="AB1071" s="14"/>
      <c r="AC1071" s="14"/>
      <c r="AD1071" s="14"/>
      <c r="AE1071" s="113" t="str">
        <f>IF(NOT(ISBLANK(Audit[[#This Row],[Audit Winning Candidate]])), Audit[[#This Row],[Audit Winning Candidate]]-Audit[[#This Row],[Winning Candidate]], "")</f>
        <v/>
      </c>
      <c r="AF1071" s="17" t="str">
        <f>IF(NOT(ISBLANK(Audit[[#This Row],[Audit Losing Candidate]])), Audit[[#This Row],[Audit Losing Candidate]]-Audit[[#This Row],[Losing Candidate]], "")</f>
        <v/>
      </c>
      <c r="AG1071" s="17" t="str">
        <f>IF(NOT(ISBLANK(Audit[[#This Row],[Audit Candidate 3]])), Audit[[#This Row],[Audit Candidate 3]]-Audit[[#This Row],[Candidate 3]], "")</f>
        <v/>
      </c>
      <c r="AH1071" s="17" t="str">
        <f>IF(NOT(ISBLANK(Audit[[#This Row],[Audit Candidate 4]])),Audit[[#This Row],[Audit Candidate 4]]-Audit[[#This Row],[Candidate 4]], "")</f>
        <v/>
      </c>
      <c r="AI1071" s="17" t="str">
        <f>IF(NOT(ISBLANK(Audit[[#This Row],[Audit Candidate 5]])), Audit[[#This Row],[Audit Candidate 5]]-Audit[[#This Row],[Candidate 5]], "")</f>
        <v/>
      </c>
      <c r="AJ1071" s="17" t="str">
        <f>IF(NOT(ISBLANK(Audit[[#This Row],[Audit Candidate 6]])), Audit[[#This Row],[Audit Candidate 6]]-Audit[[#This Row],[Candidate 6]], "")</f>
        <v/>
      </c>
      <c r="AK1071" s="17" t="str">
        <f>IF(NOT(ISBLANK(Audit[[#This Row],[Audit Candidate 7]])), Audit[[#This Row],[Audit Candidate 7]]-Audit[[#This Row],[Candidate 7]], "")</f>
        <v/>
      </c>
      <c r="AL1071" s="17" t="str">
        <f>IF(NOT(ISBLANK(Audit[[#This Row],[Audit Candidate 8]])), Audit[[#This Row],[Audit Candidate 8]]-Audit[[#This Row],[Candidate 8]], "")</f>
        <v/>
      </c>
      <c r="AM1071" s="17" t="str">
        <f>IF(NOT(ISBLANK(Audit[[#This Row],[Audit Candidate 9]])), Audit[[#This Row],[Audit Candidate 9]]-Audit[[#This Row],[Candidate 9]], "")</f>
        <v/>
      </c>
      <c r="AN1071" s="17" t="str">
        <f>IF(NOT(ISBLANK(Audit[[#This Row],[Audit Candidate 10]])), Audit[[#This Row],[Audit Candidate 10]]-Audit[[#This Row],[Candidate 10]], "")</f>
        <v/>
      </c>
      <c r="AO1071" s="17" t="str">
        <f>IF(NOT(ISBLANK(Audit[[#This Row],[Audit Candidate 11]])), Audit[[#This Row],[Audit Candidate 11]]-Audit[[#This Row],[Candidate 11]], "")</f>
        <v/>
      </c>
      <c r="AP1071" s="17" t="str">
        <f>IF(NOT(ISBLANK(Audit[[#This Row],[Audit Candidate 12]])), Audit[[#This Row],[Audit Candidate 12]]-Audit[[#This Row],[Candidate 12]], "")</f>
        <v/>
      </c>
      <c r="AQ1071" s="17">
        <f>SUMIF(Audit[[#This Row],[Difference Winner]:[Difference Candidate 12]], "&gt;0")</f>
        <v>0</v>
      </c>
      <c r="AR1071" s="17">
        <f>SUM(Audit[[#This Row],[Difference Winner]:[Difference Candidate 12]])</f>
        <v>0</v>
      </c>
      <c r="AS1071" s="17">
        <f>IF(Audit[[#This Row],[Times p Drawn - With Replacement]]&gt;0, IF(Audit[[#This Row],[Canceled Differences]]&lt;0, Audit[[#This Row],[Max Differences]]+ABS(Audit[[#This Row],[Canceled Differences]]), Audit[[#This Row],[Max Differences]]), 0)</f>
        <v>0</v>
      </c>
      <c r="AT1071" s="17">
        <f>'Sampling Data'!AB1071</f>
        <v>2.3934815820743506E-2</v>
      </c>
      <c r="AU1071" s="17">
        <f>IF(
      SUM(Audit[[#This Row],[Audit Losing Candidate]:[Audit Candidate 12]])
      &lt;&gt;0,
      (Audit[[#This Row],[Winning Candidate]]-Audit[[#This Row],[Losing Candidate]]-(Audit[[#This Row],[Audit Winning Candidate]]-Audit[[#This Row],[Audit Losing Candidate]]))/(Audit[[#Totals],[Winning Candidate]]-Audit[[#Totals],[Losing Candidate]]),
      0
)</f>
        <v>0</v>
      </c>
      <c r="AV10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1" s="17">
        <f>IF(Audit[[#This Row],[Max Relative Error (ep)]] = 0, 0, Audit[[#This Row],[Max Relative Error (ep)]]/Audit[[#This Row],[Error Bound (up) - Max. possible relative overstatement]])</f>
        <v>0</v>
      </c>
      <c r="BH10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71" s="17">
        <f t="shared" si="17"/>
        <v>1</v>
      </c>
      <c r="BJ1071" s="17">
        <f>PRODUCT($BI$5:BI1071)</f>
        <v>0.12355776757854808</v>
      </c>
      <c r="BK1071" s="19">
        <f>1 - Audit[[#This Row],[K-M P Value]]</f>
        <v>0.87644223242145192</v>
      </c>
      <c r="BL1071" s="17" t="str">
        <f>IF(Audit[[#This Row],[K-M P Value]]&gt;1-'General Info'!$B$12,"Continue", "Stop")</f>
        <v>Continue</v>
      </c>
      <c r="BM1071" s="22" t="b">
        <f>IF(Audit[[#This Row],[Status - Continue or stop audit]] = "Continue", TRUE, IF(BL1070 = "Continue", TRUE, FALSE))</f>
        <v>1</v>
      </c>
      <c r="BN1071" s="22"/>
    </row>
    <row r="1072" spans="1:66" ht="15" hidden="1" customHeight="1" x14ac:dyDescent="0.35">
      <c r="A1072" s="17" t="str">
        <f>'Sampling Data'!AI1072</f>
        <v/>
      </c>
      <c r="B1072" s="17" t="str">
        <f>'Sampling Data'!A1072</f>
        <v>8705 SPFLD E   (ED)</v>
      </c>
      <c r="C1072" s="17">
        <f>'Sampling Data'!B1072</f>
        <v>148</v>
      </c>
      <c r="D1072" s="17">
        <f>'Sampling Data'!C1072</f>
        <v>75</v>
      </c>
      <c r="E1072" s="18">
        <f>'Sampling Data'!D1072</f>
        <v>0</v>
      </c>
      <c r="F1072" s="18">
        <f>'Sampling Data'!E1072</f>
        <v>0</v>
      </c>
      <c r="G1072" s="18">
        <f>'Sampling Data'!F1072</f>
        <v>0</v>
      </c>
      <c r="H1072" s="18">
        <f>'Sampling Data'!G1072</f>
        <v>0</v>
      </c>
      <c r="I1072" s="18">
        <f>'Sampling Data'!H1072</f>
        <v>0</v>
      </c>
      <c r="J1072" s="18">
        <f>'Sampling Data'!I1072</f>
        <v>0</v>
      </c>
      <c r="K1072" s="18">
        <f>'Sampling Data'!J1072</f>
        <v>0</v>
      </c>
      <c r="L1072" s="18">
        <f>'Sampling Data'!K1072</f>
        <v>0</v>
      </c>
      <c r="M1072" s="18">
        <f>'Sampling Data'!L1072</f>
        <v>0</v>
      </c>
      <c r="N1072" s="18">
        <f>'Sampling Data'!M1072</f>
        <v>0</v>
      </c>
      <c r="O1072" s="17">
        <f>'Sampling Data'!N1072</f>
        <v>0</v>
      </c>
      <c r="P1072" s="17">
        <f>'Sampling Data'!O1072</f>
        <v>16</v>
      </c>
      <c r="Q1072" s="17">
        <f>'Sampling Data'!P1072</f>
        <v>239</v>
      </c>
      <c r="R1072" s="17">
        <f>'Sampling Data'!AJ1072</f>
        <v>0</v>
      </c>
      <c r="S1072" s="111"/>
      <c r="T1072" s="111"/>
      <c r="U1072" s="112"/>
      <c r="V1072" s="112"/>
      <c r="W1072" s="111"/>
      <c r="X1072" s="111"/>
      <c r="Y1072" s="111"/>
      <c r="Z1072" s="111"/>
      <c r="AA1072" s="14"/>
      <c r="AB1072" s="14"/>
      <c r="AC1072" s="14"/>
      <c r="AD1072" s="14"/>
      <c r="AE1072" s="113" t="str">
        <f>IF(NOT(ISBLANK(Audit[[#This Row],[Audit Winning Candidate]])), Audit[[#This Row],[Audit Winning Candidate]]-Audit[[#This Row],[Winning Candidate]], "")</f>
        <v/>
      </c>
      <c r="AF1072" s="17" t="str">
        <f>IF(NOT(ISBLANK(Audit[[#This Row],[Audit Losing Candidate]])), Audit[[#This Row],[Audit Losing Candidate]]-Audit[[#This Row],[Losing Candidate]], "")</f>
        <v/>
      </c>
      <c r="AG1072" s="17" t="str">
        <f>IF(NOT(ISBLANK(Audit[[#This Row],[Audit Candidate 3]])), Audit[[#This Row],[Audit Candidate 3]]-Audit[[#This Row],[Candidate 3]], "")</f>
        <v/>
      </c>
      <c r="AH1072" s="17" t="str">
        <f>IF(NOT(ISBLANK(Audit[[#This Row],[Audit Candidate 4]])),Audit[[#This Row],[Audit Candidate 4]]-Audit[[#This Row],[Candidate 4]], "")</f>
        <v/>
      </c>
      <c r="AI1072" s="17" t="str">
        <f>IF(NOT(ISBLANK(Audit[[#This Row],[Audit Candidate 5]])), Audit[[#This Row],[Audit Candidate 5]]-Audit[[#This Row],[Candidate 5]], "")</f>
        <v/>
      </c>
      <c r="AJ1072" s="17" t="str">
        <f>IF(NOT(ISBLANK(Audit[[#This Row],[Audit Candidate 6]])), Audit[[#This Row],[Audit Candidate 6]]-Audit[[#This Row],[Candidate 6]], "")</f>
        <v/>
      </c>
      <c r="AK1072" s="17" t="str">
        <f>IF(NOT(ISBLANK(Audit[[#This Row],[Audit Candidate 7]])), Audit[[#This Row],[Audit Candidate 7]]-Audit[[#This Row],[Candidate 7]], "")</f>
        <v/>
      </c>
      <c r="AL1072" s="17" t="str">
        <f>IF(NOT(ISBLANK(Audit[[#This Row],[Audit Candidate 8]])), Audit[[#This Row],[Audit Candidate 8]]-Audit[[#This Row],[Candidate 8]], "")</f>
        <v/>
      </c>
      <c r="AM1072" s="17" t="str">
        <f>IF(NOT(ISBLANK(Audit[[#This Row],[Audit Candidate 9]])), Audit[[#This Row],[Audit Candidate 9]]-Audit[[#This Row],[Candidate 9]], "")</f>
        <v/>
      </c>
      <c r="AN1072" s="17" t="str">
        <f>IF(NOT(ISBLANK(Audit[[#This Row],[Audit Candidate 10]])), Audit[[#This Row],[Audit Candidate 10]]-Audit[[#This Row],[Candidate 10]], "")</f>
        <v/>
      </c>
      <c r="AO1072" s="17" t="str">
        <f>IF(NOT(ISBLANK(Audit[[#This Row],[Audit Candidate 11]])), Audit[[#This Row],[Audit Candidate 11]]-Audit[[#This Row],[Candidate 11]], "")</f>
        <v/>
      </c>
      <c r="AP1072" s="17" t="str">
        <f>IF(NOT(ISBLANK(Audit[[#This Row],[Audit Candidate 12]])), Audit[[#This Row],[Audit Candidate 12]]-Audit[[#This Row],[Candidate 12]], "")</f>
        <v/>
      </c>
      <c r="AQ1072" s="17">
        <f>SUMIF(Audit[[#This Row],[Difference Winner]:[Difference Candidate 12]], "&gt;0")</f>
        <v>0</v>
      </c>
      <c r="AR1072" s="17">
        <f>SUM(Audit[[#This Row],[Difference Winner]:[Difference Candidate 12]])</f>
        <v>0</v>
      </c>
      <c r="AS1072" s="17">
        <f>IF(Audit[[#This Row],[Times p Drawn - With Replacement]]&gt;0, IF(Audit[[#This Row],[Canceled Differences]]&lt;0, Audit[[#This Row],[Max Differences]]+ABS(Audit[[#This Row],[Canceled Differences]]), Audit[[#This Row],[Max Differences]]), 0)</f>
        <v>0</v>
      </c>
      <c r="AT1072" s="17">
        <f>'Sampling Data'!AB1072</f>
        <v>1.3240536411475132E-2</v>
      </c>
      <c r="AU1072" s="17">
        <f>IF(
      SUM(Audit[[#This Row],[Audit Losing Candidate]:[Audit Candidate 12]])
      &lt;&gt;0,
      (Audit[[#This Row],[Winning Candidate]]-Audit[[#This Row],[Losing Candidate]]-(Audit[[#This Row],[Audit Winning Candidate]]-Audit[[#This Row],[Audit Losing Candidate]]))/(Audit[[#Totals],[Winning Candidate]]-Audit[[#Totals],[Losing Candidate]]),
      0
)</f>
        <v>0</v>
      </c>
      <c r="AV10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2" s="17">
        <f>IF(Audit[[#This Row],[Max Relative Error (ep)]] = 0, 0, Audit[[#This Row],[Max Relative Error (ep)]]/Audit[[#This Row],[Error Bound (up) - Max. possible relative overstatement]])</f>
        <v>0</v>
      </c>
      <c r="BH10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72" s="17">
        <f t="shared" si="17"/>
        <v>1</v>
      </c>
      <c r="BJ1072" s="17">
        <f>PRODUCT($BI$5:BI1072)</f>
        <v>0.12355776757854808</v>
      </c>
      <c r="BK1072" s="19">
        <f>1 - Audit[[#This Row],[K-M P Value]]</f>
        <v>0.87644223242145192</v>
      </c>
      <c r="BL1072" s="17" t="str">
        <f>IF(Audit[[#This Row],[K-M P Value]]&gt;1-'General Info'!$B$12,"Continue", "Stop")</f>
        <v>Continue</v>
      </c>
      <c r="BM1072" s="22" t="b">
        <f>IF(Audit[[#This Row],[Status - Continue or stop audit]] = "Continue", TRUE, IF(BL1071 = "Continue", TRUE, FALSE))</f>
        <v>1</v>
      </c>
      <c r="BN1072" s="22"/>
    </row>
    <row r="1073" spans="1:66" ht="15" hidden="1" customHeight="1" x14ac:dyDescent="0.35">
      <c r="A1073" s="17" t="str">
        <f>'Sampling Data'!AI1073</f>
        <v/>
      </c>
      <c r="B1073" s="17" t="str">
        <f>'Sampling Data'!A1073</f>
        <v>8706 SPFLD F   (ED)</v>
      </c>
      <c r="C1073" s="17">
        <f>'Sampling Data'!B1073</f>
        <v>174</v>
      </c>
      <c r="D1073" s="17">
        <f>'Sampling Data'!C1073</f>
        <v>143</v>
      </c>
      <c r="E1073" s="18">
        <f>'Sampling Data'!D1073</f>
        <v>0</v>
      </c>
      <c r="F1073" s="18">
        <f>'Sampling Data'!E1073</f>
        <v>0</v>
      </c>
      <c r="G1073" s="18">
        <f>'Sampling Data'!F1073</f>
        <v>0</v>
      </c>
      <c r="H1073" s="18">
        <f>'Sampling Data'!G1073</f>
        <v>0</v>
      </c>
      <c r="I1073" s="18">
        <f>'Sampling Data'!H1073</f>
        <v>0</v>
      </c>
      <c r="J1073" s="18">
        <f>'Sampling Data'!I1073</f>
        <v>0</v>
      </c>
      <c r="K1073" s="18">
        <f>'Sampling Data'!J1073</f>
        <v>0</v>
      </c>
      <c r="L1073" s="18">
        <f>'Sampling Data'!K1073</f>
        <v>0</v>
      </c>
      <c r="M1073" s="18">
        <f>'Sampling Data'!L1073</f>
        <v>0</v>
      </c>
      <c r="N1073" s="18">
        <f>'Sampling Data'!M1073</f>
        <v>0</v>
      </c>
      <c r="O1073" s="17">
        <f>'Sampling Data'!N1073</f>
        <v>0</v>
      </c>
      <c r="P1073" s="17">
        <f>'Sampling Data'!O1073</f>
        <v>25</v>
      </c>
      <c r="Q1073" s="17">
        <f>'Sampling Data'!P1073</f>
        <v>342</v>
      </c>
      <c r="R1073" s="17">
        <f>'Sampling Data'!AJ1073</f>
        <v>0</v>
      </c>
      <c r="S1073" s="111"/>
      <c r="T1073" s="111"/>
      <c r="U1073" s="112"/>
      <c r="V1073" s="112"/>
      <c r="W1073" s="111"/>
      <c r="X1073" s="111"/>
      <c r="Y1073" s="111"/>
      <c r="Z1073" s="111"/>
      <c r="AA1073" s="14"/>
      <c r="AB1073" s="14"/>
      <c r="AC1073" s="14"/>
      <c r="AD1073" s="14"/>
      <c r="AE1073" s="113" t="str">
        <f>IF(NOT(ISBLANK(Audit[[#This Row],[Audit Winning Candidate]])), Audit[[#This Row],[Audit Winning Candidate]]-Audit[[#This Row],[Winning Candidate]], "")</f>
        <v/>
      </c>
      <c r="AF1073" s="17" t="str">
        <f>IF(NOT(ISBLANK(Audit[[#This Row],[Audit Losing Candidate]])), Audit[[#This Row],[Audit Losing Candidate]]-Audit[[#This Row],[Losing Candidate]], "")</f>
        <v/>
      </c>
      <c r="AG1073" s="17" t="str">
        <f>IF(NOT(ISBLANK(Audit[[#This Row],[Audit Candidate 3]])), Audit[[#This Row],[Audit Candidate 3]]-Audit[[#This Row],[Candidate 3]], "")</f>
        <v/>
      </c>
      <c r="AH1073" s="17" t="str">
        <f>IF(NOT(ISBLANK(Audit[[#This Row],[Audit Candidate 4]])),Audit[[#This Row],[Audit Candidate 4]]-Audit[[#This Row],[Candidate 4]], "")</f>
        <v/>
      </c>
      <c r="AI1073" s="17" t="str">
        <f>IF(NOT(ISBLANK(Audit[[#This Row],[Audit Candidate 5]])), Audit[[#This Row],[Audit Candidate 5]]-Audit[[#This Row],[Candidate 5]], "")</f>
        <v/>
      </c>
      <c r="AJ1073" s="17" t="str">
        <f>IF(NOT(ISBLANK(Audit[[#This Row],[Audit Candidate 6]])), Audit[[#This Row],[Audit Candidate 6]]-Audit[[#This Row],[Candidate 6]], "")</f>
        <v/>
      </c>
      <c r="AK1073" s="17" t="str">
        <f>IF(NOT(ISBLANK(Audit[[#This Row],[Audit Candidate 7]])), Audit[[#This Row],[Audit Candidate 7]]-Audit[[#This Row],[Candidate 7]], "")</f>
        <v/>
      </c>
      <c r="AL1073" s="17" t="str">
        <f>IF(NOT(ISBLANK(Audit[[#This Row],[Audit Candidate 8]])), Audit[[#This Row],[Audit Candidate 8]]-Audit[[#This Row],[Candidate 8]], "")</f>
        <v/>
      </c>
      <c r="AM1073" s="17" t="str">
        <f>IF(NOT(ISBLANK(Audit[[#This Row],[Audit Candidate 9]])), Audit[[#This Row],[Audit Candidate 9]]-Audit[[#This Row],[Candidate 9]], "")</f>
        <v/>
      </c>
      <c r="AN1073" s="17" t="str">
        <f>IF(NOT(ISBLANK(Audit[[#This Row],[Audit Candidate 10]])), Audit[[#This Row],[Audit Candidate 10]]-Audit[[#This Row],[Candidate 10]], "")</f>
        <v/>
      </c>
      <c r="AO1073" s="17" t="str">
        <f>IF(NOT(ISBLANK(Audit[[#This Row],[Audit Candidate 11]])), Audit[[#This Row],[Audit Candidate 11]]-Audit[[#This Row],[Candidate 11]], "")</f>
        <v/>
      </c>
      <c r="AP1073" s="17" t="str">
        <f>IF(NOT(ISBLANK(Audit[[#This Row],[Audit Candidate 12]])), Audit[[#This Row],[Audit Candidate 12]]-Audit[[#This Row],[Candidate 12]], "")</f>
        <v/>
      </c>
      <c r="AQ1073" s="17">
        <f>SUMIF(Audit[[#This Row],[Difference Winner]:[Difference Candidate 12]], "&gt;0")</f>
        <v>0</v>
      </c>
      <c r="AR1073" s="17">
        <f>SUM(Audit[[#This Row],[Difference Winner]:[Difference Candidate 12]])</f>
        <v>0</v>
      </c>
      <c r="AS1073" s="17">
        <f>IF(Audit[[#This Row],[Times p Drawn - With Replacement]]&gt;0, IF(Audit[[#This Row],[Canceled Differences]]&lt;0, Audit[[#This Row],[Max Differences]]+ABS(Audit[[#This Row],[Canceled Differences]]), Audit[[#This Row],[Max Differences]]), 0)</f>
        <v>0</v>
      </c>
      <c r="AT1073" s="17">
        <f>'Sampling Data'!AB1073</f>
        <v>1.5829231030385332E-2</v>
      </c>
      <c r="AU1073" s="17">
        <f>IF(
      SUM(Audit[[#This Row],[Audit Losing Candidate]:[Audit Candidate 12]])
      &lt;&gt;0,
      (Audit[[#This Row],[Winning Candidate]]-Audit[[#This Row],[Losing Candidate]]-(Audit[[#This Row],[Audit Winning Candidate]]-Audit[[#This Row],[Audit Losing Candidate]]))/(Audit[[#Totals],[Winning Candidate]]-Audit[[#Totals],[Losing Candidate]]),
      0
)</f>
        <v>0</v>
      </c>
      <c r="AV10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3" s="17">
        <f>IF(Audit[[#This Row],[Max Relative Error (ep)]] = 0, 0, Audit[[#This Row],[Max Relative Error (ep)]]/Audit[[#This Row],[Error Bound (up) - Max. possible relative overstatement]])</f>
        <v>0</v>
      </c>
      <c r="BH10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73" s="17">
        <f t="shared" si="17"/>
        <v>1</v>
      </c>
      <c r="BJ1073" s="17">
        <f>PRODUCT($BI$5:BI1073)</f>
        <v>0.12355776757854808</v>
      </c>
      <c r="BK1073" s="19">
        <f>1 - Audit[[#This Row],[K-M P Value]]</f>
        <v>0.87644223242145192</v>
      </c>
      <c r="BL1073" s="17" t="str">
        <f>IF(Audit[[#This Row],[K-M P Value]]&gt;1-'General Info'!$B$12,"Continue", "Stop")</f>
        <v>Continue</v>
      </c>
      <c r="BM1073" s="22" t="b">
        <f>IF(Audit[[#This Row],[Status - Continue or stop audit]] = "Continue", TRUE, IF(BL1072 = "Continue", TRUE, FALSE))</f>
        <v>1</v>
      </c>
      <c r="BN1073" s="22"/>
    </row>
    <row r="1074" spans="1:66" ht="15" hidden="1" customHeight="1" x14ac:dyDescent="0.35">
      <c r="A1074" s="17" t="str">
        <f>'Sampling Data'!AI1074</f>
        <v/>
      </c>
      <c r="B1074" s="17" t="str">
        <f>'Sampling Data'!A1074</f>
        <v>8707 SPFLD G   (ED)</v>
      </c>
      <c r="C1074" s="17">
        <f>'Sampling Data'!B1074</f>
        <v>215</v>
      </c>
      <c r="D1074" s="17">
        <f>'Sampling Data'!C1074</f>
        <v>252</v>
      </c>
      <c r="E1074" s="18">
        <f>'Sampling Data'!D1074</f>
        <v>0</v>
      </c>
      <c r="F1074" s="18">
        <f>'Sampling Data'!E1074</f>
        <v>0</v>
      </c>
      <c r="G1074" s="18">
        <f>'Sampling Data'!F1074</f>
        <v>0</v>
      </c>
      <c r="H1074" s="18">
        <f>'Sampling Data'!G1074</f>
        <v>0</v>
      </c>
      <c r="I1074" s="18">
        <f>'Sampling Data'!H1074</f>
        <v>0</v>
      </c>
      <c r="J1074" s="18">
        <f>'Sampling Data'!I1074</f>
        <v>0</v>
      </c>
      <c r="K1074" s="18">
        <f>'Sampling Data'!J1074</f>
        <v>0</v>
      </c>
      <c r="L1074" s="18">
        <f>'Sampling Data'!K1074</f>
        <v>0</v>
      </c>
      <c r="M1074" s="18">
        <f>'Sampling Data'!L1074</f>
        <v>0</v>
      </c>
      <c r="N1074" s="18">
        <f>'Sampling Data'!M1074</f>
        <v>0</v>
      </c>
      <c r="O1074" s="17">
        <f>'Sampling Data'!N1074</f>
        <v>0</v>
      </c>
      <c r="P1074" s="17">
        <f>'Sampling Data'!O1074</f>
        <v>30</v>
      </c>
      <c r="Q1074" s="17">
        <f>'Sampling Data'!P1074</f>
        <v>497</v>
      </c>
      <c r="R1074" s="17">
        <f>'Sampling Data'!AJ1074</f>
        <v>0</v>
      </c>
      <c r="S1074" s="111"/>
      <c r="T1074" s="111"/>
      <c r="U1074" s="112"/>
      <c r="V1074" s="112"/>
      <c r="W1074" s="111"/>
      <c r="X1074" s="111"/>
      <c r="Y1074" s="111"/>
      <c r="Z1074" s="111"/>
      <c r="AA1074" s="14"/>
      <c r="AB1074" s="14"/>
      <c r="AC1074" s="14"/>
      <c r="AD1074" s="14"/>
      <c r="AE1074" s="113" t="str">
        <f>IF(NOT(ISBLANK(Audit[[#This Row],[Audit Winning Candidate]])), Audit[[#This Row],[Audit Winning Candidate]]-Audit[[#This Row],[Winning Candidate]], "")</f>
        <v/>
      </c>
      <c r="AF1074" s="17" t="str">
        <f>IF(NOT(ISBLANK(Audit[[#This Row],[Audit Losing Candidate]])), Audit[[#This Row],[Audit Losing Candidate]]-Audit[[#This Row],[Losing Candidate]], "")</f>
        <v/>
      </c>
      <c r="AG1074" s="17" t="str">
        <f>IF(NOT(ISBLANK(Audit[[#This Row],[Audit Candidate 3]])), Audit[[#This Row],[Audit Candidate 3]]-Audit[[#This Row],[Candidate 3]], "")</f>
        <v/>
      </c>
      <c r="AH1074" s="17" t="str">
        <f>IF(NOT(ISBLANK(Audit[[#This Row],[Audit Candidate 4]])),Audit[[#This Row],[Audit Candidate 4]]-Audit[[#This Row],[Candidate 4]], "")</f>
        <v/>
      </c>
      <c r="AI1074" s="17" t="str">
        <f>IF(NOT(ISBLANK(Audit[[#This Row],[Audit Candidate 5]])), Audit[[#This Row],[Audit Candidate 5]]-Audit[[#This Row],[Candidate 5]], "")</f>
        <v/>
      </c>
      <c r="AJ1074" s="17" t="str">
        <f>IF(NOT(ISBLANK(Audit[[#This Row],[Audit Candidate 6]])), Audit[[#This Row],[Audit Candidate 6]]-Audit[[#This Row],[Candidate 6]], "")</f>
        <v/>
      </c>
      <c r="AK1074" s="17" t="str">
        <f>IF(NOT(ISBLANK(Audit[[#This Row],[Audit Candidate 7]])), Audit[[#This Row],[Audit Candidate 7]]-Audit[[#This Row],[Candidate 7]], "")</f>
        <v/>
      </c>
      <c r="AL1074" s="17" t="str">
        <f>IF(NOT(ISBLANK(Audit[[#This Row],[Audit Candidate 8]])), Audit[[#This Row],[Audit Candidate 8]]-Audit[[#This Row],[Candidate 8]], "")</f>
        <v/>
      </c>
      <c r="AM1074" s="17" t="str">
        <f>IF(NOT(ISBLANK(Audit[[#This Row],[Audit Candidate 9]])), Audit[[#This Row],[Audit Candidate 9]]-Audit[[#This Row],[Candidate 9]], "")</f>
        <v/>
      </c>
      <c r="AN1074" s="17" t="str">
        <f>IF(NOT(ISBLANK(Audit[[#This Row],[Audit Candidate 10]])), Audit[[#This Row],[Audit Candidate 10]]-Audit[[#This Row],[Candidate 10]], "")</f>
        <v/>
      </c>
      <c r="AO1074" s="17" t="str">
        <f>IF(NOT(ISBLANK(Audit[[#This Row],[Audit Candidate 11]])), Audit[[#This Row],[Audit Candidate 11]]-Audit[[#This Row],[Candidate 11]], "")</f>
        <v/>
      </c>
      <c r="AP1074" s="17" t="str">
        <f>IF(NOT(ISBLANK(Audit[[#This Row],[Audit Candidate 12]])), Audit[[#This Row],[Audit Candidate 12]]-Audit[[#This Row],[Candidate 12]], "")</f>
        <v/>
      </c>
      <c r="AQ1074" s="17">
        <f>SUMIF(Audit[[#This Row],[Difference Winner]:[Difference Candidate 12]], "&gt;0")</f>
        <v>0</v>
      </c>
      <c r="AR1074" s="17">
        <f>SUM(Audit[[#This Row],[Difference Winner]:[Difference Candidate 12]])</f>
        <v>0</v>
      </c>
      <c r="AS1074" s="17">
        <f>IF(Audit[[#This Row],[Times p Drawn - With Replacement]]&gt;0, IF(Audit[[#This Row],[Canceled Differences]]&lt;0, Audit[[#This Row],[Max Differences]]+ABS(Audit[[#This Row],[Canceled Differences]]), Audit[[#This Row],[Max Differences]]), 0)</f>
        <v>0</v>
      </c>
      <c r="AT1074" s="17">
        <f>'Sampling Data'!AB1074</f>
        <v>1.952130368358513E-2</v>
      </c>
      <c r="AU1074" s="17">
        <f>IF(
      SUM(Audit[[#This Row],[Audit Losing Candidate]:[Audit Candidate 12]])
      &lt;&gt;0,
      (Audit[[#This Row],[Winning Candidate]]-Audit[[#This Row],[Losing Candidate]]-(Audit[[#This Row],[Audit Winning Candidate]]-Audit[[#This Row],[Audit Losing Candidate]]))/(Audit[[#Totals],[Winning Candidate]]-Audit[[#Totals],[Losing Candidate]]),
      0
)</f>
        <v>0</v>
      </c>
      <c r="AV10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4" s="17">
        <f>IF(Audit[[#This Row],[Max Relative Error (ep)]] = 0, 0, Audit[[#This Row],[Max Relative Error (ep)]]/Audit[[#This Row],[Error Bound (up) - Max. possible relative overstatement]])</f>
        <v>0</v>
      </c>
      <c r="BH10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74" s="17">
        <f t="shared" si="17"/>
        <v>1</v>
      </c>
      <c r="BJ1074" s="17">
        <f>PRODUCT($BI$5:BI1074)</f>
        <v>0.12355776757854808</v>
      </c>
      <c r="BK1074" s="19">
        <f>1 - Audit[[#This Row],[K-M P Value]]</f>
        <v>0.87644223242145192</v>
      </c>
      <c r="BL1074" s="17" t="str">
        <f>IF(Audit[[#This Row],[K-M P Value]]&gt;1-'General Info'!$B$12,"Continue", "Stop")</f>
        <v>Continue</v>
      </c>
      <c r="BM1074" s="22" t="b">
        <f>IF(Audit[[#This Row],[Status - Continue or stop audit]] = "Continue", TRUE, IF(BL1073 = "Continue", TRUE, FALSE))</f>
        <v>1</v>
      </c>
      <c r="BN1074" s="22"/>
    </row>
    <row r="1075" spans="1:66" ht="15" hidden="1" customHeight="1" x14ac:dyDescent="0.35">
      <c r="A1075" s="17" t="str">
        <f>'Sampling Data'!AI1075</f>
        <v/>
      </c>
      <c r="B1075" s="17" t="str">
        <f>'Sampling Data'!A1075</f>
        <v>8708 SPFLD H   (ED)</v>
      </c>
      <c r="C1075" s="17">
        <f>'Sampling Data'!B1075</f>
        <v>177</v>
      </c>
      <c r="D1075" s="17">
        <f>'Sampling Data'!C1075</f>
        <v>238</v>
      </c>
      <c r="E1075" s="18">
        <f>'Sampling Data'!D1075</f>
        <v>0</v>
      </c>
      <c r="F1075" s="18">
        <f>'Sampling Data'!E1075</f>
        <v>0</v>
      </c>
      <c r="G1075" s="18">
        <f>'Sampling Data'!F1075</f>
        <v>0</v>
      </c>
      <c r="H1075" s="18">
        <f>'Sampling Data'!G1075</f>
        <v>0</v>
      </c>
      <c r="I1075" s="18">
        <f>'Sampling Data'!H1075</f>
        <v>0</v>
      </c>
      <c r="J1075" s="18">
        <f>'Sampling Data'!I1075</f>
        <v>0</v>
      </c>
      <c r="K1075" s="18">
        <f>'Sampling Data'!J1075</f>
        <v>0</v>
      </c>
      <c r="L1075" s="18">
        <f>'Sampling Data'!K1075</f>
        <v>0</v>
      </c>
      <c r="M1075" s="18">
        <f>'Sampling Data'!L1075</f>
        <v>0</v>
      </c>
      <c r="N1075" s="18">
        <f>'Sampling Data'!M1075</f>
        <v>0</v>
      </c>
      <c r="O1075" s="17">
        <f>'Sampling Data'!N1075</f>
        <v>0</v>
      </c>
      <c r="P1075" s="17">
        <f>'Sampling Data'!O1075</f>
        <v>22</v>
      </c>
      <c r="Q1075" s="17">
        <f>'Sampling Data'!P1075</f>
        <v>437</v>
      </c>
      <c r="R1075" s="17">
        <f>'Sampling Data'!AJ1075</f>
        <v>0</v>
      </c>
      <c r="S1075" s="111"/>
      <c r="T1075" s="111"/>
      <c r="U1075" s="112"/>
      <c r="V1075" s="112"/>
      <c r="W1075" s="111"/>
      <c r="X1075" s="111"/>
      <c r="Y1075" s="111"/>
      <c r="Z1075" s="111"/>
      <c r="AA1075" s="14"/>
      <c r="AB1075" s="14"/>
      <c r="AC1075" s="14"/>
      <c r="AD1075" s="14"/>
      <c r="AE1075" s="113" t="str">
        <f>IF(NOT(ISBLANK(Audit[[#This Row],[Audit Winning Candidate]])), Audit[[#This Row],[Audit Winning Candidate]]-Audit[[#This Row],[Winning Candidate]], "")</f>
        <v/>
      </c>
      <c r="AF1075" s="17" t="str">
        <f>IF(NOT(ISBLANK(Audit[[#This Row],[Audit Losing Candidate]])), Audit[[#This Row],[Audit Losing Candidate]]-Audit[[#This Row],[Losing Candidate]], "")</f>
        <v/>
      </c>
      <c r="AG1075" s="17" t="str">
        <f>IF(NOT(ISBLANK(Audit[[#This Row],[Audit Candidate 3]])), Audit[[#This Row],[Audit Candidate 3]]-Audit[[#This Row],[Candidate 3]], "")</f>
        <v/>
      </c>
      <c r="AH1075" s="17" t="str">
        <f>IF(NOT(ISBLANK(Audit[[#This Row],[Audit Candidate 4]])),Audit[[#This Row],[Audit Candidate 4]]-Audit[[#This Row],[Candidate 4]], "")</f>
        <v/>
      </c>
      <c r="AI1075" s="17" t="str">
        <f>IF(NOT(ISBLANK(Audit[[#This Row],[Audit Candidate 5]])), Audit[[#This Row],[Audit Candidate 5]]-Audit[[#This Row],[Candidate 5]], "")</f>
        <v/>
      </c>
      <c r="AJ1075" s="17" t="str">
        <f>IF(NOT(ISBLANK(Audit[[#This Row],[Audit Candidate 6]])), Audit[[#This Row],[Audit Candidate 6]]-Audit[[#This Row],[Candidate 6]], "")</f>
        <v/>
      </c>
      <c r="AK1075" s="17" t="str">
        <f>IF(NOT(ISBLANK(Audit[[#This Row],[Audit Candidate 7]])), Audit[[#This Row],[Audit Candidate 7]]-Audit[[#This Row],[Candidate 7]], "")</f>
        <v/>
      </c>
      <c r="AL1075" s="17" t="str">
        <f>IF(NOT(ISBLANK(Audit[[#This Row],[Audit Candidate 8]])), Audit[[#This Row],[Audit Candidate 8]]-Audit[[#This Row],[Candidate 8]], "")</f>
        <v/>
      </c>
      <c r="AM1075" s="17" t="str">
        <f>IF(NOT(ISBLANK(Audit[[#This Row],[Audit Candidate 9]])), Audit[[#This Row],[Audit Candidate 9]]-Audit[[#This Row],[Candidate 9]], "")</f>
        <v/>
      </c>
      <c r="AN1075" s="17" t="str">
        <f>IF(NOT(ISBLANK(Audit[[#This Row],[Audit Candidate 10]])), Audit[[#This Row],[Audit Candidate 10]]-Audit[[#This Row],[Candidate 10]], "")</f>
        <v/>
      </c>
      <c r="AO1075" s="17" t="str">
        <f>IF(NOT(ISBLANK(Audit[[#This Row],[Audit Candidate 11]])), Audit[[#This Row],[Audit Candidate 11]]-Audit[[#This Row],[Candidate 11]], "")</f>
        <v/>
      </c>
      <c r="AP1075" s="17" t="str">
        <f>IF(NOT(ISBLANK(Audit[[#This Row],[Audit Candidate 12]])), Audit[[#This Row],[Audit Candidate 12]]-Audit[[#This Row],[Candidate 12]], "")</f>
        <v/>
      </c>
      <c r="AQ1075" s="17">
        <f>SUMIF(Audit[[#This Row],[Difference Winner]:[Difference Candidate 12]], "&gt;0")</f>
        <v>0</v>
      </c>
      <c r="AR1075" s="17">
        <f>SUM(Audit[[#This Row],[Difference Winner]:[Difference Candidate 12]])</f>
        <v>0</v>
      </c>
      <c r="AS1075" s="17">
        <f>IF(Audit[[#This Row],[Times p Drawn - With Replacement]]&gt;0, IF(Audit[[#This Row],[Canceled Differences]]&lt;0, Audit[[#This Row],[Max Differences]]+ABS(Audit[[#This Row],[Canceled Differences]]), Audit[[#This Row],[Max Differences]]), 0)</f>
        <v>0</v>
      </c>
      <c r="AT1075" s="17">
        <f>'Sampling Data'!AB1075</f>
        <v>1.5956543880495673E-2</v>
      </c>
      <c r="AU1075" s="17">
        <f>IF(
      SUM(Audit[[#This Row],[Audit Losing Candidate]:[Audit Candidate 12]])
      &lt;&gt;0,
      (Audit[[#This Row],[Winning Candidate]]-Audit[[#This Row],[Losing Candidate]]-(Audit[[#This Row],[Audit Winning Candidate]]-Audit[[#This Row],[Audit Losing Candidate]]))/(Audit[[#Totals],[Winning Candidate]]-Audit[[#Totals],[Losing Candidate]]),
      0
)</f>
        <v>0</v>
      </c>
      <c r="AV10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5" s="17">
        <f>IF(Audit[[#This Row],[Max Relative Error (ep)]] = 0, 0, Audit[[#This Row],[Max Relative Error (ep)]]/Audit[[#This Row],[Error Bound (up) - Max. possible relative overstatement]])</f>
        <v>0</v>
      </c>
      <c r="BH10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75" s="17">
        <f t="shared" si="17"/>
        <v>1</v>
      </c>
      <c r="BJ1075" s="17">
        <f>PRODUCT($BI$5:BI1075)</f>
        <v>0.12355776757854808</v>
      </c>
      <c r="BK1075" s="19">
        <f>1 - Audit[[#This Row],[K-M P Value]]</f>
        <v>0.87644223242145192</v>
      </c>
      <c r="BL1075" s="17" t="str">
        <f>IF(Audit[[#This Row],[K-M P Value]]&gt;1-'General Info'!$B$12,"Continue", "Stop")</f>
        <v>Continue</v>
      </c>
      <c r="BM1075" s="22" t="b">
        <f>IF(Audit[[#This Row],[Status - Continue or stop audit]] = "Continue", TRUE, IF(BL1074 = "Continue", TRUE, FALSE))</f>
        <v>1</v>
      </c>
      <c r="BN1075" s="22"/>
    </row>
    <row r="1076" spans="1:66" ht="15" hidden="1" customHeight="1" x14ac:dyDescent="0.35">
      <c r="A1076" s="17" t="str">
        <f>'Sampling Data'!AI1076</f>
        <v/>
      </c>
      <c r="B1076" s="17" t="str">
        <f>'Sampling Data'!A1076</f>
        <v>8709 SPFLD I   (ED)</v>
      </c>
      <c r="C1076" s="17">
        <f>'Sampling Data'!B1076</f>
        <v>82</v>
      </c>
      <c r="D1076" s="17">
        <f>'Sampling Data'!C1076</f>
        <v>94</v>
      </c>
      <c r="E1076" s="18">
        <f>'Sampling Data'!D1076</f>
        <v>0</v>
      </c>
      <c r="F1076" s="18">
        <f>'Sampling Data'!E1076</f>
        <v>0</v>
      </c>
      <c r="G1076" s="18">
        <f>'Sampling Data'!F1076</f>
        <v>0</v>
      </c>
      <c r="H1076" s="18">
        <f>'Sampling Data'!G1076</f>
        <v>0</v>
      </c>
      <c r="I1076" s="18">
        <f>'Sampling Data'!H1076</f>
        <v>0</v>
      </c>
      <c r="J1076" s="18">
        <f>'Sampling Data'!I1076</f>
        <v>0</v>
      </c>
      <c r="K1076" s="18">
        <f>'Sampling Data'!J1076</f>
        <v>0</v>
      </c>
      <c r="L1076" s="18">
        <f>'Sampling Data'!K1076</f>
        <v>0</v>
      </c>
      <c r="M1076" s="18">
        <f>'Sampling Data'!L1076</f>
        <v>0</v>
      </c>
      <c r="N1076" s="18">
        <f>'Sampling Data'!M1076</f>
        <v>0</v>
      </c>
      <c r="O1076" s="17">
        <f>'Sampling Data'!N1076</f>
        <v>1</v>
      </c>
      <c r="P1076" s="17">
        <f>'Sampling Data'!O1076</f>
        <v>27</v>
      </c>
      <c r="Q1076" s="17">
        <f>'Sampling Data'!P1076</f>
        <v>204</v>
      </c>
      <c r="R1076" s="17">
        <f>'Sampling Data'!AJ1076</f>
        <v>0</v>
      </c>
      <c r="S1076" s="111"/>
      <c r="T1076" s="111"/>
      <c r="U1076" s="112"/>
      <c r="V1076" s="112"/>
      <c r="W1076" s="111"/>
      <c r="X1076" s="111"/>
      <c r="Y1076" s="111"/>
      <c r="Z1076" s="111"/>
      <c r="AA1076" s="14"/>
      <c r="AB1076" s="14"/>
      <c r="AC1076" s="14"/>
      <c r="AD1076" s="14"/>
      <c r="AE1076" s="113" t="str">
        <f>IF(NOT(ISBLANK(Audit[[#This Row],[Audit Winning Candidate]])), Audit[[#This Row],[Audit Winning Candidate]]-Audit[[#This Row],[Winning Candidate]], "")</f>
        <v/>
      </c>
      <c r="AF1076" s="17" t="str">
        <f>IF(NOT(ISBLANK(Audit[[#This Row],[Audit Losing Candidate]])), Audit[[#This Row],[Audit Losing Candidate]]-Audit[[#This Row],[Losing Candidate]], "")</f>
        <v/>
      </c>
      <c r="AG1076" s="17" t="str">
        <f>IF(NOT(ISBLANK(Audit[[#This Row],[Audit Candidate 3]])), Audit[[#This Row],[Audit Candidate 3]]-Audit[[#This Row],[Candidate 3]], "")</f>
        <v/>
      </c>
      <c r="AH1076" s="17" t="str">
        <f>IF(NOT(ISBLANK(Audit[[#This Row],[Audit Candidate 4]])),Audit[[#This Row],[Audit Candidate 4]]-Audit[[#This Row],[Candidate 4]], "")</f>
        <v/>
      </c>
      <c r="AI1076" s="17" t="str">
        <f>IF(NOT(ISBLANK(Audit[[#This Row],[Audit Candidate 5]])), Audit[[#This Row],[Audit Candidate 5]]-Audit[[#This Row],[Candidate 5]], "")</f>
        <v/>
      </c>
      <c r="AJ1076" s="17" t="str">
        <f>IF(NOT(ISBLANK(Audit[[#This Row],[Audit Candidate 6]])), Audit[[#This Row],[Audit Candidate 6]]-Audit[[#This Row],[Candidate 6]], "")</f>
        <v/>
      </c>
      <c r="AK1076" s="17" t="str">
        <f>IF(NOT(ISBLANK(Audit[[#This Row],[Audit Candidate 7]])), Audit[[#This Row],[Audit Candidate 7]]-Audit[[#This Row],[Candidate 7]], "")</f>
        <v/>
      </c>
      <c r="AL1076" s="17" t="str">
        <f>IF(NOT(ISBLANK(Audit[[#This Row],[Audit Candidate 8]])), Audit[[#This Row],[Audit Candidate 8]]-Audit[[#This Row],[Candidate 8]], "")</f>
        <v/>
      </c>
      <c r="AM1076" s="17" t="str">
        <f>IF(NOT(ISBLANK(Audit[[#This Row],[Audit Candidate 9]])), Audit[[#This Row],[Audit Candidate 9]]-Audit[[#This Row],[Candidate 9]], "")</f>
        <v/>
      </c>
      <c r="AN1076" s="17" t="str">
        <f>IF(NOT(ISBLANK(Audit[[#This Row],[Audit Candidate 10]])), Audit[[#This Row],[Audit Candidate 10]]-Audit[[#This Row],[Candidate 10]], "")</f>
        <v/>
      </c>
      <c r="AO1076" s="17" t="str">
        <f>IF(NOT(ISBLANK(Audit[[#This Row],[Audit Candidate 11]])), Audit[[#This Row],[Audit Candidate 11]]-Audit[[#This Row],[Candidate 11]], "")</f>
        <v/>
      </c>
      <c r="AP1076" s="17" t="str">
        <f>IF(NOT(ISBLANK(Audit[[#This Row],[Audit Candidate 12]])), Audit[[#This Row],[Audit Candidate 12]]-Audit[[#This Row],[Candidate 12]], "")</f>
        <v/>
      </c>
      <c r="AQ1076" s="17">
        <f>SUMIF(Audit[[#This Row],[Difference Winner]:[Difference Candidate 12]], "&gt;0")</f>
        <v>0</v>
      </c>
      <c r="AR1076" s="17">
        <f>SUM(Audit[[#This Row],[Difference Winner]:[Difference Candidate 12]])</f>
        <v>0</v>
      </c>
      <c r="AS1076" s="17">
        <f>IF(Audit[[#This Row],[Times p Drawn - With Replacement]]&gt;0, IF(Audit[[#This Row],[Canceled Differences]]&lt;0, Audit[[#This Row],[Max Differences]]+ABS(Audit[[#This Row],[Canceled Differences]]), Audit[[#This Row],[Max Differences]]), 0)</f>
        <v>0</v>
      </c>
      <c r="AT1076" s="17">
        <f>'Sampling Data'!AB1076</f>
        <v>8.1480224070616201E-3</v>
      </c>
      <c r="AU1076" s="17">
        <f>IF(
      SUM(Audit[[#This Row],[Audit Losing Candidate]:[Audit Candidate 12]])
      &lt;&gt;0,
      (Audit[[#This Row],[Winning Candidate]]-Audit[[#This Row],[Losing Candidate]]-(Audit[[#This Row],[Audit Winning Candidate]]-Audit[[#This Row],[Audit Losing Candidate]]))/(Audit[[#Totals],[Winning Candidate]]-Audit[[#Totals],[Losing Candidate]]),
      0
)</f>
        <v>0</v>
      </c>
      <c r="AV10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6" s="17">
        <f>IF(Audit[[#This Row],[Max Relative Error (ep)]] = 0, 0, Audit[[#This Row],[Max Relative Error (ep)]]/Audit[[#This Row],[Error Bound (up) - Max. possible relative overstatement]])</f>
        <v>0</v>
      </c>
      <c r="BH10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76" s="17">
        <f t="shared" si="17"/>
        <v>1</v>
      </c>
      <c r="BJ1076" s="17">
        <f>PRODUCT($BI$5:BI1076)</f>
        <v>0.12355776757854808</v>
      </c>
      <c r="BK1076" s="19">
        <f>1 - Audit[[#This Row],[K-M P Value]]</f>
        <v>0.87644223242145192</v>
      </c>
      <c r="BL1076" s="17" t="str">
        <f>IF(Audit[[#This Row],[K-M P Value]]&gt;1-'General Info'!$B$12,"Continue", "Stop")</f>
        <v>Continue</v>
      </c>
      <c r="BM1076" s="22" t="b">
        <f>IF(Audit[[#This Row],[Status - Continue or stop audit]] = "Continue", TRUE, IF(BL1075 = "Continue", TRUE, FALSE))</f>
        <v>1</v>
      </c>
      <c r="BN1076" s="22"/>
    </row>
    <row r="1077" spans="1:66" ht="15" hidden="1" customHeight="1" x14ac:dyDescent="0.35">
      <c r="A1077" s="17" t="str">
        <f>'Sampling Data'!AI1077</f>
        <v/>
      </c>
      <c r="B1077" s="17" t="str">
        <f>'Sampling Data'!A1077</f>
        <v>8710 SPFLD J   (ED)</v>
      </c>
      <c r="C1077" s="17">
        <f>'Sampling Data'!B1077</f>
        <v>236</v>
      </c>
      <c r="D1077" s="17">
        <f>'Sampling Data'!C1077</f>
        <v>152</v>
      </c>
      <c r="E1077" s="18">
        <f>'Sampling Data'!D1077</f>
        <v>0</v>
      </c>
      <c r="F1077" s="18">
        <f>'Sampling Data'!E1077</f>
        <v>0</v>
      </c>
      <c r="G1077" s="18">
        <f>'Sampling Data'!F1077</f>
        <v>0</v>
      </c>
      <c r="H1077" s="18">
        <f>'Sampling Data'!G1077</f>
        <v>0</v>
      </c>
      <c r="I1077" s="18">
        <f>'Sampling Data'!H1077</f>
        <v>0</v>
      </c>
      <c r="J1077" s="18">
        <f>'Sampling Data'!I1077</f>
        <v>0</v>
      </c>
      <c r="K1077" s="18">
        <f>'Sampling Data'!J1077</f>
        <v>0</v>
      </c>
      <c r="L1077" s="18">
        <f>'Sampling Data'!K1077</f>
        <v>0</v>
      </c>
      <c r="M1077" s="18">
        <f>'Sampling Data'!L1077</f>
        <v>0</v>
      </c>
      <c r="N1077" s="18">
        <f>'Sampling Data'!M1077</f>
        <v>0</v>
      </c>
      <c r="O1077" s="17">
        <f>'Sampling Data'!N1077</f>
        <v>1</v>
      </c>
      <c r="P1077" s="17">
        <f>'Sampling Data'!O1077</f>
        <v>13</v>
      </c>
      <c r="Q1077" s="17">
        <f>'Sampling Data'!P1077</f>
        <v>402</v>
      </c>
      <c r="R1077" s="17">
        <f>'Sampling Data'!AJ1077</f>
        <v>0</v>
      </c>
      <c r="S1077" s="111"/>
      <c r="T1077" s="111"/>
      <c r="U1077" s="112"/>
      <c r="V1077" s="112"/>
      <c r="W1077" s="111"/>
      <c r="X1077" s="111"/>
      <c r="Y1077" s="111"/>
      <c r="Z1077" s="111"/>
      <c r="AA1077" s="14"/>
      <c r="AB1077" s="14"/>
      <c r="AC1077" s="14"/>
      <c r="AD1077" s="14"/>
      <c r="AE1077" s="113" t="str">
        <f>IF(NOT(ISBLANK(Audit[[#This Row],[Audit Winning Candidate]])), Audit[[#This Row],[Audit Winning Candidate]]-Audit[[#This Row],[Winning Candidate]], "")</f>
        <v/>
      </c>
      <c r="AF1077" s="17" t="str">
        <f>IF(NOT(ISBLANK(Audit[[#This Row],[Audit Losing Candidate]])), Audit[[#This Row],[Audit Losing Candidate]]-Audit[[#This Row],[Losing Candidate]], "")</f>
        <v/>
      </c>
      <c r="AG1077" s="17" t="str">
        <f>IF(NOT(ISBLANK(Audit[[#This Row],[Audit Candidate 3]])), Audit[[#This Row],[Audit Candidate 3]]-Audit[[#This Row],[Candidate 3]], "")</f>
        <v/>
      </c>
      <c r="AH1077" s="17" t="str">
        <f>IF(NOT(ISBLANK(Audit[[#This Row],[Audit Candidate 4]])),Audit[[#This Row],[Audit Candidate 4]]-Audit[[#This Row],[Candidate 4]], "")</f>
        <v/>
      </c>
      <c r="AI1077" s="17" t="str">
        <f>IF(NOT(ISBLANK(Audit[[#This Row],[Audit Candidate 5]])), Audit[[#This Row],[Audit Candidate 5]]-Audit[[#This Row],[Candidate 5]], "")</f>
        <v/>
      </c>
      <c r="AJ1077" s="17" t="str">
        <f>IF(NOT(ISBLANK(Audit[[#This Row],[Audit Candidate 6]])), Audit[[#This Row],[Audit Candidate 6]]-Audit[[#This Row],[Candidate 6]], "")</f>
        <v/>
      </c>
      <c r="AK1077" s="17" t="str">
        <f>IF(NOT(ISBLANK(Audit[[#This Row],[Audit Candidate 7]])), Audit[[#This Row],[Audit Candidate 7]]-Audit[[#This Row],[Candidate 7]], "")</f>
        <v/>
      </c>
      <c r="AL1077" s="17" t="str">
        <f>IF(NOT(ISBLANK(Audit[[#This Row],[Audit Candidate 8]])), Audit[[#This Row],[Audit Candidate 8]]-Audit[[#This Row],[Candidate 8]], "")</f>
        <v/>
      </c>
      <c r="AM1077" s="17" t="str">
        <f>IF(NOT(ISBLANK(Audit[[#This Row],[Audit Candidate 9]])), Audit[[#This Row],[Audit Candidate 9]]-Audit[[#This Row],[Candidate 9]], "")</f>
        <v/>
      </c>
      <c r="AN1077" s="17" t="str">
        <f>IF(NOT(ISBLANK(Audit[[#This Row],[Audit Candidate 10]])), Audit[[#This Row],[Audit Candidate 10]]-Audit[[#This Row],[Candidate 10]], "")</f>
        <v/>
      </c>
      <c r="AO1077" s="17" t="str">
        <f>IF(NOT(ISBLANK(Audit[[#This Row],[Audit Candidate 11]])), Audit[[#This Row],[Audit Candidate 11]]-Audit[[#This Row],[Candidate 11]], "")</f>
        <v/>
      </c>
      <c r="AP1077" s="17" t="str">
        <f>IF(NOT(ISBLANK(Audit[[#This Row],[Audit Candidate 12]])), Audit[[#This Row],[Audit Candidate 12]]-Audit[[#This Row],[Candidate 12]], "")</f>
        <v/>
      </c>
      <c r="AQ1077" s="17">
        <f>SUMIF(Audit[[#This Row],[Difference Winner]:[Difference Candidate 12]], "&gt;0")</f>
        <v>0</v>
      </c>
      <c r="AR1077" s="17">
        <f>SUM(Audit[[#This Row],[Difference Winner]:[Difference Candidate 12]])</f>
        <v>0</v>
      </c>
      <c r="AS1077" s="17">
        <f>IF(Audit[[#This Row],[Times p Drawn - With Replacement]]&gt;0, IF(Audit[[#This Row],[Canceled Differences]]&lt;0, Audit[[#This Row],[Max Differences]]+ABS(Audit[[#This Row],[Canceled Differences]]), Audit[[#This Row],[Max Differences]]), 0)</f>
        <v>0</v>
      </c>
      <c r="AT1077" s="17">
        <f>'Sampling Data'!AB1077</f>
        <v>2.0624681717874724E-2</v>
      </c>
      <c r="AU1077" s="17">
        <f>IF(
      SUM(Audit[[#This Row],[Audit Losing Candidate]:[Audit Candidate 12]])
      &lt;&gt;0,
      (Audit[[#This Row],[Winning Candidate]]-Audit[[#This Row],[Losing Candidate]]-(Audit[[#This Row],[Audit Winning Candidate]]-Audit[[#This Row],[Audit Losing Candidate]]))/(Audit[[#Totals],[Winning Candidate]]-Audit[[#Totals],[Losing Candidate]]),
      0
)</f>
        <v>0</v>
      </c>
      <c r="AV10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7" s="17">
        <f>IF(Audit[[#This Row],[Max Relative Error (ep)]] = 0, 0, Audit[[#This Row],[Max Relative Error (ep)]]/Audit[[#This Row],[Error Bound (up) - Max. possible relative overstatement]])</f>
        <v>0</v>
      </c>
      <c r="BH10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77" s="17">
        <f t="shared" si="17"/>
        <v>1</v>
      </c>
      <c r="BJ1077" s="17">
        <f>PRODUCT($BI$5:BI1077)</f>
        <v>0.12355776757854808</v>
      </c>
      <c r="BK1077" s="19">
        <f>1 - Audit[[#This Row],[K-M P Value]]</f>
        <v>0.87644223242145192</v>
      </c>
      <c r="BL1077" s="17" t="str">
        <f>IF(Audit[[#This Row],[K-M P Value]]&gt;1-'General Info'!$B$12,"Continue", "Stop")</f>
        <v>Continue</v>
      </c>
      <c r="BM1077" s="22" t="b">
        <f>IF(Audit[[#This Row],[Status - Continue or stop audit]] = "Continue", TRUE, IF(BL1076 = "Continue", TRUE, FALSE))</f>
        <v>1</v>
      </c>
      <c r="BN1077" s="22"/>
    </row>
    <row r="1078" spans="1:66" ht="15" hidden="1" customHeight="1" x14ac:dyDescent="0.35">
      <c r="A1078" s="17" t="str">
        <f>'Sampling Data'!AI1078</f>
        <v/>
      </c>
      <c r="B1078" s="17" t="str">
        <f>'Sampling Data'!A1078</f>
        <v>8711 SPFLD K   (ED)</v>
      </c>
      <c r="C1078" s="17">
        <f>'Sampling Data'!B1078</f>
        <v>245</v>
      </c>
      <c r="D1078" s="17">
        <f>'Sampling Data'!C1078</f>
        <v>65</v>
      </c>
      <c r="E1078" s="18">
        <f>'Sampling Data'!D1078</f>
        <v>0</v>
      </c>
      <c r="F1078" s="18">
        <f>'Sampling Data'!E1078</f>
        <v>0</v>
      </c>
      <c r="G1078" s="18">
        <f>'Sampling Data'!F1078</f>
        <v>0</v>
      </c>
      <c r="H1078" s="18">
        <f>'Sampling Data'!G1078</f>
        <v>0</v>
      </c>
      <c r="I1078" s="18">
        <f>'Sampling Data'!H1078</f>
        <v>0</v>
      </c>
      <c r="J1078" s="18">
        <f>'Sampling Data'!I1078</f>
        <v>0</v>
      </c>
      <c r="K1078" s="18">
        <f>'Sampling Data'!J1078</f>
        <v>0</v>
      </c>
      <c r="L1078" s="18">
        <f>'Sampling Data'!K1078</f>
        <v>0</v>
      </c>
      <c r="M1078" s="18">
        <f>'Sampling Data'!L1078</f>
        <v>0</v>
      </c>
      <c r="N1078" s="18">
        <f>'Sampling Data'!M1078</f>
        <v>0</v>
      </c>
      <c r="O1078" s="17">
        <f>'Sampling Data'!N1078</f>
        <v>0</v>
      </c>
      <c r="P1078" s="17">
        <f>'Sampling Data'!O1078</f>
        <v>19</v>
      </c>
      <c r="Q1078" s="17">
        <f>'Sampling Data'!P1078</f>
        <v>329</v>
      </c>
      <c r="R1078" s="17">
        <f>'Sampling Data'!AJ1078</f>
        <v>0</v>
      </c>
      <c r="S1078" s="111"/>
      <c r="T1078" s="111"/>
      <c r="U1078" s="112"/>
      <c r="V1078" s="112"/>
      <c r="W1078" s="111"/>
      <c r="X1078" s="111"/>
      <c r="Y1078" s="111"/>
      <c r="Z1078" s="111"/>
      <c r="AA1078" s="14"/>
      <c r="AB1078" s="14"/>
      <c r="AC1078" s="14"/>
      <c r="AD1078" s="14"/>
      <c r="AE1078" s="113" t="str">
        <f>IF(NOT(ISBLANK(Audit[[#This Row],[Audit Winning Candidate]])), Audit[[#This Row],[Audit Winning Candidate]]-Audit[[#This Row],[Winning Candidate]], "")</f>
        <v/>
      </c>
      <c r="AF1078" s="17" t="str">
        <f>IF(NOT(ISBLANK(Audit[[#This Row],[Audit Losing Candidate]])), Audit[[#This Row],[Audit Losing Candidate]]-Audit[[#This Row],[Losing Candidate]], "")</f>
        <v/>
      </c>
      <c r="AG1078" s="17" t="str">
        <f>IF(NOT(ISBLANK(Audit[[#This Row],[Audit Candidate 3]])), Audit[[#This Row],[Audit Candidate 3]]-Audit[[#This Row],[Candidate 3]], "")</f>
        <v/>
      </c>
      <c r="AH1078" s="17" t="str">
        <f>IF(NOT(ISBLANK(Audit[[#This Row],[Audit Candidate 4]])),Audit[[#This Row],[Audit Candidate 4]]-Audit[[#This Row],[Candidate 4]], "")</f>
        <v/>
      </c>
      <c r="AI1078" s="17" t="str">
        <f>IF(NOT(ISBLANK(Audit[[#This Row],[Audit Candidate 5]])), Audit[[#This Row],[Audit Candidate 5]]-Audit[[#This Row],[Candidate 5]], "")</f>
        <v/>
      </c>
      <c r="AJ1078" s="17" t="str">
        <f>IF(NOT(ISBLANK(Audit[[#This Row],[Audit Candidate 6]])), Audit[[#This Row],[Audit Candidate 6]]-Audit[[#This Row],[Candidate 6]], "")</f>
        <v/>
      </c>
      <c r="AK1078" s="17" t="str">
        <f>IF(NOT(ISBLANK(Audit[[#This Row],[Audit Candidate 7]])), Audit[[#This Row],[Audit Candidate 7]]-Audit[[#This Row],[Candidate 7]], "")</f>
        <v/>
      </c>
      <c r="AL1078" s="17" t="str">
        <f>IF(NOT(ISBLANK(Audit[[#This Row],[Audit Candidate 8]])), Audit[[#This Row],[Audit Candidate 8]]-Audit[[#This Row],[Candidate 8]], "")</f>
        <v/>
      </c>
      <c r="AM1078" s="17" t="str">
        <f>IF(NOT(ISBLANK(Audit[[#This Row],[Audit Candidate 9]])), Audit[[#This Row],[Audit Candidate 9]]-Audit[[#This Row],[Candidate 9]], "")</f>
        <v/>
      </c>
      <c r="AN1078" s="17" t="str">
        <f>IF(NOT(ISBLANK(Audit[[#This Row],[Audit Candidate 10]])), Audit[[#This Row],[Audit Candidate 10]]-Audit[[#This Row],[Candidate 10]], "")</f>
        <v/>
      </c>
      <c r="AO1078" s="17" t="str">
        <f>IF(NOT(ISBLANK(Audit[[#This Row],[Audit Candidate 11]])), Audit[[#This Row],[Audit Candidate 11]]-Audit[[#This Row],[Candidate 11]], "")</f>
        <v/>
      </c>
      <c r="AP1078" s="17" t="str">
        <f>IF(NOT(ISBLANK(Audit[[#This Row],[Audit Candidate 12]])), Audit[[#This Row],[Audit Candidate 12]]-Audit[[#This Row],[Candidate 12]], "")</f>
        <v/>
      </c>
      <c r="AQ1078" s="17">
        <f>SUMIF(Audit[[#This Row],[Difference Winner]:[Difference Candidate 12]], "&gt;0")</f>
        <v>0</v>
      </c>
      <c r="AR1078" s="17">
        <f>SUM(Audit[[#This Row],[Difference Winner]:[Difference Candidate 12]])</f>
        <v>0</v>
      </c>
      <c r="AS1078" s="17">
        <f>IF(Audit[[#This Row],[Times p Drawn - With Replacement]]&gt;0, IF(Audit[[#This Row],[Canceled Differences]]&lt;0, Audit[[#This Row],[Max Differences]]+ABS(Audit[[#This Row],[Canceled Differences]]), Audit[[#This Row],[Max Differences]]), 0)</f>
        <v>0</v>
      </c>
      <c r="AT1078" s="17">
        <f>'Sampling Data'!AB1078</f>
        <v>2.1600746902053981E-2</v>
      </c>
      <c r="AU1078" s="17">
        <f>IF(
      SUM(Audit[[#This Row],[Audit Losing Candidate]:[Audit Candidate 12]])
      &lt;&gt;0,
      (Audit[[#This Row],[Winning Candidate]]-Audit[[#This Row],[Losing Candidate]]-(Audit[[#This Row],[Audit Winning Candidate]]-Audit[[#This Row],[Audit Losing Candidate]]))/(Audit[[#Totals],[Winning Candidate]]-Audit[[#Totals],[Losing Candidate]]),
      0
)</f>
        <v>0</v>
      </c>
      <c r="AV10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8" s="17">
        <f>IF(Audit[[#This Row],[Max Relative Error (ep)]] = 0, 0, Audit[[#This Row],[Max Relative Error (ep)]]/Audit[[#This Row],[Error Bound (up) - Max. possible relative overstatement]])</f>
        <v>0</v>
      </c>
      <c r="BH10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78" s="17">
        <f t="shared" si="17"/>
        <v>1</v>
      </c>
      <c r="BJ1078" s="17">
        <f>PRODUCT($BI$5:BI1078)</f>
        <v>0.12355776757854808</v>
      </c>
      <c r="BK1078" s="19">
        <f>1 - Audit[[#This Row],[K-M P Value]]</f>
        <v>0.87644223242145192</v>
      </c>
      <c r="BL1078" s="17" t="str">
        <f>IF(Audit[[#This Row],[K-M P Value]]&gt;1-'General Info'!$B$12,"Continue", "Stop")</f>
        <v>Continue</v>
      </c>
      <c r="BM1078" s="22" t="b">
        <f>IF(Audit[[#This Row],[Status - Continue or stop audit]] = "Continue", TRUE, IF(BL1077 = "Continue", TRUE, FALSE))</f>
        <v>1</v>
      </c>
      <c r="BN1078" s="22"/>
    </row>
    <row r="1079" spans="1:66" ht="15" hidden="1" customHeight="1" x14ac:dyDescent="0.35">
      <c r="A1079" s="17" t="str">
        <f>'Sampling Data'!AI1079</f>
        <v/>
      </c>
      <c r="B1079" s="17" t="str">
        <f>'Sampling Data'!A1079</f>
        <v>8712 SPFLD L   (ED)</v>
      </c>
      <c r="C1079" s="17">
        <f>'Sampling Data'!B1079</f>
        <v>81</v>
      </c>
      <c r="D1079" s="17">
        <f>'Sampling Data'!C1079</f>
        <v>20</v>
      </c>
      <c r="E1079" s="18">
        <f>'Sampling Data'!D1079</f>
        <v>0</v>
      </c>
      <c r="F1079" s="18">
        <f>'Sampling Data'!E1079</f>
        <v>0</v>
      </c>
      <c r="G1079" s="18">
        <f>'Sampling Data'!F1079</f>
        <v>0</v>
      </c>
      <c r="H1079" s="18">
        <f>'Sampling Data'!G1079</f>
        <v>0</v>
      </c>
      <c r="I1079" s="18">
        <f>'Sampling Data'!H1079</f>
        <v>0</v>
      </c>
      <c r="J1079" s="18">
        <f>'Sampling Data'!I1079</f>
        <v>0</v>
      </c>
      <c r="K1079" s="18">
        <f>'Sampling Data'!J1079</f>
        <v>0</v>
      </c>
      <c r="L1079" s="18">
        <f>'Sampling Data'!K1079</f>
        <v>0</v>
      </c>
      <c r="M1079" s="18">
        <f>'Sampling Data'!L1079</f>
        <v>0</v>
      </c>
      <c r="N1079" s="18">
        <f>'Sampling Data'!M1079</f>
        <v>0</v>
      </c>
      <c r="O1079" s="17">
        <f>'Sampling Data'!N1079</f>
        <v>1</v>
      </c>
      <c r="P1079" s="17">
        <f>'Sampling Data'!O1079</f>
        <v>6</v>
      </c>
      <c r="Q1079" s="17">
        <f>'Sampling Data'!P1079</f>
        <v>108</v>
      </c>
      <c r="R1079" s="17">
        <f>'Sampling Data'!AJ1079</f>
        <v>0</v>
      </c>
      <c r="S1079" s="111"/>
      <c r="T1079" s="111"/>
      <c r="U1079" s="112"/>
      <c r="V1079" s="112"/>
      <c r="W1079" s="111"/>
      <c r="X1079" s="111"/>
      <c r="Y1079" s="111"/>
      <c r="Z1079" s="111"/>
      <c r="AA1079" s="14"/>
      <c r="AB1079" s="14"/>
      <c r="AC1079" s="14"/>
      <c r="AD1079" s="14"/>
      <c r="AE1079" s="113" t="str">
        <f>IF(NOT(ISBLANK(Audit[[#This Row],[Audit Winning Candidate]])), Audit[[#This Row],[Audit Winning Candidate]]-Audit[[#This Row],[Winning Candidate]], "")</f>
        <v/>
      </c>
      <c r="AF1079" s="17" t="str">
        <f>IF(NOT(ISBLANK(Audit[[#This Row],[Audit Losing Candidate]])), Audit[[#This Row],[Audit Losing Candidate]]-Audit[[#This Row],[Losing Candidate]], "")</f>
        <v/>
      </c>
      <c r="AG1079" s="17" t="str">
        <f>IF(NOT(ISBLANK(Audit[[#This Row],[Audit Candidate 3]])), Audit[[#This Row],[Audit Candidate 3]]-Audit[[#This Row],[Candidate 3]], "")</f>
        <v/>
      </c>
      <c r="AH1079" s="17" t="str">
        <f>IF(NOT(ISBLANK(Audit[[#This Row],[Audit Candidate 4]])),Audit[[#This Row],[Audit Candidate 4]]-Audit[[#This Row],[Candidate 4]], "")</f>
        <v/>
      </c>
      <c r="AI1079" s="17" t="str">
        <f>IF(NOT(ISBLANK(Audit[[#This Row],[Audit Candidate 5]])), Audit[[#This Row],[Audit Candidate 5]]-Audit[[#This Row],[Candidate 5]], "")</f>
        <v/>
      </c>
      <c r="AJ1079" s="17" t="str">
        <f>IF(NOT(ISBLANK(Audit[[#This Row],[Audit Candidate 6]])), Audit[[#This Row],[Audit Candidate 6]]-Audit[[#This Row],[Candidate 6]], "")</f>
        <v/>
      </c>
      <c r="AK1079" s="17" t="str">
        <f>IF(NOT(ISBLANK(Audit[[#This Row],[Audit Candidate 7]])), Audit[[#This Row],[Audit Candidate 7]]-Audit[[#This Row],[Candidate 7]], "")</f>
        <v/>
      </c>
      <c r="AL1079" s="17" t="str">
        <f>IF(NOT(ISBLANK(Audit[[#This Row],[Audit Candidate 8]])), Audit[[#This Row],[Audit Candidate 8]]-Audit[[#This Row],[Candidate 8]], "")</f>
        <v/>
      </c>
      <c r="AM1079" s="17" t="str">
        <f>IF(NOT(ISBLANK(Audit[[#This Row],[Audit Candidate 9]])), Audit[[#This Row],[Audit Candidate 9]]-Audit[[#This Row],[Candidate 9]], "")</f>
        <v/>
      </c>
      <c r="AN1079" s="17" t="str">
        <f>IF(NOT(ISBLANK(Audit[[#This Row],[Audit Candidate 10]])), Audit[[#This Row],[Audit Candidate 10]]-Audit[[#This Row],[Candidate 10]], "")</f>
        <v/>
      </c>
      <c r="AO1079" s="17" t="str">
        <f>IF(NOT(ISBLANK(Audit[[#This Row],[Audit Candidate 11]])), Audit[[#This Row],[Audit Candidate 11]]-Audit[[#This Row],[Candidate 11]], "")</f>
        <v/>
      </c>
      <c r="AP1079" s="17" t="str">
        <f>IF(NOT(ISBLANK(Audit[[#This Row],[Audit Candidate 12]])), Audit[[#This Row],[Audit Candidate 12]]-Audit[[#This Row],[Candidate 12]], "")</f>
        <v/>
      </c>
      <c r="AQ1079" s="17">
        <f>SUMIF(Audit[[#This Row],[Difference Winner]:[Difference Candidate 12]], "&gt;0")</f>
        <v>0</v>
      </c>
      <c r="AR1079" s="17">
        <f>SUM(Audit[[#This Row],[Difference Winner]:[Difference Candidate 12]])</f>
        <v>0</v>
      </c>
      <c r="AS1079" s="17">
        <f>IF(Audit[[#This Row],[Times p Drawn - With Replacement]]&gt;0, IF(Audit[[#This Row],[Canceled Differences]]&lt;0, Audit[[#This Row],[Max Differences]]+ABS(Audit[[#This Row],[Canceled Differences]]), Audit[[#This Row],[Max Differences]]), 0)</f>
        <v>0</v>
      </c>
      <c r="AT1079" s="17">
        <f>'Sampling Data'!AB1079</f>
        <v>7.1719572228823632E-3</v>
      </c>
      <c r="AU1079" s="17">
        <f>IF(
      SUM(Audit[[#This Row],[Audit Losing Candidate]:[Audit Candidate 12]])
      &lt;&gt;0,
      (Audit[[#This Row],[Winning Candidate]]-Audit[[#This Row],[Losing Candidate]]-(Audit[[#This Row],[Audit Winning Candidate]]-Audit[[#This Row],[Audit Losing Candidate]]))/(Audit[[#Totals],[Winning Candidate]]-Audit[[#Totals],[Losing Candidate]]),
      0
)</f>
        <v>0</v>
      </c>
      <c r="AV10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9" s="17">
        <f>IF(Audit[[#This Row],[Max Relative Error (ep)]] = 0, 0, Audit[[#This Row],[Max Relative Error (ep)]]/Audit[[#This Row],[Error Bound (up) - Max. possible relative overstatement]])</f>
        <v>0</v>
      </c>
      <c r="BH10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79" s="17">
        <f t="shared" si="17"/>
        <v>1</v>
      </c>
      <c r="BJ1079" s="17">
        <f>PRODUCT($BI$5:BI1079)</f>
        <v>0.12355776757854808</v>
      </c>
      <c r="BK1079" s="19">
        <f>1 - Audit[[#This Row],[K-M P Value]]</f>
        <v>0.87644223242145192</v>
      </c>
      <c r="BL1079" s="17" t="str">
        <f>IF(Audit[[#This Row],[K-M P Value]]&gt;1-'General Info'!$B$12,"Continue", "Stop")</f>
        <v>Continue</v>
      </c>
      <c r="BM1079" s="22" t="b">
        <f>IF(Audit[[#This Row],[Status - Continue or stop audit]] = "Continue", TRUE, IF(BL1078 = "Continue", TRUE, FALSE))</f>
        <v>1</v>
      </c>
      <c r="BN1079" s="22"/>
    </row>
    <row r="1080" spans="1:66" ht="15" hidden="1" customHeight="1" x14ac:dyDescent="0.35">
      <c r="A1080" s="17" t="str">
        <f>'Sampling Data'!AI1080</f>
        <v/>
      </c>
      <c r="B1080" s="17" t="str">
        <f>'Sampling Data'!A1080</f>
        <v>8713 SPFLD M   (ED)</v>
      </c>
      <c r="C1080" s="17">
        <f>'Sampling Data'!B1080</f>
        <v>264</v>
      </c>
      <c r="D1080" s="17">
        <f>'Sampling Data'!C1080</f>
        <v>206</v>
      </c>
      <c r="E1080" s="18">
        <f>'Sampling Data'!D1080</f>
        <v>0</v>
      </c>
      <c r="F1080" s="18">
        <f>'Sampling Data'!E1080</f>
        <v>0</v>
      </c>
      <c r="G1080" s="18">
        <f>'Sampling Data'!F1080</f>
        <v>0</v>
      </c>
      <c r="H1080" s="18">
        <f>'Sampling Data'!G1080</f>
        <v>0</v>
      </c>
      <c r="I1080" s="18">
        <f>'Sampling Data'!H1080</f>
        <v>0</v>
      </c>
      <c r="J1080" s="18">
        <f>'Sampling Data'!I1080</f>
        <v>0</v>
      </c>
      <c r="K1080" s="18">
        <f>'Sampling Data'!J1080</f>
        <v>0</v>
      </c>
      <c r="L1080" s="18">
        <f>'Sampling Data'!K1080</f>
        <v>0</v>
      </c>
      <c r="M1080" s="18">
        <f>'Sampling Data'!L1080</f>
        <v>0</v>
      </c>
      <c r="N1080" s="18">
        <f>'Sampling Data'!M1080</f>
        <v>0</v>
      </c>
      <c r="O1080" s="17">
        <f>'Sampling Data'!N1080</f>
        <v>0</v>
      </c>
      <c r="P1080" s="17">
        <f>'Sampling Data'!O1080</f>
        <v>22</v>
      </c>
      <c r="Q1080" s="17">
        <f>'Sampling Data'!P1080</f>
        <v>492</v>
      </c>
      <c r="R1080" s="17">
        <f>'Sampling Data'!AJ1080</f>
        <v>0</v>
      </c>
      <c r="S1080" s="111"/>
      <c r="T1080" s="111"/>
      <c r="U1080" s="112"/>
      <c r="V1080" s="112"/>
      <c r="W1080" s="111"/>
      <c r="X1080" s="111"/>
      <c r="Y1080" s="111"/>
      <c r="Z1080" s="111"/>
      <c r="AA1080" s="14"/>
      <c r="AB1080" s="14"/>
      <c r="AC1080" s="14"/>
      <c r="AD1080" s="14"/>
      <c r="AE1080" s="113" t="str">
        <f>IF(NOT(ISBLANK(Audit[[#This Row],[Audit Winning Candidate]])), Audit[[#This Row],[Audit Winning Candidate]]-Audit[[#This Row],[Winning Candidate]], "")</f>
        <v/>
      </c>
      <c r="AF1080" s="17" t="str">
        <f>IF(NOT(ISBLANK(Audit[[#This Row],[Audit Losing Candidate]])), Audit[[#This Row],[Audit Losing Candidate]]-Audit[[#This Row],[Losing Candidate]], "")</f>
        <v/>
      </c>
      <c r="AG1080" s="17" t="str">
        <f>IF(NOT(ISBLANK(Audit[[#This Row],[Audit Candidate 3]])), Audit[[#This Row],[Audit Candidate 3]]-Audit[[#This Row],[Candidate 3]], "")</f>
        <v/>
      </c>
      <c r="AH1080" s="17" t="str">
        <f>IF(NOT(ISBLANK(Audit[[#This Row],[Audit Candidate 4]])),Audit[[#This Row],[Audit Candidate 4]]-Audit[[#This Row],[Candidate 4]], "")</f>
        <v/>
      </c>
      <c r="AI1080" s="17" t="str">
        <f>IF(NOT(ISBLANK(Audit[[#This Row],[Audit Candidate 5]])), Audit[[#This Row],[Audit Candidate 5]]-Audit[[#This Row],[Candidate 5]], "")</f>
        <v/>
      </c>
      <c r="AJ1080" s="17" t="str">
        <f>IF(NOT(ISBLANK(Audit[[#This Row],[Audit Candidate 6]])), Audit[[#This Row],[Audit Candidate 6]]-Audit[[#This Row],[Candidate 6]], "")</f>
        <v/>
      </c>
      <c r="AK1080" s="17" t="str">
        <f>IF(NOT(ISBLANK(Audit[[#This Row],[Audit Candidate 7]])), Audit[[#This Row],[Audit Candidate 7]]-Audit[[#This Row],[Candidate 7]], "")</f>
        <v/>
      </c>
      <c r="AL1080" s="17" t="str">
        <f>IF(NOT(ISBLANK(Audit[[#This Row],[Audit Candidate 8]])), Audit[[#This Row],[Audit Candidate 8]]-Audit[[#This Row],[Candidate 8]], "")</f>
        <v/>
      </c>
      <c r="AM1080" s="17" t="str">
        <f>IF(NOT(ISBLANK(Audit[[#This Row],[Audit Candidate 9]])), Audit[[#This Row],[Audit Candidate 9]]-Audit[[#This Row],[Candidate 9]], "")</f>
        <v/>
      </c>
      <c r="AN1080" s="17" t="str">
        <f>IF(NOT(ISBLANK(Audit[[#This Row],[Audit Candidate 10]])), Audit[[#This Row],[Audit Candidate 10]]-Audit[[#This Row],[Candidate 10]], "")</f>
        <v/>
      </c>
      <c r="AO1080" s="17" t="str">
        <f>IF(NOT(ISBLANK(Audit[[#This Row],[Audit Candidate 11]])), Audit[[#This Row],[Audit Candidate 11]]-Audit[[#This Row],[Candidate 11]], "")</f>
        <v/>
      </c>
      <c r="AP1080" s="17" t="str">
        <f>IF(NOT(ISBLANK(Audit[[#This Row],[Audit Candidate 12]])), Audit[[#This Row],[Audit Candidate 12]]-Audit[[#This Row],[Candidate 12]], "")</f>
        <v/>
      </c>
      <c r="AQ1080" s="17">
        <f>SUMIF(Audit[[#This Row],[Difference Winner]:[Difference Candidate 12]], "&gt;0")</f>
        <v>0</v>
      </c>
      <c r="AR1080" s="17">
        <f>SUM(Audit[[#This Row],[Difference Winner]:[Difference Candidate 12]])</f>
        <v>0</v>
      </c>
      <c r="AS1080" s="17">
        <f>IF(Audit[[#This Row],[Times p Drawn - With Replacement]]&gt;0, IF(Audit[[#This Row],[Canceled Differences]]&lt;0, Audit[[#This Row],[Max Differences]]+ABS(Audit[[#This Row],[Canceled Differences]]), Audit[[#This Row],[Max Differences]]), 0)</f>
        <v>0</v>
      </c>
      <c r="AT1080" s="17">
        <f>'Sampling Data'!AB1080</f>
        <v>2.3340689186895264E-2</v>
      </c>
      <c r="AU1080" s="17">
        <f>IF(
      SUM(Audit[[#This Row],[Audit Losing Candidate]:[Audit Candidate 12]])
      &lt;&gt;0,
      (Audit[[#This Row],[Winning Candidate]]-Audit[[#This Row],[Losing Candidate]]-(Audit[[#This Row],[Audit Winning Candidate]]-Audit[[#This Row],[Audit Losing Candidate]]))/(Audit[[#Totals],[Winning Candidate]]-Audit[[#Totals],[Losing Candidate]]),
      0
)</f>
        <v>0</v>
      </c>
      <c r="AV10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0" s="17">
        <f>IF(Audit[[#This Row],[Max Relative Error (ep)]] = 0, 0, Audit[[#This Row],[Max Relative Error (ep)]]/Audit[[#This Row],[Error Bound (up) - Max. possible relative overstatement]])</f>
        <v>0</v>
      </c>
      <c r="BH10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80" s="17">
        <f t="shared" si="17"/>
        <v>1</v>
      </c>
      <c r="BJ1080" s="17">
        <f>PRODUCT($BI$5:BI1080)</f>
        <v>0.12355776757854808</v>
      </c>
      <c r="BK1080" s="19">
        <f>1 - Audit[[#This Row],[K-M P Value]]</f>
        <v>0.87644223242145192</v>
      </c>
      <c r="BL1080" s="17" t="str">
        <f>IF(Audit[[#This Row],[K-M P Value]]&gt;1-'General Info'!$B$12,"Continue", "Stop")</f>
        <v>Continue</v>
      </c>
      <c r="BM1080" s="22" t="b">
        <f>IF(Audit[[#This Row],[Status - Continue or stop audit]] = "Continue", TRUE, IF(BL1079 = "Continue", TRUE, FALSE))</f>
        <v>1</v>
      </c>
      <c r="BN1080" s="22"/>
    </row>
    <row r="1081" spans="1:66" ht="15" hidden="1" customHeight="1" x14ac:dyDescent="0.35">
      <c r="A1081" s="17" t="str">
        <f>'Sampling Data'!AI1081</f>
        <v/>
      </c>
      <c r="B1081" s="17" t="str">
        <f>'Sampling Data'!A1081</f>
        <v>8714 SPFLD N   (ED)</v>
      </c>
      <c r="C1081" s="17">
        <f>'Sampling Data'!B1081</f>
        <v>241</v>
      </c>
      <c r="D1081" s="17">
        <f>'Sampling Data'!C1081</f>
        <v>204</v>
      </c>
      <c r="E1081" s="18">
        <f>'Sampling Data'!D1081</f>
        <v>0</v>
      </c>
      <c r="F1081" s="18">
        <f>'Sampling Data'!E1081</f>
        <v>0</v>
      </c>
      <c r="G1081" s="18">
        <f>'Sampling Data'!F1081</f>
        <v>0</v>
      </c>
      <c r="H1081" s="18">
        <f>'Sampling Data'!G1081</f>
        <v>0</v>
      </c>
      <c r="I1081" s="18">
        <f>'Sampling Data'!H1081</f>
        <v>0</v>
      </c>
      <c r="J1081" s="18">
        <f>'Sampling Data'!I1081</f>
        <v>0</v>
      </c>
      <c r="K1081" s="18">
        <f>'Sampling Data'!J1081</f>
        <v>0</v>
      </c>
      <c r="L1081" s="18">
        <f>'Sampling Data'!K1081</f>
        <v>0</v>
      </c>
      <c r="M1081" s="18">
        <f>'Sampling Data'!L1081</f>
        <v>0</v>
      </c>
      <c r="N1081" s="18">
        <f>'Sampling Data'!M1081</f>
        <v>0</v>
      </c>
      <c r="O1081" s="17">
        <f>'Sampling Data'!N1081</f>
        <v>0</v>
      </c>
      <c r="P1081" s="17">
        <f>'Sampling Data'!O1081</f>
        <v>38</v>
      </c>
      <c r="Q1081" s="17">
        <f>'Sampling Data'!P1081</f>
        <v>483</v>
      </c>
      <c r="R1081" s="17">
        <f>'Sampling Data'!AJ1081</f>
        <v>0</v>
      </c>
      <c r="S1081" s="111"/>
      <c r="T1081" s="111"/>
      <c r="U1081" s="112"/>
      <c r="V1081" s="112"/>
      <c r="W1081" s="111"/>
      <c r="X1081" s="111"/>
      <c r="Y1081" s="111"/>
      <c r="Z1081" s="111"/>
      <c r="AA1081" s="14"/>
      <c r="AB1081" s="14"/>
      <c r="AC1081" s="14"/>
      <c r="AD1081" s="14"/>
      <c r="AE1081" s="113" t="str">
        <f>IF(NOT(ISBLANK(Audit[[#This Row],[Audit Winning Candidate]])), Audit[[#This Row],[Audit Winning Candidate]]-Audit[[#This Row],[Winning Candidate]], "")</f>
        <v/>
      </c>
      <c r="AF1081" s="17" t="str">
        <f>IF(NOT(ISBLANK(Audit[[#This Row],[Audit Losing Candidate]])), Audit[[#This Row],[Audit Losing Candidate]]-Audit[[#This Row],[Losing Candidate]], "")</f>
        <v/>
      </c>
      <c r="AG1081" s="17" t="str">
        <f>IF(NOT(ISBLANK(Audit[[#This Row],[Audit Candidate 3]])), Audit[[#This Row],[Audit Candidate 3]]-Audit[[#This Row],[Candidate 3]], "")</f>
        <v/>
      </c>
      <c r="AH1081" s="17" t="str">
        <f>IF(NOT(ISBLANK(Audit[[#This Row],[Audit Candidate 4]])),Audit[[#This Row],[Audit Candidate 4]]-Audit[[#This Row],[Candidate 4]], "")</f>
        <v/>
      </c>
      <c r="AI1081" s="17" t="str">
        <f>IF(NOT(ISBLANK(Audit[[#This Row],[Audit Candidate 5]])), Audit[[#This Row],[Audit Candidate 5]]-Audit[[#This Row],[Candidate 5]], "")</f>
        <v/>
      </c>
      <c r="AJ1081" s="17" t="str">
        <f>IF(NOT(ISBLANK(Audit[[#This Row],[Audit Candidate 6]])), Audit[[#This Row],[Audit Candidate 6]]-Audit[[#This Row],[Candidate 6]], "")</f>
        <v/>
      </c>
      <c r="AK1081" s="17" t="str">
        <f>IF(NOT(ISBLANK(Audit[[#This Row],[Audit Candidate 7]])), Audit[[#This Row],[Audit Candidate 7]]-Audit[[#This Row],[Candidate 7]], "")</f>
        <v/>
      </c>
      <c r="AL1081" s="17" t="str">
        <f>IF(NOT(ISBLANK(Audit[[#This Row],[Audit Candidate 8]])), Audit[[#This Row],[Audit Candidate 8]]-Audit[[#This Row],[Candidate 8]], "")</f>
        <v/>
      </c>
      <c r="AM1081" s="17" t="str">
        <f>IF(NOT(ISBLANK(Audit[[#This Row],[Audit Candidate 9]])), Audit[[#This Row],[Audit Candidate 9]]-Audit[[#This Row],[Candidate 9]], "")</f>
        <v/>
      </c>
      <c r="AN1081" s="17" t="str">
        <f>IF(NOT(ISBLANK(Audit[[#This Row],[Audit Candidate 10]])), Audit[[#This Row],[Audit Candidate 10]]-Audit[[#This Row],[Candidate 10]], "")</f>
        <v/>
      </c>
      <c r="AO1081" s="17" t="str">
        <f>IF(NOT(ISBLANK(Audit[[#This Row],[Audit Candidate 11]])), Audit[[#This Row],[Audit Candidate 11]]-Audit[[#This Row],[Candidate 11]], "")</f>
        <v/>
      </c>
      <c r="AP1081" s="17" t="str">
        <f>IF(NOT(ISBLANK(Audit[[#This Row],[Audit Candidate 12]])), Audit[[#This Row],[Audit Candidate 12]]-Audit[[#This Row],[Candidate 12]], "")</f>
        <v/>
      </c>
      <c r="AQ1081" s="17">
        <f>SUMIF(Audit[[#This Row],[Difference Winner]:[Difference Candidate 12]], "&gt;0")</f>
        <v>0</v>
      </c>
      <c r="AR1081" s="17">
        <f>SUM(Audit[[#This Row],[Difference Winner]:[Difference Candidate 12]])</f>
        <v>0</v>
      </c>
      <c r="AS1081" s="17">
        <f>IF(Audit[[#This Row],[Times p Drawn - With Replacement]]&gt;0, IF(Audit[[#This Row],[Canceled Differences]]&lt;0, Audit[[#This Row],[Max Differences]]+ABS(Audit[[#This Row],[Canceled Differences]]), Audit[[#This Row],[Max Differences]]), 0)</f>
        <v>0</v>
      </c>
      <c r="AT1081" s="17">
        <f>'Sampling Data'!AB1081</f>
        <v>2.2067560685791885E-2</v>
      </c>
      <c r="AU1081" s="17">
        <f>IF(
      SUM(Audit[[#This Row],[Audit Losing Candidate]:[Audit Candidate 12]])
      &lt;&gt;0,
      (Audit[[#This Row],[Winning Candidate]]-Audit[[#This Row],[Losing Candidate]]-(Audit[[#This Row],[Audit Winning Candidate]]-Audit[[#This Row],[Audit Losing Candidate]]))/(Audit[[#Totals],[Winning Candidate]]-Audit[[#Totals],[Losing Candidate]]),
      0
)</f>
        <v>0</v>
      </c>
      <c r="AV10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1" s="17">
        <f>IF(Audit[[#This Row],[Max Relative Error (ep)]] = 0, 0, Audit[[#This Row],[Max Relative Error (ep)]]/Audit[[#This Row],[Error Bound (up) - Max. possible relative overstatement]])</f>
        <v>0</v>
      </c>
      <c r="BH10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81" s="17">
        <f t="shared" si="17"/>
        <v>1</v>
      </c>
      <c r="BJ1081" s="17">
        <f>PRODUCT($BI$5:BI1081)</f>
        <v>0.12355776757854808</v>
      </c>
      <c r="BK1081" s="19">
        <f>1 - Audit[[#This Row],[K-M P Value]]</f>
        <v>0.87644223242145192</v>
      </c>
      <c r="BL1081" s="17" t="str">
        <f>IF(Audit[[#This Row],[K-M P Value]]&gt;1-'General Info'!$B$12,"Continue", "Stop")</f>
        <v>Continue</v>
      </c>
      <c r="BM1081" s="22" t="b">
        <f>IF(Audit[[#This Row],[Status - Continue or stop audit]] = "Continue", TRUE, IF(BL1080 = "Continue", TRUE, FALSE))</f>
        <v>1</v>
      </c>
      <c r="BN1081" s="22"/>
    </row>
    <row r="1082" spans="1:66" ht="15" hidden="1" customHeight="1" x14ac:dyDescent="0.35">
      <c r="A1082" s="17" t="str">
        <f>'Sampling Data'!AI1082</f>
        <v/>
      </c>
      <c r="B1082" s="17" t="str">
        <f>'Sampling Data'!A1082</f>
        <v>8715 SPFLD O   (ED)</v>
      </c>
      <c r="C1082" s="17">
        <f>'Sampling Data'!B1082</f>
        <v>316</v>
      </c>
      <c r="D1082" s="17">
        <f>'Sampling Data'!C1082</f>
        <v>82</v>
      </c>
      <c r="E1082" s="18">
        <f>'Sampling Data'!D1082</f>
        <v>0</v>
      </c>
      <c r="F1082" s="18">
        <f>'Sampling Data'!E1082</f>
        <v>0</v>
      </c>
      <c r="G1082" s="18">
        <f>'Sampling Data'!F1082</f>
        <v>0</v>
      </c>
      <c r="H1082" s="18">
        <f>'Sampling Data'!G1082</f>
        <v>0</v>
      </c>
      <c r="I1082" s="18">
        <f>'Sampling Data'!H1082</f>
        <v>0</v>
      </c>
      <c r="J1082" s="18">
        <f>'Sampling Data'!I1082</f>
        <v>0</v>
      </c>
      <c r="K1082" s="18">
        <f>'Sampling Data'!J1082</f>
        <v>0</v>
      </c>
      <c r="L1082" s="18">
        <f>'Sampling Data'!K1082</f>
        <v>0</v>
      </c>
      <c r="M1082" s="18">
        <f>'Sampling Data'!L1082</f>
        <v>0</v>
      </c>
      <c r="N1082" s="18">
        <f>'Sampling Data'!M1082</f>
        <v>0</v>
      </c>
      <c r="O1082" s="17">
        <f>'Sampling Data'!N1082</f>
        <v>0</v>
      </c>
      <c r="P1082" s="17">
        <f>'Sampling Data'!O1082</f>
        <v>19</v>
      </c>
      <c r="Q1082" s="17">
        <f>'Sampling Data'!P1082</f>
        <v>417</v>
      </c>
      <c r="R1082" s="17">
        <f>'Sampling Data'!AJ1082</f>
        <v>0</v>
      </c>
      <c r="S1082" s="111"/>
      <c r="T1082" s="111"/>
      <c r="U1082" s="112"/>
      <c r="V1082" s="112"/>
      <c r="W1082" s="111"/>
      <c r="X1082" s="111"/>
      <c r="Y1082" s="111"/>
      <c r="Z1082" s="111"/>
      <c r="AA1082" s="14"/>
      <c r="AB1082" s="14"/>
      <c r="AC1082" s="14"/>
      <c r="AD1082" s="14"/>
      <c r="AE1082" s="113" t="str">
        <f>IF(NOT(ISBLANK(Audit[[#This Row],[Audit Winning Candidate]])), Audit[[#This Row],[Audit Winning Candidate]]-Audit[[#This Row],[Winning Candidate]], "")</f>
        <v/>
      </c>
      <c r="AF1082" s="17" t="str">
        <f>IF(NOT(ISBLANK(Audit[[#This Row],[Audit Losing Candidate]])), Audit[[#This Row],[Audit Losing Candidate]]-Audit[[#This Row],[Losing Candidate]], "")</f>
        <v/>
      </c>
      <c r="AG1082" s="17" t="str">
        <f>IF(NOT(ISBLANK(Audit[[#This Row],[Audit Candidate 3]])), Audit[[#This Row],[Audit Candidate 3]]-Audit[[#This Row],[Candidate 3]], "")</f>
        <v/>
      </c>
      <c r="AH1082" s="17" t="str">
        <f>IF(NOT(ISBLANK(Audit[[#This Row],[Audit Candidate 4]])),Audit[[#This Row],[Audit Candidate 4]]-Audit[[#This Row],[Candidate 4]], "")</f>
        <v/>
      </c>
      <c r="AI1082" s="17" t="str">
        <f>IF(NOT(ISBLANK(Audit[[#This Row],[Audit Candidate 5]])), Audit[[#This Row],[Audit Candidate 5]]-Audit[[#This Row],[Candidate 5]], "")</f>
        <v/>
      </c>
      <c r="AJ1082" s="17" t="str">
        <f>IF(NOT(ISBLANK(Audit[[#This Row],[Audit Candidate 6]])), Audit[[#This Row],[Audit Candidate 6]]-Audit[[#This Row],[Candidate 6]], "")</f>
        <v/>
      </c>
      <c r="AK1082" s="17" t="str">
        <f>IF(NOT(ISBLANK(Audit[[#This Row],[Audit Candidate 7]])), Audit[[#This Row],[Audit Candidate 7]]-Audit[[#This Row],[Candidate 7]], "")</f>
        <v/>
      </c>
      <c r="AL1082" s="17" t="str">
        <f>IF(NOT(ISBLANK(Audit[[#This Row],[Audit Candidate 8]])), Audit[[#This Row],[Audit Candidate 8]]-Audit[[#This Row],[Candidate 8]], "")</f>
        <v/>
      </c>
      <c r="AM1082" s="17" t="str">
        <f>IF(NOT(ISBLANK(Audit[[#This Row],[Audit Candidate 9]])), Audit[[#This Row],[Audit Candidate 9]]-Audit[[#This Row],[Candidate 9]], "")</f>
        <v/>
      </c>
      <c r="AN1082" s="17" t="str">
        <f>IF(NOT(ISBLANK(Audit[[#This Row],[Audit Candidate 10]])), Audit[[#This Row],[Audit Candidate 10]]-Audit[[#This Row],[Candidate 10]], "")</f>
        <v/>
      </c>
      <c r="AO1082" s="17" t="str">
        <f>IF(NOT(ISBLANK(Audit[[#This Row],[Audit Candidate 11]])), Audit[[#This Row],[Audit Candidate 11]]-Audit[[#This Row],[Candidate 11]], "")</f>
        <v/>
      </c>
      <c r="AP1082" s="17" t="str">
        <f>IF(NOT(ISBLANK(Audit[[#This Row],[Audit Candidate 12]])), Audit[[#This Row],[Audit Candidate 12]]-Audit[[#This Row],[Candidate 12]], "")</f>
        <v/>
      </c>
      <c r="AQ1082" s="17">
        <f>SUMIF(Audit[[#This Row],[Difference Winner]:[Difference Candidate 12]], "&gt;0")</f>
        <v>0</v>
      </c>
      <c r="AR1082" s="17">
        <f>SUM(Audit[[#This Row],[Difference Winner]:[Difference Candidate 12]])</f>
        <v>0</v>
      </c>
      <c r="AS1082" s="17">
        <f>IF(Audit[[#This Row],[Times p Drawn - With Replacement]]&gt;0, IF(Audit[[#This Row],[Canceled Differences]]&lt;0, Audit[[#This Row],[Max Differences]]+ABS(Audit[[#This Row],[Canceled Differences]]), Audit[[#This Row],[Max Differences]]), 0)</f>
        <v>0</v>
      </c>
      <c r="AT1082" s="17">
        <f>'Sampling Data'!AB1082</f>
        <v>2.7626888473943303E-2</v>
      </c>
      <c r="AU1082" s="17">
        <f>IF(
      SUM(Audit[[#This Row],[Audit Losing Candidate]:[Audit Candidate 12]])
      &lt;&gt;0,
      (Audit[[#This Row],[Winning Candidate]]-Audit[[#This Row],[Losing Candidate]]-(Audit[[#This Row],[Audit Winning Candidate]]-Audit[[#This Row],[Audit Losing Candidate]]))/(Audit[[#Totals],[Winning Candidate]]-Audit[[#Totals],[Losing Candidate]]),
      0
)</f>
        <v>0</v>
      </c>
      <c r="AV10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2" s="17">
        <f>IF(Audit[[#This Row],[Max Relative Error (ep)]] = 0, 0, Audit[[#This Row],[Max Relative Error (ep)]]/Audit[[#This Row],[Error Bound (up) - Max. possible relative overstatement]])</f>
        <v>0</v>
      </c>
      <c r="BH10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82" s="17">
        <f t="shared" si="17"/>
        <v>1</v>
      </c>
      <c r="BJ1082" s="17">
        <f>PRODUCT($BI$5:BI1082)</f>
        <v>0.12355776757854808</v>
      </c>
      <c r="BK1082" s="19">
        <f>1 - Audit[[#This Row],[K-M P Value]]</f>
        <v>0.87644223242145192</v>
      </c>
      <c r="BL1082" s="17" t="str">
        <f>IF(Audit[[#This Row],[K-M P Value]]&gt;1-'General Info'!$B$12,"Continue", "Stop")</f>
        <v>Continue</v>
      </c>
      <c r="BM1082" s="22" t="b">
        <f>IF(Audit[[#This Row],[Status - Continue or stop audit]] = "Continue", TRUE, IF(BL1081 = "Continue", TRUE, FALSE))</f>
        <v>1</v>
      </c>
      <c r="BN1082" s="22"/>
    </row>
    <row r="1083" spans="1:66" ht="15" hidden="1" customHeight="1" x14ac:dyDescent="0.35">
      <c r="A1083" s="17" t="str">
        <f>'Sampling Data'!AI1083</f>
        <v/>
      </c>
      <c r="B1083" s="17" t="str">
        <f>'Sampling Data'!A1083</f>
        <v>8716 SPFLD P   (ED)</v>
      </c>
      <c r="C1083" s="17">
        <f>'Sampling Data'!B1083</f>
        <v>206</v>
      </c>
      <c r="D1083" s="17">
        <f>'Sampling Data'!C1083</f>
        <v>102</v>
      </c>
      <c r="E1083" s="18">
        <f>'Sampling Data'!D1083</f>
        <v>0</v>
      </c>
      <c r="F1083" s="18">
        <f>'Sampling Data'!E1083</f>
        <v>0</v>
      </c>
      <c r="G1083" s="18">
        <f>'Sampling Data'!F1083</f>
        <v>0</v>
      </c>
      <c r="H1083" s="18">
        <f>'Sampling Data'!G1083</f>
        <v>0</v>
      </c>
      <c r="I1083" s="18">
        <f>'Sampling Data'!H1083</f>
        <v>0</v>
      </c>
      <c r="J1083" s="18">
        <f>'Sampling Data'!I1083</f>
        <v>0</v>
      </c>
      <c r="K1083" s="18">
        <f>'Sampling Data'!J1083</f>
        <v>0</v>
      </c>
      <c r="L1083" s="18">
        <f>'Sampling Data'!K1083</f>
        <v>0</v>
      </c>
      <c r="M1083" s="18">
        <f>'Sampling Data'!L1083</f>
        <v>0</v>
      </c>
      <c r="N1083" s="18">
        <f>'Sampling Data'!M1083</f>
        <v>0</v>
      </c>
      <c r="O1083" s="17">
        <f>'Sampling Data'!N1083</f>
        <v>0</v>
      </c>
      <c r="P1083" s="17">
        <f>'Sampling Data'!O1083</f>
        <v>18</v>
      </c>
      <c r="Q1083" s="17">
        <f>'Sampling Data'!P1083</f>
        <v>326</v>
      </c>
      <c r="R1083" s="17">
        <f>'Sampling Data'!AJ1083</f>
        <v>0</v>
      </c>
      <c r="S1083" s="111"/>
      <c r="T1083" s="111"/>
      <c r="U1083" s="112"/>
      <c r="V1083" s="112"/>
      <c r="W1083" s="111"/>
      <c r="X1083" s="111"/>
      <c r="Y1083" s="111"/>
      <c r="Z1083" s="111"/>
      <c r="AA1083" s="14"/>
      <c r="AB1083" s="14"/>
      <c r="AC1083" s="14"/>
      <c r="AD1083" s="14"/>
      <c r="AE1083" s="113" t="str">
        <f>IF(NOT(ISBLANK(Audit[[#This Row],[Audit Winning Candidate]])), Audit[[#This Row],[Audit Winning Candidate]]-Audit[[#This Row],[Winning Candidate]], "")</f>
        <v/>
      </c>
      <c r="AF1083" s="17" t="str">
        <f>IF(NOT(ISBLANK(Audit[[#This Row],[Audit Losing Candidate]])), Audit[[#This Row],[Audit Losing Candidate]]-Audit[[#This Row],[Losing Candidate]], "")</f>
        <v/>
      </c>
      <c r="AG1083" s="17" t="str">
        <f>IF(NOT(ISBLANK(Audit[[#This Row],[Audit Candidate 3]])), Audit[[#This Row],[Audit Candidate 3]]-Audit[[#This Row],[Candidate 3]], "")</f>
        <v/>
      </c>
      <c r="AH1083" s="17" t="str">
        <f>IF(NOT(ISBLANK(Audit[[#This Row],[Audit Candidate 4]])),Audit[[#This Row],[Audit Candidate 4]]-Audit[[#This Row],[Candidate 4]], "")</f>
        <v/>
      </c>
      <c r="AI1083" s="17" t="str">
        <f>IF(NOT(ISBLANK(Audit[[#This Row],[Audit Candidate 5]])), Audit[[#This Row],[Audit Candidate 5]]-Audit[[#This Row],[Candidate 5]], "")</f>
        <v/>
      </c>
      <c r="AJ1083" s="17" t="str">
        <f>IF(NOT(ISBLANK(Audit[[#This Row],[Audit Candidate 6]])), Audit[[#This Row],[Audit Candidate 6]]-Audit[[#This Row],[Candidate 6]], "")</f>
        <v/>
      </c>
      <c r="AK1083" s="17" t="str">
        <f>IF(NOT(ISBLANK(Audit[[#This Row],[Audit Candidate 7]])), Audit[[#This Row],[Audit Candidate 7]]-Audit[[#This Row],[Candidate 7]], "")</f>
        <v/>
      </c>
      <c r="AL1083" s="17" t="str">
        <f>IF(NOT(ISBLANK(Audit[[#This Row],[Audit Candidate 8]])), Audit[[#This Row],[Audit Candidate 8]]-Audit[[#This Row],[Candidate 8]], "")</f>
        <v/>
      </c>
      <c r="AM1083" s="17" t="str">
        <f>IF(NOT(ISBLANK(Audit[[#This Row],[Audit Candidate 9]])), Audit[[#This Row],[Audit Candidate 9]]-Audit[[#This Row],[Candidate 9]], "")</f>
        <v/>
      </c>
      <c r="AN1083" s="17" t="str">
        <f>IF(NOT(ISBLANK(Audit[[#This Row],[Audit Candidate 10]])), Audit[[#This Row],[Audit Candidate 10]]-Audit[[#This Row],[Candidate 10]], "")</f>
        <v/>
      </c>
      <c r="AO1083" s="17" t="str">
        <f>IF(NOT(ISBLANK(Audit[[#This Row],[Audit Candidate 11]])), Audit[[#This Row],[Audit Candidate 11]]-Audit[[#This Row],[Candidate 11]], "")</f>
        <v/>
      </c>
      <c r="AP1083" s="17" t="str">
        <f>IF(NOT(ISBLANK(Audit[[#This Row],[Audit Candidate 12]])), Audit[[#This Row],[Audit Candidate 12]]-Audit[[#This Row],[Candidate 12]], "")</f>
        <v/>
      </c>
      <c r="AQ1083" s="17">
        <f>SUMIF(Audit[[#This Row],[Difference Winner]:[Difference Candidate 12]], "&gt;0")</f>
        <v>0</v>
      </c>
      <c r="AR1083" s="17">
        <f>SUM(Audit[[#This Row],[Difference Winner]:[Difference Candidate 12]])</f>
        <v>0</v>
      </c>
      <c r="AS1083" s="17">
        <f>IF(Audit[[#This Row],[Times p Drawn - With Replacement]]&gt;0, IF(Audit[[#This Row],[Canceled Differences]]&lt;0, Audit[[#This Row],[Max Differences]]+ABS(Audit[[#This Row],[Canceled Differences]]), Audit[[#This Row],[Max Differences]]), 0)</f>
        <v>0</v>
      </c>
      <c r="AT1083" s="17">
        <f>'Sampling Data'!AB1083</f>
        <v>1.824817518248175E-2</v>
      </c>
      <c r="AU1083" s="17">
        <f>IF(
      SUM(Audit[[#This Row],[Audit Losing Candidate]:[Audit Candidate 12]])
      &lt;&gt;0,
      (Audit[[#This Row],[Winning Candidate]]-Audit[[#This Row],[Losing Candidate]]-(Audit[[#This Row],[Audit Winning Candidate]]-Audit[[#This Row],[Audit Losing Candidate]]))/(Audit[[#Totals],[Winning Candidate]]-Audit[[#Totals],[Losing Candidate]]),
      0
)</f>
        <v>0</v>
      </c>
      <c r="AV10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3" s="17">
        <f>IF(Audit[[#This Row],[Max Relative Error (ep)]] = 0, 0, Audit[[#This Row],[Max Relative Error (ep)]]/Audit[[#This Row],[Error Bound (up) - Max. possible relative overstatement]])</f>
        <v>0</v>
      </c>
      <c r="BH10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83" s="17">
        <f t="shared" si="17"/>
        <v>1</v>
      </c>
      <c r="BJ1083" s="17">
        <f>PRODUCT($BI$5:BI1083)</f>
        <v>0.12355776757854808</v>
      </c>
      <c r="BK1083" s="19">
        <f>1 - Audit[[#This Row],[K-M P Value]]</f>
        <v>0.87644223242145192</v>
      </c>
      <c r="BL1083" s="17" t="str">
        <f>IF(Audit[[#This Row],[K-M P Value]]&gt;1-'General Info'!$B$12,"Continue", "Stop")</f>
        <v>Continue</v>
      </c>
      <c r="BM1083" s="22" t="b">
        <f>IF(Audit[[#This Row],[Status - Continue or stop audit]] = "Continue", TRUE, IF(BL1082 = "Continue", TRUE, FALSE))</f>
        <v>1</v>
      </c>
      <c r="BN1083" s="22"/>
    </row>
    <row r="1084" spans="1:66" ht="15" hidden="1" customHeight="1" x14ac:dyDescent="0.35">
      <c r="A1084" s="17" t="str">
        <f>'Sampling Data'!AI1084</f>
        <v/>
      </c>
      <c r="B1084" s="17" t="str">
        <f>'Sampling Data'!A1084</f>
        <v>8717 SPFLD Q   (ED)</v>
      </c>
      <c r="C1084" s="17">
        <f>'Sampling Data'!B1084</f>
        <v>308</v>
      </c>
      <c r="D1084" s="17">
        <f>'Sampling Data'!C1084</f>
        <v>175</v>
      </c>
      <c r="E1084" s="18">
        <f>'Sampling Data'!D1084</f>
        <v>0</v>
      </c>
      <c r="F1084" s="18">
        <f>'Sampling Data'!E1084</f>
        <v>0</v>
      </c>
      <c r="G1084" s="18">
        <f>'Sampling Data'!F1084</f>
        <v>0</v>
      </c>
      <c r="H1084" s="18">
        <f>'Sampling Data'!G1084</f>
        <v>0</v>
      </c>
      <c r="I1084" s="18">
        <f>'Sampling Data'!H1084</f>
        <v>0</v>
      </c>
      <c r="J1084" s="18">
        <f>'Sampling Data'!I1084</f>
        <v>0</v>
      </c>
      <c r="K1084" s="18">
        <f>'Sampling Data'!J1084</f>
        <v>0</v>
      </c>
      <c r="L1084" s="18">
        <f>'Sampling Data'!K1084</f>
        <v>0</v>
      </c>
      <c r="M1084" s="18">
        <f>'Sampling Data'!L1084</f>
        <v>0</v>
      </c>
      <c r="N1084" s="18">
        <f>'Sampling Data'!M1084</f>
        <v>0</v>
      </c>
      <c r="O1084" s="17">
        <f>'Sampling Data'!N1084</f>
        <v>0</v>
      </c>
      <c r="P1084" s="17">
        <f>'Sampling Data'!O1084</f>
        <v>33</v>
      </c>
      <c r="Q1084" s="17">
        <f>'Sampling Data'!P1084</f>
        <v>516</v>
      </c>
      <c r="R1084" s="17">
        <f>'Sampling Data'!AJ1084</f>
        <v>0</v>
      </c>
      <c r="S1084" s="111"/>
      <c r="T1084" s="111"/>
      <c r="U1084" s="112"/>
      <c r="V1084" s="112"/>
      <c r="W1084" s="111"/>
      <c r="X1084" s="111"/>
      <c r="Y1084" s="111"/>
      <c r="Z1084" s="111"/>
      <c r="AA1084" s="14"/>
      <c r="AB1084" s="14"/>
      <c r="AC1084" s="14"/>
      <c r="AD1084" s="14"/>
      <c r="AE1084" s="113" t="str">
        <f>IF(NOT(ISBLANK(Audit[[#This Row],[Audit Winning Candidate]])), Audit[[#This Row],[Audit Winning Candidate]]-Audit[[#This Row],[Winning Candidate]], "")</f>
        <v/>
      </c>
      <c r="AF1084" s="17" t="str">
        <f>IF(NOT(ISBLANK(Audit[[#This Row],[Audit Losing Candidate]])), Audit[[#This Row],[Audit Losing Candidate]]-Audit[[#This Row],[Losing Candidate]], "")</f>
        <v/>
      </c>
      <c r="AG1084" s="17" t="str">
        <f>IF(NOT(ISBLANK(Audit[[#This Row],[Audit Candidate 3]])), Audit[[#This Row],[Audit Candidate 3]]-Audit[[#This Row],[Candidate 3]], "")</f>
        <v/>
      </c>
      <c r="AH1084" s="17" t="str">
        <f>IF(NOT(ISBLANK(Audit[[#This Row],[Audit Candidate 4]])),Audit[[#This Row],[Audit Candidate 4]]-Audit[[#This Row],[Candidate 4]], "")</f>
        <v/>
      </c>
      <c r="AI1084" s="17" t="str">
        <f>IF(NOT(ISBLANK(Audit[[#This Row],[Audit Candidate 5]])), Audit[[#This Row],[Audit Candidate 5]]-Audit[[#This Row],[Candidate 5]], "")</f>
        <v/>
      </c>
      <c r="AJ1084" s="17" t="str">
        <f>IF(NOT(ISBLANK(Audit[[#This Row],[Audit Candidate 6]])), Audit[[#This Row],[Audit Candidate 6]]-Audit[[#This Row],[Candidate 6]], "")</f>
        <v/>
      </c>
      <c r="AK1084" s="17" t="str">
        <f>IF(NOT(ISBLANK(Audit[[#This Row],[Audit Candidate 7]])), Audit[[#This Row],[Audit Candidate 7]]-Audit[[#This Row],[Candidate 7]], "")</f>
        <v/>
      </c>
      <c r="AL1084" s="17" t="str">
        <f>IF(NOT(ISBLANK(Audit[[#This Row],[Audit Candidate 8]])), Audit[[#This Row],[Audit Candidate 8]]-Audit[[#This Row],[Candidate 8]], "")</f>
        <v/>
      </c>
      <c r="AM1084" s="17" t="str">
        <f>IF(NOT(ISBLANK(Audit[[#This Row],[Audit Candidate 9]])), Audit[[#This Row],[Audit Candidate 9]]-Audit[[#This Row],[Candidate 9]], "")</f>
        <v/>
      </c>
      <c r="AN1084" s="17" t="str">
        <f>IF(NOT(ISBLANK(Audit[[#This Row],[Audit Candidate 10]])), Audit[[#This Row],[Audit Candidate 10]]-Audit[[#This Row],[Candidate 10]], "")</f>
        <v/>
      </c>
      <c r="AO1084" s="17" t="str">
        <f>IF(NOT(ISBLANK(Audit[[#This Row],[Audit Candidate 11]])), Audit[[#This Row],[Audit Candidate 11]]-Audit[[#This Row],[Candidate 11]], "")</f>
        <v/>
      </c>
      <c r="AP1084" s="17" t="str">
        <f>IF(NOT(ISBLANK(Audit[[#This Row],[Audit Candidate 12]])), Audit[[#This Row],[Audit Candidate 12]]-Audit[[#This Row],[Candidate 12]], "")</f>
        <v/>
      </c>
      <c r="AQ1084" s="17">
        <f>SUMIF(Audit[[#This Row],[Difference Winner]:[Difference Candidate 12]], "&gt;0")</f>
        <v>0</v>
      </c>
      <c r="AR1084" s="17">
        <f>SUM(Audit[[#This Row],[Difference Winner]:[Difference Candidate 12]])</f>
        <v>0</v>
      </c>
      <c r="AS1084" s="17">
        <f>IF(Audit[[#This Row],[Times p Drawn - With Replacement]]&gt;0, IF(Audit[[#This Row],[Canceled Differences]]&lt;0, Audit[[#This Row],[Max Differences]]+ABS(Audit[[#This Row],[Canceled Differences]]), Audit[[#This Row],[Max Differences]]), 0)</f>
        <v>0</v>
      </c>
      <c r="AT1084" s="17">
        <f>'Sampling Data'!AB1084</f>
        <v>2.7542013240536411E-2</v>
      </c>
      <c r="AU1084" s="17">
        <f>IF(
      SUM(Audit[[#This Row],[Audit Losing Candidate]:[Audit Candidate 12]])
      &lt;&gt;0,
      (Audit[[#This Row],[Winning Candidate]]-Audit[[#This Row],[Losing Candidate]]-(Audit[[#This Row],[Audit Winning Candidate]]-Audit[[#This Row],[Audit Losing Candidate]]))/(Audit[[#Totals],[Winning Candidate]]-Audit[[#Totals],[Losing Candidate]]),
      0
)</f>
        <v>0</v>
      </c>
      <c r="AV10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4" s="17">
        <f>IF(Audit[[#This Row],[Max Relative Error (ep)]] = 0, 0, Audit[[#This Row],[Max Relative Error (ep)]]/Audit[[#This Row],[Error Bound (up) - Max. possible relative overstatement]])</f>
        <v>0</v>
      </c>
      <c r="BH10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84" s="17">
        <f t="shared" si="17"/>
        <v>1</v>
      </c>
      <c r="BJ1084" s="17">
        <f>PRODUCT($BI$5:BI1084)</f>
        <v>0.12355776757854808</v>
      </c>
      <c r="BK1084" s="19">
        <f>1 - Audit[[#This Row],[K-M P Value]]</f>
        <v>0.87644223242145192</v>
      </c>
      <c r="BL1084" s="17" t="str">
        <f>IF(Audit[[#This Row],[K-M P Value]]&gt;1-'General Info'!$B$12,"Continue", "Stop")</f>
        <v>Continue</v>
      </c>
      <c r="BM1084" s="22" t="b">
        <f>IF(Audit[[#This Row],[Status - Continue or stop audit]] = "Continue", TRUE, IF(BL1083 = "Continue", TRUE, FALSE))</f>
        <v>1</v>
      </c>
      <c r="BN1084" s="22"/>
    </row>
    <row r="1085" spans="1:66" ht="15" hidden="1" customHeight="1" x14ac:dyDescent="0.35">
      <c r="A1085" s="17" t="str">
        <f>'Sampling Data'!AI1085</f>
        <v/>
      </c>
      <c r="B1085" s="17" t="str">
        <f>'Sampling Data'!A1085</f>
        <v>8718 SPFLD R   (ED)</v>
      </c>
      <c r="C1085" s="17">
        <f>'Sampling Data'!B1085</f>
        <v>272</v>
      </c>
      <c r="D1085" s="17">
        <f>'Sampling Data'!C1085</f>
        <v>191</v>
      </c>
      <c r="E1085" s="18">
        <f>'Sampling Data'!D1085</f>
        <v>0</v>
      </c>
      <c r="F1085" s="18">
        <f>'Sampling Data'!E1085</f>
        <v>0</v>
      </c>
      <c r="G1085" s="18">
        <f>'Sampling Data'!F1085</f>
        <v>0</v>
      </c>
      <c r="H1085" s="18">
        <f>'Sampling Data'!G1085</f>
        <v>0</v>
      </c>
      <c r="I1085" s="18">
        <f>'Sampling Data'!H1085</f>
        <v>0</v>
      </c>
      <c r="J1085" s="18">
        <f>'Sampling Data'!I1085</f>
        <v>0</v>
      </c>
      <c r="K1085" s="18">
        <f>'Sampling Data'!J1085</f>
        <v>0</v>
      </c>
      <c r="L1085" s="18">
        <f>'Sampling Data'!K1085</f>
        <v>0</v>
      </c>
      <c r="M1085" s="18">
        <f>'Sampling Data'!L1085</f>
        <v>0</v>
      </c>
      <c r="N1085" s="18">
        <f>'Sampling Data'!M1085</f>
        <v>0</v>
      </c>
      <c r="O1085" s="17">
        <f>'Sampling Data'!N1085</f>
        <v>1</v>
      </c>
      <c r="P1085" s="17">
        <f>'Sampling Data'!O1085</f>
        <v>36</v>
      </c>
      <c r="Q1085" s="17">
        <f>'Sampling Data'!P1085</f>
        <v>500</v>
      </c>
      <c r="R1085" s="17">
        <f>'Sampling Data'!AJ1085</f>
        <v>0</v>
      </c>
      <c r="S1085" s="111"/>
      <c r="T1085" s="111"/>
      <c r="U1085" s="112"/>
      <c r="V1085" s="112"/>
      <c r="W1085" s="111"/>
      <c r="X1085" s="111"/>
      <c r="Y1085" s="111"/>
      <c r="Z1085" s="111"/>
      <c r="AA1085" s="14"/>
      <c r="AB1085" s="14"/>
      <c r="AC1085" s="14"/>
      <c r="AD1085" s="14"/>
      <c r="AE1085" s="113" t="str">
        <f>IF(NOT(ISBLANK(Audit[[#This Row],[Audit Winning Candidate]])), Audit[[#This Row],[Audit Winning Candidate]]-Audit[[#This Row],[Winning Candidate]], "")</f>
        <v/>
      </c>
      <c r="AF1085" s="17" t="str">
        <f>IF(NOT(ISBLANK(Audit[[#This Row],[Audit Losing Candidate]])), Audit[[#This Row],[Audit Losing Candidate]]-Audit[[#This Row],[Losing Candidate]], "")</f>
        <v/>
      </c>
      <c r="AG1085" s="17" t="str">
        <f>IF(NOT(ISBLANK(Audit[[#This Row],[Audit Candidate 3]])), Audit[[#This Row],[Audit Candidate 3]]-Audit[[#This Row],[Candidate 3]], "")</f>
        <v/>
      </c>
      <c r="AH1085" s="17" t="str">
        <f>IF(NOT(ISBLANK(Audit[[#This Row],[Audit Candidate 4]])),Audit[[#This Row],[Audit Candidate 4]]-Audit[[#This Row],[Candidate 4]], "")</f>
        <v/>
      </c>
      <c r="AI1085" s="17" t="str">
        <f>IF(NOT(ISBLANK(Audit[[#This Row],[Audit Candidate 5]])), Audit[[#This Row],[Audit Candidate 5]]-Audit[[#This Row],[Candidate 5]], "")</f>
        <v/>
      </c>
      <c r="AJ1085" s="17" t="str">
        <f>IF(NOT(ISBLANK(Audit[[#This Row],[Audit Candidate 6]])), Audit[[#This Row],[Audit Candidate 6]]-Audit[[#This Row],[Candidate 6]], "")</f>
        <v/>
      </c>
      <c r="AK1085" s="17" t="str">
        <f>IF(NOT(ISBLANK(Audit[[#This Row],[Audit Candidate 7]])), Audit[[#This Row],[Audit Candidate 7]]-Audit[[#This Row],[Candidate 7]], "")</f>
        <v/>
      </c>
      <c r="AL1085" s="17" t="str">
        <f>IF(NOT(ISBLANK(Audit[[#This Row],[Audit Candidate 8]])), Audit[[#This Row],[Audit Candidate 8]]-Audit[[#This Row],[Candidate 8]], "")</f>
        <v/>
      </c>
      <c r="AM1085" s="17" t="str">
        <f>IF(NOT(ISBLANK(Audit[[#This Row],[Audit Candidate 9]])), Audit[[#This Row],[Audit Candidate 9]]-Audit[[#This Row],[Candidate 9]], "")</f>
        <v/>
      </c>
      <c r="AN1085" s="17" t="str">
        <f>IF(NOT(ISBLANK(Audit[[#This Row],[Audit Candidate 10]])), Audit[[#This Row],[Audit Candidate 10]]-Audit[[#This Row],[Candidate 10]], "")</f>
        <v/>
      </c>
      <c r="AO1085" s="17" t="str">
        <f>IF(NOT(ISBLANK(Audit[[#This Row],[Audit Candidate 11]])), Audit[[#This Row],[Audit Candidate 11]]-Audit[[#This Row],[Candidate 11]], "")</f>
        <v/>
      </c>
      <c r="AP1085" s="17" t="str">
        <f>IF(NOT(ISBLANK(Audit[[#This Row],[Audit Candidate 12]])), Audit[[#This Row],[Audit Candidate 12]]-Audit[[#This Row],[Candidate 12]], "")</f>
        <v/>
      </c>
      <c r="AQ1085" s="17">
        <f>SUMIF(Audit[[#This Row],[Difference Winner]:[Difference Candidate 12]], "&gt;0")</f>
        <v>0</v>
      </c>
      <c r="AR1085" s="17">
        <f>SUM(Audit[[#This Row],[Difference Winner]:[Difference Candidate 12]])</f>
        <v>0</v>
      </c>
      <c r="AS1085" s="17">
        <f>IF(Audit[[#This Row],[Times p Drawn - With Replacement]]&gt;0, IF(Audit[[#This Row],[Canceled Differences]]&lt;0, Audit[[#This Row],[Max Differences]]+ABS(Audit[[#This Row],[Canceled Differences]]), Audit[[#This Row],[Max Differences]]), 0)</f>
        <v>0</v>
      </c>
      <c r="AT1085" s="17">
        <f>'Sampling Data'!AB1085</f>
        <v>2.4656255304702088E-2</v>
      </c>
      <c r="AU1085" s="17">
        <f>IF(
      SUM(Audit[[#This Row],[Audit Losing Candidate]:[Audit Candidate 12]])
      &lt;&gt;0,
      (Audit[[#This Row],[Winning Candidate]]-Audit[[#This Row],[Losing Candidate]]-(Audit[[#This Row],[Audit Winning Candidate]]-Audit[[#This Row],[Audit Losing Candidate]]))/(Audit[[#Totals],[Winning Candidate]]-Audit[[#Totals],[Losing Candidate]]),
      0
)</f>
        <v>0</v>
      </c>
      <c r="AV10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5" s="17">
        <f>IF(Audit[[#This Row],[Max Relative Error (ep)]] = 0, 0, Audit[[#This Row],[Max Relative Error (ep)]]/Audit[[#This Row],[Error Bound (up) - Max. possible relative overstatement]])</f>
        <v>0</v>
      </c>
      <c r="BH10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85" s="17">
        <f t="shared" si="17"/>
        <v>1</v>
      </c>
      <c r="BJ1085" s="17">
        <f>PRODUCT($BI$5:BI1085)</f>
        <v>0.12355776757854808</v>
      </c>
      <c r="BK1085" s="19">
        <f>1 - Audit[[#This Row],[K-M P Value]]</f>
        <v>0.87644223242145192</v>
      </c>
      <c r="BL1085" s="17" t="str">
        <f>IF(Audit[[#This Row],[K-M P Value]]&gt;1-'General Info'!$B$12,"Continue", "Stop")</f>
        <v>Continue</v>
      </c>
      <c r="BM1085" s="22" t="b">
        <f>IF(Audit[[#This Row],[Status - Continue or stop audit]] = "Continue", TRUE, IF(BL1084 = "Continue", TRUE, FALSE))</f>
        <v>1</v>
      </c>
      <c r="BN1085" s="22"/>
    </row>
    <row r="1086" spans="1:66" ht="15" hidden="1" customHeight="1" x14ac:dyDescent="0.35">
      <c r="A1086" s="17" t="str">
        <f>'Sampling Data'!AI1086</f>
        <v/>
      </c>
      <c r="B1086" s="17" t="str">
        <f>'Sampling Data'!A1086</f>
        <v>8719 SPFLD S   (ED)</v>
      </c>
      <c r="C1086" s="17">
        <f>'Sampling Data'!B1086</f>
        <v>218</v>
      </c>
      <c r="D1086" s="17">
        <f>'Sampling Data'!C1086</f>
        <v>210</v>
      </c>
      <c r="E1086" s="18">
        <f>'Sampling Data'!D1086</f>
        <v>0</v>
      </c>
      <c r="F1086" s="18">
        <f>'Sampling Data'!E1086</f>
        <v>0</v>
      </c>
      <c r="G1086" s="18">
        <f>'Sampling Data'!F1086</f>
        <v>0</v>
      </c>
      <c r="H1086" s="18">
        <f>'Sampling Data'!G1086</f>
        <v>0</v>
      </c>
      <c r="I1086" s="18">
        <f>'Sampling Data'!H1086</f>
        <v>0</v>
      </c>
      <c r="J1086" s="18">
        <f>'Sampling Data'!I1086</f>
        <v>0</v>
      </c>
      <c r="K1086" s="18">
        <f>'Sampling Data'!J1086</f>
        <v>0</v>
      </c>
      <c r="L1086" s="18">
        <f>'Sampling Data'!K1086</f>
        <v>0</v>
      </c>
      <c r="M1086" s="18">
        <f>'Sampling Data'!L1086</f>
        <v>0</v>
      </c>
      <c r="N1086" s="18">
        <f>'Sampling Data'!M1086</f>
        <v>0</v>
      </c>
      <c r="O1086" s="17">
        <f>'Sampling Data'!N1086</f>
        <v>0</v>
      </c>
      <c r="P1086" s="17">
        <f>'Sampling Data'!O1086</f>
        <v>24</v>
      </c>
      <c r="Q1086" s="17">
        <f>'Sampling Data'!P1086</f>
        <v>452</v>
      </c>
      <c r="R1086" s="17">
        <f>'Sampling Data'!AJ1086</f>
        <v>0</v>
      </c>
      <c r="S1086" s="111"/>
      <c r="T1086" s="111"/>
      <c r="U1086" s="112"/>
      <c r="V1086" s="112"/>
      <c r="W1086" s="111"/>
      <c r="X1086" s="111"/>
      <c r="Y1086" s="111"/>
      <c r="Z1086" s="111"/>
      <c r="AA1086" s="14"/>
      <c r="AB1086" s="14"/>
      <c r="AC1086" s="14"/>
      <c r="AD1086" s="14"/>
      <c r="AE1086" s="113" t="str">
        <f>IF(NOT(ISBLANK(Audit[[#This Row],[Audit Winning Candidate]])), Audit[[#This Row],[Audit Winning Candidate]]-Audit[[#This Row],[Winning Candidate]], "")</f>
        <v/>
      </c>
      <c r="AF1086" s="17" t="str">
        <f>IF(NOT(ISBLANK(Audit[[#This Row],[Audit Losing Candidate]])), Audit[[#This Row],[Audit Losing Candidate]]-Audit[[#This Row],[Losing Candidate]], "")</f>
        <v/>
      </c>
      <c r="AG1086" s="17" t="str">
        <f>IF(NOT(ISBLANK(Audit[[#This Row],[Audit Candidate 3]])), Audit[[#This Row],[Audit Candidate 3]]-Audit[[#This Row],[Candidate 3]], "")</f>
        <v/>
      </c>
      <c r="AH1086" s="17" t="str">
        <f>IF(NOT(ISBLANK(Audit[[#This Row],[Audit Candidate 4]])),Audit[[#This Row],[Audit Candidate 4]]-Audit[[#This Row],[Candidate 4]], "")</f>
        <v/>
      </c>
      <c r="AI1086" s="17" t="str">
        <f>IF(NOT(ISBLANK(Audit[[#This Row],[Audit Candidate 5]])), Audit[[#This Row],[Audit Candidate 5]]-Audit[[#This Row],[Candidate 5]], "")</f>
        <v/>
      </c>
      <c r="AJ1086" s="17" t="str">
        <f>IF(NOT(ISBLANK(Audit[[#This Row],[Audit Candidate 6]])), Audit[[#This Row],[Audit Candidate 6]]-Audit[[#This Row],[Candidate 6]], "")</f>
        <v/>
      </c>
      <c r="AK1086" s="17" t="str">
        <f>IF(NOT(ISBLANK(Audit[[#This Row],[Audit Candidate 7]])), Audit[[#This Row],[Audit Candidate 7]]-Audit[[#This Row],[Candidate 7]], "")</f>
        <v/>
      </c>
      <c r="AL1086" s="17" t="str">
        <f>IF(NOT(ISBLANK(Audit[[#This Row],[Audit Candidate 8]])), Audit[[#This Row],[Audit Candidate 8]]-Audit[[#This Row],[Candidate 8]], "")</f>
        <v/>
      </c>
      <c r="AM1086" s="17" t="str">
        <f>IF(NOT(ISBLANK(Audit[[#This Row],[Audit Candidate 9]])), Audit[[#This Row],[Audit Candidate 9]]-Audit[[#This Row],[Candidate 9]], "")</f>
        <v/>
      </c>
      <c r="AN1086" s="17" t="str">
        <f>IF(NOT(ISBLANK(Audit[[#This Row],[Audit Candidate 10]])), Audit[[#This Row],[Audit Candidate 10]]-Audit[[#This Row],[Candidate 10]], "")</f>
        <v/>
      </c>
      <c r="AO1086" s="17" t="str">
        <f>IF(NOT(ISBLANK(Audit[[#This Row],[Audit Candidate 11]])), Audit[[#This Row],[Audit Candidate 11]]-Audit[[#This Row],[Candidate 11]], "")</f>
        <v/>
      </c>
      <c r="AP1086" s="17" t="str">
        <f>IF(NOT(ISBLANK(Audit[[#This Row],[Audit Candidate 12]])), Audit[[#This Row],[Audit Candidate 12]]-Audit[[#This Row],[Candidate 12]], "")</f>
        <v/>
      </c>
      <c r="AQ1086" s="17">
        <f>SUMIF(Audit[[#This Row],[Difference Winner]:[Difference Candidate 12]], "&gt;0")</f>
        <v>0</v>
      </c>
      <c r="AR1086" s="17">
        <f>SUM(Audit[[#This Row],[Difference Winner]:[Difference Candidate 12]])</f>
        <v>0</v>
      </c>
      <c r="AS1086" s="17">
        <f>IF(Audit[[#This Row],[Times p Drawn - With Replacement]]&gt;0, IF(Audit[[#This Row],[Canceled Differences]]&lt;0, Audit[[#This Row],[Max Differences]]+ABS(Audit[[#This Row],[Canceled Differences]]), Audit[[#This Row],[Max Differences]]), 0)</f>
        <v>0</v>
      </c>
      <c r="AT1086" s="17">
        <f>'Sampling Data'!AB1086</f>
        <v>1.952130368358513E-2</v>
      </c>
      <c r="AU1086" s="17">
        <f>IF(
      SUM(Audit[[#This Row],[Audit Losing Candidate]:[Audit Candidate 12]])
      &lt;&gt;0,
      (Audit[[#This Row],[Winning Candidate]]-Audit[[#This Row],[Losing Candidate]]-(Audit[[#This Row],[Audit Winning Candidate]]-Audit[[#This Row],[Audit Losing Candidate]]))/(Audit[[#Totals],[Winning Candidate]]-Audit[[#Totals],[Losing Candidate]]),
      0
)</f>
        <v>0</v>
      </c>
      <c r="AV10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6" s="17">
        <f>IF(Audit[[#This Row],[Max Relative Error (ep)]] = 0, 0, Audit[[#This Row],[Max Relative Error (ep)]]/Audit[[#This Row],[Error Bound (up) - Max. possible relative overstatement]])</f>
        <v>0</v>
      </c>
      <c r="BH10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86" s="17">
        <f t="shared" si="17"/>
        <v>1</v>
      </c>
      <c r="BJ1086" s="17">
        <f>PRODUCT($BI$5:BI1086)</f>
        <v>0.12355776757854808</v>
      </c>
      <c r="BK1086" s="19">
        <f>1 - Audit[[#This Row],[K-M P Value]]</f>
        <v>0.87644223242145192</v>
      </c>
      <c r="BL1086" s="17" t="str">
        <f>IF(Audit[[#This Row],[K-M P Value]]&gt;1-'General Info'!$B$12,"Continue", "Stop")</f>
        <v>Continue</v>
      </c>
      <c r="BM1086" s="22" t="b">
        <f>IF(Audit[[#This Row],[Status - Continue or stop audit]] = "Continue", TRUE, IF(BL1085 = "Continue", TRUE, FALSE))</f>
        <v>1</v>
      </c>
      <c r="BN1086" s="22"/>
    </row>
    <row r="1087" spans="1:66" ht="15" hidden="1" customHeight="1" x14ac:dyDescent="0.35">
      <c r="A1087" s="17" t="str">
        <f>'Sampling Data'!AI1087</f>
        <v/>
      </c>
      <c r="B1087" s="17" t="str">
        <f>'Sampling Data'!A1087</f>
        <v>8720 SPFLD T   (ED)</v>
      </c>
      <c r="C1087" s="17">
        <f>'Sampling Data'!B1087</f>
        <v>368</v>
      </c>
      <c r="D1087" s="17">
        <f>'Sampling Data'!C1087</f>
        <v>246</v>
      </c>
      <c r="E1087" s="18">
        <f>'Sampling Data'!D1087</f>
        <v>0</v>
      </c>
      <c r="F1087" s="18">
        <f>'Sampling Data'!E1087</f>
        <v>0</v>
      </c>
      <c r="G1087" s="18">
        <f>'Sampling Data'!F1087</f>
        <v>0</v>
      </c>
      <c r="H1087" s="18">
        <f>'Sampling Data'!G1087</f>
        <v>0</v>
      </c>
      <c r="I1087" s="18">
        <f>'Sampling Data'!H1087</f>
        <v>0</v>
      </c>
      <c r="J1087" s="18">
        <f>'Sampling Data'!I1087</f>
        <v>0</v>
      </c>
      <c r="K1087" s="18">
        <f>'Sampling Data'!J1087</f>
        <v>0</v>
      </c>
      <c r="L1087" s="18">
        <f>'Sampling Data'!K1087</f>
        <v>0</v>
      </c>
      <c r="M1087" s="18">
        <f>'Sampling Data'!L1087</f>
        <v>0</v>
      </c>
      <c r="N1087" s="18">
        <f>'Sampling Data'!M1087</f>
        <v>0</v>
      </c>
      <c r="O1087" s="17">
        <f>'Sampling Data'!N1087</f>
        <v>2</v>
      </c>
      <c r="P1087" s="17">
        <f>'Sampling Data'!O1087</f>
        <v>38</v>
      </c>
      <c r="Q1087" s="17">
        <f>'Sampling Data'!P1087</f>
        <v>654</v>
      </c>
      <c r="R1087" s="17">
        <f>'Sampling Data'!AJ1087</f>
        <v>0</v>
      </c>
      <c r="S1087" s="111"/>
      <c r="T1087" s="111"/>
      <c r="U1087" s="112"/>
      <c r="V1087" s="112"/>
      <c r="W1087" s="111"/>
      <c r="X1087" s="111"/>
      <c r="Y1087" s="111"/>
      <c r="Z1087" s="111"/>
      <c r="AA1087" s="14"/>
      <c r="AB1087" s="14"/>
      <c r="AC1087" s="14"/>
      <c r="AD1087" s="14"/>
      <c r="AE1087" s="113" t="str">
        <f>IF(NOT(ISBLANK(Audit[[#This Row],[Audit Winning Candidate]])), Audit[[#This Row],[Audit Winning Candidate]]-Audit[[#This Row],[Winning Candidate]], "")</f>
        <v/>
      </c>
      <c r="AF1087" s="17" t="str">
        <f>IF(NOT(ISBLANK(Audit[[#This Row],[Audit Losing Candidate]])), Audit[[#This Row],[Audit Losing Candidate]]-Audit[[#This Row],[Losing Candidate]], "")</f>
        <v/>
      </c>
      <c r="AG1087" s="17" t="str">
        <f>IF(NOT(ISBLANK(Audit[[#This Row],[Audit Candidate 3]])), Audit[[#This Row],[Audit Candidate 3]]-Audit[[#This Row],[Candidate 3]], "")</f>
        <v/>
      </c>
      <c r="AH1087" s="17" t="str">
        <f>IF(NOT(ISBLANK(Audit[[#This Row],[Audit Candidate 4]])),Audit[[#This Row],[Audit Candidate 4]]-Audit[[#This Row],[Candidate 4]], "")</f>
        <v/>
      </c>
      <c r="AI1087" s="17" t="str">
        <f>IF(NOT(ISBLANK(Audit[[#This Row],[Audit Candidate 5]])), Audit[[#This Row],[Audit Candidate 5]]-Audit[[#This Row],[Candidate 5]], "")</f>
        <v/>
      </c>
      <c r="AJ1087" s="17" t="str">
        <f>IF(NOT(ISBLANK(Audit[[#This Row],[Audit Candidate 6]])), Audit[[#This Row],[Audit Candidate 6]]-Audit[[#This Row],[Candidate 6]], "")</f>
        <v/>
      </c>
      <c r="AK1087" s="17" t="str">
        <f>IF(NOT(ISBLANK(Audit[[#This Row],[Audit Candidate 7]])), Audit[[#This Row],[Audit Candidate 7]]-Audit[[#This Row],[Candidate 7]], "")</f>
        <v/>
      </c>
      <c r="AL1087" s="17" t="str">
        <f>IF(NOT(ISBLANK(Audit[[#This Row],[Audit Candidate 8]])), Audit[[#This Row],[Audit Candidate 8]]-Audit[[#This Row],[Candidate 8]], "")</f>
        <v/>
      </c>
      <c r="AM1087" s="17" t="str">
        <f>IF(NOT(ISBLANK(Audit[[#This Row],[Audit Candidate 9]])), Audit[[#This Row],[Audit Candidate 9]]-Audit[[#This Row],[Candidate 9]], "")</f>
        <v/>
      </c>
      <c r="AN1087" s="17" t="str">
        <f>IF(NOT(ISBLANK(Audit[[#This Row],[Audit Candidate 10]])), Audit[[#This Row],[Audit Candidate 10]]-Audit[[#This Row],[Candidate 10]], "")</f>
        <v/>
      </c>
      <c r="AO1087" s="17" t="str">
        <f>IF(NOT(ISBLANK(Audit[[#This Row],[Audit Candidate 11]])), Audit[[#This Row],[Audit Candidate 11]]-Audit[[#This Row],[Candidate 11]], "")</f>
        <v/>
      </c>
      <c r="AP1087" s="17" t="str">
        <f>IF(NOT(ISBLANK(Audit[[#This Row],[Audit Candidate 12]])), Audit[[#This Row],[Audit Candidate 12]]-Audit[[#This Row],[Candidate 12]], "")</f>
        <v/>
      </c>
      <c r="AQ1087" s="17">
        <f>SUMIF(Audit[[#This Row],[Difference Winner]:[Difference Candidate 12]], "&gt;0")</f>
        <v>0</v>
      </c>
      <c r="AR1087" s="17">
        <f>SUM(Audit[[#This Row],[Difference Winner]:[Difference Candidate 12]])</f>
        <v>0</v>
      </c>
      <c r="AS1087" s="17">
        <f>IF(Audit[[#This Row],[Times p Drawn - With Replacement]]&gt;0, IF(Audit[[#This Row],[Canceled Differences]]&lt;0, Audit[[#This Row],[Max Differences]]+ABS(Audit[[#This Row],[Canceled Differences]]), Audit[[#This Row],[Max Differences]]), 0)</f>
        <v>0</v>
      </c>
      <c r="AT1087" s="17">
        <f>'Sampling Data'!AB1087</f>
        <v>3.2931590561874044E-2</v>
      </c>
      <c r="AU1087" s="17">
        <f>IF(
      SUM(Audit[[#This Row],[Audit Losing Candidate]:[Audit Candidate 12]])
      &lt;&gt;0,
      (Audit[[#This Row],[Winning Candidate]]-Audit[[#This Row],[Losing Candidate]]-(Audit[[#This Row],[Audit Winning Candidate]]-Audit[[#This Row],[Audit Losing Candidate]]))/(Audit[[#Totals],[Winning Candidate]]-Audit[[#Totals],[Losing Candidate]]),
      0
)</f>
        <v>0</v>
      </c>
      <c r="AV10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7" s="17">
        <f>IF(Audit[[#This Row],[Max Relative Error (ep)]] = 0, 0, Audit[[#This Row],[Max Relative Error (ep)]]/Audit[[#This Row],[Error Bound (up) - Max. possible relative overstatement]])</f>
        <v>0</v>
      </c>
      <c r="BH10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87" s="17">
        <f t="shared" si="17"/>
        <v>1</v>
      </c>
      <c r="BJ1087" s="17">
        <f>PRODUCT($BI$5:BI1087)</f>
        <v>0.12355776757854808</v>
      </c>
      <c r="BK1087" s="19">
        <f>1 - Audit[[#This Row],[K-M P Value]]</f>
        <v>0.87644223242145192</v>
      </c>
      <c r="BL1087" s="17" t="str">
        <f>IF(Audit[[#This Row],[K-M P Value]]&gt;1-'General Info'!$B$12,"Continue", "Stop")</f>
        <v>Continue</v>
      </c>
      <c r="BM1087" s="22" t="b">
        <f>IF(Audit[[#This Row],[Status - Continue or stop audit]] = "Continue", TRUE, IF(BL1086 = "Continue", TRUE, FALSE))</f>
        <v>1</v>
      </c>
      <c r="BN1087" s="22"/>
    </row>
    <row r="1088" spans="1:66" ht="15" hidden="1" customHeight="1" x14ac:dyDescent="0.35">
      <c r="A1088" s="17" t="str">
        <f>'Sampling Data'!AI1088</f>
        <v/>
      </c>
      <c r="B1088" s="17" t="str">
        <f>'Sampling Data'!A1088</f>
        <v>8721 SPFLD U   (ED)</v>
      </c>
      <c r="C1088" s="17">
        <f>'Sampling Data'!B1088</f>
        <v>347</v>
      </c>
      <c r="D1088" s="17">
        <f>'Sampling Data'!C1088</f>
        <v>306</v>
      </c>
      <c r="E1088" s="18">
        <f>'Sampling Data'!D1088</f>
        <v>0</v>
      </c>
      <c r="F1088" s="18">
        <f>'Sampling Data'!E1088</f>
        <v>0</v>
      </c>
      <c r="G1088" s="18">
        <f>'Sampling Data'!F1088</f>
        <v>0</v>
      </c>
      <c r="H1088" s="18">
        <f>'Sampling Data'!G1088</f>
        <v>0</v>
      </c>
      <c r="I1088" s="18">
        <f>'Sampling Data'!H1088</f>
        <v>0</v>
      </c>
      <c r="J1088" s="18">
        <f>'Sampling Data'!I1088</f>
        <v>0</v>
      </c>
      <c r="K1088" s="18">
        <f>'Sampling Data'!J1088</f>
        <v>0</v>
      </c>
      <c r="L1088" s="18">
        <f>'Sampling Data'!K1088</f>
        <v>0</v>
      </c>
      <c r="M1088" s="18">
        <f>'Sampling Data'!L1088</f>
        <v>0</v>
      </c>
      <c r="N1088" s="18">
        <f>'Sampling Data'!M1088</f>
        <v>0</v>
      </c>
      <c r="O1088" s="17">
        <f>'Sampling Data'!N1088</f>
        <v>1</v>
      </c>
      <c r="P1088" s="17">
        <f>'Sampling Data'!O1088</f>
        <v>35</v>
      </c>
      <c r="Q1088" s="17">
        <f>'Sampling Data'!P1088</f>
        <v>689</v>
      </c>
      <c r="R1088" s="17">
        <f>'Sampling Data'!AJ1088</f>
        <v>0</v>
      </c>
      <c r="S1088" s="111"/>
      <c r="T1088" s="111"/>
      <c r="U1088" s="112"/>
      <c r="V1088" s="112"/>
      <c r="W1088" s="111"/>
      <c r="X1088" s="111"/>
      <c r="Y1088" s="111"/>
      <c r="Z1088" s="111"/>
      <c r="AA1088" s="14"/>
      <c r="AB1088" s="14"/>
      <c r="AC1088" s="14"/>
      <c r="AD1088" s="14"/>
      <c r="AE1088" s="113" t="str">
        <f>IF(NOT(ISBLANK(Audit[[#This Row],[Audit Winning Candidate]])), Audit[[#This Row],[Audit Winning Candidate]]-Audit[[#This Row],[Winning Candidate]], "")</f>
        <v/>
      </c>
      <c r="AF1088" s="17" t="str">
        <f>IF(NOT(ISBLANK(Audit[[#This Row],[Audit Losing Candidate]])), Audit[[#This Row],[Audit Losing Candidate]]-Audit[[#This Row],[Losing Candidate]], "")</f>
        <v/>
      </c>
      <c r="AG1088" s="17" t="str">
        <f>IF(NOT(ISBLANK(Audit[[#This Row],[Audit Candidate 3]])), Audit[[#This Row],[Audit Candidate 3]]-Audit[[#This Row],[Candidate 3]], "")</f>
        <v/>
      </c>
      <c r="AH1088" s="17" t="str">
        <f>IF(NOT(ISBLANK(Audit[[#This Row],[Audit Candidate 4]])),Audit[[#This Row],[Audit Candidate 4]]-Audit[[#This Row],[Candidate 4]], "")</f>
        <v/>
      </c>
      <c r="AI1088" s="17" t="str">
        <f>IF(NOT(ISBLANK(Audit[[#This Row],[Audit Candidate 5]])), Audit[[#This Row],[Audit Candidate 5]]-Audit[[#This Row],[Candidate 5]], "")</f>
        <v/>
      </c>
      <c r="AJ1088" s="17" t="str">
        <f>IF(NOT(ISBLANK(Audit[[#This Row],[Audit Candidate 6]])), Audit[[#This Row],[Audit Candidate 6]]-Audit[[#This Row],[Candidate 6]], "")</f>
        <v/>
      </c>
      <c r="AK1088" s="17" t="str">
        <f>IF(NOT(ISBLANK(Audit[[#This Row],[Audit Candidate 7]])), Audit[[#This Row],[Audit Candidate 7]]-Audit[[#This Row],[Candidate 7]], "")</f>
        <v/>
      </c>
      <c r="AL1088" s="17" t="str">
        <f>IF(NOT(ISBLANK(Audit[[#This Row],[Audit Candidate 8]])), Audit[[#This Row],[Audit Candidate 8]]-Audit[[#This Row],[Candidate 8]], "")</f>
        <v/>
      </c>
      <c r="AM1088" s="17" t="str">
        <f>IF(NOT(ISBLANK(Audit[[#This Row],[Audit Candidate 9]])), Audit[[#This Row],[Audit Candidate 9]]-Audit[[#This Row],[Candidate 9]], "")</f>
        <v/>
      </c>
      <c r="AN1088" s="17" t="str">
        <f>IF(NOT(ISBLANK(Audit[[#This Row],[Audit Candidate 10]])), Audit[[#This Row],[Audit Candidate 10]]-Audit[[#This Row],[Candidate 10]], "")</f>
        <v/>
      </c>
      <c r="AO1088" s="17" t="str">
        <f>IF(NOT(ISBLANK(Audit[[#This Row],[Audit Candidate 11]])), Audit[[#This Row],[Audit Candidate 11]]-Audit[[#This Row],[Candidate 11]], "")</f>
        <v/>
      </c>
      <c r="AP1088" s="17" t="str">
        <f>IF(NOT(ISBLANK(Audit[[#This Row],[Audit Candidate 12]])), Audit[[#This Row],[Audit Candidate 12]]-Audit[[#This Row],[Candidate 12]], "")</f>
        <v/>
      </c>
      <c r="AQ1088" s="17">
        <f>SUMIF(Audit[[#This Row],[Difference Winner]:[Difference Candidate 12]], "&gt;0")</f>
        <v>0</v>
      </c>
      <c r="AR1088" s="17">
        <f>SUM(Audit[[#This Row],[Difference Winner]:[Difference Candidate 12]])</f>
        <v>0</v>
      </c>
      <c r="AS1088" s="17">
        <f>IF(Audit[[#This Row],[Times p Drawn - With Replacement]]&gt;0, IF(Audit[[#This Row],[Canceled Differences]]&lt;0, Audit[[#This Row],[Max Differences]]+ABS(Audit[[#This Row],[Canceled Differences]]), Audit[[#This Row],[Max Differences]]), 0)</f>
        <v>0</v>
      </c>
      <c r="AT1088" s="17">
        <f>'Sampling Data'!AB1088</f>
        <v>3.0979460193515534E-2</v>
      </c>
      <c r="AU1088" s="17">
        <f>IF(
      SUM(Audit[[#This Row],[Audit Losing Candidate]:[Audit Candidate 12]])
      &lt;&gt;0,
      (Audit[[#This Row],[Winning Candidate]]-Audit[[#This Row],[Losing Candidate]]-(Audit[[#This Row],[Audit Winning Candidate]]-Audit[[#This Row],[Audit Losing Candidate]]))/(Audit[[#Totals],[Winning Candidate]]-Audit[[#Totals],[Losing Candidate]]),
      0
)</f>
        <v>0</v>
      </c>
      <c r="AV10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8" s="17">
        <f>IF(Audit[[#This Row],[Max Relative Error (ep)]] = 0, 0, Audit[[#This Row],[Max Relative Error (ep)]]/Audit[[#This Row],[Error Bound (up) - Max. possible relative overstatement]])</f>
        <v>0</v>
      </c>
      <c r="BH10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88" s="17">
        <f t="shared" si="17"/>
        <v>1</v>
      </c>
      <c r="BJ1088" s="17">
        <f>PRODUCT($BI$5:BI1088)</f>
        <v>0.12355776757854808</v>
      </c>
      <c r="BK1088" s="19">
        <f>1 - Audit[[#This Row],[K-M P Value]]</f>
        <v>0.87644223242145192</v>
      </c>
      <c r="BL1088" s="17" t="str">
        <f>IF(Audit[[#This Row],[K-M P Value]]&gt;1-'General Info'!$B$12,"Continue", "Stop")</f>
        <v>Continue</v>
      </c>
      <c r="BM1088" s="22" t="b">
        <f>IF(Audit[[#This Row],[Status - Continue or stop audit]] = "Continue", TRUE, IF(BL1087 = "Continue", TRUE, FALSE))</f>
        <v>1</v>
      </c>
      <c r="BN1088" s="22"/>
    </row>
    <row r="1089" spans="1:66" ht="15" hidden="1" customHeight="1" x14ac:dyDescent="0.35">
      <c r="A1089" s="17" t="str">
        <f>'Sampling Data'!AI1089</f>
        <v/>
      </c>
      <c r="B1089" s="17" t="str">
        <f>'Sampling Data'!A1089</f>
        <v>8722 SPFLD V   (ED)</v>
      </c>
      <c r="C1089" s="17">
        <f>'Sampling Data'!B1089</f>
        <v>198</v>
      </c>
      <c r="D1089" s="17">
        <f>'Sampling Data'!C1089</f>
        <v>254</v>
      </c>
      <c r="E1089" s="18">
        <f>'Sampling Data'!D1089</f>
        <v>0</v>
      </c>
      <c r="F1089" s="18">
        <f>'Sampling Data'!E1089</f>
        <v>0</v>
      </c>
      <c r="G1089" s="18">
        <f>'Sampling Data'!F1089</f>
        <v>0</v>
      </c>
      <c r="H1089" s="18">
        <f>'Sampling Data'!G1089</f>
        <v>0</v>
      </c>
      <c r="I1089" s="18">
        <f>'Sampling Data'!H1089</f>
        <v>0</v>
      </c>
      <c r="J1089" s="18">
        <f>'Sampling Data'!I1089</f>
        <v>0</v>
      </c>
      <c r="K1089" s="18">
        <f>'Sampling Data'!J1089</f>
        <v>0</v>
      </c>
      <c r="L1089" s="18">
        <f>'Sampling Data'!K1089</f>
        <v>0</v>
      </c>
      <c r="M1089" s="18">
        <f>'Sampling Data'!L1089</f>
        <v>0</v>
      </c>
      <c r="N1089" s="18">
        <f>'Sampling Data'!M1089</f>
        <v>0</v>
      </c>
      <c r="O1089" s="17">
        <f>'Sampling Data'!N1089</f>
        <v>2</v>
      </c>
      <c r="P1089" s="17">
        <f>'Sampling Data'!O1089</f>
        <v>42</v>
      </c>
      <c r="Q1089" s="17">
        <f>'Sampling Data'!P1089</f>
        <v>496</v>
      </c>
      <c r="R1089" s="17">
        <f>'Sampling Data'!AJ1089</f>
        <v>0</v>
      </c>
      <c r="S1089" s="111"/>
      <c r="T1089" s="111"/>
      <c r="U1089" s="112"/>
      <c r="V1089" s="112"/>
      <c r="W1089" s="111"/>
      <c r="X1089" s="111"/>
      <c r="Y1089" s="111"/>
      <c r="Z1089" s="111"/>
      <c r="AA1089" s="14"/>
      <c r="AB1089" s="14"/>
      <c r="AC1089" s="14"/>
      <c r="AD1089" s="14"/>
      <c r="AE1089" s="113" t="str">
        <f>IF(NOT(ISBLANK(Audit[[#This Row],[Audit Winning Candidate]])), Audit[[#This Row],[Audit Winning Candidate]]-Audit[[#This Row],[Winning Candidate]], "")</f>
        <v/>
      </c>
      <c r="AF1089" s="17" t="str">
        <f>IF(NOT(ISBLANK(Audit[[#This Row],[Audit Losing Candidate]])), Audit[[#This Row],[Audit Losing Candidate]]-Audit[[#This Row],[Losing Candidate]], "")</f>
        <v/>
      </c>
      <c r="AG1089" s="17" t="str">
        <f>IF(NOT(ISBLANK(Audit[[#This Row],[Audit Candidate 3]])), Audit[[#This Row],[Audit Candidate 3]]-Audit[[#This Row],[Candidate 3]], "")</f>
        <v/>
      </c>
      <c r="AH1089" s="17" t="str">
        <f>IF(NOT(ISBLANK(Audit[[#This Row],[Audit Candidate 4]])),Audit[[#This Row],[Audit Candidate 4]]-Audit[[#This Row],[Candidate 4]], "")</f>
        <v/>
      </c>
      <c r="AI1089" s="17" t="str">
        <f>IF(NOT(ISBLANK(Audit[[#This Row],[Audit Candidate 5]])), Audit[[#This Row],[Audit Candidate 5]]-Audit[[#This Row],[Candidate 5]], "")</f>
        <v/>
      </c>
      <c r="AJ1089" s="17" t="str">
        <f>IF(NOT(ISBLANK(Audit[[#This Row],[Audit Candidate 6]])), Audit[[#This Row],[Audit Candidate 6]]-Audit[[#This Row],[Candidate 6]], "")</f>
        <v/>
      </c>
      <c r="AK1089" s="17" t="str">
        <f>IF(NOT(ISBLANK(Audit[[#This Row],[Audit Candidate 7]])), Audit[[#This Row],[Audit Candidate 7]]-Audit[[#This Row],[Candidate 7]], "")</f>
        <v/>
      </c>
      <c r="AL1089" s="17" t="str">
        <f>IF(NOT(ISBLANK(Audit[[#This Row],[Audit Candidate 8]])), Audit[[#This Row],[Audit Candidate 8]]-Audit[[#This Row],[Candidate 8]], "")</f>
        <v/>
      </c>
      <c r="AM1089" s="17" t="str">
        <f>IF(NOT(ISBLANK(Audit[[#This Row],[Audit Candidate 9]])), Audit[[#This Row],[Audit Candidate 9]]-Audit[[#This Row],[Candidate 9]], "")</f>
        <v/>
      </c>
      <c r="AN1089" s="17" t="str">
        <f>IF(NOT(ISBLANK(Audit[[#This Row],[Audit Candidate 10]])), Audit[[#This Row],[Audit Candidate 10]]-Audit[[#This Row],[Candidate 10]], "")</f>
        <v/>
      </c>
      <c r="AO1089" s="17" t="str">
        <f>IF(NOT(ISBLANK(Audit[[#This Row],[Audit Candidate 11]])), Audit[[#This Row],[Audit Candidate 11]]-Audit[[#This Row],[Candidate 11]], "")</f>
        <v/>
      </c>
      <c r="AP1089" s="17" t="str">
        <f>IF(NOT(ISBLANK(Audit[[#This Row],[Audit Candidate 12]])), Audit[[#This Row],[Audit Candidate 12]]-Audit[[#This Row],[Candidate 12]], "")</f>
        <v/>
      </c>
      <c r="AQ1089" s="17">
        <f>SUMIF(Audit[[#This Row],[Difference Winner]:[Difference Candidate 12]], "&gt;0")</f>
        <v>0</v>
      </c>
      <c r="AR1089" s="17">
        <f>SUM(Audit[[#This Row],[Difference Winner]:[Difference Candidate 12]])</f>
        <v>0</v>
      </c>
      <c r="AS1089" s="17">
        <f>IF(Audit[[#This Row],[Times p Drawn - With Replacement]]&gt;0, IF(Audit[[#This Row],[Canceled Differences]]&lt;0, Audit[[#This Row],[Max Differences]]+ABS(Audit[[#This Row],[Canceled Differences]]), Audit[[#This Row],[Max Differences]]), 0)</f>
        <v>0</v>
      </c>
      <c r="AT1089" s="17">
        <f>'Sampling Data'!AB1089</f>
        <v>1.867255134951621E-2</v>
      </c>
      <c r="AU1089" s="17">
        <f>IF(
      SUM(Audit[[#This Row],[Audit Losing Candidate]:[Audit Candidate 12]])
      &lt;&gt;0,
      (Audit[[#This Row],[Winning Candidate]]-Audit[[#This Row],[Losing Candidate]]-(Audit[[#This Row],[Audit Winning Candidate]]-Audit[[#This Row],[Audit Losing Candidate]]))/(Audit[[#Totals],[Winning Candidate]]-Audit[[#Totals],[Losing Candidate]]),
      0
)</f>
        <v>0</v>
      </c>
      <c r="AV10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9" s="17">
        <f>IF(Audit[[#This Row],[Max Relative Error (ep)]] = 0, 0, Audit[[#This Row],[Max Relative Error (ep)]]/Audit[[#This Row],[Error Bound (up) - Max. possible relative overstatement]])</f>
        <v>0</v>
      </c>
      <c r="BH10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89" s="17">
        <f t="shared" si="17"/>
        <v>1</v>
      </c>
      <c r="BJ1089" s="17">
        <f>PRODUCT($BI$5:BI1089)</f>
        <v>0.12355776757854808</v>
      </c>
      <c r="BK1089" s="19">
        <f>1 - Audit[[#This Row],[K-M P Value]]</f>
        <v>0.87644223242145192</v>
      </c>
      <c r="BL1089" s="17" t="str">
        <f>IF(Audit[[#This Row],[K-M P Value]]&gt;1-'General Info'!$B$12,"Continue", "Stop")</f>
        <v>Continue</v>
      </c>
      <c r="BM1089" s="22" t="b">
        <f>IF(Audit[[#This Row],[Status - Continue or stop audit]] = "Continue", TRUE, IF(BL1088 = "Continue", TRUE, FALSE))</f>
        <v>1</v>
      </c>
      <c r="BN1089" s="22"/>
    </row>
    <row r="1090" spans="1:66" ht="15" hidden="1" customHeight="1" x14ac:dyDescent="0.35">
      <c r="A1090" s="17" t="str">
        <f>'Sampling Data'!AI1090</f>
        <v/>
      </c>
      <c r="B1090" s="17" t="str">
        <f>'Sampling Data'!A1090</f>
        <v>8723 SPFLD W   (ED)</v>
      </c>
      <c r="C1090" s="17">
        <f>'Sampling Data'!B1090</f>
        <v>311</v>
      </c>
      <c r="D1090" s="17">
        <f>'Sampling Data'!C1090</f>
        <v>214</v>
      </c>
      <c r="E1090" s="18">
        <f>'Sampling Data'!D1090</f>
        <v>0</v>
      </c>
      <c r="F1090" s="18">
        <f>'Sampling Data'!E1090</f>
        <v>0</v>
      </c>
      <c r="G1090" s="18">
        <f>'Sampling Data'!F1090</f>
        <v>0</v>
      </c>
      <c r="H1090" s="18">
        <f>'Sampling Data'!G1090</f>
        <v>0</v>
      </c>
      <c r="I1090" s="18">
        <f>'Sampling Data'!H1090</f>
        <v>0</v>
      </c>
      <c r="J1090" s="18">
        <f>'Sampling Data'!I1090</f>
        <v>0</v>
      </c>
      <c r="K1090" s="18">
        <f>'Sampling Data'!J1090</f>
        <v>0</v>
      </c>
      <c r="L1090" s="18">
        <f>'Sampling Data'!K1090</f>
        <v>0</v>
      </c>
      <c r="M1090" s="18">
        <f>'Sampling Data'!L1090</f>
        <v>0</v>
      </c>
      <c r="N1090" s="18">
        <f>'Sampling Data'!M1090</f>
        <v>0</v>
      </c>
      <c r="O1090" s="17">
        <f>'Sampling Data'!N1090</f>
        <v>0</v>
      </c>
      <c r="P1090" s="17">
        <f>'Sampling Data'!O1090</f>
        <v>43</v>
      </c>
      <c r="Q1090" s="17">
        <f>'Sampling Data'!P1090</f>
        <v>568</v>
      </c>
      <c r="R1090" s="17">
        <f>'Sampling Data'!AJ1090</f>
        <v>0</v>
      </c>
      <c r="S1090" s="111"/>
      <c r="T1090" s="111"/>
      <c r="U1090" s="112"/>
      <c r="V1090" s="112"/>
      <c r="W1090" s="111"/>
      <c r="X1090" s="111"/>
      <c r="Y1090" s="111"/>
      <c r="Z1090" s="111"/>
      <c r="AA1090" s="14"/>
      <c r="AB1090" s="14"/>
      <c r="AC1090" s="14"/>
      <c r="AD1090" s="14"/>
      <c r="AE1090" s="113" t="str">
        <f>IF(NOT(ISBLANK(Audit[[#This Row],[Audit Winning Candidate]])), Audit[[#This Row],[Audit Winning Candidate]]-Audit[[#This Row],[Winning Candidate]], "")</f>
        <v/>
      </c>
      <c r="AF1090" s="17" t="str">
        <f>IF(NOT(ISBLANK(Audit[[#This Row],[Audit Losing Candidate]])), Audit[[#This Row],[Audit Losing Candidate]]-Audit[[#This Row],[Losing Candidate]], "")</f>
        <v/>
      </c>
      <c r="AG1090" s="17" t="str">
        <f>IF(NOT(ISBLANK(Audit[[#This Row],[Audit Candidate 3]])), Audit[[#This Row],[Audit Candidate 3]]-Audit[[#This Row],[Candidate 3]], "")</f>
        <v/>
      </c>
      <c r="AH1090" s="17" t="str">
        <f>IF(NOT(ISBLANK(Audit[[#This Row],[Audit Candidate 4]])),Audit[[#This Row],[Audit Candidate 4]]-Audit[[#This Row],[Candidate 4]], "")</f>
        <v/>
      </c>
      <c r="AI1090" s="17" t="str">
        <f>IF(NOT(ISBLANK(Audit[[#This Row],[Audit Candidate 5]])), Audit[[#This Row],[Audit Candidate 5]]-Audit[[#This Row],[Candidate 5]], "")</f>
        <v/>
      </c>
      <c r="AJ1090" s="17" t="str">
        <f>IF(NOT(ISBLANK(Audit[[#This Row],[Audit Candidate 6]])), Audit[[#This Row],[Audit Candidate 6]]-Audit[[#This Row],[Candidate 6]], "")</f>
        <v/>
      </c>
      <c r="AK1090" s="17" t="str">
        <f>IF(NOT(ISBLANK(Audit[[#This Row],[Audit Candidate 7]])), Audit[[#This Row],[Audit Candidate 7]]-Audit[[#This Row],[Candidate 7]], "")</f>
        <v/>
      </c>
      <c r="AL1090" s="17" t="str">
        <f>IF(NOT(ISBLANK(Audit[[#This Row],[Audit Candidate 8]])), Audit[[#This Row],[Audit Candidate 8]]-Audit[[#This Row],[Candidate 8]], "")</f>
        <v/>
      </c>
      <c r="AM1090" s="17" t="str">
        <f>IF(NOT(ISBLANK(Audit[[#This Row],[Audit Candidate 9]])), Audit[[#This Row],[Audit Candidate 9]]-Audit[[#This Row],[Candidate 9]], "")</f>
        <v/>
      </c>
      <c r="AN1090" s="17" t="str">
        <f>IF(NOT(ISBLANK(Audit[[#This Row],[Audit Candidate 10]])), Audit[[#This Row],[Audit Candidate 10]]-Audit[[#This Row],[Candidate 10]], "")</f>
        <v/>
      </c>
      <c r="AO1090" s="17" t="str">
        <f>IF(NOT(ISBLANK(Audit[[#This Row],[Audit Candidate 11]])), Audit[[#This Row],[Audit Candidate 11]]-Audit[[#This Row],[Candidate 11]], "")</f>
        <v/>
      </c>
      <c r="AP1090" s="17" t="str">
        <f>IF(NOT(ISBLANK(Audit[[#This Row],[Audit Candidate 12]])), Audit[[#This Row],[Audit Candidate 12]]-Audit[[#This Row],[Candidate 12]], "")</f>
        <v/>
      </c>
      <c r="AQ1090" s="17">
        <f>SUMIF(Audit[[#This Row],[Difference Winner]:[Difference Candidate 12]], "&gt;0")</f>
        <v>0</v>
      </c>
      <c r="AR1090" s="17">
        <f>SUM(Audit[[#This Row],[Difference Winner]:[Difference Candidate 12]])</f>
        <v>0</v>
      </c>
      <c r="AS1090" s="17">
        <f>IF(Audit[[#This Row],[Times p Drawn - With Replacement]]&gt;0, IF(Audit[[#This Row],[Canceled Differences]]&lt;0, Audit[[#This Row],[Max Differences]]+ABS(Audit[[#This Row],[Canceled Differences]]), Audit[[#This Row],[Max Differences]]), 0)</f>
        <v>0</v>
      </c>
      <c r="AT1090" s="17">
        <f>'Sampling Data'!AB1090</f>
        <v>2.8221015107791545E-2</v>
      </c>
      <c r="AU1090" s="17">
        <f>IF(
      SUM(Audit[[#This Row],[Audit Losing Candidate]:[Audit Candidate 12]])
      &lt;&gt;0,
      (Audit[[#This Row],[Winning Candidate]]-Audit[[#This Row],[Losing Candidate]]-(Audit[[#This Row],[Audit Winning Candidate]]-Audit[[#This Row],[Audit Losing Candidate]]))/(Audit[[#Totals],[Winning Candidate]]-Audit[[#Totals],[Losing Candidate]]),
      0
)</f>
        <v>0</v>
      </c>
      <c r="AV10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0" s="17">
        <f>IF(Audit[[#This Row],[Max Relative Error (ep)]] = 0, 0, Audit[[#This Row],[Max Relative Error (ep)]]/Audit[[#This Row],[Error Bound (up) - Max. possible relative overstatement]])</f>
        <v>0</v>
      </c>
      <c r="BH10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90" s="17">
        <f t="shared" si="17"/>
        <v>1</v>
      </c>
      <c r="BJ1090" s="17">
        <f>PRODUCT($BI$5:BI1090)</f>
        <v>0.12355776757854808</v>
      </c>
      <c r="BK1090" s="19">
        <f>1 - Audit[[#This Row],[K-M P Value]]</f>
        <v>0.87644223242145192</v>
      </c>
      <c r="BL1090" s="17" t="str">
        <f>IF(Audit[[#This Row],[K-M P Value]]&gt;1-'General Info'!$B$12,"Continue", "Stop")</f>
        <v>Continue</v>
      </c>
      <c r="BM1090" s="22" t="b">
        <f>IF(Audit[[#This Row],[Status - Continue or stop audit]] = "Continue", TRUE, IF(BL1089 = "Continue", TRUE, FALSE))</f>
        <v>1</v>
      </c>
      <c r="BN1090" s="22"/>
    </row>
    <row r="1091" spans="1:66" ht="15" hidden="1" customHeight="1" x14ac:dyDescent="0.35">
      <c r="A1091" s="17" t="str">
        <f>'Sampling Data'!AI1091</f>
        <v/>
      </c>
      <c r="B1091" s="17" t="str">
        <f>'Sampling Data'!A1091</f>
        <v>8724 SPFLD X   (ED)</v>
      </c>
      <c r="C1091" s="17">
        <f>'Sampling Data'!B1091</f>
        <v>181</v>
      </c>
      <c r="D1091" s="17">
        <f>'Sampling Data'!C1091</f>
        <v>90</v>
      </c>
      <c r="E1091" s="18">
        <f>'Sampling Data'!D1091</f>
        <v>0</v>
      </c>
      <c r="F1091" s="18">
        <f>'Sampling Data'!E1091</f>
        <v>0</v>
      </c>
      <c r="G1091" s="18">
        <f>'Sampling Data'!F1091</f>
        <v>0</v>
      </c>
      <c r="H1091" s="18">
        <f>'Sampling Data'!G1091</f>
        <v>0</v>
      </c>
      <c r="I1091" s="18">
        <f>'Sampling Data'!H1091</f>
        <v>0</v>
      </c>
      <c r="J1091" s="18">
        <f>'Sampling Data'!I1091</f>
        <v>0</v>
      </c>
      <c r="K1091" s="18">
        <f>'Sampling Data'!J1091</f>
        <v>0</v>
      </c>
      <c r="L1091" s="18">
        <f>'Sampling Data'!K1091</f>
        <v>0</v>
      </c>
      <c r="M1091" s="18">
        <f>'Sampling Data'!L1091</f>
        <v>0</v>
      </c>
      <c r="N1091" s="18">
        <f>'Sampling Data'!M1091</f>
        <v>0</v>
      </c>
      <c r="O1091" s="17">
        <f>'Sampling Data'!N1091</f>
        <v>0</v>
      </c>
      <c r="P1091" s="17">
        <f>'Sampling Data'!O1091</f>
        <v>7</v>
      </c>
      <c r="Q1091" s="17">
        <f>'Sampling Data'!P1091</f>
        <v>278</v>
      </c>
      <c r="R1091" s="17">
        <f>'Sampling Data'!AJ1091</f>
        <v>0</v>
      </c>
      <c r="S1091" s="111"/>
      <c r="T1091" s="111"/>
      <c r="U1091" s="112"/>
      <c r="V1091" s="112"/>
      <c r="W1091" s="111"/>
      <c r="X1091" s="111"/>
      <c r="Y1091" s="111"/>
      <c r="Z1091" s="111"/>
      <c r="AA1091" s="14"/>
      <c r="AB1091" s="14"/>
      <c r="AC1091" s="14"/>
      <c r="AD1091" s="14"/>
      <c r="AE1091" s="113" t="str">
        <f>IF(NOT(ISBLANK(Audit[[#This Row],[Audit Winning Candidate]])), Audit[[#This Row],[Audit Winning Candidate]]-Audit[[#This Row],[Winning Candidate]], "")</f>
        <v/>
      </c>
      <c r="AF1091" s="17" t="str">
        <f>IF(NOT(ISBLANK(Audit[[#This Row],[Audit Losing Candidate]])), Audit[[#This Row],[Audit Losing Candidate]]-Audit[[#This Row],[Losing Candidate]], "")</f>
        <v/>
      </c>
      <c r="AG1091" s="17" t="str">
        <f>IF(NOT(ISBLANK(Audit[[#This Row],[Audit Candidate 3]])), Audit[[#This Row],[Audit Candidate 3]]-Audit[[#This Row],[Candidate 3]], "")</f>
        <v/>
      </c>
      <c r="AH1091" s="17" t="str">
        <f>IF(NOT(ISBLANK(Audit[[#This Row],[Audit Candidate 4]])),Audit[[#This Row],[Audit Candidate 4]]-Audit[[#This Row],[Candidate 4]], "")</f>
        <v/>
      </c>
      <c r="AI1091" s="17" t="str">
        <f>IF(NOT(ISBLANK(Audit[[#This Row],[Audit Candidate 5]])), Audit[[#This Row],[Audit Candidate 5]]-Audit[[#This Row],[Candidate 5]], "")</f>
        <v/>
      </c>
      <c r="AJ1091" s="17" t="str">
        <f>IF(NOT(ISBLANK(Audit[[#This Row],[Audit Candidate 6]])), Audit[[#This Row],[Audit Candidate 6]]-Audit[[#This Row],[Candidate 6]], "")</f>
        <v/>
      </c>
      <c r="AK1091" s="17" t="str">
        <f>IF(NOT(ISBLANK(Audit[[#This Row],[Audit Candidate 7]])), Audit[[#This Row],[Audit Candidate 7]]-Audit[[#This Row],[Candidate 7]], "")</f>
        <v/>
      </c>
      <c r="AL1091" s="17" t="str">
        <f>IF(NOT(ISBLANK(Audit[[#This Row],[Audit Candidate 8]])), Audit[[#This Row],[Audit Candidate 8]]-Audit[[#This Row],[Candidate 8]], "")</f>
        <v/>
      </c>
      <c r="AM1091" s="17" t="str">
        <f>IF(NOT(ISBLANK(Audit[[#This Row],[Audit Candidate 9]])), Audit[[#This Row],[Audit Candidate 9]]-Audit[[#This Row],[Candidate 9]], "")</f>
        <v/>
      </c>
      <c r="AN1091" s="17" t="str">
        <f>IF(NOT(ISBLANK(Audit[[#This Row],[Audit Candidate 10]])), Audit[[#This Row],[Audit Candidate 10]]-Audit[[#This Row],[Candidate 10]], "")</f>
        <v/>
      </c>
      <c r="AO1091" s="17" t="str">
        <f>IF(NOT(ISBLANK(Audit[[#This Row],[Audit Candidate 11]])), Audit[[#This Row],[Audit Candidate 11]]-Audit[[#This Row],[Candidate 11]], "")</f>
        <v/>
      </c>
      <c r="AP1091" s="17" t="str">
        <f>IF(NOT(ISBLANK(Audit[[#This Row],[Audit Candidate 12]])), Audit[[#This Row],[Audit Candidate 12]]-Audit[[#This Row],[Candidate 12]], "")</f>
        <v/>
      </c>
      <c r="AQ1091" s="17">
        <f>SUMIF(Audit[[#This Row],[Difference Winner]:[Difference Candidate 12]], "&gt;0")</f>
        <v>0</v>
      </c>
      <c r="AR1091" s="17">
        <f>SUM(Audit[[#This Row],[Difference Winner]:[Difference Candidate 12]])</f>
        <v>0</v>
      </c>
      <c r="AS1091" s="17">
        <f>IF(Audit[[#This Row],[Times p Drawn - With Replacement]]&gt;0, IF(Audit[[#This Row],[Canceled Differences]]&lt;0, Audit[[#This Row],[Max Differences]]+ABS(Audit[[#This Row],[Canceled Differences]]), Audit[[#This Row],[Max Differences]]), 0)</f>
        <v>0</v>
      </c>
      <c r="AT1091" s="17">
        <f>'Sampling Data'!AB1091</f>
        <v>1.565948056357155E-2</v>
      </c>
      <c r="AU1091" s="17">
        <f>IF(
      SUM(Audit[[#This Row],[Audit Losing Candidate]:[Audit Candidate 12]])
      &lt;&gt;0,
      (Audit[[#This Row],[Winning Candidate]]-Audit[[#This Row],[Losing Candidate]]-(Audit[[#This Row],[Audit Winning Candidate]]-Audit[[#This Row],[Audit Losing Candidate]]))/(Audit[[#Totals],[Winning Candidate]]-Audit[[#Totals],[Losing Candidate]]),
      0
)</f>
        <v>0</v>
      </c>
      <c r="AV10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1" s="17">
        <f>IF(Audit[[#This Row],[Max Relative Error (ep)]] = 0, 0, Audit[[#This Row],[Max Relative Error (ep)]]/Audit[[#This Row],[Error Bound (up) - Max. possible relative overstatement]])</f>
        <v>0</v>
      </c>
      <c r="BH10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91" s="17">
        <f t="shared" si="17"/>
        <v>1</v>
      </c>
      <c r="BJ1091" s="17">
        <f>PRODUCT($BI$5:BI1091)</f>
        <v>0.12355776757854808</v>
      </c>
      <c r="BK1091" s="19">
        <f>1 - Audit[[#This Row],[K-M P Value]]</f>
        <v>0.87644223242145192</v>
      </c>
      <c r="BL1091" s="17" t="str">
        <f>IF(Audit[[#This Row],[K-M P Value]]&gt;1-'General Info'!$B$12,"Continue", "Stop")</f>
        <v>Continue</v>
      </c>
      <c r="BM1091" s="22" t="b">
        <f>IF(Audit[[#This Row],[Status - Continue or stop audit]] = "Continue", TRUE, IF(BL1090 = "Continue", TRUE, FALSE))</f>
        <v>1</v>
      </c>
      <c r="BN1091" s="22"/>
    </row>
    <row r="1092" spans="1:66" ht="15" hidden="1" customHeight="1" x14ac:dyDescent="0.35">
      <c r="A1092" s="17" t="str">
        <f>'Sampling Data'!AI1092</f>
        <v/>
      </c>
      <c r="B1092" s="17" t="str">
        <f>'Sampling Data'!A1092</f>
        <v>8725 SPFLD Y   (ED)</v>
      </c>
      <c r="C1092" s="17">
        <f>'Sampling Data'!B1092</f>
        <v>252</v>
      </c>
      <c r="D1092" s="17">
        <f>'Sampling Data'!C1092</f>
        <v>94</v>
      </c>
      <c r="E1092" s="18">
        <f>'Sampling Data'!D1092</f>
        <v>0</v>
      </c>
      <c r="F1092" s="18">
        <f>'Sampling Data'!E1092</f>
        <v>0</v>
      </c>
      <c r="G1092" s="18">
        <f>'Sampling Data'!F1092</f>
        <v>0</v>
      </c>
      <c r="H1092" s="18">
        <f>'Sampling Data'!G1092</f>
        <v>0</v>
      </c>
      <c r="I1092" s="18">
        <f>'Sampling Data'!H1092</f>
        <v>0</v>
      </c>
      <c r="J1092" s="18">
        <f>'Sampling Data'!I1092</f>
        <v>0</v>
      </c>
      <c r="K1092" s="18">
        <f>'Sampling Data'!J1092</f>
        <v>0</v>
      </c>
      <c r="L1092" s="18">
        <f>'Sampling Data'!K1092</f>
        <v>0</v>
      </c>
      <c r="M1092" s="18">
        <f>'Sampling Data'!L1092</f>
        <v>0</v>
      </c>
      <c r="N1092" s="18">
        <f>'Sampling Data'!M1092</f>
        <v>0</v>
      </c>
      <c r="O1092" s="17">
        <f>'Sampling Data'!N1092</f>
        <v>0</v>
      </c>
      <c r="P1092" s="17">
        <f>'Sampling Data'!O1092</f>
        <v>25</v>
      </c>
      <c r="Q1092" s="17">
        <f>'Sampling Data'!P1092</f>
        <v>371</v>
      </c>
      <c r="R1092" s="17">
        <f>'Sampling Data'!AJ1092</f>
        <v>0</v>
      </c>
      <c r="S1092" s="111"/>
      <c r="T1092" s="111"/>
      <c r="U1092" s="112"/>
      <c r="V1092" s="112"/>
      <c r="W1092" s="111"/>
      <c r="X1092" s="111"/>
      <c r="Y1092" s="111"/>
      <c r="Z1092" s="111"/>
      <c r="AA1092" s="14"/>
      <c r="AB1092" s="14"/>
      <c r="AC1092" s="14"/>
      <c r="AD1092" s="14"/>
      <c r="AE1092" s="113" t="str">
        <f>IF(NOT(ISBLANK(Audit[[#This Row],[Audit Winning Candidate]])), Audit[[#This Row],[Audit Winning Candidate]]-Audit[[#This Row],[Winning Candidate]], "")</f>
        <v/>
      </c>
      <c r="AF1092" s="17" t="str">
        <f>IF(NOT(ISBLANK(Audit[[#This Row],[Audit Losing Candidate]])), Audit[[#This Row],[Audit Losing Candidate]]-Audit[[#This Row],[Losing Candidate]], "")</f>
        <v/>
      </c>
      <c r="AG1092" s="17" t="str">
        <f>IF(NOT(ISBLANK(Audit[[#This Row],[Audit Candidate 3]])), Audit[[#This Row],[Audit Candidate 3]]-Audit[[#This Row],[Candidate 3]], "")</f>
        <v/>
      </c>
      <c r="AH1092" s="17" t="str">
        <f>IF(NOT(ISBLANK(Audit[[#This Row],[Audit Candidate 4]])),Audit[[#This Row],[Audit Candidate 4]]-Audit[[#This Row],[Candidate 4]], "")</f>
        <v/>
      </c>
      <c r="AI1092" s="17" t="str">
        <f>IF(NOT(ISBLANK(Audit[[#This Row],[Audit Candidate 5]])), Audit[[#This Row],[Audit Candidate 5]]-Audit[[#This Row],[Candidate 5]], "")</f>
        <v/>
      </c>
      <c r="AJ1092" s="17" t="str">
        <f>IF(NOT(ISBLANK(Audit[[#This Row],[Audit Candidate 6]])), Audit[[#This Row],[Audit Candidate 6]]-Audit[[#This Row],[Candidate 6]], "")</f>
        <v/>
      </c>
      <c r="AK1092" s="17" t="str">
        <f>IF(NOT(ISBLANK(Audit[[#This Row],[Audit Candidate 7]])), Audit[[#This Row],[Audit Candidate 7]]-Audit[[#This Row],[Candidate 7]], "")</f>
        <v/>
      </c>
      <c r="AL1092" s="17" t="str">
        <f>IF(NOT(ISBLANK(Audit[[#This Row],[Audit Candidate 8]])), Audit[[#This Row],[Audit Candidate 8]]-Audit[[#This Row],[Candidate 8]], "")</f>
        <v/>
      </c>
      <c r="AM1092" s="17" t="str">
        <f>IF(NOT(ISBLANK(Audit[[#This Row],[Audit Candidate 9]])), Audit[[#This Row],[Audit Candidate 9]]-Audit[[#This Row],[Candidate 9]], "")</f>
        <v/>
      </c>
      <c r="AN1092" s="17" t="str">
        <f>IF(NOT(ISBLANK(Audit[[#This Row],[Audit Candidate 10]])), Audit[[#This Row],[Audit Candidate 10]]-Audit[[#This Row],[Candidate 10]], "")</f>
        <v/>
      </c>
      <c r="AO1092" s="17" t="str">
        <f>IF(NOT(ISBLANK(Audit[[#This Row],[Audit Candidate 11]])), Audit[[#This Row],[Audit Candidate 11]]-Audit[[#This Row],[Candidate 11]], "")</f>
        <v/>
      </c>
      <c r="AP1092" s="17" t="str">
        <f>IF(NOT(ISBLANK(Audit[[#This Row],[Audit Candidate 12]])), Audit[[#This Row],[Audit Candidate 12]]-Audit[[#This Row],[Candidate 12]], "")</f>
        <v/>
      </c>
      <c r="AQ1092" s="17">
        <f>SUMIF(Audit[[#This Row],[Difference Winner]:[Difference Candidate 12]], "&gt;0")</f>
        <v>0</v>
      </c>
      <c r="AR1092" s="17">
        <f>SUM(Audit[[#This Row],[Difference Winner]:[Difference Candidate 12]])</f>
        <v>0</v>
      </c>
      <c r="AS1092" s="17">
        <f>IF(Audit[[#This Row],[Times p Drawn - With Replacement]]&gt;0, IF(Audit[[#This Row],[Canceled Differences]]&lt;0, Audit[[#This Row],[Max Differences]]+ABS(Audit[[#This Row],[Canceled Differences]]), Audit[[#This Row],[Max Differences]]), 0)</f>
        <v>0</v>
      </c>
      <c r="AT1092" s="17">
        <f>'Sampling Data'!AB1092</f>
        <v>2.24494992361229E-2</v>
      </c>
      <c r="AU1092" s="17">
        <f>IF(
      SUM(Audit[[#This Row],[Audit Losing Candidate]:[Audit Candidate 12]])
      &lt;&gt;0,
      (Audit[[#This Row],[Winning Candidate]]-Audit[[#This Row],[Losing Candidate]]-(Audit[[#This Row],[Audit Winning Candidate]]-Audit[[#This Row],[Audit Losing Candidate]]))/(Audit[[#Totals],[Winning Candidate]]-Audit[[#Totals],[Losing Candidate]]),
      0
)</f>
        <v>0</v>
      </c>
      <c r="AV10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2" s="17">
        <f>IF(Audit[[#This Row],[Max Relative Error (ep)]] = 0, 0, Audit[[#This Row],[Max Relative Error (ep)]]/Audit[[#This Row],[Error Bound (up) - Max. possible relative overstatement]])</f>
        <v>0</v>
      </c>
      <c r="BH10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92" s="17">
        <f t="shared" si="17"/>
        <v>1</v>
      </c>
      <c r="BJ1092" s="17">
        <f>PRODUCT($BI$5:BI1092)</f>
        <v>0.12355776757854808</v>
      </c>
      <c r="BK1092" s="19">
        <f>1 - Audit[[#This Row],[K-M P Value]]</f>
        <v>0.87644223242145192</v>
      </c>
      <c r="BL1092" s="17" t="str">
        <f>IF(Audit[[#This Row],[K-M P Value]]&gt;1-'General Info'!$B$12,"Continue", "Stop")</f>
        <v>Continue</v>
      </c>
      <c r="BM1092" s="22" t="b">
        <f>IF(Audit[[#This Row],[Status - Continue or stop audit]] = "Continue", TRUE, IF(BL1091 = "Continue", TRUE, FALSE))</f>
        <v>1</v>
      </c>
      <c r="BN1092" s="22"/>
    </row>
    <row r="1093" spans="1:66" ht="15" hidden="1" customHeight="1" x14ac:dyDescent="0.35">
      <c r="A1093" s="17" t="str">
        <f>'Sampling Data'!AI1093</f>
        <v/>
      </c>
      <c r="B1093" s="17" t="str">
        <f>'Sampling Data'!A1093</f>
        <v>8726 SPFLD Z   (ED)</v>
      </c>
      <c r="C1093" s="17">
        <f>'Sampling Data'!B1093</f>
        <v>169</v>
      </c>
      <c r="D1093" s="17">
        <f>'Sampling Data'!C1093</f>
        <v>94</v>
      </c>
      <c r="E1093" s="18">
        <f>'Sampling Data'!D1093</f>
        <v>0</v>
      </c>
      <c r="F1093" s="18">
        <f>'Sampling Data'!E1093</f>
        <v>0</v>
      </c>
      <c r="G1093" s="18">
        <f>'Sampling Data'!F1093</f>
        <v>0</v>
      </c>
      <c r="H1093" s="18">
        <f>'Sampling Data'!G1093</f>
        <v>0</v>
      </c>
      <c r="I1093" s="18">
        <f>'Sampling Data'!H1093</f>
        <v>0</v>
      </c>
      <c r="J1093" s="18">
        <f>'Sampling Data'!I1093</f>
        <v>0</v>
      </c>
      <c r="K1093" s="18">
        <f>'Sampling Data'!J1093</f>
        <v>0</v>
      </c>
      <c r="L1093" s="18">
        <f>'Sampling Data'!K1093</f>
        <v>0</v>
      </c>
      <c r="M1093" s="18">
        <f>'Sampling Data'!L1093</f>
        <v>0</v>
      </c>
      <c r="N1093" s="18">
        <f>'Sampling Data'!M1093</f>
        <v>0</v>
      </c>
      <c r="O1093" s="17">
        <f>'Sampling Data'!N1093</f>
        <v>0</v>
      </c>
      <c r="P1093" s="17">
        <f>'Sampling Data'!O1093</f>
        <v>30</v>
      </c>
      <c r="Q1093" s="17">
        <f>'Sampling Data'!P1093</f>
        <v>293</v>
      </c>
      <c r="R1093" s="17">
        <f>'Sampling Data'!AJ1093</f>
        <v>0</v>
      </c>
      <c r="S1093" s="111"/>
      <c r="T1093" s="111"/>
      <c r="U1093" s="112"/>
      <c r="V1093" s="112"/>
      <c r="W1093" s="111"/>
      <c r="X1093" s="111"/>
      <c r="Y1093" s="111"/>
      <c r="Z1093" s="111"/>
      <c r="AA1093" s="14"/>
      <c r="AB1093" s="14"/>
      <c r="AC1093" s="14"/>
      <c r="AD1093" s="14"/>
      <c r="AE1093" s="113" t="str">
        <f>IF(NOT(ISBLANK(Audit[[#This Row],[Audit Winning Candidate]])), Audit[[#This Row],[Audit Winning Candidate]]-Audit[[#This Row],[Winning Candidate]], "")</f>
        <v/>
      </c>
      <c r="AF1093" s="17" t="str">
        <f>IF(NOT(ISBLANK(Audit[[#This Row],[Audit Losing Candidate]])), Audit[[#This Row],[Audit Losing Candidate]]-Audit[[#This Row],[Losing Candidate]], "")</f>
        <v/>
      </c>
      <c r="AG1093" s="17" t="str">
        <f>IF(NOT(ISBLANK(Audit[[#This Row],[Audit Candidate 3]])), Audit[[#This Row],[Audit Candidate 3]]-Audit[[#This Row],[Candidate 3]], "")</f>
        <v/>
      </c>
      <c r="AH1093" s="17" t="str">
        <f>IF(NOT(ISBLANK(Audit[[#This Row],[Audit Candidate 4]])),Audit[[#This Row],[Audit Candidate 4]]-Audit[[#This Row],[Candidate 4]], "")</f>
        <v/>
      </c>
      <c r="AI1093" s="17" t="str">
        <f>IF(NOT(ISBLANK(Audit[[#This Row],[Audit Candidate 5]])), Audit[[#This Row],[Audit Candidate 5]]-Audit[[#This Row],[Candidate 5]], "")</f>
        <v/>
      </c>
      <c r="AJ1093" s="17" t="str">
        <f>IF(NOT(ISBLANK(Audit[[#This Row],[Audit Candidate 6]])), Audit[[#This Row],[Audit Candidate 6]]-Audit[[#This Row],[Candidate 6]], "")</f>
        <v/>
      </c>
      <c r="AK1093" s="17" t="str">
        <f>IF(NOT(ISBLANK(Audit[[#This Row],[Audit Candidate 7]])), Audit[[#This Row],[Audit Candidate 7]]-Audit[[#This Row],[Candidate 7]], "")</f>
        <v/>
      </c>
      <c r="AL1093" s="17" t="str">
        <f>IF(NOT(ISBLANK(Audit[[#This Row],[Audit Candidate 8]])), Audit[[#This Row],[Audit Candidate 8]]-Audit[[#This Row],[Candidate 8]], "")</f>
        <v/>
      </c>
      <c r="AM1093" s="17" t="str">
        <f>IF(NOT(ISBLANK(Audit[[#This Row],[Audit Candidate 9]])), Audit[[#This Row],[Audit Candidate 9]]-Audit[[#This Row],[Candidate 9]], "")</f>
        <v/>
      </c>
      <c r="AN1093" s="17" t="str">
        <f>IF(NOT(ISBLANK(Audit[[#This Row],[Audit Candidate 10]])), Audit[[#This Row],[Audit Candidate 10]]-Audit[[#This Row],[Candidate 10]], "")</f>
        <v/>
      </c>
      <c r="AO1093" s="17" t="str">
        <f>IF(NOT(ISBLANK(Audit[[#This Row],[Audit Candidate 11]])), Audit[[#This Row],[Audit Candidate 11]]-Audit[[#This Row],[Candidate 11]], "")</f>
        <v/>
      </c>
      <c r="AP1093" s="17" t="str">
        <f>IF(NOT(ISBLANK(Audit[[#This Row],[Audit Candidate 12]])), Audit[[#This Row],[Audit Candidate 12]]-Audit[[#This Row],[Candidate 12]], "")</f>
        <v/>
      </c>
      <c r="AQ1093" s="17">
        <f>SUMIF(Audit[[#This Row],[Difference Winner]:[Difference Candidate 12]], "&gt;0")</f>
        <v>0</v>
      </c>
      <c r="AR1093" s="17">
        <f>SUM(Audit[[#This Row],[Difference Winner]:[Difference Candidate 12]])</f>
        <v>0</v>
      </c>
      <c r="AS1093" s="17">
        <f>IF(Audit[[#This Row],[Times p Drawn - With Replacement]]&gt;0, IF(Audit[[#This Row],[Canceled Differences]]&lt;0, Audit[[#This Row],[Max Differences]]+ABS(Audit[[#This Row],[Canceled Differences]]), Audit[[#This Row],[Max Differences]]), 0)</f>
        <v>0</v>
      </c>
      <c r="AT1093" s="17">
        <f>'Sampling Data'!AB1093</f>
        <v>1.5617042946868104E-2</v>
      </c>
      <c r="AU1093" s="17">
        <f>IF(
      SUM(Audit[[#This Row],[Audit Losing Candidate]:[Audit Candidate 12]])
      &lt;&gt;0,
      (Audit[[#This Row],[Winning Candidate]]-Audit[[#This Row],[Losing Candidate]]-(Audit[[#This Row],[Audit Winning Candidate]]-Audit[[#This Row],[Audit Losing Candidate]]))/(Audit[[#Totals],[Winning Candidate]]-Audit[[#Totals],[Losing Candidate]]),
      0
)</f>
        <v>0</v>
      </c>
      <c r="AV10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3" s="17">
        <f>IF(Audit[[#This Row],[Max Relative Error (ep)]] = 0, 0, Audit[[#This Row],[Max Relative Error (ep)]]/Audit[[#This Row],[Error Bound (up) - Max. possible relative overstatement]])</f>
        <v>0</v>
      </c>
      <c r="BH10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93" s="17">
        <f t="shared" si="17"/>
        <v>1</v>
      </c>
      <c r="BJ1093" s="17">
        <f>PRODUCT($BI$5:BI1093)</f>
        <v>0.12355776757854808</v>
      </c>
      <c r="BK1093" s="19">
        <f>1 - Audit[[#This Row],[K-M P Value]]</f>
        <v>0.87644223242145192</v>
      </c>
      <c r="BL1093" s="17" t="str">
        <f>IF(Audit[[#This Row],[K-M P Value]]&gt;1-'General Info'!$B$12,"Continue", "Stop")</f>
        <v>Continue</v>
      </c>
      <c r="BM1093" s="22" t="b">
        <f>IF(Audit[[#This Row],[Status - Continue or stop audit]] = "Continue", TRUE, IF(BL1092 = "Continue", TRUE, FALSE))</f>
        <v>1</v>
      </c>
      <c r="BN1093" s="22"/>
    </row>
    <row r="1094" spans="1:66" ht="15" customHeight="1" x14ac:dyDescent="0.35">
      <c r="A1094" s="17">
        <f>'Sampling Data'!AI1094</f>
        <v>1</v>
      </c>
      <c r="B1094" s="17" t="str">
        <f>'Sampling Data'!A1094</f>
        <v>8727 SPFLD AA   (ED)</v>
      </c>
      <c r="C1094" s="17">
        <f>'Sampling Data'!B1094</f>
        <v>335</v>
      </c>
      <c r="D1094" s="17">
        <f>'Sampling Data'!C1094</f>
        <v>196</v>
      </c>
      <c r="E1094" s="18">
        <f>'Sampling Data'!D1094</f>
        <v>0</v>
      </c>
      <c r="F1094" s="18">
        <f>'Sampling Data'!E1094</f>
        <v>0</v>
      </c>
      <c r="G1094" s="18">
        <f>'Sampling Data'!F1094</f>
        <v>0</v>
      </c>
      <c r="H1094" s="18">
        <f>'Sampling Data'!G1094</f>
        <v>0</v>
      </c>
      <c r="I1094" s="18">
        <f>'Sampling Data'!H1094</f>
        <v>0</v>
      </c>
      <c r="J1094" s="18">
        <f>'Sampling Data'!I1094</f>
        <v>0</v>
      </c>
      <c r="K1094" s="18">
        <f>'Sampling Data'!J1094</f>
        <v>0</v>
      </c>
      <c r="L1094" s="18">
        <f>'Sampling Data'!K1094</f>
        <v>0</v>
      </c>
      <c r="M1094" s="18">
        <f>'Sampling Data'!L1094</f>
        <v>0</v>
      </c>
      <c r="N1094" s="18">
        <f>'Sampling Data'!M1094</f>
        <v>0</v>
      </c>
      <c r="O1094" s="17">
        <f>'Sampling Data'!N1094</f>
        <v>0</v>
      </c>
      <c r="P1094" s="17">
        <f>'Sampling Data'!O1094</f>
        <v>46</v>
      </c>
      <c r="Q1094" s="17">
        <f>'Sampling Data'!P1094</f>
        <v>577</v>
      </c>
      <c r="R1094" s="17">
        <f>'Sampling Data'!AJ1094</f>
        <v>1</v>
      </c>
      <c r="S1094" s="111">
        <v>335</v>
      </c>
      <c r="T1094" s="111">
        <v>196</v>
      </c>
      <c r="U1094" s="112"/>
      <c r="V1094" s="112"/>
      <c r="W1094" s="111"/>
      <c r="X1094" s="111"/>
      <c r="Y1094" s="111"/>
      <c r="Z1094" s="111"/>
      <c r="AA1094" s="14"/>
      <c r="AB1094" s="14"/>
      <c r="AC1094" s="14"/>
      <c r="AD1094" s="14"/>
      <c r="AE1094" s="113">
        <f>IF(NOT(ISBLANK(Audit[[#This Row],[Audit Winning Candidate]])), Audit[[#This Row],[Audit Winning Candidate]]-Audit[[#This Row],[Winning Candidate]], "")</f>
        <v>0</v>
      </c>
      <c r="AF1094" s="17">
        <f>IF(NOT(ISBLANK(Audit[[#This Row],[Audit Losing Candidate]])), Audit[[#This Row],[Audit Losing Candidate]]-Audit[[#This Row],[Losing Candidate]], "")</f>
        <v>0</v>
      </c>
      <c r="AG1094" s="17" t="str">
        <f>IF(NOT(ISBLANK(Audit[[#This Row],[Audit Candidate 3]])), Audit[[#This Row],[Audit Candidate 3]]-Audit[[#This Row],[Candidate 3]], "")</f>
        <v/>
      </c>
      <c r="AH1094" s="17" t="str">
        <f>IF(NOT(ISBLANK(Audit[[#This Row],[Audit Candidate 4]])),Audit[[#This Row],[Audit Candidate 4]]-Audit[[#This Row],[Candidate 4]], "")</f>
        <v/>
      </c>
      <c r="AI1094" s="17" t="str">
        <f>IF(NOT(ISBLANK(Audit[[#This Row],[Audit Candidate 5]])), Audit[[#This Row],[Audit Candidate 5]]-Audit[[#This Row],[Candidate 5]], "")</f>
        <v/>
      </c>
      <c r="AJ1094" s="17" t="str">
        <f>IF(NOT(ISBLANK(Audit[[#This Row],[Audit Candidate 6]])), Audit[[#This Row],[Audit Candidate 6]]-Audit[[#This Row],[Candidate 6]], "")</f>
        <v/>
      </c>
      <c r="AK1094" s="17" t="str">
        <f>IF(NOT(ISBLANK(Audit[[#This Row],[Audit Candidate 7]])), Audit[[#This Row],[Audit Candidate 7]]-Audit[[#This Row],[Candidate 7]], "")</f>
        <v/>
      </c>
      <c r="AL1094" s="17" t="str">
        <f>IF(NOT(ISBLANK(Audit[[#This Row],[Audit Candidate 8]])), Audit[[#This Row],[Audit Candidate 8]]-Audit[[#This Row],[Candidate 8]], "")</f>
        <v/>
      </c>
      <c r="AM1094" s="17" t="str">
        <f>IF(NOT(ISBLANK(Audit[[#This Row],[Audit Candidate 9]])), Audit[[#This Row],[Audit Candidate 9]]-Audit[[#This Row],[Candidate 9]], "")</f>
        <v/>
      </c>
      <c r="AN1094" s="17" t="str">
        <f>IF(NOT(ISBLANK(Audit[[#This Row],[Audit Candidate 10]])), Audit[[#This Row],[Audit Candidate 10]]-Audit[[#This Row],[Candidate 10]], "")</f>
        <v/>
      </c>
      <c r="AO1094" s="17" t="str">
        <f>IF(NOT(ISBLANK(Audit[[#This Row],[Audit Candidate 11]])), Audit[[#This Row],[Audit Candidate 11]]-Audit[[#This Row],[Candidate 11]], "")</f>
        <v/>
      </c>
      <c r="AP1094" s="17" t="str">
        <f>IF(NOT(ISBLANK(Audit[[#This Row],[Audit Candidate 12]])), Audit[[#This Row],[Audit Candidate 12]]-Audit[[#This Row],[Candidate 12]], "")</f>
        <v/>
      </c>
      <c r="AQ1094" s="17">
        <f>SUMIF(Audit[[#This Row],[Difference Winner]:[Difference Candidate 12]], "&gt;0")</f>
        <v>0</v>
      </c>
      <c r="AR1094" s="17">
        <f>SUM(Audit[[#This Row],[Difference Winner]:[Difference Candidate 12]])</f>
        <v>0</v>
      </c>
      <c r="AS1094" s="17">
        <f>IF(Audit[[#This Row],[Times p Drawn - With Replacement]]&gt;0, IF(Audit[[#This Row],[Canceled Differences]]&lt;0, Audit[[#This Row],[Max Differences]]+ABS(Audit[[#This Row],[Canceled Differences]]), Audit[[#This Row],[Max Differences]]), 0)</f>
        <v>0</v>
      </c>
      <c r="AT1094" s="17">
        <f>'Sampling Data'!AB1094</f>
        <v>3.0385333559667289E-2</v>
      </c>
      <c r="AU1094" s="17">
        <f>IF(
      SUM(Audit[[#This Row],[Audit Losing Candidate]:[Audit Candidate 12]])
      &lt;&gt;0,
      (Audit[[#This Row],[Winning Candidate]]-Audit[[#This Row],[Losing Candidate]]-(Audit[[#This Row],[Audit Winning Candidate]]-Audit[[#This Row],[Audit Losing Candidate]]))/(Audit[[#Totals],[Winning Candidate]]-Audit[[#Totals],[Losing Candidate]]),
      0
)</f>
        <v>0</v>
      </c>
      <c r="AV10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4" s="17">
        <f>IF(Audit[[#This Row],[Max Relative Error (ep)]] = 0, 0, Audit[[#This Row],[Max Relative Error (ep)]]/Audit[[#This Row],[Error Bound (up) - Max. possible relative overstatement]])</f>
        <v>0</v>
      </c>
      <c r="BH10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94" s="17">
        <f t="shared" si="17"/>
        <v>0.94645908314247273</v>
      </c>
      <c r="BJ1094" s="17">
        <f>PRODUCT($BI$5:BI1094)</f>
        <v>0.11694237141752337</v>
      </c>
      <c r="BK1094" s="19">
        <f>1 - Audit[[#This Row],[K-M P Value]]</f>
        <v>0.88305762858247661</v>
      </c>
      <c r="BL1094" s="17" t="str">
        <f>IF(Audit[[#This Row],[K-M P Value]]&gt;1-'General Info'!$B$12,"Continue", "Stop")</f>
        <v>Continue</v>
      </c>
      <c r="BM1094" s="22" t="b">
        <f>IF(Audit[[#This Row],[Status - Continue or stop audit]] = "Continue", TRUE, IF(BL1093 = "Continue", TRUE, FALSE))</f>
        <v>1</v>
      </c>
      <c r="BN1094" s="22"/>
    </row>
    <row r="1095" spans="1:66" ht="15" hidden="1" customHeight="1" x14ac:dyDescent="0.35">
      <c r="A1095" s="17" t="str">
        <f>'Sampling Data'!AI1095</f>
        <v/>
      </c>
      <c r="B1095" s="17" t="str">
        <f>'Sampling Data'!A1095</f>
        <v>8728 SPFLD BB   (ED)</v>
      </c>
      <c r="C1095" s="17">
        <f>'Sampling Data'!B1095</f>
        <v>105</v>
      </c>
      <c r="D1095" s="17">
        <f>'Sampling Data'!C1095</f>
        <v>170</v>
      </c>
      <c r="E1095" s="18">
        <f>'Sampling Data'!D1095</f>
        <v>0</v>
      </c>
      <c r="F1095" s="18">
        <f>'Sampling Data'!E1095</f>
        <v>0</v>
      </c>
      <c r="G1095" s="18">
        <f>'Sampling Data'!F1095</f>
        <v>0</v>
      </c>
      <c r="H1095" s="18">
        <f>'Sampling Data'!G1095</f>
        <v>0</v>
      </c>
      <c r="I1095" s="18">
        <f>'Sampling Data'!H1095</f>
        <v>0</v>
      </c>
      <c r="J1095" s="18">
        <f>'Sampling Data'!I1095</f>
        <v>0</v>
      </c>
      <c r="K1095" s="18">
        <f>'Sampling Data'!J1095</f>
        <v>0</v>
      </c>
      <c r="L1095" s="18">
        <f>'Sampling Data'!K1095</f>
        <v>0</v>
      </c>
      <c r="M1095" s="18">
        <f>'Sampling Data'!L1095</f>
        <v>0</v>
      </c>
      <c r="N1095" s="18">
        <f>'Sampling Data'!M1095</f>
        <v>0</v>
      </c>
      <c r="O1095" s="17">
        <f>'Sampling Data'!N1095</f>
        <v>0</v>
      </c>
      <c r="P1095" s="17">
        <f>'Sampling Data'!O1095</f>
        <v>13</v>
      </c>
      <c r="Q1095" s="17">
        <f>'Sampling Data'!P1095</f>
        <v>288</v>
      </c>
      <c r="R1095" s="17">
        <f>'Sampling Data'!AJ1095</f>
        <v>0</v>
      </c>
      <c r="S1095" s="111"/>
      <c r="T1095" s="111"/>
      <c r="U1095" s="112"/>
      <c r="V1095" s="112"/>
      <c r="W1095" s="111"/>
      <c r="X1095" s="111"/>
      <c r="Y1095" s="111"/>
      <c r="Z1095" s="111"/>
      <c r="AA1095" s="14"/>
      <c r="AB1095" s="14"/>
      <c r="AC1095" s="14"/>
      <c r="AD1095" s="14"/>
      <c r="AE1095" s="113" t="str">
        <f>IF(NOT(ISBLANK(Audit[[#This Row],[Audit Winning Candidate]])), Audit[[#This Row],[Audit Winning Candidate]]-Audit[[#This Row],[Winning Candidate]], "")</f>
        <v/>
      </c>
      <c r="AF1095" s="17" t="str">
        <f>IF(NOT(ISBLANK(Audit[[#This Row],[Audit Losing Candidate]])), Audit[[#This Row],[Audit Losing Candidate]]-Audit[[#This Row],[Losing Candidate]], "")</f>
        <v/>
      </c>
      <c r="AG1095" s="17" t="str">
        <f>IF(NOT(ISBLANK(Audit[[#This Row],[Audit Candidate 3]])), Audit[[#This Row],[Audit Candidate 3]]-Audit[[#This Row],[Candidate 3]], "")</f>
        <v/>
      </c>
      <c r="AH1095" s="17" t="str">
        <f>IF(NOT(ISBLANK(Audit[[#This Row],[Audit Candidate 4]])),Audit[[#This Row],[Audit Candidate 4]]-Audit[[#This Row],[Candidate 4]], "")</f>
        <v/>
      </c>
      <c r="AI1095" s="17" t="str">
        <f>IF(NOT(ISBLANK(Audit[[#This Row],[Audit Candidate 5]])), Audit[[#This Row],[Audit Candidate 5]]-Audit[[#This Row],[Candidate 5]], "")</f>
        <v/>
      </c>
      <c r="AJ1095" s="17" t="str">
        <f>IF(NOT(ISBLANK(Audit[[#This Row],[Audit Candidate 6]])), Audit[[#This Row],[Audit Candidate 6]]-Audit[[#This Row],[Candidate 6]], "")</f>
        <v/>
      </c>
      <c r="AK1095" s="17" t="str">
        <f>IF(NOT(ISBLANK(Audit[[#This Row],[Audit Candidate 7]])), Audit[[#This Row],[Audit Candidate 7]]-Audit[[#This Row],[Candidate 7]], "")</f>
        <v/>
      </c>
      <c r="AL1095" s="17" t="str">
        <f>IF(NOT(ISBLANK(Audit[[#This Row],[Audit Candidate 8]])), Audit[[#This Row],[Audit Candidate 8]]-Audit[[#This Row],[Candidate 8]], "")</f>
        <v/>
      </c>
      <c r="AM1095" s="17" t="str">
        <f>IF(NOT(ISBLANK(Audit[[#This Row],[Audit Candidate 9]])), Audit[[#This Row],[Audit Candidate 9]]-Audit[[#This Row],[Candidate 9]], "")</f>
        <v/>
      </c>
      <c r="AN1095" s="17" t="str">
        <f>IF(NOT(ISBLANK(Audit[[#This Row],[Audit Candidate 10]])), Audit[[#This Row],[Audit Candidate 10]]-Audit[[#This Row],[Candidate 10]], "")</f>
        <v/>
      </c>
      <c r="AO1095" s="17" t="str">
        <f>IF(NOT(ISBLANK(Audit[[#This Row],[Audit Candidate 11]])), Audit[[#This Row],[Audit Candidate 11]]-Audit[[#This Row],[Candidate 11]], "")</f>
        <v/>
      </c>
      <c r="AP1095" s="17" t="str">
        <f>IF(NOT(ISBLANK(Audit[[#This Row],[Audit Candidate 12]])), Audit[[#This Row],[Audit Candidate 12]]-Audit[[#This Row],[Candidate 12]], "")</f>
        <v/>
      </c>
      <c r="AQ1095" s="17">
        <f>SUMIF(Audit[[#This Row],[Difference Winner]:[Difference Candidate 12]], "&gt;0")</f>
        <v>0</v>
      </c>
      <c r="AR1095" s="17">
        <f>SUM(Audit[[#This Row],[Difference Winner]:[Difference Candidate 12]])</f>
        <v>0</v>
      </c>
      <c r="AS1095" s="17">
        <f>IF(Audit[[#This Row],[Times p Drawn - With Replacement]]&gt;0, IF(Audit[[#This Row],[Canceled Differences]]&lt;0, Audit[[#This Row],[Max Differences]]+ABS(Audit[[#This Row],[Canceled Differences]]), Audit[[#This Row],[Max Differences]]), 0)</f>
        <v>0</v>
      </c>
      <c r="AT1095" s="17">
        <f>'Sampling Data'!AB1095</f>
        <v>9.4635885248684441E-3</v>
      </c>
      <c r="AU1095" s="17">
        <f>IF(
      SUM(Audit[[#This Row],[Audit Losing Candidate]:[Audit Candidate 12]])
      &lt;&gt;0,
      (Audit[[#This Row],[Winning Candidate]]-Audit[[#This Row],[Losing Candidate]]-(Audit[[#This Row],[Audit Winning Candidate]]-Audit[[#This Row],[Audit Losing Candidate]]))/(Audit[[#Totals],[Winning Candidate]]-Audit[[#Totals],[Losing Candidate]]),
      0
)</f>
        <v>0</v>
      </c>
      <c r="AV10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5" s="17">
        <f>IF(Audit[[#This Row],[Max Relative Error (ep)]] = 0, 0, Audit[[#This Row],[Max Relative Error (ep)]]/Audit[[#This Row],[Error Bound (up) - Max. possible relative overstatement]])</f>
        <v>0</v>
      </c>
      <c r="BH10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95" s="17">
        <f t="shared" si="17"/>
        <v>1</v>
      </c>
      <c r="BJ1095" s="17">
        <f>PRODUCT($BI$5:BI1095)</f>
        <v>0.11694237141752337</v>
      </c>
      <c r="BK1095" s="19">
        <f>1 - Audit[[#This Row],[K-M P Value]]</f>
        <v>0.88305762858247661</v>
      </c>
      <c r="BL1095" s="17" t="str">
        <f>IF(Audit[[#This Row],[K-M P Value]]&gt;1-'General Info'!$B$12,"Continue", "Stop")</f>
        <v>Continue</v>
      </c>
      <c r="BM1095" s="22" t="b">
        <f>IF(Audit[[#This Row],[Status - Continue or stop audit]] = "Continue", TRUE, IF(BL1094 = "Continue", TRUE, FALSE))</f>
        <v>1</v>
      </c>
      <c r="BN1095" s="22"/>
    </row>
    <row r="1096" spans="1:66" ht="15" hidden="1" customHeight="1" x14ac:dyDescent="0.35">
      <c r="A1096" s="17" t="str">
        <f>'Sampling Data'!AI1096</f>
        <v/>
      </c>
      <c r="B1096" s="17" t="str">
        <f>'Sampling Data'!A1096</f>
        <v>8901 SYCAM A   (ED)</v>
      </c>
      <c r="C1096" s="17">
        <f>'Sampling Data'!B1096</f>
        <v>58</v>
      </c>
      <c r="D1096" s="17">
        <f>'Sampling Data'!C1096</f>
        <v>9</v>
      </c>
      <c r="E1096" s="18">
        <f>'Sampling Data'!D1096</f>
        <v>0</v>
      </c>
      <c r="F1096" s="18">
        <f>'Sampling Data'!E1096</f>
        <v>0</v>
      </c>
      <c r="G1096" s="18">
        <f>'Sampling Data'!F1096</f>
        <v>0</v>
      </c>
      <c r="H1096" s="18">
        <f>'Sampling Data'!G1096</f>
        <v>0</v>
      </c>
      <c r="I1096" s="18">
        <f>'Sampling Data'!H1096</f>
        <v>0</v>
      </c>
      <c r="J1096" s="18">
        <f>'Sampling Data'!I1096</f>
        <v>0</v>
      </c>
      <c r="K1096" s="18">
        <f>'Sampling Data'!J1096</f>
        <v>0</v>
      </c>
      <c r="L1096" s="18">
        <f>'Sampling Data'!K1096</f>
        <v>0</v>
      </c>
      <c r="M1096" s="18">
        <f>'Sampling Data'!L1096</f>
        <v>0</v>
      </c>
      <c r="N1096" s="18">
        <f>'Sampling Data'!M1096</f>
        <v>0</v>
      </c>
      <c r="O1096" s="17">
        <f>'Sampling Data'!N1096</f>
        <v>0</v>
      </c>
      <c r="P1096" s="17">
        <f>'Sampling Data'!O1096</f>
        <v>1</v>
      </c>
      <c r="Q1096" s="17">
        <f>'Sampling Data'!P1096</f>
        <v>68</v>
      </c>
      <c r="R1096" s="17">
        <f>'Sampling Data'!AJ1096</f>
        <v>0</v>
      </c>
      <c r="S1096" s="111"/>
      <c r="T1096" s="111"/>
      <c r="U1096" s="112"/>
      <c r="V1096" s="112"/>
      <c r="W1096" s="111"/>
      <c r="X1096" s="111"/>
      <c r="Y1096" s="111"/>
      <c r="Z1096" s="111"/>
      <c r="AA1096" s="14"/>
      <c r="AB1096" s="14"/>
      <c r="AC1096" s="14"/>
      <c r="AD1096" s="14"/>
      <c r="AE1096" s="113" t="str">
        <f>IF(NOT(ISBLANK(Audit[[#This Row],[Audit Winning Candidate]])), Audit[[#This Row],[Audit Winning Candidate]]-Audit[[#This Row],[Winning Candidate]], "")</f>
        <v/>
      </c>
      <c r="AF1096" s="17" t="str">
        <f>IF(NOT(ISBLANK(Audit[[#This Row],[Audit Losing Candidate]])), Audit[[#This Row],[Audit Losing Candidate]]-Audit[[#This Row],[Losing Candidate]], "")</f>
        <v/>
      </c>
      <c r="AG1096" s="17" t="str">
        <f>IF(NOT(ISBLANK(Audit[[#This Row],[Audit Candidate 3]])), Audit[[#This Row],[Audit Candidate 3]]-Audit[[#This Row],[Candidate 3]], "")</f>
        <v/>
      </c>
      <c r="AH1096" s="17" t="str">
        <f>IF(NOT(ISBLANK(Audit[[#This Row],[Audit Candidate 4]])),Audit[[#This Row],[Audit Candidate 4]]-Audit[[#This Row],[Candidate 4]], "")</f>
        <v/>
      </c>
      <c r="AI1096" s="17" t="str">
        <f>IF(NOT(ISBLANK(Audit[[#This Row],[Audit Candidate 5]])), Audit[[#This Row],[Audit Candidate 5]]-Audit[[#This Row],[Candidate 5]], "")</f>
        <v/>
      </c>
      <c r="AJ1096" s="17" t="str">
        <f>IF(NOT(ISBLANK(Audit[[#This Row],[Audit Candidate 6]])), Audit[[#This Row],[Audit Candidate 6]]-Audit[[#This Row],[Candidate 6]], "")</f>
        <v/>
      </c>
      <c r="AK1096" s="17" t="str">
        <f>IF(NOT(ISBLANK(Audit[[#This Row],[Audit Candidate 7]])), Audit[[#This Row],[Audit Candidate 7]]-Audit[[#This Row],[Candidate 7]], "")</f>
        <v/>
      </c>
      <c r="AL1096" s="17" t="str">
        <f>IF(NOT(ISBLANK(Audit[[#This Row],[Audit Candidate 8]])), Audit[[#This Row],[Audit Candidate 8]]-Audit[[#This Row],[Candidate 8]], "")</f>
        <v/>
      </c>
      <c r="AM1096" s="17" t="str">
        <f>IF(NOT(ISBLANK(Audit[[#This Row],[Audit Candidate 9]])), Audit[[#This Row],[Audit Candidate 9]]-Audit[[#This Row],[Candidate 9]], "")</f>
        <v/>
      </c>
      <c r="AN1096" s="17" t="str">
        <f>IF(NOT(ISBLANK(Audit[[#This Row],[Audit Candidate 10]])), Audit[[#This Row],[Audit Candidate 10]]-Audit[[#This Row],[Candidate 10]], "")</f>
        <v/>
      </c>
      <c r="AO1096" s="17" t="str">
        <f>IF(NOT(ISBLANK(Audit[[#This Row],[Audit Candidate 11]])), Audit[[#This Row],[Audit Candidate 11]]-Audit[[#This Row],[Candidate 11]], "")</f>
        <v/>
      </c>
      <c r="AP1096" s="17" t="str">
        <f>IF(NOT(ISBLANK(Audit[[#This Row],[Audit Candidate 12]])), Audit[[#This Row],[Audit Candidate 12]]-Audit[[#This Row],[Candidate 12]], "")</f>
        <v/>
      </c>
      <c r="AQ1096" s="17">
        <f>SUMIF(Audit[[#This Row],[Difference Winner]:[Difference Candidate 12]], "&gt;0")</f>
        <v>0</v>
      </c>
      <c r="AR1096" s="17">
        <f>SUM(Audit[[#This Row],[Difference Winner]:[Difference Candidate 12]])</f>
        <v>0</v>
      </c>
      <c r="AS1096" s="17">
        <f>IF(Audit[[#This Row],[Times p Drawn - With Replacement]]&gt;0, IF(Audit[[#This Row],[Canceled Differences]]&lt;0, Audit[[#This Row],[Max Differences]]+ABS(Audit[[#This Row],[Canceled Differences]]), Audit[[#This Row],[Max Differences]]), 0)</f>
        <v>0</v>
      </c>
      <c r="AT1096" s="17">
        <f>'Sampling Data'!AB1096</f>
        <v>4.9652011543031742E-3</v>
      </c>
      <c r="AU1096" s="17">
        <f>IF(
      SUM(Audit[[#This Row],[Audit Losing Candidate]:[Audit Candidate 12]])
      &lt;&gt;0,
      (Audit[[#This Row],[Winning Candidate]]-Audit[[#This Row],[Losing Candidate]]-(Audit[[#This Row],[Audit Winning Candidate]]-Audit[[#This Row],[Audit Losing Candidate]]))/(Audit[[#Totals],[Winning Candidate]]-Audit[[#Totals],[Losing Candidate]]),
      0
)</f>
        <v>0</v>
      </c>
      <c r="AV10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6" s="17">
        <f>IF(Audit[[#This Row],[Max Relative Error (ep)]] = 0, 0, Audit[[#This Row],[Max Relative Error (ep)]]/Audit[[#This Row],[Error Bound (up) - Max. possible relative overstatement]])</f>
        <v>0</v>
      </c>
      <c r="BH10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96" s="17">
        <f t="shared" si="17"/>
        <v>1</v>
      </c>
      <c r="BJ1096" s="17">
        <f>PRODUCT($BI$5:BI1096)</f>
        <v>0.11694237141752337</v>
      </c>
      <c r="BK1096" s="19">
        <f>1 - Audit[[#This Row],[K-M P Value]]</f>
        <v>0.88305762858247661</v>
      </c>
      <c r="BL1096" s="17" t="str">
        <f>IF(Audit[[#This Row],[K-M P Value]]&gt;1-'General Info'!$B$12,"Continue", "Stop")</f>
        <v>Continue</v>
      </c>
      <c r="BM1096" s="22" t="b">
        <f>IF(Audit[[#This Row],[Status - Continue or stop audit]] = "Continue", TRUE, IF(BL1095 = "Continue", TRUE, FALSE))</f>
        <v>1</v>
      </c>
      <c r="BN1096" s="22"/>
    </row>
    <row r="1097" spans="1:66" ht="15" hidden="1" customHeight="1" x14ac:dyDescent="0.35">
      <c r="A1097" s="17" t="str">
        <f>'Sampling Data'!AI1097</f>
        <v/>
      </c>
      <c r="B1097" s="17" t="str">
        <f>'Sampling Data'!A1097</f>
        <v>8902 SYCAM B   (ED)</v>
      </c>
      <c r="C1097" s="17">
        <f>'Sampling Data'!B1097</f>
        <v>181</v>
      </c>
      <c r="D1097" s="17">
        <f>'Sampling Data'!C1097</f>
        <v>328</v>
      </c>
      <c r="E1097" s="18">
        <f>'Sampling Data'!D1097</f>
        <v>0</v>
      </c>
      <c r="F1097" s="18">
        <f>'Sampling Data'!E1097</f>
        <v>0</v>
      </c>
      <c r="G1097" s="18">
        <f>'Sampling Data'!F1097</f>
        <v>0</v>
      </c>
      <c r="H1097" s="18">
        <f>'Sampling Data'!G1097</f>
        <v>0</v>
      </c>
      <c r="I1097" s="18">
        <f>'Sampling Data'!H1097</f>
        <v>0</v>
      </c>
      <c r="J1097" s="18">
        <f>'Sampling Data'!I1097</f>
        <v>0</v>
      </c>
      <c r="K1097" s="18">
        <f>'Sampling Data'!J1097</f>
        <v>0</v>
      </c>
      <c r="L1097" s="18">
        <f>'Sampling Data'!K1097</f>
        <v>0</v>
      </c>
      <c r="M1097" s="18">
        <f>'Sampling Data'!L1097</f>
        <v>0</v>
      </c>
      <c r="N1097" s="18">
        <f>'Sampling Data'!M1097</f>
        <v>0</v>
      </c>
      <c r="O1097" s="17">
        <f>'Sampling Data'!N1097</f>
        <v>0</v>
      </c>
      <c r="P1097" s="17">
        <f>'Sampling Data'!O1097</f>
        <v>51</v>
      </c>
      <c r="Q1097" s="17">
        <f>'Sampling Data'!P1097</f>
        <v>560</v>
      </c>
      <c r="R1097" s="17">
        <f>'Sampling Data'!AJ1097</f>
        <v>0</v>
      </c>
      <c r="S1097" s="111"/>
      <c r="T1097" s="111"/>
      <c r="U1097" s="112"/>
      <c r="V1097" s="112"/>
      <c r="W1097" s="111"/>
      <c r="X1097" s="111"/>
      <c r="Y1097" s="111"/>
      <c r="Z1097" s="111"/>
      <c r="AA1097" s="14"/>
      <c r="AB1097" s="14"/>
      <c r="AC1097" s="14"/>
      <c r="AD1097" s="14"/>
      <c r="AE1097" s="113" t="str">
        <f>IF(NOT(ISBLANK(Audit[[#This Row],[Audit Winning Candidate]])), Audit[[#This Row],[Audit Winning Candidate]]-Audit[[#This Row],[Winning Candidate]], "")</f>
        <v/>
      </c>
      <c r="AF1097" s="17" t="str">
        <f>IF(NOT(ISBLANK(Audit[[#This Row],[Audit Losing Candidate]])), Audit[[#This Row],[Audit Losing Candidate]]-Audit[[#This Row],[Losing Candidate]], "")</f>
        <v/>
      </c>
      <c r="AG1097" s="17" t="str">
        <f>IF(NOT(ISBLANK(Audit[[#This Row],[Audit Candidate 3]])), Audit[[#This Row],[Audit Candidate 3]]-Audit[[#This Row],[Candidate 3]], "")</f>
        <v/>
      </c>
      <c r="AH1097" s="17" t="str">
        <f>IF(NOT(ISBLANK(Audit[[#This Row],[Audit Candidate 4]])),Audit[[#This Row],[Audit Candidate 4]]-Audit[[#This Row],[Candidate 4]], "")</f>
        <v/>
      </c>
      <c r="AI1097" s="17" t="str">
        <f>IF(NOT(ISBLANK(Audit[[#This Row],[Audit Candidate 5]])), Audit[[#This Row],[Audit Candidate 5]]-Audit[[#This Row],[Candidate 5]], "")</f>
        <v/>
      </c>
      <c r="AJ1097" s="17" t="str">
        <f>IF(NOT(ISBLANK(Audit[[#This Row],[Audit Candidate 6]])), Audit[[#This Row],[Audit Candidate 6]]-Audit[[#This Row],[Candidate 6]], "")</f>
        <v/>
      </c>
      <c r="AK1097" s="17" t="str">
        <f>IF(NOT(ISBLANK(Audit[[#This Row],[Audit Candidate 7]])), Audit[[#This Row],[Audit Candidate 7]]-Audit[[#This Row],[Candidate 7]], "")</f>
        <v/>
      </c>
      <c r="AL1097" s="17" t="str">
        <f>IF(NOT(ISBLANK(Audit[[#This Row],[Audit Candidate 8]])), Audit[[#This Row],[Audit Candidate 8]]-Audit[[#This Row],[Candidate 8]], "")</f>
        <v/>
      </c>
      <c r="AM1097" s="17" t="str">
        <f>IF(NOT(ISBLANK(Audit[[#This Row],[Audit Candidate 9]])), Audit[[#This Row],[Audit Candidate 9]]-Audit[[#This Row],[Candidate 9]], "")</f>
        <v/>
      </c>
      <c r="AN1097" s="17" t="str">
        <f>IF(NOT(ISBLANK(Audit[[#This Row],[Audit Candidate 10]])), Audit[[#This Row],[Audit Candidate 10]]-Audit[[#This Row],[Candidate 10]], "")</f>
        <v/>
      </c>
      <c r="AO1097" s="17" t="str">
        <f>IF(NOT(ISBLANK(Audit[[#This Row],[Audit Candidate 11]])), Audit[[#This Row],[Audit Candidate 11]]-Audit[[#This Row],[Candidate 11]], "")</f>
        <v/>
      </c>
      <c r="AP1097" s="17" t="str">
        <f>IF(NOT(ISBLANK(Audit[[#This Row],[Audit Candidate 12]])), Audit[[#This Row],[Audit Candidate 12]]-Audit[[#This Row],[Candidate 12]], "")</f>
        <v/>
      </c>
      <c r="AQ1097" s="17">
        <f>SUMIF(Audit[[#This Row],[Difference Winner]:[Difference Candidate 12]], "&gt;0")</f>
        <v>0</v>
      </c>
      <c r="AR1097" s="17">
        <f>SUM(Audit[[#This Row],[Difference Winner]:[Difference Candidate 12]])</f>
        <v>0</v>
      </c>
      <c r="AS1097" s="17">
        <f>IF(Audit[[#This Row],[Times p Drawn - With Replacement]]&gt;0, IF(Audit[[#This Row],[Canceled Differences]]&lt;0, Audit[[#This Row],[Max Differences]]+ABS(Audit[[#This Row],[Canceled Differences]]), Audit[[#This Row],[Max Differences]]), 0)</f>
        <v>0</v>
      </c>
      <c r="AT1097" s="17">
        <f>'Sampling Data'!AB1097</f>
        <v>1.7526735698523171E-2</v>
      </c>
      <c r="AU1097" s="17">
        <f>IF(
      SUM(Audit[[#This Row],[Audit Losing Candidate]:[Audit Candidate 12]])
      &lt;&gt;0,
      (Audit[[#This Row],[Winning Candidate]]-Audit[[#This Row],[Losing Candidate]]-(Audit[[#This Row],[Audit Winning Candidate]]-Audit[[#This Row],[Audit Losing Candidate]]))/(Audit[[#Totals],[Winning Candidate]]-Audit[[#Totals],[Losing Candidate]]),
      0
)</f>
        <v>0</v>
      </c>
      <c r="AV10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7" s="17">
        <f>IF(Audit[[#This Row],[Max Relative Error (ep)]] = 0, 0, Audit[[#This Row],[Max Relative Error (ep)]]/Audit[[#This Row],[Error Bound (up) - Max. possible relative overstatement]])</f>
        <v>0</v>
      </c>
      <c r="BH10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97" s="17">
        <f t="shared" si="17"/>
        <v>1</v>
      </c>
      <c r="BJ1097" s="17">
        <f>PRODUCT($BI$5:BI1097)</f>
        <v>0.11694237141752337</v>
      </c>
      <c r="BK1097" s="19">
        <f>1 - Audit[[#This Row],[K-M P Value]]</f>
        <v>0.88305762858247661</v>
      </c>
      <c r="BL1097" s="17" t="str">
        <f>IF(Audit[[#This Row],[K-M P Value]]&gt;1-'General Info'!$B$12,"Continue", "Stop")</f>
        <v>Continue</v>
      </c>
      <c r="BM1097" s="22" t="b">
        <f>IF(Audit[[#This Row],[Status - Continue or stop audit]] = "Continue", TRUE, IF(BL1096 = "Continue", TRUE, FALSE))</f>
        <v>1</v>
      </c>
      <c r="BN1097" s="22"/>
    </row>
    <row r="1098" spans="1:66" ht="15" customHeight="1" x14ac:dyDescent="0.35">
      <c r="A1098" s="17">
        <f>'Sampling Data'!AI1098</f>
        <v>39</v>
      </c>
      <c r="B1098" s="17" t="str">
        <f>'Sampling Data'!A1098</f>
        <v>8903 SYCAM C   (ED)</v>
      </c>
      <c r="C1098" s="17">
        <f>'Sampling Data'!B1098</f>
        <v>211</v>
      </c>
      <c r="D1098" s="17">
        <f>'Sampling Data'!C1098</f>
        <v>331</v>
      </c>
      <c r="E1098" s="18">
        <f>'Sampling Data'!D1098</f>
        <v>0</v>
      </c>
      <c r="F1098" s="18">
        <f>'Sampling Data'!E1098</f>
        <v>0</v>
      </c>
      <c r="G1098" s="18">
        <f>'Sampling Data'!F1098</f>
        <v>0</v>
      </c>
      <c r="H1098" s="18">
        <f>'Sampling Data'!G1098</f>
        <v>0</v>
      </c>
      <c r="I1098" s="18">
        <f>'Sampling Data'!H1098</f>
        <v>0</v>
      </c>
      <c r="J1098" s="18">
        <f>'Sampling Data'!I1098</f>
        <v>0</v>
      </c>
      <c r="K1098" s="18">
        <f>'Sampling Data'!J1098</f>
        <v>0</v>
      </c>
      <c r="L1098" s="18">
        <f>'Sampling Data'!K1098</f>
        <v>0</v>
      </c>
      <c r="M1098" s="18">
        <f>'Sampling Data'!L1098</f>
        <v>0</v>
      </c>
      <c r="N1098" s="18">
        <f>'Sampling Data'!M1098</f>
        <v>0</v>
      </c>
      <c r="O1098" s="17">
        <f>'Sampling Data'!N1098</f>
        <v>1</v>
      </c>
      <c r="P1098" s="17">
        <f>'Sampling Data'!O1098</f>
        <v>41</v>
      </c>
      <c r="Q1098" s="17">
        <f>'Sampling Data'!P1098</f>
        <v>584</v>
      </c>
      <c r="R1098" s="17">
        <f>'Sampling Data'!AJ1098</f>
        <v>1</v>
      </c>
      <c r="S1098" s="111">
        <v>211</v>
      </c>
      <c r="T1098" s="111">
        <v>332</v>
      </c>
      <c r="U1098" s="112"/>
      <c r="V1098" s="112"/>
      <c r="W1098" s="111"/>
      <c r="X1098" s="111"/>
      <c r="Y1098" s="111"/>
      <c r="Z1098" s="111"/>
      <c r="AA1098" s="14"/>
      <c r="AB1098" s="14"/>
      <c r="AC1098" s="14"/>
      <c r="AD1098" s="14"/>
      <c r="AE1098" s="113">
        <f>IF(NOT(ISBLANK(Audit[[#This Row],[Audit Winning Candidate]])), Audit[[#This Row],[Audit Winning Candidate]]-Audit[[#This Row],[Winning Candidate]], "")</f>
        <v>0</v>
      </c>
      <c r="AF1098" s="17">
        <f>IF(NOT(ISBLANK(Audit[[#This Row],[Audit Losing Candidate]])), Audit[[#This Row],[Audit Losing Candidate]]-Audit[[#This Row],[Losing Candidate]], "")</f>
        <v>1</v>
      </c>
      <c r="AG1098" s="17" t="str">
        <f>IF(NOT(ISBLANK(Audit[[#This Row],[Audit Candidate 3]])), Audit[[#This Row],[Audit Candidate 3]]-Audit[[#This Row],[Candidate 3]], "")</f>
        <v/>
      </c>
      <c r="AH1098" s="17" t="str">
        <f>IF(NOT(ISBLANK(Audit[[#This Row],[Audit Candidate 4]])),Audit[[#This Row],[Audit Candidate 4]]-Audit[[#This Row],[Candidate 4]], "")</f>
        <v/>
      </c>
      <c r="AI1098" s="17" t="str">
        <f>IF(NOT(ISBLANK(Audit[[#This Row],[Audit Candidate 5]])), Audit[[#This Row],[Audit Candidate 5]]-Audit[[#This Row],[Candidate 5]], "")</f>
        <v/>
      </c>
      <c r="AJ1098" s="17" t="str">
        <f>IF(NOT(ISBLANK(Audit[[#This Row],[Audit Candidate 6]])), Audit[[#This Row],[Audit Candidate 6]]-Audit[[#This Row],[Candidate 6]], "")</f>
        <v/>
      </c>
      <c r="AK1098" s="17" t="str">
        <f>IF(NOT(ISBLANK(Audit[[#This Row],[Audit Candidate 7]])), Audit[[#This Row],[Audit Candidate 7]]-Audit[[#This Row],[Candidate 7]], "")</f>
        <v/>
      </c>
      <c r="AL1098" s="17" t="str">
        <f>IF(NOT(ISBLANK(Audit[[#This Row],[Audit Candidate 8]])), Audit[[#This Row],[Audit Candidate 8]]-Audit[[#This Row],[Candidate 8]], "")</f>
        <v/>
      </c>
      <c r="AM1098" s="17" t="str">
        <f>IF(NOT(ISBLANK(Audit[[#This Row],[Audit Candidate 9]])), Audit[[#This Row],[Audit Candidate 9]]-Audit[[#This Row],[Candidate 9]], "")</f>
        <v/>
      </c>
      <c r="AN1098" s="17" t="str">
        <f>IF(NOT(ISBLANK(Audit[[#This Row],[Audit Candidate 10]])), Audit[[#This Row],[Audit Candidate 10]]-Audit[[#This Row],[Candidate 10]], "")</f>
        <v/>
      </c>
      <c r="AO1098" s="17" t="str">
        <f>IF(NOT(ISBLANK(Audit[[#This Row],[Audit Candidate 11]])), Audit[[#This Row],[Audit Candidate 11]]-Audit[[#This Row],[Candidate 11]], "")</f>
        <v/>
      </c>
      <c r="AP1098" s="17" t="str">
        <f>IF(NOT(ISBLANK(Audit[[#This Row],[Audit Candidate 12]])), Audit[[#This Row],[Audit Candidate 12]]-Audit[[#This Row],[Candidate 12]], "")</f>
        <v/>
      </c>
      <c r="AQ1098" s="17">
        <f>SUMIF(Audit[[#This Row],[Difference Winner]:[Difference Candidate 12]], "&gt;0")</f>
        <v>1</v>
      </c>
      <c r="AR1098" s="17">
        <f>SUM(Audit[[#This Row],[Difference Winner]:[Difference Candidate 12]])</f>
        <v>1</v>
      </c>
      <c r="AS1098" s="17">
        <f>IF(Audit[[#This Row],[Times p Drawn - With Replacement]]&gt;0, IF(Audit[[#This Row],[Canceled Differences]]&lt;0, Audit[[#This Row],[Max Differences]]+ABS(Audit[[#This Row],[Canceled Differences]]), Audit[[#This Row],[Max Differences]]), 0)</f>
        <v>1</v>
      </c>
      <c r="AT1098" s="17">
        <f>'Sampling Data'!AB1098</f>
        <v>1.9691054150398915E-2</v>
      </c>
      <c r="AU1098" s="17">
        <f>IF(
      SUM(Audit[[#This Row],[Audit Losing Candidate]:[Audit Candidate 12]])
      &lt;&gt;0,
      (Audit[[#This Row],[Winning Candidate]]-Audit[[#This Row],[Losing Candidate]]-(Audit[[#This Row],[Audit Winning Candidate]]-Audit[[#This Row],[Audit Losing Candidate]]))/(Audit[[#Totals],[Winning Candidate]]-Audit[[#Totals],[Losing Candidate]]),
      0
)</f>
        <v>4.2437616703445933E-5</v>
      </c>
      <c r="AV10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4.2437616703445933E-5</v>
      </c>
      <c r="BG1098" s="17">
        <f>IF(Audit[[#This Row],[Max Relative Error (ep)]] = 0, 0, Audit[[#This Row],[Max Relative Error (ep)]]/Audit[[#This Row],[Error Bound (up) - Max. possible relative overstatement]])</f>
        <v>2.1551724137931034E-3</v>
      </c>
      <c r="BH10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0.94850327122701372</v>
      </c>
      <c r="BI1098" s="17">
        <f t="shared" si="17"/>
        <v>0.94850327122701372</v>
      </c>
      <c r="BJ1098" s="17">
        <f>PRODUCT($BI$5:BI1098)</f>
        <v>0.11092022183456535</v>
      </c>
      <c r="BK1098" s="19">
        <f>1 - Audit[[#This Row],[K-M P Value]]</f>
        <v>0.88907977816543471</v>
      </c>
      <c r="BL1098" s="17" t="str">
        <f>IF(Audit[[#This Row],[K-M P Value]]&gt;1-'General Info'!$B$12,"Continue", "Stop")</f>
        <v>Continue</v>
      </c>
      <c r="BM1098" s="22" t="b">
        <f>IF(Audit[[#This Row],[Status - Continue or stop audit]] = "Continue", TRUE, IF(BL1097 = "Continue", TRUE, FALSE))</f>
        <v>1</v>
      </c>
      <c r="BN1098" s="22" t="s">
        <v>1344</v>
      </c>
    </row>
    <row r="1099" spans="1:66" ht="15" hidden="1" customHeight="1" x14ac:dyDescent="0.35">
      <c r="A1099" s="17" t="str">
        <f>'Sampling Data'!AI1099</f>
        <v/>
      </c>
      <c r="B1099" s="17" t="str">
        <f>'Sampling Data'!A1099</f>
        <v>8904 SYCAM D   (ED)</v>
      </c>
      <c r="C1099" s="17">
        <f>'Sampling Data'!B1099</f>
        <v>115</v>
      </c>
      <c r="D1099" s="17">
        <f>'Sampling Data'!C1099</f>
        <v>168</v>
      </c>
      <c r="E1099" s="18">
        <f>'Sampling Data'!D1099</f>
        <v>0</v>
      </c>
      <c r="F1099" s="18">
        <f>'Sampling Data'!E1099</f>
        <v>0</v>
      </c>
      <c r="G1099" s="18">
        <f>'Sampling Data'!F1099</f>
        <v>0</v>
      </c>
      <c r="H1099" s="18">
        <f>'Sampling Data'!G1099</f>
        <v>0</v>
      </c>
      <c r="I1099" s="18">
        <f>'Sampling Data'!H1099</f>
        <v>0</v>
      </c>
      <c r="J1099" s="18">
        <f>'Sampling Data'!I1099</f>
        <v>0</v>
      </c>
      <c r="K1099" s="18">
        <f>'Sampling Data'!J1099</f>
        <v>0</v>
      </c>
      <c r="L1099" s="18">
        <f>'Sampling Data'!K1099</f>
        <v>0</v>
      </c>
      <c r="M1099" s="18">
        <f>'Sampling Data'!L1099</f>
        <v>0</v>
      </c>
      <c r="N1099" s="18">
        <f>'Sampling Data'!M1099</f>
        <v>0</v>
      </c>
      <c r="O1099" s="17">
        <f>'Sampling Data'!N1099</f>
        <v>1</v>
      </c>
      <c r="P1099" s="17">
        <f>'Sampling Data'!O1099</f>
        <v>21</v>
      </c>
      <c r="Q1099" s="17">
        <f>'Sampling Data'!P1099</f>
        <v>305</v>
      </c>
      <c r="R1099" s="17">
        <f>'Sampling Data'!AJ1099</f>
        <v>0</v>
      </c>
      <c r="S1099" s="111"/>
      <c r="T1099" s="111"/>
      <c r="U1099" s="112"/>
      <c r="V1099" s="112"/>
      <c r="W1099" s="111"/>
      <c r="X1099" s="111"/>
      <c r="Y1099" s="111"/>
      <c r="Z1099" s="111"/>
      <c r="AA1099" s="14"/>
      <c r="AB1099" s="14"/>
      <c r="AC1099" s="14"/>
      <c r="AD1099" s="14"/>
      <c r="AE1099" s="113" t="str">
        <f>IF(NOT(ISBLANK(Audit[[#This Row],[Audit Winning Candidate]])), Audit[[#This Row],[Audit Winning Candidate]]-Audit[[#This Row],[Winning Candidate]], "")</f>
        <v/>
      </c>
      <c r="AF1099" s="17" t="str">
        <f>IF(NOT(ISBLANK(Audit[[#This Row],[Audit Losing Candidate]])), Audit[[#This Row],[Audit Losing Candidate]]-Audit[[#This Row],[Losing Candidate]], "")</f>
        <v/>
      </c>
      <c r="AG1099" s="17" t="str">
        <f>IF(NOT(ISBLANK(Audit[[#This Row],[Audit Candidate 3]])), Audit[[#This Row],[Audit Candidate 3]]-Audit[[#This Row],[Candidate 3]], "")</f>
        <v/>
      </c>
      <c r="AH1099" s="17" t="str">
        <f>IF(NOT(ISBLANK(Audit[[#This Row],[Audit Candidate 4]])),Audit[[#This Row],[Audit Candidate 4]]-Audit[[#This Row],[Candidate 4]], "")</f>
        <v/>
      </c>
      <c r="AI1099" s="17" t="str">
        <f>IF(NOT(ISBLANK(Audit[[#This Row],[Audit Candidate 5]])), Audit[[#This Row],[Audit Candidate 5]]-Audit[[#This Row],[Candidate 5]], "")</f>
        <v/>
      </c>
      <c r="AJ1099" s="17" t="str">
        <f>IF(NOT(ISBLANK(Audit[[#This Row],[Audit Candidate 6]])), Audit[[#This Row],[Audit Candidate 6]]-Audit[[#This Row],[Candidate 6]], "")</f>
        <v/>
      </c>
      <c r="AK1099" s="17" t="str">
        <f>IF(NOT(ISBLANK(Audit[[#This Row],[Audit Candidate 7]])), Audit[[#This Row],[Audit Candidate 7]]-Audit[[#This Row],[Candidate 7]], "")</f>
        <v/>
      </c>
      <c r="AL1099" s="17" t="str">
        <f>IF(NOT(ISBLANK(Audit[[#This Row],[Audit Candidate 8]])), Audit[[#This Row],[Audit Candidate 8]]-Audit[[#This Row],[Candidate 8]], "")</f>
        <v/>
      </c>
      <c r="AM1099" s="17" t="str">
        <f>IF(NOT(ISBLANK(Audit[[#This Row],[Audit Candidate 9]])), Audit[[#This Row],[Audit Candidate 9]]-Audit[[#This Row],[Candidate 9]], "")</f>
        <v/>
      </c>
      <c r="AN1099" s="17" t="str">
        <f>IF(NOT(ISBLANK(Audit[[#This Row],[Audit Candidate 10]])), Audit[[#This Row],[Audit Candidate 10]]-Audit[[#This Row],[Candidate 10]], "")</f>
        <v/>
      </c>
      <c r="AO1099" s="17" t="str">
        <f>IF(NOT(ISBLANK(Audit[[#This Row],[Audit Candidate 11]])), Audit[[#This Row],[Audit Candidate 11]]-Audit[[#This Row],[Candidate 11]], "")</f>
        <v/>
      </c>
      <c r="AP1099" s="17" t="str">
        <f>IF(NOT(ISBLANK(Audit[[#This Row],[Audit Candidate 12]])), Audit[[#This Row],[Audit Candidate 12]]-Audit[[#This Row],[Candidate 12]], "")</f>
        <v/>
      </c>
      <c r="AQ1099" s="17">
        <f>SUMIF(Audit[[#This Row],[Difference Winner]:[Difference Candidate 12]], "&gt;0")</f>
        <v>0</v>
      </c>
      <c r="AR1099" s="17">
        <f>SUM(Audit[[#This Row],[Difference Winner]:[Difference Candidate 12]])</f>
        <v>0</v>
      </c>
      <c r="AS1099" s="17">
        <f>IF(Audit[[#This Row],[Times p Drawn - With Replacement]]&gt;0, IF(Audit[[#This Row],[Canceled Differences]]&lt;0, Audit[[#This Row],[Max Differences]]+ABS(Audit[[#This Row],[Canceled Differences]]), Audit[[#This Row],[Max Differences]]), 0)</f>
        <v>0</v>
      </c>
      <c r="AT1099" s="17">
        <f>'Sampling Data'!AB1099</f>
        <v>1.0694279409268375E-2</v>
      </c>
      <c r="AU1099" s="17">
        <f>IF(
      SUM(Audit[[#This Row],[Audit Losing Candidate]:[Audit Candidate 12]])
      &lt;&gt;0,
      (Audit[[#This Row],[Winning Candidate]]-Audit[[#This Row],[Losing Candidate]]-(Audit[[#This Row],[Audit Winning Candidate]]-Audit[[#This Row],[Audit Losing Candidate]]))/(Audit[[#Totals],[Winning Candidate]]-Audit[[#Totals],[Losing Candidate]]),
      0
)</f>
        <v>0</v>
      </c>
      <c r="AV10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9" s="17">
        <f>IF(Audit[[#This Row],[Max Relative Error (ep)]] = 0, 0, Audit[[#This Row],[Max Relative Error (ep)]]/Audit[[#This Row],[Error Bound (up) - Max. possible relative overstatement]])</f>
        <v>0</v>
      </c>
      <c r="BH10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099" s="17">
        <f t="shared" si="17"/>
        <v>1</v>
      </c>
      <c r="BJ1099" s="17">
        <f>PRODUCT($BI$5:BI1099)</f>
        <v>0.11092022183456535</v>
      </c>
      <c r="BK1099" s="19">
        <f>1 - Audit[[#This Row],[K-M P Value]]</f>
        <v>0.88907977816543471</v>
      </c>
      <c r="BL1099" s="17" t="str">
        <f>IF(Audit[[#This Row],[K-M P Value]]&gt;1-'General Info'!$B$12,"Continue", "Stop")</f>
        <v>Continue</v>
      </c>
      <c r="BM1099" s="22" t="b">
        <f>IF(Audit[[#This Row],[Status - Continue or stop audit]] = "Continue", TRUE, IF(BL1098 = "Continue", TRUE, FALSE))</f>
        <v>1</v>
      </c>
      <c r="BN1099" s="22"/>
    </row>
    <row r="1100" spans="1:66" ht="15" hidden="1" customHeight="1" x14ac:dyDescent="0.35">
      <c r="A1100" s="17" t="str">
        <f>'Sampling Data'!AI1100</f>
        <v/>
      </c>
      <c r="B1100" s="17" t="str">
        <f>'Sampling Data'!A1100</f>
        <v>8905 SYCAM E   (ED)</v>
      </c>
      <c r="C1100" s="17">
        <f>'Sampling Data'!B1100</f>
        <v>164</v>
      </c>
      <c r="D1100" s="17">
        <f>'Sampling Data'!C1100</f>
        <v>291</v>
      </c>
      <c r="E1100" s="18">
        <f>'Sampling Data'!D1100</f>
        <v>0</v>
      </c>
      <c r="F1100" s="18">
        <f>'Sampling Data'!E1100</f>
        <v>0</v>
      </c>
      <c r="G1100" s="18">
        <f>'Sampling Data'!F1100</f>
        <v>0</v>
      </c>
      <c r="H1100" s="18">
        <f>'Sampling Data'!G1100</f>
        <v>0</v>
      </c>
      <c r="I1100" s="18">
        <f>'Sampling Data'!H1100</f>
        <v>0</v>
      </c>
      <c r="J1100" s="18">
        <f>'Sampling Data'!I1100</f>
        <v>0</v>
      </c>
      <c r="K1100" s="18">
        <f>'Sampling Data'!J1100</f>
        <v>0</v>
      </c>
      <c r="L1100" s="18">
        <f>'Sampling Data'!K1100</f>
        <v>0</v>
      </c>
      <c r="M1100" s="18">
        <f>'Sampling Data'!L1100</f>
        <v>0</v>
      </c>
      <c r="N1100" s="18">
        <f>'Sampling Data'!M1100</f>
        <v>0</v>
      </c>
      <c r="O1100" s="17">
        <f>'Sampling Data'!N1100</f>
        <v>2</v>
      </c>
      <c r="P1100" s="17">
        <f>'Sampling Data'!O1100</f>
        <v>35</v>
      </c>
      <c r="Q1100" s="17">
        <f>'Sampling Data'!P1100</f>
        <v>492</v>
      </c>
      <c r="R1100" s="17">
        <f>'Sampling Data'!AJ1100</f>
        <v>0</v>
      </c>
      <c r="S1100" s="111"/>
      <c r="T1100" s="111"/>
      <c r="U1100" s="112"/>
      <c r="V1100" s="112"/>
      <c r="W1100" s="111"/>
      <c r="X1100" s="111"/>
      <c r="Y1100" s="111"/>
      <c r="Z1100" s="111"/>
      <c r="AA1100" s="14"/>
      <c r="AB1100" s="14"/>
      <c r="AC1100" s="14"/>
      <c r="AD1100" s="14"/>
      <c r="AE1100" s="113" t="str">
        <f>IF(NOT(ISBLANK(Audit[[#This Row],[Audit Winning Candidate]])), Audit[[#This Row],[Audit Winning Candidate]]-Audit[[#This Row],[Winning Candidate]], "")</f>
        <v/>
      </c>
      <c r="AF1100" s="17" t="str">
        <f>IF(NOT(ISBLANK(Audit[[#This Row],[Audit Losing Candidate]])), Audit[[#This Row],[Audit Losing Candidate]]-Audit[[#This Row],[Losing Candidate]], "")</f>
        <v/>
      </c>
      <c r="AG1100" s="17" t="str">
        <f>IF(NOT(ISBLANK(Audit[[#This Row],[Audit Candidate 3]])), Audit[[#This Row],[Audit Candidate 3]]-Audit[[#This Row],[Candidate 3]], "")</f>
        <v/>
      </c>
      <c r="AH1100" s="17" t="str">
        <f>IF(NOT(ISBLANK(Audit[[#This Row],[Audit Candidate 4]])),Audit[[#This Row],[Audit Candidate 4]]-Audit[[#This Row],[Candidate 4]], "")</f>
        <v/>
      </c>
      <c r="AI1100" s="17" t="str">
        <f>IF(NOT(ISBLANK(Audit[[#This Row],[Audit Candidate 5]])), Audit[[#This Row],[Audit Candidate 5]]-Audit[[#This Row],[Candidate 5]], "")</f>
        <v/>
      </c>
      <c r="AJ1100" s="17" t="str">
        <f>IF(NOT(ISBLANK(Audit[[#This Row],[Audit Candidate 6]])), Audit[[#This Row],[Audit Candidate 6]]-Audit[[#This Row],[Candidate 6]], "")</f>
        <v/>
      </c>
      <c r="AK1100" s="17" t="str">
        <f>IF(NOT(ISBLANK(Audit[[#This Row],[Audit Candidate 7]])), Audit[[#This Row],[Audit Candidate 7]]-Audit[[#This Row],[Candidate 7]], "")</f>
        <v/>
      </c>
      <c r="AL1100" s="17" t="str">
        <f>IF(NOT(ISBLANK(Audit[[#This Row],[Audit Candidate 8]])), Audit[[#This Row],[Audit Candidate 8]]-Audit[[#This Row],[Candidate 8]], "")</f>
        <v/>
      </c>
      <c r="AM1100" s="17" t="str">
        <f>IF(NOT(ISBLANK(Audit[[#This Row],[Audit Candidate 9]])), Audit[[#This Row],[Audit Candidate 9]]-Audit[[#This Row],[Candidate 9]], "")</f>
        <v/>
      </c>
      <c r="AN1100" s="17" t="str">
        <f>IF(NOT(ISBLANK(Audit[[#This Row],[Audit Candidate 10]])), Audit[[#This Row],[Audit Candidate 10]]-Audit[[#This Row],[Candidate 10]], "")</f>
        <v/>
      </c>
      <c r="AO1100" s="17" t="str">
        <f>IF(NOT(ISBLANK(Audit[[#This Row],[Audit Candidate 11]])), Audit[[#This Row],[Audit Candidate 11]]-Audit[[#This Row],[Candidate 11]], "")</f>
        <v/>
      </c>
      <c r="AP1100" s="17" t="str">
        <f>IF(NOT(ISBLANK(Audit[[#This Row],[Audit Candidate 12]])), Audit[[#This Row],[Audit Candidate 12]]-Audit[[#This Row],[Candidate 12]], "")</f>
        <v/>
      </c>
      <c r="AQ1100" s="17">
        <f>SUMIF(Audit[[#This Row],[Difference Winner]:[Difference Candidate 12]], "&gt;0")</f>
        <v>0</v>
      </c>
      <c r="AR1100" s="17">
        <f>SUM(Audit[[#This Row],[Difference Winner]:[Difference Candidate 12]])</f>
        <v>0</v>
      </c>
      <c r="AS1100" s="17">
        <f>IF(Audit[[#This Row],[Times p Drawn - With Replacement]]&gt;0, IF(Audit[[#This Row],[Canceled Differences]]&lt;0, Audit[[#This Row],[Max Differences]]+ABS(Audit[[#This Row],[Canceled Differences]]), Audit[[#This Row],[Max Differences]]), 0)</f>
        <v>0</v>
      </c>
      <c r="AT1100" s="17">
        <f>'Sampling Data'!AB1100</f>
        <v>1.5489730096757767E-2</v>
      </c>
      <c r="AU1100" s="17">
        <f>IF(
      SUM(Audit[[#This Row],[Audit Losing Candidate]:[Audit Candidate 12]])
      &lt;&gt;0,
      (Audit[[#This Row],[Winning Candidate]]-Audit[[#This Row],[Losing Candidate]]-(Audit[[#This Row],[Audit Winning Candidate]]-Audit[[#This Row],[Audit Losing Candidate]]))/(Audit[[#Totals],[Winning Candidate]]-Audit[[#Totals],[Losing Candidate]]),
      0
)</f>
        <v>0</v>
      </c>
      <c r="AV11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0" s="17">
        <f>IF(Audit[[#This Row],[Max Relative Error (ep)]] = 0, 0, Audit[[#This Row],[Max Relative Error (ep)]]/Audit[[#This Row],[Error Bound (up) - Max. possible relative overstatement]])</f>
        <v>0</v>
      </c>
      <c r="BH11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00" s="17">
        <f t="shared" si="17"/>
        <v>1</v>
      </c>
      <c r="BJ1100" s="17">
        <f>PRODUCT($BI$5:BI1100)</f>
        <v>0.11092022183456535</v>
      </c>
      <c r="BK1100" s="19">
        <f>1 - Audit[[#This Row],[K-M P Value]]</f>
        <v>0.88907977816543471</v>
      </c>
      <c r="BL1100" s="17" t="str">
        <f>IF(Audit[[#This Row],[K-M P Value]]&gt;1-'General Info'!$B$12,"Continue", "Stop")</f>
        <v>Continue</v>
      </c>
      <c r="BM1100" s="22" t="b">
        <f>IF(Audit[[#This Row],[Status - Continue or stop audit]] = "Continue", TRUE, IF(BL1099 = "Continue", TRUE, FALSE))</f>
        <v>1</v>
      </c>
      <c r="BN1100" s="22"/>
    </row>
    <row r="1101" spans="1:66" ht="15" hidden="1" customHeight="1" x14ac:dyDescent="0.35">
      <c r="A1101" s="17" t="str">
        <f>'Sampling Data'!AI1101</f>
        <v/>
      </c>
      <c r="B1101" s="17" t="str">
        <f>'Sampling Data'!A1101</f>
        <v>8906 SYCAM F   (ED)</v>
      </c>
      <c r="C1101" s="17">
        <f>'Sampling Data'!B1101</f>
        <v>128</v>
      </c>
      <c r="D1101" s="17">
        <f>'Sampling Data'!C1101</f>
        <v>217</v>
      </c>
      <c r="E1101" s="18">
        <f>'Sampling Data'!D1101</f>
        <v>0</v>
      </c>
      <c r="F1101" s="18">
        <f>'Sampling Data'!E1101</f>
        <v>0</v>
      </c>
      <c r="G1101" s="18">
        <f>'Sampling Data'!F1101</f>
        <v>0</v>
      </c>
      <c r="H1101" s="18">
        <f>'Sampling Data'!G1101</f>
        <v>0</v>
      </c>
      <c r="I1101" s="18">
        <f>'Sampling Data'!H1101</f>
        <v>0</v>
      </c>
      <c r="J1101" s="18">
        <f>'Sampling Data'!I1101</f>
        <v>0</v>
      </c>
      <c r="K1101" s="18">
        <f>'Sampling Data'!J1101</f>
        <v>0</v>
      </c>
      <c r="L1101" s="18">
        <f>'Sampling Data'!K1101</f>
        <v>0</v>
      </c>
      <c r="M1101" s="18">
        <f>'Sampling Data'!L1101</f>
        <v>0</v>
      </c>
      <c r="N1101" s="18">
        <f>'Sampling Data'!M1101</f>
        <v>0</v>
      </c>
      <c r="O1101" s="17">
        <f>'Sampling Data'!N1101</f>
        <v>0</v>
      </c>
      <c r="P1101" s="17">
        <f>'Sampling Data'!O1101</f>
        <v>17</v>
      </c>
      <c r="Q1101" s="17">
        <f>'Sampling Data'!P1101</f>
        <v>362</v>
      </c>
      <c r="R1101" s="17">
        <f>'Sampling Data'!AJ1101</f>
        <v>0</v>
      </c>
      <c r="S1101" s="111"/>
      <c r="T1101" s="111"/>
      <c r="U1101" s="112"/>
      <c r="V1101" s="112"/>
      <c r="W1101" s="111"/>
      <c r="X1101" s="111"/>
      <c r="Y1101" s="111"/>
      <c r="Z1101" s="111"/>
      <c r="AA1101" s="14"/>
      <c r="AB1101" s="14"/>
      <c r="AC1101" s="14"/>
      <c r="AD1101" s="14"/>
      <c r="AE1101" s="113" t="str">
        <f>IF(NOT(ISBLANK(Audit[[#This Row],[Audit Winning Candidate]])), Audit[[#This Row],[Audit Winning Candidate]]-Audit[[#This Row],[Winning Candidate]], "")</f>
        <v/>
      </c>
      <c r="AF1101" s="17" t="str">
        <f>IF(NOT(ISBLANK(Audit[[#This Row],[Audit Losing Candidate]])), Audit[[#This Row],[Audit Losing Candidate]]-Audit[[#This Row],[Losing Candidate]], "")</f>
        <v/>
      </c>
      <c r="AG1101" s="17" t="str">
        <f>IF(NOT(ISBLANK(Audit[[#This Row],[Audit Candidate 3]])), Audit[[#This Row],[Audit Candidate 3]]-Audit[[#This Row],[Candidate 3]], "")</f>
        <v/>
      </c>
      <c r="AH1101" s="17" t="str">
        <f>IF(NOT(ISBLANK(Audit[[#This Row],[Audit Candidate 4]])),Audit[[#This Row],[Audit Candidate 4]]-Audit[[#This Row],[Candidate 4]], "")</f>
        <v/>
      </c>
      <c r="AI1101" s="17" t="str">
        <f>IF(NOT(ISBLANK(Audit[[#This Row],[Audit Candidate 5]])), Audit[[#This Row],[Audit Candidate 5]]-Audit[[#This Row],[Candidate 5]], "")</f>
        <v/>
      </c>
      <c r="AJ1101" s="17" t="str">
        <f>IF(NOT(ISBLANK(Audit[[#This Row],[Audit Candidate 6]])), Audit[[#This Row],[Audit Candidate 6]]-Audit[[#This Row],[Candidate 6]], "")</f>
        <v/>
      </c>
      <c r="AK1101" s="17" t="str">
        <f>IF(NOT(ISBLANK(Audit[[#This Row],[Audit Candidate 7]])), Audit[[#This Row],[Audit Candidate 7]]-Audit[[#This Row],[Candidate 7]], "")</f>
        <v/>
      </c>
      <c r="AL1101" s="17" t="str">
        <f>IF(NOT(ISBLANK(Audit[[#This Row],[Audit Candidate 8]])), Audit[[#This Row],[Audit Candidate 8]]-Audit[[#This Row],[Candidate 8]], "")</f>
        <v/>
      </c>
      <c r="AM1101" s="17" t="str">
        <f>IF(NOT(ISBLANK(Audit[[#This Row],[Audit Candidate 9]])), Audit[[#This Row],[Audit Candidate 9]]-Audit[[#This Row],[Candidate 9]], "")</f>
        <v/>
      </c>
      <c r="AN1101" s="17" t="str">
        <f>IF(NOT(ISBLANK(Audit[[#This Row],[Audit Candidate 10]])), Audit[[#This Row],[Audit Candidate 10]]-Audit[[#This Row],[Candidate 10]], "")</f>
        <v/>
      </c>
      <c r="AO1101" s="17" t="str">
        <f>IF(NOT(ISBLANK(Audit[[#This Row],[Audit Candidate 11]])), Audit[[#This Row],[Audit Candidate 11]]-Audit[[#This Row],[Candidate 11]], "")</f>
        <v/>
      </c>
      <c r="AP1101" s="17" t="str">
        <f>IF(NOT(ISBLANK(Audit[[#This Row],[Audit Candidate 12]])), Audit[[#This Row],[Audit Candidate 12]]-Audit[[#This Row],[Candidate 12]], "")</f>
        <v/>
      </c>
      <c r="AQ1101" s="17">
        <f>SUMIF(Audit[[#This Row],[Difference Winner]:[Difference Candidate 12]], "&gt;0")</f>
        <v>0</v>
      </c>
      <c r="AR1101" s="17">
        <f>SUM(Audit[[#This Row],[Difference Winner]:[Difference Candidate 12]])</f>
        <v>0</v>
      </c>
      <c r="AS1101" s="17">
        <f>IF(Audit[[#This Row],[Times p Drawn - With Replacement]]&gt;0, IF(Audit[[#This Row],[Canceled Differences]]&lt;0, Audit[[#This Row],[Max Differences]]+ABS(Audit[[#This Row],[Canceled Differences]]), Audit[[#This Row],[Max Differences]]), 0)</f>
        <v>0</v>
      </c>
      <c r="AT1101" s="17">
        <f>'Sampling Data'!AB1101</f>
        <v>1.158546936004074E-2</v>
      </c>
      <c r="AU1101" s="17">
        <f>IF(
      SUM(Audit[[#This Row],[Audit Losing Candidate]:[Audit Candidate 12]])
      &lt;&gt;0,
      (Audit[[#This Row],[Winning Candidate]]-Audit[[#This Row],[Losing Candidate]]-(Audit[[#This Row],[Audit Winning Candidate]]-Audit[[#This Row],[Audit Losing Candidate]]))/(Audit[[#Totals],[Winning Candidate]]-Audit[[#Totals],[Losing Candidate]]),
      0
)</f>
        <v>0</v>
      </c>
      <c r="AV11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1" s="17">
        <f>IF(Audit[[#This Row],[Max Relative Error (ep)]] = 0, 0, Audit[[#This Row],[Max Relative Error (ep)]]/Audit[[#This Row],[Error Bound (up) - Max. possible relative overstatement]])</f>
        <v>0</v>
      </c>
      <c r="BH11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01" s="17">
        <f t="shared" si="17"/>
        <v>1</v>
      </c>
      <c r="BJ1101" s="17">
        <f>PRODUCT($BI$5:BI1101)</f>
        <v>0.11092022183456535</v>
      </c>
      <c r="BK1101" s="19">
        <f>1 - Audit[[#This Row],[K-M P Value]]</f>
        <v>0.88907977816543471</v>
      </c>
      <c r="BL1101" s="17" t="str">
        <f>IF(Audit[[#This Row],[K-M P Value]]&gt;1-'General Info'!$B$12,"Continue", "Stop")</f>
        <v>Continue</v>
      </c>
      <c r="BM1101" s="22" t="b">
        <f>IF(Audit[[#This Row],[Status - Continue or stop audit]] = "Continue", TRUE, IF(BL1100 = "Continue", TRUE, FALSE))</f>
        <v>1</v>
      </c>
      <c r="BN1101" s="22"/>
    </row>
    <row r="1102" spans="1:66" ht="15" hidden="1" customHeight="1" x14ac:dyDescent="0.35">
      <c r="A1102" s="17" t="str">
        <f>'Sampling Data'!AI1102</f>
        <v/>
      </c>
      <c r="B1102" s="17" t="str">
        <f>'Sampling Data'!A1102</f>
        <v>8907 SYCAM G   (ED)</v>
      </c>
      <c r="C1102" s="17">
        <f>'Sampling Data'!B1102</f>
        <v>134</v>
      </c>
      <c r="D1102" s="17">
        <f>'Sampling Data'!C1102</f>
        <v>247</v>
      </c>
      <c r="E1102" s="18">
        <f>'Sampling Data'!D1102</f>
        <v>0</v>
      </c>
      <c r="F1102" s="18">
        <f>'Sampling Data'!E1102</f>
        <v>0</v>
      </c>
      <c r="G1102" s="18">
        <f>'Sampling Data'!F1102</f>
        <v>0</v>
      </c>
      <c r="H1102" s="18">
        <f>'Sampling Data'!G1102</f>
        <v>0</v>
      </c>
      <c r="I1102" s="18">
        <f>'Sampling Data'!H1102</f>
        <v>0</v>
      </c>
      <c r="J1102" s="18">
        <f>'Sampling Data'!I1102</f>
        <v>0</v>
      </c>
      <c r="K1102" s="18">
        <f>'Sampling Data'!J1102</f>
        <v>0</v>
      </c>
      <c r="L1102" s="18">
        <f>'Sampling Data'!K1102</f>
        <v>0</v>
      </c>
      <c r="M1102" s="18">
        <f>'Sampling Data'!L1102</f>
        <v>0</v>
      </c>
      <c r="N1102" s="18">
        <f>'Sampling Data'!M1102</f>
        <v>0</v>
      </c>
      <c r="O1102" s="17">
        <f>'Sampling Data'!N1102</f>
        <v>1</v>
      </c>
      <c r="P1102" s="17">
        <f>'Sampling Data'!O1102</f>
        <v>32</v>
      </c>
      <c r="Q1102" s="17">
        <f>'Sampling Data'!P1102</f>
        <v>414</v>
      </c>
      <c r="R1102" s="17">
        <f>'Sampling Data'!AJ1102</f>
        <v>0</v>
      </c>
      <c r="S1102" s="111"/>
      <c r="T1102" s="111"/>
      <c r="U1102" s="112"/>
      <c r="V1102" s="112"/>
      <c r="W1102" s="111"/>
      <c r="X1102" s="111"/>
      <c r="Y1102" s="111"/>
      <c r="Z1102" s="111"/>
      <c r="AA1102" s="14"/>
      <c r="AB1102" s="14"/>
      <c r="AC1102" s="14"/>
      <c r="AD1102" s="14"/>
      <c r="AE1102" s="113" t="str">
        <f>IF(NOT(ISBLANK(Audit[[#This Row],[Audit Winning Candidate]])), Audit[[#This Row],[Audit Winning Candidate]]-Audit[[#This Row],[Winning Candidate]], "")</f>
        <v/>
      </c>
      <c r="AF1102" s="17" t="str">
        <f>IF(NOT(ISBLANK(Audit[[#This Row],[Audit Losing Candidate]])), Audit[[#This Row],[Audit Losing Candidate]]-Audit[[#This Row],[Losing Candidate]], "")</f>
        <v/>
      </c>
      <c r="AG1102" s="17" t="str">
        <f>IF(NOT(ISBLANK(Audit[[#This Row],[Audit Candidate 3]])), Audit[[#This Row],[Audit Candidate 3]]-Audit[[#This Row],[Candidate 3]], "")</f>
        <v/>
      </c>
      <c r="AH1102" s="17" t="str">
        <f>IF(NOT(ISBLANK(Audit[[#This Row],[Audit Candidate 4]])),Audit[[#This Row],[Audit Candidate 4]]-Audit[[#This Row],[Candidate 4]], "")</f>
        <v/>
      </c>
      <c r="AI1102" s="17" t="str">
        <f>IF(NOT(ISBLANK(Audit[[#This Row],[Audit Candidate 5]])), Audit[[#This Row],[Audit Candidate 5]]-Audit[[#This Row],[Candidate 5]], "")</f>
        <v/>
      </c>
      <c r="AJ1102" s="17" t="str">
        <f>IF(NOT(ISBLANK(Audit[[#This Row],[Audit Candidate 6]])), Audit[[#This Row],[Audit Candidate 6]]-Audit[[#This Row],[Candidate 6]], "")</f>
        <v/>
      </c>
      <c r="AK1102" s="17" t="str">
        <f>IF(NOT(ISBLANK(Audit[[#This Row],[Audit Candidate 7]])), Audit[[#This Row],[Audit Candidate 7]]-Audit[[#This Row],[Candidate 7]], "")</f>
        <v/>
      </c>
      <c r="AL1102" s="17" t="str">
        <f>IF(NOT(ISBLANK(Audit[[#This Row],[Audit Candidate 8]])), Audit[[#This Row],[Audit Candidate 8]]-Audit[[#This Row],[Candidate 8]], "")</f>
        <v/>
      </c>
      <c r="AM1102" s="17" t="str">
        <f>IF(NOT(ISBLANK(Audit[[#This Row],[Audit Candidate 9]])), Audit[[#This Row],[Audit Candidate 9]]-Audit[[#This Row],[Candidate 9]], "")</f>
        <v/>
      </c>
      <c r="AN1102" s="17" t="str">
        <f>IF(NOT(ISBLANK(Audit[[#This Row],[Audit Candidate 10]])), Audit[[#This Row],[Audit Candidate 10]]-Audit[[#This Row],[Candidate 10]], "")</f>
        <v/>
      </c>
      <c r="AO1102" s="17" t="str">
        <f>IF(NOT(ISBLANK(Audit[[#This Row],[Audit Candidate 11]])), Audit[[#This Row],[Audit Candidate 11]]-Audit[[#This Row],[Candidate 11]], "")</f>
        <v/>
      </c>
      <c r="AP1102" s="17" t="str">
        <f>IF(NOT(ISBLANK(Audit[[#This Row],[Audit Candidate 12]])), Audit[[#This Row],[Audit Candidate 12]]-Audit[[#This Row],[Candidate 12]], "")</f>
        <v/>
      </c>
      <c r="AQ1102" s="17">
        <f>SUMIF(Audit[[#This Row],[Difference Winner]:[Difference Candidate 12]], "&gt;0")</f>
        <v>0</v>
      </c>
      <c r="AR1102" s="17">
        <f>SUM(Audit[[#This Row],[Difference Winner]:[Difference Candidate 12]])</f>
        <v>0</v>
      </c>
      <c r="AS1102" s="17">
        <f>IF(Audit[[#This Row],[Times p Drawn - With Replacement]]&gt;0, IF(Audit[[#This Row],[Canceled Differences]]&lt;0, Audit[[#This Row],[Max Differences]]+ABS(Audit[[#This Row],[Canceled Differences]]), Audit[[#This Row],[Max Differences]]), 0)</f>
        <v>0</v>
      </c>
      <c r="AT1102" s="17">
        <f>'Sampling Data'!AB1102</f>
        <v>1.2773722627737226E-2</v>
      </c>
      <c r="AU1102" s="17">
        <f>IF(
      SUM(Audit[[#This Row],[Audit Losing Candidate]:[Audit Candidate 12]])
      &lt;&gt;0,
      (Audit[[#This Row],[Winning Candidate]]-Audit[[#This Row],[Losing Candidate]]-(Audit[[#This Row],[Audit Winning Candidate]]-Audit[[#This Row],[Audit Losing Candidate]]))/(Audit[[#Totals],[Winning Candidate]]-Audit[[#Totals],[Losing Candidate]]),
      0
)</f>
        <v>0</v>
      </c>
      <c r="AV11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2" s="17">
        <f>IF(Audit[[#This Row],[Max Relative Error (ep)]] = 0, 0, Audit[[#This Row],[Max Relative Error (ep)]]/Audit[[#This Row],[Error Bound (up) - Max. possible relative overstatement]])</f>
        <v>0</v>
      </c>
      <c r="BH11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02" s="17">
        <f t="shared" si="17"/>
        <v>1</v>
      </c>
      <c r="BJ1102" s="17">
        <f>PRODUCT($BI$5:BI1102)</f>
        <v>0.11092022183456535</v>
      </c>
      <c r="BK1102" s="19">
        <f>1 - Audit[[#This Row],[K-M P Value]]</f>
        <v>0.88907977816543471</v>
      </c>
      <c r="BL1102" s="17" t="str">
        <f>IF(Audit[[#This Row],[K-M P Value]]&gt;1-'General Info'!$B$12,"Continue", "Stop")</f>
        <v>Continue</v>
      </c>
      <c r="BM1102" s="22" t="b">
        <f>IF(Audit[[#This Row],[Status - Continue or stop audit]] = "Continue", TRUE, IF(BL1101 = "Continue", TRUE, FALSE))</f>
        <v>1</v>
      </c>
      <c r="BN1102" s="22"/>
    </row>
    <row r="1103" spans="1:66" ht="15" hidden="1" customHeight="1" x14ac:dyDescent="0.35">
      <c r="A1103" s="17" t="str">
        <f>'Sampling Data'!AI1103</f>
        <v/>
      </c>
      <c r="B1103" s="17" t="str">
        <f>'Sampling Data'!A1103</f>
        <v>8908 SYCAM H   (ED)</v>
      </c>
      <c r="C1103" s="17">
        <f>'Sampling Data'!B1103</f>
        <v>173</v>
      </c>
      <c r="D1103" s="17">
        <f>'Sampling Data'!C1103</f>
        <v>202</v>
      </c>
      <c r="E1103" s="18">
        <f>'Sampling Data'!D1103</f>
        <v>0</v>
      </c>
      <c r="F1103" s="18">
        <f>'Sampling Data'!E1103</f>
        <v>0</v>
      </c>
      <c r="G1103" s="18">
        <f>'Sampling Data'!F1103</f>
        <v>0</v>
      </c>
      <c r="H1103" s="18">
        <f>'Sampling Data'!G1103</f>
        <v>0</v>
      </c>
      <c r="I1103" s="18">
        <f>'Sampling Data'!H1103</f>
        <v>0</v>
      </c>
      <c r="J1103" s="18">
        <f>'Sampling Data'!I1103</f>
        <v>0</v>
      </c>
      <c r="K1103" s="18">
        <f>'Sampling Data'!J1103</f>
        <v>0</v>
      </c>
      <c r="L1103" s="18">
        <f>'Sampling Data'!K1103</f>
        <v>0</v>
      </c>
      <c r="M1103" s="18">
        <f>'Sampling Data'!L1103</f>
        <v>0</v>
      </c>
      <c r="N1103" s="18">
        <f>'Sampling Data'!M1103</f>
        <v>0</v>
      </c>
      <c r="O1103" s="17">
        <f>'Sampling Data'!N1103</f>
        <v>0</v>
      </c>
      <c r="P1103" s="17">
        <f>'Sampling Data'!O1103</f>
        <v>21</v>
      </c>
      <c r="Q1103" s="17">
        <f>'Sampling Data'!P1103</f>
        <v>396</v>
      </c>
      <c r="R1103" s="17">
        <f>'Sampling Data'!AJ1103</f>
        <v>0</v>
      </c>
      <c r="S1103" s="111"/>
      <c r="T1103" s="111"/>
      <c r="U1103" s="112"/>
      <c r="V1103" s="112"/>
      <c r="W1103" s="111"/>
      <c r="X1103" s="111"/>
      <c r="Y1103" s="111"/>
      <c r="Z1103" s="111"/>
      <c r="AA1103" s="14"/>
      <c r="AB1103" s="14"/>
      <c r="AC1103" s="14"/>
      <c r="AD1103" s="14"/>
      <c r="AE1103" s="113" t="str">
        <f>IF(NOT(ISBLANK(Audit[[#This Row],[Audit Winning Candidate]])), Audit[[#This Row],[Audit Winning Candidate]]-Audit[[#This Row],[Winning Candidate]], "")</f>
        <v/>
      </c>
      <c r="AF1103" s="17" t="str">
        <f>IF(NOT(ISBLANK(Audit[[#This Row],[Audit Losing Candidate]])), Audit[[#This Row],[Audit Losing Candidate]]-Audit[[#This Row],[Losing Candidate]], "")</f>
        <v/>
      </c>
      <c r="AG1103" s="17" t="str">
        <f>IF(NOT(ISBLANK(Audit[[#This Row],[Audit Candidate 3]])), Audit[[#This Row],[Audit Candidate 3]]-Audit[[#This Row],[Candidate 3]], "")</f>
        <v/>
      </c>
      <c r="AH1103" s="17" t="str">
        <f>IF(NOT(ISBLANK(Audit[[#This Row],[Audit Candidate 4]])),Audit[[#This Row],[Audit Candidate 4]]-Audit[[#This Row],[Candidate 4]], "")</f>
        <v/>
      </c>
      <c r="AI1103" s="17" t="str">
        <f>IF(NOT(ISBLANK(Audit[[#This Row],[Audit Candidate 5]])), Audit[[#This Row],[Audit Candidate 5]]-Audit[[#This Row],[Candidate 5]], "")</f>
        <v/>
      </c>
      <c r="AJ1103" s="17" t="str">
        <f>IF(NOT(ISBLANK(Audit[[#This Row],[Audit Candidate 6]])), Audit[[#This Row],[Audit Candidate 6]]-Audit[[#This Row],[Candidate 6]], "")</f>
        <v/>
      </c>
      <c r="AK1103" s="17" t="str">
        <f>IF(NOT(ISBLANK(Audit[[#This Row],[Audit Candidate 7]])), Audit[[#This Row],[Audit Candidate 7]]-Audit[[#This Row],[Candidate 7]], "")</f>
        <v/>
      </c>
      <c r="AL1103" s="17" t="str">
        <f>IF(NOT(ISBLANK(Audit[[#This Row],[Audit Candidate 8]])), Audit[[#This Row],[Audit Candidate 8]]-Audit[[#This Row],[Candidate 8]], "")</f>
        <v/>
      </c>
      <c r="AM1103" s="17" t="str">
        <f>IF(NOT(ISBLANK(Audit[[#This Row],[Audit Candidate 9]])), Audit[[#This Row],[Audit Candidate 9]]-Audit[[#This Row],[Candidate 9]], "")</f>
        <v/>
      </c>
      <c r="AN1103" s="17" t="str">
        <f>IF(NOT(ISBLANK(Audit[[#This Row],[Audit Candidate 10]])), Audit[[#This Row],[Audit Candidate 10]]-Audit[[#This Row],[Candidate 10]], "")</f>
        <v/>
      </c>
      <c r="AO1103" s="17" t="str">
        <f>IF(NOT(ISBLANK(Audit[[#This Row],[Audit Candidate 11]])), Audit[[#This Row],[Audit Candidate 11]]-Audit[[#This Row],[Candidate 11]], "")</f>
        <v/>
      </c>
      <c r="AP1103" s="17" t="str">
        <f>IF(NOT(ISBLANK(Audit[[#This Row],[Audit Candidate 12]])), Audit[[#This Row],[Audit Candidate 12]]-Audit[[#This Row],[Candidate 12]], "")</f>
        <v/>
      </c>
      <c r="AQ1103" s="17">
        <f>SUMIF(Audit[[#This Row],[Difference Winner]:[Difference Candidate 12]], "&gt;0")</f>
        <v>0</v>
      </c>
      <c r="AR1103" s="17">
        <f>SUM(Audit[[#This Row],[Difference Winner]:[Difference Candidate 12]])</f>
        <v>0</v>
      </c>
      <c r="AS1103" s="17">
        <f>IF(Audit[[#This Row],[Times p Drawn - With Replacement]]&gt;0, IF(Audit[[#This Row],[Canceled Differences]]&lt;0, Audit[[#This Row],[Max Differences]]+ABS(Audit[[#This Row],[Canceled Differences]]), Audit[[#This Row],[Max Differences]]), 0)</f>
        <v>0</v>
      </c>
      <c r="AT1103" s="17">
        <f>'Sampling Data'!AB1103</f>
        <v>1.5574605330164658E-2</v>
      </c>
      <c r="AU1103" s="17">
        <f>IF(
      SUM(Audit[[#This Row],[Audit Losing Candidate]:[Audit Candidate 12]])
      &lt;&gt;0,
      (Audit[[#This Row],[Winning Candidate]]-Audit[[#This Row],[Losing Candidate]]-(Audit[[#This Row],[Audit Winning Candidate]]-Audit[[#This Row],[Audit Losing Candidate]]))/(Audit[[#Totals],[Winning Candidate]]-Audit[[#Totals],[Losing Candidate]]),
      0
)</f>
        <v>0</v>
      </c>
      <c r="AV11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3" s="17">
        <f>IF(Audit[[#This Row],[Max Relative Error (ep)]] = 0, 0, Audit[[#This Row],[Max Relative Error (ep)]]/Audit[[#This Row],[Error Bound (up) - Max. possible relative overstatement]])</f>
        <v>0</v>
      </c>
      <c r="BH11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03" s="17">
        <f t="shared" ref="BI1103:BI1128" si="18">IF(ISERR(POWER(BH1103,R1103)), 0, POWER(BH1103,R1103))</f>
        <v>1</v>
      </c>
      <c r="BJ1103" s="17">
        <f>PRODUCT($BI$5:BI1103)</f>
        <v>0.11092022183456535</v>
      </c>
      <c r="BK1103" s="19">
        <f>1 - Audit[[#This Row],[K-M P Value]]</f>
        <v>0.88907977816543471</v>
      </c>
      <c r="BL1103" s="17" t="str">
        <f>IF(Audit[[#This Row],[K-M P Value]]&gt;1-'General Info'!$B$12,"Continue", "Stop")</f>
        <v>Continue</v>
      </c>
      <c r="BM1103" s="22" t="b">
        <f>IF(Audit[[#This Row],[Status - Continue or stop audit]] = "Continue", TRUE, IF(BL1102 = "Continue", TRUE, FALSE))</f>
        <v>1</v>
      </c>
      <c r="BN1103" s="22"/>
    </row>
    <row r="1104" spans="1:66" ht="15" hidden="1" customHeight="1" x14ac:dyDescent="0.35">
      <c r="A1104" s="17" t="str">
        <f>'Sampling Data'!AI1104</f>
        <v/>
      </c>
      <c r="B1104" s="17" t="str">
        <f>'Sampling Data'!A1104</f>
        <v>8909 SYCAM I   (ED)</v>
      </c>
      <c r="C1104" s="17">
        <f>'Sampling Data'!B1104</f>
        <v>124</v>
      </c>
      <c r="D1104" s="17">
        <f>'Sampling Data'!C1104</f>
        <v>294</v>
      </c>
      <c r="E1104" s="18">
        <f>'Sampling Data'!D1104</f>
        <v>0</v>
      </c>
      <c r="F1104" s="18">
        <f>'Sampling Data'!E1104</f>
        <v>0</v>
      </c>
      <c r="G1104" s="18">
        <f>'Sampling Data'!F1104</f>
        <v>0</v>
      </c>
      <c r="H1104" s="18">
        <f>'Sampling Data'!G1104</f>
        <v>0</v>
      </c>
      <c r="I1104" s="18">
        <f>'Sampling Data'!H1104</f>
        <v>0</v>
      </c>
      <c r="J1104" s="18">
        <f>'Sampling Data'!I1104</f>
        <v>0</v>
      </c>
      <c r="K1104" s="18">
        <f>'Sampling Data'!J1104</f>
        <v>0</v>
      </c>
      <c r="L1104" s="18">
        <f>'Sampling Data'!K1104</f>
        <v>0</v>
      </c>
      <c r="M1104" s="18">
        <f>'Sampling Data'!L1104</f>
        <v>0</v>
      </c>
      <c r="N1104" s="18">
        <f>'Sampling Data'!M1104</f>
        <v>0</v>
      </c>
      <c r="O1104" s="17">
        <f>'Sampling Data'!N1104</f>
        <v>0</v>
      </c>
      <c r="P1104" s="17">
        <f>'Sampling Data'!O1104</f>
        <v>21</v>
      </c>
      <c r="Q1104" s="17">
        <f>'Sampling Data'!P1104</f>
        <v>439</v>
      </c>
      <c r="R1104" s="17">
        <f>'Sampling Data'!AJ1104</f>
        <v>0</v>
      </c>
      <c r="S1104" s="111"/>
      <c r="T1104" s="111"/>
      <c r="U1104" s="112"/>
      <c r="V1104" s="112"/>
      <c r="W1104" s="111"/>
      <c r="X1104" s="111"/>
      <c r="Y1104" s="111"/>
      <c r="Z1104" s="111"/>
      <c r="AA1104" s="14"/>
      <c r="AB1104" s="14"/>
      <c r="AC1104" s="14"/>
      <c r="AD1104" s="14"/>
      <c r="AE1104" s="113" t="str">
        <f>IF(NOT(ISBLANK(Audit[[#This Row],[Audit Winning Candidate]])), Audit[[#This Row],[Audit Winning Candidate]]-Audit[[#This Row],[Winning Candidate]], "")</f>
        <v/>
      </c>
      <c r="AF1104" s="17" t="str">
        <f>IF(NOT(ISBLANK(Audit[[#This Row],[Audit Losing Candidate]])), Audit[[#This Row],[Audit Losing Candidate]]-Audit[[#This Row],[Losing Candidate]], "")</f>
        <v/>
      </c>
      <c r="AG1104" s="17" t="str">
        <f>IF(NOT(ISBLANK(Audit[[#This Row],[Audit Candidate 3]])), Audit[[#This Row],[Audit Candidate 3]]-Audit[[#This Row],[Candidate 3]], "")</f>
        <v/>
      </c>
      <c r="AH1104" s="17" t="str">
        <f>IF(NOT(ISBLANK(Audit[[#This Row],[Audit Candidate 4]])),Audit[[#This Row],[Audit Candidate 4]]-Audit[[#This Row],[Candidate 4]], "")</f>
        <v/>
      </c>
      <c r="AI1104" s="17" t="str">
        <f>IF(NOT(ISBLANK(Audit[[#This Row],[Audit Candidate 5]])), Audit[[#This Row],[Audit Candidate 5]]-Audit[[#This Row],[Candidate 5]], "")</f>
        <v/>
      </c>
      <c r="AJ1104" s="17" t="str">
        <f>IF(NOT(ISBLANK(Audit[[#This Row],[Audit Candidate 6]])), Audit[[#This Row],[Audit Candidate 6]]-Audit[[#This Row],[Candidate 6]], "")</f>
        <v/>
      </c>
      <c r="AK1104" s="17" t="str">
        <f>IF(NOT(ISBLANK(Audit[[#This Row],[Audit Candidate 7]])), Audit[[#This Row],[Audit Candidate 7]]-Audit[[#This Row],[Candidate 7]], "")</f>
        <v/>
      </c>
      <c r="AL1104" s="17" t="str">
        <f>IF(NOT(ISBLANK(Audit[[#This Row],[Audit Candidate 8]])), Audit[[#This Row],[Audit Candidate 8]]-Audit[[#This Row],[Candidate 8]], "")</f>
        <v/>
      </c>
      <c r="AM1104" s="17" t="str">
        <f>IF(NOT(ISBLANK(Audit[[#This Row],[Audit Candidate 9]])), Audit[[#This Row],[Audit Candidate 9]]-Audit[[#This Row],[Candidate 9]], "")</f>
        <v/>
      </c>
      <c r="AN1104" s="17" t="str">
        <f>IF(NOT(ISBLANK(Audit[[#This Row],[Audit Candidate 10]])), Audit[[#This Row],[Audit Candidate 10]]-Audit[[#This Row],[Candidate 10]], "")</f>
        <v/>
      </c>
      <c r="AO1104" s="17" t="str">
        <f>IF(NOT(ISBLANK(Audit[[#This Row],[Audit Candidate 11]])), Audit[[#This Row],[Audit Candidate 11]]-Audit[[#This Row],[Candidate 11]], "")</f>
        <v/>
      </c>
      <c r="AP1104" s="17" t="str">
        <f>IF(NOT(ISBLANK(Audit[[#This Row],[Audit Candidate 12]])), Audit[[#This Row],[Audit Candidate 12]]-Audit[[#This Row],[Candidate 12]], "")</f>
        <v/>
      </c>
      <c r="AQ1104" s="17">
        <f>SUMIF(Audit[[#This Row],[Difference Winner]:[Difference Candidate 12]], "&gt;0")</f>
        <v>0</v>
      </c>
      <c r="AR1104" s="17">
        <f>SUM(Audit[[#This Row],[Difference Winner]:[Difference Candidate 12]])</f>
        <v>0</v>
      </c>
      <c r="AS1104" s="17">
        <f>IF(Audit[[#This Row],[Times p Drawn - With Replacement]]&gt;0, IF(Audit[[#This Row],[Canceled Differences]]&lt;0, Audit[[#This Row],[Max Differences]]+ABS(Audit[[#This Row],[Canceled Differences]]), Audit[[#This Row],[Max Differences]]), 0)</f>
        <v>0</v>
      </c>
      <c r="AT1104" s="17">
        <f>'Sampling Data'!AB1104</f>
        <v>1.1415718893226956E-2</v>
      </c>
      <c r="AU1104" s="17">
        <f>IF(
      SUM(Audit[[#This Row],[Audit Losing Candidate]:[Audit Candidate 12]])
      &lt;&gt;0,
      (Audit[[#This Row],[Winning Candidate]]-Audit[[#This Row],[Losing Candidate]]-(Audit[[#This Row],[Audit Winning Candidate]]-Audit[[#This Row],[Audit Losing Candidate]]))/(Audit[[#Totals],[Winning Candidate]]-Audit[[#Totals],[Losing Candidate]]),
      0
)</f>
        <v>0</v>
      </c>
      <c r="AV11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4" s="17">
        <f>IF(Audit[[#This Row],[Max Relative Error (ep)]] = 0, 0, Audit[[#This Row],[Max Relative Error (ep)]]/Audit[[#This Row],[Error Bound (up) - Max. possible relative overstatement]])</f>
        <v>0</v>
      </c>
      <c r="BH11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04" s="17">
        <f t="shared" si="18"/>
        <v>1</v>
      </c>
      <c r="BJ1104" s="17">
        <f>PRODUCT($BI$5:BI1104)</f>
        <v>0.11092022183456535</v>
      </c>
      <c r="BK1104" s="19">
        <f>1 - Audit[[#This Row],[K-M P Value]]</f>
        <v>0.88907977816543471</v>
      </c>
      <c r="BL1104" s="17" t="str">
        <f>IF(Audit[[#This Row],[K-M P Value]]&gt;1-'General Info'!$B$12,"Continue", "Stop")</f>
        <v>Continue</v>
      </c>
      <c r="BM1104" s="22" t="b">
        <f>IF(Audit[[#This Row],[Status - Continue or stop audit]] = "Continue", TRUE, IF(BL1103 = "Continue", TRUE, FALSE))</f>
        <v>1</v>
      </c>
      <c r="BN1104" s="22"/>
    </row>
    <row r="1105" spans="1:66" ht="15" hidden="1" customHeight="1" x14ac:dyDescent="0.35">
      <c r="A1105" s="17" t="str">
        <f>'Sampling Data'!AI1105</f>
        <v/>
      </c>
      <c r="B1105" s="17" t="str">
        <f>'Sampling Data'!A1105</f>
        <v>8910 SYCAM J   (ED)</v>
      </c>
      <c r="C1105" s="17">
        <f>'Sampling Data'!B1105</f>
        <v>194</v>
      </c>
      <c r="D1105" s="17">
        <f>'Sampling Data'!C1105</f>
        <v>148</v>
      </c>
      <c r="E1105" s="18">
        <f>'Sampling Data'!D1105</f>
        <v>0</v>
      </c>
      <c r="F1105" s="18">
        <f>'Sampling Data'!E1105</f>
        <v>0</v>
      </c>
      <c r="G1105" s="18">
        <f>'Sampling Data'!F1105</f>
        <v>0</v>
      </c>
      <c r="H1105" s="18">
        <f>'Sampling Data'!G1105</f>
        <v>0</v>
      </c>
      <c r="I1105" s="18">
        <f>'Sampling Data'!H1105</f>
        <v>0</v>
      </c>
      <c r="J1105" s="18">
        <f>'Sampling Data'!I1105</f>
        <v>0</v>
      </c>
      <c r="K1105" s="18">
        <f>'Sampling Data'!J1105</f>
        <v>0</v>
      </c>
      <c r="L1105" s="18">
        <f>'Sampling Data'!K1105</f>
        <v>0</v>
      </c>
      <c r="M1105" s="18">
        <f>'Sampling Data'!L1105</f>
        <v>0</v>
      </c>
      <c r="N1105" s="18">
        <f>'Sampling Data'!M1105</f>
        <v>0</v>
      </c>
      <c r="O1105" s="17">
        <f>'Sampling Data'!N1105</f>
        <v>0</v>
      </c>
      <c r="P1105" s="17">
        <f>'Sampling Data'!O1105</f>
        <v>30</v>
      </c>
      <c r="Q1105" s="17">
        <f>'Sampling Data'!P1105</f>
        <v>372</v>
      </c>
      <c r="R1105" s="17">
        <f>'Sampling Data'!AJ1105</f>
        <v>0</v>
      </c>
      <c r="S1105" s="111"/>
      <c r="T1105" s="111"/>
      <c r="U1105" s="112"/>
      <c r="V1105" s="112"/>
      <c r="W1105" s="111"/>
      <c r="X1105" s="111"/>
      <c r="Y1105" s="111"/>
      <c r="Z1105" s="111"/>
      <c r="AA1105" s="14"/>
      <c r="AB1105" s="14"/>
      <c r="AC1105" s="14"/>
      <c r="AD1105" s="14"/>
      <c r="AE1105" s="113" t="str">
        <f>IF(NOT(ISBLANK(Audit[[#This Row],[Audit Winning Candidate]])), Audit[[#This Row],[Audit Winning Candidate]]-Audit[[#This Row],[Winning Candidate]], "")</f>
        <v/>
      </c>
      <c r="AF1105" s="17" t="str">
        <f>IF(NOT(ISBLANK(Audit[[#This Row],[Audit Losing Candidate]])), Audit[[#This Row],[Audit Losing Candidate]]-Audit[[#This Row],[Losing Candidate]], "")</f>
        <v/>
      </c>
      <c r="AG1105" s="17" t="str">
        <f>IF(NOT(ISBLANK(Audit[[#This Row],[Audit Candidate 3]])), Audit[[#This Row],[Audit Candidate 3]]-Audit[[#This Row],[Candidate 3]], "")</f>
        <v/>
      </c>
      <c r="AH1105" s="17" t="str">
        <f>IF(NOT(ISBLANK(Audit[[#This Row],[Audit Candidate 4]])),Audit[[#This Row],[Audit Candidate 4]]-Audit[[#This Row],[Candidate 4]], "")</f>
        <v/>
      </c>
      <c r="AI1105" s="17" t="str">
        <f>IF(NOT(ISBLANK(Audit[[#This Row],[Audit Candidate 5]])), Audit[[#This Row],[Audit Candidate 5]]-Audit[[#This Row],[Candidate 5]], "")</f>
        <v/>
      </c>
      <c r="AJ1105" s="17" t="str">
        <f>IF(NOT(ISBLANK(Audit[[#This Row],[Audit Candidate 6]])), Audit[[#This Row],[Audit Candidate 6]]-Audit[[#This Row],[Candidate 6]], "")</f>
        <v/>
      </c>
      <c r="AK1105" s="17" t="str">
        <f>IF(NOT(ISBLANK(Audit[[#This Row],[Audit Candidate 7]])), Audit[[#This Row],[Audit Candidate 7]]-Audit[[#This Row],[Candidate 7]], "")</f>
        <v/>
      </c>
      <c r="AL1105" s="17" t="str">
        <f>IF(NOT(ISBLANK(Audit[[#This Row],[Audit Candidate 8]])), Audit[[#This Row],[Audit Candidate 8]]-Audit[[#This Row],[Candidate 8]], "")</f>
        <v/>
      </c>
      <c r="AM1105" s="17" t="str">
        <f>IF(NOT(ISBLANK(Audit[[#This Row],[Audit Candidate 9]])), Audit[[#This Row],[Audit Candidate 9]]-Audit[[#This Row],[Candidate 9]], "")</f>
        <v/>
      </c>
      <c r="AN1105" s="17" t="str">
        <f>IF(NOT(ISBLANK(Audit[[#This Row],[Audit Candidate 10]])), Audit[[#This Row],[Audit Candidate 10]]-Audit[[#This Row],[Candidate 10]], "")</f>
        <v/>
      </c>
      <c r="AO1105" s="17" t="str">
        <f>IF(NOT(ISBLANK(Audit[[#This Row],[Audit Candidate 11]])), Audit[[#This Row],[Audit Candidate 11]]-Audit[[#This Row],[Candidate 11]], "")</f>
        <v/>
      </c>
      <c r="AP1105" s="17" t="str">
        <f>IF(NOT(ISBLANK(Audit[[#This Row],[Audit Candidate 12]])), Audit[[#This Row],[Audit Candidate 12]]-Audit[[#This Row],[Candidate 12]], "")</f>
        <v/>
      </c>
      <c r="AQ1105" s="17">
        <f>SUMIF(Audit[[#This Row],[Difference Winner]:[Difference Candidate 12]], "&gt;0")</f>
        <v>0</v>
      </c>
      <c r="AR1105" s="17">
        <f>SUM(Audit[[#This Row],[Difference Winner]:[Difference Candidate 12]])</f>
        <v>0</v>
      </c>
      <c r="AS1105" s="17">
        <f>IF(Audit[[#This Row],[Times p Drawn - With Replacement]]&gt;0, IF(Audit[[#This Row],[Canceled Differences]]&lt;0, Audit[[#This Row],[Max Differences]]+ABS(Audit[[#This Row],[Canceled Differences]]), Audit[[#This Row],[Max Differences]]), 0)</f>
        <v>0</v>
      </c>
      <c r="AT1105" s="17">
        <f>'Sampling Data'!AB1105</f>
        <v>1.7738923782040401E-2</v>
      </c>
      <c r="AU1105" s="17">
        <f>IF(
      SUM(Audit[[#This Row],[Audit Losing Candidate]:[Audit Candidate 12]])
      &lt;&gt;0,
      (Audit[[#This Row],[Winning Candidate]]-Audit[[#This Row],[Losing Candidate]]-(Audit[[#This Row],[Audit Winning Candidate]]-Audit[[#This Row],[Audit Losing Candidate]]))/(Audit[[#Totals],[Winning Candidate]]-Audit[[#Totals],[Losing Candidate]]),
      0
)</f>
        <v>0</v>
      </c>
      <c r="AV11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5" s="17">
        <f>IF(Audit[[#This Row],[Max Relative Error (ep)]] = 0, 0, Audit[[#This Row],[Max Relative Error (ep)]]/Audit[[#This Row],[Error Bound (up) - Max. possible relative overstatement]])</f>
        <v>0</v>
      </c>
      <c r="BH11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05" s="17">
        <f t="shared" si="18"/>
        <v>1</v>
      </c>
      <c r="BJ1105" s="17">
        <f>PRODUCT($BI$5:BI1105)</f>
        <v>0.11092022183456535</v>
      </c>
      <c r="BK1105" s="19">
        <f>1 - Audit[[#This Row],[K-M P Value]]</f>
        <v>0.88907977816543471</v>
      </c>
      <c r="BL1105" s="17" t="str">
        <f>IF(Audit[[#This Row],[K-M P Value]]&gt;1-'General Info'!$B$12,"Continue", "Stop")</f>
        <v>Continue</v>
      </c>
      <c r="BM1105" s="22" t="b">
        <f>IF(Audit[[#This Row],[Status - Continue or stop audit]] = "Continue", TRUE, IF(BL1104 = "Continue", TRUE, FALSE))</f>
        <v>1</v>
      </c>
      <c r="BN1105" s="22"/>
    </row>
    <row r="1106" spans="1:66" ht="15" customHeight="1" x14ac:dyDescent="0.35">
      <c r="A1106" s="17">
        <f>'Sampling Data'!AI1106</f>
        <v>37</v>
      </c>
      <c r="B1106" s="17" t="str">
        <f>'Sampling Data'!A1106</f>
        <v>8911 SYCAM K   (ED)</v>
      </c>
      <c r="C1106" s="17">
        <f>'Sampling Data'!B1106</f>
        <v>225</v>
      </c>
      <c r="D1106" s="17">
        <f>'Sampling Data'!C1106</f>
        <v>185</v>
      </c>
      <c r="E1106" s="18">
        <f>'Sampling Data'!D1106</f>
        <v>0</v>
      </c>
      <c r="F1106" s="18">
        <f>'Sampling Data'!E1106</f>
        <v>0</v>
      </c>
      <c r="G1106" s="18">
        <f>'Sampling Data'!F1106</f>
        <v>0</v>
      </c>
      <c r="H1106" s="18">
        <f>'Sampling Data'!G1106</f>
        <v>0</v>
      </c>
      <c r="I1106" s="18">
        <f>'Sampling Data'!H1106</f>
        <v>0</v>
      </c>
      <c r="J1106" s="18">
        <f>'Sampling Data'!I1106</f>
        <v>0</v>
      </c>
      <c r="K1106" s="18">
        <f>'Sampling Data'!J1106</f>
        <v>0</v>
      </c>
      <c r="L1106" s="18">
        <f>'Sampling Data'!K1106</f>
        <v>0</v>
      </c>
      <c r="M1106" s="18">
        <f>'Sampling Data'!L1106</f>
        <v>0</v>
      </c>
      <c r="N1106" s="18">
        <f>'Sampling Data'!M1106</f>
        <v>0</v>
      </c>
      <c r="O1106" s="17">
        <f>'Sampling Data'!N1106</f>
        <v>0</v>
      </c>
      <c r="P1106" s="17">
        <f>'Sampling Data'!O1106</f>
        <v>35</v>
      </c>
      <c r="Q1106" s="17">
        <f>'Sampling Data'!P1106</f>
        <v>445</v>
      </c>
      <c r="R1106" s="17">
        <f>'Sampling Data'!AJ1106</f>
        <v>1</v>
      </c>
      <c r="S1106" s="111">
        <v>225</v>
      </c>
      <c r="T1106" s="111">
        <v>185</v>
      </c>
      <c r="U1106" s="112"/>
      <c r="V1106" s="112"/>
      <c r="W1106" s="111"/>
      <c r="X1106" s="111"/>
      <c r="Y1106" s="111"/>
      <c r="Z1106" s="111"/>
      <c r="AA1106" s="14"/>
      <c r="AB1106" s="14"/>
      <c r="AC1106" s="14"/>
      <c r="AD1106" s="14"/>
      <c r="AE1106" s="113">
        <f>IF(NOT(ISBLANK(Audit[[#This Row],[Audit Winning Candidate]])), Audit[[#This Row],[Audit Winning Candidate]]-Audit[[#This Row],[Winning Candidate]], "")</f>
        <v>0</v>
      </c>
      <c r="AF1106" s="17">
        <f>IF(NOT(ISBLANK(Audit[[#This Row],[Audit Losing Candidate]])), Audit[[#This Row],[Audit Losing Candidate]]-Audit[[#This Row],[Losing Candidate]], "")</f>
        <v>0</v>
      </c>
      <c r="AG1106" s="17" t="str">
        <f>IF(NOT(ISBLANK(Audit[[#This Row],[Audit Candidate 3]])), Audit[[#This Row],[Audit Candidate 3]]-Audit[[#This Row],[Candidate 3]], "")</f>
        <v/>
      </c>
      <c r="AH1106" s="17" t="str">
        <f>IF(NOT(ISBLANK(Audit[[#This Row],[Audit Candidate 4]])),Audit[[#This Row],[Audit Candidate 4]]-Audit[[#This Row],[Candidate 4]], "")</f>
        <v/>
      </c>
      <c r="AI1106" s="17" t="str">
        <f>IF(NOT(ISBLANK(Audit[[#This Row],[Audit Candidate 5]])), Audit[[#This Row],[Audit Candidate 5]]-Audit[[#This Row],[Candidate 5]], "")</f>
        <v/>
      </c>
      <c r="AJ1106" s="17" t="str">
        <f>IF(NOT(ISBLANK(Audit[[#This Row],[Audit Candidate 6]])), Audit[[#This Row],[Audit Candidate 6]]-Audit[[#This Row],[Candidate 6]], "")</f>
        <v/>
      </c>
      <c r="AK1106" s="17" t="str">
        <f>IF(NOT(ISBLANK(Audit[[#This Row],[Audit Candidate 7]])), Audit[[#This Row],[Audit Candidate 7]]-Audit[[#This Row],[Candidate 7]], "")</f>
        <v/>
      </c>
      <c r="AL1106" s="17" t="str">
        <f>IF(NOT(ISBLANK(Audit[[#This Row],[Audit Candidate 8]])), Audit[[#This Row],[Audit Candidate 8]]-Audit[[#This Row],[Candidate 8]], "")</f>
        <v/>
      </c>
      <c r="AM1106" s="17" t="str">
        <f>IF(NOT(ISBLANK(Audit[[#This Row],[Audit Candidate 9]])), Audit[[#This Row],[Audit Candidate 9]]-Audit[[#This Row],[Candidate 9]], "")</f>
        <v/>
      </c>
      <c r="AN1106" s="17" t="str">
        <f>IF(NOT(ISBLANK(Audit[[#This Row],[Audit Candidate 10]])), Audit[[#This Row],[Audit Candidate 10]]-Audit[[#This Row],[Candidate 10]], "")</f>
        <v/>
      </c>
      <c r="AO1106" s="17" t="str">
        <f>IF(NOT(ISBLANK(Audit[[#This Row],[Audit Candidate 11]])), Audit[[#This Row],[Audit Candidate 11]]-Audit[[#This Row],[Candidate 11]], "")</f>
        <v/>
      </c>
      <c r="AP1106" s="17" t="str">
        <f>IF(NOT(ISBLANK(Audit[[#This Row],[Audit Candidate 12]])), Audit[[#This Row],[Audit Candidate 12]]-Audit[[#This Row],[Candidate 12]], "")</f>
        <v/>
      </c>
      <c r="AQ1106" s="17">
        <f>SUMIF(Audit[[#This Row],[Difference Winner]:[Difference Candidate 12]], "&gt;0")</f>
        <v>0</v>
      </c>
      <c r="AR1106" s="17">
        <f>SUM(Audit[[#This Row],[Difference Winner]:[Difference Candidate 12]])</f>
        <v>0</v>
      </c>
      <c r="AS1106" s="17">
        <f>IF(Audit[[#This Row],[Times p Drawn - With Replacement]]&gt;0, IF(Audit[[#This Row],[Canceled Differences]]&lt;0, Audit[[#This Row],[Max Differences]]+ABS(Audit[[#This Row],[Canceled Differences]]), Audit[[#This Row],[Max Differences]]), 0)</f>
        <v>0</v>
      </c>
      <c r="AT1106" s="17">
        <f>'Sampling Data'!AB1106</f>
        <v>2.0582244101171279E-2</v>
      </c>
      <c r="AU1106" s="17">
        <f>IF(
      SUM(Audit[[#This Row],[Audit Losing Candidate]:[Audit Candidate 12]])
      &lt;&gt;0,
      (Audit[[#This Row],[Winning Candidate]]-Audit[[#This Row],[Losing Candidate]]-(Audit[[#This Row],[Audit Winning Candidate]]-Audit[[#This Row],[Audit Losing Candidate]]))/(Audit[[#Totals],[Winning Candidate]]-Audit[[#Totals],[Losing Candidate]]),
      0
)</f>
        <v>0</v>
      </c>
      <c r="AV11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6" s="17">
        <f>IF(Audit[[#This Row],[Max Relative Error (ep)]] = 0, 0, Audit[[#This Row],[Max Relative Error (ep)]]/Audit[[#This Row],[Error Bound (up) - Max. possible relative overstatement]])</f>
        <v>0</v>
      </c>
      <c r="BH11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06" s="17">
        <f t="shared" si="18"/>
        <v>0.94645908314247273</v>
      </c>
      <c r="BJ1106" s="17">
        <f>PRODUCT($BI$5:BI1106)</f>
        <v>0.1049814514595024</v>
      </c>
      <c r="BK1106" s="19">
        <f>1 - Audit[[#This Row],[K-M P Value]]</f>
        <v>0.89501854854049756</v>
      </c>
      <c r="BL1106" s="17" t="str">
        <f>IF(Audit[[#This Row],[K-M P Value]]&gt;1-'General Info'!$B$12,"Continue", "Stop")</f>
        <v>Continue</v>
      </c>
      <c r="BM1106" s="22" t="b">
        <f>IF(Audit[[#This Row],[Status - Continue or stop audit]] = "Continue", TRUE, IF(BL1105 = "Continue", TRUE, FALSE))</f>
        <v>1</v>
      </c>
      <c r="BN1106" s="22"/>
    </row>
    <row r="1107" spans="1:66" ht="15" hidden="1" customHeight="1" x14ac:dyDescent="0.35">
      <c r="A1107" s="17" t="str">
        <f>'Sampling Data'!AI1107</f>
        <v/>
      </c>
      <c r="B1107" s="17" t="str">
        <f>'Sampling Data'!A1107</f>
        <v>8912 SYCAM L   (ED)</v>
      </c>
      <c r="C1107" s="17">
        <f>'Sampling Data'!B1107</f>
        <v>185</v>
      </c>
      <c r="D1107" s="17">
        <f>'Sampling Data'!C1107</f>
        <v>387</v>
      </c>
      <c r="E1107" s="18">
        <f>'Sampling Data'!D1107</f>
        <v>0</v>
      </c>
      <c r="F1107" s="18">
        <f>'Sampling Data'!E1107</f>
        <v>0</v>
      </c>
      <c r="G1107" s="18">
        <f>'Sampling Data'!F1107</f>
        <v>0</v>
      </c>
      <c r="H1107" s="18">
        <f>'Sampling Data'!G1107</f>
        <v>0</v>
      </c>
      <c r="I1107" s="18">
        <f>'Sampling Data'!H1107</f>
        <v>0</v>
      </c>
      <c r="J1107" s="18">
        <f>'Sampling Data'!I1107</f>
        <v>0</v>
      </c>
      <c r="K1107" s="18">
        <f>'Sampling Data'!J1107</f>
        <v>0</v>
      </c>
      <c r="L1107" s="18">
        <f>'Sampling Data'!K1107</f>
        <v>0</v>
      </c>
      <c r="M1107" s="18">
        <f>'Sampling Data'!L1107</f>
        <v>0</v>
      </c>
      <c r="N1107" s="18">
        <f>'Sampling Data'!M1107</f>
        <v>0</v>
      </c>
      <c r="O1107" s="17">
        <f>'Sampling Data'!N1107</f>
        <v>0</v>
      </c>
      <c r="P1107" s="17">
        <f>'Sampling Data'!O1107</f>
        <v>45</v>
      </c>
      <c r="Q1107" s="17">
        <f>'Sampling Data'!P1107</f>
        <v>617</v>
      </c>
      <c r="R1107" s="17">
        <f>'Sampling Data'!AJ1107</f>
        <v>0</v>
      </c>
      <c r="S1107" s="111"/>
      <c r="T1107" s="111"/>
      <c r="U1107" s="112"/>
      <c r="V1107" s="112"/>
      <c r="W1107" s="111"/>
      <c r="X1107" s="111"/>
      <c r="Y1107" s="111"/>
      <c r="Z1107" s="111"/>
      <c r="AA1107" s="14"/>
      <c r="AB1107" s="14"/>
      <c r="AC1107" s="14"/>
      <c r="AD1107" s="14"/>
      <c r="AE1107" s="113" t="str">
        <f>IF(NOT(ISBLANK(Audit[[#This Row],[Audit Winning Candidate]])), Audit[[#This Row],[Audit Winning Candidate]]-Audit[[#This Row],[Winning Candidate]], "")</f>
        <v/>
      </c>
      <c r="AF1107" s="17" t="str">
        <f>IF(NOT(ISBLANK(Audit[[#This Row],[Audit Losing Candidate]])), Audit[[#This Row],[Audit Losing Candidate]]-Audit[[#This Row],[Losing Candidate]], "")</f>
        <v/>
      </c>
      <c r="AG1107" s="17" t="str">
        <f>IF(NOT(ISBLANK(Audit[[#This Row],[Audit Candidate 3]])), Audit[[#This Row],[Audit Candidate 3]]-Audit[[#This Row],[Candidate 3]], "")</f>
        <v/>
      </c>
      <c r="AH1107" s="17" t="str">
        <f>IF(NOT(ISBLANK(Audit[[#This Row],[Audit Candidate 4]])),Audit[[#This Row],[Audit Candidate 4]]-Audit[[#This Row],[Candidate 4]], "")</f>
        <v/>
      </c>
      <c r="AI1107" s="17" t="str">
        <f>IF(NOT(ISBLANK(Audit[[#This Row],[Audit Candidate 5]])), Audit[[#This Row],[Audit Candidate 5]]-Audit[[#This Row],[Candidate 5]], "")</f>
        <v/>
      </c>
      <c r="AJ1107" s="17" t="str">
        <f>IF(NOT(ISBLANK(Audit[[#This Row],[Audit Candidate 6]])), Audit[[#This Row],[Audit Candidate 6]]-Audit[[#This Row],[Candidate 6]], "")</f>
        <v/>
      </c>
      <c r="AK1107" s="17" t="str">
        <f>IF(NOT(ISBLANK(Audit[[#This Row],[Audit Candidate 7]])), Audit[[#This Row],[Audit Candidate 7]]-Audit[[#This Row],[Candidate 7]], "")</f>
        <v/>
      </c>
      <c r="AL1107" s="17" t="str">
        <f>IF(NOT(ISBLANK(Audit[[#This Row],[Audit Candidate 8]])), Audit[[#This Row],[Audit Candidate 8]]-Audit[[#This Row],[Candidate 8]], "")</f>
        <v/>
      </c>
      <c r="AM1107" s="17" t="str">
        <f>IF(NOT(ISBLANK(Audit[[#This Row],[Audit Candidate 9]])), Audit[[#This Row],[Audit Candidate 9]]-Audit[[#This Row],[Candidate 9]], "")</f>
        <v/>
      </c>
      <c r="AN1107" s="17" t="str">
        <f>IF(NOT(ISBLANK(Audit[[#This Row],[Audit Candidate 10]])), Audit[[#This Row],[Audit Candidate 10]]-Audit[[#This Row],[Candidate 10]], "")</f>
        <v/>
      </c>
      <c r="AO1107" s="17" t="str">
        <f>IF(NOT(ISBLANK(Audit[[#This Row],[Audit Candidate 11]])), Audit[[#This Row],[Audit Candidate 11]]-Audit[[#This Row],[Candidate 11]], "")</f>
        <v/>
      </c>
      <c r="AP1107" s="17" t="str">
        <f>IF(NOT(ISBLANK(Audit[[#This Row],[Audit Candidate 12]])), Audit[[#This Row],[Audit Candidate 12]]-Audit[[#This Row],[Candidate 12]], "")</f>
        <v/>
      </c>
      <c r="AQ1107" s="17">
        <f>SUMIF(Audit[[#This Row],[Difference Winner]:[Difference Candidate 12]], "&gt;0")</f>
        <v>0</v>
      </c>
      <c r="AR1107" s="17">
        <f>SUM(Audit[[#This Row],[Difference Winner]:[Difference Candidate 12]])</f>
        <v>0</v>
      </c>
      <c r="AS1107" s="17">
        <f>IF(Audit[[#This Row],[Times p Drawn - With Replacement]]&gt;0, IF(Audit[[#This Row],[Canceled Differences]]&lt;0, Audit[[#This Row],[Max Differences]]+ABS(Audit[[#This Row],[Canceled Differences]]), Audit[[#This Row],[Max Differences]]), 0)</f>
        <v>0</v>
      </c>
      <c r="AT1107" s="17">
        <f>'Sampling Data'!AB1107</f>
        <v>1.7611610931930064E-2</v>
      </c>
      <c r="AU1107" s="17">
        <f>IF(
      SUM(Audit[[#This Row],[Audit Losing Candidate]:[Audit Candidate 12]])
      &lt;&gt;0,
      (Audit[[#This Row],[Winning Candidate]]-Audit[[#This Row],[Losing Candidate]]-(Audit[[#This Row],[Audit Winning Candidate]]-Audit[[#This Row],[Audit Losing Candidate]]))/(Audit[[#Totals],[Winning Candidate]]-Audit[[#Totals],[Losing Candidate]]),
      0
)</f>
        <v>0</v>
      </c>
      <c r="AV11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7" s="17">
        <f>IF(Audit[[#This Row],[Max Relative Error (ep)]] = 0, 0, Audit[[#This Row],[Max Relative Error (ep)]]/Audit[[#This Row],[Error Bound (up) - Max. possible relative overstatement]])</f>
        <v>0</v>
      </c>
      <c r="BH11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07" s="17">
        <f t="shared" si="18"/>
        <v>1</v>
      </c>
      <c r="BJ1107" s="17">
        <f>PRODUCT($BI$5:BI1107)</f>
        <v>0.1049814514595024</v>
      </c>
      <c r="BK1107" s="19">
        <f>1 - Audit[[#This Row],[K-M P Value]]</f>
        <v>0.89501854854049756</v>
      </c>
      <c r="BL1107" s="17" t="str">
        <f>IF(Audit[[#This Row],[K-M P Value]]&gt;1-'General Info'!$B$12,"Continue", "Stop")</f>
        <v>Continue</v>
      </c>
      <c r="BM1107" s="22" t="b">
        <f>IF(Audit[[#This Row],[Status - Continue or stop audit]] = "Continue", TRUE, IF(BL1106 = "Continue", TRUE, FALSE))</f>
        <v>1</v>
      </c>
      <c r="BN1107" s="22"/>
    </row>
    <row r="1108" spans="1:66" ht="15" hidden="1" customHeight="1" x14ac:dyDescent="0.35">
      <c r="A1108" s="17" t="str">
        <f>'Sampling Data'!AI1108</f>
        <v/>
      </c>
      <c r="B1108" s="17" t="str">
        <f>'Sampling Data'!A1108</f>
        <v>8913 SYCAM M   (ED)</v>
      </c>
      <c r="C1108" s="17">
        <f>'Sampling Data'!B1108</f>
        <v>93</v>
      </c>
      <c r="D1108" s="17">
        <f>'Sampling Data'!C1108</f>
        <v>160</v>
      </c>
      <c r="E1108" s="18">
        <f>'Sampling Data'!D1108</f>
        <v>0</v>
      </c>
      <c r="F1108" s="18">
        <f>'Sampling Data'!E1108</f>
        <v>0</v>
      </c>
      <c r="G1108" s="18">
        <f>'Sampling Data'!F1108</f>
        <v>0</v>
      </c>
      <c r="H1108" s="18">
        <f>'Sampling Data'!G1108</f>
        <v>0</v>
      </c>
      <c r="I1108" s="18">
        <f>'Sampling Data'!H1108</f>
        <v>0</v>
      </c>
      <c r="J1108" s="18">
        <f>'Sampling Data'!I1108</f>
        <v>0</v>
      </c>
      <c r="K1108" s="18">
        <f>'Sampling Data'!J1108</f>
        <v>0</v>
      </c>
      <c r="L1108" s="18">
        <f>'Sampling Data'!K1108</f>
        <v>0</v>
      </c>
      <c r="M1108" s="18">
        <f>'Sampling Data'!L1108</f>
        <v>0</v>
      </c>
      <c r="N1108" s="18">
        <f>'Sampling Data'!M1108</f>
        <v>0</v>
      </c>
      <c r="O1108" s="17">
        <f>'Sampling Data'!N1108</f>
        <v>1</v>
      </c>
      <c r="P1108" s="17">
        <f>'Sampling Data'!O1108</f>
        <v>18</v>
      </c>
      <c r="Q1108" s="17">
        <f>'Sampling Data'!P1108</f>
        <v>272</v>
      </c>
      <c r="R1108" s="17">
        <f>'Sampling Data'!AJ1108</f>
        <v>0</v>
      </c>
      <c r="S1108" s="111"/>
      <c r="T1108" s="111"/>
      <c r="U1108" s="112"/>
      <c r="V1108" s="112"/>
      <c r="W1108" s="111"/>
      <c r="X1108" s="111"/>
      <c r="Y1108" s="111"/>
      <c r="Z1108" s="111"/>
      <c r="AA1108" s="14"/>
      <c r="AB1108" s="14"/>
      <c r="AC1108" s="14"/>
      <c r="AD1108" s="14"/>
      <c r="AE1108" s="113" t="str">
        <f>IF(NOT(ISBLANK(Audit[[#This Row],[Audit Winning Candidate]])), Audit[[#This Row],[Audit Winning Candidate]]-Audit[[#This Row],[Winning Candidate]], "")</f>
        <v/>
      </c>
      <c r="AF1108" s="17" t="str">
        <f>IF(NOT(ISBLANK(Audit[[#This Row],[Audit Losing Candidate]])), Audit[[#This Row],[Audit Losing Candidate]]-Audit[[#This Row],[Losing Candidate]], "")</f>
        <v/>
      </c>
      <c r="AG1108" s="17" t="str">
        <f>IF(NOT(ISBLANK(Audit[[#This Row],[Audit Candidate 3]])), Audit[[#This Row],[Audit Candidate 3]]-Audit[[#This Row],[Candidate 3]], "")</f>
        <v/>
      </c>
      <c r="AH1108" s="17" t="str">
        <f>IF(NOT(ISBLANK(Audit[[#This Row],[Audit Candidate 4]])),Audit[[#This Row],[Audit Candidate 4]]-Audit[[#This Row],[Candidate 4]], "")</f>
        <v/>
      </c>
      <c r="AI1108" s="17" t="str">
        <f>IF(NOT(ISBLANK(Audit[[#This Row],[Audit Candidate 5]])), Audit[[#This Row],[Audit Candidate 5]]-Audit[[#This Row],[Candidate 5]], "")</f>
        <v/>
      </c>
      <c r="AJ1108" s="17" t="str">
        <f>IF(NOT(ISBLANK(Audit[[#This Row],[Audit Candidate 6]])), Audit[[#This Row],[Audit Candidate 6]]-Audit[[#This Row],[Candidate 6]], "")</f>
        <v/>
      </c>
      <c r="AK1108" s="17" t="str">
        <f>IF(NOT(ISBLANK(Audit[[#This Row],[Audit Candidate 7]])), Audit[[#This Row],[Audit Candidate 7]]-Audit[[#This Row],[Candidate 7]], "")</f>
        <v/>
      </c>
      <c r="AL1108" s="17" t="str">
        <f>IF(NOT(ISBLANK(Audit[[#This Row],[Audit Candidate 8]])), Audit[[#This Row],[Audit Candidate 8]]-Audit[[#This Row],[Candidate 8]], "")</f>
        <v/>
      </c>
      <c r="AM1108" s="17" t="str">
        <f>IF(NOT(ISBLANK(Audit[[#This Row],[Audit Candidate 9]])), Audit[[#This Row],[Audit Candidate 9]]-Audit[[#This Row],[Candidate 9]], "")</f>
        <v/>
      </c>
      <c r="AN1108" s="17" t="str">
        <f>IF(NOT(ISBLANK(Audit[[#This Row],[Audit Candidate 10]])), Audit[[#This Row],[Audit Candidate 10]]-Audit[[#This Row],[Candidate 10]], "")</f>
        <v/>
      </c>
      <c r="AO1108" s="17" t="str">
        <f>IF(NOT(ISBLANK(Audit[[#This Row],[Audit Candidate 11]])), Audit[[#This Row],[Audit Candidate 11]]-Audit[[#This Row],[Candidate 11]], "")</f>
        <v/>
      </c>
      <c r="AP1108" s="17" t="str">
        <f>IF(NOT(ISBLANK(Audit[[#This Row],[Audit Candidate 12]])), Audit[[#This Row],[Audit Candidate 12]]-Audit[[#This Row],[Candidate 12]], "")</f>
        <v/>
      </c>
      <c r="AQ1108" s="17">
        <f>SUMIF(Audit[[#This Row],[Difference Winner]:[Difference Candidate 12]], "&gt;0")</f>
        <v>0</v>
      </c>
      <c r="AR1108" s="17">
        <f>SUM(Audit[[#This Row],[Difference Winner]:[Difference Candidate 12]])</f>
        <v>0</v>
      </c>
      <c r="AS1108" s="17">
        <f>IF(Audit[[#This Row],[Times p Drawn - With Replacement]]&gt;0, IF(Audit[[#This Row],[Canceled Differences]]&lt;0, Audit[[#This Row],[Max Differences]]+ABS(Audit[[#This Row],[Canceled Differences]]), Audit[[#This Row],[Max Differences]]), 0)</f>
        <v>0</v>
      </c>
      <c r="AT1108" s="17">
        <f>'Sampling Data'!AB1108</f>
        <v>8.6997114242064171E-3</v>
      </c>
      <c r="AU1108" s="17">
        <f>IF(
      SUM(Audit[[#This Row],[Audit Losing Candidate]:[Audit Candidate 12]])
      &lt;&gt;0,
      (Audit[[#This Row],[Winning Candidate]]-Audit[[#This Row],[Losing Candidate]]-(Audit[[#This Row],[Audit Winning Candidate]]-Audit[[#This Row],[Audit Losing Candidate]]))/(Audit[[#Totals],[Winning Candidate]]-Audit[[#Totals],[Losing Candidate]]),
      0
)</f>
        <v>0</v>
      </c>
      <c r="AV11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8" s="17">
        <f>IF(Audit[[#This Row],[Max Relative Error (ep)]] = 0, 0, Audit[[#This Row],[Max Relative Error (ep)]]/Audit[[#This Row],[Error Bound (up) - Max. possible relative overstatement]])</f>
        <v>0</v>
      </c>
      <c r="BH11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08" s="17">
        <f t="shared" si="18"/>
        <v>1</v>
      </c>
      <c r="BJ1108" s="17">
        <f>PRODUCT($BI$5:BI1108)</f>
        <v>0.1049814514595024</v>
      </c>
      <c r="BK1108" s="19">
        <f>1 - Audit[[#This Row],[K-M P Value]]</f>
        <v>0.89501854854049756</v>
      </c>
      <c r="BL1108" s="17" t="str">
        <f>IF(Audit[[#This Row],[K-M P Value]]&gt;1-'General Info'!$B$12,"Continue", "Stop")</f>
        <v>Continue</v>
      </c>
      <c r="BM1108" s="22" t="b">
        <f>IF(Audit[[#This Row],[Status - Continue or stop audit]] = "Continue", TRUE, IF(BL1107 = "Continue", TRUE, FALSE))</f>
        <v>1</v>
      </c>
      <c r="BN1108" s="22"/>
    </row>
    <row r="1109" spans="1:66" ht="15" hidden="1" customHeight="1" x14ac:dyDescent="0.35">
      <c r="A1109" s="17" t="str">
        <f>'Sampling Data'!AI1109</f>
        <v/>
      </c>
      <c r="B1109" s="17" t="str">
        <f>'Sampling Data'!A1109</f>
        <v>8914 SYCAM N   (ED)</v>
      </c>
      <c r="C1109" s="17">
        <f>'Sampling Data'!B1109</f>
        <v>209</v>
      </c>
      <c r="D1109" s="17">
        <f>'Sampling Data'!C1109</f>
        <v>382</v>
      </c>
      <c r="E1109" s="18">
        <f>'Sampling Data'!D1109</f>
        <v>0</v>
      </c>
      <c r="F1109" s="18">
        <f>'Sampling Data'!E1109</f>
        <v>0</v>
      </c>
      <c r="G1109" s="18">
        <f>'Sampling Data'!F1109</f>
        <v>0</v>
      </c>
      <c r="H1109" s="18">
        <f>'Sampling Data'!G1109</f>
        <v>0</v>
      </c>
      <c r="I1109" s="18">
        <f>'Sampling Data'!H1109</f>
        <v>0</v>
      </c>
      <c r="J1109" s="18">
        <f>'Sampling Data'!I1109</f>
        <v>0</v>
      </c>
      <c r="K1109" s="18">
        <f>'Sampling Data'!J1109</f>
        <v>0</v>
      </c>
      <c r="L1109" s="18">
        <f>'Sampling Data'!K1109</f>
        <v>0</v>
      </c>
      <c r="M1109" s="18">
        <f>'Sampling Data'!L1109</f>
        <v>0</v>
      </c>
      <c r="N1109" s="18">
        <f>'Sampling Data'!M1109</f>
        <v>0</v>
      </c>
      <c r="O1109" s="17">
        <f>'Sampling Data'!N1109</f>
        <v>0</v>
      </c>
      <c r="P1109" s="17">
        <f>'Sampling Data'!O1109</f>
        <v>52</v>
      </c>
      <c r="Q1109" s="17">
        <f>'Sampling Data'!P1109</f>
        <v>643</v>
      </c>
      <c r="R1109" s="17">
        <f>'Sampling Data'!AJ1109</f>
        <v>0</v>
      </c>
      <c r="S1109" s="111"/>
      <c r="T1109" s="111"/>
      <c r="U1109" s="112"/>
      <c r="V1109" s="112"/>
      <c r="W1109" s="111"/>
      <c r="X1109" s="111"/>
      <c r="Y1109" s="111"/>
      <c r="Z1109" s="111"/>
      <c r="AA1109" s="14"/>
      <c r="AB1109" s="14"/>
      <c r="AC1109" s="14"/>
      <c r="AD1109" s="14"/>
      <c r="AE1109" s="113" t="str">
        <f>IF(NOT(ISBLANK(Audit[[#This Row],[Audit Winning Candidate]])), Audit[[#This Row],[Audit Winning Candidate]]-Audit[[#This Row],[Winning Candidate]], "")</f>
        <v/>
      </c>
      <c r="AF1109" s="17" t="str">
        <f>IF(NOT(ISBLANK(Audit[[#This Row],[Audit Losing Candidate]])), Audit[[#This Row],[Audit Losing Candidate]]-Audit[[#This Row],[Losing Candidate]], "")</f>
        <v/>
      </c>
      <c r="AG1109" s="17" t="str">
        <f>IF(NOT(ISBLANK(Audit[[#This Row],[Audit Candidate 3]])), Audit[[#This Row],[Audit Candidate 3]]-Audit[[#This Row],[Candidate 3]], "")</f>
        <v/>
      </c>
      <c r="AH1109" s="17" t="str">
        <f>IF(NOT(ISBLANK(Audit[[#This Row],[Audit Candidate 4]])),Audit[[#This Row],[Audit Candidate 4]]-Audit[[#This Row],[Candidate 4]], "")</f>
        <v/>
      </c>
      <c r="AI1109" s="17" t="str">
        <f>IF(NOT(ISBLANK(Audit[[#This Row],[Audit Candidate 5]])), Audit[[#This Row],[Audit Candidate 5]]-Audit[[#This Row],[Candidate 5]], "")</f>
        <v/>
      </c>
      <c r="AJ1109" s="17" t="str">
        <f>IF(NOT(ISBLANK(Audit[[#This Row],[Audit Candidate 6]])), Audit[[#This Row],[Audit Candidate 6]]-Audit[[#This Row],[Candidate 6]], "")</f>
        <v/>
      </c>
      <c r="AK1109" s="17" t="str">
        <f>IF(NOT(ISBLANK(Audit[[#This Row],[Audit Candidate 7]])), Audit[[#This Row],[Audit Candidate 7]]-Audit[[#This Row],[Candidate 7]], "")</f>
        <v/>
      </c>
      <c r="AL1109" s="17" t="str">
        <f>IF(NOT(ISBLANK(Audit[[#This Row],[Audit Candidate 8]])), Audit[[#This Row],[Audit Candidate 8]]-Audit[[#This Row],[Candidate 8]], "")</f>
        <v/>
      </c>
      <c r="AM1109" s="17" t="str">
        <f>IF(NOT(ISBLANK(Audit[[#This Row],[Audit Candidate 9]])), Audit[[#This Row],[Audit Candidate 9]]-Audit[[#This Row],[Candidate 9]], "")</f>
        <v/>
      </c>
      <c r="AN1109" s="17" t="str">
        <f>IF(NOT(ISBLANK(Audit[[#This Row],[Audit Candidate 10]])), Audit[[#This Row],[Audit Candidate 10]]-Audit[[#This Row],[Candidate 10]], "")</f>
        <v/>
      </c>
      <c r="AO1109" s="17" t="str">
        <f>IF(NOT(ISBLANK(Audit[[#This Row],[Audit Candidate 11]])), Audit[[#This Row],[Audit Candidate 11]]-Audit[[#This Row],[Candidate 11]], "")</f>
        <v/>
      </c>
      <c r="AP1109" s="17" t="str">
        <f>IF(NOT(ISBLANK(Audit[[#This Row],[Audit Candidate 12]])), Audit[[#This Row],[Audit Candidate 12]]-Audit[[#This Row],[Candidate 12]], "")</f>
        <v/>
      </c>
      <c r="AQ1109" s="17">
        <f>SUMIF(Audit[[#This Row],[Difference Winner]:[Difference Candidate 12]], "&gt;0")</f>
        <v>0</v>
      </c>
      <c r="AR1109" s="17">
        <f>SUM(Audit[[#This Row],[Difference Winner]:[Difference Candidate 12]])</f>
        <v>0</v>
      </c>
      <c r="AS1109" s="17">
        <f>IF(Audit[[#This Row],[Times p Drawn - With Replacement]]&gt;0, IF(Audit[[#This Row],[Canceled Differences]]&lt;0, Audit[[#This Row],[Max Differences]]+ABS(Audit[[#This Row],[Canceled Differences]]), Audit[[#This Row],[Max Differences]]), 0)</f>
        <v>0</v>
      </c>
      <c r="AT1109" s="17">
        <f>'Sampling Data'!AB1109</f>
        <v>1.994567985061959E-2</v>
      </c>
      <c r="AU1109" s="17">
        <f>IF(
      SUM(Audit[[#This Row],[Audit Losing Candidate]:[Audit Candidate 12]])
      &lt;&gt;0,
      (Audit[[#This Row],[Winning Candidate]]-Audit[[#This Row],[Losing Candidate]]-(Audit[[#This Row],[Audit Winning Candidate]]-Audit[[#This Row],[Audit Losing Candidate]]))/(Audit[[#Totals],[Winning Candidate]]-Audit[[#Totals],[Losing Candidate]]),
      0
)</f>
        <v>0</v>
      </c>
      <c r="AV11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9" s="17">
        <f>IF(Audit[[#This Row],[Max Relative Error (ep)]] = 0, 0, Audit[[#This Row],[Max Relative Error (ep)]]/Audit[[#This Row],[Error Bound (up) - Max. possible relative overstatement]])</f>
        <v>0</v>
      </c>
      <c r="BH11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09" s="17">
        <f t="shared" si="18"/>
        <v>1</v>
      </c>
      <c r="BJ1109" s="17">
        <f>PRODUCT($BI$5:BI1109)</f>
        <v>0.1049814514595024</v>
      </c>
      <c r="BK1109" s="19">
        <f>1 - Audit[[#This Row],[K-M P Value]]</f>
        <v>0.89501854854049756</v>
      </c>
      <c r="BL1109" s="17" t="str">
        <f>IF(Audit[[#This Row],[K-M P Value]]&gt;1-'General Info'!$B$12,"Continue", "Stop")</f>
        <v>Continue</v>
      </c>
      <c r="BM1109" s="22" t="b">
        <f>IF(Audit[[#This Row],[Status - Continue or stop audit]] = "Continue", TRUE, IF(BL1108 = "Continue", TRUE, FALSE))</f>
        <v>1</v>
      </c>
      <c r="BN1109" s="22"/>
    </row>
    <row r="1110" spans="1:66" ht="15" hidden="1" customHeight="1" x14ac:dyDescent="0.35">
      <c r="A1110" s="17" t="str">
        <f>'Sampling Data'!AI1110</f>
        <v/>
      </c>
      <c r="B1110" s="17" t="str">
        <f>'Sampling Data'!A1110</f>
        <v>9101 SYMM A   (ED)</v>
      </c>
      <c r="C1110" s="17">
        <f>'Sampling Data'!B1110</f>
        <v>82</v>
      </c>
      <c r="D1110" s="17">
        <f>'Sampling Data'!C1110</f>
        <v>103</v>
      </c>
      <c r="E1110" s="18">
        <f>'Sampling Data'!D1110</f>
        <v>0</v>
      </c>
      <c r="F1110" s="18">
        <f>'Sampling Data'!E1110</f>
        <v>0</v>
      </c>
      <c r="G1110" s="18">
        <f>'Sampling Data'!F1110</f>
        <v>0</v>
      </c>
      <c r="H1110" s="18">
        <f>'Sampling Data'!G1110</f>
        <v>0</v>
      </c>
      <c r="I1110" s="18">
        <f>'Sampling Data'!H1110</f>
        <v>0</v>
      </c>
      <c r="J1110" s="18">
        <f>'Sampling Data'!I1110</f>
        <v>0</v>
      </c>
      <c r="K1110" s="18">
        <f>'Sampling Data'!J1110</f>
        <v>0</v>
      </c>
      <c r="L1110" s="18">
        <f>'Sampling Data'!K1110</f>
        <v>0</v>
      </c>
      <c r="M1110" s="18">
        <f>'Sampling Data'!L1110</f>
        <v>0</v>
      </c>
      <c r="N1110" s="18">
        <f>'Sampling Data'!M1110</f>
        <v>0</v>
      </c>
      <c r="O1110" s="17">
        <f>'Sampling Data'!N1110</f>
        <v>0</v>
      </c>
      <c r="P1110" s="17">
        <f>'Sampling Data'!O1110</f>
        <v>10</v>
      </c>
      <c r="Q1110" s="17">
        <f>'Sampling Data'!P1110</f>
        <v>195</v>
      </c>
      <c r="R1110" s="17">
        <f>'Sampling Data'!AJ1110</f>
        <v>0</v>
      </c>
      <c r="S1110" s="111"/>
      <c r="T1110" s="111"/>
      <c r="U1110" s="112"/>
      <c r="V1110" s="112"/>
      <c r="W1110" s="111"/>
      <c r="X1110" s="111"/>
      <c r="Y1110" s="111"/>
      <c r="Z1110" s="111"/>
      <c r="AA1110" s="14"/>
      <c r="AB1110" s="14"/>
      <c r="AC1110" s="14"/>
      <c r="AD1110" s="14"/>
      <c r="AE1110" s="113" t="str">
        <f>IF(NOT(ISBLANK(Audit[[#This Row],[Audit Winning Candidate]])), Audit[[#This Row],[Audit Winning Candidate]]-Audit[[#This Row],[Winning Candidate]], "")</f>
        <v/>
      </c>
      <c r="AF1110" s="17" t="str">
        <f>IF(NOT(ISBLANK(Audit[[#This Row],[Audit Losing Candidate]])), Audit[[#This Row],[Audit Losing Candidate]]-Audit[[#This Row],[Losing Candidate]], "")</f>
        <v/>
      </c>
      <c r="AG1110" s="17" t="str">
        <f>IF(NOT(ISBLANK(Audit[[#This Row],[Audit Candidate 3]])), Audit[[#This Row],[Audit Candidate 3]]-Audit[[#This Row],[Candidate 3]], "")</f>
        <v/>
      </c>
      <c r="AH1110" s="17" t="str">
        <f>IF(NOT(ISBLANK(Audit[[#This Row],[Audit Candidate 4]])),Audit[[#This Row],[Audit Candidate 4]]-Audit[[#This Row],[Candidate 4]], "")</f>
        <v/>
      </c>
      <c r="AI1110" s="17" t="str">
        <f>IF(NOT(ISBLANK(Audit[[#This Row],[Audit Candidate 5]])), Audit[[#This Row],[Audit Candidate 5]]-Audit[[#This Row],[Candidate 5]], "")</f>
        <v/>
      </c>
      <c r="AJ1110" s="17" t="str">
        <f>IF(NOT(ISBLANK(Audit[[#This Row],[Audit Candidate 6]])), Audit[[#This Row],[Audit Candidate 6]]-Audit[[#This Row],[Candidate 6]], "")</f>
        <v/>
      </c>
      <c r="AK1110" s="17" t="str">
        <f>IF(NOT(ISBLANK(Audit[[#This Row],[Audit Candidate 7]])), Audit[[#This Row],[Audit Candidate 7]]-Audit[[#This Row],[Candidate 7]], "")</f>
        <v/>
      </c>
      <c r="AL1110" s="17" t="str">
        <f>IF(NOT(ISBLANK(Audit[[#This Row],[Audit Candidate 8]])), Audit[[#This Row],[Audit Candidate 8]]-Audit[[#This Row],[Candidate 8]], "")</f>
        <v/>
      </c>
      <c r="AM1110" s="17" t="str">
        <f>IF(NOT(ISBLANK(Audit[[#This Row],[Audit Candidate 9]])), Audit[[#This Row],[Audit Candidate 9]]-Audit[[#This Row],[Candidate 9]], "")</f>
        <v/>
      </c>
      <c r="AN1110" s="17" t="str">
        <f>IF(NOT(ISBLANK(Audit[[#This Row],[Audit Candidate 10]])), Audit[[#This Row],[Audit Candidate 10]]-Audit[[#This Row],[Candidate 10]], "")</f>
        <v/>
      </c>
      <c r="AO1110" s="17" t="str">
        <f>IF(NOT(ISBLANK(Audit[[#This Row],[Audit Candidate 11]])), Audit[[#This Row],[Audit Candidate 11]]-Audit[[#This Row],[Candidate 11]], "")</f>
        <v/>
      </c>
      <c r="AP1110" s="17" t="str">
        <f>IF(NOT(ISBLANK(Audit[[#This Row],[Audit Candidate 12]])), Audit[[#This Row],[Audit Candidate 12]]-Audit[[#This Row],[Candidate 12]], "")</f>
        <v/>
      </c>
      <c r="AQ1110" s="17">
        <f>SUMIF(Audit[[#This Row],[Difference Winner]:[Difference Candidate 12]], "&gt;0")</f>
        <v>0</v>
      </c>
      <c r="AR1110" s="17">
        <f>SUM(Audit[[#This Row],[Difference Winner]:[Difference Candidate 12]])</f>
        <v>0</v>
      </c>
      <c r="AS1110" s="17">
        <f>IF(Audit[[#This Row],[Times p Drawn - With Replacement]]&gt;0, IF(Audit[[#This Row],[Canceled Differences]]&lt;0, Audit[[#This Row],[Max Differences]]+ABS(Audit[[#This Row],[Canceled Differences]]), Audit[[#This Row],[Max Differences]]), 0)</f>
        <v>0</v>
      </c>
      <c r="AT1110" s="17">
        <f>'Sampling Data'!AB1110</f>
        <v>7.3841453063995923E-3</v>
      </c>
      <c r="AU1110" s="17">
        <f>IF(
      SUM(Audit[[#This Row],[Audit Losing Candidate]:[Audit Candidate 12]])
      &lt;&gt;0,
      (Audit[[#This Row],[Winning Candidate]]-Audit[[#This Row],[Losing Candidate]]-(Audit[[#This Row],[Audit Winning Candidate]]-Audit[[#This Row],[Audit Losing Candidate]]))/(Audit[[#Totals],[Winning Candidate]]-Audit[[#Totals],[Losing Candidate]]),
      0
)</f>
        <v>0</v>
      </c>
      <c r="AV11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0" s="17">
        <f>IF(Audit[[#This Row],[Max Relative Error (ep)]] = 0, 0, Audit[[#This Row],[Max Relative Error (ep)]]/Audit[[#This Row],[Error Bound (up) - Max. possible relative overstatement]])</f>
        <v>0</v>
      </c>
      <c r="BH11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10" s="17">
        <f t="shared" si="18"/>
        <v>1</v>
      </c>
      <c r="BJ1110" s="17">
        <f>PRODUCT($BI$5:BI1110)</f>
        <v>0.1049814514595024</v>
      </c>
      <c r="BK1110" s="19">
        <f>1 - Audit[[#This Row],[K-M P Value]]</f>
        <v>0.89501854854049756</v>
      </c>
      <c r="BL1110" s="17" t="str">
        <f>IF(Audit[[#This Row],[K-M P Value]]&gt;1-'General Info'!$B$12,"Continue", "Stop")</f>
        <v>Continue</v>
      </c>
      <c r="BM1110" s="22" t="b">
        <f>IF(Audit[[#This Row],[Status - Continue or stop audit]] = "Continue", TRUE, IF(BL1109 = "Continue", TRUE, FALSE))</f>
        <v>1</v>
      </c>
      <c r="BN1110" s="22"/>
    </row>
    <row r="1111" spans="1:66" ht="15" hidden="1" customHeight="1" x14ac:dyDescent="0.35">
      <c r="A1111" s="17" t="str">
        <f>'Sampling Data'!AI1111</f>
        <v/>
      </c>
      <c r="B1111" s="17" t="str">
        <f>'Sampling Data'!A1111</f>
        <v>9102 SYMM B   (ED)</v>
      </c>
      <c r="C1111" s="17">
        <f>'Sampling Data'!B1111</f>
        <v>208</v>
      </c>
      <c r="D1111" s="17">
        <f>'Sampling Data'!C1111</f>
        <v>260</v>
      </c>
      <c r="E1111" s="18">
        <f>'Sampling Data'!D1111</f>
        <v>0</v>
      </c>
      <c r="F1111" s="18">
        <f>'Sampling Data'!E1111</f>
        <v>0</v>
      </c>
      <c r="G1111" s="18">
        <f>'Sampling Data'!F1111</f>
        <v>0</v>
      </c>
      <c r="H1111" s="18">
        <f>'Sampling Data'!G1111</f>
        <v>0</v>
      </c>
      <c r="I1111" s="18">
        <f>'Sampling Data'!H1111</f>
        <v>0</v>
      </c>
      <c r="J1111" s="18">
        <f>'Sampling Data'!I1111</f>
        <v>0</v>
      </c>
      <c r="K1111" s="18">
        <f>'Sampling Data'!J1111</f>
        <v>0</v>
      </c>
      <c r="L1111" s="18">
        <f>'Sampling Data'!K1111</f>
        <v>0</v>
      </c>
      <c r="M1111" s="18">
        <f>'Sampling Data'!L1111</f>
        <v>0</v>
      </c>
      <c r="N1111" s="18">
        <f>'Sampling Data'!M1111</f>
        <v>0</v>
      </c>
      <c r="O1111" s="17">
        <f>'Sampling Data'!N1111</f>
        <v>0</v>
      </c>
      <c r="P1111" s="17">
        <f>'Sampling Data'!O1111</f>
        <v>30</v>
      </c>
      <c r="Q1111" s="17">
        <f>'Sampling Data'!P1111</f>
        <v>498</v>
      </c>
      <c r="R1111" s="17">
        <f>'Sampling Data'!AJ1111</f>
        <v>0</v>
      </c>
      <c r="S1111" s="111"/>
      <c r="T1111" s="111"/>
      <c r="U1111" s="112"/>
      <c r="V1111" s="112"/>
      <c r="W1111" s="111"/>
      <c r="X1111" s="111"/>
      <c r="Y1111" s="111"/>
      <c r="Z1111" s="111"/>
      <c r="AA1111" s="14"/>
      <c r="AB1111" s="14"/>
      <c r="AC1111" s="14"/>
      <c r="AD1111" s="14"/>
      <c r="AE1111" s="113" t="str">
        <f>IF(NOT(ISBLANK(Audit[[#This Row],[Audit Winning Candidate]])), Audit[[#This Row],[Audit Winning Candidate]]-Audit[[#This Row],[Winning Candidate]], "")</f>
        <v/>
      </c>
      <c r="AF1111" s="17" t="str">
        <f>IF(NOT(ISBLANK(Audit[[#This Row],[Audit Losing Candidate]])), Audit[[#This Row],[Audit Losing Candidate]]-Audit[[#This Row],[Losing Candidate]], "")</f>
        <v/>
      </c>
      <c r="AG1111" s="17" t="str">
        <f>IF(NOT(ISBLANK(Audit[[#This Row],[Audit Candidate 3]])), Audit[[#This Row],[Audit Candidate 3]]-Audit[[#This Row],[Candidate 3]], "")</f>
        <v/>
      </c>
      <c r="AH1111" s="17" t="str">
        <f>IF(NOT(ISBLANK(Audit[[#This Row],[Audit Candidate 4]])),Audit[[#This Row],[Audit Candidate 4]]-Audit[[#This Row],[Candidate 4]], "")</f>
        <v/>
      </c>
      <c r="AI1111" s="17" t="str">
        <f>IF(NOT(ISBLANK(Audit[[#This Row],[Audit Candidate 5]])), Audit[[#This Row],[Audit Candidate 5]]-Audit[[#This Row],[Candidate 5]], "")</f>
        <v/>
      </c>
      <c r="AJ1111" s="17" t="str">
        <f>IF(NOT(ISBLANK(Audit[[#This Row],[Audit Candidate 6]])), Audit[[#This Row],[Audit Candidate 6]]-Audit[[#This Row],[Candidate 6]], "")</f>
        <v/>
      </c>
      <c r="AK1111" s="17" t="str">
        <f>IF(NOT(ISBLANK(Audit[[#This Row],[Audit Candidate 7]])), Audit[[#This Row],[Audit Candidate 7]]-Audit[[#This Row],[Candidate 7]], "")</f>
        <v/>
      </c>
      <c r="AL1111" s="17" t="str">
        <f>IF(NOT(ISBLANK(Audit[[#This Row],[Audit Candidate 8]])), Audit[[#This Row],[Audit Candidate 8]]-Audit[[#This Row],[Candidate 8]], "")</f>
        <v/>
      </c>
      <c r="AM1111" s="17" t="str">
        <f>IF(NOT(ISBLANK(Audit[[#This Row],[Audit Candidate 9]])), Audit[[#This Row],[Audit Candidate 9]]-Audit[[#This Row],[Candidate 9]], "")</f>
        <v/>
      </c>
      <c r="AN1111" s="17" t="str">
        <f>IF(NOT(ISBLANK(Audit[[#This Row],[Audit Candidate 10]])), Audit[[#This Row],[Audit Candidate 10]]-Audit[[#This Row],[Candidate 10]], "")</f>
        <v/>
      </c>
      <c r="AO1111" s="17" t="str">
        <f>IF(NOT(ISBLANK(Audit[[#This Row],[Audit Candidate 11]])), Audit[[#This Row],[Audit Candidate 11]]-Audit[[#This Row],[Candidate 11]], "")</f>
        <v/>
      </c>
      <c r="AP1111" s="17" t="str">
        <f>IF(NOT(ISBLANK(Audit[[#This Row],[Audit Candidate 12]])), Audit[[#This Row],[Audit Candidate 12]]-Audit[[#This Row],[Candidate 12]], "")</f>
        <v/>
      </c>
      <c r="AQ1111" s="17">
        <f>SUMIF(Audit[[#This Row],[Difference Winner]:[Difference Candidate 12]], "&gt;0")</f>
        <v>0</v>
      </c>
      <c r="AR1111" s="17">
        <f>SUM(Audit[[#This Row],[Difference Winner]:[Difference Candidate 12]])</f>
        <v>0</v>
      </c>
      <c r="AS1111" s="17">
        <f>IF(Audit[[#This Row],[Times p Drawn - With Replacement]]&gt;0, IF(Audit[[#This Row],[Canceled Differences]]&lt;0, Audit[[#This Row],[Max Differences]]+ABS(Audit[[#This Row],[Canceled Differences]]), Audit[[#This Row],[Max Differences]]), 0)</f>
        <v>0</v>
      </c>
      <c r="AT1111" s="17">
        <f>'Sampling Data'!AB1111</f>
        <v>1.8927177049736888E-2</v>
      </c>
      <c r="AU1111" s="17">
        <f>IF(
      SUM(Audit[[#This Row],[Audit Losing Candidate]:[Audit Candidate 12]])
      &lt;&gt;0,
      (Audit[[#This Row],[Winning Candidate]]-Audit[[#This Row],[Losing Candidate]]-(Audit[[#This Row],[Audit Winning Candidate]]-Audit[[#This Row],[Audit Losing Candidate]]))/(Audit[[#Totals],[Winning Candidate]]-Audit[[#Totals],[Losing Candidate]]),
      0
)</f>
        <v>0</v>
      </c>
      <c r="AV11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1" s="17">
        <f>IF(Audit[[#This Row],[Max Relative Error (ep)]] = 0, 0, Audit[[#This Row],[Max Relative Error (ep)]]/Audit[[#This Row],[Error Bound (up) - Max. possible relative overstatement]])</f>
        <v>0</v>
      </c>
      <c r="BH11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11" s="17">
        <f t="shared" si="18"/>
        <v>1</v>
      </c>
      <c r="BJ1111" s="17">
        <f>PRODUCT($BI$5:BI1111)</f>
        <v>0.1049814514595024</v>
      </c>
      <c r="BK1111" s="19">
        <f>1 - Audit[[#This Row],[K-M P Value]]</f>
        <v>0.89501854854049756</v>
      </c>
      <c r="BL1111" s="17" t="str">
        <f>IF(Audit[[#This Row],[K-M P Value]]&gt;1-'General Info'!$B$12,"Continue", "Stop")</f>
        <v>Continue</v>
      </c>
      <c r="BM1111" s="22" t="b">
        <f>IF(Audit[[#This Row],[Status - Continue or stop audit]] = "Continue", TRUE, IF(BL1110 = "Continue", TRUE, FALSE))</f>
        <v>1</v>
      </c>
      <c r="BN1111" s="22"/>
    </row>
    <row r="1112" spans="1:66" ht="15" hidden="1" customHeight="1" x14ac:dyDescent="0.35">
      <c r="A1112" s="17" t="str">
        <f>'Sampling Data'!AI1112</f>
        <v/>
      </c>
      <c r="B1112" s="17" t="str">
        <f>'Sampling Data'!A1112</f>
        <v>9103 SYMM C   (ED)</v>
      </c>
      <c r="C1112" s="17">
        <f>'Sampling Data'!B1112</f>
        <v>203</v>
      </c>
      <c r="D1112" s="17">
        <f>'Sampling Data'!C1112</f>
        <v>381</v>
      </c>
      <c r="E1112" s="18">
        <f>'Sampling Data'!D1112</f>
        <v>0</v>
      </c>
      <c r="F1112" s="18">
        <f>'Sampling Data'!E1112</f>
        <v>0</v>
      </c>
      <c r="G1112" s="18">
        <f>'Sampling Data'!F1112</f>
        <v>0</v>
      </c>
      <c r="H1112" s="18">
        <f>'Sampling Data'!G1112</f>
        <v>0</v>
      </c>
      <c r="I1112" s="18">
        <f>'Sampling Data'!H1112</f>
        <v>0</v>
      </c>
      <c r="J1112" s="18">
        <f>'Sampling Data'!I1112</f>
        <v>0</v>
      </c>
      <c r="K1112" s="18">
        <f>'Sampling Data'!J1112</f>
        <v>0</v>
      </c>
      <c r="L1112" s="18">
        <f>'Sampling Data'!K1112</f>
        <v>0</v>
      </c>
      <c r="M1112" s="18">
        <f>'Sampling Data'!L1112</f>
        <v>0</v>
      </c>
      <c r="N1112" s="18">
        <f>'Sampling Data'!M1112</f>
        <v>0</v>
      </c>
      <c r="O1112" s="17">
        <f>'Sampling Data'!N1112</f>
        <v>0</v>
      </c>
      <c r="P1112" s="17">
        <f>'Sampling Data'!O1112</f>
        <v>56</v>
      </c>
      <c r="Q1112" s="17">
        <f>'Sampling Data'!P1112</f>
        <v>640</v>
      </c>
      <c r="R1112" s="17">
        <f>'Sampling Data'!AJ1112</f>
        <v>0</v>
      </c>
      <c r="S1112" s="111"/>
      <c r="T1112" s="111"/>
      <c r="U1112" s="112"/>
      <c r="V1112" s="112"/>
      <c r="W1112" s="111"/>
      <c r="X1112" s="111"/>
      <c r="Y1112" s="111"/>
      <c r="Z1112" s="111"/>
      <c r="AA1112" s="14"/>
      <c r="AB1112" s="14"/>
      <c r="AC1112" s="14"/>
      <c r="AD1112" s="14"/>
      <c r="AE1112" s="113" t="str">
        <f>IF(NOT(ISBLANK(Audit[[#This Row],[Audit Winning Candidate]])), Audit[[#This Row],[Audit Winning Candidate]]-Audit[[#This Row],[Winning Candidate]], "")</f>
        <v/>
      </c>
      <c r="AF1112" s="17" t="str">
        <f>IF(NOT(ISBLANK(Audit[[#This Row],[Audit Losing Candidate]])), Audit[[#This Row],[Audit Losing Candidate]]-Audit[[#This Row],[Losing Candidate]], "")</f>
        <v/>
      </c>
      <c r="AG1112" s="17" t="str">
        <f>IF(NOT(ISBLANK(Audit[[#This Row],[Audit Candidate 3]])), Audit[[#This Row],[Audit Candidate 3]]-Audit[[#This Row],[Candidate 3]], "")</f>
        <v/>
      </c>
      <c r="AH1112" s="17" t="str">
        <f>IF(NOT(ISBLANK(Audit[[#This Row],[Audit Candidate 4]])),Audit[[#This Row],[Audit Candidate 4]]-Audit[[#This Row],[Candidate 4]], "")</f>
        <v/>
      </c>
      <c r="AI1112" s="17" t="str">
        <f>IF(NOT(ISBLANK(Audit[[#This Row],[Audit Candidate 5]])), Audit[[#This Row],[Audit Candidate 5]]-Audit[[#This Row],[Candidate 5]], "")</f>
        <v/>
      </c>
      <c r="AJ1112" s="17" t="str">
        <f>IF(NOT(ISBLANK(Audit[[#This Row],[Audit Candidate 6]])), Audit[[#This Row],[Audit Candidate 6]]-Audit[[#This Row],[Candidate 6]], "")</f>
        <v/>
      </c>
      <c r="AK1112" s="17" t="str">
        <f>IF(NOT(ISBLANK(Audit[[#This Row],[Audit Candidate 7]])), Audit[[#This Row],[Audit Candidate 7]]-Audit[[#This Row],[Candidate 7]], "")</f>
        <v/>
      </c>
      <c r="AL1112" s="17" t="str">
        <f>IF(NOT(ISBLANK(Audit[[#This Row],[Audit Candidate 8]])), Audit[[#This Row],[Audit Candidate 8]]-Audit[[#This Row],[Candidate 8]], "")</f>
        <v/>
      </c>
      <c r="AM1112" s="17" t="str">
        <f>IF(NOT(ISBLANK(Audit[[#This Row],[Audit Candidate 9]])), Audit[[#This Row],[Audit Candidate 9]]-Audit[[#This Row],[Candidate 9]], "")</f>
        <v/>
      </c>
      <c r="AN1112" s="17" t="str">
        <f>IF(NOT(ISBLANK(Audit[[#This Row],[Audit Candidate 10]])), Audit[[#This Row],[Audit Candidate 10]]-Audit[[#This Row],[Candidate 10]], "")</f>
        <v/>
      </c>
      <c r="AO1112" s="17" t="str">
        <f>IF(NOT(ISBLANK(Audit[[#This Row],[Audit Candidate 11]])), Audit[[#This Row],[Audit Candidate 11]]-Audit[[#This Row],[Candidate 11]], "")</f>
        <v/>
      </c>
      <c r="AP1112" s="17" t="str">
        <f>IF(NOT(ISBLANK(Audit[[#This Row],[Audit Candidate 12]])), Audit[[#This Row],[Audit Candidate 12]]-Audit[[#This Row],[Candidate 12]], "")</f>
        <v/>
      </c>
      <c r="AQ1112" s="17">
        <f>SUMIF(Audit[[#This Row],[Difference Winner]:[Difference Candidate 12]], "&gt;0")</f>
        <v>0</v>
      </c>
      <c r="AR1112" s="17">
        <f>SUM(Audit[[#This Row],[Difference Winner]:[Difference Candidate 12]])</f>
        <v>0</v>
      </c>
      <c r="AS1112" s="17">
        <f>IF(Audit[[#This Row],[Times p Drawn - With Replacement]]&gt;0, IF(Audit[[#This Row],[Canceled Differences]]&lt;0, Audit[[#This Row],[Max Differences]]+ABS(Audit[[#This Row],[Canceled Differences]]), Audit[[#This Row],[Max Differences]]), 0)</f>
        <v>0</v>
      </c>
      <c r="AT1112" s="17">
        <f>'Sampling Data'!AB1112</f>
        <v>1.9606178916992022E-2</v>
      </c>
      <c r="AU1112" s="17">
        <f>IF(
      SUM(Audit[[#This Row],[Audit Losing Candidate]:[Audit Candidate 12]])
      &lt;&gt;0,
      (Audit[[#This Row],[Winning Candidate]]-Audit[[#This Row],[Losing Candidate]]-(Audit[[#This Row],[Audit Winning Candidate]]-Audit[[#This Row],[Audit Losing Candidate]]))/(Audit[[#Totals],[Winning Candidate]]-Audit[[#Totals],[Losing Candidate]]),
      0
)</f>
        <v>0</v>
      </c>
      <c r="AV11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2" s="17">
        <f>IF(Audit[[#This Row],[Max Relative Error (ep)]] = 0, 0, Audit[[#This Row],[Max Relative Error (ep)]]/Audit[[#This Row],[Error Bound (up) - Max. possible relative overstatement]])</f>
        <v>0</v>
      </c>
      <c r="BH11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12" s="17">
        <f t="shared" si="18"/>
        <v>1</v>
      </c>
      <c r="BJ1112" s="17">
        <f>PRODUCT($BI$5:BI1112)</f>
        <v>0.1049814514595024</v>
      </c>
      <c r="BK1112" s="19">
        <f>1 - Audit[[#This Row],[K-M P Value]]</f>
        <v>0.89501854854049756</v>
      </c>
      <c r="BL1112" s="17" t="str">
        <f>IF(Audit[[#This Row],[K-M P Value]]&gt;1-'General Info'!$B$12,"Continue", "Stop")</f>
        <v>Continue</v>
      </c>
      <c r="BM1112" s="22" t="b">
        <f>IF(Audit[[#This Row],[Status - Continue or stop audit]] = "Continue", TRUE, IF(BL1111 = "Continue", TRUE, FALSE))</f>
        <v>1</v>
      </c>
      <c r="BN1112" s="22"/>
    </row>
    <row r="1113" spans="1:66" ht="15" hidden="1" customHeight="1" x14ac:dyDescent="0.35">
      <c r="A1113" s="17" t="str">
        <f>'Sampling Data'!AI1113</f>
        <v/>
      </c>
      <c r="B1113" s="17" t="str">
        <f>'Sampling Data'!A1113</f>
        <v>9104 SYMM D   (ED)</v>
      </c>
      <c r="C1113" s="17">
        <f>'Sampling Data'!B1113</f>
        <v>208</v>
      </c>
      <c r="D1113" s="17">
        <f>'Sampling Data'!C1113</f>
        <v>210</v>
      </c>
      <c r="E1113" s="18">
        <f>'Sampling Data'!D1113</f>
        <v>0</v>
      </c>
      <c r="F1113" s="18">
        <f>'Sampling Data'!E1113</f>
        <v>0</v>
      </c>
      <c r="G1113" s="18">
        <f>'Sampling Data'!F1113</f>
        <v>0</v>
      </c>
      <c r="H1113" s="18">
        <f>'Sampling Data'!G1113</f>
        <v>0</v>
      </c>
      <c r="I1113" s="18">
        <f>'Sampling Data'!H1113</f>
        <v>0</v>
      </c>
      <c r="J1113" s="18">
        <f>'Sampling Data'!I1113</f>
        <v>0</v>
      </c>
      <c r="K1113" s="18">
        <f>'Sampling Data'!J1113</f>
        <v>0</v>
      </c>
      <c r="L1113" s="18">
        <f>'Sampling Data'!K1113</f>
        <v>0</v>
      </c>
      <c r="M1113" s="18">
        <f>'Sampling Data'!L1113</f>
        <v>0</v>
      </c>
      <c r="N1113" s="18">
        <f>'Sampling Data'!M1113</f>
        <v>0</v>
      </c>
      <c r="O1113" s="17">
        <f>'Sampling Data'!N1113</f>
        <v>0</v>
      </c>
      <c r="P1113" s="17">
        <f>'Sampling Data'!O1113</f>
        <v>29</v>
      </c>
      <c r="Q1113" s="17">
        <f>'Sampling Data'!P1113</f>
        <v>447</v>
      </c>
      <c r="R1113" s="17">
        <f>'Sampling Data'!AJ1113</f>
        <v>0</v>
      </c>
      <c r="S1113" s="111"/>
      <c r="T1113" s="111"/>
      <c r="U1113" s="112"/>
      <c r="V1113" s="112"/>
      <c r="W1113" s="111"/>
      <c r="X1113" s="111"/>
      <c r="Y1113" s="111"/>
      <c r="Z1113" s="111"/>
      <c r="AA1113" s="14"/>
      <c r="AB1113" s="14"/>
      <c r="AC1113" s="14"/>
      <c r="AD1113" s="14"/>
      <c r="AE1113" s="113" t="str">
        <f>IF(NOT(ISBLANK(Audit[[#This Row],[Audit Winning Candidate]])), Audit[[#This Row],[Audit Winning Candidate]]-Audit[[#This Row],[Winning Candidate]], "")</f>
        <v/>
      </c>
      <c r="AF1113" s="17" t="str">
        <f>IF(NOT(ISBLANK(Audit[[#This Row],[Audit Losing Candidate]])), Audit[[#This Row],[Audit Losing Candidate]]-Audit[[#This Row],[Losing Candidate]], "")</f>
        <v/>
      </c>
      <c r="AG1113" s="17" t="str">
        <f>IF(NOT(ISBLANK(Audit[[#This Row],[Audit Candidate 3]])), Audit[[#This Row],[Audit Candidate 3]]-Audit[[#This Row],[Candidate 3]], "")</f>
        <v/>
      </c>
      <c r="AH1113" s="17" t="str">
        <f>IF(NOT(ISBLANK(Audit[[#This Row],[Audit Candidate 4]])),Audit[[#This Row],[Audit Candidate 4]]-Audit[[#This Row],[Candidate 4]], "")</f>
        <v/>
      </c>
      <c r="AI1113" s="17" t="str">
        <f>IF(NOT(ISBLANK(Audit[[#This Row],[Audit Candidate 5]])), Audit[[#This Row],[Audit Candidate 5]]-Audit[[#This Row],[Candidate 5]], "")</f>
        <v/>
      </c>
      <c r="AJ1113" s="17" t="str">
        <f>IF(NOT(ISBLANK(Audit[[#This Row],[Audit Candidate 6]])), Audit[[#This Row],[Audit Candidate 6]]-Audit[[#This Row],[Candidate 6]], "")</f>
        <v/>
      </c>
      <c r="AK1113" s="17" t="str">
        <f>IF(NOT(ISBLANK(Audit[[#This Row],[Audit Candidate 7]])), Audit[[#This Row],[Audit Candidate 7]]-Audit[[#This Row],[Candidate 7]], "")</f>
        <v/>
      </c>
      <c r="AL1113" s="17" t="str">
        <f>IF(NOT(ISBLANK(Audit[[#This Row],[Audit Candidate 8]])), Audit[[#This Row],[Audit Candidate 8]]-Audit[[#This Row],[Candidate 8]], "")</f>
        <v/>
      </c>
      <c r="AM1113" s="17" t="str">
        <f>IF(NOT(ISBLANK(Audit[[#This Row],[Audit Candidate 9]])), Audit[[#This Row],[Audit Candidate 9]]-Audit[[#This Row],[Candidate 9]], "")</f>
        <v/>
      </c>
      <c r="AN1113" s="17" t="str">
        <f>IF(NOT(ISBLANK(Audit[[#This Row],[Audit Candidate 10]])), Audit[[#This Row],[Audit Candidate 10]]-Audit[[#This Row],[Candidate 10]], "")</f>
        <v/>
      </c>
      <c r="AO1113" s="17" t="str">
        <f>IF(NOT(ISBLANK(Audit[[#This Row],[Audit Candidate 11]])), Audit[[#This Row],[Audit Candidate 11]]-Audit[[#This Row],[Candidate 11]], "")</f>
        <v/>
      </c>
      <c r="AP1113" s="17" t="str">
        <f>IF(NOT(ISBLANK(Audit[[#This Row],[Audit Candidate 12]])), Audit[[#This Row],[Audit Candidate 12]]-Audit[[#This Row],[Candidate 12]], "")</f>
        <v/>
      </c>
      <c r="AQ1113" s="17">
        <f>SUMIF(Audit[[#This Row],[Difference Winner]:[Difference Candidate 12]], "&gt;0")</f>
        <v>0</v>
      </c>
      <c r="AR1113" s="17">
        <f>SUM(Audit[[#This Row],[Difference Winner]:[Difference Candidate 12]])</f>
        <v>0</v>
      </c>
      <c r="AS1113" s="17">
        <f>IF(Audit[[#This Row],[Times p Drawn - With Replacement]]&gt;0, IF(Audit[[#This Row],[Canceled Differences]]&lt;0, Audit[[#This Row],[Max Differences]]+ABS(Audit[[#This Row],[Canceled Differences]]), Audit[[#This Row],[Max Differences]]), 0)</f>
        <v>0</v>
      </c>
      <c r="AT1113" s="17">
        <f>'Sampling Data'!AB1113</f>
        <v>1.888473943303344E-2</v>
      </c>
      <c r="AU1113" s="17">
        <f>IF(
      SUM(Audit[[#This Row],[Audit Losing Candidate]:[Audit Candidate 12]])
      &lt;&gt;0,
      (Audit[[#This Row],[Winning Candidate]]-Audit[[#This Row],[Losing Candidate]]-(Audit[[#This Row],[Audit Winning Candidate]]-Audit[[#This Row],[Audit Losing Candidate]]))/(Audit[[#Totals],[Winning Candidate]]-Audit[[#Totals],[Losing Candidate]]),
      0
)</f>
        <v>0</v>
      </c>
      <c r="AV11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3" s="17">
        <f>IF(Audit[[#This Row],[Max Relative Error (ep)]] = 0, 0, Audit[[#This Row],[Max Relative Error (ep)]]/Audit[[#This Row],[Error Bound (up) - Max. possible relative overstatement]])</f>
        <v>0</v>
      </c>
      <c r="BH11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13" s="17">
        <f t="shared" si="18"/>
        <v>1</v>
      </c>
      <c r="BJ1113" s="17">
        <f>PRODUCT($BI$5:BI1113)</f>
        <v>0.1049814514595024</v>
      </c>
      <c r="BK1113" s="19">
        <f>1 - Audit[[#This Row],[K-M P Value]]</f>
        <v>0.89501854854049756</v>
      </c>
      <c r="BL1113" s="17" t="str">
        <f>IF(Audit[[#This Row],[K-M P Value]]&gt;1-'General Info'!$B$12,"Continue", "Stop")</f>
        <v>Continue</v>
      </c>
      <c r="BM1113" s="22" t="b">
        <f>IF(Audit[[#This Row],[Status - Continue or stop audit]] = "Continue", TRUE, IF(BL1112 = "Continue", TRUE, FALSE))</f>
        <v>1</v>
      </c>
      <c r="BN1113" s="22"/>
    </row>
    <row r="1114" spans="1:66" ht="15" hidden="1" customHeight="1" x14ac:dyDescent="0.35">
      <c r="A1114" s="17" t="str">
        <f>'Sampling Data'!AI1114</f>
        <v/>
      </c>
      <c r="B1114" s="17" t="str">
        <f>'Sampling Data'!A1114</f>
        <v>9105 SYMM E   (ED)</v>
      </c>
      <c r="C1114" s="17">
        <f>'Sampling Data'!B1114</f>
        <v>172</v>
      </c>
      <c r="D1114" s="17">
        <f>'Sampling Data'!C1114</f>
        <v>266</v>
      </c>
      <c r="E1114" s="18">
        <f>'Sampling Data'!D1114</f>
        <v>0</v>
      </c>
      <c r="F1114" s="18">
        <f>'Sampling Data'!E1114</f>
        <v>0</v>
      </c>
      <c r="G1114" s="18">
        <f>'Sampling Data'!F1114</f>
        <v>0</v>
      </c>
      <c r="H1114" s="18">
        <f>'Sampling Data'!G1114</f>
        <v>0</v>
      </c>
      <c r="I1114" s="18">
        <f>'Sampling Data'!H1114</f>
        <v>0</v>
      </c>
      <c r="J1114" s="18">
        <f>'Sampling Data'!I1114</f>
        <v>0</v>
      </c>
      <c r="K1114" s="18">
        <f>'Sampling Data'!J1114</f>
        <v>0</v>
      </c>
      <c r="L1114" s="18">
        <f>'Sampling Data'!K1114</f>
        <v>0</v>
      </c>
      <c r="M1114" s="18">
        <f>'Sampling Data'!L1114</f>
        <v>0</v>
      </c>
      <c r="N1114" s="18">
        <f>'Sampling Data'!M1114</f>
        <v>0</v>
      </c>
      <c r="O1114" s="17">
        <f>'Sampling Data'!N1114</f>
        <v>0</v>
      </c>
      <c r="P1114" s="17">
        <f>'Sampling Data'!O1114</f>
        <v>43</v>
      </c>
      <c r="Q1114" s="17">
        <f>'Sampling Data'!P1114</f>
        <v>481</v>
      </c>
      <c r="R1114" s="17">
        <f>'Sampling Data'!AJ1114</f>
        <v>0</v>
      </c>
      <c r="S1114" s="111"/>
      <c r="T1114" s="111"/>
      <c r="U1114" s="112"/>
      <c r="V1114" s="112"/>
      <c r="W1114" s="111"/>
      <c r="X1114" s="111"/>
      <c r="Y1114" s="111"/>
      <c r="Z1114" s="111"/>
      <c r="AA1114" s="14"/>
      <c r="AB1114" s="14"/>
      <c r="AC1114" s="14"/>
      <c r="AD1114" s="14"/>
      <c r="AE1114" s="113" t="str">
        <f>IF(NOT(ISBLANK(Audit[[#This Row],[Audit Winning Candidate]])), Audit[[#This Row],[Audit Winning Candidate]]-Audit[[#This Row],[Winning Candidate]], "")</f>
        <v/>
      </c>
      <c r="AF1114" s="17" t="str">
        <f>IF(NOT(ISBLANK(Audit[[#This Row],[Audit Losing Candidate]])), Audit[[#This Row],[Audit Losing Candidate]]-Audit[[#This Row],[Losing Candidate]], "")</f>
        <v/>
      </c>
      <c r="AG1114" s="17" t="str">
        <f>IF(NOT(ISBLANK(Audit[[#This Row],[Audit Candidate 3]])), Audit[[#This Row],[Audit Candidate 3]]-Audit[[#This Row],[Candidate 3]], "")</f>
        <v/>
      </c>
      <c r="AH1114" s="17" t="str">
        <f>IF(NOT(ISBLANK(Audit[[#This Row],[Audit Candidate 4]])),Audit[[#This Row],[Audit Candidate 4]]-Audit[[#This Row],[Candidate 4]], "")</f>
        <v/>
      </c>
      <c r="AI1114" s="17" t="str">
        <f>IF(NOT(ISBLANK(Audit[[#This Row],[Audit Candidate 5]])), Audit[[#This Row],[Audit Candidate 5]]-Audit[[#This Row],[Candidate 5]], "")</f>
        <v/>
      </c>
      <c r="AJ1114" s="17" t="str">
        <f>IF(NOT(ISBLANK(Audit[[#This Row],[Audit Candidate 6]])), Audit[[#This Row],[Audit Candidate 6]]-Audit[[#This Row],[Candidate 6]], "")</f>
        <v/>
      </c>
      <c r="AK1114" s="17" t="str">
        <f>IF(NOT(ISBLANK(Audit[[#This Row],[Audit Candidate 7]])), Audit[[#This Row],[Audit Candidate 7]]-Audit[[#This Row],[Candidate 7]], "")</f>
        <v/>
      </c>
      <c r="AL1114" s="17" t="str">
        <f>IF(NOT(ISBLANK(Audit[[#This Row],[Audit Candidate 8]])), Audit[[#This Row],[Audit Candidate 8]]-Audit[[#This Row],[Candidate 8]], "")</f>
        <v/>
      </c>
      <c r="AM1114" s="17" t="str">
        <f>IF(NOT(ISBLANK(Audit[[#This Row],[Audit Candidate 9]])), Audit[[#This Row],[Audit Candidate 9]]-Audit[[#This Row],[Candidate 9]], "")</f>
        <v/>
      </c>
      <c r="AN1114" s="17" t="str">
        <f>IF(NOT(ISBLANK(Audit[[#This Row],[Audit Candidate 10]])), Audit[[#This Row],[Audit Candidate 10]]-Audit[[#This Row],[Candidate 10]], "")</f>
        <v/>
      </c>
      <c r="AO1114" s="17" t="str">
        <f>IF(NOT(ISBLANK(Audit[[#This Row],[Audit Candidate 11]])), Audit[[#This Row],[Audit Candidate 11]]-Audit[[#This Row],[Candidate 11]], "")</f>
        <v/>
      </c>
      <c r="AP1114" s="17" t="str">
        <f>IF(NOT(ISBLANK(Audit[[#This Row],[Audit Candidate 12]])), Audit[[#This Row],[Audit Candidate 12]]-Audit[[#This Row],[Candidate 12]], "")</f>
        <v/>
      </c>
      <c r="AQ1114" s="17">
        <f>SUMIF(Audit[[#This Row],[Difference Winner]:[Difference Candidate 12]], "&gt;0")</f>
        <v>0</v>
      </c>
      <c r="AR1114" s="17">
        <f>SUM(Audit[[#This Row],[Difference Winner]:[Difference Candidate 12]])</f>
        <v>0</v>
      </c>
      <c r="AS1114" s="17">
        <f>IF(Audit[[#This Row],[Times p Drawn - With Replacement]]&gt;0, IF(Audit[[#This Row],[Canceled Differences]]&lt;0, Audit[[#This Row],[Max Differences]]+ABS(Audit[[#This Row],[Canceled Differences]]), Audit[[#This Row],[Max Differences]]), 0)</f>
        <v>0</v>
      </c>
      <c r="AT1114" s="17">
        <f>'Sampling Data'!AB1114</f>
        <v>1.6423357664233577E-2</v>
      </c>
      <c r="AU1114" s="17">
        <f>IF(
      SUM(Audit[[#This Row],[Audit Losing Candidate]:[Audit Candidate 12]])
      &lt;&gt;0,
      (Audit[[#This Row],[Winning Candidate]]-Audit[[#This Row],[Losing Candidate]]-(Audit[[#This Row],[Audit Winning Candidate]]-Audit[[#This Row],[Audit Losing Candidate]]))/(Audit[[#Totals],[Winning Candidate]]-Audit[[#Totals],[Losing Candidate]]),
      0
)</f>
        <v>0</v>
      </c>
      <c r="AV11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4" s="17">
        <f>IF(Audit[[#This Row],[Max Relative Error (ep)]] = 0, 0, Audit[[#This Row],[Max Relative Error (ep)]]/Audit[[#This Row],[Error Bound (up) - Max. possible relative overstatement]])</f>
        <v>0</v>
      </c>
      <c r="BH11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14" s="17">
        <f t="shared" si="18"/>
        <v>1</v>
      </c>
      <c r="BJ1114" s="17">
        <f>PRODUCT($BI$5:BI1114)</f>
        <v>0.1049814514595024</v>
      </c>
      <c r="BK1114" s="19">
        <f>1 - Audit[[#This Row],[K-M P Value]]</f>
        <v>0.89501854854049756</v>
      </c>
      <c r="BL1114" s="17" t="str">
        <f>IF(Audit[[#This Row],[K-M P Value]]&gt;1-'General Info'!$B$12,"Continue", "Stop")</f>
        <v>Continue</v>
      </c>
      <c r="BM1114" s="22" t="b">
        <f>IF(Audit[[#This Row],[Status - Continue or stop audit]] = "Continue", TRUE, IF(BL1113 = "Continue", TRUE, FALSE))</f>
        <v>1</v>
      </c>
      <c r="BN1114" s="22"/>
    </row>
    <row r="1115" spans="1:66" ht="15" hidden="1" customHeight="1" x14ac:dyDescent="0.35">
      <c r="A1115" s="17" t="str">
        <f>'Sampling Data'!AI1115</f>
        <v/>
      </c>
      <c r="B1115" s="17" t="str">
        <f>'Sampling Data'!A1115</f>
        <v>9106 SYMM F   (ED)</v>
      </c>
      <c r="C1115" s="17">
        <f>'Sampling Data'!B1115</f>
        <v>238</v>
      </c>
      <c r="D1115" s="17">
        <f>'Sampling Data'!C1115</f>
        <v>333</v>
      </c>
      <c r="E1115" s="18">
        <f>'Sampling Data'!D1115</f>
        <v>0</v>
      </c>
      <c r="F1115" s="18">
        <f>'Sampling Data'!E1115</f>
        <v>0</v>
      </c>
      <c r="G1115" s="18">
        <f>'Sampling Data'!F1115</f>
        <v>0</v>
      </c>
      <c r="H1115" s="18">
        <f>'Sampling Data'!G1115</f>
        <v>0</v>
      </c>
      <c r="I1115" s="18">
        <f>'Sampling Data'!H1115</f>
        <v>0</v>
      </c>
      <c r="J1115" s="18">
        <f>'Sampling Data'!I1115</f>
        <v>0</v>
      </c>
      <c r="K1115" s="18">
        <f>'Sampling Data'!J1115</f>
        <v>0</v>
      </c>
      <c r="L1115" s="18">
        <f>'Sampling Data'!K1115</f>
        <v>0</v>
      </c>
      <c r="M1115" s="18">
        <f>'Sampling Data'!L1115</f>
        <v>0</v>
      </c>
      <c r="N1115" s="18">
        <f>'Sampling Data'!M1115</f>
        <v>0</v>
      </c>
      <c r="O1115" s="17">
        <f>'Sampling Data'!N1115</f>
        <v>0</v>
      </c>
      <c r="P1115" s="17">
        <f>'Sampling Data'!O1115</f>
        <v>60</v>
      </c>
      <c r="Q1115" s="17">
        <f>'Sampling Data'!P1115</f>
        <v>631</v>
      </c>
      <c r="R1115" s="17">
        <f>'Sampling Data'!AJ1115</f>
        <v>0</v>
      </c>
      <c r="S1115" s="111"/>
      <c r="T1115" s="111"/>
      <c r="U1115" s="112"/>
      <c r="V1115" s="112"/>
      <c r="W1115" s="111"/>
      <c r="X1115" s="111"/>
      <c r="Y1115" s="111"/>
      <c r="Z1115" s="111"/>
      <c r="AA1115" s="14"/>
      <c r="AB1115" s="14"/>
      <c r="AC1115" s="14"/>
      <c r="AD1115" s="14"/>
      <c r="AE1115" s="113" t="str">
        <f>IF(NOT(ISBLANK(Audit[[#This Row],[Audit Winning Candidate]])), Audit[[#This Row],[Audit Winning Candidate]]-Audit[[#This Row],[Winning Candidate]], "")</f>
        <v/>
      </c>
      <c r="AF1115" s="17" t="str">
        <f>IF(NOT(ISBLANK(Audit[[#This Row],[Audit Losing Candidate]])), Audit[[#This Row],[Audit Losing Candidate]]-Audit[[#This Row],[Losing Candidate]], "")</f>
        <v/>
      </c>
      <c r="AG1115" s="17" t="str">
        <f>IF(NOT(ISBLANK(Audit[[#This Row],[Audit Candidate 3]])), Audit[[#This Row],[Audit Candidate 3]]-Audit[[#This Row],[Candidate 3]], "")</f>
        <v/>
      </c>
      <c r="AH1115" s="17" t="str">
        <f>IF(NOT(ISBLANK(Audit[[#This Row],[Audit Candidate 4]])),Audit[[#This Row],[Audit Candidate 4]]-Audit[[#This Row],[Candidate 4]], "")</f>
        <v/>
      </c>
      <c r="AI1115" s="17" t="str">
        <f>IF(NOT(ISBLANK(Audit[[#This Row],[Audit Candidate 5]])), Audit[[#This Row],[Audit Candidate 5]]-Audit[[#This Row],[Candidate 5]], "")</f>
        <v/>
      </c>
      <c r="AJ1115" s="17" t="str">
        <f>IF(NOT(ISBLANK(Audit[[#This Row],[Audit Candidate 6]])), Audit[[#This Row],[Audit Candidate 6]]-Audit[[#This Row],[Candidate 6]], "")</f>
        <v/>
      </c>
      <c r="AK1115" s="17" t="str">
        <f>IF(NOT(ISBLANK(Audit[[#This Row],[Audit Candidate 7]])), Audit[[#This Row],[Audit Candidate 7]]-Audit[[#This Row],[Candidate 7]], "")</f>
        <v/>
      </c>
      <c r="AL1115" s="17" t="str">
        <f>IF(NOT(ISBLANK(Audit[[#This Row],[Audit Candidate 8]])), Audit[[#This Row],[Audit Candidate 8]]-Audit[[#This Row],[Candidate 8]], "")</f>
        <v/>
      </c>
      <c r="AM1115" s="17" t="str">
        <f>IF(NOT(ISBLANK(Audit[[#This Row],[Audit Candidate 9]])), Audit[[#This Row],[Audit Candidate 9]]-Audit[[#This Row],[Candidate 9]], "")</f>
        <v/>
      </c>
      <c r="AN1115" s="17" t="str">
        <f>IF(NOT(ISBLANK(Audit[[#This Row],[Audit Candidate 10]])), Audit[[#This Row],[Audit Candidate 10]]-Audit[[#This Row],[Candidate 10]], "")</f>
        <v/>
      </c>
      <c r="AO1115" s="17" t="str">
        <f>IF(NOT(ISBLANK(Audit[[#This Row],[Audit Candidate 11]])), Audit[[#This Row],[Audit Candidate 11]]-Audit[[#This Row],[Candidate 11]], "")</f>
        <v/>
      </c>
      <c r="AP1115" s="17" t="str">
        <f>IF(NOT(ISBLANK(Audit[[#This Row],[Audit Candidate 12]])), Audit[[#This Row],[Audit Candidate 12]]-Audit[[#This Row],[Candidate 12]], "")</f>
        <v/>
      </c>
      <c r="AQ1115" s="17">
        <f>SUMIF(Audit[[#This Row],[Difference Winner]:[Difference Candidate 12]], "&gt;0")</f>
        <v>0</v>
      </c>
      <c r="AR1115" s="17">
        <f>SUM(Audit[[#This Row],[Difference Winner]:[Difference Candidate 12]])</f>
        <v>0</v>
      </c>
      <c r="AS1115" s="17">
        <f>IF(Audit[[#This Row],[Times p Drawn - With Replacement]]&gt;0, IF(Audit[[#This Row],[Canceled Differences]]&lt;0, Audit[[#This Row],[Max Differences]]+ABS(Audit[[#This Row],[Canceled Differences]]), Audit[[#This Row],[Max Differences]]), 0)</f>
        <v>0</v>
      </c>
      <c r="AT1115" s="17">
        <f>'Sampling Data'!AB1115</f>
        <v>2.2746562553047019E-2</v>
      </c>
      <c r="AU1115" s="17">
        <f>IF(
      SUM(Audit[[#This Row],[Audit Losing Candidate]:[Audit Candidate 12]])
      &lt;&gt;0,
      (Audit[[#This Row],[Winning Candidate]]-Audit[[#This Row],[Losing Candidate]]-(Audit[[#This Row],[Audit Winning Candidate]]-Audit[[#This Row],[Audit Losing Candidate]]))/(Audit[[#Totals],[Winning Candidate]]-Audit[[#Totals],[Losing Candidate]]),
      0
)</f>
        <v>0</v>
      </c>
      <c r="AV11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5" s="17">
        <f>IF(Audit[[#This Row],[Max Relative Error (ep)]] = 0, 0, Audit[[#This Row],[Max Relative Error (ep)]]/Audit[[#This Row],[Error Bound (up) - Max. possible relative overstatement]])</f>
        <v>0</v>
      </c>
      <c r="BH11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15" s="17">
        <f t="shared" si="18"/>
        <v>1</v>
      </c>
      <c r="BJ1115" s="17">
        <f>PRODUCT($BI$5:BI1115)</f>
        <v>0.1049814514595024</v>
      </c>
      <c r="BK1115" s="19">
        <f>1 - Audit[[#This Row],[K-M P Value]]</f>
        <v>0.89501854854049756</v>
      </c>
      <c r="BL1115" s="17" t="str">
        <f>IF(Audit[[#This Row],[K-M P Value]]&gt;1-'General Info'!$B$12,"Continue", "Stop")</f>
        <v>Continue</v>
      </c>
      <c r="BM1115" s="22" t="b">
        <f>IF(Audit[[#This Row],[Status - Continue or stop audit]] = "Continue", TRUE, IF(BL1114 = "Continue", TRUE, FALSE))</f>
        <v>1</v>
      </c>
      <c r="BN1115" s="22"/>
    </row>
    <row r="1116" spans="1:66" ht="15" hidden="1" customHeight="1" x14ac:dyDescent="0.35">
      <c r="A1116" s="17" t="str">
        <f>'Sampling Data'!AI1116</f>
        <v/>
      </c>
      <c r="B1116" s="17" t="str">
        <f>'Sampling Data'!A1116</f>
        <v>9107 SYMM G   (ED)</v>
      </c>
      <c r="C1116" s="17">
        <f>'Sampling Data'!B1116</f>
        <v>141</v>
      </c>
      <c r="D1116" s="17">
        <f>'Sampling Data'!C1116</f>
        <v>153</v>
      </c>
      <c r="E1116" s="18">
        <f>'Sampling Data'!D1116</f>
        <v>0</v>
      </c>
      <c r="F1116" s="18">
        <f>'Sampling Data'!E1116</f>
        <v>0</v>
      </c>
      <c r="G1116" s="18">
        <f>'Sampling Data'!F1116</f>
        <v>0</v>
      </c>
      <c r="H1116" s="18">
        <f>'Sampling Data'!G1116</f>
        <v>0</v>
      </c>
      <c r="I1116" s="18">
        <f>'Sampling Data'!H1116</f>
        <v>0</v>
      </c>
      <c r="J1116" s="18">
        <f>'Sampling Data'!I1116</f>
        <v>0</v>
      </c>
      <c r="K1116" s="18">
        <f>'Sampling Data'!J1116</f>
        <v>0</v>
      </c>
      <c r="L1116" s="18">
        <f>'Sampling Data'!K1116</f>
        <v>0</v>
      </c>
      <c r="M1116" s="18">
        <f>'Sampling Data'!L1116</f>
        <v>0</v>
      </c>
      <c r="N1116" s="18">
        <f>'Sampling Data'!M1116</f>
        <v>0</v>
      </c>
      <c r="O1116" s="17">
        <f>'Sampling Data'!N1116</f>
        <v>0</v>
      </c>
      <c r="P1116" s="17">
        <f>'Sampling Data'!O1116</f>
        <v>15</v>
      </c>
      <c r="Q1116" s="17">
        <f>'Sampling Data'!P1116</f>
        <v>309</v>
      </c>
      <c r="R1116" s="17">
        <f>'Sampling Data'!AJ1116</f>
        <v>0</v>
      </c>
      <c r="S1116" s="111"/>
      <c r="T1116" s="111"/>
      <c r="U1116" s="112"/>
      <c r="V1116" s="112"/>
      <c r="W1116" s="111"/>
      <c r="X1116" s="111"/>
      <c r="Y1116" s="111"/>
      <c r="Z1116" s="111"/>
      <c r="AA1116" s="14"/>
      <c r="AB1116" s="14"/>
      <c r="AC1116" s="14"/>
      <c r="AD1116" s="14"/>
      <c r="AE1116" s="113" t="str">
        <f>IF(NOT(ISBLANK(Audit[[#This Row],[Audit Winning Candidate]])), Audit[[#This Row],[Audit Winning Candidate]]-Audit[[#This Row],[Winning Candidate]], "")</f>
        <v/>
      </c>
      <c r="AF1116" s="17" t="str">
        <f>IF(NOT(ISBLANK(Audit[[#This Row],[Audit Losing Candidate]])), Audit[[#This Row],[Audit Losing Candidate]]-Audit[[#This Row],[Losing Candidate]], "")</f>
        <v/>
      </c>
      <c r="AG1116" s="17" t="str">
        <f>IF(NOT(ISBLANK(Audit[[#This Row],[Audit Candidate 3]])), Audit[[#This Row],[Audit Candidate 3]]-Audit[[#This Row],[Candidate 3]], "")</f>
        <v/>
      </c>
      <c r="AH1116" s="17" t="str">
        <f>IF(NOT(ISBLANK(Audit[[#This Row],[Audit Candidate 4]])),Audit[[#This Row],[Audit Candidate 4]]-Audit[[#This Row],[Candidate 4]], "")</f>
        <v/>
      </c>
      <c r="AI1116" s="17" t="str">
        <f>IF(NOT(ISBLANK(Audit[[#This Row],[Audit Candidate 5]])), Audit[[#This Row],[Audit Candidate 5]]-Audit[[#This Row],[Candidate 5]], "")</f>
        <v/>
      </c>
      <c r="AJ1116" s="17" t="str">
        <f>IF(NOT(ISBLANK(Audit[[#This Row],[Audit Candidate 6]])), Audit[[#This Row],[Audit Candidate 6]]-Audit[[#This Row],[Candidate 6]], "")</f>
        <v/>
      </c>
      <c r="AK1116" s="17" t="str">
        <f>IF(NOT(ISBLANK(Audit[[#This Row],[Audit Candidate 7]])), Audit[[#This Row],[Audit Candidate 7]]-Audit[[#This Row],[Candidate 7]], "")</f>
        <v/>
      </c>
      <c r="AL1116" s="17" t="str">
        <f>IF(NOT(ISBLANK(Audit[[#This Row],[Audit Candidate 8]])), Audit[[#This Row],[Audit Candidate 8]]-Audit[[#This Row],[Candidate 8]], "")</f>
        <v/>
      </c>
      <c r="AM1116" s="17" t="str">
        <f>IF(NOT(ISBLANK(Audit[[#This Row],[Audit Candidate 9]])), Audit[[#This Row],[Audit Candidate 9]]-Audit[[#This Row],[Candidate 9]], "")</f>
        <v/>
      </c>
      <c r="AN1116" s="17" t="str">
        <f>IF(NOT(ISBLANK(Audit[[#This Row],[Audit Candidate 10]])), Audit[[#This Row],[Audit Candidate 10]]-Audit[[#This Row],[Candidate 10]], "")</f>
        <v/>
      </c>
      <c r="AO1116" s="17" t="str">
        <f>IF(NOT(ISBLANK(Audit[[#This Row],[Audit Candidate 11]])), Audit[[#This Row],[Audit Candidate 11]]-Audit[[#This Row],[Candidate 11]], "")</f>
        <v/>
      </c>
      <c r="AP1116" s="17" t="str">
        <f>IF(NOT(ISBLANK(Audit[[#This Row],[Audit Candidate 12]])), Audit[[#This Row],[Audit Candidate 12]]-Audit[[#This Row],[Candidate 12]], "")</f>
        <v/>
      </c>
      <c r="AQ1116" s="17">
        <f>SUMIF(Audit[[#This Row],[Difference Winner]:[Difference Candidate 12]], "&gt;0")</f>
        <v>0</v>
      </c>
      <c r="AR1116" s="17">
        <f>SUM(Audit[[#This Row],[Difference Winner]:[Difference Candidate 12]])</f>
        <v>0</v>
      </c>
      <c r="AS1116" s="17">
        <f>IF(Audit[[#This Row],[Times p Drawn - With Replacement]]&gt;0, IF(Audit[[#This Row],[Canceled Differences]]&lt;0, Audit[[#This Row],[Max Differences]]+ABS(Audit[[#This Row],[Canceled Differences]]), Audit[[#This Row],[Max Differences]]), 0)</f>
        <v>0</v>
      </c>
      <c r="AT1116" s="17">
        <f>'Sampling Data'!AB1116</f>
        <v>1.2603972160923443E-2</v>
      </c>
      <c r="AU1116" s="17">
        <f>IF(
      SUM(Audit[[#This Row],[Audit Losing Candidate]:[Audit Candidate 12]])
      &lt;&gt;0,
      (Audit[[#This Row],[Winning Candidate]]-Audit[[#This Row],[Losing Candidate]]-(Audit[[#This Row],[Audit Winning Candidate]]-Audit[[#This Row],[Audit Losing Candidate]]))/(Audit[[#Totals],[Winning Candidate]]-Audit[[#Totals],[Losing Candidate]]),
      0
)</f>
        <v>0</v>
      </c>
      <c r="AV11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6" s="17">
        <f>IF(Audit[[#This Row],[Max Relative Error (ep)]] = 0, 0, Audit[[#This Row],[Max Relative Error (ep)]]/Audit[[#This Row],[Error Bound (up) - Max. possible relative overstatement]])</f>
        <v>0</v>
      </c>
      <c r="BH11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16" s="17">
        <f t="shared" si="18"/>
        <v>1</v>
      </c>
      <c r="BJ1116" s="17">
        <f>PRODUCT($BI$5:BI1116)</f>
        <v>0.1049814514595024</v>
      </c>
      <c r="BK1116" s="19">
        <f>1 - Audit[[#This Row],[K-M P Value]]</f>
        <v>0.89501854854049756</v>
      </c>
      <c r="BL1116" s="17" t="str">
        <f>IF(Audit[[#This Row],[K-M P Value]]&gt;1-'General Info'!$B$12,"Continue", "Stop")</f>
        <v>Continue</v>
      </c>
      <c r="BM1116" s="22" t="b">
        <f>IF(Audit[[#This Row],[Status - Continue or stop audit]] = "Continue", TRUE, IF(BL1115 = "Continue", TRUE, FALSE))</f>
        <v>1</v>
      </c>
      <c r="BN1116" s="22"/>
    </row>
    <row r="1117" spans="1:66" ht="15" hidden="1" customHeight="1" x14ac:dyDescent="0.35">
      <c r="A1117" s="17" t="str">
        <f>'Sampling Data'!AI1117</f>
        <v/>
      </c>
      <c r="B1117" s="17" t="str">
        <f>'Sampling Data'!A1117</f>
        <v>9108 SYMM H   (ED)</v>
      </c>
      <c r="C1117" s="17">
        <f>'Sampling Data'!B1117</f>
        <v>86</v>
      </c>
      <c r="D1117" s="17">
        <f>'Sampling Data'!C1117</f>
        <v>145</v>
      </c>
      <c r="E1117" s="18">
        <f>'Sampling Data'!D1117</f>
        <v>0</v>
      </c>
      <c r="F1117" s="18">
        <f>'Sampling Data'!E1117</f>
        <v>0</v>
      </c>
      <c r="G1117" s="18">
        <f>'Sampling Data'!F1117</f>
        <v>0</v>
      </c>
      <c r="H1117" s="18">
        <f>'Sampling Data'!G1117</f>
        <v>0</v>
      </c>
      <c r="I1117" s="18">
        <f>'Sampling Data'!H1117</f>
        <v>0</v>
      </c>
      <c r="J1117" s="18">
        <f>'Sampling Data'!I1117</f>
        <v>0</v>
      </c>
      <c r="K1117" s="18">
        <f>'Sampling Data'!J1117</f>
        <v>0</v>
      </c>
      <c r="L1117" s="18">
        <f>'Sampling Data'!K1117</f>
        <v>0</v>
      </c>
      <c r="M1117" s="18">
        <f>'Sampling Data'!L1117</f>
        <v>0</v>
      </c>
      <c r="N1117" s="18">
        <f>'Sampling Data'!M1117</f>
        <v>0</v>
      </c>
      <c r="O1117" s="17">
        <f>'Sampling Data'!N1117</f>
        <v>0</v>
      </c>
      <c r="P1117" s="17">
        <f>'Sampling Data'!O1117</f>
        <v>19</v>
      </c>
      <c r="Q1117" s="17">
        <f>'Sampling Data'!P1117</f>
        <v>250</v>
      </c>
      <c r="R1117" s="17">
        <f>'Sampling Data'!AJ1117</f>
        <v>0</v>
      </c>
      <c r="S1117" s="111"/>
      <c r="T1117" s="111"/>
      <c r="U1117" s="112"/>
      <c r="V1117" s="112"/>
      <c r="W1117" s="111"/>
      <c r="X1117" s="111"/>
      <c r="Y1117" s="111"/>
      <c r="Z1117" s="111"/>
      <c r="AA1117" s="14"/>
      <c r="AB1117" s="14"/>
      <c r="AC1117" s="14"/>
      <c r="AD1117" s="14"/>
      <c r="AE1117" s="113" t="str">
        <f>IF(NOT(ISBLANK(Audit[[#This Row],[Audit Winning Candidate]])), Audit[[#This Row],[Audit Winning Candidate]]-Audit[[#This Row],[Winning Candidate]], "")</f>
        <v/>
      </c>
      <c r="AF1117" s="17" t="str">
        <f>IF(NOT(ISBLANK(Audit[[#This Row],[Audit Losing Candidate]])), Audit[[#This Row],[Audit Losing Candidate]]-Audit[[#This Row],[Losing Candidate]], "")</f>
        <v/>
      </c>
      <c r="AG1117" s="17" t="str">
        <f>IF(NOT(ISBLANK(Audit[[#This Row],[Audit Candidate 3]])), Audit[[#This Row],[Audit Candidate 3]]-Audit[[#This Row],[Candidate 3]], "")</f>
        <v/>
      </c>
      <c r="AH1117" s="17" t="str">
        <f>IF(NOT(ISBLANK(Audit[[#This Row],[Audit Candidate 4]])),Audit[[#This Row],[Audit Candidate 4]]-Audit[[#This Row],[Candidate 4]], "")</f>
        <v/>
      </c>
      <c r="AI1117" s="17" t="str">
        <f>IF(NOT(ISBLANK(Audit[[#This Row],[Audit Candidate 5]])), Audit[[#This Row],[Audit Candidate 5]]-Audit[[#This Row],[Candidate 5]], "")</f>
        <v/>
      </c>
      <c r="AJ1117" s="17" t="str">
        <f>IF(NOT(ISBLANK(Audit[[#This Row],[Audit Candidate 6]])), Audit[[#This Row],[Audit Candidate 6]]-Audit[[#This Row],[Candidate 6]], "")</f>
        <v/>
      </c>
      <c r="AK1117" s="17" t="str">
        <f>IF(NOT(ISBLANK(Audit[[#This Row],[Audit Candidate 7]])), Audit[[#This Row],[Audit Candidate 7]]-Audit[[#This Row],[Candidate 7]], "")</f>
        <v/>
      </c>
      <c r="AL1117" s="17" t="str">
        <f>IF(NOT(ISBLANK(Audit[[#This Row],[Audit Candidate 8]])), Audit[[#This Row],[Audit Candidate 8]]-Audit[[#This Row],[Candidate 8]], "")</f>
        <v/>
      </c>
      <c r="AM1117" s="17" t="str">
        <f>IF(NOT(ISBLANK(Audit[[#This Row],[Audit Candidate 9]])), Audit[[#This Row],[Audit Candidate 9]]-Audit[[#This Row],[Candidate 9]], "")</f>
        <v/>
      </c>
      <c r="AN1117" s="17" t="str">
        <f>IF(NOT(ISBLANK(Audit[[#This Row],[Audit Candidate 10]])), Audit[[#This Row],[Audit Candidate 10]]-Audit[[#This Row],[Candidate 10]], "")</f>
        <v/>
      </c>
      <c r="AO1117" s="17" t="str">
        <f>IF(NOT(ISBLANK(Audit[[#This Row],[Audit Candidate 11]])), Audit[[#This Row],[Audit Candidate 11]]-Audit[[#This Row],[Candidate 11]], "")</f>
        <v/>
      </c>
      <c r="AP1117" s="17" t="str">
        <f>IF(NOT(ISBLANK(Audit[[#This Row],[Audit Candidate 12]])), Audit[[#This Row],[Audit Candidate 12]]-Audit[[#This Row],[Candidate 12]], "")</f>
        <v/>
      </c>
      <c r="AQ1117" s="17">
        <f>SUMIF(Audit[[#This Row],[Difference Winner]:[Difference Candidate 12]], "&gt;0")</f>
        <v>0</v>
      </c>
      <c r="AR1117" s="17">
        <f>SUM(Audit[[#This Row],[Difference Winner]:[Difference Candidate 12]])</f>
        <v>0</v>
      </c>
      <c r="AS1117" s="17">
        <f>IF(Audit[[#This Row],[Times p Drawn - With Replacement]]&gt;0, IF(Audit[[#This Row],[Canceled Differences]]&lt;0, Audit[[#This Row],[Max Differences]]+ABS(Audit[[#This Row],[Canceled Differences]]), Audit[[#This Row],[Max Differences]]), 0)</f>
        <v>0</v>
      </c>
      <c r="AT1117" s="17">
        <f>'Sampling Data'!AB1117</f>
        <v>8.1055847903581738E-3</v>
      </c>
      <c r="AU1117" s="17">
        <f>IF(
      SUM(Audit[[#This Row],[Audit Losing Candidate]:[Audit Candidate 12]])
      &lt;&gt;0,
      (Audit[[#This Row],[Winning Candidate]]-Audit[[#This Row],[Losing Candidate]]-(Audit[[#This Row],[Audit Winning Candidate]]-Audit[[#This Row],[Audit Losing Candidate]]))/(Audit[[#Totals],[Winning Candidate]]-Audit[[#Totals],[Losing Candidate]]),
      0
)</f>
        <v>0</v>
      </c>
      <c r="AV11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7" s="17">
        <f>IF(Audit[[#This Row],[Max Relative Error (ep)]] = 0, 0, Audit[[#This Row],[Max Relative Error (ep)]]/Audit[[#This Row],[Error Bound (up) - Max. possible relative overstatement]])</f>
        <v>0</v>
      </c>
      <c r="BH11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17" s="17">
        <f t="shared" si="18"/>
        <v>1</v>
      </c>
      <c r="BJ1117" s="17">
        <f>PRODUCT($BI$5:BI1117)</f>
        <v>0.1049814514595024</v>
      </c>
      <c r="BK1117" s="19">
        <f>1 - Audit[[#This Row],[K-M P Value]]</f>
        <v>0.89501854854049756</v>
      </c>
      <c r="BL1117" s="17" t="str">
        <f>IF(Audit[[#This Row],[K-M P Value]]&gt;1-'General Info'!$B$12,"Continue", "Stop")</f>
        <v>Continue</v>
      </c>
      <c r="BM1117" s="22" t="b">
        <f>IF(Audit[[#This Row],[Status - Continue or stop audit]] = "Continue", TRUE, IF(BL1116 = "Continue", TRUE, FALSE))</f>
        <v>1</v>
      </c>
      <c r="BN1117" s="22"/>
    </row>
    <row r="1118" spans="1:66" ht="15" hidden="1" customHeight="1" x14ac:dyDescent="0.35">
      <c r="A1118" s="17" t="str">
        <f>'Sampling Data'!AI1118</f>
        <v/>
      </c>
      <c r="B1118" s="17" t="str">
        <f>'Sampling Data'!A1118</f>
        <v>9109 SYMM I   (ED)</v>
      </c>
      <c r="C1118" s="17">
        <f>'Sampling Data'!B1118</f>
        <v>155</v>
      </c>
      <c r="D1118" s="17">
        <f>'Sampling Data'!C1118</f>
        <v>131</v>
      </c>
      <c r="E1118" s="18">
        <f>'Sampling Data'!D1118</f>
        <v>0</v>
      </c>
      <c r="F1118" s="18">
        <f>'Sampling Data'!E1118</f>
        <v>0</v>
      </c>
      <c r="G1118" s="18">
        <f>'Sampling Data'!F1118</f>
        <v>0</v>
      </c>
      <c r="H1118" s="18">
        <f>'Sampling Data'!G1118</f>
        <v>0</v>
      </c>
      <c r="I1118" s="18">
        <f>'Sampling Data'!H1118</f>
        <v>0</v>
      </c>
      <c r="J1118" s="18">
        <f>'Sampling Data'!I1118</f>
        <v>0</v>
      </c>
      <c r="K1118" s="18">
        <f>'Sampling Data'!J1118</f>
        <v>0</v>
      </c>
      <c r="L1118" s="18">
        <f>'Sampling Data'!K1118</f>
        <v>0</v>
      </c>
      <c r="M1118" s="18">
        <f>'Sampling Data'!L1118</f>
        <v>0</v>
      </c>
      <c r="N1118" s="18">
        <f>'Sampling Data'!M1118</f>
        <v>0</v>
      </c>
      <c r="O1118" s="17">
        <f>'Sampling Data'!N1118</f>
        <v>0</v>
      </c>
      <c r="P1118" s="17">
        <f>'Sampling Data'!O1118</f>
        <v>27</v>
      </c>
      <c r="Q1118" s="17">
        <f>'Sampling Data'!P1118</f>
        <v>313</v>
      </c>
      <c r="R1118" s="17">
        <f>'Sampling Data'!AJ1118</f>
        <v>0</v>
      </c>
      <c r="S1118" s="111"/>
      <c r="T1118" s="111"/>
      <c r="U1118" s="112"/>
      <c r="V1118" s="112"/>
      <c r="W1118" s="111"/>
      <c r="X1118" s="111"/>
      <c r="Y1118" s="111"/>
      <c r="Z1118" s="111"/>
      <c r="AA1118" s="14"/>
      <c r="AB1118" s="14"/>
      <c r="AC1118" s="14"/>
      <c r="AD1118" s="14"/>
      <c r="AE1118" s="113" t="str">
        <f>IF(NOT(ISBLANK(Audit[[#This Row],[Audit Winning Candidate]])), Audit[[#This Row],[Audit Winning Candidate]]-Audit[[#This Row],[Winning Candidate]], "")</f>
        <v/>
      </c>
      <c r="AF1118" s="17" t="str">
        <f>IF(NOT(ISBLANK(Audit[[#This Row],[Audit Losing Candidate]])), Audit[[#This Row],[Audit Losing Candidate]]-Audit[[#This Row],[Losing Candidate]], "")</f>
        <v/>
      </c>
      <c r="AG1118" s="17" t="str">
        <f>IF(NOT(ISBLANK(Audit[[#This Row],[Audit Candidate 3]])), Audit[[#This Row],[Audit Candidate 3]]-Audit[[#This Row],[Candidate 3]], "")</f>
        <v/>
      </c>
      <c r="AH1118" s="17" t="str">
        <f>IF(NOT(ISBLANK(Audit[[#This Row],[Audit Candidate 4]])),Audit[[#This Row],[Audit Candidate 4]]-Audit[[#This Row],[Candidate 4]], "")</f>
        <v/>
      </c>
      <c r="AI1118" s="17" t="str">
        <f>IF(NOT(ISBLANK(Audit[[#This Row],[Audit Candidate 5]])), Audit[[#This Row],[Audit Candidate 5]]-Audit[[#This Row],[Candidate 5]], "")</f>
        <v/>
      </c>
      <c r="AJ1118" s="17" t="str">
        <f>IF(NOT(ISBLANK(Audit[[#This Row],[Audit Candidate 6]])), Audit[[#This Row],[Audit Candidate 6]]-Audit[[#This Row],[Candidate 6]], "")</f>
        <v/>
      </c>
      <c r="AK1118" s="17" t="str">
        <f>IF(NOT(ISBLANK(Audit[[#This Row],[Audit Candidate 7]])), Audit[[#This Row],[Audit Candidate 7]]-Audit[[#This Row],[Candidate 7]], "")</f>
        <v/>
      </c>
      <c r="AL1118" s="17" t="str">
        <f>IF(NOT(ISBLANK(Audit[[#This Row],[Audit Candidate 8]])), Audit[[#This Row],[Audit Candidate 8]]-Audit[[#This Row],[Candidate 8]], "")</f>
        <v/>
      </c>
      <c r="AM1118" s="17" t="str">
        <f>IF(NOT(ISBLANK(Audit[[#This Row],[Audit Candidate 9]])), Audit[[#This Row],[Audit Candidate 9]]-Audit[[#This Row],[Candidate 9]], "")</f>
        <v/>
      </c>
      <c r="AN1118" s="17" t="str">
        <f>IF(NOT(ISBLANK(Audit[[#This Row],[Audit Candidate 10]])), Audit[[#This Row],[Audit Candidate 10]]-Audit[[#This Row],[Candidate 10]], "")</f>
        <v/>
      </c>
      <c r="AO1118" s="17" t="str">
        <f>IF(NOT(ISBLANK(Audit[[#This Row],[Audit Candidate 11]])), Audit[[#This Row],[Audit Candidate 11]]-Audit[[#This Row],[Candidate 11]], "")</f>
        <v/>
      </c>
      <c r="AP1118" s="17" t="str">
        <f>IF(NOT(ISBLANK(Audit[[#This Row],[Audit Candidate 12]])), Audit[[#This Row],[Audit Candidate 12]]-Audit[[#This Row],[Candidate 12]], "")</f>
        <v/>
      </c>
      <c r="AQ1118" s="17">
        <f>SUMIF(Audit[[#This Row],[Difference Winner]:[Difference Candidate 12]], "&gt;0")</f>
        <v>0</v>
      </c>
      <c r="AR1118" s="17">
        <f>SUM(Audit[[#This Row],[Difference Winner]:[Difference Candidate 12]])</f>
        <v>0</v>
      </c>
      <c r="AS1118" s="17">
        <f>IF(Audit[[#This Row],[Times p Drawn - With Replacement]]&gt;0, IF(Audit[[#This Row],[Canceled Differences]]&lt;0, Audit[[#This Row],[Max Differences]]+ABS(Audit[[#This Row],[Canceled Differences]]), Audit[[#This Row],[Max Differences]]), 0)</f>
        <v>0</v>
      </c>
      <c r="AT1118" s="17">
        <f>'Sampling Data'!AB1118</f>
        <v>1.430147682906128E-2</v>
      </c>
      <c r="AU1118" s="17">
        <f>IF(
      SUM(Audit[[#This Row],[Audit Losing Candidate]:[Audit Candidate 12]])
      &lt;&gt;0,
      (Audit[[#This Row],[Winning Candidate]]-Audit[[#This Row],[Losing Candidate]]-(Audit[[#This Row],[Audit Winning Candidate]]-Audit[[#This Row],[Audit Losing Candidate]]))/(Audit[[#Totals],[Winning Candidate]]-Audit[[#Totals],[Losing Candidate]]),
      0
)</f>
        <v>0</v>
      </c>
      <c r="AV11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8" s="17">
        <f>IF(Audit[[#This Row],[Max Relative Error (ep)]] = 0, 0, Audit[[#This Row],[Max Relative Error (ep)]]/Audit[[#This Row],[Error Bound (up) - Max. possible relative overstatement]])</f>
        <v>0</v>
      </c>
      <c r="BH11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18" s="17">
        <f t="shared" si="18"/>
        <v>1</v>
      </c>
      <c r="BJ1118" s="17">
        <f>PRODUCT($BI$5:BI1118)</f>
        <v>0.1049814514595024</v>
      </c>
      <c r="BK1118" s="19">
        <f>1 - Audit[[#This Row],[K-M P Value]]</f>
        <v>0.89501854854049756</v>
      </c>
      <c r="BL1118" s="17" t="str">
        <f>IF(Audit[[#This Row],[K-M P Value]]&gt;1-'General Info'!$B$12,"Continue", "Stop")</f>
        <v>Continue</v>
      </c>
      <c r="BM1118" s="22" t="b">
        <f>IF(Audit[[#This Row],[Status - Continue or stop audit]] = "Continue", TRUE, IF(BL1117 = "Continue", TRUE, FALSE))</f>
        <v>1</v>
      </c>
      <c r="BN1118" s="22"/>
    </row>
    <row r="1119" spans="1:66" ht="15" hidden="1" customHeight="1" x14ac:dyDescent="0.35">
      <c r="A1119" s="17" t="str">
        <f>'Sampling Data'!AI1119</f>
        <v/>
      </c>
      <c r="B1119" s="17" t="str">
        <f>'Sampling Data'!A1119</f>
        <v>9110 SYMM J   (ED)</v>
      </c>
      <c r="C1119" s="17">
        <f>'Sampling Data'!B1119</f>
        <v>186</v>
      </c>
      <c r="D1119" s="17">
        <f>'Sampling Data'!C1119</f>
        <v>306</v>
      </c>
      <c r="E1119" s="18">
        <f>'Sampling Data'!D1119</f>
        <v>0</v>
      </c>
      <c r="F1119" s="18">
        <f>'Sampling Data'!E1119</f>
        <v>0</v>
      </c>
      <c r="G1119" s="18">
        <f>'Sampling Data'!F1119</f>
        <v>0</v>
      </c>
      <c r="H1119" s="18">
        <f>'Sampling Data'!G1119</f>
        <v>0</v>
      </c>
      <c r="I1119" s="18">
        <f>'Sampling Data'!H1119</f>
        <v>0</v>
      </c>
      <c r="J1119" s="18">
        <f>'Sampling Data'!I1119</f>
        <v>0</v>
      </c>
      <c r="K1119" s="18">
        <f>'Sampling Data'!J1119</f>
        <v>0</v>
      </c>
      <c r="L1119" s="18">
        <f>'Sampling Data'!K1119</f>
        <v>0</v>
      </c>
      <c r="M1119" s="18">
        <f>'Sampling Data'!L1119</f>
        <v>0</v>
      </c>
      <c r="N1119" s="18">
        <f>'Sampling Data'!M1119</f>
        <v>0</v>
      </c>
      <c r="O1119" s="17">
        <f>'Sampling Data'!N1119</f>
        <v>0</v>
      </c>
      <c r="P1119" s="17">
        <f>'Sampling Data'!O1119</f>
        <v>45</v>
      </c>
      <c r="Q1119" s="17">
        <f>'Sampling Data'!P1119</f>
        <v>537</v>
      </c>
      <c r="R1119" s="17">
        <f>'Sampling Data'!AJ1119</f>
        <v>0</v>
      </c>
      <c r="S1119" s="111"/>
      <c r="T1119" s="111"/>
      <c r="U1119" s="112"/>
      <c r="V1119" s="112"/>
      <c r="W1119" s="111"/>
      <c r="X1119" s="111"/>
      <c r="Y1119" s="111"/>
      <c r="Z1119" s="111"/>
      <c r="AA1119" s="14"/>
      <c r="AB1119" s="14"/>
      <c r="AC1119" s="14"/>
      <c r="AD1119" s="14"/>
      <c r="AE1119" s="113" t="str">
        <f>IF(NOT(ISBLANK(Audit[[#This Row],[Audit Winning Candidate]])), Audit[[#This Row],[Audit Winning Candidate]]-Audit[[#This Row],[Winning Candidate]], "")</f>
        <v/>
      </c>
      <c r="AF1119" s="17" t="str">
        <f>IF(NOT(ISBLANK(Audit[[#This Row],[Audit Losing Candidate]])), Audit[[#This Row],[Audit Losing Candidate]]-Audit[[#This Row],[Losing Candidate]], "")</f>
        <v/>
      </c>
      <c r="AG1119" s="17" t="str">
        <f>IF(NOT(ISBLANK(Audit[[#This Row],[Audit Candidate 3]])), Audit[[#This Row],[Audit Candidate 3]]-Audit[[#This Row],[Candidate 3]], "")</f>
        <v/>
      </c>
      <c r="AH1119" s="17" t="str">
        <f>IF(NOT(ISBLANK(Audit[[#This Row],[Audit Candidate 4]])),Audit[[#This Row],[Audit Candidate 4]]-Audit[[#This Row],[Candidate 4]], "")</f>
        <v/>
      </c>
      <c r="AI1119" s="17" t="str">
        <f>IF(NOT(ISBLANK(Audit[[#This Row],[Audit Candidate 5]])), Audit[[#This Row],[Audit Candidate 5]]-Audit[[#This Row],[Candidate 5]], "")</f>
        <v/>
      </c>
      <c r="AJ1119" s="17" t="str">
        <f>IF(NOT(ISBLANK(Audit[[#This Row],[Audit Candidate 6]])), Audit[[#This Row],[Audit Candidate 6]]-Audit[[#This Row],[Candidate 6]], "")</f>
        <v/>
      </c>
      <c r="AK1119" s="17" t="str">
        <f>IF(NOT(ISBLANK(Audit[[#This Row],[Audit Candidate 7]])), Audit[[#This Row],[Audit Candidate 7]]-Audit[[#This Row],[Candidate 7]], "")</f>
        <v/>
      </c>
      <c r="AL1119" s="17" t="str">
        <f>IF(NOT(ISBLANK(Audit[[#This Row],[Audit Candidate 8]])), Audit[[#This Row],[Audit Candidate 8]]-Audit[[#This Row],[Candidate 8]], "")</f>
        <v/>
      </c>
      <c r="AM1119" s="17" t="str">
        <f>IF(NOT(ISBLANK(Audit[[#This Row],[Audit Candidate 9]])), Audit[[#This Row],[Audit Candidate 9]]-Audit[[#This Row],[Candidate 9]], "")</f>
        <v/>
      </c>
      <c r="AN1119" s="17" t="str">
        <f>IF(NOT(ISBLANK(Audit[[#This Row],[Audit Candidate 10]])), Audit[[#This Row],[Audit Candidate 10]]-Audit[[#This Row],[Candidate 10]], "")</f>
        <v/>
      </c>
      <c r="AO1119" s="17" t="str">
        <f>IF(NOT(ISBLANK(Audit[[#This Row],[Audit Candidate 11]])), Audit[[#This Row],[Audit Candidate 11]]-Audit[[#This Row],[Candidate 11]], "")</f>
        <v/>
      </c>
      <c r="AP1119" s="17" t="str">
        <f>IF(NOT(ISBLANK(Audit[[#This Row],[Audit Candidate 12]])), Audit[[#This Row],[Audit Candidate 12]]-Audit[[#This Row],[Candidate 12]], "")</f>
        <v/>
      </c>
      <c r="AQ1119" s="17">
        <f>SUMIF(Audit[[#This Row],[Difference Winner]:[Difference Candidate 12]], "&gt;0")</f>
        <v>0</v>
      </c>
      <c r="AR1119" s="17">
        <f>SUM(Audit[[#This Row],[Difference Winner]:[Difference Candidate 12]])</f>
        <v>0</v>
      </c>
      <c r="AS1119" s="17">
        <f>IF(Audit[[#This Row],[Times p Drawn - With Replacement]]&gt;0, IF(Audit[[#This Row],[Canceled Differences]]&lt;0, Audit[[#This Row],[Max Differences]]+ABS(Audit[[#This Row],[Canceled Differences]]), Audit[[#This Row],[Max Differences]]), 0)</f>
        <v>0</v>
      </c>
      <c r="AT1119" s="17">
        <f>'Sampling Data'!AB1119</f>
        <v>1.7696486165336953E-2</v>
      </c>
      <c r="AU1119" s="17">
        <f>IF(
      SUM(Audit[[#This Row],[Audit Losing Candidate]:[Audit Candidate 12]])
      &lt;&gt;0,
      (Audit[[#This Row],[Winning Candidate]]-Audit[[#This Row],[Losing Candidate]]-(Audit[[#This Row],[Audit Winning Candidate]]-Audit[[#This Row],[Audit Losing Candidate]]))/(Audit[[#Totals],[Winning Candidate]]-Audit[[#Totals],[Losing Candidate]]),
      0
)</f>
        <v>0</v>
      </c>
      <c r="AV11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9" s="17">
        <f>IF(Audit[[#This Row],[Max Relative Error (ep)]] = 0, 0, Audit[[#This Row],[Max Relative Error (ep)]]/Audit[[#This Row],[Error Bound (up) - Max. possible relative overstatement]])</f>
        <v>0</v>
      </c>
      <c r="BH11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19" s="17">
        <f t="shared" si="18"/>
        <v>1</v>
      </c>
      <c r="BJ1119" s="17">
        <f>PRODUCT($BI$5:BI1119)</f>
        <v>0.1049814514595024</v>
      </c>
      <c r="BK1119" s="19">
        <f>1 - Audit[[#This Row],[K-M P Value]]</f>
        <v>0.89501854854049756</v>
      </c>
      <c r="BL1119" s="17" t="str">
        <f>IF(Audit[[#This Row],[K-M P Value]]&gt;1-'General Info'!$B$12,"Continue", "Stop")</f>
        <v>Continue</v>
      </c>
      <c r="BM1119" s="22" t="b">
        <f>IF(Audit[[#This Row],[Status - Continue or stop audit]] = "Continue", TRUE, IF(BL1118 = "Continue", TRUE, FALSE))</f>
        <v>1</v>
      </c>
      <c r="BN1119" s="22"/>
    </row>
    <row r="1120" spans="1:66" ht="15" hidden="1" customHeight="1" x14ac:dyDescent="0.35">
      <c r="A1120" s="17" t="str">
        <f>'Sampling Data'!AI1120</f>
        <v/>
      </c>
      <c r="B1120" s="17" t="str">
        <f>'Sampling Data'!A1120</f>
        <v>9111 SYMM K   (ED)</v>
      </c>
      <c r="C1120" s="17">
        <f>'Sampling Data'!B1120</f>
        <v>53</v>
      </c>
      <c r="D1120" s="17">
        <f>'Sampling Data'!C1120</f>
        <v>130</v>
      </c>
      <c r="E1120" s="18">
        <f>'Sampling Data'!D1120</f>
        <v>0</v>
      </c>
      <c r="F1120" s="18">
        <f>'Sampling Data'!E1120</f>
        <v>0</v>
      </c>
      <c r="G1120" s="18">
        <f>'Sampling Data'!F1120</f>
        <v>0</v>
      </c>
      <c r="H1120" s="18">
        <f>'Sampling Data'!G1120</f>
        <v>0</v>
      </c>
      <c r="I1120" s="18">
        <f>'Sampling Data'!H1120</f>
        <v>0</v>
      </c>
      <c r="J1120" s="18">
        <f>'Sampling Data'!I1120</f>
        <v>0</v>
      </c>
      <c r="K1120" s="18">
        <f>'Sampling Data'!J1120</f>
        <v>0</v>
      </c>
      <c r="L1120" s="18">
        <f>'Sampling Data'!K1120</f>
        <v>0</v>
      </c>
      <c r="M1120" s="18">
        <f>'Sampling Data'!L1120</f>
        <v>0</v>
      </c>
      <c r="N1120" s="18">
        <f>'Sampling Data'!M1120</f>
        <v>0</v>
      </c>
      <c r="O1120" s="17">
        <f>'Sampling Data'!N1120</f>
        <v>0</v>
      </c>
      <c r="P1120" s="17">
        <f>'Sampling Data'!O1120</f>
        <v>16</v>
      </c>
      <c r="Q1120" s="17">
        <f>'Sampling Data'!P1120</f>
        <v>199</v>
      </c>
      <c r="R1120" s="17">
        <f>'Sampling Data'!AJ1120</f>
        <v>0</v>
      </c>
      <c r="S1120" s="111"/>
      <c r="T1120" s="111"/>
      <c r="U1120" s="112"/>
      <c r="V1120" s="112"/>
      <c r="W1120" s="111"/>
      <c r="X1120" s="111"/>
      <c r="Y1120" s="111"/>
      <c r="Z1120" s="111"/>
      <c r="AA1120" s="14"/>
      <c r="AB1120" s="14"/>
      <c r="AC1120" s="14"/>
      <c r="AD1120" s="14"/>
      <c r="AE1120" s="113" t="str">
        <f>IF(NOT(ISBLANK(Audit[[#This Row],[Audit Winning Candidate]])), Audit[[#This Row],[Audit Winning Candidate]]-Audit[[#This Row],[Winning Candidate]], "")</f>
        <v/>
      </c>
      <c r="AF1120" s="17" t="str">
        <f>IF(NOT(ISBLANK(Audit[[#This Row],[Audit Losing Candidate]])), Audit[[#This Row],[Audit Losing Candidate]]-Audit[[#This Row],[Losing Candidate]], "")</f>
        <v/>
      </c>
      <c r="AG1120" s="17" t="str">
        <f>IF(NOT(ISBLANK(Audit[[#This Row],[Audit Candidate 3]])), Audit[[#This Row],[Audit Candidate 3]]-Audit[[#This Row],[Candidate 3]], "")</f>
        <v/>
      </c>
      <c r="AH1120" s="17" t="str">
        <f>IF(NOT(ISBLANK(Audit[[#This Row],[Audit Candidate 4]])),Audit[[#This Row],[Audit Candidate 4]]-Audit[[#This Row],[Candidate 4]], "")</f>
        <v/>
      </c>
      <c r="AI1120" s="17" t="str">
        <f>IF(NOT(ISBLANK(Audit[[#This Row],[Audit Candidate 5]])), Audit[[#This Row],[Audit Candidate 5]]-Audit[[#This Row],[Candidate 5]], "")</f>
        <v/>
      </c>
      <c r="AJ1120" s="17" t="str">
        <f>IF(NOT(ISBLANK(Audit[[#This Row],[Audit Candidate 6]])), Audit[[#This Row],[Audit Candidate 6]]-Audit[[#This Row],[Candidate 6]], "")</f>
        <v/>
      </c>
      <c r="AK1120" s="17" t="str">
        <f>IF(NOT(ISBLANK(Audit[[#This Row],[Audit Candidate 7]])), Audit[[#This Row],[Audit Candidate 7]]-Audit[[#This Row],[Candidate 7]], "")</f>
        <v/>
      </c>
      <c r="AL1120" s="17" t="str">
        <f>IF(NOT(ISBLANK(Audit[[#This Row],[Audit Candidate 8]])), Audit[[#This Row],[Audit Candidate 8]]-Audit[[#This Row],[Candidate 8]], "")</f>
        <v/>
      </c>
      <c r="AM1120" s="17" t="str">
        <f>IF(NOT(ISBLANK(Audit[[#This Row],[Audit Candidate 9]])), Audit[[#This Row],[Audit Candidate 9]]-Audit[[#This Row],[Candidate 9]], "")</f>
        <v/>
      </c>
      <c r="AN1120" s="17" t="str">
        <f>IF(NOT(ISBLANK(Audit[[#This Row],[Audit Candidate 10]])), Audit[[#This Row],[Audit Candidate 10]]-Audit[[#This Row],[Candidate 10]], "")</f>
        <v/>
      </c>
      <c r="AO1120" s="17" t="str">
        <f>IF(NOT(ISBLANK(Audit[[#This Row],[Audit Candidate 11]])), Audit[[#This Row],[Audit Candidate 11]]-Audit[[#This Row],[Candidate 11]], "")</f>
        <v/>
      </c>
      <c r="AP1120" s="17" t="str">
        <f>IF(NOT(ISBLANK(Audit[[#This Row],[Audit Candidate 12]])), Audit[[#This Row],[Audit Candidate 12]]-Audit[[#This Row],[Candidate 12]], "")</f>
        <v/>
      </c>
      <c r="AQ1120" s="17">
        <f>SUMIF(Audit[[#This Row],[Difference Winner]:[Difference Candidate 12]], "&gt;0")</f>
        <v>0</v>
      </c>
      <c r="AR1120" s="17">
        <f>SUM(Audit[[#This Row],[Difference Winner]:[Difference Candidate 12]])</f>
        <v>0</v>
      </c>
      <c r="AS1120" s="17">
        <f>IF(Audit[[#This Row],[Times p Drawn - With Replacement]]&gt;0, IF(Audit[[#This Row],[Canceled Differences]]&lt;0, Audit[[#This Row],[Max Differences]]+ABS(Audit[[#This Row],[Canceled Differences]]), Audit[[#This Row],[Max Differences]]), 0)</f>
        <v>0</v>
      </c>
      <c r="AT1120" s="17">
        <f>'Sampling Data'!AB1120</f>
        <v>5.1773892378204041E-3</v>
      </c>
      <c r="AU1120" s="17">
        <f>IF(
      SUM(Audit[[#This Row],[Audit Losing Candidate]:[Audit Candidate 12]])
      &lt;&gt;0,
      (Audit[[#This Row],[Winning Candidate]]-Audit[[#This Row],[Losing Candidate]]-(Audit[[#This Row],[Audit Winning Candidate]]-Audit[[#This Row],[Audit Losing Candidate]]))/(Audit[[#Totals],[Winning Candidate]]-Audit[[#Totals],[Losing Candidate]]),
      0
)</f>
        <v>0</v>
      </c>
      <c r="AV11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0" s="17">
        <f>IF(Audit[[#This Row],[Max Relative Error (ep)]] = 0, 0, Audit[[#This Row],[Max Relative Error (ep)]]/Audit[[#This Row],[Error Bound (up) - Max. possible relative overstatement]])</f>
        <v>0</v>
      </c>
      <c r="BH11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20" s="17">
        <f t="shared" si="18"/>
        <v>1</v>
      </c>
      <c r="BJ1120" s="17">
        <f>PRODUCT($BI$5:BI1120)</f>
        <v>0.1049814514595024</v>
      </c>
      <c r="BK1120" s="19">
        <f>1 - Audit[[#This Row],[K-M P Value]]</f>
        <v>0.89501854854049756</v>
      </c>
      <c r="BL1120" s="17" t="str">
        <f>IF(Audit[[#This Row],[K-M P Value]]&gt;1-'General Info'!$B$12,"Continue", "Stop")</f>
        <v>Continue</v>
      </c>
      <c r="BM1120" s="22" t="b">
        <f>IF(Audit[[#This Row],[Status - Continue or stop audit]] = "Continue", TRUE, IF(BL1119 = "Continue", TRUE, FALSE))</f>
        <v>1</v>
      </c>
      <c r="BN1120" s="22"/>
    </row>
    <row r="1121" spans="1:66" ht="15" hidden="1" customHeight="1" x14ac:dyDescent="0.35">
      <c r="A1121" s="17" t="str">
        <f>'Sampling Data'!AI1121</f>
        <v/>
      </c>
      <c r="B1121" s="17" t="str">
        <f>'Sampling Data'!A1121</f>
        <v>9112 SYMM L   (ED)</v>
      </c>
      <c r="C1121" s="17">
        <f>'Sampling Data'!B1121</f>
        <v>166</v>
      </c>
      <c r="D1121" s="17">
        <f>'Sampling Data'!C1121</f>
        <v>293</v>
      </c>
      <c r="E1121" s="18">
        <f>'Sampling Data'!D1121</f>
        <v>0</v>
      </c>
      <c r="F1121" s="18">
        <f>'Sampling Data'!E1121</f>
        <v>0</v>
      </c>
      <c r="G1121" s="18">
        <f>'Sampling Data'!F1121</f>
        <v>0</v>
      </c>
      <c r="H1121" s="18">
        <f>'Sampling Data'!G1121</f>
        <v>0</v>
      </c>
      <c r="I1121" s="18">
        <f>'Sampling Data'!H1121</f>
        <v>0</v>
      </c>
      <c r="J1121" s="18">
        <f>'Sampling Data'!I1121</f>
        <v>0</v>
      </c>
      <c r="K1121" s="18">
        <f>'Sampling Data'!J1121</f>
        <v>0</v>
      </c>
      <c r="L1121" s="18">
        <f>'Sampling Data'!K1121</f>
        <v>0</v>
      </c>
      <c r="M1121" s="18">
        <f>'Sampling Data'!L1121</f>
        <v>0</v>
      </c>
      <c r="N1121" s="18">
        <f>'Sampling Data'!M1121</f>
        <v>0</v>
      </c>
      <c r="O1121" s="17">
        <f>'Sampling Data'!N1121</f>
        <v>0</v>
      </c>
      <c r="P1121" s="17">
        <f>'Sampling Data'!O1121</f>
        <v>41</v>
      </c>
      <c r="Q1121" s="17">
        <f>'Sampling Data'!P1121</f>
        <v>500</v>
      </c>
      <c r="R1121" s="17">
        <f>'Sampling Data'!AJ1121</f>
        <v>0</v>
      </c>
      <c r="S1121" s="111"/>
      <c r="T1121" s="111"/>
      <c r="U1121" s="112"/>
      <c r="V1121" s="112"/>
      <c r="W1121" s="111"/>
      <c r="X1121" s="111"/>
      <c r="Y1121" s="111"/>
      <c r="Z1121" s="111"/>
      <c r="AA1121" s="14"/>
      <c r="AB1121" s="14"/>
      <c r="AC1121" s="14"/>
      <c r="AD1121" s="14"/>
      <c r="AE1121" s="113" t="str">
        <f>IF(NOT(ISBLANK(Audit[[#This Row],[Audit Winning Candidate]])), Audit[[#This Row],[Audit Winning Candidate]]-Audit[[#This Row],[Winning Candidate]], "")</f>
        <v/>
      </c>
      <c r="AF1121" s="17" t="str">
        <f>IF(NOT(ISBLANK(Audit[[#This Row],[Audit Losing Candidate]])), Audit[[#This Row],[Audit Losing Candidate]]-Audit[[#This Row],[Losing Candidate]], "")</f>
        <v/>
      </c>
      <c r="AG1121" s="17" t="str">
        <f>IF(NOT(ISBLANK(Audit[[#This Row],[Audit Candidate 3]])), Audit[[#This Row],[Audit Candidate 3]]-Audit[[#This Row],[Candidate 3]], "")</f>
        <v/>
      </c>
      <c r="AH1121" s="17" t="str">
        <f>IF(NOT(ISBLANK(Audit[[#This Row],[Audit Candidate 4]])),Audit[[#This Row],[Audit Candidate 4]]-Audit[[#This Row],[Candidate 4]], "")</f>
        <v/>
      </c>
      <c r="AI1121" s="17" t="str">
        <f>IF(NOT(ISBLANK(Audit[[#This Row],[Audit Candidate 5]])), Audit[[#This Row],[Audit Candidate 5]]-Audit[[#This Row],[Candidate 5]], "")</f>
        <v/>
      </c>
      <c r="AJ1121" s="17" t="str">
        <f>IF(NOT(ISBLANK(Audit[[#This Row],[Audit Candidate 6]])), Audit[[#This Row],[Audit Candidate 6]]-Audit[[#This Row],[Candidate 6]], "")</f>
        <v/>
      </c>
      <c r="AK1121" s="17" t="str">
        <f>IF(NOT(ISBLANK(Audit[[#This Row],[Audit Candidate 7]])), Audit[[#This Row],[Audit Candidate 7]]-Audit[[#This Row],[Candidate 7]], "")</f>
        <v/>
      </c>
      <c r="AL1121" s="17" t="str">
        <f>IF(NOT(ISBLANK(Audit[[#This Row],[Audit Candidate 8]])), Audit[[#This Row],[Audit Candidate 8]]-Audit[[#This Row],[Candidate 8]], "")</f>
        <v/>
      </c>
      <c r="AM1121" s="17" t="str">
        <f>IF(NOT(ISBLANK(Audit[[#This Row],[Audit Candidate 9]])), Audit[[#This Row],[Audit Candidate 9]]-Audit[[#This Row],[Candidate 9]], "")</f>
        <v/>
      </c>
      <c r="AN1121" s="17" t="str">
        <f>IF(NOT(ISBLANK(Audit[[#This Row],[Audit Candidate 10]])), Audit[[#This Row],[Audit Candidate 10]]-Audit[[#This Row],[Candidate 10]], "")</f>
        <v/>
      </c>
      <c r="AO1121" s="17" t="str">
        <f>IF(NOT(ISBLANK(Audit[[#This Row],[Audit Candidate 11]])), Audit[[#This Row],[Audit Candidate 11]]-Audit[[#This Row],[Candidate 11]], "")</f>
        <v/>
      </c>
      <c r="AP1121" s="17" t="str">
        <f>IF(NOT(ISBLANK(Audit[[#This Row],[Audit Candidate 12]])), Audit[[#This Row],[Audit Candidate 12]]-Audit[[#This Row],[Candidate 12]], "")</f>
        <v/>
      </c>
      <c r="AQ1121" s="17">
        <f>SUMIF(Audit[[#This Row],[Difference Winner]:[Difference Candidate 12]], "&gt;0")</f>
        <v>0</v>
      </c>
      <c r="AR1121" s="17">
        <f>SUM(Audit[[#This Row],[Difference Winner]:[Difference Candidate 12]])</f>
        <v>0</v>
      </c>
      <c r="AS1121" s="17">
        <f>IF(Audit[[#This Row],[Times p Drawn - With Replacement]]&gt;0, IF(Audit[[#This Row],[Canceled Differences]]&lt;0, Audit[[#This Row],[Max Differences]]+ABS(Audit[[#This Row],[Canceled Differences]]), Audit[[#This Row],[Max Differences]]), 0)</f>
        <v>0</v>
      </c>
      <c r="AT1121" s="17">
        <f>'Sampling Data'!AB1121</f>
        <v>1.5829231030385332E-2</v>
      </c>
      <c r="AU1121" s="17">
        <f>IF(
      SUM(Audit[[#This Row],[Audit Losing Candidate]:[Audit Candidate 12]])
      &lt;&gt;0,
      (Audit[[#This Row],[Winning Candidate]]-Audit[[#This Row],[Losing Candidate]]-(Audit[[#This Row],[Audit Winning Candidate]]-Audit[[#This Row],[Audit Losing Candidate]]))/(Audit[[#Totals],[Winning Candidate]]-Audit[[#Totals],[Losing Candidate]]),
      0
)</f>
        <v>0</v>
      </c>
      <c r="AV11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1" s="17">
        <f>IF(Audit[[#This Row],[Max Relative Error (ep)]] = 0, 0, Audit[[#This Row],[Max Relative Error (ep)]]/Audit[[#This Row],[Error Bound (up) - Max. possible relative overstatement]])</f>
        <v>0</v>
      </c>
      <c r="BH11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21" s="17">
        <f t="shared" si="18"/>
        <v>1</v>
      </c>
      <c r="BJ1121" s="17">
        <f>PRODUCT($BI$5:BI1121)</f>
        <v>0.1049814514595024</v>
      </c>
      <c r="BK1121" s="19">
        <f>1 - Audit[[#This Row],[K-M P Value]]</f>
        <v>0.89501854854049756</v>
      </c>
      <c r="BL1121" s="17" t="str">
        <f>IF(Audit[[#This Row],[K-M P Value]]&gt;1-'General Info'!$B$12,"Continue", "Stop")</f>
        <v>Continue</v>
      </c>
      <c r="BM1121" s="22" t="b">
        <f>IF(Audit[[#This Row],[Status - Continue or stop audit]] = "Continue", TRUE, IF(BL1120 = "Continue", TRUE, FALSE))</f>
        <v>1</v>
      </c>
      <c r="BN1121" s="22"/>
    </row>
    <row r="1122" spans="1:66" ht="15" hidden="1" customHeight="1" x14ac:dyDescent="0.35">
      <c r="A1122" s="17" t="str">
        <f>'Sampling Data'!AI1122</f>
        <v/>
      </c>
      <c r="B1122" s="17" t="str">
        <f>'Sampling Data'!A1122</f>
        <v>9301 TER PK A   (ED)</v>
      </c>
      <c r="C1122" s="17">
        <f>'Sampling Data'!B1122</f>
        <v>278</v>
      </c>
      <c r="D1122" s="17">
        <f>'Sampling Data'!C1122</f>
        <v>318</v>
      </c>
      <c r="E1122" s="18">
        <f>'Sampling Data'!D1122</f>
        <v>0</v>
      </c>
      <c r="F1122" s="18">
        <f>'Sampling Data'!E1122</f>
        <v>0</v>
      </c>
      <c r="G1122" s="18">
        <f>'Sampling Data'!F1122</f>
        <v>0</v>
      </c>
      <c r="H1122" s="18">
        <f>'Sampling Data'!G1122</f>
        <v>0</v>
      </c>
      <c r="I1122" s="18">
        <f>'Sampling Data'!H1122</f>
        <v>0</v>
      </c>
      <c r="J1122" s="18">
        <f>'Sampling Data'!I1122</f>
        <v>0</v>
      </c>
      <c r="K1122" s="18">
        <f>'Sampling Data'!J1122</f>
        <v>0</v>
      </c>
      <c r="L1122" s="18">
        <f>'Sampling Data'!K1122</f>
        <v>0</v>
      </c>
      <c r="M1122" s="18">
        <f>'Sampling Data'!L1122</f>
        <v>0</v>
      </c>
      <c r="N1122" s="18">
        <f>'Sampling Data'!M1122</f>
        <v>0</v>
      </c>
      <c r="O1122" s="17">
        <f>'Sampling Data'!N1122</f>
        <v>0</v>
      </c>
      <c r="P1122" s="17">
        <f>'Sampling Data'!O1122</f>
        <v>47</v>
      </c>
      <c r="Q1122" s="17">
        <f>'Sampling Data'!P1122</f>
        <v>643</v>
      </c>
      <c r="R1122" s="17">
        <f>'Sampling Data'!AJ1122</f>
        <v>0</v>
      </c>
      <c r="S1122" s="111"/>
      <c r="T1122" s="111"/>
      <c r="U1122" s="112"/>
      <c r="V1122" s="112"/>
      <c r="W1122" s="111"/>
      <c r="X1122" s="111"/>
      <c r="Y1122" s="111"/>
      <c r="Z1122" s="111"/>
      <c r="AA1122" s="14"/>
      <c r="AB1122" s="14"/>
      <c r="AC1122" s="14"/>
      <c r="AD1122" s="14"/>
      <c r="AE1122" s="113" t="str">
        <f>IF(NOT(ISBLANK(Audit[[#This Row],[Audit Winning Candidate]])), Audit[[#This Row],[Audit Winning Candidate]]-Audit[[#This Row],[Winning Candidate]], "")</f>
        <v/>
      </c>
      <c r="AF1122" s="17" t="str">
        <f>IF(NOT(ISBLANK(Audit[[#This Row],[Audit Losing Candidate]])), Audit[[#This Row],[Audit Losing Candidate]]-Audit[[#This Row],[Losing Candidate]], "")</f>
        <v/>
      </c>
      <c r="AG1122" s="17" t="str">
        <f>IF(NOT(ISBLANK(Audit[[#This Row],[Audit Candidate 3]])), Audit[[#This Row],[Audit Candidate 3]]-Audit[[#This Row],[Candidate 3]], "")</f>
        <v/>
      </c>
      <c r="AH1122" s="17" t="str">
        <f>IF(NOT(ISBLANK(Audit[[#This Row],[Audit Candidate 4]])),Audit[[#This Row],[Audit Candidate 4]]-Audit[[#This Row],[Candidate 4]], "")</f>
        <v/>
      </c>
      <c r="AI1122" s="17" t="str">
        <f>IF(NOT(ISBLANK(Audit[[#This Row],[Audit Candidate 5]])), Audit[[#This Row],[Audit Candidate 5]]-Audit[[#This Row],[Candidate 5]], "")</f>
        <v/>
      </c>
      <c r="AJ1122" s="17" t="str">
        <f>IF(NOT(ISBLANK(Audit[[#This Row],[Audit Candidate 6]])), Audit[[#This Row],[Audit Candidate 6]]-Audit[[#This Row],[Candidate 6]], "")</f>
        <v/>
      </c>
      <c r="AK1122" s="17" t="str">
        <f>IF(NOT(ISBLANK(Audit[[#This Row],[Audit Candidate 7]])), Audit[[#This Row],[Audit Candidate 7]]-Audit[[#This Row],[Candidate 7]], "")</f>
        <v/>
      </c>
      <c r="AL1122" s="17" t="str">
        <f>IF(NOT(ISBLANK(Audit[[#This Row],[Audit Candidate 8]])), Audit[[#This Row],[Audit Candidate 8]]-Audit[[#This Row],[Candidate 8]], "")</f>
        <v/>
      </c>
      <c r="AM1122" s="17" t="str">
        <f>IF(NOT(ISBLANK(Audit[[#This Row],[Audit Candidate 9]])), Audit[[#This Row],[Audit Candidate 9]]-Audit[[#This Row],[Candidate 9]], "")</f>
        <v/>
      </c>
      <c r="AN1122" s="17" t="str">
        <f>IF(NOT(ISBLANK(Audit[[#This Row],[Audit Candidate 10]])), Audit[[#This Row],[Audit Candidate 10]]-Audit[[#This Row],[Candidate 10]], "")</f>
        <v/>
      </c>
      <c r="AO1122" s="17" t="str">
        <f>IF(NOT(ISBLANK(Audit[[#This Row],[Audit Candidate 11]])), Audit[[#This Row],[Audit Candidate 11]]-Audit[[#This Row],[Candidate 11]], "")</f>
        <v/>
      </c>
      <c r="AP1122" s="17" t="str">
        <f>IF(NOT(ISBLANK(Audit[[#This Row],[Audit Candidate 12]])), Audit[[#This Row],[Audit Candidate 12]]-Audit[[#This Row],[Candidate 12]], "")</f>
        <v/>
      </c>
      <c r="AQ1122" s="17">
        <f>SUMIF(Audit[[#This Row],[Difference Winner]:[Difference Candidate 12]], "&gt;0")</f>
        <v>0</v>
      </c>
      <c r="AR1122" s="17">
        <f>SUM(Audit[[#This Row],[Difference Winner]:[Difference Candidate 12]])</f>
        <v>0</v>
      </c>
      <c r="AS1122" s="17">
        <f>IF(Audit[[#This Row],[Times p Drawn - With Replacement]]&gt;0, IF(Audit[[#This Row],[Canceled Differences]]&lt;0, Audit[[#This Row],[Max Differences]]+ABS(Audit[[#This Row],[Canceled Differences]]), Audit[[#This Row],[Max Differences]]), 0)</f>
        <v>0</v>
      </c>
      <c r="AT1122" s="17">
        <f>'Sampling Data'!AB1122</f>
        <v>2.5589882872177897E-2</v>
      </c>
      <c r="AU1122" s="17">
        <f>IF(
      SUM(Audit[[#This Row],[Audit Losing Candidate]:[Audit Candidate 12]])
      &lt;&gt;0,
      (Audit[[#This Row],[Winning Candidate]]-Audit[[#This Row],[Losing Candidate]]-(Audit[[#This Row],[Audit Winning Candidate]]-Audit[[#This Row],[Audit Losing Candidate]]))/(Audit[[#Totals],[Winning Candidate]]-Audit[[#Totals],[Losing Candidate]]),
      0
)</f>
        <v>0</v>
      </c>
      <c r="AV11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2" s="17">
        <f>IF(Audit[[#This Row],[Max Relative Error (ep)]] = 0, 0, Audit[[#This Row],[Max Relative Error (ep)]]/Audit[[#This Row],[Error Bound (up) - Max. possible relative overstatement]])</f>
        <v>0</v>
      </c>
      <c r="BH11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22" s="17">
        <f t="shared" si="18"/>
        <v>1</v>
      </c>
      <c r="BJ1122" s="17">
        <f>PRODUCT($BI$5:BI1122)</f>
        <v>0.1049814514595024</v>
      </c>
      <c r="BK1122" s="19">
        <f>1 - Audit[[#This Row],[K-M P Value]]</f>
        <v>0.89501854854049756</v>
      </c>
      <c r="BL1122" s="17" t="str">
        <f>IF(Audit[[#This Row],[K-M P Value]]&gt;1-'General Info'!$B$12,"Continue", "Stop")</f>
        <v>Continue</v>
      </c>
      <c r="BM1122" s="22" t="b">
        <f>IF(Audit[[#This Row],[Status - Continue or stop audit]] = "Continue", TRUE, IF(BL1121 = "Continue", TRUE, FALSE))</f>
        <v>1</v>
      </c>
      <c r="BN1122" s="22"/>
    </row>
    <row r="1123" spans="1:66" ht="15" hidden="1" customHeight="1" x14ac:dyDescent="0.35">
      <c r="A1123" s="17" t="str">
        <f>'Sampling Data'!AI1123</f>
        <v/>
      </c>
      <c r="B1123" s="17" t="str">
        <f>'Sampling Data'!A1123</f>
        <v>9302 TER PK B   (ED)</v>
      </c>
      <c r="C1123" s="17">
        <f>'Sampling Data'!B1123</f>
        <v>127</v>
      </c>
      <c r="D1123" s="17">
        <f>'Sampling Data'!C1123</f>
        <v>178</v>
      </c>
      <c r="E1123" s="18">
        <f>'Sampling Data'!D1123</f>
        <v>0</v>
      </c>
      <c r="F1123" s="18">
        <f>'Sampling Data'!E1123</f>
        <v>0</v>
      </c>
      <c r="G1123" s="18">
        <f>'Sampling Data'!F1123</f>
        <v>0</v>
      </c>
      <c r="H1123" s="18">
        <f>'Sampling Data'!G1123</f>
        <v>0</v>
      </c>
      <c r="I1123" s="18">
        <f>'Sampling Data'!H1123</f>
        <v>0</v>
      </c>
      <c r="J1123" s="18">
        <f>'Sampling Data'!I1123</f>
        <v>0</v>
      </c>
      <c r="K1123" s="18">
        <f>'Sampling Data'!J1123</f>
        <v>0</v>
      </c>
      <c r="L1123" s="18">
        <f>'Sampling Data'!K1123</f>
        <v>0</v>
      </c>
      <c r="M1123" s="18">
        <f>'Sampling Data'!L1123</f>
        <v>0</v>
      </c>
      <c r="N1123" s="18">
        <f>'Sampling Data'!M1123</f>
        <v>0</v>
      </c>
      <c r="O1123" s="17">
        <f>'Sampling Data'!N1123</f>
        <v>0</v>
      </c>
      <c r="P1123" s="17">
        <f>'Sampling Data'!O1123</f>
        <v>31</v>
      </c>
      <c r="Q1123" s="17">
        <f>'Sampling Data'!P1123</f>
        <v>336</v>
      </c>
      <c r="R1123" s="17">
        <f>'Sampling Data'!AJ1123</f>
        <v>0</v>
      </c>
      <c r="S1123" s="111"/>
      <c r="T1123" s="111"/>
      <c r="U1123" s="112"/>
      <c r="V1123" s="112"/>
      <c r="W1123" s="111"/>
      <c r="X1123" s="111"/>
      <c r="Y1123" s="111"/>
      <c r="Z1123" s="111"/>
      <c r="AA1123" s="14"/>
      <c r="AB1123" s="14"/>
      <c r="AC1123" s="14"/>
      <c r="AD1123" s="14"/>
      <c r="AE1123" s="113" t="str">
        <f>IF(NOT(ISBLANK(Audit[[#This Row],[Audit Winning Candidate]])), Audit[[#This Row],[Audit Winning Candidate]]-Audit[[#This Row],[Winning Candidate]], "")</f>
        <v/>
      </c>
      <c r="AF1123" s="17" t="str">
        <f>IF(NOT(ISBLANK(Audit[[#This Row],[Audit Losing Candidate]])), Audit[[#This Row],[Audit Losing Candidate]]-Audit[[#This Row],[Losing Candidate]], "")</f>
        <v/>
      </c>
      <c r="AG1123" s="17" t="str">
        <f>IF(NOT(ISBLANK(Audit[[#This Row],[Audit Candidate 3]])), Audit[[#This Row],[Audit Candidate 3]]-Audit[[#This Row],[Candidate 3]], "")</f>
        <v/>
      </c>
      <c r="AH1123" s="17" t="str">
        <f>IF(NOT(ISBLANK(Audit[[#This Row],[Audit Candidate 4]])),Audit[[#This Row],[Audit Candidate 4]]-Audit[[#This Row],[Candidate 4]], "")</f>
        <v/>
      </c>
      <c r="AI1123" s="17" t="str">
        <f>IF(NOT(ISBLANK(Audit[[#This Row],[Audit Candidate 5]])), Audit[[#This Row],[Audit Candidate 5]]-Audit[[#This Row],[Candidate 5]], "")</f>
        <v/>
      </c>
      <c r="AJ1123" s="17" t="str">
        <f>IF(NOT(ISBLANK(Audit[[#This Row],[Audit Candidate 6]])), Audit[[#This Row],[Audit Candidate 6]]-Audit[[#This Row],[Candidate 6]], "")</f>
        <v/>
      </c>
      <c r="AK1123" s="17" t="str">
        <f>IF(NOT(ISBLANK(Audit[[#This Row],[Audit Candidate 7]])), Audit[[#This Row],[Audit Candidate 7]]-Audit[[#This Row],[Candidate 7]], "")</f>
        <v/>
      </c>
      <c r="AL1123" s="17" t="str">
        <f>IF(NOT(ISBLANK(Audit[[#This Row],[Audit Candidate 8]])), Audit[[#This Row],[Audit Candidate 8]]-Audit[[#This Row],[Candidate 8]], "")</f>
        <v/>
      </c>
      <c r="AM1123" s="17" t="str">
        <f>IF(NOT(ISBLANK(Audit[[#This Row],[Audit Candidate 9]])), Audit[[#This Row],[Audit Candidate 9]]-Audit[[#This Row],[Candidate 9]], "")</f>
        <v/>
      </c>
      <c r="AN1123" s="17" t="str">
        <f>IF(NOT(ISBLANK(Audit[[#This Row],[Audit Candidate 10]])), Audit[[#This Row],[Audit Candidate 10]]-Audit[[#This Row],[Candidate 10]], "")</f>
        <v/>
      </c>
      <c r="AO1123" s="17" t="str">
        <f>IF(NOT(ISBLANK(Audit[[#This Row],[Audit Candidate 11]])), Audit[[#This Row],[Audit Candidate 11]]-Audit[[#This Row],[Candidate 11]], "")</f>
        <v/>
      </c>
      <c r="AP1123" s="17" t="str">
        <f>IF(NOT(ISBLANK(Audit[[#This Row],[Audit Candidate 12]])), Audit[[#This Row],[Audit Candidate 12]]-Audit[[#This Row],[Candidate 12]], "")</f>
        <v/>
      </c>
      <c r="AQ1123" s="17">
        <f>SUMIF(Audit[[#This Row],[Difference Winner]:[Difference Candidate 12]], "&gt;0")</f>
        <v>0</v>
      </c>
      <c r="AR1123" s="17">
        <f>SUM(Audit[[#This Row],[Difference Winner]:[Difference Candidate 12]])</f>
        <v>0</v>
      </c>
      <c r="AS1123" s="17">
        <f>IF(Audit[[#This Row],[Times p Drawn - With Replacement]]&gt;0, IF(Audit[[#This Row],[Canceled Differences]]&lt;0, Audit[[#This Row],[Max Differences]]+ABS(Audit[[#This Row],[Canceled Differences]]), Audit[[#This Row],[Max Differences]]), 0)</f>
        <v>0</v>
      </c>
      <c r="AT1123" s="17">
        <f>'Sampling Data'!AB1123</f>
        <v>1.2094720760482092E-2</v>
      </c>
      <c r="AU1123" s="17">
        <f>IF(
      SUM(Audit[[#This Row],[Audit Losing Candidate]:[Audit Candidate 12]])
      &lt;&gt;0,
      (Audit[[#This Row],[Winning Candidate]]-Audit[[#This Row],[Losing Candidate]]-(Audit[[#This Row],[Audit Winning Candidate]]-Audit[[#This Row],[Audit Losing Candidate]]))/(Audit[[#Totals],[Winning Candidate]]-Audit[[#Totals],[Losing Candidate]]),
      0
)</f>
        <v>0</v>
      </c>
      <c r="AV11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3" s="17">
        <f>IF(Audit[[#This Row],[Max Relative Error (ep)]] = 0, 0, Audit[[#This Row],[Max Relative Error (ep)]]/Audit[[#This Row],[Error Bound (up) - Max. possible relative overstatement]])</f>
        <v>0</v>
      </c>
      <c r="BH11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23" s="17">
        <f t="shared" si="18"/>
        <v>1</v>
      </c>
      <c r="BJ1123" s="17">
        <f>PRODUCT($BI$5:BI1123)</f>
        <v>0.1049814514595024</v>
      </c>
      <c r="BK1123" s="19">
        <f>1 - Audit[[#This Row],[K-M P Value]]</f>
        <v>0.89501854854049756</v>
      </c>
      <c r="BL1123" s="17" t="str">
        <f>IF(Audit[[#This Row],[K-M P Value]]&gt;1-'General Info'!$B$12,"Continue", "Stop")</f>
        <v>Continue</v>
      </c>
      <c r="BM1123" s="22" t="b">
        <f>IF(Audit[[#This Row],[Status - Continue or stop audit]] = "Continue", TRUE, IF(BL1122 = "Continue", TRUE, FALSE))</f>
        <v>1</v>
      </c>
      <c r="BN1123" s="22"/>
    </row>
    <row r="1124" spans="1:66" ht="15" hidden="1" customHeight="1" x14ac:dyDescent="0.35">
      <c r="A1124" s="17" t="str">
        <f>'Sampling Data'!AI1124</f>
        <v/>
      </c>
      <c r="B1124" s="17" t="str">
        <f>'Sampling Data'!A1124</f>
        <v>9501 WHWTR A   (ED)</v>
      </c>
      <c r="C1124" s="17">
        <f>'Sampling Data'!B1124</f>
        <v>90</v>
      </c>
      <c r="D1124" s="17">
        <f>'Sampling Data'!C1124</f>
        <v>526</v>
      </c>
      <c r="E1124" s="18">
        <f>'Sampling Data'!D1124</f>
        <v>0</v>
      </c>
      <c r="F1124" s="18">
        <f>'Sampling Data'!E1124</f>
        <v>0</v>
      </c>
      <c r="G1124" s="18">
        <f>'Sampling Data'!F1124</f>
        <v>0</v>
      </c>
      <c r="H1124" s="18">
        <f>'Sampling Data'!G1124</f>
        <v>0</v>
      </c>
      <c r="I1124" s="18">
        <f>'Sampling Data'!H1124</f>
        <v>0</v>
      </c>
      <c r="J1124" s="18">
        <f>'Sampling Data'!I1124</f>
        <v>0</v>
      </c>
      <c r="K1124" s="18">
        <f>'Sampling Data'!J1124</f>
        <v>0</v>
      </c>
      <c r="L1124" s="18">
        <f>'Sampling Data'!K1124</f>
        <v>0</v>
      </c>
      <c r="M1124" s="18">
        <f>'Sampling Data'!L1124</f>
        <v>0</v>
      </c>
      <c r="N1124" s="18">
        <f>'Sampling Data'!M1124</f>
        <v>0</v>
      </c>
      <c r="O1124" s="17">
        <f>'Sampling Data'!N1124</f>
        <v>0</v>
      </c>
      <c r="P1124" s="17">
        <f>'Sampling Data'!O1124</f>
        <v>45</v>
      </c>
      <c r="Q1124" s="17">
        <f>'Sampling Data'!P1124</f>
        <v>661</v>
      </c>
      <c r="R1124" s="17">
        <f>'Sampling Data'!AJ1124</f>
        <v>0</v>
      </c>
      <c r="S1124" s="111"/>
      <c r="T1124" s="111"/>
      <c r="U1124" s="112"/>
      <c r="V1124" s="112"/>
      <c r="W1124" s="111"/>
      <c r="X1124" s="111"/>
      <c r="Y1124" s="111"/>
      <c r="Z1124" s="111"/>
      <c r="AA1124" s="14"/>
      <c r="AB1124" s="14"/>
      <c r="AC1124" s="14"/>
      <c r="AD1124" s="14"/>
      <c r="AE1124" s="113" t="str">
        <f>IF(NOT(ISBLANK(Audit[[#This Row],[Audit Winning Candidate]])), Audit[[#This Row],[Audit Winning Candidate]]-Audit[[#This Row],[Winning Candidate]], "")</f>
        <v/>
      </c>
      <c r="AF1124" s="17" t="str">
        <f>IF(NOT(ISBLANK(Audit[[#This Row],[Audit Losing Candidate]])), Audit[[#This Row],[Audit Losing Candidate]]-Audit[[#This Row],[Losing Candidate]], "")</f>
        <v/>
      </c>
      <c r="AG1124" s="17" t="str">
        <f>IF(NOT(ISBLANK(Audit[[#This Row],[Audit Candidate 3]])), Audit[[#This Row],[Audit Candidate 3]]-Audit[[#This Row],[Candidate 3]], "")</f>
        <v/>
      </c>
      <c r="AH1124" s="17" t="str">
        <f>IF(NOT(ISBLANK(Audit[[#This Row],[Audit Candidate 4]])),Audit[[#This Row],[Audit Candidate 4]]-Audit[[#This Row],[Candidate 4]], "")</f>
        <v/>
      </c>
      <c r="AI1124" s="17" t="str">
        <f>IF(NOT(ISBLANK(Audit[[#This Row],[Audit Candidate 5]])), Audit[[#This Row],[Audit Candidate 5]]-Audit[[#This Row],[Candidate 5]], "")</f>
        <v/>
      </c>
      <c r="AJ1124" s="17" t="str">
        <f>IF(NOT(ISBLANK(Audit[[#This Row],[Audit Candidate 6]])), Audit[[#This Row],[Audit Candidate 6]]-Audit[[#This Row],[Candidate 6]], "")</f>
        <v/>
      </c>
      <c r="AK1124" s="17" t="str">
        <f>IF(NOT(ISBLANK(Audit[[#This Row],[Audit Candidate 7]])), Audit[[#This Row],[Audit Candidate 7]]-Audit[[#This Row],[Candidate 7]], "")</f>
        <v/>
      </c>
      <c r="AL1124" s="17" t="str">
        <f>IF(NOT(ISBLANK(Audit[[#This Row],[Audit Candidate 8]])), Audit[[#This Row],[Audit Candidate 8]]-Audit[[#This Row],[Candidate 8]], "")</f>
        <v/>
      </c>
      <c r="AM1124" s="17" t="str">
        <f>IF(NOT(ISBLANK(Audit[[#This Row],[Audit Candidate 9]])), Audit[[#This Row],[Audit Candidate 9]]-Audit[[#This Row],[Candidate 9]], "")</f>
        <v/>
      </c>
      <c r="AN1124" s="17" t="str">
        <f>IF(NOT(ISBLANK(Audit[[#This Row],[Audit Candidate 10]])), Audit[[#This Row],[Audit Candidate 10]]-Audit[[#This Row],[Candidate 10]], "")</f>
        <v/>
      </c>
      <c r="AO1124" s="17" t="str">
        <f>IF(NOT(ISBLANK(Audit[[#This Row],[Audit Candidate 11]])), Audit[[#This Row],[Audit Candidate 11]]-Audit[[#This Row],[Candidate 11]], "")</f>
        <v/>
      </c>
      <c r="AP1124" s="17" t="str">
        <f>IF(NOT(ISBLANK(Audit[[#This Row],[Audit Candidate 12]])), Audit[[#This Row],[Audit Candidate 12]]-Audit[[#This Row],[Candidate 12]], "")</f>
        <v/>
      </c>
      <c r="AQ1124" s="17">
        <f>SUMIF(Audit[[#This Row],[Difference Winner]:[Difference Candidate 12]], "&gt;0")</f>
        <v>0</v>
      </c>
      <c r="AR1124" s="17">
        <f>SUM(Audit[[#This Row],[Difference Winner]:[Difference Candidate 12]])</f>
        <v>0</v>
      </c>
      <c r="AS1124" s="17">
        <f>IF(Audit[[#This Row],[Times p Drawn - With Replacement]]&gt;0, IF(Audit[[#This Row],[Canceled Differences]]&lt;0, Audit[[#This Row],[Max Differences]]+ABS(Audit[[#This Row],[Canceled Differences]]), Audit[[#This Row],[Max Differences]]), 0)</f>
        <v>0</v>
      </c>
      <c r="AT1124" s="17">
        <f>'Sampling Data'!AB1124</f>
        <v>9.548463758275335E-3</v>
      </c>
      <c r="AU1124" s="17">
        <f>IF(
      SUM(Audit[[#This Row],[Audit Losing Candidate]:[Audit Candidate 12]])
      &lt;&gt;0,
      (Audit[[#This Row],[Winning Candidate]]-Audit[[#This Row],[Losing Candidate]]-(Audit[[#This Row],[Audit Winning Candidate]]-Audit[[#This Row],[Audit Losing Candidate]]))/(Audit[[#Totals],[Winning Candidate]]-Audit[[#Totals],[Losing Candidate]]),
      0
)</f>
        <v>0</v>
      </c>
      <c r="AV11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4" s="17">
        <f>IF(Audit[[#This Row],[Max Relative Error (ep)]] = 0, 0, Audit[[#This Row],[Max Relative Error (ep)]]/Audit[[#This Row],[Error Bound (up) - Max. possible relative overstatement]])</f>
        <v>0</v>
      </c>
      <c r="BH11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24" s="17">
        <f t="shared" si="18"/>
        <v>1</v>
      </c>
      <c r="BJ1124" s="17">
        <f>PRODUCT($BI$5:BI1124)</f>
        <v>0.1049814514595024</v>
      </c>
      <c r="BK1124" s="19">
        <f>1 - Audit[[#This Row],[K-M P Value]]</f>
        <v>0.89501854854049756</v>
      </c>
      <c r="BL1124" s="17" t="str">
        <f>IF(Audit[[#This Row],[K-M P Value]]&gt;1-'General Info'!$B$12,"Continue", "Stop")</f>
        <v>Continue</v>
      </c>
      <c r="BM1124" s="22" t="b">
        <f>IF(Audit[[#This Row],[Status - Continue or stop audit]] = "Continue", TRUE, IF(BL1123 = "Continue", TRUE, FALSE))</f>
        <v>1</v>
      </c>
      <c r="BN1124" s="22"/>
    </row>
    <row r="1125" spans="1:66" ht="15" hidden="1" customHeight="1" x14ac:dyDescent="0.35">
      <c r="A1125" s="17" t="str">
        <f>'Sampling Data'!AI1125</f>
        <v/>
      </c>
      <c r="B1125" s="17" t="str">
        <f>'Sampling Data'!A1125</f>
        <v>9502 WHWTR B   (ED)</v>
      </c>
      <c r="C1125" s="17">
        <f>'Sampling Data'!B1125</f>
        <v>153</v>
      </c>
      <c r="D1125" s="17">
        <f>'Sampling Data'!C1125</f>
        <v>632</v>
      </c>
      <c r="E1125" s="18">
        <f>'Sampling Data'!D1125</f>
        <v>0</v>
      </c>
      <c r="F1125" s="18">
        <f>'Sampling Data'!E1125</f>
        <v>0</v>
      </c>
      <c r="G1125" s="18">
        <f>'Sampling Data'!F1125</f>
        <v>0</v>
      </c>
      <c r="H1125" s="18">
        <f>'Sampling Data'!G1125</f>
        <v>0</v>
      </c>
      <c r="I1125" s="18">
        <f>'Sampling Data'!H1125</f>
        <v>0</v>
      </c>
      <c r="J1125" s="18">
        <f>'Sampling Data'!I1125</f>
        <v>0</v>
      </c>
      <c r="K1125" s="18">
        <f>'Sampling Data'!J1125</f>
        <v>0</v>
      </c>
      <c r="L1125" s="18">
        <f>'Sampling Data'!K1125</f>
        <v>0</v>
      </c>
      <c r="M1125" s="18">
        <f>'Sampling Data'!L1125</f>
        <v>0</v>
      </c>
      <c r="N1125" s="18">
        <f>'Sampling Data'!M1125</f>
        <v>0</v>
      </c>
      <c r="O1125" s="17">
        <f>'Sampling Data'!N1125</f>
        <v>0</v>
      </c>
      <c r="P1125" s="17">
        <f>'Sampling Data'!O1125</f>
        <v>52</v>
      </c>
      <c r="Q1125" s="17">
        <f>'Sampling Data'!P1125</f>
        <v>837</v>
      </c>
      <c r="R1125" s="17">
        <f>'Sampling Data'!AJ1125</f>
        <v>0</v>
      </c>
      <c r="S1125" s="111"/>
      <c r="T1125" s="111"/>
      <c r="U1125" s="112"/>
      <c r="V1125" s="112"/>
      <c r="W1125" s="111"/>
      <c r="X1125" s="111"/>
      <c r="Y1125" s="111"/>
      <c r="Z1125" s="111"/>
      <c r="AA1125" s="14"/>
      <c r="AB1125" s="14"/>
      <c r="AC1125" s="14"/>
      <c r="AD1125" s="14"/>
      <c r="AE1125" s="113" t="str">
        <f>IF(NOT(ISBLANK(Audit[[#This Row],[Audit Winning Candidate]])), Audit[[#This Row],[Audit Winning Candidate]]-Audit[[#This Row],[Winning Candidate]], "")</f>
        <v/>
      </c>
      <c r="AF1125" s="17" t="str">
        <f>IF(NOT(ISBLANK(Audit[[#This Row],[Audit Losing Candidate]])), Audit[[#This Row],[Audit Losing Candidate]]-Audit[[#This Row],[Losing Candidate]], "")</f>
        <v/>
      </c>
      <c r="AG1125" s="17" t="str">
        <f>IF(NOT(ISBLANK(Audit[[#This Row],[Audit Candidate 3]])), Audit[[#This Row],[Audit Candidate 3]]-Audit[[#This Row],[Candidate 3]], "")</f>
        <v/>
      </c>
      <c r="AH1125" s="17" t="str">
        <f>IF(NOT(ISBLANK(Audit[[#This Row],[Audit Candidate 4]])),Audit[[#This Row],[Audit Candidate 4]]-Audit[[#This Row],[Candidate 4]], "")</f>
        <v/>
      </c>
      <c r="AI1125" s="17" t="str">
        <f>IF(NOT(ISBLANK(Audit[[#This Row],[Audit Candidate 5]])), Audit[[#This Row],[Audit Candidate 5]]-Audit[[#This Row],[Candidate 5]], "")</f>
        <v/>
      </c>
      <c r="AJ1125" s="17" t="str">
        <f>IF(NOT(ISBLANK(Audit[[#This Row],[Audit Candidate 6]])), Audit[[#This Row],[Audit Candidate 6]]-Audit[[#This Row],[Candidate 6]], "")</f>
        <v/>
      </c>
      <c r="AK1125" s="17" t="str">
        <f>IF(NOT(ISBLANK(Audit[[#This Row],[Audit Candidate 7]])), Audit[[#This Row],[Audit Candidate 7]]-Audit[[#This Row],[Candidate 7]], "")</f>
        <v/>
      </c>
      <c r="AL1125" s="17" t="str">
        <f>IF(NOT(ISBLANK(Audit[[#This Row],[Audit Candidate 8]])), Audit[[#This Row],[Audit Candidate 8]]-Audit[[#This Row],[Candidate 8]], "")</f>
        <v/>
      </c>
      <c r="AM1125" s="17" t="str">
        <f>IF(NOT(ISBLANK(Audit[[#This Row],[Audit Candidate 9]])), Audit[[#This Row],[Audit Candidate 9]]-Audit[[#This Row],[Candidate 9]], "")</f>
        <v/>
      </c>
      <c r="AN1125" s="17" t="str">
        <f>IF(NOT(ISBLANK(Audit[[#This Row],[Audit Candidate 10]])), Audit[[#This Row],[Audit Candidate 10]]-Audit[[#This Row],[Candidate 10]], "")</f>
        <v/>
      </c>
      <c r="AO1125" s="17" t="str">
        <f>IF(NOT(ISBLANK(Audit[[#This Row],[Audit Candidate 11]])), Audit[[#This Row],[Audit Candidate 11]]-Audit[[#This Row],[Candidate 11]], "")</f>
        <v/>
      </c>
      <c r="AP1125" s="17" t="str">
        <f>IF(NOT(ISBLANK(Audit[[#This Row],[Audit Candidate 12]])), Audit[[#This Row],[Audit Candidate 12]]-Audit[[#This Row],[Candidate 12]], "")</f>
        <v/>
      </c>
      <c r="AQ1125" s="17">
        <f>SUMIF(Audit[[#This Row],[Difference Winner]:[Difference Candidate 12]], "&gt;0")</f>
        <v>0</v>
      </c>
      <c r="AR1125" s="17">
        <f>SUM(Audit[[#This Row],[Difference Winner]:[Difference Candidate 12]])</f>
        <v>0</v>
      </c>
      <c r="AS1125" s="17">
        <f>IF(Audit[[#This Row],[Times p Drawn - With Replacement]]&gt;0, IF(Audit[[#This Row],[Canceled Differences]]&lt;0, Audit[[#This Row],[Max Differences]]+ABS(Audit[[#This Row],[Canceled Differences]]), Audit[[#This Row],[Max Differences]]), 0)</f>
        <v>0</v>
      </c>
      <c r="AT1125" s="17">
        <f>'Sampling Data'!AB1125</f>
        <v>1.5192666779833644E-2</v>
      </c>
      <c r="AU1125" s="17">
        <f>IF(
      SUM(Audit[[#This Row],[Audit Losing Candidate]:[Audit Candidate 12]])
      &lt;&gt;0,
      (Audit[[#This Row],[Winning Candidate]]-Audit[[#This Row],[Losing Candidate]]-(Audit[[#This Row],[Audit Winning Candidate]]-Audit[[#This Row],[Audit Losing Candidate]]))/(Audit[[#Totals],[Winning Candidate]]-Audit[[#Totals],[Losing Candidate]]),
      0
)</f>
        <v>0</v>
      </c>
      <c r="AV11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5" s="17">
        <f>IF(Audit[[#This Row],[Max Relative Error (ep)]] = 0, 0, Audit[[#This Row],[Max Relative Error (ep)]]/Audit[[#This Row],[Error Bound (up) - Max. possible relative overstatement]])</f>
        <v>0</v>
      </c>
      <c r="BH11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25" s="17">
        <f t="shared" si="18"/>
        <v>1</v>
      </c>
      <c r="BJ1125" s="17">
        <f>PRODUCT($BI$5:BI1125)</f>
        <v>0.1049814514595024</v>
      </c>
      <c r="BK1125" s="19">
        <f>1 - Audit[[#This Row],[K-M P Value]]</f>
        <v>0.89501854854049756</v>
      </c>
      <c r="BL1125" s="17" t="str">
        <f>IF(Audit[[#This Row],[K-M P Value]]&gt;1-'General Info'!$B$12,"Continue", "Stop")</f>
        <v>Continue</v>
      </c>
      <c r="BM1125" s="22" t="b">
        <f>IF(Audit[[#This Row],[Status - Continue or stop audit]] = "Continue", TRUE, IF(BL1124 = "Continue", TRUE, FALSE))</f>
        <v>1</v>
      </c>
      <c r="BN1125" s="22"/>
    </row>
    <row r="1126" spans="1:66" ht="15" hidden="1" customHeight="1" x14ac:dyDescent="0.35">
      <c r="A1126" s="17" t="str">
        <f>'Sampling Data'!AI1126</f>
        <v/>
      </c>
      <c r="B1126" s="17" t="str">
        <f>'Sampling Data'!A1126</f>
        <v>9503 WHWTR C   (ED)</v>
      </c>
      <c r="C1126" s="17">
        <f>'Sampling Data'!B1126</f>
        <v>83</v>
      </c>
      <c r="D1126" s="17">
        <f>'Sampling Data'!C1126</f>
        <v>471</v>
      </c>
      <c r="E1126" s="18">
        <f>'Sampling Data'!D1126</f>
        <v>0</v>
      </c>
      <c r="F1126" s="18">
        <f>'Sampling Data'!E1126</f>
        <v>0</v>
      </c>
      <c r="G1126" s="18">
        <f>'Sampling Data'!F1126</f>
        <v>0</v>
      </c>
      <c r="H1126" s="18">
        <f>'Sampling Data'!G1126</f>
        <v>0</v>
      </c>
      <c r="I1126" s="18">
        <f>'Sampling Data'!H1126</f>
        <v>0</v>
      </c>
      <c r="J1126" s="18">
        <f>'Sampling Data'!I1126</f>
        <v>0</v>
      </c>
      <c r="K1126" s="18">
        <f>'Sampling Data'!J1126</f>
        <v>0</v>
      </c>
      <c r="L1126" s="18">
        <f>'Sampling Data'!K1126</f>
        <v>0</v>
      </c>
      <c r="M1126" s="18">
        <f>'Sampling Data'!L1126</f>
        <v>0</v>
      </c>
      <c r="N1126" s="18">
        <f>'Sampling Data'!M1126</f>
        <v>0</v>
      </c>
      <c r="O1126" s="17">
        <f>'Sampling Data'!N1126</f>
        <v>0</v>
      </c>
      <c r="P1126" s="17">
        <f>'Sampling Data'!O1126</f>
        <v>40</v>
      </c>
      <c r="Q1126" s="17">
        <f>'Sampling Data'!P1126</f>
        <v>594</v>
      </c>
      <c r="R1126" s="17">
        <f>'Sampling Data'!AJ1126</f>
        <v>0</v>
      </c>
      <c r="S1126" s="111"/>
      <c r="T1126" s="111"/>
      <c r="U1126" s="112"/>
      <c r="V1126" s="112"/>
      <c r="W1126" s="111"/>
      <c r="X1126" s="111"/>
      <c r="Y1126" s="111"/>
      <c r="Z1126" s="111"/>
      <c r="AA1126" s="14"/>
      <c r="AB1126" s="14"/>
      <c r="AC1126" s="14"/>
      <c r="AD1126" s="14"/>
      <c r="AE1126" s="113" t="str">
        <f>IF(NOT(ISBLANK(Audit[[#This Row],[Audit Winning Candidate]])), Audit[[#This Row],[Audit Winning Candidate]]-Audit[[#This Row],[Winning Candidate]], "")</f>
        <v/>
      </c>
      <c r="AF1126" s="17" t="str">
        <f>IF(NOT(ISBLANK(Audit[[#This Row],[Audit Losing Candidate]])), Audit[[#This Row],[Audit Losing Candidate]]-Audit[[#This Row],[Losing Candidate]], "")</f>
        <v/>
      </c>
      <c r="AG1126" s="17" t="str">
        <f>IF(NOT(ISBLANK(Audit[[#This Row],[Audit Candidate 3]])), Audit[[#This Row],[Audit Candidate 3]]-Audit[[#This Row],[Candidate 3]], "")</f>
        <v/>
      </c>
      <c r="AH1126" s="17" t="str">
        <f>IF(NOT(ISBLANK(Audit[[#This Row],[Audit Candidate 4]])),Audit[[#This Row],[Audit Candidate 4]]-Audit[[#This Row],[Candidate 4]], "")</f>
        <v/>
      </c>
      <c r="AI1126" s="17" t="str">
        <f>IF(NOT(ISBLANK(Audit[[#This Row],[Audit Candidate 5]])), Audit[[#This Row],[Audit Candidate 5]]-Audit[[#This Row],[Candidate 5]], "")</f>
        <v/>
      </c>
      <c r="AJ1126" s="17" t="str">
        <f>IF(NOT(ISBLANK(Audit[[#This Row],[Audit Candidate 6]])), Audit[[#This Row],[Audit Candidate 6]]-Audit[[#This Row],[Candidate 6]], "")</f>
        <v/>
      </c>
      <c r="AK1126" s="17" t="str">
        <f>IF(NOT(ISBLANK(Audit[[#This Row],[Audit Candidate 7]])), Audit[[#This Row],[Audit Candidate 7]]-Audit[[#This Row],[Candidate 7]], "")</f>
        <v/>
      </c>
      <c r="AL1126" s="17" t="str">
        <f>IF(NOT(ISBLANK(Audit[[#This Row],[Audit Candidate 8]])), Audit[[#This Row],[Audit Candidate 8]]-Audit[[#This Row],[Candidate 8]], "")</f>
        <v/>
      </c>
      <c r="AM1126" s="17" t="str">
        <f>IF(NOT(ISBLANK(Audit[[#This Row],[Audit Candidate 9]])), Audit[[#This Row],[Audit Candidate 9]]-Audit[[#This Row],[Candidate 9]], "")</f>
        <v/>
      </c>
      <c r="AN1126" s="17" t="str">
        <f>IF(NOT(ISBLANK(Audit[[#This Row],[Audit Candidate 10]])), Audit[[#This Row],[Audit Candidate 10]]-Audit[[#This Row],[Candidate 10]], "")</f>
        <v/>
      </c>
      <c r="AO1126" s="17" t="str">
        <f>IF(NOT(ISBLANK(Audit[[#This Row],[Audit Candidate 11]])), Audit[[#This Row],[Audit Candidate 11]]-Audit[[#This Row],[Candidate 11]], "")</f>
        <v/>
      </c>
      <c r="AP1126" s="17" t="str">
        <f>IF(NOT(ISBLANK(Audit[[#This Row],[Audit Candidate 12]])), Audit[[#This Row],[Audit Candidate 12]]-Audit[[#This Row],[Candidate 12]], "")</f>
        <v/>
      </c>
      <c r="AQ1126" s="17">
        <f>SUMIF(Audit[[#This Row],[Difference Winner]:[Difference Candidate 12]], "&gt;0")</f>
        <v>0</v>
      </c>
      <c r="AR1126" s="17">
        <f>SUM(Audit[[#This Row],[Difference Winner]:[Difference Candidate 12]])</f>
        <v>0</v>
      </c>
      <c r="AS1126" s="17">
        <f>IF(Audit[[#This Row],[Times p Drawn - With Replacement]]&gt;0, IF(Audit[[#This Row],[Canceled Differences]]&lt;0, Audit[[#This Row],[Max Differences]]+ABS(Audit[[#This Row],[Canceled Differences]]), Audit[[#This Row],[Max Differences]]), 0)</f>
        <v>0</v>
      </c>
      <c r="AT1126" s="17">
        <f>'Sampling Data'!AB1126</f>
        <v>8.7421490409098617E-3</v>
      </c>
      <c r="AU1126" s="17">
        <f>IF(
      SUM(Audit[[#This Row],[Audit Losing Candidate]:[Audit Candidate 12]])
      &lt;&gt;0,
      (Audit[[#This Row],[Winning Candidate]]-Audit[[#This Row],[Losing Candidate]]-(Audit[[#This Row],[Audit Winning Candidate]]-Audit[[#This Row],[Audit Losing Candidate]]))/(Audit[[#Totals],[Winning Candidate]]-Audit[[#Totals],[Losing Candidate]]),
      0
)</f>
        <v>0</v>
      </c>
      <c r="AV11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6" s="17">
        <f>IF(Audit[[#This Row],[Max Relative Error (ep)]] = 0, 0, Audit[[#This Row],[Max Relative Error (ep)]]/Audit[[#This Row],[Error Bound (up) - Max. possible relative overstatement]])</f>
        <v>0</v>
      </c>
      <c r="BH11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26" s="17">
        <f t="shared" si="18"/>
        <v>1</v>
      </c>
      <c r="BJ1126" s="17">
        <f>PRODUCT($BI$5:BI1126)</f>
        <v>0.1049814514595024</v>
      </c>
      <c r="BK1126" s="19">
        <f>1 - Audit[[#This Row],[K-M P Value]]</f>
        <v>0.89501854854049756</v>
      </c>
      <c r="BL1126" s="17" t="str">
        <f>IF(Audit[[#This Row],[K-M P Value]]&gt;1-'General Info'!$B$12,"Continue", "Stop")</f>
        <v>Continue</v>
      </c>
      <c r="BM1126" s="22" t="b">
        <f>IF(Audit[[#This Row],[Status - Continue or stop audit]] = "Continue", TRUE, IF(BL1125 = "Continue", TRUE, FALSE))</f>
        <v>1</v>
      </c>
      <c r="BN1126" s="22"/>
    </row>
    <row r="1127" spans="1:66" ht="15" customHeight="1" thickBot="1" x14ac:dyDescent="0.4">
      <c r="A1127" s="17">
        <f>'Sampling Data'!AI1127</f>
        <v>38</v>
      </c>
      <c r="B1127" s="17" t="str">
        <f>'Sampling Data'!A1127</f>
        <v>9701 WOOD A   (ED)</v>
      </c>
      <c r="C1127" s="17">
        <f>'Sampling Data'!B1127</f>
        <v>323</v>
      </c>
      <c r="D1127" s="17">
        <f>'Sampling Data'!C1127</f>
        <v>81</v>
      </c>
      <c r="E1127" s="18">
        <f>'Sampling Data'!D1127</f>
        <v>0</v>
      </c>
      <c r="F1127" s="18">
        <f>'Sampling Data'!E1127</f>
        <v>0</v>
      </c>
      <c r="G1127" s="18">
        <f>'Sampling Data'!F1127</f>
        <v>0</v>
      </c>
      <c r="H1127" s="18">
        <f>'Sampling Data'!G1127</f>
        <v>0</v>
      </c>
      <c r="I1127" s="18">
        <f>'Sampling Data'!H1127</f>
        <v>0</v>
      </c>
      <c r="J1127" s="18">
        <f>'Sampling Data'!I1127</f>
        <v>0</v>
      </c>
      <c r="K1127" s="18">
        <f>'Sampling Data'!J1127</f>
        <v>0</v>
      </c>
      <c r="L1127" s="18">
        <f>'Sampling Data'!K1127</f>
        <v>0</v>
      </c>
      <c r="M1127" s="18">
        <f>'Sampling Data'!L1127</f>
        <v>0</v>
      </c>
      <c r="N1127" s="18">
        <f>'Sampling Data'!M1127</f>
        <v>0</v>
      </c>
      <c r="O1127" s="17">
        <f>'Sampling Data'!N1127</f>
        <v>0</v>
      </c>
      <c r="P1127" s="17">
        <f>'Sampling Data'!O1127</f>
        <v>24</v>
      </c>
      <c r="Q1127" s="17">
        <f>'Sampling Data'!P1127</f>
        <v>428</v>
      </c>
      <c r="R1127" s="17">
        <f>'Sampling Data'!AJ1127</f>
        <v>1</v>
      </c>
      <c r="S1127" s="111">
        <v>323</v>
      </c>
      <c r="T1127" s="111">
        <v>81</v>
      </c>
      <c r="U1127" s="112"/>
      <c r="V1127" s="112"/>
      <c r="W1127" s="111"/>
      <c r="X1127" s="111"/>
      <c r="Y1127" s="111"/>
      <c r="Z1127" s="111"/>
      <c r="AA1127" s="14"/>
      <c r="AB1127" s="14"/>
      <c r="AC1127" s="14"/>
      <c r="AD1127" s="14"/>
      <c r="AE1127" s="113">
        <f>IF(NOT(ISBLANK(Audit[[#This Row],[Audit Winning Candidate]])), Audit[[#This Row],[Audit Winning Candidate]]-Audit[[#This Row],[Winning Candidate]], "")</f>
        <v>0</v>
      </c>
      <c r="AF1127" s="17">
        <f>IF(NOT(ISBLANK(Audit[[#This Row],[Audit Losing Candidate]])), Audit[[#This Row],[Audit Losing Candidate]]-Audit[[#This Row],[Losing Candidate]], "")</f>
        <v>0</v>
      </c>
      <c r="AG1127" s="17" t="str">
        <f>IF(NOT(ISBLANK(Audit[[#This Row],[Audit Candidate 3]])), Audit[[#This Row],[Audit Candidate 3]]-Audit[[#This Row],[Candidate 3]], "")</f>
        <v/>
      </c>
      <c r="AH1127" s="17" t="str">
        <f>IF(NOT(ISBLANK(Audit[[#This Row],[Audit Candidate 4]])),Audit[[#This Row],[Audit Candidate 4]]-Audit[[#This Row],[Candidate 4]], "")</f>
        <v/>
      </c>
      <c r="AI1127" s="17" t="str">
        <f>IF(NOT(ISBLANK(Audit[[#This Row],[Audit Candidate 5]])), Audit[[#This Row],[Audit Candidate 5]]-Audit[[#This Row],[Candidate 5]], "")</f>
        <v/>
      </c>
      <c r="AJ1127" s="17" t="str">
        <f>IF(NOT(ISBLANK(Audit[[#This Row],[Audit Candidate 6]])), Audit[[#This Row],[Audit Candidate 6]]-Audit[[#This Row],[Candidate 6]], "")</f>
        <v/>
      </c>
      <c r="AK1127" s="17" t="str">
        <f>IF(NOT(ISBLANK(Audit[[#This Row],[Audit Candidate 7]])), Audit[[#This Row],[Audit Candidate 7]]-Audit[[#This Row],[Candidate 7]], "")</f>
        <v/>
      </c>
      <c r="AL1127" s="17" t="str">
        <f>IF(NOT(ISBLANK(Audit[[#This Row],[Audit Candidate 8]])), Audit[[#This Row],[Audit Candidate 8]]-Audit[[#This Row],[Candidate 8]], "")</f>
        <v/>
      </c>
      <c r="AM1127" s="17" t="str">
        <f>IF(NOT(ISBLANK(Audit[[#This Row],[Audit Candidate 9]])), Audit[[#This Row],[Audit Candidate 9]]-Audit[[#This Row],[Candidate 9]], "")</f>
        <v/>
      </c>
      <c r="AN1127" s="17" t="str">
        <f>IF(NOT(ISBLANK(Audit[[#This Row],[Audit Candidate 10]])), Audit[[#This Row],[Audit Candidate 10]]-Audit[[#This Row],[Candidate 10]], "")</f>
        <v/>
      </c>
      <c r="AO1127" s="17" t="str">
        <f>IF(NOT(ISBLANK(Audit[[#This Row],[Audit Candidate 11]])), Audit[[#This Row],[Audit Candidate 11]]-Audit[[#This Row],[Candidate 11]], "")</f>
        <v/>
      </c>
      <c r="AP1127" s="17" t="str">
        <f>IF(NOT(ISBLANK(Audit[[#This Row],[Audit Candidate 12]])), Audit[[#This Row],[Audit Candidate 12]]-Audit[[#This Row],[Candidate 12]], "")</f>
        <v/>
      </c>
      <c r="AQ1127" s="17">
        <f>SUMIF(Audit[[#This Row],[Difference Winner]:[Difference Candidate 12]], "&gt;0")</f>
        <v>0</v>
      </c>
      <c r="AR1127" s="17">
        <f>SUM(Audit[[#This Row],[Difference Winner]:[Difference Candidate 12]])</f>
        <v>0</v>
      </c>
      <c r="AS1127" s="17">
        <f>IF(Audit[[#This Row],[Times p Drawn - With Replacement]]&gt;0, IF(Audit[[#This Row],[Canceled Differences]]&lt;0, Audit[[#This Row],[Max Differences]]+ABS(Audit[[#This Row],[Canceled Differences]]), Audit[[#This Row],[Max Differences]]), 0)</f>
        <v>0</v>
      </c>
      <c r="AT1127" s="17">
        <f>'Sampling Data'!AB1127</f>
        <v>2.8433203191308775E-2</v>
      </c>
      <c r="AU1127" s="17">
        <f>IF(
      SUM(Audit[[#This Row],[Audit Losing Candidate]:[Audit Candidate 12]])
      &lt;&gt;0,
      (Audit[[#This Row],[Winning Candidate]]-Audit[[#This Row],[Losing Candidate]]-(Audit[[#This Row],[Audit Winning Candidate]]-Audit[[#This Row],[Audit Losing Candidate]]))/(Audit[[#Totals],[Winning Candidate]]-Audit[[#Totals],[Losing Candidate]]),
      0
)</f>
        <v>0</v>
      </c>
      <c r="AV11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7" s="17">
        <f>IF(Audit[[#This Row],[Max Relative Error (ep)]] = 0, 0, Audit[[#This Row],[Max Relative Error (ep)]]/Audit[[#This Row],[Error Bound (up) - Max. possible relative overstatement]])</f>
        <v>0</v>
      </c>
      <c r="BH11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27" s="17">
        <f t="shared" si="18"/>
        <v>0.94645908314247273</v>
      </c>
      <c r="BJ1127" s="17">
        <f>PRODUCT($BI$5:BI1127)</f>
        <v>9.9360648295326648E-2</v>
      </c>
      <c r="BK1127" s="19">
        <f>1 - Audit[[#This Row],[K-M P Value]]</f>
        <v>0.90063935170467335</v>
      </c>
      <c r="BL1127" s="17" t="str">
        <f>IF(Audit[[#This Row],[K-M P Value]]&gt;1-'General Info'!$B$12,"Continue", "Stop")</f>
        <v>Stop</v>
      </c>
      <c r="BM1127" s="22" t="b">
        <f>IF(Audit[[#This Row],[Status - Continue or stop audit]] = "Continue", TRUE, IF(BL1126 = "Continue", TRUE, FALSE))</f>
        <v>1</v>
      </c>
      <c r="BN1127" s="22"/>
    </row>
    <row r="1128" spans="1:66" ht="15" hidden="1" customHeight="1" thickBot="1" x14ac:dyDescent="0.4">
      <c r="A1128" s="17" t="str">
        <f>'Sampling Data'!AI1128</f>
        <v/>
      </c>
      <c r="B1128" s="17" t="str">
        <f>'Sampling Data'!A1128</f>
        <v>9702 WOOD B   (ED)</v>
      </c>
      <c r="C1128" s="17">
        <f>'Sampling Data'!B1128</f>
        <v>440</v>
      </c>
      <c r="D1128" s="17">
        <f>'Sampling Data'!C1128</f>
        <v>88</v>
      </c>
      <c r="E1128" s="18">
        <f>'Sampling Data'!D1128</f>
        <v>0</v>
      </c>
      <c r="F1128" s="18">
        <f>'Sampling Data'!E1128</f>
        <v>0</v>
      </c>
      <c r="G1128" s="18">
        <f>'Sampling Data'!F1128</f>
        <v>0</v>
      </c>
      <c r="H1128" s="18">
        <f>'Sampling Data'!G1128</f>
        <v>0</v>
      </c>
      <c r="I1128" s="18">
        <f>'Sampling Data'!H1128</f>
        <v>0</v>
      </c>
      <c r="J1128" s="18">
        <f>'Sampling Data'!I1128</f>
        <v>0</v>
      </c>
      <c r="K1128" s="18">
        <f>'Sampling Data'!J1128</f>
        <v>0</v>
      </c>
      <c r="L1128" s="18">
        <f>'Sampling Data'!K1128</f>
        <v>0</v>
      </c>
      <c r="M1128" s="18">
        <f>'Sampling Data'!L1128</f>
        <v>0</v>
      </c>
      <c r="N1128" s="18">
        <f>'Sampling Data'!M1128</f>
        <v>0</v>
      </c>
      <c r="O1128" s="17">
        <f>'Sampling Data'!N1128</f>
        <v>0</v>
      </c>
      <c r="P1128" s="17">
        <f>'Sampling Data'!O1128</f>
        <v>26</v>
      </c>
      <c r="Q1128" s="17">
        <f>'Sampling Data'!P1128</f>
        <v>554</v>
      </c>
      <c r="R1128" s="17">
        <f>'Sampling Data'!AJ1128</f>
        <v>0</v>
      </c>
      <c r="S1128" s="111"/>
      <c r="T1128" s="111"/>
      <c r="U1128" s="112"/>
      <c r="V1128" s="112"/>
      <c r="W1128" s="111"/>
      <c r="X1128" s="111"/>
      <c r="Y1128" s="111"/>
      <c r="Z1128" s="111"/>
      <c r="AA1128" s="14"/>
      <c r="AB1128" s="14"/>
      <c r="AC1128" s="14"/>
      <c r="AD1128" s="14"/>
      <c r="AE1128" s="113" t="str">
        <f>IF(NOT(ISBLANK(Audit[[#This Row],[Audit Winning Candidate]])), Audit[[#This Row],[Audit Winning Candidate]]-Audit[[#This Row],[Winning Candidate]], "")</f>
        <v/>
      </c>
      <c r="AF1128" s="17" t="str">
        <f>IF(NOT(ISBLANK(Audit[[#This Row],[Audit Losing Candidate]])), Audit[[#This Row],[Audit Losing Candidate]]-Audit[[#This Row],[Losing Candidate]], "")</f>
        <v/>
      </c>
      <c r="AG1128" s="17" t="str">
        <f>IF(NOT(ISBLANK(Audit[[#This Row],[Audit Candidate 3]])), Audit[[#This Row],[Audit Candidate 3]]-Audit[[#This Row],[Candidate 3]], "")</f>
        <v/>
      </c>
      <c r="AH1128" s="17" t="str">
        <f>IF(NOT(ISBLANK(Audit[[#This Row],[Audit Candidate 4]])),Audit[[#This Row],[Audit Candidate 4]]-Audit[[#This Row],[Candidate 4]], "")</f>
        <v/>
      </c>
      <c r="AI1128" s="17" t="str">
        <f>IF(NOT(ISBLANK(Audit[[#This Row],[Audit Candidate 5]])), Audit[[#This Row],[Audit Candidate 5]]-Audit[[#This Row],[Candidate 5]], "")</f>
        <v/>
      </c>
      <c r="AJ1128" s="17" t="str">
        <f>IF(NOT(ISBLANK(Audit[[#This Row],[Audit Candidate 6]])), Audit[[#This Row],[Audit Candidate 6]]-Audit[[#This Row],[Candidate 6]], "")</f>
        <v/>
      </c>
      <c r="AK1128" s="17" t="str">
        <f>IF(NOT(ISBLANK(Audit[[#This Row],[Audit Candidate 7]])), Audit[[#This Row],[Audit Candidate 7]]-Audit[[#This Row],[Candidate 7]], "")</f>
        <v/>
      </c>
      <c r="AL1128" s="17" t="str">
        <f>IF(NOT(ISBLANK(Audit[[#This Row],[Audit Candidate 8]])), Audit[[#This Row],[Audit Candidate 8]]-Audit[[#This Row],[Candidate 8]], "")</f>
        <v/>
      </c>
      <c r="AM1128" s="17" t="str">
        <f>IF(NOT(ISBLANK(Audit[[#This Row],[Audit Candidate 9]])), Audit[[#This Row],[Audit Candidate 9]]-Audit[[#This Row],[Candidate 9]], "")</f>
        <v/>
      </c>
      <c r="AN1128" s="17" t="str">
        <f>IF(NOT(ISBLANK(Audit[[#This Row],[Audit Candidate 10]])), Audit[[#This Row],[Audit Candidate 10]]-Audit[[#This Row],[Candidate 10]], "")</f>
        <v/>
      </c>
      <c r="AO1128" s="17" t="str">
        <f>IF(NOT(ISBLANK(Audit[[#This Row],[Audit Candidate 11]])), Audit[[#This Row],[Audit Candidate 11]]-Audit[[#This Row],[Candidate 11]], "")</f>
        <v/>
      </c>
      <c r="AP1128" s="17" t="str">
        <f>IF(NOT(ISBLANK(Audit[[#This Row],[Audit Candidate 12]])), Audit[[#This Row],[Audit Candidate 12]]-Audit[[#This Row],[Candidate 12]], "")</f>
        <v/>
      </c>
      <c r="AQ1128" s="17">
        <f>SUMIF(Audit[[#This Row],[Difference Winner]:[Difference Candidate 12]], "&gt;0")</f>
        <v>0</v>
      </c>
      <c r="AR1128" s="17">
        <f>SUM(Audit[[#This Row],[Difference Winner]:[Difference Candidate 12]])</f>
        <v>0</v>
      </c>
      <c r="AS1128" s="17">
        <f>IF(Audit[[#This Row],[Times p Drawn - With Replacement]]&gt;0, IF(Audit[[#This Row],[Canceled Differences]]&lt;0, Audit[[#This Row],[Max Differences]]+ABS(Audit[[#This Row],[Canceled Differences]]), Audit[[#This Row],[Max Differences]]), 0)</f>
        <v>0</v>
      </c>
      <c r="AT1128" s="17">
        <f>'Sampling Data'!AB1128</f>
        <v>3.8448480733322014E-2</v>
      </c>
      <c r="AU1128" s="17">
        <f>IF(
      SUM(Audit[[#This Row],[Audit Losing Candidate]:[Audit Candidate 12]])
      &lt;&gt;0,
      (Audit[[#This Row],[Winning Candidate]]-Audit[[#This Row],[Losing Candidate]]-(Audit[[#This Row],[Audit Winning Candidate]]-Audit[[#This Row],[Audit Losing Candidate]]))/(Audit[[#Totals],[Winning Candidate]]-Audit[[#Totals],[Losing Candidate]]),
      0
)</f>
        <v>0</v>
      </c>
      <c r="AV11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8" s="17">
        <f>IF(Audit[[#This Row],[Max Relative Error (ep)]] = 0, 0, Audit[[#This Row],[Max Relative Error (ep)]]/Audit[[#This Row],[Error Bound (up) - Max. possible relative overstatement]])</f>
        <v>0</v>
      </c>
      <c r="BH11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0.94645908314247273</v>
      </c>
      <c r="BI1128" s="17">
        <f t="shared" si="18"/>
        <v>1</v>
      </c>
      <c r="BJ1128" s="17">
        <f>PRODUCT($BI$5:BI1128)</f>
        <v>9.9360648295326648E-2</v>
      </c>
      <c r="BK1128" s="21">
        <f>1 - Audit[[#This Row],[K-M P Value]]</f>
        <v>0.90063935170467335</v>
      </c>
      <c r="BL1128" s="17" t="str">
        <f>IF(Audit[[#This Row],[K-M P Value]]&gt;1-'General Info'!$B$12,"Continue", "Stop")</f>
        <v>Stop</v>
      </c>
      <c r="BM1128" s="20" t="b">
        <f>IF(Audit[[#This Row],[Status - Continue or stop audit]] = "Continue", TRUE, IF(BL1127 = "Continue", TRUE, FALSE))</f>
        <v>0</v>
      </c>
      <c r="BN1128" s="20"/>
    </row>
    <row r="1129" spans="1:66" ht="15" customHeight="1" thickTop="1" x14ac:dyDescent="0.35">
      <c r="A1129" s="106" t="s">
        <v>0</v>
      </c>
      <c r="B1129" s="107">
        <f>SUBTOTAL(103,Audit[Precinct (p) - Batched by Type])</f>
        <v>40</v>
      </c>
      <c r="C1129" s="108">
        <f>SUM(Audit[Winning Candidate])</f>
        <v>206681</v>
      </c>
      <c r="D1129" s="108">
        <f>SUM(Audit[Losing Candidate])</f>
        <v>183117</v>
      </c>
      <c r="E1129" s="108">
        <f>SUM(Audit[Candidate 3])</f>
        <v>0</v>
      </c>
      <c r="F1129" s="108">
        <f>SUM(Audit[Candidate 4])</f>
        <v>0</v>
      </c>
      <c r="G1129" s="108">
        <f>SUM(Audit[Candidate 5])</f>
        <v>0</v>
      </c>
      <c r="H1129" s="108">
        <f>SUM(Audit[Candidate 6])</f>
        <v>0</v>
      </c>
      <c r="I1129" s="108">
        <f>SUM(Audit[Candidate 7])</f>
        <v>0</v>
      </c>
      <c r="J1129" s="108">
        <f>SUM(Audit[Candidate 8])</f>
        <v>0</v>
      </c>
      <c r="K1129" s="108">
        <f>SUM(Audit[Candidate 9])</f>
        <v>0</v>
      </c>
      <c r="L1129" s="108">
        <f>SUM(Audit[Candidate 10])</f>
        <v>0</v>
      </c>
      <c r="M1129" s="108">
        <f>SUM(Audit[Candidate 11])</f>
        <v>0</v>
      </c>
      <c r="N1129" s="108">
        <f>SUM(Audit[Candidate 12])</f>
        <v>0</v>
      </c>
      <c r="O1129" s="108">
        <f>SUM(Audit[Over Votes])</f>
        <v>209</v>
      </c>
      <c r="P1129" s="108">
        <f>SUM(Audit[Under Votes])</f>
        <v>26541</v>
      </c>
      <c r="Q1129" s="108">
        <f>SUM(Audit[Total])</f>
        <v>416548</v>
      </c>
      <c r="R1129" s="108">
        <f>SUM(Audit[Times p Drawn - With Replacement])</f>
        <v>42</v>
      </c>
      <c r="S1129" s="108">
        <f>SUM(Audit[Audit Winning Candidate])</f>
        <v>9991</v>
      </c>
      <c r="T1129" s="108">
        <f>SUM(Audit[Audit Losing Candidate])</f>
        <v>5766</v>
      </c>
      <c r="U1129" s="108">
        <f>SUM(Audit[Audit Candidate 3])</f>
        <v>0</v>
      </c>
      <c r="V1129" s="108">
        <f>SUM(Audit[Audit Candidate 4])</f>
        <v>0</v>
      </c>
      <c r="W1129" s="108">
        <f>SUM(Audit[Audit Candidate 5])</f>
        <v>0</v>
      </c>
      <c r="X1129" s="108">
        <f>SUM(Audit[Audit Candidate 6])</f>
        <v>0</v>
      </c>
      <c r="Y1129" s="108">
        <f>SUM(Audit[Audit Candidate 7])</f>
        <v>0</v>
      </c>
      <c r="Z1129" s="108">
        <f>SUM(Audit[Audit Candidate 8])</f>
        <v>0</v>
      </c>
      <c r="AA1129" s="108">
        <f>SUM(Audit[Audit Candidate 9])</f>
        <v>0</v>
      </c>
      <c r="AB1129" s="108">
        <f>SUM(Audit[Audit Candidate 10])</f>
        <v>0</v>
      </c>
      <c r="AC1129" s="108">
        <f>SUM(Audit[Audit Candidate 11])</f>
        <v>0</v>
      </c>
      <c r="AD1129" s="108">
        <f>SUM(Audit[Audit Candidate 12])</f>
        <v>0</v>
      </c>
      <c r="AE1129" s="108">
        <f>SUM(Audit[Difference Winner])</f>
        <v>0</v>
      </c>
      <c r="AF1129" s="108">
        <f>SUM(Audit[Difference Loser])</f>
        <v>1</v>
      </c>
      <c r="AG1129" s="108">
        <f>SUM(Audit[Difference Candidate 3])</f>
        <v>0</v>
      </c>
      <c r="AH1129" s="108">
        <f>SUM(Audit[Difference Candidate 4])</f>
        <v>0</v>
      </c>
      <c r="AI1129" s="108">
        <f>SUM(Audit[Difference Candidate 5])</f>
        <v>0</v>
      </c>
      <c r="AJ1129" s="108">
        <f>SUM(Audit[Difference Candidate 6])</f>
        <v>0</v>
      </c>
      <c r="AK1129" s="108">
        <f>SUM(Audit[Difference Candidate 7])</f>
        <v>0</v>
      </c>
      <c r="AL1129" s="108">
        <f>SUM(Audit[Difference Candidate 8])</f>
        <v>0</v>
      </c>
      <c r="AM1129" s="108">
        <f>SUM(Audit[Difference Candidate 9])</f>
        <v>0</v>
      </c>
      <c r="AN1129" s="108">
        <f>SUM(Audit[Difference Candidate 10])</f>
        <v>0</v>
      </c>
      <c r="AO1129" s="108">
        <f>SUM(Audit[Difference Candidate 11])</f>
        <v>0</v>
      </c>
      <c r="AP1129" s="108">
        <f>SUM(Audit[Difference Candidate 12])</f>
        <v>0</v>
      </c>
      <c r="AQ1129" s="108">
        <f>SUM(Audit[Max Differences])</f>
        <v>1</v>
      </c>
      <c r="AR1129" s="108">
        <f>SUM(Audit[Canceled Differences])</f>
        <v>1</v>
      </c>
      <c r="AS1129" s="108">
        <f>SUM(Audit[Total Differences])</f>
        <v>1</v>
      </c>
      <c r="AT1129" s="108">
        <f>SUM(Audit[Error Bound (up) - Max. possible relative overstatement])</f>
        <v>18.677304362586973</v>
      </c>
      <c r="AU1129" s="108">
        <f>SUM(Audit[Relative Error (ep) - Error Rate as a proportion of the margin of victory for Winning Candidate])</f>
        <v>4.2437616703445933E-5</v>
      </c>
      <c r="AV1129" s="108">
        <f>SUM(Audit[Relative Error (ep) - Error Rate as a proportion of the margin of victory for  Candidate 3])</f>
        <v>0</v>
      </c>
      <c r="AW1129" s="108">
        <f>SUM(Audit[Relative Error (ep) - Error Rate as a proportion of the margin of victory for  Candidate 4])</f>
        <v>0</v>
      </c>
      <c r="AX1129" s="108">
        <f>SUM(Audit[Relative Error (ep) - Error Rate as a proportion of the margin of victory for  Candidate 5])</f>
        <v>0</v>
      </c>
      <c r="AY1129" s="108">
        <f>SUM(Audit[Relative Error (ep) - Error Rate as a proportion of the margin of victory for  Candidate 6])</f>
        <v>0</v>
      </c>
      <c r="AZ1129" s="108">
        <f>SUM(Audit[Relative Error (ep) - Error Rate as a proportion of the margin of victory for  Candidate 7])</f>
        <v>0</v>
      </c>
      <c r="BA1129" s="108">
        <f>SUM(Audit[Relative Error (ep) - Error Rate as a proportion of the margin of victory for  Candidate 8])</f>
        <v>0</v>
      </c>
      <c r="BB1129" s="108">
        <f>SUM(Audit[Relative Error (ep) - Error Rate as a proportion of the margin of victory for  Candidate 9])</f>
        <v>0</v>
      </c>
      <c r="BC1129" s="108">
        <f>SUM(Audit[Relative Error (ep) - Error Rate as a proportion of the margin of victory for  Candidate 10])</f>
        <v>0</v>
      </c>
      <c r="BD1129" s="108">
        <f>SUM(Audit[Relative Error (ep) - Error Rate as a proportion of the margin of victory for  Candidate 11])</f>
        <v>0</v>
      </c>
      <c r="BE1129" s="108">
        <f>SUM(Audit[Relative Error (ep) - Error Rate as a proportion of the margin of victory for  Candidate 12])</f>
        <v>0</v>
      </c>
      <c r="BF1129" s="108">
        <f>SUM(Audit[Max Relative Error (ep)])</f>
        <v>4.2437616703445933E-5</v>
      </c>
      <c r="BG1129" s="108">
        <f>SUM(Audit[Taint (t) - Error rate as a proportion of the max possible relative overstatement])</f>
        <v>2.1551724137931034E-3</v>
      </c>
      <c r="BH1129" s="108">
        <f>SUM(Audit[KM Factor])</f>
        <v>1063.8220536402318</v>
      </c>
      <c r="BI1129" s="108">
        <f>SUM(Audit[Net KM Factor - KM Factor taking into account pcts audited multiple times])</f>
        <v>1121.7617720874155</v>
      </c>
      <c r="BJ1129" s="108">
        <f>SUM(Audit[K-M P Value])</f>
        <v>454.82214535020086</v>
      </c>
      <c r="BK1129" s="109">
        <f>SUBTOTAL(104,Audit[Confidence Level])</f>
        <v>0.90063935170467335</v>
      </c>
      <c r="BL1129" s="110"/>
      <c r="BM1129" s="107">
        <f>SUBTOTAL(103,Audit[Process Batch])</f>
        <v>40</v>
      </c>
      <c r="BN1129" s="107"/>
    </row>
  </sheetData>
  <mergeCells count="4">
    <mergeCell ref="A2:R2"/>
    <mergeCell ref="AE2:BM2"/>
    <mergeCell ref="A1:BN1"/>
    <mergeCell ref="S2:Z2"/>
  </mergeCells>
  <conditionalFormatting sqref="BL5:BL1128">
    <cfRule type="expression" dxfId="4" priority="1">
      <formula>AND($BK5 &gt;= $BO$1, $BM5)</formula>
    </cfRule>
    <cfRule type="expression" dxfId="3" priority="2">
      <formula>AND($BK5 &lt;$BO$1, $BK5 &gt;=$BO$1 - 0.05, $BM5)</formula>
    </cfRule>
    <cfRule type="expression" dxfId="2" priority="4">
      <formula>AND($BK5 &lt;$BO$1 - 0.05, $BM5)</formula>
    </cfRule>
  </conditionalFormatting>
  <pageMargins left="0.25" right="0.25" top="0.75" bottom="0.75" header="0.3" footer="0.3"/>
  <pageSetup scale="34" fitToHeight="0" orientation="landscape" r:id="rId1"/>
  <headerFooter>
    <oddFooter>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J1129"/>
  <sheetViews>
    <sheetView zoomScale="80" zoomScaleNormal="80" workbookViewId="0">
      <pane ySplit="4" topLeftCell="A582" activePane="bottomLeft" state="frozen"/>
      <selection pane="bottomLeft" activeCell="P8" sqref="P8"/>
    </sheetView>
  </sheetViews>
  <sheetFormatPr defaultRowHeight="15" customHeight="1" x14ac:dyDescent="0.35"/>
  <cols>
    <col min="1" max="1" width="39.54296875" bestFit="1" customWidth="1"/>
    <col min="2" max="2" width="13.54296875" bestFit="1" customWidth="1"/>
    <col min="3" max="3" width="11.7265625" bestFit="1" customWidth="1"/>
    <col min="4" max="4" width="14" hidden="1" customWidth="1"/>
    <col min="5" max="13" width="13.453125" hidden="1" customWidth="1"/>
    <col min="14" max="14" width="13.453125" customWidth="1"/>
    <col min="15" max="15" width="8.453125" customWidth="1"/>
    <col min="16" max="16" width="9.81640625" customWidth="1"/>
    <col min="17" max="17" width="17.1796875" hidden="1" customWidth="1"/>
    <col min="18" max="18" width="16.7265625" hidden="1" customWidth="1"/>
    <col min="19" max="19" width="17.7265625" hidden="1" customWidth="1"/>
    <col min="20" max="22" width="16" hidden="1" customWidth="1"/>
    <col min="23" max="27" width="17.453125" hidden="1" customWidth="1"/>
    <col min="28" max="29" width="14" hidden="1" customWidth="1"/>
    <col min="30" max="30" width="13.54296875" hidden="1" customWidth="1"/>
    <col min="31" max="31" width="20" bestFit="1" customWidth="1"/>
    <col min="32" max="32" width="17.26953125" hidden="1" customWidth="1"/>
    <col min="33" max="33" width="12.26953125" hidden="1" customWidth="1"/>
    <col min="34" max="34" width="17.26953125" hidden="1" customWidth="1"/>
    <col min="35" max="35" width="14.81640625" customWidth="1"/>
    <col min="36" max="36" width="13" customWidth="1"/>
    <col min="37" max="37" width="17.453125" customWidth="1"/>
  </cols>
  <sheetData>
    <row r="1" spans="1:36" s="1" customFormat="1" ht="15" customHeight="1" x14ac:dyDescent="0.35">
      <c r="A1" s="124" t="str">
        <f ca="1">MID(CELL("filename",$A$4), FIND("]", CELL("filename",$A$4)) + 1, 255)</f>
        <v>Sampling Data</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9"/>
    </row>
    <row r="2" spans="1:36" s="1" customFormat="1" ht="15" customHeight="1" x14ac:dyDescent="0.35">
      <c r="A2" s="126" t="s">
        <v>98</v>
      </c>
      <c r="B2" s="127"/>
      <c r="C2" s="127"/>
      <c r="D2" s="127"/>
      <c r="E2" s="127"/>
      <c r="F2" s="127"/>
      <c r="G2" s="127"/>
      <c r="H2" s="127"/>
      <c r="I2" s="127"/>
      <c r="J2" s="127"/>
      <c r="K2" s="127"/>
      <c r="L2" s="127"/>
      <c r="M2" s="127"/>
      <c r="N2" s="127"/>
      <c r="O2" s="128"/>
      <c r="P2" s="121" t="s">
        <v>99</v>
      </c>
      <c r="Q2" s="122"/>
      <c r="R2" s="122"/>
      <c r="S2" s="122"/>
      <c r="T2" s="122"/>
      <c r="U2" s="122"/>
      <c r="V2" s="122"/>
      <c r="W2" s="122"/>
      <c r="X2" s="122"/>
      <c r="Y2" s="122"/>
      <c r="Z2" s="122"/>
      <c r="AA2" s="122"/>
      <c r="AB2" s="122"/>
      <c r="AC2" s="122"/>
      <c r="AD2" s="122"/>
      <c r="AE2" s="122"/>
      <c r="AF2" s="122"/>
      <c r="AG2" s="122"/>
      <c r="AH2" s="122"/>
      <c r="AI2" s="122"/>
      <c r="AJ2" s="123"/>
    </row>
    <row r="3" spans="1:36" ht="84.75" customHeight="1" x14ac:dyDescent="0.35">
      <c r="A3" s="28" t="s">
        <v>94</v>
      </c>
      <c r="B3" s="28" t="str">
        <f>IF(ISBLANK('General Info'!$B$27), "UNDEFINED", 'General Info'!$B$27 &amp; "
(Declared Winner)")</f>
        <v>Rich Moore
(Declared Winner)</v>
      </c>
      <c r="C3" s="28" t="str">
        <f>IF(ISBLANK('General Info'!$B$28),"UNDEFINED",'General Info'!$B$28&amp;"
(Declared Loser)")</f>
        <v>Robert A. Goering
(Declared Loser)</v>
      </c>
      <c r="D3" s="28" t="str">
        <f>IF(ISBLANK('General Info'!$B$29), "UNDEFINED", 'General Info'!$B$29)</f>
        <v>UNDEFINED</v>
      </c>
      <c r="E3" s="28" t="str">
        <f>IF(ISBLANK('General Info'!$B$30), "UNDEFINED",'General Info'!$B$30)</f>
        <v>UNDEFINED</v>
      </c>
      <c r="F3" s="28" t="str">
        <f>IF(ISBLANK('General Info'!$B$31), "UNDEFINED",'General Info'!$B$31)</f>
        <v>UNDEFINED</v>
      </c>
      <c r="G3" s="28" t="str">
        <f>IF(ISBLANK('General Info'!$B$31), "UNDEFINED",'General Info'!$B$32)</f>
        <v>UNDEFINED</v>
      </c>
      <c r="H3" s="28" t="str">
        <f>IF(ISBLANK('General Info'!$B$31), "UNDEFINED",'General Info'!$B$33)</f>
        <v>UNDEFINED</v>
      </c>
      <c r="I3" s="28" t="str">
        <f>IF(ISBLANK('General Info'!$B$31), "UNDEFINED",'General Info'!$B$34)</f>
        <v>UNDEFINED</v>
      </c>
      <c r="J3" s="28" t="str">
        <f>IF(ISBLANK('General Info'!$B$31), "UNDEFINED",'General Info'!$B$35)</f>
        <v>UNDEFINED</v>
      </c>
      <c r="K3" s="28" t="str">
        <f>IF(ISBLANK('General Info'!$B$31), "UNDEFINED",'General Info'!$B$36)</f>
        <v>UNDEFINED</v>
      </c>
      <c r="L3" s="28" t="str">
        <f>IF(ISBLANK('General Info'!$B$31), "UNDEFINED",'General Info'!$B$37)</f>
        <v>UNDEFINED</v>
      </c>
      <c r="M3" s="28" t="str">
        <f>IF(ISBLANK('General Info'!$B$31), "UNDEFINED",'General Info'!$B$38)</f>
        <v>UNDEFINED</v>
      </c>
      <c r="N3" s="28" t="s">
        <v>6</v>
      </c>
      <c r="O3" s="30" t="s">
        <v>7</v>
      </c>
      <c r="P3" s="33" t="s">
        <v>0</v>
      </c>
      <c r="Q3" s="33" t="str">
        <f>"Error Bound (up) - " &amp; IF(ISBLANK('General Info'!$B$28), "UNDEFINED","
Max. possible relative overstatement for
" &amp; 'General Info'!$B$28) &amp; " (Loser)"</f>
        <v>Error Bound (up) - 
Max. possible relative overstatement for
Robert A. Goering (Loser)</v>
      </c>
      <c r="R3" s="33" t="str">
        <f>"Error Bound (up) - " &amp; IF(ISBLANK('General Info'!$B$29), "UNDEFINED","
Max. possible relative overstatement for
" &amp; 'General Info'!$B$29)</f>
        <v>Error Bound (up) - UNDEFINED</v>
      </c>
      <c r="S3" s="33" t="str">
        <f>"Error Bound (up) - " &amp; IF(ISBLANK('General Info'!$B$30), "UNDEFINED","
Max. possible relative overstatement for
" &amp; 'General Info'!$B$30)</f>
        <v>Error Bound (up) - UNDEFINED</v>
      </c>
      <c r="T3" s="33" t="str">
        <f>"Error Bound (up) - " &amp; IF(ISBLANK('General Info'!$B$31), "UNDEFINED","
Max. possible relative overstatement for
" &amp; 'General Info'!$B$31)</f>
        <v>Error Bound (up) - UNDEFINED</v>
      </c>
      <c r="U3" s="33" t="str">
        <f>"Error Bound (up) - " &amp; IF(ISBLANK('General Info'!$B$32), "UNDEFINED","
Max. possible relative overstatement for
" &amp; 'General Info'!$B$32)</f>
        <v>Error Bound (up) - UNDEFINED</v>
      </c>
      <c r="V3" s="33" t="str">
        <f>"Error Bound (up) - " &amp; IF(ISBLANK('General Info'!$B$33), "UNDEFINED","
Max. possible relative overstatement for
" &amp; 'General Info'!$B$33)</f>
        <v>Error Bound (up) - UNDEFINED</v>
      </c>
      <c r="W3" s="33" t="str">
        <f>"Error Bound (up) - " &amp; IF(ISBLANK('General Info'!$B$34), "UNDEFINED","
Max. possible relative overstatement for
" &amp; 'General Info'!$B$34)</f>
        <v>Error Bound (up) - UNDEFINED</v>
      </c>
      <c r="X3" s="33" t="str">
        <f>"Error Bound (up) - " &amp; IF(ISBLANK('General Info'!$B$35), "UNDEFINED","
Max. possible relative overstatement for
" &amp; 'General Info'!$B$35)</f>
        <v>Error Bound (up) - UNDEFINED</v>
      </c>
      <c r="Y3" s="33" t="str">
        <f>"Error Bound (up) - " &amp; IF(ISBLANK('General Info'!$B$36), "UNDEFINED","
Max. possible relative overstatement for
" &amp; 'General Info'!$B$36)</f>
        <v>Error Bound (up) - UNDEFINED</v>
      </c>
      <c r="Z3" s="33" t="str">
        <f>"Error Bound (up) - " &amp; IF(ISBLANK('General Info'!$B$37), "UNDEFINED","
Max. possible relative overstatement for
" &amp; 'General Info'!$B$37)</f>
        <v>Error Bound (up) - UNDEFINED</v>
      </c>
      <c r="AA3" s="33" t="str">
        <f>"Error Bound (up) - " &amp; IF(ISBLANK('General Info'!$B$38), "UNDEFINED","
Max. possible relative overstatement for
" &amp; 'General Info'!$B$38)</f>
        <v>Error Bound (up) - UNDEFINED</v>
      </c>
      <c r="AB3" s="33" t="s">
        <v>90</v>
      </c>
      <c r="AC3" s="33" t="s">
        <v>59</v>
      </c>
      <c r="AD3" s="33" t="s">
        <v>5</v>
      </c>
      <c r="AE3" s="33" t="s">
        <v>54</v>
      </c>
      <c r="AF3" s="33" t="s">
        <v>31</v>
      </c>
      <c r="AG3" s="33" t="s">
        <v>32</v>
      </c>
      <c r="AH3" s="33" t="s">
        <v>30</v>
      </c>
      <c r="AI3" s="33" t="s">
        <v>93</v>
      </c>
      <c r="AJ3" s="33" t="s">
        <v>60</v>
      </c>
    </row>
    <row r="4" spans="1:36" s="1" customFormat="1" ht="18" customHeight="1" x14ac:dyDescent="0.35">
      <c r="A4" s="29" t="s">
        <v>95</v>
      </c>
      <c r="B4" s="29" t="s">
        <v>47</v>
      </c>
      <c r="C4" s="29" t="s">
        <v>61</v>
      </c>
      <c r="D4" s="29" t="s">
        <v>62</v>
      </c>
      <c r="E4" s="29" t="s">
        <v>63</v>
      </c>
      <c r="F4" s="29" t="s">
        <v>52</v>
      </c>
      <c r="G4" s="29" t="s">
        <v>53</v>
      </c>
      <c r="H4" s="29" t="s">
        <v>167</v>
      </c>
      <c r="I4" s="29" t="s">
        <v>166</v>
      </c>
      <c r="J4" s="29" t="s">
        <v>188</v>
      </c>
      <c r="K4" s="29" t="s">
        <v>189</v>
      </c>
      <c r="L4" s="29" t="s">
        <v>190</v>
      </c>
      <c r="M4" s="29" t="s">
        <v>191</v>
      </c>
      <c r="N4" s="29" t="s">
        <v>6</v>
      </c>
      <c r="O4" s="31" t="s">
        <v>7</v>
      </c>
      <c r="P4" s="34" t="s">
        <v>0</v>
      </c>
      <c r="Q4" s="34" t="s">
        <v>85</v>
      </c>
      <c r="R4" s="34" t="s">
        <v>86</v>
      </c>
      <c r="S4" s="34" t="s">
        <v>87</v>
      </c>
      <c r="T4" s="34" t="s">
        <v>88</v>
      </c>
      <c r="U4" s="34" t="s">
        <v>89</v>
      </c>
      <c r="V4" s="34" t="s">
        <v>173</v>
      </c>
      <c r="W4" s="34" t="s">
        <v>172</v>
      </c>
      <c r="X4" s="34" t="s">
        <v>192</v>
      </c>
      <c r="Y4" s="34" t="s">
        <v>193</v>
      </c>
      <c r="Z4" s="34" t="s">
        <v>194</v>
      </c>
      <c r="AA4" s="34" t="s">
        <v>195</v>
      </c>
      <c r="AB4" s="34" t="s">
        <v>91</v>
      </c>
      <c r="AC4" s="34" t="s">
        <v>57</v>
      </c>
      <c r="AD4" s="34" t="s">
        <v>5</v>
      </c>
      <c r="AE4" s="34" t="s">
        <v>54</v>
      </c>
      <c r="AF4" s="34" t="s">
        <v>31</v>
      </c>
      <c r="AG4" s="34" t="s">
        <v>32</v>
      </c>
      <c r="AH4" s="34" t="s">
        <v>30</v>
      </c>
      <c r="AI4" s="34" t="s">
        <v>96</v>
      </c>
      <c r="AJ4" s="34" t="s">
        <v>58</v>
      </c>
    </row>
    <row r="5" spans="1:36" ht="14.5" x14ac:dyDescent="0.35">
      <c r="A5" t="s">
        <v>218</v>
      </c>
      <c r="B5">
        <v>30</v>
      </c>
      <c r="C5">
        <v>46</v>
      </c>
      <c r="N5">
        <v>0</v>
      </c>
      <c r="O5">
        <v>2</v>
      </c>
      <c r="P5" s="16">
        <f>SUM(SamplingData[[#This Row],[Winning Candidate]:[Under Votes]])</f>
        <v>78</v>
      </c>
      <c r="Q5" s="17">
        <f>IF(AND(SamplingData[[#This Row],[Total]]&lt;&gt; 0, NOT(ISBLANK(SamplingData[[#This Row],[Losing Candidate]]))),(SamplingData[[#This Row],[Total]]+SamplingData[[#This Row],[Winning Candidate]]-SamplingData[[#This Row],[Losing Candidate]])/(SamplingData[[#Totals],[Winning Candidate]]-SamplingData[[#Totals],[Losing Candidate]]), 0)</f>
        <v>2.631132235613648E-3</v>
      </c>
      <c r="R5" s="17">
        <f>IF(AND(SamplingData[[#This Row],[Total]]&lt;&gt; 0, NOT(ISBLANK(SamplingData[[#This Row],[Candidate 3]]))),(SamplingData[[#This Row],[Total]]+SamplingData[[#This Row],[Winning Candidate]]-SamplingData[[#This Row],[Candidate 3]])/(SamplingData[[#Totals],[Winning Candidate]]-SamplingData[[#Totals],[Candidate 3]]), 0)</f>
        <v>0</v>
      </c>
      <c r="S5" s="17">
        <f>IF(AND(SamplingData[[#This Row],[Total]]&lt;&gt; 0, NOT(ISBLANK(SamplingData[[#This Row],[Candidate 4]]))),(SamplingData[[#This Row],[Total]]+SamplingData[[#This Row],[Winning Candidate]]-SamplingData[[#This Row],[Candidate 4]])/(SamplingData[[#Totals],[Winning Candidate]]-SamplingData[[#Totals],[Candidate 4]]), 0)</f>
        <v>0</v>
      </c>
      <c r="T5" s="17">
        <f>IF(AND(SamplingData[[#This Row],[Total]]&lt;&gt; 0, NOT(ISBLANK(SamplingData[[#This Row],[Candidate 5]]))),(SamplingData[[#This Row],[Total]]+SamplingData[[#This Row],[Winning Candidate]]-SamplingData[[#This Row],[Candidate 5]])/(SamplingData[[#Totals],[Winning Candidate]]-SamplingData[[#Totals],[Candidate 5]]), 0)</f>
        <v>0</v>
      </c>
      <c r="U5" s="17">
        <f>IF(AND(SamplingData[[#This Row],[Total]]&lt;&gt; 0, NOT(ISBLANK(SamplingData[[#This Row],[Candidate 6]]))),(SamplingData[[#This Row],[Total]]+SamplingData[[#This Row],[Losing Candidate]]-SamplingData[[#This Row],[Candidate 6]])/(SamplingData[[#Totals],[Winning Candidate]]-SamplingData[[#Totals],[Candidate 6]]), 0)</f>
        <v>0</v>
      </c>
      <c r="V5" s="17">
        <f>IF(AND(SamplingData[[#This Row],[Total]]&lt;&gt; 0, NOT(ISBLANK(SamplingData[[#This Row],[Candidate 7]]))),(SamplingData[[#This Row],[Total]]+SamplingData[[#This Row],[Winning Candidate]]-SamplingData[[#This Row],[Candidate 7]])/(SamplingData[[#Totals],[Winning Candidate]]-SamplingData[[#Totals],[Candidate 7]]), 0)</f>
        <v>0</v>
      </c>
      <c r="W5" s="17">
        <f>IF(AND(SamplingData[[#This Row],[Total]]&lt;&gt; 0, NOT(ISBLANK(SamplingData[[#This Row],[Candidate 8]]))),(SamplingData[[#This Row],[Total]]+SamplingData[[#This Row],[Winning Candidate]]-SamplingData[[#This Row],[Candidate 8]])/(SamplingData[[#Totals],[Winning Candidate]]-SamplingData[[#Totals],[Candidate 8]]), 0)</f>
        <v>0</v>
      </c>
      <c r="X5"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 s="17">
        <f>MAX(SamplingData[[#This Row],[Error Bound (up) - Max. possible relative overstatement - Losing Candidate]:[Error Bound (up) - Max. possible relative overstatement - Candidate 12]])</f>
        <v>2.631132235613648E-3</v>
      </c>
      <c r="AC5" s="17">
        <f>IF(SamplingData[[#This Row],[Max Error Bound (up)]] = 0,0,SamplingData[[#This Row],[Max Error Bound (up)]]/SamplingData[[#Totals],[Max Error Bound (up)]])</f>
        <v>1.408732322681501E-4</v>
      </c>
      <c r="AD5" s="17">
        <f>SUM($AC$5:AC5)</f>
        <v>1.408732322681501E-4</v>
      </c>
      <c r="AE5" s="17" t="str">
        <f t="array" ref="AE5">IF(SamplingData[[#This Row],[up/U Selection Probability]] = 0, "Zero", TEXT(SamplingData[[#This Row],[Lower Range]], REPT("0",LEN('General Info'!$B$42))) &amp; " - " &amp; TEXT(SamplingData[[#This Row],[Upper Range]], REPT("0",LEN('General Info'!$B$42))))</f>
        <v>000000 - 000140</v>
      </c>
      <c r="AF5" s="17">
        <f>SamplingData[[#This Row],[Upper Range]]-SamplingData[[#This Row],[Span]]</f>
        <v>0</v>
      </c>
      <c r="AG5" s="17">
        <f>IF(ISNUMBER('General Info'!$B$42), ((SamplingData[[#This Row],[up/U Selection Probability]]) * 'General Info'!$B$44) - 1, 0)</f>
        <v>139.8732322681501</v>
      </c>
      <c r="AH5" s="17">
        <f>IF(ISNUMBER('General Info'!$B$42), (SamplingData[[#This Row],[Running (cumulative) sum]] * ('General Info'!$B$42 -'General Info'!$B$43 + 1)) + 'General Info'!$B$43 - 1, 0)</f>
        <v>139.8732322681501</v>
      </c>
      <c r="AI5" s="17" t="str">
        <f>IF(ISERROR(MATCH(SamplingData[[#This Row],[Batch by Type (p)]],SelectedPrecincts[Batch Name], 0)), "", INDEX(SelectedPrecincts[Draw], MATCH(SamplingData[[#This Row],[Batch by Type (p)]],SelectedPrecincts[Batch Name], 0)))</f>
        <v/>
      </c>
      <c r="AJ5" s="16">
        <f>IF(COUNTIF(SelectedPrecincts[Batch Name],SamplingData[[#This Row],[Batch by Type (p)]]) &lt;&gt; 0, COUNTIF(SelectedPrecincts[Batch Name],SamplingData[[#This Row],[Batch by Type (p)]]), 0)</f>
        <v>0</v>
      </c>
    </row>
    <row r="6" spans="1:36" ht="14.5" x14ac:dyDescent="0.35">
      <c r="A6" t="s">
        <v>219</v>
      </c>
      <c r="B6">
        <v>250</v>
      </c>
      <c r="C6">
        <v>135</v>
      </c>
      <c r="N6">
        <v>0</v>
      </c>
      <c r="O6">
        <v>25</v>
      </c>
      <c r="P6" s="16">
        <f>SUM(SamplingData[[#This Row],[Winning Candidate]:[Under Votes]])</f>
        <v>410</v>
      </c>
      <c r="Q6" s="17">
        <f>IF(AND(SamplingData[[#This Row],[Total]]&lt;&gt; 0, NOT(ISBLANK(SamplingData[[#This Row],[Losing Candidate]]))),(SamplingData[[#This Row],[Total]]+SamplingData[[#This Row],[Winning Candidate]]-SamplingData[[#This Row],[Losing Candidate]])/(SamplingData[[#Totals],[Winning Candidate]]-SamplingData[[#Totals],[Losing Candidate]]), 0)</f>
        <v>2.2279748769309115E-2</v>
      </c>
      <c r="R6" s="17">
        <f>IF(AND(SamplingData[[#This Row],[Total]]&lt;&gt; 0, NOT(ISBLANK(SamplingData[[#This Row],[Candidate 3]]))),(SamplingData[[#This Row],[Total]]+SamplingData[[#This Row],[Winning Candidate]]-SamplingData[[#This Row],[Candidate 3]])/(SamplingData[[#Totals],[Winning Candidate]]-SamplingData[[#Totals],[Candidate 3]]), 0)</f>
        <v>0</v>
      </c>
      <c r="S6" s="17">
        <f>IF(AND(SamplingData[[#This Row],[Total]]&lt;&gt; 0, NOT(ISBLANK(SamplingData[[#This Row],[Candidate 4]]))),(SamplingData[[#This Row],[Total]]+SamplingData[[#This Row],[Winning Candidate]]-SamplingData[[#This Row],[Candidate 4]])/(SamplingData[[#Totals],[Winning Candidate]]-SamplingData[[#Totals],[Candidate 4]]), 0)</f>
        <v>0</v>
      </c>
      <c r="T6" s="17">
        <f>IF(AND(SamplingData[[#This Row],[Total]]&lt;&gt; 0, NOT(ISBLANK(SamplingData[[#This Row],[Candidate 5]]))),(SamplingData[[#This Row],[Total]]+SamplingData[[#This Row],[Winning Candidate]]-SamplingData[[#This Row],[Candidate 5]])/(SamplingData[[#Totals],[Winning Candidate]]-SamplingData[[#Totals],[Candidate 5]]), 0)</f>
        <v>0</v>
      </c>
      <c r="U6" s="17">
        <f>IF(AND(SamplingData[[#This Row],[Total]]&lt;&gt; 0, NOT(ISBLANK(SamplingData[[#This Row],[Candidate 6]]))),(SamplingData[[#This Row],[Total]]+SamplingData[[#This Row],[Losing Candidate]]-SamplingData[[#This Row],[Candidate 6]])/(SamplingData[[#Totals],[Winning Candidate]]-SamplingData[[#Totals],[Candidate 6]]), 0)</f>
        <v>0</v>
      </c>
      <c r="V6" s="17">
        <f>IF(AND(SamplingData[[#This Row],[Total]]&lt;&gt; 0, NOT(ISBLANK(SamplingData[[#This Row],[Candidate 7]]))),(SamplingData[[#This Row],[Total]]+SamplingData[[#This Row],[Winning Candidate]]-SamplingData[[#This Row],[Candidate 7]])/(SamplingData[[#Totals],[Winning Candidate]]-SamplingData[[#Totals],[Candidate 7]]), 0)</f>
        <v>0</v>
      </c>
      <c r="W6" s="17">
        <f>IF(AND(SamplingData[[#This Row],[Total]]&lt;&gt; 0, NOT(ISBLANK(SamplingData[[#This Row],[Candidate 8]]))),(SamplingData[[#This Row],[Total]]+SamplingData[[#This Row],[Winning Candidate]]-SamplingData[[#This Row],[Candidate 8]])/(SamplingData[[#Totals],[Winning Candidate]]-SamplingData[[#Totals],[Candidate 8]]), 0)</f>
        <v>0</v>
      </c>
      <c r="X6"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 s="17">
        <f>MAX(SamplingData[[#This Row],[Error Bound (up) - Max. possible relative overstatement - Losing Candidate]:[Error Bound (up) - Max. possible relative overstatement - Candidate 12]])</f>
        <v>2.2279748769309115E-2</v>
      </c>
      <c r="AC6" s="17">
        <f>IF(SamplingData[[#This Row],[Max Error Bound (up)]] = 0,0,SamplingData[[#This Row],[Max Error Bound (up)]]/SamplingData[[#Totals],[Max Error Bound (up)]])</f>
        <v>1.1928781764641743E-3</v>
      </c>
      <c r="AD6" s="17">
        <f>SUM($AC$5:AC6)</f>
        <v>1.3337514087323245E-3</v>
      </c>
      <c r="AE6" s="17" t="str">
        <f t="array" ref="AE6">IF(SamplingData[[#This Row],[up/U Selection Probability]] = 0, "Zero", TEXT(SamplingData[[#This Row],[Lower Range]], REPT("0",LEN('General Info'!$B$42))) &amp; " - " &amp; TEXT(SamplingData[[#This Row],[Upper Range]], REPT("0",LEN('General Info'!$B$42))))</f>
        <v>000141 - 001333</v>
      </c>
      <c r="AF6" s="17">
        <f>SamplingData[[#This Row],[Upper Range]]-SamplingData[[#This Row],[Span]]</f>
        <v>140.87323226815033</v>
      </c>
      <c r="AG6" s="17">
        <f>IF(ISNUMBER('General Info'!$B$42), ((SamplingData[[#This Row],[up/U Selection Probability]]) * 'General Info'!$B$44) - 1, 0)</f>
        <v>1191.8781764641742</v>
      </c>
      <c r="AH6" s="17">
        <f>IF(ISNUMBER('General Info'!$B$42), (SamplingData[[#This Row],[Running (cumulative) sum]] * ('General Info'!$B$42 -'General Info'!$B$43 + 1)) + 'General Info'!$B$43 - 1, 0)</f>
        <v>1332.7514087323245</v>
      </c>
      <c r="AI6" s="17" t="str">
        <f>IF(ISERROR(MATCH(SamplingData[[#This Row],[Batch by Type (p)]],SelectedPrecincts[Batch Name], 0)), "", INDEX(SelectedPrecincts[Draw], MATCH(SamplingData[[#This Row],[Batch by Type (p)]],SelectedPrecincts[Batch Name], 0)))</f>
        <v/>
      </c>
      <c r="AJ6" s="16">
        <f>IF(COUNTIF(SelectedPrecincts[Batch Name],SamplingData[[#This Row],[Batch by Type (p)]]) &lt;&gt; 0, COUNTIF(SelectedPrecincts[Batch Name],SamplingData[[#This Row],[Batch by Type (p)]]), 0)</f>
        <v>0</v>
      </c>
    </row>
    <row r="7" spans="1:36" ht="14.5" x14ac:dyDescent="0.35">
      <c r="A7" t="s">
        <v>220</v>
      </c>
      <c r="B7">
        <v>201</v>
      </c>
      <c r="C7">
        <v>89</v>
      </c>
      <c r="N7">
        <v>0</v>
      </c>
      <c r="O7">
        <v>18</v>
      </c>
      <c r="P7" s="16">
        <f>SUM(SamplingData[[#This Row],[Winning Candidate]:[Under Votes]])</f>
        <v>308</v>
      </c>
      <c r="Q7" s="17">
        <f>IF(AND(SamplingData[[#This Row],[Total]]&lt;&gt; 0, NOT(ISBLANK(SamplingData[[#This Row],[Losing Candidate]]))),(SamplingData[[#This Row],[Total]]+SamplingData[[#This Row],[Winning Candidate]]-SamplingData[[#This Row],[Losing Candidate]])/(SamplingData[[#Totals],[Winning Candidate]]-SamplingData[[#Totals],[Losing Candidate]]), 0)</f>
        <v>1.7823799015447294E-2</v>
      </c>
      <c r="R7" s="17">
        <f>IF(AND(SamplingData[[#This Row],[Total]]&lt;&gt; 0, NOT(ISBLANK(SamplingData[[#This Row],[Candidate 3]]))),(SamplingData[[#This Row],[Total]]+SamplingData[[#This Row],[Winning Candidate]]-SamplingData[[#This Row],[Candidate 3]])/(SamplingData[[#Totals],[Winning Candidate]]-SamplingData[[#Totals],[Candidate 3]]), 0)</f>
        <v>0</v>
      </c>
      <c r="S7" s="17">
        <f>IF(AND(SamplingData[[#This Row],[Total]]&lt;&gt; 0, NOT(ISBLANK(SamplingData[[#This Row],[Candidate 4]]))),(SamplingData[[#This Row],[Total]]+SamplingData[[#This Row],[Winning Candidate]]-SamplingData[[#This Row],[Candidate 4]])/(SamplingData[[#Totals],[Winning Candidate]]-SamplingData[[#Totals],[Candidate 4]]), 0)</f>
        <v>0</v>
      </c>
      <c r="T7" s="17">
        <f>IF(AND(SamplingData[[#This Row],[Total]]&lt;&gt; 0, NOT(ISBLANK(SamplingData[[#This Row],[Candidate 5]]))),(SamplingData[[#This Row],[Total]]+SamplingData[[#This Row],[Winning Candidate]]-SamplingData[[#This Row],[Candidate 5]])/(SamplingData[[#Totals],[Winning Candidate]]-SamplingData[[#Totals],[Candidate 5]]), 0)</f>
        <v>0</v>
      </c>
      <c r="U7" s="17">
        <f>IF(AND(SamplingData[[#This Row],[Total]]&lt;&gt; 0, NOT(ISBLANK(SamplingData[[#This Row],[Candidate 6]]))),(SamplingData[[#This Row],[Total]]+SamplingData[[#This Row],[Losing Candidate]]-SamplingData[[#This Row],[Candidate 6]])/(SamplingData[[#Totals],[Winning Candidate]]-SamplingData[[#Totals],[Candidate 6]]), 0)</f>
        <v>0</v>
      </c>
      <c r="V7" s="17">
        <f>IF(AND(SamplingData[[#This Row],[Total]]&lt;&gt; 0, NOT(ISBLANK(SamplingData[[#This Row],[Candidate 7]]))),(SamplingData[[#This Row],[Total]]+SamplingData[[#This Row],[Winning Candidate]]-SamplingData[[#This Row],[Candidate 7]])/(SamplingData[[#Totals],[Winning Candidate]]-SamplingData[[#Totals],[Candidate 7]]), 0)</f>
        <v>0</v>
      </c>
      <c r="W7" s="17">
        <f>IF(AND(SamplingData[[#This Row],[Total]]&lt;&gt; 0, NOT(ISBLANK(SamplingData[[#This Row],[Candidate 8]]))),(SamplingData[[#This Row],[Total]]+SamplingData[[#This Row],[Winning Candidate]]-SamplingData[[#This Row],[Candidate 8]])/(SamplingData[[#Totals],[Winning Candidate]]-SamplingData[[#Totals],[Candidate 8]]), 0)</f>
        <v>0</v>
      </c>
      <c r="X7"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 s="17">
        <f>MAX(SamplingData[[#This Row],[Error Bound (up) - Max. possible relative overstatement - Losing Candidate]:[Error Bound (up) - Max. possible relative overstatement - Candidate 12]])</f>
        <v>1.7823799015447294E-2</v>
      </c>
      <c r="AC7" s="17">
        <f>IF(SamplingData[[#This Row],[Max Error Bound (up)]] = 0,0,SamplingData[[#This Row],[Max Error Bound (up)]]/SamplingData[[#Totals],[Max Error Bound (up)]])</f>
        <v>9.5430254117133948E-4</v>
      </c>
      <c r="AD7" s="17">
        <f>SUM($AC$5:AC7)</f>
        <v>2.2880539499036639E-3</v>
      </c>
      <c r="AE7" s="17" t="str">
        <f t="array" ref="AE7">IF(SamplingData[[#This Row],[up/U Selection Probability]] = 0, "Zero", TEXT(SamplingData[[#This Row],[Lower Range]], REPT("0",LEN('General Info'!$B$42))) &amp; " - " &amp; TEXT(SamplingData[[#This Row],[Upper Range]], REPT("0",LEN('General Info'!$B$42))))</f>
        <v>001334 - 002287</v>
      </c>
      <c r="AF7" s="17">
        <f>SamplingData[[#This Row],[Upper Range]]-SamplingData[[#This Row],[Span]]</f>
        <v>1333.7514087323245</v>
      </c>
      <c r="AG7" s="17">
        <f>IF(ISNUMBER('General Info'!$B$42), ((SamplingData[[#This Row],[up/U Selection Probability]]) * 'General Info'!$B$44) - 1, 0)</f>
        <v>953.3025411713395</v>
      </c>
      <c r="AH7" s="17">
        <f>IF(ISNUMBER('General Info'!$B$42), (SamplingData[[#This Row],[Running (cumulative) sum]] * ('General Info'!$B$42 -'General Info'!$B$43 + 1)) + 'General Info'!$B$43 - 1, 0)</f>
        <v>2287.053949903664</v>
      </c>
      <c r="AI7" s="17" t="str">
        <f>IF(ISERROR(MATCH(SamplingData[[#This Row],[Batch by Type (p)]],SelectedPrecincts[Batch Name], 0)), "", INDEX(SelectedPrecincts[Draw], MATCH(SamplingData[[#This Row],[Batch by Type (p)]],SelectedPrecincts[Batch Name], 0)))</f>
        <v/>
      </c>
      <c r="AJ7" s="16">
        <f>IF(COUNTIF(SelectedPrecincts[Batch Name],SamplingData[[#This Row],[Batch by Type (p)]]) &lt;&gt; 0, COUNTIF(SelectedPrecincts[Batch Name],SamplingData[[#This Row],[Batch by Type (p)]]), 0)</f>
        <v>0</v>
      </c>
    </row>
    <row r="8" spans="1:36" ht="14.5" x14ac:dyDescent="0.35">
      <c r="A8" t="s">
        <v>221</v>
      </c>
      <c r="B8">
        <v>197</v>
      </c>
      <c r="C8">
        <v>111</v>
      </c>
      <c r="N8">
        <v>0</v>
      </c>
      <c r="O8">
        <v>14</v>
      </c>
      <c r="P8" s="16">
        <f>SUM(SamplingData[[#This Row],[Winning Candidate]:[Under Votes]])</f>
        <v>322</v>
      </c>
      <c r="Q8" s="17">
        <f>IF(AND(SamplingData[[#This Row],[Total]]&lt;&gt; 0, NOT(ISBLANK(SamplingData[[#This Row],[Losing Candidate]]))),(SamplingData[[#This Row],[Total]]+SamplingData[[#This Row],[Winning Candidate]]-SamplingData[[#This Row],[Losing Candidate]])/(SamplingData[[#Totals],[Winning Candidate]]-SamplingData[[#Totals],[Losing Candidate]]), 0)</f>
        <v>1.7314547615005942E-2</v>
      </c>
      <c r="R8" s="17">
        <f>IF(AND(SamplingData[[#This Row],[Total]]&lt;&gt; 0, NOT(ISBLANK(SamplingData[[#This Row],[Candidate 3]]))),(SamplingData[[#This Row],[Total]]+SamplingData[[#This Row],[Winning Candidate]]-SamplingData[[#This Row],[Candidate 3]])/(SamplingData[[#Totals],[Winning Candidate]]-SamplingData[[#Totals],[Candidate 3]]), 0)</f>
        <v>0</v>
      </c>
      <c r="S8" s="17">
        <f>IF(AND(SamplingData[[#This Row],[Total]]&lt;&gt; 0, NOT(ISBLANK(SamplingData[[#This Row],[Candidate 4]]))),(SamplingData[[#This Row],[Total]]+SamplingData[[#This Row],[Winning Candidate]]-SamplingData[[#This Row],[Candidate 4]])/(SamplingData[[#Totals],[Winning Candidate]]-SamplingData[[#Totals],[Candidate 4]]), 0)</f>
        <v>0</v>
      </c>
      <c r="T8" s="17">
        <f>IF(AND(SamplingData[[#This Row],[Total]]&lt;&gt; 0, NOT(ISBLANK(SamplingData[[#This Row],[Candidate 5]]))),(SamplingData[[#This Row],[Total]]+SamplingData[[#This Row],[Winning Candidate]]-SamplingData[[#This Row],[Candidate 5]])/(SamplingData[[#Totals],[Winning Candidate]]-SamplingData[[#Totals],[Candidate 5]]), 0)</f>
        <v>0</v>
      </c>
      <c r="U8" s="17">
        <f>IF(AND(SamplingData[[#This Row],[Total]]&lt;&gt; 0, NOT(ISBLANK(SamplingData[[#This Row],[Candidate 6]]))),(SamplingData[[#This Row],[Total]]+SamplingData[[#This Row],[Losing Candidate]]-SamplingData[[#This Row],[Candidate 6]])/(SamplingData[[#Totals],[Winning Candidate]]-SamplingData[[#Totals],[Candidate 6]]), 0)</f>
        <v>0</v>
      </c>
      <c r="V8" s="17">
        <f>IF(AND(SamplingData[[#This Row],[Total]]&lt;&gt; 0, NOT(ISBLANK(SamplingData[[#This Row],[Candidate 7]]))),(SamplingData[[#This Row],[Total]]+SamplingData[[#This Row],[Winning Candidate]]-SamplingData[[#This Row],[Candidate 7]])/(SamplingData[[#Totals],[Winning Candidate]]-SamplingData[[#Totals],[Candidate 7]]), 0)</f>
        <v>0</v>
      </c>
      <c r="W8" s="17">
        <f>IF(AND(SamplingData[[#This Row],[Total]]&lt;&gt; 0, NOT(ISBLANK(SamplingData[[#This Row],[Candidate 8]]))),(SamplingData[[#This Row],[Total]]+SamplingData[[#This Row],[Winning Candidate]]-SamplingData[[#This Row],[Candidate 8]])/(SamplingData[[#Totals],[Winning Candidate]]-SamplingData[[#Totals],[Candidate 8]]), 0)</f>
        <v>0</v>
      </c>
      <c r="X8"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 s="17">
        <f>MAX(SamplingData[[#This Row],[Error Bound (up) - Max. possible relative overstatement - Losing Candidate]:[Error Bound (up) - Max. possible relative overstatement - Candidate 12]])</f>
        <v>1.7314547615005942E-2</v>
      </c>
      <c r="AC8" s="17">
        <f>IF(SamplingData[[#This Row],[Max Error Bound (up)]] = 0,0,SamplingData[[#This Row],[Max Error Bound (up)]]/SamplingData[[#Totals],[Max Error Bound (up)]])</f>
        <v>9.2703675428072979E-4</v>
      </c>
      <c r="AD8" s="17">
        <f>SUM($AC$5:AC8)</f>
        <v>3.2150907041843938E-3</v>
      </c>
      <c r="AE8" s="17" t="str">
        <f t="array" ref="AE8">IF(SamplingData[[#This Row],[up/U Selection Probability]] = 0, "Zero", TEXT(SamplingData[[#This Row],[Lower Range]], REPT("0",LEN('General Info'!$B$42))) &amp; " - " &amp; TEXT(SamplingData[[#This Row],[Upper Range]], REPT("0",LEN('General Info'!$B$42))))</f>
        <v>002288 - 003214</v>
      </c>
      <c r="AF8" s="17">
        <f>SamplingData[[#This Row],[Upper Range]]-SamplingData[[#This Row],[Span]]</f>
        <v>2288.053949903664</v>
      </c>
      <c r="AG8" s="17">
        <f>IF(ISNUMBER('General Info'!$B$42), ((SamplingData[[#This Row],[up/U Selection Probability]]) * 'General Info'!$B$44) - 1, 0)</f>
        <v>926.03675428072984</v>
      </c>
      <c r="AH8" s="17">
        <f>IF(ISNUMBER('General Info'!$B$42), (SamplingData[[#This Row],[Running (cumulative) sum]] * ('General Info'!$B$42 -'General Info'!$B$43 + 1)) + 'General Info'!$B$43 - 1, 0)</f>
        <v>3214.0907041843939</v>
      </c>
      <c r="AI8" s="17" t="str">
        <f>IF(ISERROR(MATCH(SamplingData[[#This Row],[Batch by Type (p)]],SelectedPrecincts[Batch Name], 0)), "", INDEX(SelectedPrecincts[Draw], MATCH(SamplingData[[#This Row],[Batch by Type (p)]],SelectedPrecincts[Batch Name], 0)))</f>
        <v/>
      </c>
      <c r="AJ8" s="16">
        <f>IF(COUNTIF(SelectedPrecincts[Batch Name],SamplingData[[#This Row],[Batch by Type (p)]]) &lt;&gt; 0, COUNTIF(SelectedPrecincts[Batch Name],SamplingData[[#This Row],[Batch by Type (p)]]), 0)</f>
        <v>0</v>
      </c>
    </row>
    <row r="9" spans="1:36" ht="14.5" x14ac:dyDescent="0.35">
      <c r="A9" t="s">
        <v>222</v>
      </c>
      <c r="B9">
        <v>244</v>
      </c>
      <c r="C9">
        <v>111</v>
      </c>
      <c r="N9">
        <v>0</v>
      </c>
      <c r="O9">
        <v>13</v>
      </c>
      <c r="P9" s="16">
        <f>SUM(SamplingData[[#This Row],[Winning Candidate]:[Under Votes]])</f>
        <v>368</v>
      </c>
      <c r="Q9" s="17">
        <f>IF(AND(SamplingData[[#This Row],[Total]]&lt;&gt; 0, NOT(ISBLANK(SamplingData[[#This Row],[Losing Candidate]]))),(SamplingData[[#This Row],[Total]]+SamplingData[[#This Row],[Winning Candidate]]-SamplingData[[#This Row],[Losing Candidate]])/(SamplingData[[#Totals],[Winning Candidate]]-SamplingData[[#Totals],[Losing Candidate]]), 0)</f>
        <v>2.1261245968426414E-2</v>
      </c>
      <c r="R9" s="17">
        <f>IF(AND(SamplingData[[#This Row],[Total]]&lt;&gt; 0, NOT(ISBLANK(SamplingData[[#This Row],[Candidate 3]]))),(SamplingData[[#This Row],[Total]]+SamplingData[[#This Row],[Winning Candidate]]-SamplingData[[#This Row],[Candidate 3]])/(SamplingData[[#Totals],[Winning Candidate]]-SamplingData[[#Totals],[Candidate 3]]), 0)</f>
        <v>0</v>
      </c>
      <c r="S9" s="17">
        <f>IF(AND(SamplingData[[#This Row],[Total]]&lt;&gt; 0, NOT(ISBLANK(SamplingData[[#This Row],[Candidate 4]]))),(SamplingData[[#This Row],[Total]]+SamplingData[[#This Row],[Winning Candidate]]-SamplingData[[#This Row],[Candidate 4]])/(SamplingData[[#Totals],[Winning Candidate]]-SamplingData[[#Totals],[Candidate 4]]), 0)</f>
        <v>0</v>
      </c>
      <c r="T9" s="17">
        <f>IF(AND(SamplingData[[#This Row],[Total]]&lt;&gt; 0, NOT(ISBLANK(SamplingData[[#This Row],[Candidate 5]]))),(SamplingData[[#This Row],[Total]]+SamplingData[[#This Row],[Winning Candidate]]-SamplingData[[#This Row],[Candidate 5]])/(SamplingData[[#Totals],[Winning Candidate]]-SamplingData[[#Totals],[Candidate 5]]), 0)</f>
        <v>0</v>
      </c>
      <c r="U9" s="17">
        <f>IF(AND(SamplingData[[#This Row],[Total]]&lt;&gt; 0, NOT(ISBLANK(SamplingData[[#This Row],[Candidate 6]]))),(SamplingData[[#This Row],[Total]]+SamplingData[[#This Row],[Losing Candidate]]-SamplingData[[#This Row],[Candidate 6]])/(SamplingData[[#Totals],[Winning Candidate]]-SamplingData[[#Totals],[Candidate 6]]), 0)</f>
        <v>0</v>
      </c>
      <c r="V9" s="17">
        <f>IF(AND(SamplingData[[#This Row],[Total]]&lt;&gt; 0, NOT(ISBLANK(SamplingData[[#This Row],[Candidate 7]]))),(SamplingData[[#This Row],[Total]]+SamplingData[[#This Row],[Winning Candidate]]-SamplingData[[#This Row],[Candidate 7]])/(SamplingData[[#Totals],[Winning Candidate]]-SamplingData[[#Totals],[Candidate 7]]), 0)</f>
        <v>0</v>
      </c>
      <c r="W9" s="17">
        <f>IF(AND(SamplingData[[#This Row],[Total]]&lt;&gt; 0, NOT(ISBLANK(SamplingData[[#This Row],[Candidate 8]]))),(SamplingData[[#This Row],[Total]]+SamplingData[[#This Row],[Winning Candidate]]-SamplingData[[#This Row],[Candidate 8]])/(SamplingData[[#Totals],[Winning Candidate]]-SamplingData[[#Totals],[Candidate 8]]), 0)</f>
        <v>0</v>
      </c>
      <c r="X9"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 s="17">
        <f>MAX(SamplingData[[#This Row],[Error Bound (up) - Max. possible relative overstatement - Losing Candidate]:[Error Bound (up) - Max. possible relative overstatement - Candidate 12]])</f>
        <v>2.1261245968426414E-2</v>
      </c>
      <c r="AC9" s="17">
        <f>IF(SamplingData[[#This Row],[Max Error Bound (up)]] = 0,0,SamplingData[[#This Row],[Max Error Bound (up)]]/SamplingData[[#Totals],[Max Error Bound (up)]])</f>
        <v>1.1383466026829549E-3</v>
      </c>
      <c r="AD9" s="17">
        <f>SUM($AC$5:AC9)</f>
        <v>4.3534373068673492E-3</v>
      </c>
      <c r="AE9" s="17" t="str">
        <f t="array" ref="AE9">IF(SamplingData[[#This Row],[up/U Selection Probability]] = 0, "Zero", TEXT(SamplingData[[#This Row],[Lower Range]], REPT("0",LEN('General Info'!$B$42))) &amp; " - " &amp; TEXT(SamplingData[[#This Row],[Upper Range]], REPT("0",LEN('General Info'!$B$42))))</f>
        <v>003215 - 004352</v>
      </c>
      <c r="AF9" s="17">
        <f>SamplingData[[#This Row],[Upper Range]]-SamplingData[[#This Row],[Span]]</f>
        <v>3215.0907041843948</v>
      </c>
      <c r="AG9" s="17">
        <f>IF(ISNUMBER('General Info'!$B$42), ((SamplingData[[#This Row],[up/U Selection Probability]]) * 'General Info'!$B$44) - 1, 0)</f>
        <v>1137.3466026829549</v>
      </c>
      <c r="AH9" s="17">
        <f>IF(ISNUMBER('General Info'!$B$42), (SamplingData[[#This Row],[Running (cumulative) sum]] * ('General Info'!$B$42 -'General Info'!$B$43 + 1)) + 'General Info'!$B$43 - 1, 0)</f>
        <v>4352.4373068673494</v>
      </c>
      <c r="AI9" s="17" t="str">
        <f>IF(ISERROR(MATCH(SamplingData[[#This Row],[Batch by Type (p)]],SelectedPrecincts[Batch Name], 0)), "", INDEX(SelectedPrecincts[Draw], MATCH(SamplingData[[#This Row],[Batch by Type (p)]],SelectedPrecincts[Batch Name], 0)))</f>
        <v/>
      </c>
      <c r="AJ9" s="16">
        <f>IF(COUNTIF(SelectedPrecincts[Batch Name],SamplingData[[#This Row],[Batch by Type (p)]]) &lt;&gt; 0, COUNTIF(SelectedPrecincts[Batch Name],SamplingData[[#This Row],[Batch by Type (p)]]), 0)</f>
        <v>0</v>
      </c>
    </row>
    <row r="10" spans="1:36" ht="14.5" x14ac:dyDescent="0.35">
      <c r="A10" t="s">
        <v>223</v>
      </c>
      <c r="B10">
        <v>216</v>
      </c>
      <c r="C10">
        <v>120</v>
      </c>
      <c r="N10">
        <v>1</v>
      </c>
      <c r="O10">
        <v>17</v>
      </c>
      <c r="P10" s="16">
        <f>SUM(SamplingData[[#This Row],[Winning Candidate]:[Under Votes]])</f>
        <v>354</v>
      </c>
      <c r="Q10" s="17">
        <f>IF(AND(SamplingData[[#This Row],[Total]]&lt;&gt; 0, NOT(ISBLANK(SamplingData[[#This Row],[Losing Candidate]]))),(SamplingData[[#This Row],[Total]]+SamplingData[[#This Row],[Winning Candidate]]-SamplingData[[#This Row],[Losing Candidate]])/(SamplingData[[#Totals],[Winning Candidate]]-SamplingData[[#Totals],[Losing Candidate]]), 0)</f>
        <v>1.909692751655067E-2</v>
      </c>
      <c r="R10" s="17">
        <f>IF(AND(SamplingData[[#This Row],[Total]]&lt;&gt; 0, NOT(ISBLANK(SamplingData[[#This Row],[Candidate 3]]))),(SamplingData[[#This Row],[Total]]+SamplingData[[#This Row],[Winning Candidate]]-SamplingData[[#This Row],[Candidate 3]])/(SamplingData[[#Totals],[Winning Candidate]]-SamplingData[[#Totals],[Candidate 3]]), 0)</f>
        <v>0</v>
      </c>
      <c r="S10" s="17">
        <f>IF(AND(SamplingData[[#This Row],[Total]]&lt;&gt; 0, NOT(ISBLANK(SamplingData[[#This Row],[Candidate 4]]))),(SamplingData[[#This Row],[Total]]+SamplingData[[#This Row],[Winning Candidate]]-SamplingData[[#This Row],[Candidate 4]])/(SamplingData[[#Totals],[Winning Candidate]]-SamplingData[[#Totals],[Candidate 4]]), 0)</f>
        <v>0</v>
      </c>
      <c r="T10" s="17">
        <f>IF(AND(SamplingData[[#This Row],[Total]]&lt;&gt; 0, NOT(ISBLANK(SamplingData[[#This Row],[Candidate 5]]))),(SamplingData[[#This Row],[Total]]+SamplingData[[#This Row],[Winning Candidate]]-SamplingData[[#This Row],[Candidate 5]])/(SamplingData[[#Totals],[Winning Candidate]]-SamplingData[[#Totals],[Candidate 5]]), 0)</f>
        <v>0</v>
      </c>
      <c r="U10" s="17">
        <f>IF(AND(SamplingData[[#This Row],[Total]]&lt;&gt; 0, NOT(ISBLANK(SamplingData[[#This Row],[Candidate 6]]))),(SamplingData[[#This Row],[Total]]+SamplingData[[#This Row],[Losing Candidate]]-SamplingData[[#This Row],[Candidate 6]])/(SamplingData[[#Totals],[Winning Candidate]]-SamplingData[[#Totals],[Candidate 6]]), 0)</f>
        <v>0</v>
      </c>
      <c r="V10" s="17">
        <f>IF(AND(SamplingData[[#This Row],[Total]]&lt;&gt; 0, NOT(ISBLANK(SamplingData[[#This Row],[Candidate 7]]))),(SamplingData[[#This Row],[Total]]+SamplingData[[#This Row],[Winning Candidate]]-SamplingData[[#This Row],[Candidate 7]])/(SamplingData[[#Totals],[Winning Candidate]]-SamplingData[[#Totals],[Candidate 7]]), 0)</f>
        <v>0</v>
      </c>
      <c r="W10" s="17">
        <f>IF(AND(SamplingData[[#This Row],[Total]]&lt;&gt; 0, NOT(ISBLANK(SamplingData[[#This Row],[Candidate 8]]))),(SamplingData[[#This Row],[Total]]+SamplingData[[#This Row],[Winning Candidate]]-SamplingData[[#This Row],[Candidate 8]])/(SamplingData[[#Totals],[Winning Candidate]]-SamplingData[[#Totals],[Candidate 8]]), 0)</f>
        <v>0</v>
      </c>
      <c r="X10"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 s="17">
        <f>MAX(SamplingData[[#This Row],[Error Bound (up) - Max. possible relative overstatement - Losing Candidate]:[Error Bound (up) - Max. possible relative overstatement - Candidate 12]])</f>
        <v>1.909692751655067E-2</v>
      </c>
      <c r="AC10" s="17">
        <f>IF(SamplingData[[#This Row],[Max Error Bound (up)]] = 0,0,SamplingData[[#This Row],[Max Error Bound (up)]]/SamplingData[[#Totals],[Max Error Bound (up)]])</f>
        <v>1.0224670083978636E-3</v>
      </c>
      <c r="AD10" s="17">
        <f>SUM($AC$5:AC10)</f>
        <v>5.3759043152652123E-3</v>
      </c>
      <c r="AE10" s="17" t="str">
        <f t="array" ref="AE10">IF(SamplingData[[#This Row],[up/U Selection Probability]] = 0, "Zero", TEXT(SamplingData[[#This Row],[Lower Range]], REPT("0",LEN('General Info'!$B$42))) &amp; " - " &amp; TEXT(SamplingData[[#This Row],[Upper Range]], REPT("0",LEN('General Info'!$B$42))))</f>
        <v>004353 - 005375</v>
      </c>
      <c r="AF10" s="17">
        <f>SamplingData[[#This Row],[Upper Range]]-SamplingData[[#This Row],[Span]]</f>
        <v>4353.4373068673485</v>
      </c>
      <c r="AG10" s="17">
        <f>IF(ISNUMBER('General Info'!$B$42), ((SamplingData[[#This Row],[up/U Selection Probability]]) * 'General Info'!$B$44) - 1, 0)</f>
        <v>1021.4670083978635</v>
      </c>
      <c r="AH10" s="17">
        <f>IF(ISNUMBER('General Info'!$B$42), (SamplingData[[#This Row],[Running (cumulative) sum]] * ('General Info'!$B$42 -'General Info'!$B$43 + 1)) + 'General Info'!$B$43 - 1, 0)</f>
        <v>5374.9043152652121</v>
      </c>
      <c r="AI10" s="17" t="str">
        <f>IF(ISERROR(MATCH(SamplingData[[#This Row],[Batch by Type (p)]],SelectedPrecincts[Batch Name], 0)), "", INDEX(SelectedPrecincts[Draw], MATCH(SamplingData[[#This Row],[Batch by Type (p)]],SelectedPrecincts[Batch Name], 0)))</f>
        <v/>
      </c>
      <c r="AJ10" s="16">
        <f>IF(COUNTIF(SelectedPrecincts[Batch Name],SamplingData[[#This Row],[Batch by Type (p)]]) &lt;&gt; 0, COUNTIF(SelectedPrecincts[Batch Name],SamplingData[[#This Row],[Batch by Type (p)]]), 0)</f>
        <v>0</v>
      </c>
    </row>
    <row r="11" spans="1:36" ht="14.5" x14ac:dyDescent="0.35">
      <c r="A11" t="s">
        <v>224</v>
      </c>
      <c r="B11">
        <v>154</v>
      </c>
      <c r="C11">
        <v>123</v>
      </c>
      <c r="N11">
        <v>1</v>
      </c>
      <c r="O11">
        <v>12</v>
      </c>
      <c r="P11" s="16">
        <f>SUM(SamplingData[[#This Row],[Winning Candidate]:[Under Votes]])</f>
        <v>290</v>
      </c>
      <c r="Q11" s="17">
        <f>IF(AND(SamplingData[[#This Row],[Total]]&lt;&gt; 0, NOT(ISBLANK(SamplingData[[#This Row],[Losing Candidate]]))),(SamplingData[[#This Row],[Total]]+SamplingData[[#This Row],[Winning Candidate]]-SamplingData[[#This Row],[Losing Candidate]])/(SamplingData[[#Totals],[Winning Candidate]]-SamplingData[[#Totals],[Losing Candidate]]), 0)</f>
        <v>1.3622474961806144E-2</v>
      </c>
      <c r="R11" s="17">
        <f>IF(AND(SamplingData[[#This Row],[Total]]&lt;&gt; 0, NOT(ISBLANK(SamplingData[[#This Row],[Candidate 3]]))),(SamplingData[[#This Row],[Total]]+SamplingData[[#This Row],[Winning Candidate]]-SamplingData[[#This Row],[Candidate 3]])/(SamplingData[[#Totals],[Winning Candidate]]-SamplingData[[#Totals],[Candidate 3]]), 0)</f>
        <v>0</v>
      </c>
      <c r="S11" s="17">
        <f>IF(AND(SamplingData[[#This Row],[Total]]&lt;&gt; 0, NOT(ISBLANK(SamplingData[[#This Row],[Candidate 4]]))),(SamplingData[[#This Row],[Total]]+SamplingData[[#This Row],[Winning Candidate]]-SamplingData[[#This Row],[Candidate 4]])/(SamplingData[[#Totals],[Winning Candidate]]-SamplingData[[#Totals],[Candidate 4]]), 0)</f>
        <v>0</v>
      </c>
      <c r="T11" s="17">
        <f>IF(AND(SamplingData[[#This Row],[Total]]&lt;&gt; 0, NOT(ISBLANK(SamplingData[[#This Row],[Candidate 5]]))),(SamplingData[[#This Row],[Total]]+SamplingData[[#This Row],[Winning Candidate]]-SamplingData[[#This Row],[Candidate 5]])/(SamplingData[[#Totals],[Winning Candidate]]-SamplingData[[#Totals],[Candidate 5]]), 0)</f>
        <v>0</v>
      </c>
      <c r="U11" s="17">
        <f>IF(AND(SamplingData[[#This Row],[Total]]&lt;&gt; 0, NOT(ISBLANK(SamplingData[[#This Row],[Candidate 6]]))),(SamplingData[[#This Row],[Total]]+SamplingData[[#This Row],[Losing Candidate]]-SamplingData[[#This Row],[Candidate 6]])/(SamplingData[[#Totals],[Winning Candidate]]-SamplingData[[#Totals],[Candidate 6]]), 0)</f>
        <v>0</v>
      </c>
      <c r="V11" s="17">
        <f>IF(AND(SamplingData[[#This Row],[Total]]&lt;&gt; 0, NOT(ISBLANK(SamplingData[[#This Row],[Candidate 7]]))),(SamplingData[[#This Row],[Total]]+SamplingData[[#This Row],[Winning Candidate]]-SamplingData[[#This Row],[Candidate 7]])/(SamplingData[[#Totals],[Winning Candidate]]-SamplingData[[#Totals],[Candidate 7]]), 0)</f>
        <v>0</v>
      </c>
      <c r="W11" s="17">
        <f>IF(AND(SamplingData[[#This Row],[Total]]&lt;&gt; 0, NOT(ISBLANK(SamplingData[[#This Row],[Candidate 8]]))),(SamplingData[[#This Row],[Total]]+SamplingData[[#This Row],[Winning Candidate]]-SamplingData[[#This Row],[Candidate 8]])/(SamplingData[[#Totals],[Winning Candidate]]-SamplingData[[#Totals],[Candidate 8]]), 0)</f>
        <v>0</v>
      </c>
      <c r="X11"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 s="17">
        <f>MAX(SamplingData[[#This Row],[Error Bound (up) - Max. possible relative overstatement - Losing Candidate]:[Error Bound (up) - Max. possible relative overstatement - Candidate 12]])</f>
        <v>1.3622474961806144E-2</v>
      </c>
      <c r="AC11" s="17">
        <f>IF(SamplingData[[#This Row],[Max Error Bound (up)]] = 0,0,SamplingData[[#This Row],[Max Error Bound (up)]]/SamplingData[[#Totals],[Max Error Bound (up)]])</f>
        <v>7.2935979932380935E-4</v>
      </c>
      <c r="AD11" s="17">
        <f>SUM($AC$5:AC11)</f>
        <v>6.1052641145890214E-3</v>
      </c>
      <c r="AE11" s="17" t="str">
        <f t="array" ref="AE11">IF(SamplingData[[#This Row],[up/U Selection Probability]] = 0, "Zero", TEXT(SamplingData[[#This Row],[Lower Range]], REPT("0",LEN('General Info'!$B$42))) &amp; " - " &amp; TEXT(SamplingData[[#This Row],[Upper Range]], REPT("0",LEN('General Info'!$B$42))))</f>
        <v>005376 - 006104</v>
      </c>
      <c r="AF11" s="17">
        <f>SamplingData[[#This Row],[Upper Range]]-SamplingData[[#This Row],[Span]]</f>
        <v>5375.9043152652121</v>
      </c>
      <c r="AG11" s="17">
        <f>IF(ISNUMBER('General Info'!$B$42), ((SamplingData[[#This Row],[up/U Selection Probability]]) * 'General Info'!$B$44) - 1, 0)</f>
        <v>728.3597993238094</v>
      </c>
      <c r="AH11" s="17">
        <f>IF(ISNUMBER('General Info'!$B$42), (SamplingData[[#This Row],[Running (cumulative) sum]] * ('General Info'!$B$42 -'General Info'!$B$43 + 1)) + 'General Info'!$B$43 - 1, 0)</f>
        <v>6104.2641145890211</v>
      </c>
      <c r="AI11" s="17" t="str">
        <f>IF(ISERROR(MATCH(SamplingData[[#This Row],[Batch by Type (p)]],SelectedPrecincts[Batch Name], 0)), "", INDEX(SelectedPrecincts[Draw], MATCH(SamplingData[[#This Row],[Batch by Type (p)]],SelectedPrecincts[Batch Name], 0)))</f>
        <v/>
      </c>
      <c r="AJ11" s="16">
        <f>IF(COUNTIF(SelectedPrecincts[Batch Name],SamplingData[[#This Row],[Batch by Type (p)]]) &lt;&gt; 0, COUNTIF(SelectedPrecincts[Batch Name],SamplingData[[#This Row],[Batch by Type (p)]]), 0)</f>
        <v>0</v>
      </c>
    </row>
    <row r="12" spans="1:36" ht="14.5" x14ac:dyDescent="0.35">
      <c r="A12" t="s">
        <v>225</v>
      </c>
      <c r="B12">
        <v>183</v>
      </c>
      <c r="C12">
        <v>105</v>
      </c>
      <c r="N12">
        <v>0</v>
      </c>
      <c r="O12">
        <v>11</v>
      </c>
      <c r="P12" s="16">
        <f>SUM(SamplingData[[#This Row],[Winning Candidate]:[Under Votes]])</f>
        <v>299</v>
      </c>
      <c r="Q12" s="17">
        <f>IF(AND(SamplingData[[#This Row],[Total]]&lt;&gt; 0, NOT(ISBLANK(SamplingData[[#This Row],[Losing Candidate]]))),(SamplingData[[#This Row],[Total]]+SamplingData[[#This Row],[Winning Candidate]]-SamplingData[[#This Row],[Losing Candidate]])/(SamplingData[[#Totals],[Winning Candidate]]-SamplingData[[#Totals],[Losing Candidate]]), 0)</f>
        <v>1.5998981497199118E-2</v>
      </c>
      <c r="R12" s="17">
        <f>IF(AND(SamplingData[[#This Row],[Total]]&lt;&gt; 0, NOT(ISBLANK(SamplingData[[#This Row],[Candidate 3]]))),(SamplingData[[#This Row],[Total]]+SamplingData[[#This Row],[Winning Candidate]]-SamplingData[[#This Row],[Candidate 3]])/(SamplingData[[#Totals],[Winning Candidate]]-SamplingData[[#Totals],[Candidate 3]]), 0)</f>
        <v>0</v>
      </c>
      <c r="S12" s="17">
        <f>IF(AND(SamplingData[[#This Row],[Total]]&lt;&gt; 0, NOT(ISBLANK(SamplingData[[#This Row],[Candidate 4]]))),(SamplingData[[#This Row],[Total]]+SamplingData[[#This Row],[Winning Candidate]]-SamplingData[[#This Row],[Candidate 4]])/(SamplingData[[#Totals],[Winning Candidate]]-SamplingData[[#Totals],[Candidate 4]]), 0)</f>
        <v>0</v>
      </c>
      <c r="T12" s="17">
        <f>IF(AND(SamplingData[[#This Row],[Total]]&lt;&gt; 0, NOT(ISBLANK(SamplingData[[#This Row],[Candidate 5]]))),(SamplingData[[#This Row],[Total]]+SamplingData[[#This Row],[Winning Candidate]]-SamplingData[[#This Row],[Candidate 5]])/(SamplingData[[#Totals],[Winning Candidate]]-SamplingData[[#Totals],[Candidate 5]]), 0)</f>
        <v>0</v>
      </c>
      <c r="U12" s="17">
        <f>IF(AND(SamplingData[[#This Row],[Total]]&lt;&gt; 0, NOT(ISBLANK(SamplingData[[#This Row],[Candidate 6]]))),(SamplingData[[#This Row],[Total]]+SamplingData[[#This Row],[Losing Candidate]]-SamplingData[[#This Row],[Candidate 6]])/(SamplingData[[#Totals],[Winning Candidate]]-SamplingData[[#Totals],[Candidate 6]]), 0)</f>
        <v>0</v>
      </c>
      <c r="V12" s="17">
        <f>IF(AND(SamplingData[[#This Row],[Total]]&lt;&gt; 0, NOT(ISBLANK(SamplingData[[#This Row],[Candidate 7]]))),(SamplingData[[#This Row],[Total]]+SamplingData[[#This Row],[Winning Candidate]]-SamplingData[[#This Row],[Candidate 7]])/(SamplingData[[#Totals],[Winning Candidate]]-SamplingData[[#Totals],[Candidate 7]]), 0)</f>
        <v>0</v>
      </c>
      <c r="W12" s="17">
        <f>IF(AND(SamplingData[[#This Row],[Total]]&lt;&gt; 0, NOT(ISBLANK(SamplingData[[#This Row],[Candidate 8]]))),(SamplingData[[#This Row],[Total]]+SamplingData[[#This Row],[Winning Candidate]]-SamplingData[[#This Row],[Candidate 8]])/(SamplingData[[#Totals],[Winning Candidate]]-SamplingData[[#Totals],[Candidate 8]]), 0)</f>
        <v>0</v>
      </c>
      <c r="X12"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 s="17">
        <f>MAX(SamplingData[[#This Row],[Error Bound (up) - Max. possible relative overstatement - Losing Candidate]:[Error Bound (up) - Max. possible relative overstatement - Candidate 12]])</f>
        <v>1.5998981497199118E-2</v>
      </c>
      <c r="AC12" s="17">
        <f>IF(SamplingData[[#This Row],[Max Error Bound (up)]] = 0,0,SamplingData[[#This Row],[Max Error Bound (up)]]/SamplingData[[#Totals],[Max Error Bound (up)]])</f>
        <v>8.5660013814665471E-4</v>
      </c>
      <c r="AD12" s="17">
        <f>SUM($AC$5:AC12)</f>
        <v>6.961864252735676E-3</v>
      </c>
      <c r="AE12" s="17" t="str">
        <f t="array" ref="AE12">IF(SamplingData[[#This Row],[up/U Selection Probability]] = 0, "Zero", TEXT(SamplingData[[#This Row],[Lower Range]], REPT("0",LEN('General Info'!$B$42))) &amp; " - " &amp; TEXT(SamplingData[[#This Row],[Upper Range]], REPT("0",LEN('General Info'!$B$42))))</f>
        <v>006105 - 006961</v>
      </c>
      <c r="AF12" s="17">
        <f>SamplingData[[#This Row],[Upper Range]]-SamplingData[[#This Row],[Span]]</f>
        <v>6105.2641145890211</v>
      </c>
      <c r="AG12" s="17">
        <f>IF(ISNUMBER('General Info'!$B$42), ((SamplingData[[#This Row],[up/U Selection Probability]]) * 'General Info'!$B$44) - 1, 0)</f>
        <v>855.60013814665467</v>
      </c>
      <c r="AH12" s="17">
        <f>IF(ISNUMBER('General Info'!$B$42), (SamplingData[[#This Row],[Running (cumulative) sum]] * ('General Info'!$B$42 -'General Info'!$B$43 + 1)) + 'General Info'!$B$43 - 1, 0)</f>
        <v>6960.864252735676</v>
      </c>
      <c r="AI12" s="17" t="str">
        <f>IF(ISERROR(MATCH(SamplingData[[#This Row],[Batch by Type (p)]],SelectedPrecincts[Batch Name], 0)), "", INDEX(SelectedPrecincts[Draw], MATCH(SamplingData[[#This Row],[Batch by Type (p)]],SelectedPrecincts[Batch Name], 0)))</f>
        <v/>
      </c>
      <c r="AJ12" s="16">
        <f>IF(COUNTIF(SelectedPrecincts[Batch Name],SamplingData[[#This Row],[Batch by Type (p)]]) &lt;&gt; 0, COUNTIF(SelectedPrecincts[Batch Name],SamplingData[[#This Row],[Batch by Type (p)]]), 0)</f>
        <v>0</v>
      </c>
    </row>
    <row r="13" spans="1:36" ht="14.5" x14ac:dyDescent="0.35">
      <c r="A13" t="s">
        <v>226</v>
      </c>
      <c r="B13">
        <v>171</v>
      </c>
      <c r="C13">
        <v>112</v>
      </c>
      <c r="N13">
        <v>0</v>
      </c>
      <c r="O13">
        <v>10</v>
      </c>
      <c r="P13" s="16">
        <f>SUM(SamplingData[[#This Row],[Winning Candidate]:[Under Votes]])</f>
        <v>293</v>
      </c>
      <c r="Q13" s="17">
        <f>IF(AND(SamplingData[[#This Row],[Total]]&lt;&gt; 0, NOT(ISBLANK(SamplingData[[#This Row],[Losing Candidate]]))),(SamplingData[[#This Row],[Total]]+SamplingData[[#This Row],[Winning Candidate]]-SamplingData[[#This Row],[Losing Candidate]])/(SamplingData[[#Totals],[Winning Candidate]]-SamplingData[[#Totals],[Losing Candidate]]), 0)</f>
        <v>1.4938041079612968E-2</v>
      </c>
      <c r="R13" s="17">
        <f>IF(AND(SamplingData[[#This Row],[Total]]&lt;&gt; 0, NOT(ISBLANK(SamplingData[[#This Row],[Candidate 3]]))),(SamplingData[[#This Row],[Total]]+SamplingData[[#This Row],[Winning Candidate]]-SamplingData[[#This Row],[Candidate 3]])/(SamplingData[[#Totals],[Winning Candidate]]-SamplingData[[#Totals],[Candidate 3]]), 0)</f>
        <v>0</v>
      </c>
      <c r="S13" s="17">
        <f>IF(AND(SamplingData[[#This Row],[Total]]&lt;&gt; 0, NOT(ISBLANK(SamplingData[[#This Row],[Candidate 4]]))),(SamplingData[[#This Row],[Total]]+SamplingData[[#This Row],[Winning Candidate]]-SamplingData[[#This Row],[Candidate 4]])/(SamplingData[[#Totals],[Winning Candidate]]-SamplingData[[#Totals],[Candidate 4]]), 0)</f>
        <v>0</v>
      </c>
      <c r="T13" s="17">
        <f>IF(AND(SamplingData[[#This Row],[Total]]&lt;&gt; 0, NOT(ISBLANK(SamplingData[[#This Row],[Candidate 5]]))),(SamplingData[[#This Row],[Total]]+SamplingData[[#This Row],[Winning Candidate]]-SamplingData[[#This Row],[Candidate 5]])/(SamplingData[[#Totals],[Winning Candidate]]-SamplingData[[#Totals],[Candidate 5]]), 0)</f>
        <v>0</v>
      </c>
      <c r="U13" s="17">
        <f>IF(AND(SamplingData[[#This Row],[Total]]&lt;&gt; 0, NOT(ISBLANK(SamplingData[[#This Row],[Candidate 6]]))),(SamplingData[[#This Row],[Total]]+SamplingData[[#This Row],[Losing Candidate]]-SamplingData[[#This Row],[Candidate 6]])/(SamplingData[[#Totals],[Winning Candidate]]-SamplingData[[#Totals],[Candidate 6]]), 0)</f>
        <v>0</v>
      </c>
      <c r="V13" s="17">
        <f>IF(AND(SamplingData[[#This Row],[Total]]&lt;&gt; 0, NOT(ISBLANK(SamplingData[[#This Row],[Candidate 7]]))),(SamplingData[[#This Row],[Total]]+SamplingData[[#This Row],[Winning Candidate]]-SamplingData[[#This Row],[Candidate 7]])/(SamplingData[[#Totals],[Winning Candidate]]-SamplingData[[#Totals],[Candidate 7]]), 0)</f>
        <v>0</v>
      </c>
      <c r="W13" s="17">
        <f>IF(AND(SamplingData[[#This Row],[Total]]&lt;&gt; 0, NOT(ISBLANK(SamplingData[[#This Row],[Candidate 8]]))),(SamplingData[[#This Row],[Total]]+SamplingData[[#This Row],[Winning Candidate]]-SamplingData[[#This Row],[Candidate 8]])/(SamplingData[[#Totals],[Winning Candidate]]-SamplingData[[#Totals],[Candidate 8]]), 0)</f>
        <v>0</v>
      </c>
      <c r="X13"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 s="17">
        <f>MAX(SamplingData[[#This Row],[Error Bound (up) - Max. possible relative overstatement - Losing Candidate]:[Error Bound (up) - Max. possible relative overstatement - Candidate 12]])</f>
        <v>1.4938041079612968E-2</v>
      </c>
      <c r="AC13" s="17">
        <f>IF(SamplingData[[#This Row],[Max Error Bound (up)]] = 0,0,SamplingData[[#This Row],[Max Error Bound (up)]]/SamplingData[[#Totals],[Max Error Bound (up)]])</f>
        <v>7.9979641545788443E-4</v>
      </c>
      <c r="AD13" s="17">
        <f>SUM($AC$5:AC13)</f>
        <v>7.7616606681935605E-3</v>
      </c>
      <c r="AE13" s="17" t="str">
        <f t="array" ref="AE13">IF(SamplingData[[#This Row],[up/U Selection Probability]] = 0, "Zero", TEXT(SamplingData[[#This Row],[Lower Range]], REPT("0",LEN('General Info'!$B$42))) &amp; " - " &amp; TEXT(SamplingData[[#This Row],[Upper Range]], REPT("0",LEN('General Info'!$B$42))))</f>
        <v>006962 - 007761</v>
      </c>
      <c r="AF13" s="17">
        <f>SamplingData[[#This Row],[Upper Range]]-SamplingData[[#This Row],[Span]]</f>
        <v>6961.8642527356751</v>
      </c>
      <c r="AG13" s="17">
        <f>IF(ISNUMBER('General Info'!$B$42), ((SamplingData[[#This Row],[up/U Selection Probability]]) * 'General Info'!$B$44) - 1, 0)</f>
        <v>798.79641545788445</v>
      </c>
      <c r="AH13" s="17">
        <f>IF(ISNUMBER('General Info'!$B$42), (SamplingData[[#This Row],[Running (cumulative) sum]] * ('General Info'!$B$42 -'General Info'!$B$43 + 1)) + 'General Info'!$B$43 - 1, 0)</f>
        <v>7760.66066819356</v>
      </c>
      <c r="AI13" s="17" t="str">
        <f>IF(ISERROR(MATCH(SamplingData[[#This Row],[Batch by Type (p)]],SelectedPrecincts[Batch Name], 0)), "", INDEX(SelectedPrecincts[Draw], MATCH(SamplingData[[#This Row],[Batch by Type (p)]],SelectedPrecincts[Batch Name], 0)))</f>
        <v/>
      </c>
      <c r="AJ13" s="16">
        <f>IF(COUNTIF(SelectedPrecincts[Batch Name],SamplingData[[#This Row],[Batch by Type (p)]]) &lt;&gt; 0, COUNTIF(SelectedPrecincts[Batch Name],SamplingData[[#This Row],[Batch by Type (p)]]), 0)</f>
        <v>0</v>
      </c>
    </row>
    <row r="14" spans="1:36" ht="14.5" x14ac:dyDescent="0.35">
      <c r="A14" t="s">
        <v>227</v>
      </c>
      <c r="B14">
        <v>204</v>
      </c>
      <c r="C14">
        <v>143</v>
      </c>
      <c r="N14">
        <v>0</v>
      </c>
      <c r="O14">
        <v>17</v>
      </c>
      <c r="P14" s="16">
        <f>SUM(SamplingData[[#This Row],[Winning Candidate]:[Under Votes]])</f>
        <v>364</v>
      </c>
      <c r="Q14" s="17">
        <f>IF(AND(SamplingData[[#This Row],[Total]]&lt;&gt; 0, NOT(ISBLANK(SamplingData[[#This Row],[Losing Candidate]]))),(SamplingData[[#This Row],[Total]]+SamplingData[[#This Row],[Winning Candidate]]-SamplingData[[#This Row],[Losing Candidate]])/(SamplingData[[#Totals],[Winning Candidate]]-SamplingData[[#Totals],[Losing Candidate]]), 0)</f>
        <v>1.803598709896452E-2</v>
      </c>
      <c r="R14" s="17">
        <f>IF(AND(SamplingData[[#This Row],[Total]]&lt;&gt; 0, NOT(ISBLANK(SamplingData[[#This Row],[Candidate 3]]))),(SamplingData[[#This Row],[Total]]+SamplingData[[#This Row],[Winning Candidate]]-SamplingData[[#This Row],[Candidate 3]])/(SamplingData[[#Totals],[Winning Candidate]]-SamplingData[[#Totals],[Candidate 3]]), 0)</f>
        <v>0</v>
      </c>
      <c r="S14" s="17">
        <f>IF(AND(SamplingData[[#This Row],[Total]]&lt;&gt; 0, NOT(ISBLANK(SamplingData[[#This Row],[Candidate 4]]))),(SamplingData[[#This Row],[Total]]+SamplingData[[#This Row],[Winning Candidate]]-SamplingData[[#This Row],[Candidate 4]])/(SamplingData[[#Totals],[Winning Candidate]]-SamplingData[[#Totals],[Candidate 4]]), 0)</f>
        <v>0</v>
      </c>
      <c r="T14" s="17">
        <f>IF(AND(SamplingData[[#This Row],[Total]]&lt;&gt; 0, NOT(ISBLANK(SamplingData[[#This Row],[Candidate 5]]))),(SamplingData[[#This Row],[Total]]+SamplingData[[#This Row],[Winning Candidate]]-SamplingData[[#This Row],[Candidate 5]])/(SamplingData[[#Totals],[Winning Candidate]]-SamplingData[[#Totals],[Candidate 5]]), 0)</f>
        <v>0</v>
      </c>
      <c r="U14" s="17">
        <f>IF(AND(SamplingData[[#This Row],[Total]]&lt;&gt; 0, NOT(ISBLANK(SamplingData[[#This Row],[Candidate 6]]))),(SamplingData[[#This Row],[Total]]+SamplingData[[#This Row],[Losing Candidate]]-SamplingData[[#This Row],[Candidate 6]])/(SamplingData[[#Totals],[Winning Candidate]]-SamplingData[[#Totals],[Candidate 6]]), 0)</f>
        <v>0</v>
      </c>
      <c r="V14" s="17">
        <f>IF(AND(SamplingData[[#This Row],[Total]]&lt;&gt; 0, NOT(ISBLANK(SamplingData[[#This Row],[Candidate 7]]))),(SamplingData[[#This Row],[Total]]+SamplingData[[#This Row],[Winning Candidate]]-SamplingData[[#This Row],[Candidate 7]])/(SamplingData[[#Totals],[Winning Candidate]]-SamplingData[[#Totals],[Candidate 7]]), 0)</f>
        <v>0</v>
      </c>
      <c r="W14" s="17">
        <f>IF(AND(SamplingData[[#This Row],[Total]]&lt;&gt; 0, NOT(ISBLANK(SamplingData[[#This Row],[Candidate 8]]))),(SamplingData[[#This Row],[Total]]+SamplingData[[#This Row],[Winning Candidate]]-SamplingData[[#This Row],[Candidate 8]])/(SamplingData[[#Totals],[Winning Candidate]]-SamplingData[[#Totals],[Candidate 8]]), 0)</f>
        <v>0</v>
      </c>
      <c r="X14"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 s="17">
        <f>MAX(SamplingData[[#This Row],[Error Bound (up) - Max. possible relative overstatement - Losing Candidate]:[Error Bound (up) - Max. possible relative overstatement - Candidate 12]])</f>
        <v>1.803598709896452E-2</v>
      </c>
      <c r="AC14" s="17">
        <f>IF(SamplingData[[#This Row],[Max Error Bound (up)]] = 0,0,SamplingData[[#This Row],[Max Error Bound (up)]]/SamplingData[[#Totals],[Max Error Bound (up)]])</f>
        <v>9.6566328570909339E-4</v>
      </c>
      <c r="AD14" s="17">
        <f>SUM($AC$5:AC14)</f>
        <v>8.7273239539026534E-3</v>
      </c>
      <c r="AE14" s="17" t="str">
        <f t="array" ref="AE14">IF(SamplingData[[#This Row],[up/U Selection Probability]] = 0, "Zero", TEXT(SamplingData[[#This Row],[Lower Range]], REPT("0",LEN('General Info'!$B$42))) &amp; " - " &amp; TEXT(SamplingData[[#This Row],[Upper Range]], REPT("0",LEN('General Info'!$B$42))))</f>
        <v>007762 - 008726</v>
      </c>
      <c r="AF14" s="17">
        <f>SamplingData[[#This Row],[Upper Range]]-SamplingData[[#This Row],[Span]]</f>
        <v>7761.6606681935591</v>
      </c>
      <c r="AG14" s="17">
        <f>IF(ISNUMBER('General Info'!$B$42), ((SamplingData[[#This Row],[up/U Selection Probability]]) * 'General Info'!$B$44) - 1, 0)</f>
        <v>964.66328570909343</v>
      </c>
      <c r="AH14" s="17">
        <f>IF(ISNUMBER('General Info'!$B$42), (SamplingData[[#This Row],[Running (cumulative) sum]] * ('General Info'!$B$42 -'General Info'!$B$43 + 1)) + 'General Info'!$B$43 - 1, 0)</f>
        <v>8726.3239539026526</v>
      </c>
      <c r="AI14" s="17" t="str">
        <f>IF(ISERROR(MATCH(SamplingData[[#This Row],[Batch by Type (p)]],SelectedPrecincts[Batch Name], 0)), "", INDEX(SelectedPrecincts[Draw], MATCH(SamplingData[[#This Row],[Batch by Type (p)]],SelectedPrecincts[Batch Name], 0)))</f>
        <v/>
      </c>
      <c r="AJ14" s="16">
        <f>IF(COUNTIF(SelectedPrecincts[Batch Name],SamplingData[[#This Row],[Batch by Type (p)]]) &lt;&gt; 0, COUNTIF(SelectedPrecincts[Batch Name],SamplingData[[#This Row],[Batch by Type (p)]]), 0)</f>
        <v>0</v>
      </c>
    </row>
    <row r="15" spans="1:36" s="86" customFormat="1" ht="15" customHeight="1" x14ac:dyDescent="0.35">
      <c r="A15" s="97" t="s">
        <v>228</v>
      </c>
      <c r="B15" s="97">
        <v>223</v>
      </c>
      <c r="C15" s="97">
        <v>94</v>
      </c>
      <c r="D15" s="92"/>
      <c r="E15" s="92"/>
      <c r="F15" s="92"/>
      <c r="G15" s="96"/>
      <c r="H15" s="96"/>
      <c r="I15" s="92"/>
      <c r="J15" s="92"/>
      <c r="K15" s="92"/>
      <c r="L15" s="92"/>
      <c r="M15" s="92"/>
      <c r="N15" s="97">
        <v>0</v>
      </c>
      <c r="O15" s="97">
        <v>11</v>
      </c>
      <c r="P15" s="93">
        <f>SUM(SamplingData[[#This Row],[Winning Candidate]:[Under Votes]])</f>
        <v>328</v>
      </c>
      <c r="Q15" s="94">
        <f>IF(AND(SamplingData[[#This Row],[Total]]&lt;&gt; 0, NOT(ISBLANK(SamplingData[[#This Row],[Losing Candidate]]))),(SamplingData[[#This Row],[Total]]+SamplingData[[#This Row],[Winning Candidate]]-SamplingData[[#This Row],[Losing Candidate]])/(SamplingData[[#Totals],[Winning Candidate]]-SamplingData[[#Totals],[Losing Candidate]]), 0)</f>
        <v>1.9393990833474792E-2</v>
      </c>
      <c r="R15" s="94">
        <f>IF(AND(SamplingData[[#This Row],[Total]]&lt;&gt; 0, NOT(ISBLANK(SamplingData[[#This Row],[Candidate 3]]))),(SamplingData[[#This Row],[Total]]+SamplingData[[#This Row],[Winning Candidate]]-SamplingData[[#This Row],[Candidate 3]])/(SamplingData[[#Totals],[Winning Candidate]]-SamplingData[[#Totals],[Candidate 3]]), 0)</f>
        <v>0</v>
      </c>
      <c r="S15" s="94">
        <f>IF(AND(SamplingData[[#This Row],[Total]]&lt;&gt; 0, NOT(ISBLANK(SamplingData[[#This Row],[Candidate 4]]))),(SamplingData[[#This Row],[Total]]+SamplingData[[#This Row],[Winning Candidate]]-SamplingData[[#This Row],[Candidate 4]])/(SamplingData[[#Totals],[Winning Candidate]]-SamplingData[[#Totals],[Candidate 4]]), 0)</f>
        <v>0</v>
      </c>
      <c r="T15" s="94">
        <f>IF(AND(SamplingData[[#This Row],[Total]]&lt;&gt; 0, NOT(ISBLANK(SamplingData[[#This Row],[Candidate 5]]))),(SamplingData[[#This Row],[Total]]+SamplingData[[#This Row],[Winning Candidate]]-SamplingData[[#This Row],[Candidate 5]])/(SamplingData[[#Totals],[Winning Candidate]]-SamplingData[[#Totals],[Candidate 5]]), 0)</f>
        <v>0</v>
      </c>
      <c r="U15" s="94">
        <f>IF(AND(SamplingData[[#This Row],[Total]]&lt;&gt; 0, NOT(ISBLANK(SamplingData[[#This Row],[Candidate 6]]))),(SamplingData[[#This Row],[Total]]+SamplingData[[#This Row],[Losing Candidate]]-SamplingData[[#This Row],[Candidate 6]])/(SamplingData[[#Totals],[Winning Candidate]]-SamplingData[[#Totals],[Candidate 6]]), 0)</f>
        <v>0</v>
      </c>
      <c r="V15" s="94">
        <f>IF(AND(SamplingData[[#This Row],[Total]]&lt;&gt; 0, NOT(ISBLANK(SamplingData[[#This Row],[Candidate 7]]))),(SamplingData[[#This Row],[Total]]+SamplingData[[#This Row],[Winning Candidate]]-SamplingData[[#This Row],[Candidate 7]])/(SamplingData[[#Totals],[Winning Candidate]]-SamplingData[[#Totals],[Candidate 7]]), 0)</f>
        <v>0</v>
      </c>
      <c r="W15" s="94">
        <f>IF(AND(SamplingData[[#This Row],[Total]]&lt;&gt; 0, NOT(ISBLANK(SamplingData[[#This Row],[Candidate 8]]))),(SamplingData[[#This Row],[Total]]+SamplingData[[#This Row],[Winning Candidate]]-SamplingData[[#This Row],[Candidate 8]])/(SamplingData[[#Totals],[Winning Candidate]]-SamplingData[[#Totals],[Candidate 8]]), 0)</f>
        <v>0</v>
      </c>
      <c r="X15"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 s="94">
        <f>MAX(SamplingData[[#This Row],[Error Bound (up) - Max. possible relative overstatement - Losing Candidate]:[Error Bound (up) - Max. possible relative overstatement - Candidate 12]])</f>
        <v>1.9393990833474792E-2</v>
      </c>
      <c r="AC15" s="94">
        <f>IF(SamplingData[[#This Row],[Max Error Bound (up)]] = 0,0,SamplingData[[#This Row],[Max Error Bound (up)]]/SamplingData[[#Totals],[Max Error Bound (up)]])</f>
        <v>1.0383720507507192E-3</v>
      </c>
      <c r="AD15" s="17">
        <f>SUM($AC$5:AC15)</f>
        <v>9.7656960046533722E-3</v>
      </c>
      <c r="AE15" s="94" t="str">
        <f t="array" ref="AE15">IF(SamplingData[[#This Row],[up/U Selection Probability]] = 0, "Zero", TEXT(SamplingData[[#This Row],[Lower Range]], REPT("0",LEN('General Info'!$B$42))) &amp; " - " &amp; TEXT(SamplingData[[#This Row],[Upper Range]], REPT("0",LEN('General Info'!$B$42))))</f>
        <v>008727 - 009765</v>
      </c>
      <c r="AF15" s="94">
        <f>SamplingData[[#This Row],[Upper Range]]-SamplingData[[#This Row],[Span]]</f>
        <v>8727.3239539026526</v>
      </c>
      <c r="AG15" s="94">
        <f>IF(ISNUMBER('General Info'!$B$42), ((SamplingData[[#This Row],[up/U Selection Probability]]) * 'General Info'!$B$44) - 1, 0)</f>
        <v>1037.3720507507192</v>
      </c>
      <c r="AH15" s="94">
        <f>IF(ISNUMBER('General Info'!$B$42), (SamplingData[[#This Row],[Running (cumulative) sum]] * ('General Info'!$B$42 -'General Info'!$B$43 + 1)) + 'General Info'!$B$43 - 1, 0)</f>
        <v>9764.6960046533713</v>
      </c>
      <c r="AI15" s="94" t="str">
        <f>IF(ISERROR(MATCH(SamplingData[[#This Row],[Batch by Type (p)]],SelectedPrecincts[Batch Name], 0)), "", INDEX(SelectedPrecincts[Draw], MATCH(SamplingData[[#This Row],[Batch by Type (p)]],SelectedPrecincts[Batch Name], 0)))</f>
        <v/>
      </c>
      <c r="AJ15" s="95">
        <f>IF(COUNTIF(SelectedPrecincts[Batch Name],SamplingData[[#This Row],[Batch by Type (p)]]) &lt;&gt; 0, COUNTIF(SelectedPrecincts[Batch Name],SamplingData[[#This Row],[Batch by Type (p)]]), 0)</f>
        <v>0</v>
      </c>
    </row>
    <row r="16" spans="1:36" ht="15" customHeight="1" x14ac:dyDescent="0.35">
      <c r="A16" s="97" t="s">
        <v>229</v>
      </c>
      <c r="B16" s="97">
        <v>133</v>
      </c>
      <c r="C16" s="97">
        <v>114</v>
      </c>
      <c r="D16" s="92"/>
      <c r="E16" s="92"/>
      <c r="F16" s="92"/>
      <c r="G16" s="96"/>
      <c r="H16" s="96"/>
      <c r="I16" s="92"/>
      <c r="J16" s="92"/>
      <c r="K16" s="92"/>
      <c r="L16" s="92"/>
      <c r="M16" s="92"/>
      <c r="N16" s="97">
        <v>0</v>
      </c>
      <c r="O16" s="97">
        <v>15</v>
      </c>
      <c r="P16" s="93">
        <f>SUM(SamplingData[[#This Row],[Winning Candidate]:[Under Votes]])</f>
        <v>262</v>
      </c>
      <c r="Q16" s="94">
        <f>IF(AND(SamplingData[[#This Row],[Total]]&lt;&gt; 0, NOT(ISBLANK(SamplingData[[#This Row],[Losing Candidate]]))),(SamplingData[[#This Row],[Total]]+SamplingData[[#This Row],[Winning Candidate]]-SamplingData[[#This Row],[Losing Candidate]])/(SamplingData[[#Totals],[Winning Candidate]]-SamplingData[[#Totals],[Losing Candidate]]), 0)</f>
        <v>1.1924970293668308E-2</v>
      </c>
      <c r="R16" s="94">
        <f>IF(AND(SamplingData[[#This Row],[Total]]&lt;&gt; 0, NOT(ISBLANK(SamplingData[[#This Row],[Candidate 3]]))),(SamplingData[[#This Row],[Total]]+SamplingData[[#This Row],[Winning Candidate]]-SamplingData[[#This Row],[Candidate 3]])/(SamplingData[[#Totals],[Winning Candidate]]-SamplingData[[#Totals],[Candidate 3]]), 0)</f>
        <v>0</v>
      </c>
      <c r="S16" s="94">
        <f>IF(AND(SamplingData[[#This Row],[Total]]&lt;&gt; 0, NOT(ISBLANK(SamplingData[[#This Row],[Candidate 4]]))),(SamplingData[[#This Row],[Total]]+SamplingData[[#This Row],[Winning Candidate]]-SamplingData[[#This Row],[Candidate 4]])/(SamplingData[[#Totals],[Winning Candidate]]-SamplingData[[#Totals],[Candidate 4]]), 0)</f>
        <v>0</v>
      </c>
      <c r="T16" s="94">
        <f>IF(AND(SamplingData[[#This Row],[Total]]&lt;&gt; 0, NOT(ISBLANK(SamplingData[[#This Row],[Candidate 5]]))),(SamplingData[[#This Row],[Total]]+SamplingData[[#This Row],[Winning Candidate]]-SamplingData[[#This Row],[Candidate 5]])/(SamplingData[[#Totals],[Winning Candidate]]-SamplingData[[#Totals],[Candidate 5]]), 0)</f>
        <v>0</v>
      </c>
      <c r="U16" s="94">
        <f>IF(AND(SamplingData[[#This Row],[Total]]&lt;&gt; 0, NOT(ISBLANK(SamplingData[[#This Row],[Candidate 6]]))),(SamplingData[[#This Row],[Total]]+SamplingData[[#This Row],[Losing Candidate]]-SamplingData[[#This Row],[Candidate 6]])/(SamplingData[[#Totals],[Winning Candidate]]-SamplingData[[#Totals],[Candidate 6]]), 0)</f>
        <v>0</v>
      </c>
      <c r="V16" s="94">
        <f>IF(AND(SamplingData[[#This Row],[Total]]&lt;&gt; 0, NOT(ISBLANK(SamplingData[[#This Row],[Candidate 7]]))),(SamplingData[[#This Row],[Total]]+SamplingData[[#This Row],[Winning Candidate]]-SamplingData[[#This Row],[Candidate 7]])/(SamplingData[[#Totals],[Winning Candidate]]-SamplingData[[#Totals],[Candidate 7]]), 0)</f>
        <v>0</v>
      </c>
      <c r="W16" s="94">
        <f>IF(AND(SamplingData[[#This Row],[Total]]&lt;&gt; 0, NOT(ISBLANK(SamplingData[[#This Row],[Candidate 8]]))),(SamplingData[[#This Row],[Total]]+SamplingData[[#This Row],[Winning Candidate]]-SamplingData[[#This Row],[Candidate 8]])/(SamplingData[[#Totals],[Winning Candidate]]-SamplingData[[#Totals],[Candidate 8]]), 0)</f>
        <v>0</v>
      </c>
      <c r="X16"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 s="94">
        <f>MAX(SamplingData[[#This Row],[Error Bound (up) - Max. possible relative overstatement - Losing Candidate]:[Error Bound (up) - Max. possible relative overstatement - Candidate 12]])</f>
        <v>1.1924970293668308E-2</v>
      </c>
      <c r="AC16" s="94">
        <f>IF(SamplingData[[#This Row],[Max Error Bound (up)]] = 0,0,SamplingData[[#This Row],[Max Error Bound (up)]]/SamplingData[[#Totals],[Max Error Bound (up)]])</f>
        <v>6.3847384302177714E-4</v>
      </c>
      <c r="AD16" s="17">
        <f>SUM($AC$5:AC16)</f>
        <v>1.040416984767515E-2</v>
      </c>
      <c r="AE16" s="94" t="str">
        <f t="array" ref="AE16">IF(SamplingData[[#This Row],[up/U Selection Probability]] = 0, "Zero", TEXT(SamplingData[[#This Row],[Lower Range]], REPT("0",LEN('General Info'!$B$42))) &amp; " - " &amp; TEXT(SamplingData[[#This Row],[Upper Range]], REPT("0",LEN('General Info'!$B$42))))</f>
        <v>009766 - 010403</v>
      </c>
      <c r="AF16" s="94">
        <f>SamplingData[[#This Row],[Upper Range]]-SamplingData[[#This Row],[Span]]</f>
        <v>9765.6960046533732</v>
      </c>
      <c r="AG16" s="94">
        <f>IF(ISNUMBER('General Info'!$B$42), ((SamplingData[[#This Row],[up/U Selection Probability]]) * 'General Info'!$B$44) - 1, 0)</f>
        <v>637.47384302177716</v>
      </c>
      <c r="AH16" s="94">
        <f>IF(ISNUMBER('General Info'!$B$42), (SamplingData[[#This Row],[Running (cumulative) sum]] * ('General Info'!$B$42 -'General Info'!$B$43 + 1)) + 'General Info'!$B$43 - 1, 0)</f>
        <v>10403.16984767515</v>
      </c>
      <c r="AI16" s="94" t="str">
        <f>IF(ISERROR(MATCH(SamplingData[[#This Row],[Batch by Type (p)]],SelectedPrecincts[Batch Name], 0)), "", INDEX(SelectedPrecincts[Draw], MATCH(SamplingData[[#This Row],[Batch by Type (p)]],SelectedPrecincts[Batch Name], 0)))</f>
        <v/>
      </c>
      <c r="AJ16" s="95">
        <f>IF(COUNTIF(SelectedPrecincts[Batch Name],SamplingData[[#This Row],[Batch by Type (p)]]) &lt;&gt; 0, COUNTIF(SelectedPrecincts[Batch Name],SamplingData[[#This Row],[Batch by Type (p)]]), 0)</f>
        <v>0</v>
      </c>
    </row>
    <row r="17" spans="1:36" ht="15" customHeight="1" x14ac:dyDescent="0.35">
      <c r="A17" s="97" t="s">
        <v>230</v>
      </c>
      <c r="B17" s="97">
        <v>214</v>
      </c>
      <c r="C17" s="97">
        <v>167</v>
      </c>
      <c r="D17" s="92"/>
      <c r="E17" s="92"/>
      <c r="F17" s="92"/>
      <c r="G17" s="96"/>
      <c r="H17" s="96"/>
      <c r="I17" s="92"/>
      <c r="J17" s="92"/>
      <c r="K17" s="92"/>
      <c r="L17" s="92"/>
      <c r="M17" s="92"/>
      <c r="N17" s="97">
        <v>0</v>
      </c>
      <c r="O17" s="97">
        <v>24</v>
      </c>
      <c r="P17" s="93">
        <f>SUM(SamplingData[[#This Row],[Winning Candidate]:[Under Votes]])</f>
        <v>405</v>
      </c>
      <c r="Q17" s="94">
        <f>IF(AND(SamplingData[[#This Row],[Total]]&lt;&gt; 0, NOT(ISBLANK(SamplingData[[#This Row],[Losing Candidate]]))),(SamplingData[[#This Row],[Total]]+SamplingData[[#This Row],[Winning Candidate]]-SamplingData[[#This Row],[Losing Candidate]])/(SamplingData[[#Totals],[Winning Candidate]]-SamplingData[[#Totals],[Losing Candidate]]), 0)</f>
        <v>1.9181802749957563E-2</v>
      </c>
      <c r="R17" s="94">
        <f>IF(AND(SamplingData[[#This Row],[Total]]&lt;&gt; 0, NOT(ISBLANK(SamplingData[[#This Row],[Candidate 3]]))),(SamplingData[[#This Row],[Total]]+SamplingData[[#This Row],[Winning Candidate]]-SamplingData[[#This Row],[Candidate 3]])/(SamplingData[[#Totals],[Winning Candidate]]-SamplingData[[#Totals],[Candidate 3]]), 0)</f>
        <v>0</v>
      </c>
      <c r="S17" s="94">
        <f>IF(AND(SamplingData[[#This Row],[Total]]&lt;&gt; 0, NOT(ISBLANK(SamplingData[[#This Row],[Candidate 4]]))),(SamplingData[[#This Row],[Total]]+SamplingData[[#This Row],[Winning Candidate]]-SamplingData[[#This Row],[Candidate 4]])/(SamplingData[[#Totals],[Winning Candidate]]-SamplingData[[#Totals],[Candidate 4]]), 0)</f>
        <v>0</v>
      </c>
      <c r="T17" s="94">
        <f>IF(AND(SamplingData[[#This Row],[Total]]&lt;&gt; 0, NOT(ISBLANK(SamplingData[[#This Row],[Candidate 5]]))),(SamplingData[[#This Row],[Total]]+SamplingData[[#This Row],[Winning Candidate]]-SamplingData[[#This Row],[Candidate 5]])/(SamplingData[[#Totals],[Winning Candidate]]-SamplingData[[#Totals],[Candidate 5]]), 0)</f>
        <v>0</v>
      </c>
      <c r="U17" s="94">
        <f>IF(AND(SamplingData[[#This Row],[Total]]&lt;&gt; 0, NOT(ISBLANK(SamplingData[[#This Row],[Candidate 6]]))),(SamplingData[[#This Row],[Total]]+SamplingData[[#This Row],[Losing Candidate]]-SamplingData[[#This Row],[Candidate 6]])/(SamplingData[[#Totals],[Winning Candidate]]-SamplingData[[#Totals],[Candidate 6]]), 0)</f>
        <v>0</v>
      </c>
      <c r="V17" s="94">
        <f>IF(AND(SamplingData[[#This Row],[Total]]&lt;&gt; 0, NOT(ISBLANK(SamplingData[[#This Row],[Candidate 7]]))),(SamplingData[[#This Row],[Total]]+SamplingData[[#This Row],[Winning Candidate]]-SamplingData[[#This Row],[Candidate 7]])/(SamplingData[[#Totals],[Winning Candidate]]-SamplingData[[#Totals],[Candidate 7]]), 0)</f>
        <v>0</v>
      </c>
      <c r="W17" s="94">
        <f>IF(AND(SamplingData[[#This Row],[Total]]&lt;&gt; 0, NOT(ISBLANK(SamplingData[[#This Row],[Candidate 8]]))),(SamplingData[[#This Row],[Total]]+SamplingData[[#This Row],[Winning Candidate]]-SamplingData[[#This Row],[Candidate 8]])/(SamplingData[[#Totals],[Winning Candidate]]-SamplingData[[#Totals],[Candidate 8]]), 0)</f>
        <v>0</v>
      </c>
      <c r="X17"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 s="94">
        <f>MAX(SamplingData[[#This Row],[Error Bound (up) - Max. possible relative overstatement - Losing Candidate]:[Error Bound (up) - Max. possible relative overstatement - Candidate 12]])</f>
        <v>1.9181802749957563E-2</v>
      </c>
      <c r="AC17" s="94">
        <f>IF(SamplingData[[#This Row],[Max Error Bound (up)]] = 0,0,SamplingData[[#This Row],[Max Error Bound (up)]]/SamplingData[[#Totals],[Max Error Bound (up)]])</f>
        <v>1.0270113062129653E-3</v>
      </c>
      <c r="AD17" s="17">
        <f>SUM($AC$5:AC17)</f>
        <v>1.1431181153888116E-2</v>
      </c>
      <c r="AE17" s="94" t="str">
        <f t="array" ref="AE17">IF(SamplingData[[#This Row],[up/U Selection Probability]] = 0, "Zero", TEXT(SamplingData[[#This Row],[Lower Range]], REPT("0",LEN('General Info'!$B$42))) &amp; " - " &amp; TEXT(SamplingData[[#This Row],[Upper Range]], REPT("0",LEN('General Info'!$B$42))))</f>
        <v>010404 - 011430</v>
      </c>
      <c r="AF17" s="94">
        <f>SamplingData[[#This Row],[Upper Range]]-SamplingData[[#This Row],[Span]]</f>
        <v>10404.16984767515</v>
      </c>
      <c r="AG17" s="94">
        <f>IF(ISNUMBER('General Info'!$B$42), ((SamplingData[[#This Row],[up/U Selection Probability]]) * 'General Info'!$B$44) - 1, 0)</f>
        <v>1026.0113062129653</v>
      </c>
      <c r="AH17" s="94">
        <f>IF(ISNUMBER('General Info'!$B$42), (SamplingData[[#This Row],[Running (cumulative) sum]] * ('General Info'!$B$42 -'General Info'!$B$43 + 1)) + 'General Info'!$B$43 - 1, 0)</f>
        <v>11430.181153888116</v>
      </c>
      <c r="AI17" s="94" t="str">
        <f>IF(ISERROR(MATCH(SamplingData[[#This Row],[Batch by Type (p)]],SelectedPrecincts[Batch Name], 0)), "", INDEX(SelectedPrecincts[Draw], MATCH(SamplingData[[#This Row],[Batch by Type (p)]],SelectedPrecincts[Batch Name], 0)))</f>
        <v/>
      </c>
      <c r="AJ17" s="95">
        <f>IF(COUNTIF(SelectedPrecincts[Batch Name],SamplingData[[#This Row],[Batch by Type (p)]]) &lt;&gt; 0, COUNTIF(SelectedPrecincts[Batch Name],SamplingData[[#This Row],[Batch by Type (p)]]), 0)</f>
        <v>0</v>
      </c>
    </row>
    <row r="18" spans="1:36" ht="15" customHeight="1" x14ac:dyDescent="0.35">
      <c r="A18" s="97" t="s">
        <v>231</v>
      </c>
      <c r="B18" s="97">
        <v>416</v>
      </c>
      <c r="C18" s="97">
        <v>118</v>
      </c>
      <c r="D18" s="92"/>
      <c r="E18" s="92"/>
      <c r="F18" s="92"/>
      <c r="G18" s="96"/>
      <c r="H18" s="96"/>
      <c r="I18" s="92"/>
      <c r="J18" s="92"/>
      <c r="K18" s="92"/>
      <c r="L18" s="92"/>
      <c r="M18" s="92"/>
      <c r="N18" s="97">
        <v>0</v>
      </c>
      <c r="O18" s="97">
        <v>42</v>
      </c>
      <c r="P18" s="93">
        <f>SUM(SamplingData[[#This Row],[Winning Candidate]:[Under Votes]])</f>
        <v>576</v>
      </c>
      <c r="Q18" s="94">
        <f>IF(AND(SamplingData[[#This Row],[Total]]&lt;&gt; 0, NOT(ISBLANK(SamplingData[[#This Row],[Losing Candidate]]))),(SamplingData[[#This Row],[Total]]+SamplingData[[#This Row],[Winning Candidate]]-SamplingData[[#This Row],[Losing Candidate]])/(SamplingData[[#Totals],[Winning Candidate]]-SamplingData[[#Totals],[Losing Candidate]]), 0)</f>
        <v>3.7090476998811746E-2</v>
      </c>
      <c r="R18" s="94">
        <f>IF(AND(SamplingData[[#This Row],[Total]]&lt;&gt; 0, NOT(ISBLANK(SamplingData[[#This Row],[Candidate 3]]))),(SamplingData[[#This Row],[Total]]+SamplingData[[#This Row],[Winning Candidate]]-SamplingData[[#This Row],[Candidate 3]])/(SamplingData[[#Totals],[Winning Candidate]]-SamplingData[[#Totals],[Candidate 3]]), 0)</f>
        <v>0</v>
      </c>
      <c r="S18" s="94">
        <f>IF(AND(SamplingData[[#This Row],[Total]]&lt;&gt; 0, NOT(ISBLANK(SamplingData[[#This Row],[Candidate 4]]))),(SamplingData[[#This Row],[Total]]+SamplingData[[#This Row],[Winning Candidate]]-SamplingData[[#This Row],[Candidate 4]])/(SamplingData[[#Totals],[Winning Candidate]]-SamplingData[[#Totals],[Candidate 4]]), 0)</f>
        <v>0</v>
      </c>
      <c r="T18" s="94">
        <f>IF(AND(SamplingData[[#This Row],[Total]]&lt;&gt; 0, NOT(ISBLANK(SamplingData[[#This Row],[Candidate 5]]))),(SamplingData[[#This Row],[Total]]+SamplingData[[#This Row],[Winning Candidate]]-SamplingData[[#This Row],[Candidate 5]])/(SamplingData[[#Totals],[Winning Candidate]]-SamplingData[[#Totals],[Candidate 5]]), 0)</f>
        <v>0</v>
      </c>
      <c r="U18" s="94">
        <f>IF(AND(SamplingData[[#This Row],[Total]]&lt;&gt; 0, NOT(ISBLANK(SamplingData[[#This Row],[Candidate 6]]))),(SamplingData[[#This Row],[Total]]+SamplingData[[#This Row],[Losing Candidate]]-SamplingData[[#This Row],[Candidate 6]])/(SamplingData[[#Totals],[Winning Candidate]]-SamplingData[[#Totals],[Candidate 6]]), 0)</f>
        <v>0</v>
      </c>
      <c r="V18" s="94">
        <f>IF(AND(SamplingData[[#This Row],[Total]]&lt;&gt; 0, NOT(ISBLANK(SamplingData[[#This Row],[Candidate 7]]))),(SamplingData[[#This Row],[Total]]+SamplingData[[#This Row],[Winning Candidate]]-SamplingData[[#This Row],[Candidate 7]])/(SamplingData[[#Totals],[Winning Candidate]]-SamplingData[[#Totals],[Candidate 7]]), 0)</f>
        <v>0</v>
      </c>
      <c r="W18" s="94">
        <f>IF(AND(SamplingData[[#This Row],[Total]]&lt;&gt; 0, NOT(ISBLANK(SamplingData[[#This Row],[Candidate 8]]))),(SamplingData[[#This Row],[Total]]+SamplingData[[#This Row],[Winning Candidate]]-SamplingData[[#This Row],[Candidate 8]])/(SamplingData[[#Totals],[Winning Candidate]]-SamplingData[[#Totals],[Candidate 8]]), 0)</f>
        <v>0</v>
      </c>
      <c r="X18"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 s="94">
        <f>MAX(SamplingData[[#This Row],[Error Bound (up) - Max. possible relative overstatement - Losing Candidate]:[Error Bound (up) - Max. possible relative overstatement - Candidate 12]])</f>
        <v>3.7090476998811746E-2</v>
      </c>
      <c r="AC18" s="94">
        <f>IF(SamplingData[[#This Row],[Max Error Bound (up)]] = 0,0,SamplingData[[#This Row],[Max Error Bound (up)]]/SamplingData[[#Totals],[Max Error Bound (up)]])</f>
        <v>1.9858581451994064E-3</v>
      </c>
      <c r="AD18" s="17">
        <f>SUM($AC$5:AC18)</f>
        <v>1.3417039299087523E-2</v>
      </c>
      <c r="AE18" s="94" t="str">
        <f t="array" ref="AE18">IF(SamplingData[[#This Row],[up/U Selection Probability]] = 0, "Zero", TEXT(SamplingData[[#This Row],[Lower Range]], REPT("0",LEN('General Info'!$B$42))) &amp; " - " &amp; TEXT(SamplingData[[#This Row],[Upper Range]], REPT("0",LEN('General Info'!$B$42))))</f>
        <v>011431 - 013416</v>
      </c>
      <c r="AF18" s="94">
        <f>SamplingData[[#This Row],[Upper Range]]-SamplingData[[#This Row],[Span]]</f>
        <v>11431.181153888116</v>
      </c>
      <c r="AG18" s="94">
        <f>IF(ISNUMBER('General Info'!$B$42), ((SamplingData[[#This Row],[up/U Selection Probability]]) * 'General Info'!$B$44) - 1, 0)</f>
        <v>1984.8581451994064</v>
      </c>
      <c r="AH18" s="94">
        <f>IF(ISNUMBER('General Info'!$B$42), (SamplingData[[#This Row],[Running (cumulative) sum]] * ('General Info'!$B$42 -'General Info'!$B$43 + 1)) + 'General Info'!$B$43 - 1, 0)</f>
        <v>13416.039299087523</v>
      </c>
      <c r="AI18" s="94" t="str">
        <f>IF(ISERROR(MATCH(SamplingData[[#This Row],[Batch by Type (p)]],SelectedPrecincts[Batch Name], 0)), "", INDEX(SelectedPrecincts[Draw], MATCH(SamplingData[[#This Row],[Batch by Type (p)]],SelectedPrecincts[Batch Name], 0)))</f>
        <v/>
      </c>
      <c r="AJ18" s="95">
        <f>IF(COUNTIF(SelectedPrecincts[Batch Name],SamplingData[[#This Row],[Batch by Type (p)]]) &lt;&gt; 0, COUNTIF(SelectedPrecincts[Batch Name],SamplingData[[#This Row],[Batch by Type (p)]]), 0)</f>
        <v>0</v>
      </c>
    </row>
    <row r="19" spans="1:36" ht="15" customHeight="1" x14ac:dyDescent="0.35">
      <c r="A19" s="97" t="s">
        <v>232</v>
      </c>
      <c r="B19" s="97">
        <v>373</v>
      </c>
      <c r="C19" s="97">
        <v>155</v>
      </c>
      <c r="D19" s="92"/>
      <c r="E19" s="92"/>
      <c r="F19" s="92"/>
      <c r="G19" s="96"/>
      <c r="H19" s="96"/>
      <c r="I19" s="92"/>
      <c r="J19" s="92"/>
      <c r="K19" s="92"/>
      <c r="L19" s="92"/>
      <c r="M19" s="92"/>
      <c r="N19" s="97">
        <v>1</v>
      </c>
      <c r="O19" s="97">
        <v>35</v>
      </c>
      <c r="P19" s="93">
        <f>SUM(SamplingData[[#This Row],[Winning Candidate]:[Under Votes]])</f>
        <v>564</v>
      </c>
      <c r="Q19" s="94">
        <f>IF(AND(SamplingData[[#This Row],[Total]]&lt;&gt; 0, NOT(ISBLANK(SamplingData[[#This Row],[Losing Candidate]]))),(SamplingData[[#This Row],[Total]]+SamplingData[[#This Row],[Winning Candidate]]-SamplingData[[#This Row],[Losing Candidate]])/(SamplingData[[#Totals],[Winning Candidate]]-SamplingData[[#Totals],[Losing Candidate]]), 0)</f>
        <v>3.3186216262094718E-2</v>
      </c>
      <c r="R19" s="94">
        <f>IF(AND(SamplingData[[#This Row],[Total]]&lt;&gt; 0, NOT(ISBLANK(SamplingData[[#This Row],[Candidate 3]]))),(SamplingData[[#This Row],[Total]]+SamplingData[[#This Row],[Winning Candidate]]-SamplingData[[#This Row],[Candidate 3]])/(SamplingData[[#Totals],[Winning Candidate]]-SamplingData[[#Totals],[Candidate 3]]), 0)</f>
        <v>0</v>
      </c>
      <c r="S19" s="94">
        <f>IF(AND(SamplingData[[#This Row],[Total]]&lt;&gt; 0, NOT(ISBLANK(SamplingData[[#This Row],[Candidate 4]]))),(SamplingData[[#This Row],[Total]]+SamplingData[[#This Row],[Winning Candidate]]-SamplingData[[#This Row],[Candidate 4]])/(SamplingData[[#Totals],[Winning Candidate]]-SamplingData[[#Totals],[Candidate 4]]), 0)</f>
        <v>0</v>
      </c>
      <c r="T19" s="94">
        <f>IF(AND(SamplingData[[#This Row],[Total]]&lt;&gt; 0, NOT(ISBLANK(SamplingData[[#This Row],[Candidate 5]]))),(SamplingData[[#This Row],[Total]]+SamplingData[[#This Row],[Winning Candidate]]-SamplingData[[#This Row],[Candidate 5]])/(SamplingData[[#Totals],[Winning Candidate]]-SamplingData[[#Totals],[Candidate 5]]), 0)</f>
        <v>0</v>
      </c>
      <c r="U19" s="94">
        <f>IF(AND(SamplingData[[#This Row],[Total]]&lt;&gt; 0, NOT(ISBLANK(SamplingData[[#This Row],[Candidate 6]]))),(SamplingData[[#This Row],[Total]]+SamplingData[[#This Row],[Losing Candidate]]-SamplingData[[#This Row],[Candidate 6]])/(SamplingData[[#Totals],[Winning Candidate]]-SamplingData[[#Totals],[Candidate 6]]), 0)</f>
        <v>0</v>
      </c>
      <c r="V19" s="94">
        <f>IF(AND(SamplingData[[#This Row],[Total]]&lt;&gt; 0, NOT(ISBLANK(SamplingData[[#This Row],[Candidate 7]]))),(SamplingData[[#This Row],[Total]]+SamplingData[[#This Row],[Winning Candidate]]-SamplingData[[#This Row],[Candidate 7]])/(SamplingData[[#Totals],[Winning Candidate]]-SamplingData[[#Totals],[Candidate 7]]), 0)</f>
        <v>0</v>
      </c>
      <c r="W19" s="94">
        <f>IF(AND(SamplingData[[#This Row],[Total]]&lt;&gt; 0, NOT(ISBLANK(SamplingData[[#This Row],[Candidate 8]]))),(SamplingData[[#This Row],[Total]]+SamplingData[[#This Row],[Winning Candidate]]-SamplingData[[#This Row],[Candidate 8]])/(SamplingData[[#Totals],[Winning Candidate]]-SamplingData[[#Totals],[Candidate 8]]), 0)</f>
        <v>0</v>
      </c>
      <c r="X19"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 s="94">
        <f>MAX(SamplingData[[#This Row],[Error Bound (up) - Max. possible relative overstatement - Losing Candidate]:[Error Bound (up) - Max. possible relative overstatement - Candidate 12]])</f>
        <v>3.3186216262094718E-2</v>
      </c>
      <c r="AC19" s="94">
        <f>IF(SamplingData[[#This Row],[Max Error Bound (up)]] = 0,0,SamplingData[[#This Row],[Max Error Bound (up)]]/SamplingData[[#Totals],[Max Error Bound (up)]])</f>
        <v>1.7768204457047319E-3</v>
      </c>
      <c r="AD19" s="17">
        <f>SUM($AC$5:AC19)</f>
        <v>1.5193859744792254E-2</v>
      </c>
      <c r="AE19" s="94" t="str">
        <f t="array" ref="AE19">IF(SamplingData[[#This Row],[up/U Selection Probability]] = 0, "Zero", TEXT(SamplingData[[#This Row],[Lower Range]], REPT("0",LEN('General Info'!$B$42))) &amp; " - " &amp; TEXT(SamplingData[[#This Row],[Upper Range]], REPT("0",LEN('General Info'!$B$42))))</f>
        <v>013417 - 015193</v>
      </c>
      <c r="AF19" s="94">
        <f>SamplingData[[#This Row],[Upper Range]]-SamplingData[[#This Row],[Span]]</f>
        <v>13417.039299087523</v>
      </c>
      <c r="AG19" s="94">
        <f>IF(ISNUMBER('General Info'!$B$42), ((SamplingData[[#This Row],[up/U Selection Probability]]) * 'General Info'!$B$44) - 1, 0)</f>
        <v>1775.820445704732</v>
      </c>
      <c r="AH19" s="94">
        <f>IF(ISNUMBER('General Info'!$B$42), (SamplingData[[#This Row],[Running (cumulative) sum]] * ('General Info'!$B$42 -'General Info'!$B$43 + 1)) + 'General Info'!$B$43 - 1, 0)</f>
        <v>15192.859744792255</v>
      </c>
      <c r="AI19" s="94" t="str">
        <f>IF(ISERROR(MATCH(SamplingData[[#This Row],[Batch by Type (p)]],SelectedPrecincts[Batch Name], 0)), "", INDEX(SelectedPrecincts[Draw], MATCH(SamplingData[[#This Row],[Batch by Type (p)]],SelectedPrecincts[Batch Name], 0)))</f>
        <v/>
      </c>
      <c r="AJ19" s="95">
        <f>IF(COUNTIF(SelectedPrecincts[Batch Name],SamplingData[[#This Row],[Batch by Type (p)]]) &lt;&gt; 0, COUNTIF(SelectedPrecincts[Batch Name],SamplingData[[#This Row],[Batch by Type (p)]]), 0)</f>
        <v>0</v>
      </c>
    </row>
    <row r="20" spans="1:36" ht="15" customHeight="1" x14ac:dyDescent="0.35">
      <c r="A20" s="97" t="s">
        <v>233</v>
      </c>
      <c r="B20" s="97">
        <v>331</v>
      </c>
      <c r="C20" s="97">
        <v>121</v>
      </c>
      <c r="D20" s="92"/>
      <c r="E20" s="92"/>
      <c r="F20" s="92"/>
      <c r="G20" s="96"/>
      <c r="H20" s="96"/>
      <c r="I20" s="92"/>
      <c r="J20" s="92"/>
      <c r="K20" s="92"/>
      <c r="L20" s="92"/>
      <c r="M20" s="92"/>
      <c r="N20" s="97">
        <v>0</v>
      </c>
      <c r="O20" s="97">
        <v>31</v>
      </c>
      <c r="P20" s="93">
        <f>SUM(SamplingData[[#This Row],[Winning Candidate]:[Under Votes]])</f>
        <v>483</v>
      </c>
      <c r="Q20" s="94">
        <f>IF(AND(SamplingData[[#This Row],[Total]]&lt;&gt; 0, NOT(ISBLANK(SamplingData[[#This Row],[Losing Candidate]]))),(SamplingData[[#This Row],[Total]]+SamplingData[[#This Row],[Winning Candidate]]-SamplingData[[#This Row],[Losing Candidate]])/(SamplingData[[#Totals],[Winning Candidate]]-SamplingData[[#Totals],[Losing Candidate]]), 0)</f>
        <v>2.9409268375488032E-2</v>
      </c>
      <c r="R20" s="94">
        <f>IF(AND(SamplingData[[#This Row],[Total]]&lt;&gt; 0, NOT(ISBLANK(SamplingData[[#This Row],[Candidate 3]]))),(SamplingData[[#This Row],[Total]]+SamplingData[[#This Row],[Winning Candidate]]-SamplingData[[#This Row],[Candidate 3]])/(SamplingData[[#Totals],[Winning Candidate]]-SamplingData[[#Totals],[Candidate 3]]), 0)</f>
        <v>0</v>
      </c>
      <c r="S20" s="94">
        <f>IF(AND(SamplingData[[#This Row],[Total]]&lt;&gt; 0, NOT(ISBLANK(SamplingData[[#This Row],[Candidate 4]]))),(SamplingData[[#This Row],[Total]]+SamplingData[[#This Row],[Winning Candidate]]-SamplingData[[#This Row],[Candidate 4]])/(SamplingData[[#Totals],[Winning Candidate]]-SamplingData[[#Totals],[Candidate 4]]), 0)</f>
        <v>0</v>
      </c>
      <c r="T20" s="94">
        <f>IF(AND(SamplingData[[#This Row],[Total]]&lt;&gt; 0, NOT(ISBLANK(SamplingData[[#This Row],[Candidate 5]]))),(SamplingData[[#This Row],[Total]]+SamplingData[[#This Row],[Winning Candidate]]-SamplingData[[#This Row],[Candidate 5]])/(SamplingData[[#Totals],[Winning Candidate]]-SamplingData[[#Totals],[Candidate 5]]), 0)</f>
        <v>0</v>
      </c>
      <c r="U20" s="94">
        <f>IF(AND(SamplingData[[#This Row],[Total]]&lt;&gt; 0, NOT(ISBLANK(SamplingData[[#This Row],[Candidate 6]]))),(SamplingData[[#This Row],[Total]]+SamplingData[[#This Row],[Losing Candidate]]-SamplingData[[#This Row],[Candidate 6]])/(SamplingData[[#Totals],[Winning Candidate]]-SamplingData[[#Totals],[Candidate 6]]), 0)</f>
        <v>0</v>
      </c>
      <c r="V20" s="94">
        <f>IF(AND(SamplingData[[#This Row],[Total]]&lt;&gt; 0, NOT(ISBLANK(SamplingData[[#This Row],[Candidate 7]]))),(SamplingData[[#This Row],[Total]]+SamplingData[[#This Row],[Winning Candidate]]-SamplingData[[#This Row],[Candidate 7]])/(SamplingData[[#Totals],[Winning Candidate]]-SamplingData[[#Totals],[Candidate 7]]), 0)</f>
        <v>0</v>
      </c>
      <c r="W20" s="94">
        <f>IF(AND(SamplingData[[#This Row],[Total]]&lt;&gt; 0, NOT(ISBLANK(SamplingData[[#This Row],[Candidate 8]]))),(SamplingData[[#This Row],[Total]]+SamplingData[[#This Row],[Winning Candidate]]-SamplingData[[#This Row],[Candidate 8]])/(SamplingData[[#Totals],[Winning Candidate]]-SamplingData[[#Totals],[Candidate 8]]), 0)</f>
        <v>0</v>
      </c>
      <c r="X20"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 s="94">
        <f>MAX(SamplingData[[#This Row],[Error Bound (up) - Max. possible relative overstatement - Losing Candidate]:[Error Bound (up) - Max. possible relative overstatement - Candidate 12]])</f>
        <v>2.9409268375488032E-2</v>
      </c>
      <c r="AC20" s="94">
        <f>IF(SamplingData[[#This Row],[Max Error Bound (up)]] = 0,0,SamplingData[[#This Row],[Max Error Bound (up)]]/SamplingData[[#Totals],[Max Error Bound (up)]])</f>
        <v>1.57459919293271E-3</v>
      </c>
      <c r="AD20" s="17">
        <f>SUM($AC$5:AC20)</f>
        <v>1.6768458937724964E-2</v>
      </c>
      <c r="AE20" s="94" t="str">
        <f t="array" ref="AE20">IF(SamplingData[[#This Row],[up/U Selection Probability]] = 0, "Zero", TEXT(SamplingData[[#This Row],[Lower Range]], REPT("0",LEN('General Info'!$B$42))) &amp; " - " &amp; TEXT(SamplingData[[#This Row],[Upper Range]], REPT("0",LEN('General Info'!$B$42))))</f>
        <v>015194 - 016767</v>
      </c>
      <c r="AF20" s="94">
        <f>SamplingData[[#This Row],[Upper Range]]-SamplingData[[#This Row],[Span]]</f>
        <v>15193.859744792255</v>
      </c>
      <c r="AG20" s="94">
        <f>IF(ISNUMBER('General Info'!$B$42), ((SamplingData[[#This Row],[up/U Selection Probability]]) * 'General Info'!$B$44) - 1, 0)</f>
        <v>1573.5991929327101</v>
      </c>
      <c r="AH20" s="94">
        <f>IF(ISNUMBER('General Info'!$B$42), (SamplingData[[#This Row],[Running (cumulative) sum]] * ('General Info'!$B$42 -'General Info'!$B$43 + 1)) + 'General Info'!$B$43 - 1, 0)</f>
        <v>16767.458937724965</v>
      </c>
      <c r="AI20" s="94" t="str">
        <f>IF(ISERROR(MATCH(SamplingData[[#This Row],[Batch by Type (p)]],SelectedPrecincts[Batch Name], 0)), "", INDEX(SelectedPrecincts[Draw], MATCH(SamplingData[[#This Row],[Batch by Type (p)]],SelectedPrecincts[Batch Name], 0)))</f>
        <v/>
      </c>
      <c r="AJ20" s="95">
        <f>IF(COUNTIF(SelectedPrecincts[Batch Name],SamplingData[[#This Row],[Batch by Type (p)]]) &lt;&gt; 0, COUNTIF(SelectedPrecincts[Batch Name],SamplingData[[#This Row],[Batch by Type (p)]]), 0)</f>
        <v>0</v>
      </c>
    </row>
    <row r="21" spans="1:36" ht="15" customHeight="1" x14ac:dyDescent="0.35">
      <c r="A21" s="97" t="s">
        <v>234</v>
      </c>
      <c r="B21" s="97">
        <v>313</v>
      </c>
      <c r="C21" s="97">
        <v>131</v>
      </c>
      <c r="D21" s="92"/>
      <c r="E21" s="92"/>
      <c r="F21" s="92"/>
      <c r="G21" s="96"/>
      <c r="H21" s="96"/>
      <c r="I21" s="92"/>
      <c r="J21" s="92"/>
      <c r="K21" s="92"/>
      <c r="L21" s="92"/>
      <c r="M21" s="92"/>
      <c r="N21" s="97">
        <v>0</v>
      </c>
      <c r="O21" s="97">
        <v>22</v>
      </c>
      <c r="P21" s="93">
        <f>SUM(SamplingData[[#This Row],[Winning Candidate]:[Under Votes]])</f>
        <v>466</v>
      </c>
      <c r="Q21" s="94">
        <f>IF(AND(SamplingData[[#This Row],[Total]]&lt;&gt; 0, NOT(ISBLANK(SamplingData[[#This Row],[Losing Candidate]]))),(SamplingData[[#This Row],[Total]]+SamplingData[[#This Row],[Winning Candidate]]-SamplingData[[#This Row],[Losing Candidate]])/(SamplingData[[#Totals],[Winning Candidate]]-SamplingData[[#Totals],[Losing Candidate]]), 0)</f>
        <v>2.7499575623832966E-2</v>
      </c>
      <c r="R21" s="94">
        <f>IF(AND(SamplingData[[#This Row],[Total]]&lt;&gt; 0, NOT(ISBLANK(SamplingData[[#This Row],[Candidate 3]]))),(SamplingData[[#This Row],[Total]]+SamplingData[[#This Row],[Winning Candidate]]-SamplingData[[#This Row],[Candidate 3]])/(SamplingData[[#Totals],[Winning Candidate]]-SamplingData[[#Totals],[Candidate 3]]), 0)</f>
        <v>0</v>
      </c>
      <c r="S21" s="94">
        <f>IF(AND(SamplingData[[#This Row],[Total]]&lt;&gt; 0, NOT(ISBLANK(SamplingData[[#This Row],[Candidate 4]]))),(SamplingData[[#This Row],[Total]]+SamplingData[[#This Row],[Winning Candidate]]-SamplingData[[#This Row],[Candidate 4]])/(SamplingData[[#Totals],[Winning Candidate]]-SamplingData[[#Totals],[Candidate 4]]), 0)</f>
        <v>0</v>
      </c>
      <c r="T21" s="94">
        <f>IF(AND(SamplingData[[#This Row],[Total]]&lt;&gt; 0, NOT(ISBLANK(SamplingData[[#This Row],[Candidate 5]]))),(SamplingData[[#This Row],[Total]]+SamplingData[[#This Row],[Winning Candidate]]-SamplingData[[#This Row],[Candidate 5]])/(SamplingData[[#Totals],[Winning Candidate]]-SamplingData[[#Totals],[Candidate 5]]), 0)</f>
        <v>0</v>
      </c>
      <c r="U21" s="94">
        <f>IF(AND(SamplingData[[#This Row],[Total]]&lt;&gt; 0, NOT(ISBLANK(SamplingData[[#This Row],[Candidate 6]]))),(SamplingData[[#This Row],[Total]]+SamplingData[[#This Row],[Losing Candidate]]-SamplingData[[#This Row],[Candidate 6]])/(SamplingData[[#Totals],[Winning Candidate]]-SamplingData[[#Totals],[Candidate 6]]), 0)</f>
        <v>0</v>
      </c>
      <c r="V21" s="94">
        <f>IF(AND(SamplingData[[#This Row],[Total]]&lt;&gt; 0, NOT(ISBLANK(SamplingData[[#This Row],[Candidate 7]]))),(SamplingData[[#This Row],[Total]]+SamplingData[[#This Row],[Winning Candidate]]-SamplingData[[#This Row],[Candidate 7]])/(SamplingData[[#Totals],[Winning Candidate]]-SamplingData[[#Totals],[Candidate 7]]), 0)</f>
        <v>0</v>
      </c>
      <c r="W21" s="94">
        <f>IF(AND(SamplingData[[#This Row],[Total]]&lt;&gt; 0, NOT(ISBLANK(SamplingData[[#This Row],[Candidate 8]]))),(SamplingData[[#This Row],[Total]]+SamplingData[[#This Row],[Winning Candidate]]-SamplingData[[#This Row],[Candidate 8]])/(SamplingData[[#Totals],[Winning Candidate]]-SamplingData[[#Totals],[Candidate 8]]), 0)</f>
        <v>0</v>
      </c>
      <c r="X21"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 s="94">
        <f>MAX(SamplingData[[#This Row],[Error Bound (up) - Max. possible relative overstatement - Losing Candidate]:[Error Bound (up) - Max. possible relative overstatement - Candidate 12]])</f>
        <v>2.7499575623832966E-2</v>
      </c>
      <c r="AC21" s="94">
        <f>IF(SamplingData[[#This Row],[Max Error Bound (up)]] = 0,0,SamplingData[[#This Row],[Max Error Bound (up)]]/SamplingData[[#Totals],[Max Error Bound (up)]])</f>
        <v>1.4723524920929238E-3</v>
      </c>
      <c r="AD21" s="17">
        <f>SUM($AC$5:AC21)</f>
        <v>1.8240811429817889E-2</v>
      </c>
      <c r="AE21" s="94" t="str">
        <f t="array" ref="AE21">IF(SamplingData[[#This Row],[up/U Selection Probability]] = 0, "Zero", TEXT(SamplingData[[#This Row],[Lower Range]], REPT("0",LEN('General Info'!$B$42))) &amp; " - " &amp; TEXT(SamplingData[[#This Row],[Upper Range]], REPT("0",LEN('General Info'!$B$42))))</f>
        <v>016768 - 018240</v>
      </c>
      <c r="AF21" s="94">
        <f>SamplingData[[#This Row],[Upper Range]]-SamplingData[[#This Row],[Span]]</f>
        <v>16768.458937724965</v>
      </c>
      <c r="AG21" s="94">
        <f>IF(ISNUMBER('General Info'!$B$42), ((SamplingData[[#This Row],[up/U Selection Probability]]) * 'General Info'!$B$44) - 1, 0)</f>
        <v>1471.3524920929237</v>
      </c>
      <c r="AH21" s="94">
        <f>IF(ISNUMBER('General Info'!$B$42), (SamplingData[[#This Row],[Running (cumulative) sum]] * ('General Info'!$B$42 -'General Info'!$B$43 + 1)) + 'General Info'!$B$43 - 1, 0)</f>
        <v>18239.811429817888</v>
      </c>
      <c r="AI21" s="94" t="str">
        <f>IF(ISERROR(MATCH(SamplingData[[#This Row],[Batch by Type (p)]],SelectedPrecincts[Batch Name], 0)), "", INDEX(SelectedPrecincts[Draw], MATCH(SamplingData[[#This Row],[Batch by Type (p)]],SelectedPrecincts[Batch Name], 0)))</f>
        <v/>
      </c>
      <c r="AJ21" s="95">
        <f>IF(COUNTIF(SelectedPrecincts[Batch Name],SamplingData[[#This Row],[Batch by Type (p)]]) &lt;&gt; 0, COUNTIF(SelectedPrecincts[Batch Name],SamplingData[[#This Row],[Batch by Type (p)]]), 0)</f>
        <v>0</v>
      </c>
    </row>
    <row r="22" spans="1:36" ht="15" customHeight="1" x14ac:dyDescent="0.35">
      <c r="A22" s="97" t="s">
        <v>235</v>
      </c>
      <c r="B22" s="97">
        <v>339</v>
      </c>
      <c r="C22" s="97">
        <v>249</v>
      </c>
      <c r="D22" s="92"/>
      <c r="E22" s="92"/>
      <c r="F22" s="92"/>
      <c r="G22" s="96"/>
      <c r="H22" s="96"/>
      <c r="I22" s="92"/>
      <c r="J22" s="92"/>
      <c r="K22" s="92"/>
      <c r="L22" s="92"/>
      <c r="M22" s="92"/>
      <c r="N22" s="97">
        <v>0</v>
      </c>
      <c r="O22" s="97">
        <v>44</v>
      </c>
      <c r="P22" s="93">
        <f>SUM(SamplingData[[#This Row],[Winning Candidate]:[Under Votes]])</f>
        <v>632</v>
      </c>
      <c r="Q22" s="94">
        <f>IF(AND(SamplingData[[#This Row],[Total]]&lt;&gt; 0, NOT(ISBLANK(SamplingData[[#This Row],[Losing Candidate]]))),(SamplingData[[#This Row],[Total]]+SamplingData[[#This Row],[Winning Candidate]]-SamplingData[[#This Row],[Losing Candidate]])/(SamplingData[[#Totals],[Winning Candidate]]-SamplingData[[#Totals],[Losing Candidate]]), 0)</f>
        <v>3.0639959259887963E-2</v>
      </c>
      <c r="R22" s="94">
        <f>IF(AND(SamplingData[[#This Row],[Total]]&lt;&gt; 0, NOT(ISBLANK(SamplingData[[#This Row],[Candidate 3]]))),(SamplingData[[#This Row],[Total]]+SamplingData[[#This Row],[Winning Candidate]]-SamplingData[[#This Row],[Candidate 3]])/(SamplingData[[#Totals],[Winning Candidate]]-SamplingData[[#Totals],[Candidate 3]]), 0)</f>
        <v>0</v>
      </c>
      <c r="S22" s="94">
        <f>IF(AND(SamplingData[[#This Row],[Total]]&lt;&gt; 0, NOT(ISBLANK(SamplingData[[#This Row],[Candidate 4]]))),(SamplingData[[#This Row],[Total]]+SamplingData[[#This Row],[Winning Candidate]]-SamplingData[[#This Row],[Candidate 4]])/(SamplingData[[#Totals],[Winning Candidate]]-SamplingData[[#Totals],[Candidate 4]]), 0)</f>
        <v>0</v>
      </c>
      <c r="T22" s="94">
        <f>IF(AND(SamplingData[[#This Row],[Total]]&lt;&gt; 0, NOT(ISBLANK(SamplingData[[#This Row],[Candidate 5]]))),(SamplingData[[#This Row],[Total]]+SamplingData[[#This Row],[Winning Candidate]]-SamplingData[[#This Row],[Candidate 5]])/(SamplingData[[#Totals],[Winning Candidate]]-SamplingData[[#Totals],[Candidate 5]]), 0)</f>
        <v>0</v>
      </c>
      <c r="U22" s="94">
        <f>IF(AND(SamplingData[[#This Row],[Total]]&lt;&gt; 0, NOT(ISBLANK(SamplingData[[#This Row],[Candidate 6]]))),(SamplingData[[#This Row],[Total]]+SamplingData[[#This Row],[Losing Candidate]]-SamplingData[[#This Row],[Candidate 6]])/(SamplingData[[#Totals],[Winning Candidate]]-SamplingData[[#Totals],[Candidate 6]]), 0)</f>
        <v>0</v>
      </c>
      <c r="V22" s="94">
        <f>IF(AND(SamplingData[[#This Row],[Total]]&lt;&gt; 0, NOT(ISBLANK(SamplingData[[#This Row],[Candidate 7]]))),(SamplingData[[#This Row],[Total]]+SamplingData[[#This Row],[Winning Candidate]]-SamplingData[[#This Row],[Candidate 7]])/(SamplingData[[#Totals],[Winning Candidate]]-SamplingData[[#Totals],[Candidate 7]]), 0)</f>
        <v>0</v>
      </c>
      <c r="W22" s="94">
        <f>IF(AND(SamplingData[[#This Row],[Total]]&lt;&gt; 0, NOT(ISBLANK(SamplingData[[#This Row],[Candidate 8]]))),(SamplingData[[#This Row],[Total]]+SamplingData[[#This Row],[Winning Candidate]]-SamplingData[[#This Row],[Candidate 8]])/(SamplingData[[#Totals],[Winning Candidate]]-SamplingData[[#Totals],[Candidate 8]]), 0)</f>
        <v>0</v>
      </c>
      <c r="X22"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 s="94">
        <f>MAX(SamplingData[[#This Row],[Error Bound (up) - Max. possible relative overstatement - Losing Candidate]:[Error Bound (up) - Max. possible relative overstatement - Candidate 12]])</f>
        <v>3.0639959259887963E-2</v>
      </c>
      <c r="AC22" s="94">
        <f>IF(SamplingData[[#This Row],[Max Error Bound (up)]] = 0,0,SamplingData[[#This Row],[Max Error Bound (up)]]/SamplingData[[#Totals],[Max Error Bound (up)]])</f>
        <v>1.6404915112516833E-3</v>
      </c>
      <c r="AD22" s="17">
        <f>SUM($AC$5:AC22)</f>
        <v>1.9881302941069573E-2</v>
      </c>
      <c r="AE22" s="94" t="str">
        <f t="array" ref="AE22">IF(SamplingData[[#This Row],[up/U Selection Probability]] = 0, "Zero", TEXT(SamplingData[[#This Row],[Lower Range]], REPT("0",LEN('General Info'!$B$42))) &amp; " - " &amp; TEXT(SamplingData[[#This Row],[Upper Range]], REPT("0",LEN('General Info'!$B$42))))</f>
        <v>018241 - 019880</v>
      </c>
      <c r="AF22" s="94">
        <f>SamplingData[[#This Row],[Upper Range]]-SamplingData[[#This Row],[Span]]</f>
        <v>18240.811429817892</v>
      </c>
      <c r="AG22" s="94">
        <f>IF(ISNUMBER('General Info'!$B$42), ((SamplingData[[#This Row],[up/U Selection Probability]]) * 'General Info'!$B$44) - 1, 0)</f>
        <v>1639.4915112516833</v>
      </c>
      <c r="AH22" s="94">
        <f>IF(ISNUMBER('General Info'!$B$42), (SamplingData[[#This Row],[Running (cumulative) sum]] * ('General Info'!$B$42 -'General Info'!$B$43 + 1)) + 'General Info'!$B$43 - 1, 0)</f>
        <v>19880.302941069574</v>
      </c>
      <c r="AI22" s="94" t="str">
        <f>IF(ISERROR(MATCH(SamplingData[[#This Row],[Batch by Type (p)]],SelectedPrecincts[Batch Name], 0)), "", INDEX(SelectedPrecincts[Draw], MATCH(SamplingData[[#This Row],[Batch by Type (p)]],SelectedPrecincts[Batch Name], 0)))</f>
        <v/>
      </c>
      <c r="AJ22" s="95">
        <f>IF(COUNTIF(SelectedPrecincts[Batch Name],SamplingData[[#This Row],[Batch by Type (p)]]) &lt;&gt; 0, COUNTIF(SelectedPrecincts[Batch Name],SamplingData[[#This Row],[Batch by Type (p)]]), 0)</f>
        <v>0</v>
      </c>
    </row>
    <row r="23" spans="1:36" ht="15" customHeight="1" x14ac:dyDescent="0.35">
      <c r="A23" s="97" t="s">
        <v>236</v>
      </c>
      <c r="B23" s="97">
        <v>363</v>
      </c>
      <c r="C23" s="97">
        <v>66</v>
      </c>
      <c r="D23" s="92"/>
      <c r="E23" s="92"/>
      <c r="F23" s="92"/>
      <c r="G23" s="96"/>
      <c r="H23" s="96"/>
      <c r="I23" s="92"/>
      <c r="J23" s="92"/>
      <c r="K23" s="92"/>
      <c r="L23" s="92"/>
      <c r="M23" s="92"/>
      <c r="N23" s="97">
        <v>1</v>
      </c>
      <c r="O23" s="97">
        <v>16</v>
      </c>
      <c r="P23" s="93">
        <f>SUM(SamplingData[[#This Row],[Winning Candidate]:[Under Votes]])</f>
        <v>446</v>
      </c>
      <c r="Q23" s="94">
        <f>IF(AND(SamplingData[[#This Row],[Total]]&lt;&gt; 0, NOT(ISBLANK(SamplingData[[#This Row],[Losing Candidate]]))),(SamplingData[[#This Row],[Total]]+SamplingData[[#This Row],[Winning Candidate]]-SamplingData[[#This Row],[Losing Candidate]])/(SamplingData[[#Totals],[Winning Candidate]]-SamplingData[[#Totals],[Losing Candidate]]), 0)</f>
        <v>3.1531149210660331E-2</v>
      </c>
      <c r="R23" s="94">
        <f>IF(AND(SamplingData[[#This Row],[Total]]&lt;&gt; 0, NOT(ISBLANK(SamplingData[[#This Row],[Candidate 3]]))),(SamplingData[[#This Row],[Total]]+SamplingData[[#This Row],[Winning Candidate]]-SamplingData[[#This Row],[Candidate 3]])/(SamplingData[[#Totals],[Winning Candidate]]-SamplingData[[#Totals],[Candidate 3]]), 0)</f>
        <v>0</v>
      </c>
      <c r="S23" s="94">
        <f>IF(AND(SamplingData[[#This Row],[Total]]&lt;&gt; 0, NOT(ISBLANK(SamplingData[[#This Row],[Candidate 4]]))),(SamplingData[[#This Row],[Total]]+SamplingData[[#This Row],[Winning Candidate]]-SamplingData[[#This Row],[Candidate 4]])/(SamplingData[[#Totals],[Winning Candidate]]-SamplingData[[#Totals],[Candidate 4]]), 0)</f>
        <v>0</v>
      </c>
      <c r="T23" s="94">
        <f>IF(AND(SamplingData[[#This Row],[Total]]&lt;&gt; 0, NOT(ISBLANK(SamplingData[[#This Row],[Candidate 5]]))),(SamplingData[[#This Row],[Total]]+SamplingData[[#This Row],[Winning Candidate]]-SamplingData[[#This Row],[Candidate 5]])/(SamplingData[[#Totals],[Winning Candidate]]-SamplingData[[#Totals],[Candidate 5]]), 0)</f>
        <v>0</v>
      </c>
      <c r="U23" s="94">
        <f>IF(AND(SamplingData[[#This Row],[Total]]&lt;&gt; 0, NOT(ISBLANK(SamplingData[[#This Row],[Candidate 6]]))),(SamplingData[[#This Row],[Total]]+SamplingData[[#This Row],[Losing Candidate]]-SamplingData[[#This Row],[Candidate 6]])/(SamplingData[[#Totals],[Winning Candidate]]-SamplingData[[#Totals],[Candidate 6]]), 0)</f>
        <v>0</v>
      </c>
      <c r="V23" s="94">
        <f>IF(AND(SamplingData[[#This Row],[Total]]&lt;&gt; 0, NOT(ISBLANK(SamplingData[[#This Row],[Candidate 7]]))),(SamplingData[[#This Row],[Total]]+SamplingData[[#This Row],[Winning Candidate]]-SamplingData[[#This Row],[Candidate 7]])/(SamplingData[[#Totals],[Winning Candidate]]-SamplingData[[#Totals],[Candidate 7]]), 0)</f>
        <v>0</v>
      </c>
      <c r="W23" s="94">
        <f>IF(AND(SamplingData[[#This Row],[Total]]&lt;&gt; 0, NOT(ISBLANK(SamplingData[[#This Row],[Candidate 8]]))),(SamplingData[[#This Row],[Total]]+SamplingData[[#This Row],[Winning Candidate]]-SamplingData[[#This Row],[Candidate 8]])/(SamplingData[[#Totals],[Winning Candidate]]-SamplingData[[#Totals],[Candidate 8]]), 0)</f>
        <v>0</v>
      </c>
      <c r="X23"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 s="94">
        <f>MAX(SamplingData[[#This Row],[Error Bound (up) - Max. possible relative overstatement - Losing Candidate]:[Error Bound (up) - Max. possible relative overstatement - Candidate 12]])</f>
        <v>3.1531149210660331E-2</v>
      </c>
      <c r="AC23" s="94">
        <f>IF(SamplingData[[#This Row],[Max Error Bound (up)]] = 0,0,SamplingData[[#This Row],[Max Error Bound (up)]]/SamplingData[[#Totals],[Max Error Bound (up)]])</f>
        <v>1.6882066383102506E-3</v>
      </c>
      <c r="AD23" s="17">
        <f>SUM($AC$5:AC23)</f>
        <v>2.1569509579379822E-2</v>
      </c>
      <c r="AE23" s="94" t="str">
        <f t="array" ref="AE23">IF(SamplingData[[#This Row],[up/U Selection Probability]] = 0, "Zero", TEXT(SamplingData[[#This Row],[Lower Range]], REPT("0",LEN('General Info'!$B$42))) &amp; " - " &amp; TEXT(SamplingData[[#This Row],[Upper Range]], REPT("0",LEN('General Info'!$B$42))))</f>
        <v>019881 - 021569</v>
      </c>
      <c r="AF23" s="94">
        <f>SamplingData[[#This Row],[Upper Range]]-SamplingData[[#This Row],[Span]]</f>
        <v>19881.302941069571</v>
      </c>
      <c r="AG23" s="94">
        <f>IF(ISNUMBER('General Info'!$B$42), ((SamplingData[[#This Row],[up/U Selection Probability]]) * 'General Info'!$B$44) - 1, 0)</f>
        <v>1687.2066383102506</v>
      </c>
      <c r="AH23" s="94">
        <f>IF(ISNUMBER('General Info'!$B$42), (SamplingData[[#This Row],[Running (cumulative) sum]] * ('General Info'!$B$42 -'General Info'!$B$43 + 1)) + 'General Info'!$B$43 - 1, 0)</f>
        <v>21568.509579379821</v>
      </c>
      <c r="AI23" s="94" t="str">
        <f>IF(ISERROR(MATCH(SamplingData[[#This Row],[Batch by Type (p)]],SelectedPrecincts[Batch Name], 0)), "", INDEX(SelectedPrecincts[Draw], MATCH(SamplingData[[#This Row],[Batch by Type (p)]],SelectedPrecincts[Batch Name], 0)))</f>
        <v/>
      </c>
      <c r="AJ23" s="95">
        <f>IF(COUNTIF(SelectedPrecincts[Batch Name],SamplingData[[#This Row],[Batch by Type (p)]]) &lt;&gt; 0, COUNTIF(SelectedPrecincts[Batch Name],SamplingData[[#This Row],[Batch by Type (p)]]), 0)</f>
        <v>0</v>
      </c>
    </row>
    <row r="24" spans="1:36" ht="15" customHeight="1" x14ac:dyDescent="0.35">
      <c r="A24" s="97" t="s">
        <v>237</v>
      </c>
      <c r="B24" s="97">
        <v>341</v>
      </c>
      <c r="C24" s="97">
        <v>259</v>
      </c>
      <c r="D24" s="92"/>
      <c r="E24" s="92"/>
      <c r="F24" s="92"/>
      <c r="G24" s="96"/>
      <c r="H24" s="96"/>
      <c r="I24" s="92"/>
      <c r="J24" s="92"/>
      <c r="K24" s="92"/>
      <c r="L24" s="92"/>
      <c r="M24" s="92"/>
      <c r="N24" s="97">
        <v>1</v>
      </c>
      <c r="O24" s="97">
        <v>24</v>
      </c>
      <c r="P24" s="93">
        <f>SUM(SamplingData[[#This Row],[Winning Candidate]:[Under Votes]])</f>
        <v>625</v>
      </c>
      <c r="Q24" s="94">
        <f>IF(AND(SamplingData[[#This Row],[Total]]&lt;&gt; 0, NOT(ISBLANK(SamplingData[[#This Row],[Losing Candidate]]))),(SamplingData[[#This Row],[Total]]+SamplingData[[#This Row],[Winning Candidate]]-SamplingData[[#This Row],[Losing Candidate]])/(SamplingData[[#Totals],[Winning Candidate]]-SamplingData[[#Totals],[Losing Candidate]]), 0)</f>
        <v>3.0003395009336277E-2</v>
      </c>
      <c r="R24" s="94">
        <f>IF(AND(SamplingData[[#This Row],[Total]]&lt;&gt; 0, NOT(ISBLANK(SamplingData[[#This Row],[Candidate 3]]))),(SamplingData[[#This Row],[Total]]+SamplingData[[#This Row],[Winning Candidate]]-SamplingData[[#This Row],[Candidate 3]])/(SamplingData[[#Totals],[Winning Candidate]]-SamplingData[[#Totals],[Candidate 3]]), 0)</f>
        <v>0</v>
      </c>
      <c r="S24" s="94">
        <f>IF(AND(SamplingData[[#This Row],[Total]]&lt;&gt; 0, NOT(ISBLANK(SamplingData[[#This Row],[Candidate 4]]))),(SamplingData[[#This Row],[Total]]+SamplingData[[#This Row],[Winning Candidate]]-SamplingData[[#This Row],[Candidate 4]])/(SamplingData[[#Totals],[Winning Candidate]]-SamplingData[[#Totals],[Candidate 4]]), 0)</f>
        <v>0</v>
      </c>
      <c r="T24" s="94">
        <f>IF(AND(SamplingData[[#This Row],[Total]]&lt;&gt; 0, NOT(ISBLANK(SamplingData[[#This Row],[Candidate 5]]))),(SamplingData[[#This Row],[Total]]+SamplingData[[#This Row],[Winning Candidate]]-SamplingData[[#This Row],[Candidate 5]])/(SamplingData[[#Totals],[Winning Candidate]]-SamplingData[[#Totals],[Candidate 5]]), 0)</f>
        <v>0</v>
      </c>
      <c r="U24" s="94">
        <f>IF(AND(SamplingData[[#This Row],[Total]]&lt;&gt; 0, NOT(ISBLANK(SamplingData[[#This Row],[Candidate 6]]))),(SamplingData[[#This Row],[Total]]+SamplingData[[#This Row],[Losing Candidate]]-SamplingData[[#This Row],[Candidate 6]])/(SamplingData[[#Totals],[Winning Candidate]]-SamplingData[[#Totals],[Candidate 6]]), 0)</f>
        <v>0</v>
      </c>
      <c r="V24" s="94">
        <f>IF(AND(SamplingData[[#This Row],[Total]]&lt;&gt; 0, NOT(ISBLANK(SamplingData[[#This Row],[Candidate 7]]))),(SamplingData[[#This Row],[Total]]+SamplingData[[#This Row],[Winning Candidate]]-SamplingData[[#This Row],[Candidate 7]])/(SamplingData[[#Totals],[Winning Candidate]]-SamplingData[[#Totals],[Candidate 7]]), 0)</f>
        <v>0</v>
      </c>
      <c r="W24" s="94">
        <f>IF(AND(SamplingData[[#This Row],[Total]]&lt;&gt; 0, NOT(ISBLANK(SamplingData[[#This Row],[Candidate 8]]))),(SamplingData[[#This Row],[Total]]+SamplingData[[#This Row],[Winning Candidate]]-SamplingData[[#This Row],[Candidate 8]])/(SamplingData[[#Totals],[Winning Candidate]]-SamplingData[[#Totals],[Candidate 8]]), 0)</f>
        <v>0</v>
      </c>
      <c r="X24"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 s="94">
        <f>MAX(SamplingData[[#This Row],[Error Bound (up) - Max. possible relative overstatement - Losing Candidate]:[Error Bound (up) - Max. possible relative overstatement - Candidate 12]])</f>
        <v>3.0003395009336277E-2</v>
      </c>
      <c r="AC24" s="94">
        <f>IF(SamplingData[[#This Row],[Max Error Bound (up)]] = 0,0,SamplingData[[#This Row],[Max Error Bound (up)]]/SamplingData[[#Totals],[Max Error Bound (up)]])</f>
        <v>1.6064092776384214E-3</v>
      </c>
      <c r="AD24" s="17">
        <f>SUM($AC$5:AC24)</f>
        <v>2.3175918857018245E-2</v>
      </c>
      <c r="AE24" s="94" t="str">
        <f t="array" ref="AE24">IF(SamplingData[[#This Row],[up/U Selection Probability]] = 0, "Zero", TEXT(SamplingData[[#This Row],[Lower Range]], REPT("0",LEN('General Info'!$B$42))) &amp; " - " &amp; TEXT(SamplingData[[#This Row],[Upper Range]], REPT("0",LEN('General Info'!$B$42))))</f>
        <v>021570 - 023175</v>
      </c>
      <c r="AF24" s="94">
        <f>SamplingData[[#This Row],[Upper Range]]-SamplingData[[#This Row],[Span]]</f>
        <v>21569.509579379825</v>
      </c>
      <c r="AG24" s="94">
        <f>IF(ISNUMBER('General Info'!$B$42), ((SamplingData[[#This Row],[up/U Selection Probability]]) * 'General Info'!$B$44) - 1, 0)</f>
        <v>1605.4092776384214</v>
      </c>
      <c r="AH24" s="94">
        <f>IF(ISNUMBER('General Info'!$B$42), (SamplingData[[#This Row],[Running (cumulative) sum]] * ('General Info'!$B$42 -'General Info'!$B$43 + 1)) + 'General Info'!$B$43 - 1, 0)</f>
        <v>23174.918857018245</v>
      </c>
      <c r="AI24" s="94" t="str">
        <f>IF(ISERROR(MATCH(SamplingData[[#This Row],[Batch by Type (p)]],SelectedPrecincts[Batch Name], 0)), "", INDEX(SelectedPrecincts[Draw], MATCH(SamplingData[[#This Row],[Batch by Type (p)]],SelectedPrecincts[Batch Name], 0)))</f>
        <v/>
      </c>
      <c r="AJ24" s="95">
        <f>IF(COUNTIF(SelectedPrecincts[Batch Name],SamplingData[[#This Row],[Batch by Type (p)]]) &lt;&gt; 0, COUNTIF(SelectedPrecincts[Batch Name],SamplingData[[#This Row],[Batch by Type (p)]]), 0)</f>
        <v>0</v>
      </c>
    </row>
    <row r="25" spans="1:36" ht="15" customHeight="1" x14ac:dyDescent="0.35">
      <c r="A25" s="97" t="s">
        <v>238</v>
      </c>
      <c r="B25" s="97">
        <v>222</v>
      </c>
      <c r="C25" s="97">
        <v>62</v>
      </c>
      <c r="D25" s="92"/>
      <c r="E25" s="92"/>
      <c r="F25" s="92"/>
      <c r="G25" s="96"/>
      <c r="H25" s="96"/>
      <c r="I25" s="92"/>
      <c r="J25" s="92"/>
      <c r="K25" s="92"/>
      <c r="L25" s="92"/>
      <c r="M25" s="92"/>
      <c r="N25" s="97">
        <v>1</v>
      </c>
      <c r="O25" s="97">
        <v>18</v>
      </c>
      <c r="P25" s="93">
        <f>SUM(SamplingData[[#This Row],[Winning Candidate]:[Under Votes]])</f>
        <v>303</v>
      </c>
      <c r="Q25" s="94">
        <f>IF(AND(SamplingData[[#This Row],[Total]]&lt;&gt; 0, NOT(ISBLANK(SamplingData[[#This Row],[Losing Candidate]]))),(SamplingData[[#This Row],[Total]]+SamplingData[[#This Row],[Winning Candidate]]-SamplingData[[#This Row],[Losing Candidate]])/(SamplingData[[#Totals],[Winning Candidate]]-SamplingData[[#Totals],[Losing Candidate]]), 0)</f>
        <v>1.9648616533695467E-2</v>
      </c>
      <c r="R25" s="94">
        <f>IF(AND(SamplingData[[#This Row],[Total]]&lt;&gt; 0, NOT(ISBLANK(SamplingData[[#This Row],[Candidate 3]]))),(SamplingData[[#This Row],[Total]]+SamplingData[[#This Row],[Winning Candidate]]-SamplingData[[#This Row],[Candidate 3]])/(SamplingData[[#Totals],[Winning Candidate]]-SamplingData[[#Totals],[Candidate 3]]), 0)</f>
        <v>0</v>
      </c>
      <c r="S25" s="94">
        <f>IF(AND(SamplingData[[#This Row],[Total]]&lt;&gt; 0, NOT(ISBLANK(SamplingData[[#This Row],[Candidate 4]]))),(SamplingData[[#This Row],[Total]]+SamplingData[[#This Row],[Winning Candidate]]-SamplingData[[#This Row],[Candidate 4]])/(SamplingData[[#Totals],[Winning Candidate]]-SamplingData[[#Totals],[Candidate 4]]), 0)</f>
        <v>0</v>
      </c>
      <c r="T25" s="94">
        <f>IF(AND(SamplingData[[#This Row],[Total]]&lt;&gt; 0, NOT(ISBLANK(SamplingData[[#This Row],[Candidate 5]]))),(SamplingData[[#This Row],[Total]]+SamplingData[[#This Row],[Winning Candidate]]-SamplingData[[#This Row],[Candidate 5]])/(SamplingData[[#Totals],[Winning Candidate]]-SamplingData[[#Totals],[Candidate 5]]), 0)</f>
        <v>0</v>
      </c>
      <c r="U25" s="94">
        <f>IF(AND(SamplingData[[#This Row],[Total]]&lt;&gt; 0, NOT(ISBLANK(SamplingData[[#This Row],[Candidate 6]]))),(SamplingData[[#This Row],[Total]]+SamplingData[[#This Row],[Losing Candidate]]-SamplingData[[#This Row],[Candidate 6]])/(SamplingData[[#Totals],[Winning Candidate]]-SamplingData[[#Totals],[Candidate 6]]), 0)</f>
        <v>0</v>
      </c>
      <c r="V25" s="94">
        <f>IF(AND(SamplingData[[#This Row],[Total]]&lt;&gt; 0, NOT(ISBLANK(SamplingData[[#This Row],[Candidate 7]]))),(SamplingData[[#This Row],[Total]]+SamplingData[[#This Row],[Winning Candidate]]-SamplingData[[#This Row],[Candidate 7]])/(SamplingData[[#Totals],[Winning Candidate]]-SamplingData[[#Totals],[Candidate 7]]), 0)</f>
        <v>0</v>
      </c>
      <c r="W25" s="94">
        <f>IF(AND(SamplingData[[#This Row],[Total]]&lt;&gt; 0, NOT(ISBLANK(SamplingData[[#This Row],[Candidate 8]]))),(SamplingData[[#This Row],[Total]]+SamplingData[[#This Row],[Winning Candidate]]-SamplingData[[#This Row],[Candidate 8]])/(SamplingData[[#Totals],[Winning Candidate]]-SamplingData[[#Totals],[Candidate 8]]), 0)</f>
        <v>0</v>
      </c>
      <c r="X25"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 s="94">
        <f>MAX(SamplingData[[#This Row],[Error Bound (up) - Max. possible relative overstatement - Losing Candidate]:[Error Bound (up) - Max. possible relative overstatement - Candidate 12]])</f>
        <v>1.9648616533695467E-2</v>
      </c>
      <c r="AC25" s="94">
        <f>IF(SamplingData[[#This Row],[Max Error Bound (up)]] = 0,0,SamplingData[[#This Row],[Max Error Bound (up)]]/SamplingData[[#Totals],[Max Error Bound (up)]])</f>
        <v>1.0520049441960241E-3</v>
      </c>
      <c r="AD25" s="17">
        <f>SUM($AC$5:AC25)</f>
        <v>2.422792380121427E-2</v>
      </c>
      <c r="AE25" s="94" t="str">
        <f t="array" ref="AE25">IF(SamplingData[[#This Row],[up/U Selection Probability]] = 0, "Zero", TEXT(SamplingData[[#This Row],[Lower Range]], REPT("0",LEN('General Info'!$B$42))) &amp; " - " &amp; TEXT(SamplingData[[#This Row],[Upper Range]], REPT("0",LEN('General Info'!$B$42))))</f>
        <v>023176 - 024227</v>
      </c>
      <c r="AF25" s="94">
        <f>SamplingData[[#This Row],[Upper Range]]-SamplingData[[#This Row],[Span]]</f>
        <v>23175.918857018245</v>
      </c>
      <c r="AG25" s="94">
        <f>IF(ISNUMBER('General Info'!$B$42), ((SamplingData[[#This Row],[up/U Selection Probability]]) * 'General Info'!$B$44) - 1, 0)</f>
        <v>1051.0049441960241</v>
      </c>
      <c r="AH25" s="94">
        <f>IF(ISNUMBER('General Info'!$B$42), (SamplingData[[#This Row],[Running (cumulative) sum]] * ('General Info'!$B$42 -'General Info'!$B$43 + 1)) + 'General Info'!$B$43 - 1, 0)</f>
        <v>24226.92380121427</v>
      </c>
      <c r="AI25" s="94" t="str">
        <f>IF(ISERROR(MATCH(SamplingData[[#This Row],[Batch by Type (p)]],SelectedPrecincts[Batch Name], 0)), "", INDEX(SelectedPrecincts[Draw], MATCH(SamplingData[[#This Row],[Batch by Type (p)]],SelectedPrecincts[Batch Name], 0)))</f>
        <v/>
      </c>
      <c r="AJ25" s="95">
        <f>IF(COUNTIF(SelectedPrecincts[Batch Name],SamplingData[[#This Row],[Batch by Type (p)]]) &lt;&gt; 0, COUNTIF(SelectedPrecincts[Batch Name],SamplingData[[#This Row],[Batch by Type (p)]]), 0)</f>
        <v>0</v>
      </c>
    </row>
    <row r="26" spans="1:36" ht="15" customHeight="1" x14ac:dyDescent="0.35">
      <c r="A26" s="97" t="s">
        <v>239</v>
      </c>
      <c r="B26" s="97">
        <v>332</v>
      </c>
      <c r="C26" s="97">
        <v>93</v>
      </c>
      <c r="D26" s="92"/>
      <c r="E26" s="92"/>
      <c r="F26" s="92"/>
      <c r="G26" s="96"/>
      <c r="H26" s="96"/>
      <c r="I26" s="92"/>
      <c r="J26" s="92"/>
      <c r="K26" s="92"/>
      <c r="L26" s="92"/>
      <c r="M26" s="92"/>
      <c r="N26" s="97">
        <v>0</v>
      </c>
      <c r="O26" s="97">
        <v>17</v>
      </c>
      <c r="P26" s="93">
        <f>SUM(SamplingData[[#This Row],[Winning Candidate]:[Under Votes]])</f>
        <v>442</v>
      </c>
      <c r="Q26" s="94">
        <f>IF(AND(SamplingData[[#This Row],[Total]]&lt;&gt; 0, NOT(ISBLANK(SamplingData[[#This Row],[Losing Candidate]]))),(SamplingData[[#This Row],[Total]]+SamplingData[[#This Row],[Winning Candidate]]-SamplingData[[#This Row],[Losing Candidate]])/(SamplingData[[#Totals],[Winning Candidate]]-SamplingData[[#Totals],[Losing Candidate]]), 0)</f>
        <v>2.8900016975046683E-2</v>
      </c>
      <c r="R26" s="94">
        <f>IF(AND(SamplingData[[#This Row],[Total]]&lt;&gt; 0, NOT(ISBLANK(SamplingData[[#This Row],[Candidate 3]]))),(SamplingData[[#This Row],[Total]]+SamplingData[[#This Row],[Winning Candidate]]-SamplingData[[#This Row],[Candidate 3]])/(SamplingData[[#Totals],[Winning Candidate]]-SamplingData[[#Totals],[Candidate 3]]), 0)</f>
        <v>0</v>
      </c>
      <c r="S26" s="94">
        <f>IF(AND(SamplingData[[#This Row],[Total]]&lt;&gt; 0, NOT(ISBLANK(SamplingData[[#This Row],[Candidate 4]]))),(SamplingData[[#This Row],[Total]]+SamplingData[[#This Row],[Winning Candidate]]-SamplingData[[#This Row],[Candidate 4]])/(SamplingData[[#Totals],[Winning Candidate]]-SamplingData[[#Totals],[Candidate 4]]), 0)</f>
        <v>0</v>
      </c>
      <c r="T26" s="94">
        <f>IF(AND(SamplingData[[#This Row],[Total]]&lt;&gt; 0, NOT(ISBLANK(SamplingData[[#This Row],[Candidate 5]]))),(SamplingData[[#This Row],[Total]]+SamplingData[[#This Row],[Winning Candidate]]-SamplingData[[#This Row],[Candidate 5]])/(SamplingData[[#Totals],[Winning Candidate]]-SamplingData[[#Totals],[Candidate 5]]), 0)</f>
        <v>0</v>
      </c>
      <c r="U26" s="94">
        <f>IF(AND(SamplingData[[#This Row],[Total]]&lt;&gt; 0, NOT(ISBLANK(SamplingData[[#This Row],[Candidate 6]]))),(SamplingData[[#This Row],[Total]]+SamplingData[[#This Row],[Losing Candidate]]-SamplingData[[#This Row],[Candidate 6]])/(SamplingData[[#Totals],[Winning Candidate]]-SamplingData[[#Totals],[Candidate 6]]), 0)</f>
        <v>0</v>
      </c>
      <c r="V26" s="94">
        <f>IF(AND(SamplingData[[#This Row],[Total]]&lt;&gt; 0, NOT(ISBLANK(SamplingData[[#This Row],[Candidate 7]]))),(SamplingData[[#This Row],[Total]]+SamplingData[[#This Row],[Winning Candidate]]-SamplingData[[#This Row],[Candidate 7]])/(SamplingData[[#Totals],[Winning Candidate]]-SamplingData[[#Totals],[Candidate 7]]), 0)</f>
        <v>0</v>
      </c>
      <c r="W26" s="94">
        <f>IF(AND(SamplingData[[#This Row],[Total]]&lt;&gt; 0, NOT(ISBLANK(SamplingData[[#This Row],[Candidate 8]]))),(SamplingData[[#This Row],[Total]]+SamplingData[[#This Row],[Winning Candidate]]-SamplingData[[#This Row],[Candidate 8]])/(SamplingData[[#Totals],[Winning Candidate]]-SamplingData[[#Totals],[Candidate 8]]), 0)</f>
        <v>0</v>
      </c>
      <c r="X26"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 s="94">
        <f>MAX(SamplingData[[#This Row],[Error Bound (up) - Max. possible relative overstatement - Losing Candidate]:[Error Bound (up) - Max. possible relative overstatement - Candidate 12]])</f>
        <v>2.8900016975046683E-2</v>
      </c>
      <c r="AC26" s="94">
        <f>IF(SamplingData[[#This Row],[Max Error Bound (up)]] = 0,0,SamplingData[[#This Row],[Max Error Bound (up)]]/SamplingData[[#Totals],[Max Error Bound (up)]])</f>
        <v>1.5473334060421005E-3</v>
      </c>
      <c r="AD26" s="17">
        <f>SUM($AC$5:AC26)</f>
        <v>2.5775257207256371E-2</v>
      </c>
      <c r="AE26" s="94" t="str">
        <f t="array" ref="AE26">IF(SamplingData[[#This Row],[up/U Selection Probability]] = 0, "Zero", TEXT(SamplingData[[#This Row],[Lower Range]], REPT("0",LEN('General Info'!$B$42))) &amp; " - " &amp; TEXT(SamplingData[[#This Row],[Upper Range]], REPT("0",LEN('General Info'!$B$42))))</f>
        <v>024228 - 025774</v>
      </c>
      <c r="AF26" s="94">
        <f>SamplingData[[#This Row],[Upper Range]]-SamplingData[[#This Row],[Span]]</f>
        <v>24227.92380121427</v>
      </c>
      <c r="AG26" s="94">
        <f>IF(ISNUMBER('General Info'!$B$42), ((SamplingData[[#This Row],[up/U Selection Probability]]) * 'General Info'!$B$44) - 1, 0)</f>
        <v>1546.3334060421005</v>
      </c>
      <c r="AH26" s="94">
        <f>IF(ISNUMBER('General Info'!$B$42), (SamplingData[[#This Row],[Running (cumulative) sum]] * ('General Info'!$B$42 -'General Info'!$B$43 + 1)) + 'General Info'!$B$43 - 1, 0)</f>
        <v>25774.257207256371</v>
      </c>
      <c r="AI26" s="94" t="str">
        <f>IF(ISERROR(MATCH(SamplingData[[#This Row],[Batch by Type (p)]],SelectedPrecincts[Batch Name], 0)), "", INDEX(SelectedPrecincts[Draw], MATCH(SamplingData[[#This Row],[Batch by Type (p)]],SelectedPrecincts[Batch Name], 0)))</f>
        <v/>
      </c>
      <c r="AJ26" s="95">
        <f>IF(COUNTIF(SelectedPrecincts[Batch Name],SamplingData[[#This Row],[Batch by Type (p)]]) &lt;&gt; 0, COUNTIF(SelectedPrecincts[Batch Name],SamplingData[[#This Row],[Batch by Type (p)]]), 0)</f>
        <v>0</v>
      </c>
    </row>
    <row r="27" spans="1:36" ht="15" customHeight="1" x14ac:dyDescent="0.35">
      <c r="A27" s="97" t="s">
        <v>240</v>
      </c>
      <c r="B27" s="97">
        <v>308</v>
      </c>
      <c r="C27" s="97">
        <v>116</v>
      </c>
      <c r="D27" s="92"/>
      <c r="E27" s="92"/>
      <c r="F27" s="92"/>
      <c r="G27" s="96"/>
      <c r="H27" s="96"/>
      <c r="I27" s="92"/>
      <c r="J27" s="92"/>
      <c r="K27" s="92"/>
      <c r="L27" s="92"/>
      <c r="M27" s="92"/>
      <c r="N27" s="97">
        <v>0</v>
      </c>
      <c r="O27" s="97">
        <v>26</v>
      </c>
      <c r="P27" s="93">
        <f>SUM(SamplingData[[#This Row],[Winning Candidate]:[Under Votes]])</f>
        <v>450</v>
      </c>
      <c r="Q27" s="94">
        <f>IF(AND(SamplingData[[#This Row],[Total]]&lt;&gt; 0, NOT(ISBLANK(SamplingData[[#This Row],[Losing Candidate]]))),(SamplingData[[#This Row],[Total]]+SamplingData[[#This Row],[Winning Candidate]]-SamplingData[[#This Row],[Losing Candidate]])/(SamplingData[[#Totals],[Winning Candidate]]-SamplingData[[#Totals],[Losing Candidate]]), 0)</f>
        <v>2.7244949923612288E-2</v>
      </c>
      <c r="R27" s="94">
        <f>IF(AND(SamplingData[[#This Row],[Total]]&lt;&gt; 0, NOT(ISBLANK(SamplingData[[#This Row],[Candidate 3]]))),(SamplingData[[#This Row],[Total]]+SamplingData[[#This Row],[Winning Candidate]]-SamplingData[[#This Row],[Candidate 3]])/(SamplingData[[#Totals],[Winning Candidate]]-SamplingData[[#Totals],[Candidate 3]]), 0)</f>
        <v>0</v>
      </c>
      <c r="S27" s="94">
        <f>IF(AND(SamplingData[[#This Row],[Total]]&lt;&gt; 0, NOT(ISBLANK(SamplingData[[#This Row],[Candidate 4]]))),(SamplingData[[#This Row],[Total]]+SamplingData[[#This Row],[Winning Candidate]]-SamplingData[[#This Row],[Candidate 4]])/(SamplingData[[#Totals],[Winning Candidate]]-SamplingData[[#Totals],[Candidate 4]]), 0)</f>
        <v>0</v>
      </c>
      <c r="T27" s="94">
        <f>IF(AND(SamplingData[[#This Row],[Total]]&lt;&gt; 0, NOT(ISBLANK(SamplingData[[#This Row],[Candidate 5]]))),(SamplingData[[#This Row],[Total]]+SamplingData[[#This Row],[Winning Candidate]]-SamplingData[[#This Row],[Candidate 5]])/(SamplingData[[#Totals],[Winning Candidate]]-SamplingData[[#Totals],[Candidate 5]]), 0)</f>
        <v>0</v>
      </c>
      <c r="U27" s="94">
        <f>IF(AND(SamplingData[[#This Row],[Total]]&lt;&gt; 0, NOT(ISBLANK(SamplingData[[#This Row],[Candidate 6]]))),(SamplingData[[#This Row],[Total]]+SamplingData[[#This Row],[Losing Candidate]]-SamplingData[[#This Row],[Candidate 6]])/(SamplingData[[#Totals],[Winning Candidate]]-SamplingData[[#Totals],[Candidate 6]]), 0)</f>
        <v>0</v>
      </c>
      <c r="V27" s="94">
        <f>IF(AND(SamplingData[[#This Row],[Total]]&lt;&gt; 0, NOT(ISBLANK(SamplingData[[#This Row],[Candidate 7]]))),(SamplingData[[#This Row],[Total]]+SamplingData[[#This Row],[Winning Candidate]]-SamplingData[[#This Row],[Candidate 7]])/(SamplingData[[#Totals],[Winning Candidate]]-SamplingData[[#Totals],[Candidate 7]]), 0)</f>
        <v>0</v>
      </c>
      <c r="W27" s="94">
        <f>IF(AND(SamplingData[[#This Row],[Total]]&lt;&gt; 0, NOT(ISBLANK(SamplingData[[#This Row],[Candidate 8]]))),(SamplingData[[#This Row],[Total]]+SamplingData[[#This Row],[Winning Candidate]]-SamplingData[[#This Row],[Candidate 8]])/(SamplingData[[#Totals],[Winning Candidate]]-SamplingData[[#Totals],[Candidate 8]]), 0)</f>
        <v>0</v>
      </c>
      <c r="X27"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 s="94">
        <f>MAX(SamplingData[[#This Row],[Error Bound (up) - Max. possible relative overstatement - Losing Candidate]:[Error Bound (up) - Max. possible relative overstatement - Candidate 12]])</f>
        <v>2.7244949923612288E-2</v>
      </c>
      <c r="AC27" s="94">
        <f>IF(SamplingData[[#This Row],[Max Error Bound (up)]] = 0,0,SamplingData[[#This Row],[Max Error Bound (up)]]/SamplingData[[#Totals],[Max Error Bound (up)]])</f>
        <v>1.4587195986476187E-3</v>
      </c>
      <c r="AD27" s="17">
        <f>SUM($AC$5:AC27)</f>
        <v>2.7233976805903989E-2</v>
      </c>
      <c r="AE27" s="94" t="str">
        <f t="array" ref="AE27">IF(SamplingData[[#This Row],[up/U Selection Probability]] = 0, "Zero", TEXT(SamplingData[[#This Row],[Lower Range]], REPT("0",LEN('General Info'!$B$42))) &amp; " - " &amp; TEXT(SamplingData[[#This Row],[Upper Range]], REPT("0",LEN('General Info'!$B$42))))</f>
        <v>025775 - 027233</v>
      </c>
      <c r="AF27" s="94">
        <f>SamplingData[[#This Row],[Upper Range]]-SamplingData[[#This Row],[Span]]</f>
        <v>25775.257207256371</v>
      </c>
      <c r="AG27" s="94">
        <f>IF(ISNUMBER('General Info'!$B$42), ((SamplingData[[#This Row],[up/U Selection Probability]]) * 'General Info'!$B$44) - 1, 0)</f>
        <v>1457.7195986476188</v>
      </c>
      <c r="AH27" s="94">
        <f>IF(ISNUMBER('General Info'!$B$42), (SamplingData[[#This Row],[Running (cumulative) sum]] * ('General Info'!$B$42 -'General Info'!$B$43 + 1)) + 'General Info'!$B$43 - 1, 0)</f>
        <v>27232.976805903989</v>
      </c>
      <c r="AI27" s="94" t="str">
        <f>IF(ISERROR(MATCH(SamplingData[[#This Row],[Batch by Type (p)]],SelectedPrecincts[Batch Name], 0)), "", INDEX(SelectedPrecincts[Draw], MATCH(SamplingData[[#This Row],[Batch by Type (p)]],SelectedPrecincts[Batch Name], 0)))</f>
        <v/>
      </c>
      <c r="AJ27" s="95">
        <f>IF(COUNTIF(SelectedPrecincts[Batch Name],SamplingData[[#This Row],[Batch by Type (p)]]) &lt;&gt; 0, COUNTIF(SelectedPrecincts[Batch Name],SamplingData[[#This Row],[Batch by Type (p)]]), 0)</f>
        <v>0</v>
      </c>
    </row>
    <row r="28" spans="1:36" ht="15" customHeight="1" x14ac:dyDescent="0.35">
      <c r="A28" s="97" t="s">
        <v>241</v>
      </c>
      <c r="B28" s="97">
        <v>381</v>
      </c>
      <c r="C28" s="97">
        <v>135</v>
      </c>
      <c r="D28" s="92"/>
      <c r="E28" s="92"/>
      <c r="F28" s="92"/>
      <c r="G28" s="96"/>
      <c r="H28" s="96"/>
      <c r="I28" s="92"/>
      <c r="J28" s="92"/>
      <c r="K28" s="92"/>
      <c r="L28" s="92"/>
      <c r="M28" s="92"/>
      <c r="N28" s="97">
        <v>0</v>
      </c>
      <c r="O28" s="97">
        <v>25</v>
      </c>
      <c r="P28" s="93">
        <f>SUM(SamplingData[[#This Row],[Winning Candidate]:[Under Votes]])</f>
        <v>541</v>
      </c>
      <c r="Q28" s="94">
        <f>IF(AND(SamplingData[[#This Row],[Total]]&lt;&gt; 0, NOT(ISBLANK(SamplingData[[#This Row],[Losing Candidate]]))),(SamplingData[[#This Row],[Total]]+SamplingData[[#This Row],[Winning Candidate]]-SamplingData[[#This Row],[Losing Candidate]])/(SamplingData[[#Totals],[Winning Candidate]]-SamplingData[[#Totals],[Losing Candidate]]), 0)</f>
        <v>3.3398404345611948E-2</v>
      </c>
      <c r="R28" s="94">
        <f>IF(AND(SamplingData[[#This Row],[Total]]&lt;&gt; 0, NOT(ISBLANK(SamplingData[[#This Row],[Candidate 3]]))),(SamplingData[[#This Row],[Total]]+SamplingData[[#This Row],[Winning Candidate]]-SamplingData[[#This Row],[Candidate 3]])/(SamplingData[[#Totals],[Winning Candidate]]-SamplingData[[#Totals],[Candidate 3]]), 0)</f>
        <v>0</v>
      </c>
      <c r="S28" s="94">
        <f>IF(AND(SamplingData[[#This Row],[Total]]&lt;&gt; 0, NOT(ISBLANK(SamplingData[[#This Row],[Candidate 4]]))),(SamplingData[[#This Row],[Total]]+SamplingData[[#This Row],[Winning Candidate]]-SamplingData[[#This Row],[Candidate 4]])/(SamplingData[[#Totals],[Winning Candidate]]-SamplingData[[#Totals],[Candidate 4]]), 0)</f>
        <v>0</v>
      </c>
      <c r="T28" s="94">
        <f>IF(AND(SamplingData[[#This Row],[Total]]&lt;&gt; 0, NOT(ISBLANK(SamplingData[[#This Row],[Candidate 5]]))),(SamplingData[[#This Row],[Total]]+SamplingData[[#This Row],[Winning Candidate]]-SamplingData[[#This Row],[Candidate 5]])/(SamplingData[[#Totals],[Winning Candidate]]-SamplingData[[#Totals],[Candidate 5]]), 0)</f>
        <v>0</v>
      </c>
      <c r="U28" s="94">
        <f>IF(AND(SamplingData[[#This Row],[Total]]&lt;&gt; 0, NOT(ISBLANK(SamplingData[[#This Row],[Candidate 6]]))),(SamplingData[[#This Row],[Total]]+SamplingData[[#This Row],[Losing Candidate]]-SamplingData[[#This Row],[Candidate 6]])/(SamplingData[[#Totals],[Winning Candidate]]-SamplingData[[#Totals],[Candidate 6]]), 0)</f>
        <v>0</v>
      </c>
      <c r="V28" s="94">
        <f>IF(AND(SamplingData[[#This Row],[Total]]&lt;&gt; 0, NOT(ISBLANK(SamplingData[[#This Row],[Candidate 7]]))),(SamplingData[[#This Row],[Total]]+SamplingData[[#This Row],[Winning Candidate]]-SamplingData[[#This Row],[Candidate 7]])/(SamplingData[[#Totals],[Winning Candidate]]-SamplingData[[#Totals],[Candidate 7]]), 0)</f>
        <v>0</v>
      </c>
      <c r="W28" s="94">
        <f>IF(AND(SamplingData[[#This Row],[Total]]&lt;&gt; 0, NOT(ISBLANK(SamplingData[[#This Row],[Candidate 8]]))),(SamplingData[[#This Row],[Total]]+SamplingData[[#This Row],[Winning Candidate]]-SamplingData[[#This Row],[Candidate 8]])/(SamplingData[[#Totals],[Winning Candidate]]-SamplingData[[#Totals],[Candidate 8]]), 0)</f>
        <v>0</v>
      </c>
      <c r="X28"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 s="94">
        <f>MAX(SamplingData[[#This Row],[Error Bound (up) - Max. possible relative overstatement - Losing Candidate]:[Error Bound (up) - Max. possible relative overstatement - Candidate 12]])</f>
        <v>3.3398404345611948E-2</v>
      </c>
      <c r="AC28" s="94">
        <f>IF(SamplingData[[#This Row],[Max Error Bound (up)]] = 0,0,SamplingData[[#This Row],[Max Error Bound (up)]]/SamplingData[[#Totals],[Max Error Bound (up)]])</f>
        <v>1.7881811902424858E-3</v>
      </c>
      <c r="AD28" s="17">
        <f>SUM($AC$5:AC28)</f>
        <v>2.9022157996146474E-2</v>
      </c>
      <c r="AE28" s="94" t="str">
        <f t="array" ref="AE28">IF(SamplingData[[#This Row],[up/U Selection Probability]] = 0, "Zero", TEXT(SamplingData[[#This Row],[Lower Range]], REPT("0",LEN('General Info'!$B$42))) &amp; " - " &amp; TEXT(SamplingData[[#This Row],[Upper Range]], REPT("0",LEN('General Info'!$B$42))))</f>
        <v>027234 - 029021</v>
      </c>
      <c r="AF28" s="94">
        <f>SamplingData[[#This Row],[Upper Range]]-SamplingData[[#This Row],[Span]]</f>
        <v>27233.976805903989</v>
      </c>
      <c r="AG28" s="94">
        <f>IF(ISNUMBER('General Info'!$B$42), ((SamplingData[[#This Row],[up/U Selection Probability]]) * 'General Info'!$B$44) - 1, 0)</f>
        <v>1787.1811902424859</v>
      </c>
      <c r="AH28" s="94">
        <f>IF(ISNUMBER('General Info'!$B$42), (SamplingData[[#This Row],[Running (cumulative) sum]] * ('General Info'!$B$42 -'General Info'!$B$43 + 1)) + 'General Info'!$B$43 - 1, 0)</f>
        <v>29021.157996146474</v>
      </c>
      <c r="AI28" s="94">
        <f>IF(ISERROR(MATCH(SamplingData[[#This Row],[Batch by Type (p)]],SelectedPrecincts[Batch Name], 0)), "", INDEX(SelectedPrecincts[Draw], MATCH(SamplingData[[#This Row],[Batch by Type (p)]],SelectedPrecincts[Batch Name], 0)))</f>
        <v>40</v>
      </c>
      <c r="AJ28" s="95">
        <f>IF(COUNTIF(SelectedPrecincts[Batch Name],SamplingData[[#This Row],[Batch by Type (p)]]) &lt;&gt; 0, COUNTIF(SelectedPrecincts[Batch Name],SamplingData[[#This Row],[Batch by Type (p)]]), 0)</f>
        <v>1</v>
      </c>
    </row>
    <row r="29" spans="1:36" ht="15" customHeight="1" x14ac:dyDescent="0.35">
      <c r="A29" s="97" t="s">
        <v>242</v>
      </c>
      <c r="B29" s="97">
        <v>281</v>
      </c>
      <c r="C29" s="97">
        <v>22</v>
      </c>
      <c r="D29" s="92"/>
      <c r="E29" s="92"/>
      <c r="F29" s="92"/>
      <c r="G29" s="96"/>
      <c r="H29" s="96"/>
      <c r="I29" s="92"/>
      <c r="J29" s="92"/>
      <c r="K29" s="92"/>
      <c r="L29" s="92"/>
      <c r="M29" s="92"/>
      <c r="N29" s="97">
        <v>0</v>
      </c>
      <c r="O29" s="97">
        <v>15</v>
      </c>
      <c r="P29" s="93">
        <f>SUM(SamplingData[[#This Row],[Winning Candidate]:[Under Votes]])</f>
        <v>318</v>
      </c>
      <c r="Q29" s="94">
        <f>IF(AND(SamplingData[[#This Row],[Total]]&lt;&gt; 0, NOT(ISBLANK(SamplingData[[#This Row],[Losing Candidate]]))),(SamplingData[[#This Row],[Total]]+SamplingData[[#This Row],[Winning Candidate]]-SamplingData[[#This Row],[Losing Candidate]])/(SamplingData[[#Totals],[Winning Candidate]]-SamplingData[[#Totals],[Losing Candidate]]), 0)</f>
        <v>2.4486504837888303E-2</v>
      </c>
      <c r="R29" s="94">
        <f>IF(AND(SamplingData[[#This Row],[Total]]&lt;&gt; 0, NOT(ISBLANK(SamplingData[[#This Row],[Candidate 3]]))),(SamplingData[[#This Row],[Total]]+SamplingData[[#This Row],[Winning Candidate]]-SamplingData[[#This Row],[Candidate 3]])/(SamplingData[[#Totals],[Winning Candidate]]-SamplingData[[#Totals],[Candidate 3]]), 0)</f>
        <v>0</v>
      </c>
      <c r="S29" s="94">
        <f>IF(AND(SamplingData[[#This Row],[Total]]&lt;&gt; 0, NOT(ISBLANK(SamplingData[[#This Row],[Candidate 4]]))),(SamplingData[[#This Row],[Total]]+SamplingData[[#This Row],[Winning Candidate]]-SamplingData[[#This Row],[Candidate 4]])/(SamplingData[[#Totals],[Winning Candidate]]-SamplingData[[#Totals],[Candidate 4]]), 0)</f>
        <v>0</v>
      </c>
      <c r="T29" s="94">
        <f>IF(AND(SamplingData[[#This Row],[Total]]&lt;&gt; 0, NOT(ISBLANK(SamplingData[[#This Row],[Candidate 5]]))),(SamplingData[[#This Row],[Total]]+SamplingData[[#This Row],[Winning Candidate]]-SamplingData[[#This Row],[Candidate 5]])/(SamplingData[[#Totals],[Winning Candidate]]-SamplingData[[#Totals],[Candidate 5]]), 0)</f>
        <v>0</v>
      </c>
      <c r="U29" s="94">
        <f>IF(AND(SamplingData[[#This Row],[Total]]&lt;&gt; 0, NOT(ISBLANK(SamplingData[[#This Row],[Candidate 6]]))),(SamplingData[[#This Row],[Total]]+SamplingData[[#This Row],[Losing Candidate]]-SamplingData[[#This Row],[Candidate 6]])/(SamplingData[[#Totals],[Winning Candidate]]-SamplingData[[#Totals],[Candidate 6]]), 0)</f>
        <v>0</v>
      </c>
      <c r="V29" s="94">
        <f>IF(AND(SamplingData[[#This Row],[Total]]&lt;&gt; 0, NOT(ISBLANK(SamplingData[[#This Row],[Candidate 7]]))),(SamplingData[[#This Row],[Total]]+SamplingData[[#This Row],[Winning Candidate]]-SamplingData[[#This Row],[Candidate 7]])/(SamplingData[[#Totals],[Winning Candidate]]-SamplingData[[#Totals],[Candidate 7]]), 0)</f>
        <v>0</v>
      </c>
      <c r="W29" s="94">
        <f>IF(AND(SamplingData[[#This Row],[Total]]&lt;&gt; 0, NOT(ISBLANK(SamplingData[[#This Row],[Candidate 8]]))),(SamplingData[[#This Row],[Total]]+SamplingData[[#This Row],[Winning Candidate]]-SamplingData[[#This Row],[Candidate 8]])/(SamplingData[[#Totals],[Winning Candidate]]-SamplingData[[#Totals],[Candidate 8]]), 0)</f>
        <v>0</v>
      </c>
      <c r="X29"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 s="94">
        <f>MAX(SamplingData[[#This Row],[Error Bound (up) - Max. possible relative overstatement - Losing Candidate]:[Error Bound (up) - Max. possible relative overstatement - Candidate 12]])</f>
        <v>2.4486504837888303E-2</v>
      </c>
      <c r="AC29" s="94">
        <f>IF(SamplingData[[#This Row],[Max Error Bound (up)]] = 0,0,SamplingData[[#This Row],[Max Error Bound (up)]]/SamplingData[[#Totals],[Max Error Bound (up)]])</f>
        <v>1.3110299196568162E-3</v>
      </c>
      <c r="AD29" s="17">
        <f>SUM($AC$5:AC29)</f>
        <v>3.0333187915803292E-2</v>
      </c>
      <c r="AE29" s="94" t="str">
        <f t="array" ref="AE29">IF(SamplingData[[#This Row],[up/U Selection Probability]] = 0, "Zero", TEXT(SamplingData[[#This Row],[Lower Range]], REPT("0",LEN('General Info'!$B$42))) &amp; " - " &amp; TEXT(SamplingData[[#This Row],[Upper Range]], REPT("0",LEN('General Info'!$B$42))))</f>
        <v>029022 - 030332</v>
      </c>
      <c r="AF29" s="94">
        <f>SamplingData[[#This Row],[Upper Range]]-SamplingData[[#This Row],[Span]]</f>
        <v>29022.157996146478</v>
      </c>
      <c r="AG29" s="94">
        <f>IF(ISNUMBER('General Info'!$B$42), ((SamplingData[[#This Row],[up/U Selection Probability]]) * 'General Info'!$B$44) - 1, 0)</f>
        <v>1310.0299196568162</v>
      </c>
      <c r="AH29" s="94">
        <f>IF(ISNUMBER('General Info'!$B$42), (SamplingData[[#This Row],[Running (cumulative) sum]] * ('General Info'!$B$42 -'General Info'!$B$43 + 1)) + 'General Info'!$B$43 - 1, 0)</f>
        <v>30332.187915803293</v>
      </c>
      <c r="AI29" s="94" t="str">
        <f>IF(ISERROR(MATCH(SamplingData[[#This Row],[Batch by Type (p)]],SelectedPrecincts[Batch Name], 0)), "", INDEX(SelectedPrecincts[Draw], MATCH(SamplingData[[#This Row],[Batch by Type (p)]],SelectedPrecincts[Batch Name], 0)))</f>
        <v/>
      </c>
      <c r="AJ29" s="95">
        <f>IF(COUNTIF(SelectedPrecincts[Batch Name],SamplingData[[#This Row],[Batch by Type (p)]]) &lt;&gt; 0, COUNTIF(SelectedPrecincts[Batch Name],SamplingData[[#This Row],[Batch by Type (p)]]), 0)</f>
        <v>0</v>
      </c>
    </row>
    <row r="30" spans="1:36" ht="15" customHeight="1" x14ac:dyDescent="0.35">
      <c r="A30" s="97" t="s">
        <v>243</v>
      </c>
      <c r="B30" s="97">
        <v>250</v>
      </c>
      <c r="C30" s="97">
        <v>66</v>
      </c>
      <c r="D30" s="92"/>
      <c r="E30" s="92"/>
      <c r="F30" s="92"/>
      <c r="G30" s="96"/>
      <c r="H30" s="96"/>
      <c r="I30" s="92"/>
      <c r="J30" s="92"/>
      <c r="K30" s="92"/>
      <c r="L30" s="92"/>
      <c r="M30" s="92"/>
      <c r="N30" s="97">
        <v>0</v>
      </c>
      <c r="O30" s="97">
        <v>13</v>
      </c>
      <c r="P30" s="93">
        <f>SUM(SamplingData[[#This Row],[Winning Candidate]:[Under Votes]])</f>
        <v>329</v>
      </c>
      <c r="Q30" s="94">
        <f>IF(AND(SamplingData[[#This Row],[Total]]&lt;&gt; 0, NOT(ISBLANK(SamplingData[[#This Row],[Losing Candidate]]))),(SamplingData[[#This Row],[Total]]+SamplingData[[#This Row],[Winning Candidate]]-SamplingData[[#This Row],[Losing Candidate]])/(SamplingData[[#Totals],[Winning Candidate]]-SamplingData[[#Totals],[Losing Candidate]]), 0)</f>
        <v>2.1770497368867766E-2</v>
      </c>
      <c r="R30" s="94">
        <f>IF(AND(SamplingData[[#This Row],[Total]]&lt;&gt; 0, NOT(ISBLANK(SamplingData[[#This Row],[Candidate 3]]))),(SamplingData[[#This Row],[Total]]+SamplingData[[#This Row],[Winning Candidate]]-SamplingData[[#This Row],[Candidate 3]])/(SamplingData[[#Totals],[Winning Candidate]]-SamplingData[[#Totals],[Candidate 3]]), 0)</f>
        <v>0</v>
      </c>
      <c r="S30" s="94">
        <f>IF(AND(SamplingData[[#This Row],[Total]]&lt;&gt; 0, NOT(ISBLANK(SamplingData[[#This Row],[Candidate 4]]))),(SamplingData[[#This Row],[Total]]+SamplingData[[#This Row],[Winning Candidate]]-SamplingData[[#This Row],[Candidate 4]])/(SamplingData[[#Totals],[Winning Candidate]]-SamplingData[[#Totals],[Candidate 4]]), 0)</f>
        <v>0</v>
      </c>
      <c r="T30" s="94">
        <f>IF(AND(SamplingData[[#This Row],[Total]]&lt;&gt; 0, NOT(ISBLANK(SamplingData[[#This Row],[Candidate 5]]))),(SamplingData[[#This Row],[Total]]+SamplingData[[#This Row],[Winning Candidate]]-SamplingData[[#This Row],[Candidate 5]])/(SamplingData[[#Totals],[Winning Candidate]]-SamplingData[[#Totals],[Candidate 5]]), 0)</f>
        <v>0</v>
      </c>
      <c r="U30" s="94">
        <f>IF(AND(SamplingData[[#This Row],[Total]]&lt;&gt; 0, NOT(ISBLANK(SamplingData[[#This Row],[Candidate 6]]))),(SamplingData[[#This Row],[Total]]+SamplingData[[#This Row],[Losing Candidate]]-SamplingData[[#This Row],[Candidate 6]])/(SamplingData[[#Totals],[Winning Candidate]]-SamplingData[[#Totals],[Candidate 6]]), 0)</f>
        <v>0</v>
      </c>
      <c r="V30" s="94">
        <f>IF(AND(SamplingData[[#This Row],[Total]]&lt;&gt; 0, NOT(ISBLANK(SamplingData[[#This Row],[Candidate 7]]))),(SamplingData[[#This Row],[Total]]+SamplingData[[#This Row],[Winning Candidate]]-SamplingData[[#This Row],[Candidate 7]])/(SamplingData[[#Totals],[Winning Candidate]]-SamplingData[[#Totals],[Candidate 7]]), 0)</f>
        <v>0</v>
      </c>
      <c r="W30" s="94">
        <f>IF(AND(SamplingData[[#This Row],[Total]]&lt;&gt; 0, NOT(ISBLANK(SamplingData[[#This Row],[Candidate 8]]))),(SamplingData[[#This Row],[Total]]+SamplingData[[#This Row],[Winning Candidate]]-SamplingData[[#This Row],[Candidate 8]])/(SamplingData[[#Totals],[Winning Candidate]]-SamplingData[[#Totals],[Candidate 8]]), 0)</f>
        <v>0</v>
      </c>
      <c r="X30"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 s="94">
        <f>MAX(SamplingData[[#This Row],[Error Bound (up) - Max. possible relative overstatement - Losing Candidate]:[Error Bound (up) - Max. possible relative overstatement - Candidate 12]])</f>
        <v>2.1770497368867766E-2</v>
      </c>
      <c r="AC30" s="94">
        <f>IF(SamplingData[[#This Row],[Max Error Bound (up)]] = 0,0,SamplingData[[#This Row],[Max Error Bound (up)]]/SamplingData[[#Totals],[Max Error Bound (up)]])</f>
        <v>1.1656123895735647E-3</v>
      </c>
      <c r="AD30" s="17">
        <f>SUM($AC$5:AC30)</f>
        <v>3.1498800305376856E-2</v>
      </c>
      <c r="AE30" s="94" t="str">
        <f t="array" ref="AE30">IF(SamplingData[[#This Row],[up/U Selection Probability]] = 0, "Zero", TEXT(SamplingData[[#This Row],[Lower Range]], REPT("0",LEN('General Info'!$B$42))) &amp; " - " &amp; TEXT(SamplingData[[#This Row],[Upper Range]], REPT("0",LEN('General Info'!$B$42))))</f>
        <v>030333 - 031498</v>
      </c>
      <c r="AF30" s="94">
        <f>SamplingData[[#This Row],[Upper Range]]-SamplingData[[#This Row],[Span]]</f>
        <v>30333.18791580329</v>
      </c>
      <c r="AG30" s="94">
        <f>IF(ISNUMBER('General Info'!$B$42), ((SamplingData[[#This Row],[up/U Selection Probability]]) * 'General Info'!$B$44) - 1, 0)</f>
        <v>1164.6123895735648</v>
      </c>
      <c r="AH30" s="94">
        <f>IF(ISNUMBER('General Info'!$B$42), (SamplingData[[#This Row],[Running (cumulative) sum]] * ('General Info'!$B$42 -'General Info'!$B$43 + 1)) + 'General Info'!$B$43 - 1, 0)</f>
        <v>31497.800305376855</v>
      </c>
      <c r="AI30" s="94" t="str">
        <f>IF(ISERROR(MATCH(SamplingData[[#This Row],[Batch by Type (p)]],SelectedPrecincts[Batch Name], 0)), "", INDEX(SelectedPrecincts[Draw], MATCH(SamplingData[[#This Row],[Batch by Type (p)]],SelectedPrecincts[Batch Name], 0)))</f>
        <v/>
      </c>
      <c r="AJ30" s="95">
        <f>IF(COUNTIF(SelectedPrecincts[Batch Name],SamplingData[[#This Row],[Batch by Type (p)]]) &lt;&gt; 0, COUNTIF(SelectedPrecincts[Batch Name],SamplingData[[#This Row],[Batch by Type (p)]]), 0)</f>
        <v>0</v>
      </c>
    </row>
    <row r="31" spans="1:36" ht="15" customHeight="1" x14ac:dyDescent="0.35">
      <c r="A31" s="97" t="s">
        <v>244</v>
      </c>
      <c r="B31" s="97">
        <v>363</v>
      </c>
      <c r="C31" s="97">
        <v>162</v>
      </c>
      <c r="D31" s="92"/>
      <c r="E31" s="92"/>
      <c r="F31" s="92"/>
      <c r="G31" s="96"/>
      <c r="H31" s="96"/>
      <c r="I31" s="92"/>
      <c r="J31" s="92"/>
      <c r="K31" s="92"/>
      <c r="L31" s="92"/>
      <c r="M31" s="92"/>
      <c r="N31" s="97">
        <v>0</v>
      </c>
      <c r="O31" s="97">
        <v>36</v>
      </c>
      <c r="P31" s="93">
        <f>SUM(SamplingData[[#This Row],[Winning Candidate]:[Under Votes]])</f>
        <v>561</v>
      </c>
      <c r="Q31" s="94">
        <f>IF(AND(SamplingData[[#This Row],[Total]]&lt;&gt; 0, NOT(ISBLANK(SamplingData[[#This Row],[Losing Candidate]]))),(SamplingData[[#This Row],[Total]]+SamplingData[[#This Row],[Winning Candidate]]-SamplingData[[#This Row],[Losing Candidate]])/(SamplingData[[#Totals],[Winning Candidate]]-SamplingData[[#Totals],[Losing Candidate]]), 0)</f>
        <v>3.2337463928025799E-2</v>
      </c>
      <c r="R31" s="94">
        <f>IF(AND(SamplingData[[#This Row],[Total]]&lt;&gt; 0, NOT(ISBLANK(SamplingData[[#This Row],[Candidate 3]]))),(SamplingData[[#This Row],[Total]]+SamplingData[[#This Row],[Winning Candidate]]-SamplingData[[#This Row],[Candidate 3]])/(SamplingData[[#Totals],[Winning Candidate]]-SamplingData[[#Totals],[Candidate 3]]), 0)</f>
        <v>0</v>
      </c>
      <c r="S31" s="94">
        <f>IF(AND(SamplingData[[#This Row],[Total]]&lt;&gt; 0, NOT(ISBLANK(SamplingData[[#This Row],[Candidate 4]]))),(SamplingData[[#This Row],[Total]]+SamplingData[[#This Row],[Winning Candidate]]-SamplingData[[#This Row],[Candidate 4]])/(SamplingData[[#Totals],[Winning Candidate]]-SamplingData[[#Totals],[Candidate 4]]), 0)</f>
        <v>0</v>
      </c>
      <c r="T31" s="94">
        <f>IF(AND(SamplingData[[#This Row],[Total]]&lt;&gt; 0, NOT(ISBLANK(SamplingData[[#This Row],[Candidate 5]]))),(SamplingData[[#This Row],[Total]]+SamplingData[[#This Row],[Winning Candidate]]-SamplingData[[#This Row],[Candidate 5]])/(SamplingData[[#Totals],[Winning Candidate]]-SamplingData[[#Totals],[Candidate 5]]), 0)</f>
        <v>0</v>
      </c>
      <c r="U31" s="94">
        <f>IF(AND(SamplingData[[#This Row],[Total]]&lt;&gt; 0, NOT(ISBLANK(SamplingData[[#This Row],[Candidate 6]]))),(SamplingData[[#This Row],[Total]]+SamplingData[[#This Row],[Losing Candidate]]-SamplingData[[#This Row],[Candidate 6]])/(SamplingData[[#Totals],[Winning Candidate]]-SamplingData[[#Totals],[Candidate 6]]), 0)</f>
        <v>0</v>
      </c>
      <c r="V31" s="94">
        <f>IF(AND(SamplingData[[#This Row],[Total]]&lt;&gt; 0, NOT(ISBLANK(SamplingData[[#This Row],[Candidate 7]]))),(SamplingData[[#This Row],[Total]]+SamplingData[[#This Row],[Winning Candidate]]-SamplingData[[#This Row],[Candidate 7]])/(SamplingData[[#Totals],[Winning Candidate]]-SamplingData[[#Totals],[Candidate 7]]), 0)</f>
        <v>0</v>
      </c>
      <c r="W31" s="94">
        <f>IF(AND(SamplingData[[#This Row],[Total]]&lt;&gt; 0, NOT(ISBLANK(SamplingData[[#This Row],[Candidate 8]]))),(SamplingData[[#This Row],[Total]]+SamplingData[[#This Row],[Winning Candidate]]-SamplingData[[#This Row],[Candidate 8]])/(SamplingData[[#Totals],[Winning Candidate]]-SamplingData[[#Totals],[Candidate 8]]), 0)</f>
        <v>0</v>
      </c>
      <c r="X31"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 s="94">
        <f>MAX(SamplingData[[#This Row],[Error Bound (up) - Max. possible relative overstatement - Losing Candidate]:[Error Bound (up) - Max. possible relative overstatement - Candidate 12]])</f>
        <v>3.2337463928025799E-2</v>
      </c>
      <c r="AC31" s="94">
        <f>IF(SamplingData[[#This Row],[Max Error Bound (up)]] = 0,0,SamplingData[[#This Row],[Max Error Bound (up)]]/SamplingData[[#Totals],[Max Error Bound (up)]])</f>
        <v>1.7313774675537157E-3</v>
      </c>
      <c r="AD31" s="17">
        <f>SUM($AC$5:AC31)</f>
        <v>3.3230177772930573E-2</v>
      </c>
      <c r="AE31" s="94" t="str">
        <f t="array" ref="AE31">IF(SamplingData[[#This Row],[up/U Selection Probability]] = 0, "Zero", TEXT(SamplingData[[#This Row],[Lower Range]], REPT("0",LEN('General Info'!$B$42))) &amp; " - " &amp; TEXT(SamplingData[[#This Row],[Upper Range]], REPT("0",LEN('General Info'!$B$42))))</f>
        <v>031499 - 033229</v>
      </c>
      <c r="AF31" s="94">
        <f>SamplingData[[#This Row],[Upper Range]]-SamplingData[[#This Row],[Span]]</f>
        <v>31498.800305376859</v>
      </c>
      <c r="AG31" s="94">
        <f>IF(ISNUMBER('General Info'!$B$42), ((SamplingData[[#This Row],[up/U Selection Probability]]) * 'General Info'!$B$44) - 1, 0)</f>
        <v>1730.3774675537156</v>
      </c>
      <c r="AH31" s="94">
        <f>IF(ISNUMBER('General Info'!$B$42), (SamplingData[[#This Row],[Running (cumulative) sum]] * ('General Info'!$B$42 -'General Info'!$B$43 + 1)) + 'General Info'!$B$43 - 1, 0)</f>
        <v>33229.177772930576</v>
      </c>
      <c r="AI31" s="94" t="str">
        <f>IF(ISERROR(MATCH(SamplingData[[#This Row],[Batch by Type (p)]],SelectedPrecincts[Batch Name], 0)), "", INDEX(SelectedPrecincts[Draw], MATCH(SamplingData[[#This Row],[Batch by Type (p)]],SelectedPrecincts[Batch Name], 0)))</f>
        <v/>
      </c>
      <c r="AJ31" s="95">
        <f>IF(COUNTIF(SelectedPrecincts[Batch Name],SamplingData[[#This Row],[Batch by Type (p)]]) &lt;&gt; 0, COUNTIF(SelectedPrecincts[Batch Name],SamplingData[[#This Row],[Batch by Type (p)]]), 0)</f>
        <v>0</v>
      </c>
    </row>
    <row r="32" spans="1:36" ht="15" customHeight="1" x14ac:dyDescent="0.35">
      <c r="A32" s="97" t="s">
        <v>245</v>
      </c>
      <c r="B32" s="97">
        <v>303</v>
      </c>
      <c r="C32" s="97">
        <v>32</v>
      </c>
      <c r="D32" s="92"/>
      <c r="E32" s="92"/>
      <c r="F32" s="92"/>
      <c r="G32" s="96"/>
      <c r="H32" s="96"/>
      <c r="I32" s="92"/>
      <c r="J32" s="92"/>
      <c r="K32" s="92"/>
      <c r="L32" s="92"/>
      <c r="M32" s="92"/>
      <c r="N32" s="97">
        <v>1</v>
      </c>
      <c r="O32" s="97">
        <v>23</v>
      </c>
      <c r="P32" s="93">
        <f>SUM(SamplingData[[#This Row],[Winning Candidate]:[Under Votes]])</f>
        <v>359</v>
      </c>
      <c r="Q32" s="94">
        <f>IF(AND(SamplingData[[#This Row],[Total]]&lt;&gt; 0, NOT(ISBLANK(SamplingData[[#This Row],[Losing Candidate]]))),(SamplingData[[#This Row],[Total]]+SamplingData[[#This Row],[Winning Candidate]]-SamplingData[[#This Row],[Losing Candidate]])/(SamplingData[[#Totals],[Winning Candidate]]-SamplingData[[#Totals],[Losing Candidate]]), 0)</f>
        <v>2.6735698523170939E-2</v>
      </c>
      <c r="R32" s="94">
        <f>IF(AND(SamplingData[[#This Row],[Total]]&lt;&gt; 0, NOT(ISBLANK(SamplingData[[#This Row],[Candidate 3]]))),(SamplingData[[#This Row],[Total]]+SamplingData[[#This Row],[Winning Candidate]]-SamplingData[[#This Row],[Candidate 3]])/(SamplingData[[#Totals],[Winning Candidate]]-SamplingData[[#Totals],[Candidate 3]]), 0)</f>
        <v>0</v>
      </c>
      <c r="S32" s="94">
        <f>IF(AND(SamplingData[[#This Row],[Total]]&lt;&gt; 0, NOT(ISBLANK(SamplingData[[#This Row],[Candidate 4]]))),(SamplingData[[#This Row],[Total]]+SamplingData[[#This Row],[Winning Candidate]]-SamplingData[[#This Row],[Candidate 4]])/(SamplingData[[#Totals],[Winning Candidate]]-SamplingData[[#Totals],[Candidate 4]]), 0)</f>
        <v>0</v>
      </c>
      <c r="T32" s="94">
        <f>IF(AND(SamplingData[[#This Row],[Total]]&lt;&gt; 0, NOT(ISBLANK(SamplingData[[#This Row],[Candidate 5]]))),(SamplingData[[#This Row],[Total]]+SamplingData[[#This Row],[Winning Candidate]]-SamplingData[[#This Row],[Candidate 5]])/(SamplingData[[#Totals],[Winning Candidate]]-SamplingData[[#Totals],[Candidate 5]]), 0)</f>
        <v>0</v>
      </c>
      <c r="U32" s="94">
        <f>IF(AND(SamplingData[[#This Row],[Total]]&lt;&gt; 0, NOT(ISBLANK(SamplingData[[#This Row],[Candidate 6]]))),(SamplingData[[#This Row],[Total]]+SamplingData[[#This Row],[Losing Candidate]]-SamplingData[[#This Row],[Candidate 6]])/(SamplingData[[#Totals],[Winning Candidate]]-SamplingData[[#Totals],[Candidate 6]]), 0)</f>
        <v>0</v>
      </c>
      <c r="V32" s="94">
        <f>IF(AND(SamplingData[[#This Row],[Total]]&lt;&gt; 0, NOT(ISBLANK(SamplingData[[#This Row],[Candidate 7]]))),(SamplingData[[#This Row],[Total]]+SamplingData[[#This Row],[Winning Candidate]]-SamplingData[[#This Row],[Candidate 7]])/(SamplingData[[#Totals],[Winning Candidate]]-SamplingData[[#Totals],[Candidate 7]]), 0)</f>
        <v>0</v>
      </c>
      <c r="W32" s="94">
        <f>IF(AND(SamplingData[[#This Row],[Total]]&lt;&gt; 0, NOT(ISBLANK(SamplingData[[#This Row],[Candidate 8]]))),(SamplingData[[#This Row],[Total]]+SamplingData[[#This Row],[Winning Candidate]]-SamplingData[[#This Row],[Candidate 8]])/(SamplingData[[#Totals],[Winning Candidate]]-SamplingData[[#Totals],[Candidate 8]]), 0)</f>
        <v>0</v>
      </c>
      <c r="X32"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 s="94">
        <f>MAX(SamplingData[[#This Row],[Error Bound (up) - Max. possible relative overstatement - Losing Candidate]:[Error Bound (up) - Max. possible relative overstatement - Candidate 12]])</f>
        <v>2.6735698523170939E-2</v>
      </c>
      <c r="AC32" s="94">
        <f>IF(SamplingData[[#This Row],[Max Error Bound (up)]] = 0,0,SamplingData[[#This Row],[Max Error Bound (up)]]/SamplingData[[#Totals],[Max Error Bound (up)]])</f>
        <v>1.4314538117570091E-3</v>
      </c>
      <c r="AD32" s="17">
        <f>SUM($AC$5:AC32)</f>
        <v>3.4661631584687581E-2</v>
      </c>
      <c r="AE32" s="94" t="str">
        <f t="array" ref="AE32">IF(SamplingData[[#This Row],[up/U Selection Probability]] = 0, "Zero", TEXT(SamplingData[[#This Row],[Lower Range]], REPT("0",LEN('General Info'!$B$42))) &amp; " - " &amp; TEXT(SamplingData[[#This Row],[Upper Range]], REPT("0",LEN('General Info'!$B$42))))</f>
        <v>033230 - 034661</v>
      </c>
      <c r="AF32" s="94">
        <f>SamplingData[[#This Row],[Upper Range]]-SamplingData[[#This Row],[Span]]</f>
        <v>33230.177772930569</v>
      </c>
      <c r="AG32" s="94">
        <f>IF(ISNUMBER('General Info'!$B$42), ((SamplingData[[#This Row],[up/U Selection Probability]]) * 'General Info'!$B$44) - 1, 0)</f>
        <v>1430.4538117570091</v>
      </c>
      <c r="AH32" s="94">
        <f>IF(ISNUMBER('General Info'!$B$42), (SamplingData[[#This Row],[Running (cumulative) sum]] * ('General Info'!$B$42 -'General Info'!$B$43 + 1)) + 'General Info'!$B$43 - 1, 0)</f>
        <v>34660.63158468758</v>
      </c>
      <c r="AI32" s="94" t="str">
        <f>IF(ISERROR(MATCH(SamplingData[[#This Row],[Batch by Type (p)]],SelectedPrecincts[Batch Name], 0)), "", INDEX(SelectedPrecincts[Draw], MATCH(SamplingData[[#This Row],[Batch by Type (p)]],SelectedPrecincts[Batch Name], 0)))</f>
        <v/>
      </c>
      <c r="AJ32" s="95">
        <f>IF(COUNTIF(SelectedPrecincts[Batch Name],SamplingData[[#This Row],[Batch by Type (p)]]) &lt;&gt; 0, COUNTIF(SelectedPrecincts[Batch Name],SamplingData[[#This Row],[Batch by Type (p)]]), 0)</f>
        <v>0</v>
      </c>
    </row>
    <row r="33" spans="1:36" ht="15" customHeight="1" x14ac:dyDescent="0.35">
      <c r="A33" s="97" t="s">
        <v>246</v>
      </c>
      <c r="B33" s="97">
        <v>301</v>
      </c>
      <c r="C33" s="97">
        <v>29</v>
      </c>
      <c r="D33" s="92"/>
      <c r="E33" s="92"/>
      <c r="F33" s="92"/>
      <c r="G33" s="96"/>
      <c r="H33" s="96"/>
      <c r="I33" s="92"/>
      <c r="J33" s="92"/>
      <c r="K33" s="92"/>
      <c r="L33" s="92"/>
      <c r="M33" s="92"/>
      <c r="N33" s="97">
        <v>0</v>
      </c>
      <c r="O33" s="97">
        <v>23</v>
      </c>
      <c r="P33" s="98">
        <f>SUM(SamplingData[[#This Row],[Winning Candidate]:[Under Votes]])</f>
        <v>353</v>
      </c>
      <c r="Q33" s="99">
        <f>IF(AND(SamplingData[[#This Row],[Total]]&lt;&gt; 0, NOT(ISBLANK(SamplingData[[#This Row],[Losing Candidate]]))),(SamplingData[[#This Row],[Total]]+SamplingData[[#This Row],[Winning Candidate]]-SamplingData[[#This Row],[Losing Candidate]])/(SamplingData[[#Totals],[Winning Candidate]]-SamplingData[[#Totals],[Losing Candidate]]), 0)</f>
        <v>2.6523510439653709E-2</v>
      </c>
      <c r="R33" s="99">
        <f>IF(AND(SamplingData[[#This Row],[Total]]&lt;&gt; 0, NOT(ISBLANK(SamplingData[[#This Row],[Candidate 3]]))),(SamplingData[[#This Row],[Total]]+SamplingData[[#This Row],[Winning Candidate]]-SamplingData[[#This Row],[Candidate 3]])/(SamplingData[[#Totals],[Winning Candidate]]-SamplingData[[#Totals],[Candidate 3]]), 0)</f>
        <v>0</v>
      </c>
      <c r="S33" s="99">
        <f>IF(AND(SamplingData[[#This Row],[Total]]&lt;&gt; 0, NOT(ISBLANK(SamplingData[[#This Row],[Candidate 4]]))),(SamplingData[[#This Row],[Total]]+SamplingData[[#This Row],[Winning Candidate]]-SamplingData[[#This Row],[Candidate 4]])/(SamplingData[[#Totals],[Winning Candidate]]-SamplingData[[#Totals],[Candidate 4]]), 0)</f>
        <v>0</v>
      </c>
      <c r="T33" s="99">
        <f>IF(AND(SamplingData[[#This Row],[Total]]&lt;&gt; 0, NOT(ISBLANK(SamplingData[[#This Row],[Candidate 5]]))),(SamplingData[[#This Row],[Total]]+SamplingData[[#This Row],[Winning Candidate]]-SamplingData[[#This Row],[Candidate 5]])/(SamplingData[[#Totals],[Winning Candidate]]-SamplingData[[#Totals],[Candidate 5]]), 0)</f>
        <v>0</v>
      </c>
      <c r="U33" s="99">
        <f>IF(AND(SamplingData[[#This Row],[Total]]&lt;&gt; 0, NOT(ISBLANK(SamplingData[[#This Row],[Candidate 6]]))),(SamplingData[[#This Row],[Total]]+SamplingData[[#This Row],[Losing Candidate]]-SamplingData[[#This Row],[Candidate 6]])/(SamplingData[[#Totals],[Winning Candidate]]-SamplingData[[#Totals],[Candidate 6]]), 0)</f>
        <v>0</v>
      </c>
      <c r="V33" s="99">
        <f>IF(AND(SamplingData[[#This Row],[Total]]&lt;&gt; 0, NOT(ISBLANK(SamplingData[[#This Row],[Candidate 7]]))),(SamplingData[[#This Row],[Total]]+SamplingData[[#This Row],[Winning Candidate]]-SamplingData[[#This Row],[Candidate 7]])/(SamplingData[[#Totals],[Winning Candidate]]-SamplingData[[#Totals],[Candidate 7]]), 0)</f>
        <v>0</v>
      </c>
      <c r="W33" s="99">
        <f>IF(AND(SamplingData[[#This Row],[Total]]&lt;&gt; 0, NOT(ISBLANK(SamplingData[[#This Row],[Candidate 8]]))),(SamplingData[[#This Row],[Total]]+SamplingData[[#This Row],[Winning Candidate]]-SamplingData[[#This Row],[Candidate 8]])/(SamplingData[[#Totals],[Winning Candidate]]-SamplingData[[#Totals],[Candidate 8]]), 0)</f>
        <v>0</v>
      </c>
      <c r="X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 s="99">
        <f>MAX(SamplingData[[#This Row],[Error Bound (up) - Max. possible relative overstatement - Losing Candidate]:[Error Bound (up) - Max. possible relative overstatement - Candidate 12]])</f>
        <v>2.6523510439653709E-2</v>
      </c>
      <c r="AC33" s="99">
        <f>IF(SamplingData[[#This Row],[Max Error Bound (up)]] = 0,0,SamplingData[[#This Row],[Max Error Bound (up)]]/SamplingData[[#Totals],[Max Error Bound (up)]])</f>
        <v>1.4200930672192552E-3</v>
      </c>
      <c r="AD33" s="17">
        <f>SUM($AC$5:AC33)</f>
        <v>3.6081724651906837E-2</v>
      </c>
      <c r="AE33" s="99" t="str">
        <f t="array" ref="AE33">IF(SamplingData[[#This Row],[up/U Selection Probability]] = 0, "Zero", TEXT(SamplingData[[#This Row],[Lower Range]], REPT("0",LEN('General Info'!$B$42))) &amp; " - " &amp; TEXT(SamplingData[[#This Row],[Upper Range]], REPT("0",LEN('General Info'!$B$42))))</f>
        <v>034662 - 036081</v>
      </c>
      <c r="AF33" s="99">
        <f>SamplingData[[#This Row],[Upper Range]]-SamplingData[[#This Row],[Span]]</f>
        <v>34661.63158468758</v>
      </c>
      <c r="AG33" s="99">
        <f>IF(ISNUMBER('General Info'!$B$42), ((SamplingData[[#This Row],[up/U Selection Probability]]) * 'General Info'!$B$44) - 1, 0)</f>
        <v>1419.0930672192553</v>
      </c>
      <c r="AH33" s="99">
        <f>IF(ISNUMBER('General Info'!$B$42), (SamplingData[[#This Row],[Running (cumulative) sum]] * ('General Info'!$B$42 -'General Info'!$B$43 + 1)) + 'General Info'!$B$43 - 1, 0)</f>
        <v>36080.724651906836</v>
      </c>
      <c r="AI33" s="99" t="str">
        <f>IF(ISERROR(MATCH(SamplingData[[#This Row],[Batch by Type (p)]],SelectedPrecincts[Batch Name], 0)), "", INDEX(SelectedPrecincts[Draw], MATCH(SamplingData[[#This Row],[Batch by Type (p)]],SelectedPrecincts[Batch Name], 0)))</f>
        <v/>
      </c>
      <c r="AJ33" s="100">
        <f>IF(COUNTIF(SelectedPrecincts[Batch Name],SamplingData[[#This Row],[Batch by Type (p)]]) &lt;&gt; 0, COUNTIF(SelectedPrecincts[Batch Name],SamplingData[[#This Row],[Batch by Type (p)]]), 0)</f>
        <v>0</v>
      </c>
    </row>
    <row r="34" spans="1:36" ht="15" customHeight="1" x14ac:dyDescent="0.35">
      <c r="A34" s="97" t="s">
        <v>247</v>
      </c>
      <c r="B34" s="97">
        <v>257</v>
      </c>
      <c r="C34" s="97">
        <v>84</v>
      </c>
      <c r="D34" s="92"/>
      <c r="E34" s="92"/>
      <c r="F34" s="92"/>
      <c r="G34" s="96"/>
      <c r="H34" s="96"/>
      <c r="I34" s="92"/>
      <c r="J34" s="92"/>
      <c r="K34" s="92"/>
      <c r="L34" s="92"/>
      <c r="M34" s="92"/>
      <c r="N34" s="97">
        <v>0</v>
      </c>
      <c r="O34" s="97">
        <v>24</v>
      </c>
      <c r="P34" s="98">
        <f>SUM(SamplingData[[#This Row],[Winning Candidate]:[Under Votes]])</f>
        <v>365</v>
      </c>
      <c r="Q34" s="99">
        <f>IF(AND(SamplingData[[#This Row],[Total]]&lt;&gt; 0, NOT(ISBLANK(SamplingData[[#This Row],[Losing Candidate]]))),(SamplingData[[#This Row],[Total]]+SamplingData[[#This Row],[Winning Candidate]]-SamplingData[[#This Row],[Losing Candidate]])/(SamplingData[[#Totals],[Winning Candidate]]-SamplingData[[#Totals],[Losing Candidate]]), 0)</f>
        <v>2.2831437786453912E-2</v>
      </c>
      <c r="R34" s="99">
        <f>IF(AND(SamplingData[[#This Row],[Total]]&lt;&gt; 0, NOT(ISBLANK(SamplingData[[#This Row],[Candidate 3]]))),(SamplingData[[#This Row],[Total]]+SamplingData[[#This Row],[Winning Candidate]]-SamplingData[[#This Row],[Candidate 3]])/(SamplingData[[#Totals],[Winning Candidate]]-SamplingData[[#Totals],[Candidate 3]]), 0)</f>
        <v>0</v>
      </c>
      <c r="S34" s="99">
        <f>IF(AND(SamplingData[[#This Row],[Total]]&lt;&gt; 0, NOT(ISBLANK(SamplingData[[#This Row],[Candidate 4]]))),(SamplingData[[#This Row],[Total]]+SamplingData[[#This Row],[Winning Candidate]]-SamplingData[[#This Row],[Candidate 4]])/(SamplingData[[#Totals],[Winning Candidate]]-SamplingData[[#Totals],[Candidate 4]]), 0)</f>
        <v>0</v>
      </c>
      <c r="T34" s="99">
        <f>IF(AND(SamplingData[[#This Row],[Total]]&lt;&gt; 0, NOT(ISBLANK(SamplingData[[#This Row],[Candidate 5]]))),(SamplingData[[#This Row],[Total]]+SamplingData[[#This Row],[Winning Candidate]]-SamplingData[[#This Row],[Candidate 5]])/(SamplingData[[#Totals],[Winning Candidate]]-SamplingData[[#Totals],[Candidate 5]]), 0)</f>
        <v>0</v>
      </c>
      <c r="U34" s="99">
        <f>IF(AND(SamplingData[[#This Row],[Total]]&lt;&gt; 0, NOT(ISBLANK(SamplingData[[#This Row],[Candidate 6]]))),(SamplingData[[#This Row],[Total]]+SamplingData[[#This Row],[Losing Candidate]]-SamplingData[[#This Row],[Candidate 6]])/(SamplingData[[#Totals],[Winning Candidate]]-SamplingData[[#Totals],[Candidate 6]]), 0)</f>
        <v>0</v>
      </c>
      <c r="V34" s="99">
        <f>IF(AND(SamplingData[[#This Row],[Total]]&lt;&gt; 0, NOT(ISBLANK(SamplingData[[#This Row],[Candidate 7]]))),(SamplingData[[#This Row],[Total]]+SamplingData[[#This Row],[Winning Candidate]]-SamplingData[[#This Row],[Candidate 7]])/(SamplingData[[#Totals],[Winning Candidate]]-SamplingData[[#Totals],[Candidate 7]]), 0)</f>
        <v>0</v>
      </c>
      <c r="W34" s="99">
        <f>IF(AND(SamplingData[[#This Row],[Total]]&lt;&gt; 0, NOT(ISBLANK(SamplingData[[#This Row],[Candidate 8]]))),(SamplingData[[#This Row],[Total]]+SamplingData[[#This Row],[Winning Candidate]]-SamplingData[[#This Row],[Candidate 8]])/(SamplingData[[#Totals],[Winning Candidate]]-SamplingData[[#Totals],[Candidate 8]]), 0)</f>
        <v>0</v>
      </c>
      <c r="X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 s="99">
        <f>MAX(SamplingData[[#This Row],[Error Bound (up) - Max. possible relative overstatement - Losing Candidate]:[Error Bound (up) - Max. possible relative overstatement - Candidate 12]])</f>
        <v>2.2831437786453912E-2</v>
      </c>
      <c r="AC34" s="99">
        <f>IF(SamplingData[[#This Row],[Max Error Bound (up)]] = 0,0,SamplingData[[#This Row],[Max Error Bound (up)]]/SamplingData[[#Totals],[Max Error Bound (up)]])</f>
        <v>1.2224161122623347E-3</v>
      </c>
      <c r="AD34" s="17">
        <f>SUM($AC$5:AC34)</f>
        <v>3.7304140764169172E-2</v>
      </c>
      <c r="AE34" s="99" t="str">
        <f t="array" ref="AE34">IF(SamplingData[[#This Row],[up/U Selection Probability]] = 0, "Zero", TEXT(SamplingData[[#This Row],[Lower Range]], REPT("0",LEN('General Info'!$B$42))) &amp; " - " &amp; TEXT(SamplingData[[#This Row],[Upper Range]], REPT("0",LEN('General Info'!$B$42))))</f>
        <v>036082 - 037303</v>
      </c>
      <c r="AF34" s="99">
        <f>SamplingData[[#This Row],[Upper Range]]-SamplingData[[#This Row],[Span]]</f>
        <v>36081.724651906836</v>
      </c>
      <c r="AG34" s="99">
        <f>IF(ISNUMBER('General Info'!$B$42), ((SamplingData[[#This Row],[up/U Selection Probability]]) * 'General Info'!$B$44) - 1, 0)</f>
        <v>1221.4161122623348</v>
      </c>
      <c r="AH34" s="99">
        <f>IF(ISNUMBER('General Info'!$B$42), (SamplingData[[#This Row],[Running (cumulative) sum]] * ('General Info'!$B$42 -'General Info'!$B$43 + 1)) + 'General Info'!$B$43 - 1, 0)</f>
        <v>37303.140764169169</v>
      </c>
      <c r="AI34" s="99" t="str">
        <f>IF(ISERROR(MATCH(SamplingData[[#This Row],[Batch by Type (p)]],SelectedPrecincts[Batch Name], 0)), "", INDEX(SelectedPrecincts[Draw], MATCH(SamplingData[[#This Row],[Batch by Type (p)]],SelectedPrecincts[Batch Name], 0)))</f>
        <v/>
      </c>
      <c r="AJ34" s="100">
        <f>IF(COUNTIF(SelectedPrecincts[Batch Name],SamplingData[[#This Row],[Batch by Type (p)]]) &lt;&gt; 0, COUNTIF(SelectedPrecincts[Batch Name],SamplingData[[#This Row],[Batch by Type (p)]]), 0)</f>
        <v>0</v>
      </c>
    </row>
    <row r="35" spans="1:36" ht="15" customHeight="1" x14ac:dyDescent="0.35">
      <c r="A35" s="97" t="s">
        <v>248</v>
      </c>
      <c r="B35" s="97">
        <v>345</v>
      </c>
      <c r="C35" s="97">
        <v>127</v>
      </c>
      <c r="D35" s="92"/>
      <c r="E35" s="92"/>
      <c r="F35" s="92"/>
      <c r="G35" s="96"/>
      <c r="H35" s="96"/>
      <c r="I35" s="92"/>
      <c r="J35" s="92"/>
      <c r="K35" s="92"/>
      <c r="L35" s="92"/>
      <c r="M35" s="92"/>
      <c r="N35" s="97">
        <v>0</v>
      </c>
      <c r="O35" s="97">
        <v>24</v>
      </c>
      <c r="P35" s="98">
        <f>SUM(SamplingData[[#This Row],[Winning Candidate]:[Under Votes]])</f>
        <v>496</v>
      </c>
      <c r="Q35" s="99">
        <f>IF(AND(SamplingData[[#This Row],[Total]]&lt;&gt; 0, NOT(ISBLANK(SamplingData[[#This Row],[Losing Candidate]]))),(SamplingData[[#This Row],[Total]]+SamplingData[[#This Row],[Winning Candidate]]-SamplingData[[#This Row],[Losing Candidate]])/(SamplingData[[#Totals],[Winning Candidate]]-SamplingData[[#Totals],[Losing Candidate]]), 0)</f>
        <v>3.0300458326260396E-2</v>
      </c>
      <c r="R35" s="99">
        <f>IF(AND(SamplingData[[#This Row],[Total]]&lt;&gt; 0, NOT(ISBLANK(SamplingData[[#This Row],[Candidate 3]]))),(SamplingData[[#This Row],[Total]]+SamplingData[[#This Row],[Winning Candidate]]-SamplingData[[#This Row],[Candidate 3]])/(SamplingData[[#Totals],[Winning Candidate]]-SamplingData[[#Totals],[Candidate 3]]), 0)</f>
        <v>0</v>
      </c>
      <c r="S35" s="99">
        <f>IF(AND(SamplingData[[#This Row],[Total]]&lt;&gt; 0, NOT(ISBLANK(SamplingData[[#This Row],[Candidate 4]]))),(SamplingData[[#This Row],[Total]]+SamplingData[[#This Row],[Winning Candidate]]-SamplingData[[#This Row],[Candidate 4]])/(SamplingData[[#Totals],[Winning Candidate]]-SamplingData[[#Totals],[Candidate 4]]), 0)</f>
        <v>0</v>
      </c>
      <c r="T35" s="99">
        <f>IF(AND(SamplingData[[#This Row],[Total]]&lt;&gt; 0, NOT(ISBLANK(SamplingData[[#This Row],[Candidate 5]]))),(SamplingData[[#This Row],[Total]]+SamplingData[[#This Row],[Winning Candidate]]-SamplingData[[#This Row],[Candidate 5]])/(SamplingData[[#Totals],[Winning Candidate]]-SamplingData[[#Totals],[Candidate 5]]), 0)</f>
        <v>0</v>
      </c>
      <c r="U35" s="99">
        <f>IF(AND(SamplingData[[#This Row],[Total]]&lt;&gt; 0, NOT(ISBLANK(SamplingData[[#This Row],[Candidate 6]]))),(SamplingData[[#This Row],[Total]]+SamplingData[[#This Row],[Losing Candidate]]-SamplingData[[#This Row],[Candidate 6]])/(SamplingData[[#Totals],[Winning Candidate]]-SamplingData[[#Totals],[Candidate 6]]), 0)</f>
        <v>0</v>
      </c>
      <c r="V35" s="99">
        <f>IF(AND(SamplingData[[#This Row],[Total]]&lt;&gt; 0, NOT(ISBLANK(SamplingData[[#This Row],[Candidate 7]]))),(SamplingData[[#This Row],[Total]]+SamplingData[[#This Row],[Winning Candidate]]-SamplingData[[#This Row],[Candidate 7]])/(SamplingData[[#Totals],[Winning Candidate]]-SamplingData[[#Totals],[Candidate 7]]), 0)</f>
        <v>0</v>
      </c>
      <c r="W35" s="99">
        <f>IF(AND(SamplingData[[#This Row],[Total]]&lt;&gt; 0, NOT(ISBLANK(SamplingData[[#This Row],[Candidate 8]]))),(SamplingData[[#This Row],[Total]]+SamplingData[[#This Row],[Winning Candidate]]-SamplingData[[#This Row],[Candidate 8]])/(SamplingData[[#Totals],[Winning Candidate]]-SamplingData[[#Totals],[Candidate 8]]), 0)</f>
        <v>0</v>
      </c>
      <c r="X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 s="99">
        <f>MAX(SamplingData[[#This Row],[Error Bound (up) - Max. possible relative overstatement - Losing Candidate]:[Error Bound (up) - Max. possible relative overstatement - Candidate 12]])</f>
        <v>3.0300458326260396E-2</v>
      </c>
      <c r="AC35" s="99">
        <f>IF(SamplingData[[#This Row],[Max Error Bound (up)]] = 0,0,SamplingData[[#This Row],[Max Error Bound (up)]]/SamplingData[[#Totals],[Max Error Bound (up)]])</f>
        <v>1.6223143199912769E-3</v>
      </c>
      <c r="AD35" s="17">
        <f>SUM($AC$5:AC35)</f>
        <v>3.8926455084160448E-2</v>
      </c>
      <c r="AE35" s="99" t="str">
        <f t="array" ref="AE35">IF(SamplingData[[#This Row],[up/U Selection Probability]] = 0, "Zero", TEXT(SamplingData[[#This Row],[Lower Range]], REPT("0",LEN('General Info'!$B$42))) &amp; " - " &amp; TEXT(SamplingData[[#This Row],[Upper Range]], REPT("0",LEN('General Info'!$B$42))))</f>
        <v>037304 - 038925</v>
      </c>
      <c r="AF35" s="99">
        <f>SamplingData[[#This Row],[Upper Range]]-SamplingData[[#This Row],[Span]]</f>
        <v>37304.140764169177</v>
      </c>
      <c r="AG35" s="99">
        <f>IF(ISNUMBER('General Info'!$B$42), ((SamplingData[[#This Row],[up/U Selection Probability]]) * 'General Info'!$B$44) - 1, 0)</f>
        <v>1621.314319991277</v>
      </c>
      <c r="AH35" s="99">
        <f>IF(ISNUMBER('General Info'!$B$42), (SamplingData[[#This Row],[Running (cumulative) sum]] * ('General Info'!$B$42 -'General Info'!$B$43 + 1)) + 'General Info'!$B$43 - 1, 0)</f>
        <v>38925.45508416045</v>
      </c>
      <c r="AI35" s="99" t="str">
        <f>IF(ISERROR(MATCH(SamplingData[[#This Row],[Batch by Type (p)]],SelectedPrecincts[Batch Name], 0)), "", INDEX(SelectedPrecincts[Draw], MATCH(SamplingData[[#This Row],[Batch by Type (p)]],SelectedPrecincts[Batch Name], 0)))</f>
        <v/>
      </c>
      <c r="AJ35" s="100">
        <f>IF(COUNTIF(SelectedPrecincts[Batch Name],SamplingData[[#This Row],[Batch by Type (p)]]) &lt;&gt; 0, COUNTIF(SelectedPrecincts[Batch Name],SamplingData[[#This Row],[Batch by Type (p)]]), 0)</f>
        <v>0</v>
      </c>
    </row>
    <row r="36" spans="1:36" ht="15" customHeight="1" x14ac:dyDescent="0.35">
      <c r="A36" s="97" t="s">
        <v>249</v>
      </c>
      <c r="B36" s="97">
        <v>268</v>
      </c>
      <c r="C36" s="97">
        <v>95</v>
      </c>
      <c r="D36" s="92"/>
      <c r="E36" s="92"/>
      <c r="F36" s="92"/>
      <c r="G36" s="96"/>
      <c r="H36" s="96"/>
      <c r="I36" s="92"/>
      <c r="J36" s="92"/>
      <c r="K36" s="92"/>
      <c r="L36" s="92"/>
      <c r="M36" s="92"/>
      <c r="N36" s="97">
        <v>0</v>
      </c>
      <c r="O36" s="97">
        <v>18</v>
      </c>
      <c r="P36" s="98">
        <f>SUM(SamplingData[[#This Row],[Winning Candidate]:[Under Votes]])</f>
        <v>381</v>
      </c>
      <c r="Q36" s="99">
        <f>IF(AND(SamplingData[[#This Row],[Total]]&lt;&gt; 0, NOT(ISBLANK(SamplingData[[#This Row],[Losing Candidate]]))),(SamplingData[[#This Row],[Total]]+SamplingData[[#This Row],[Winning Candidate]]-SamplingData[[#This Row],[Losing Candidate]])/(SamplingData[[#Totals],[Winning Candidate]]-SamplingData[[#Totals],[Losing Candidate]]), 0)</f>
        <v>2.3510439653709046E-2</v>
      </c>
      <c r="R36" s="99">
        <f>IF(AND(SamplingData[[#This Row],[Total]]&lt;&gt; 0, NOT(ISBLANK(SamplingData[[#This Row],[Candidate 3]]))),(SamplingData[[#This Row],[Total]]+SamplingData[[#This Row],[Winning Candidate]]-SamplingData[[#This Row],[Candidate 3]])/(SamplingData[[#Totals],[Winning Candidate]]-SamplingData[[#Totals],[Candidate 3]]), 0)</f>
        <v>0</v>
      </c>
      <c r="S36" s="99">
        <f>IF(AND(SamplingData[[#This Row],[Total]]&lt;&gt; 0, NOT(ISBLANK(SamplingData[[#This Row],[Candidate 4]]))),(SamplingData[[#This Row],[Total]]+SamplingData[[#This Row],[Winning Candidate]]-SamplingData[[#This Row],[Candidate 4]])/(SamplingData[[#Totals],[Winning Candidate]]-SamplingData[[#Totals],[Candidate 4]]), 0)</f>
        <v>0</v>
      </c>
      <c r="T36" s="99">
        <f>IF(AND(SamplingData[[#This Row],[Total]]&lt;&gt; 0, NOT(ISBLANK(SamplingData[[#This Row],[Candidate 5]]))),(SamplingData[[#This Row],[Total]]+SamplingData[[#This Row],[Winning Candidate]]-SamplingData[[#This Row],[Candidate 5]])/(SamplingData[[#Totals],[Winning Candidate]]-SamplingData[[#Totals],[Candidate 5]]), 0)</f>
        <v>0</v>
      </c>
      <c r="U36" s="99">
        <f>IF(AND(SamplingData[[#This Row],[Total]]&lt;&gt; 0, NOT(ISBLANK(SamplingData[[#This Row],[Candidate 6]]))),(SamplingData[[#This Row],[Total]]+SamplingData[[#This Row],[Losing Candidate]]-SamplingData[[#This Row],[Candidate 6]])/(SamplingData[[#Totals],[Winning Candidate]]-SamplingData[[#Totals],[Candidate 6]]), 0)</f>
        <v>0</v>
      </c>
      <c r="V36" s="99">
        <f>IF(AND(SamplingData[[#This Row],[Total]]&lt;&gt; 0, NOT(ISBLANK(SamplingData[[#This Row],[Candidate 7]]))),(SamplingData[[#This Row],[Total]]+SamplingData[[#This Row],[Winning Candidate]]-SamplingData[[#This Row],[Candidate 7]])/(SamplingData[[#Totals],[Winning Candidate]]-SamplingData[[#Totals],[Candidate 7]]), 0)</f>
        <v>0</v>
      </c>
      <c r="W36" s="99">
        <f>IF(AND(SamplingData[[#This Row],[Total]]&lt;&gt; 0, NOT(ISBLANK(SamplingData[[#This Row],[Candidate 8]]))),(SamplingData[[#This Row],[Total]]+SamplingData[[#This Row],[Winning Candidate]]-SamplingData[[#This Row],[Candidate 8]])/(SamplingData[[#Totals],[Winning Candidate]]-SamplingData[[#Totals],[Candidate 8]]), 0)</f>
        <v>0</v>
      </c>
      <c r="X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 s="99">
        <f>MAX(SamplingData[[#This Row],[Error Bound (up) - Max. possible relative overstatement - Losing Candidate]:[Error Bound (up) - Max. possible relative overstatement - Candidate 12]])</f>
        <v>2.3510439653709046E-2</v>
      </c>
      <c r="AC36" s="99">
        <f>IF(SamplingData[[#This Row],[Max Error Bound (up)]] = 0,0,SamplingData[[#This Row],[Max Error Bound (up)]]/SamplingData[[#Totals],[Max Error Bound (up)]])</f>
        <v>1.2587704947831476E-3</v>
      </c>
      <c r="AD36">
        <f>SUM($AC$5:AC1128)</f>
        <v>1.0000000000000027</v>
      </c>
      <c r="AE36" s="99" t="str">
        <f t="array" ref="AE36">IF(SamplingData[[#This Row],[up/U Selection Probability]] = 0, "Zero", TEXT(SamplingData[[#This Row],[Lower Range]], REPT("0",LEN('General Info'!$B$42))) &amp; " - " &amp; TEXT(SamplingData[[#This Row],[Upper Range]], REPT("0",LEN('General Info'!$B$42))))</f>
        <v>998741 - 999999</v>
      </c>
      <c r="AF36" s="99">
        <f>SamplingData[[#This Row],[Upper Range]]-SamplingData[[#This Row],[Span]]</f>
        <v>998741.2295052195</v>
      </c>
      <c r="AG36" s="99">
        <f>IF(ISNUMBER('General Info'!$B$42), ((SamplingData[[#This Row],[up/U Selection Probability]]) * 'General Info'!$B$44) - 1, 0)</f>
        <v>1257.7704947831476</v>
      </c>
      <c r="AH36" s="99">
        <f>IF(ISNUMBER('General Info'!$B$42), (SamplingData[[#This Row],[Running (cumulative) sum]] * ('General Info'!$B$42 -'General Info'!$B$43 + 1)) + 'General Info'!$B$43 - 1, 0)</f>
        <v>999999.00000000268</v>
      </c>
      <c r="AI36" s="99" t="str">
        <f>IF(ISERROR(MATCH(SamplingData[[#This Row],[Batch by Type (p)]],SelectedPrecincts[Batch Name], 0)), "", INDEX(SelectedPrecincts[Draw], MATCH(SamplingData[[#This Row],[Batch by Type (p)]],SelectedPrecincts[Batch Name], 0)))</f>
        <v/>
      </c>
      <c r="AJ36" s="100">
        <f>IF(COUNTIF(SelectedPrecincts[Batch Name],SamplingData[[#This Row],[Batch by Type (p)]]) &lt;&gt; 0, COUNTIF(SelectedPrecincts[Batch Name],SamplingData[[#This Row],[Batch by Type (p)]]), 0)</f>
        <v>0</v>
      </c>
    </row>
    <row r="37" spans="1:36" ht="15" customHeight="1" x14ac:dyDescent="0.35">
      <c r="A37" s="97" t="s">
        <v>250</v>
      </c>
      <c r="B37" s="97">
        <v>329</v>
      </c>
      <c r="C37" s="97">
        <v>135</v>
      </c>
      <c r="D37" s="92"/>
      <c r="E37" s="92"/>
      <c r="F37" s="92"/>
      <c r="G37" s="96"/>
      <c r="H37" s="96"/>
      <c r="I37" s="92"/>
      <c r="J37" s="92"/>
      <c r="K37" s="92"/>
      <c r="L37" s="92"/>
      <c r="M37" s="92"/>
      <c r="N37" s="97">
        <v>0</v>
      </c>
      <c r="O37" s="97">
        <v>24</v>
      </c>
      <c r="P37" s="98">
        <f>SUM(SamplingData[[#This Row],[Winning Candidate]:[Under Votes]])</f>
        <v>488</v>
      </c>
      <c r="Q37" s="99">
        <f>IF(AND(SamplingData[[#This Row],[Total]]&lt;&gt; 0, NOT(ISBLANK(SamplingData[[#This Row],[Losing Candidate]]))),(SamplingData[[#This Row],[Total]]+SamplingData[[#This Row],[Winning Candidate]]-SamplingData[[#This Row],[Losing Candidate]])/(SamplingData[[#Totals],[Winning Candidate]]-SamplingData[[#Totals],[Losing Candidate]]), 0)</f>
        <v>2.8942454591750127E-2</v>
      </c>
      <c r="R37" s="99">
        <f>IF(AND(SamplingData[[#This Row],[Total]]&lt;&gt; 0, NOT(ISBLANK(SamplingData[[#This Row],[Candidate 3]]))),(SamplingData[[#This Row],[Total]]+SamplingData[[#This Row],[Winning Candidate]]-SamplingData[[#This Row],[Candidate 3]])/(SamplingData[[#Totals],[Winning Candidate]]-SamplingData[[#Totals],[Candidate 3]]), 0)</f>
        <v>0</v>
      </c>
      <c r="S37" s="99">
        <f>IF(AND(SamplingData[[#This Row],[Total]]&lt;&gt; 0, NOT(ISBLANK(SamplingData[[#This Row],[Candidate 4]]))),(SamplingData[[#This Row],[Total]]+SamplingData[[#This Row],[Winning Candidate]]-SamplingData[[#This Row],[Candidate 4]])/(SamplingData[[#Totals],[Winning Candidate]]-SamplingData[[#Totals],[Candidate 4]]), 0)</f>
        <v>0</v>
      </c>
      <c r="T37" s="99">
        <f>IF(AND(SamplingData[[#This Row],[Total]]&lt;&gt; 0, NOT(ISBLANK(SamplingData[[#This Row],[Candidate 5]]))),(SamplingData[[#This Row],[Total]]+SamplingData[[#This Row],[Winning Candidate]]-SamplingData[[#This Row],[Candidate 5]])/(SamplingData[[#Totals],[Winning Candidate]]-SamplingData[[#Totals],[Candidate 5]]), 0)</f>
        <v>0</v>
      </c>
      <c r="U37" s="99">
        <f>IF(AND(SamplingData[[#This Row],[Total]]&lt;&gt; 0, NOT(ISBLANK(SamplingData[[#This Row],[Candidate 6]]))),(SamplingData[[#This Row],[Total]]+SamplingData[[#This Row],[Losing Candidate]]-SamplingData[[#This Row],[Candidate 6]])/(SamplingData[[#Totals],[Winning Candidate]]-SamplingData[[#Totals],[Candidate 6]]), 0)</f>
        <v>0</v>
      </c>
      <c r="V37" s="99">
        <f>IF(AND(SamplingData[[#This Row],[Total]]&lt;&gt; 0, NOT(ISBLANK(SamplingData[[#This Row],[Candidate 7]]))),(SamplingData[[#This Row],[Total]]+SamplingData[[#This Row],[Winning Candidate]]-SamplingData[[#This Row],[Candidate 7]])/(SamplingData[[#Totals],[Winning Candidate]]-SamplingData[[#Totals],[Candidate 7]]), 0)</f>
        <v>0</v>
      </c>
      <c r="W37" s="99">
        <f>IF(AND(SamplingData[[#This Row],[Total]]&lt;&gt; 0, NOT(ISBLANK(SamplingData[[#This Row],[Candidate 8]]))),(SamplingData[[#This Row],[Total]]+SamplingData[[#This Row],[Winning Candidate]]-SamplingData[[#This Row],[Candidate 8]])/(SamplingData[[#Totals],[Winning Candidate]]-SamplingData[[#Totals],[Candidate 8]]), 0)</f>
        <v>0</v>
      </c>
      <c r="X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 s="99">
        <f>MAX(SamplingData[[#This Row],[Error Bound (up) - Max. possible relative overstatement - Losing Candidate]:[Error Bound (up) - Max. possible relative overstatement - Candidate 12]])</f>
        <v>2.8942454591750127E-2</v>
      </c>
      <c r="AC37" s="99">
        <f>IF(SamplingData[[#This Row],[Max Error Bound (up)]] = 0,0,SamplingData[[#This Row],[Max Error Bound (up)]]/SamplingData[[#Totals],[Max Error Bound (up)]])</f>
        <v>1.5496055549496512E-3</v>
      </c>
      <c r="AD37" s="103">
        <f>SUM($AC$5:AC37)</f>
        <v>4.1734831133893244E-2</v>
      </c>
      <c r="AE37" s="99" t="str" cm="1">
        <f t="array" ref="AE37">IF(SamplingData[[#This Row],[up/U Selection Probability]] = 0, "Zero", TEXT(SamplingData[[#This Row],[Lower Range]], REPT("0",LEN('General Info'!$B$42))) &amp; " - " &amp; TEXT(SamplingData[[#This Row],[Upper Range]], REPT("0",LEN('General Info'!$B$42))))</f>
        <v>040185 - 041734</v>
      </c>
      <c r="AF37" s="99">
        <f>SamplingData[[#This Row],[Upper Range]]-SamplingData[[#This Row],[Span]]</f>
        <v>40185.225578943595</v>
      </c>
      <c r="AG37" s="99">
        <f>IF(ISNUMBER('General Info'!$B$42), ((SamplingData[[#This Row],[up/U Selection Probability]]) * 'General Info'!$B$44) - 1, 0)</f>
        <v>1548.6055549496512</v>
      </c>
      <c r="AH37" s="99">
        <f>IF(ISNUMBER('General Info'!$B$42), (SamplingData[[#This Row],[Running (cumulative) sum]] * ('General Info'!$B$42 -'General Info'!$B$43 + 1)) + 'General Info'!$B$43 - 1, 0)</f>
        <v>41733.831133893247</v>
      </c>
      <c r="AI37" s="99" t="str">
        <f>IF(ISERROR(MATCH(SamplingData[[#This Row],[Batch by Type (p)]],SelectedPrecincts[Batch Name], 0)), "", INDEX(SelectedPrecincts[Draw], MATCH(SamplingData[[#This Row],[Batch by Type (p)]],SelectedPrecincts[Batch Name], 0)))</f>
        <v/>
      </c>
      <c r="AJ37" s="100">
        <f>IF(COUNTIF(SelectedPrecincts[Batch Name],SamplingData[[#This Row],[Batch by Type (p)]]) &lt;&gt; 0, COUNTIF(SelectedPrecincts[Batch Name],SamplingData[[#This Row],[Batch by Type (p)]]), 0)</f>
        <v>0</v>
      </c>
    </row>
    <row r="38" spans="1:36" ht="15" customHeight="1" x14ac:dyDescent="0.35">
      <c r="A38" s="97" t="s">
        <v>251</v>
      </c>
      <c r="B38" s="97">
        <v>272</v>
      </c>
      <c r="C38" s="97">
        <v>119</v>
      </c>
      <c r="D38" s="92"/>
      <c r="E38" s="92"/>
      <c r="F38" s="92"/>
      <c r="G38" s="96"/>
      <c r="H38" s="96"/>
      <c r="I38" s="92"/>
      <c r="J38" s="92"/>
      <c r="K38" s="92"/>
      <c r="L38" s="92"/>
      <c r="M38" s="92"/>
      <c r="N38" s="97">
        <v>1</v>
      </c>
      <c r="O38" s="97">
        <v>23</v>
      </c>
      <c r="P38" s="98">
        <f>SUM(SamplingData[[#This Row],[Winning Candidate]:[Under Votes]])</f>
        <v>415</v>
      </c>
      <c r="Q38" s="99">
        <f>IF(AND(SamplingData[[#This Row],[Total]]&lt;&gt; 0, NOT(ISBLANK(SamplingData[[#This Row],[Losing Candidate]]))),(SamplingData[[#This Row],[Total]]+SamplingData[[#This Row],[Winning Candidate]]-SamplingData[[#This Row],[Losing Candidate]])/(SamplingData[[#Totals],[Winning Candidate]]-SamplingData[[#Totals],[Losing Candidate]]), 0)</f>
        <v>2.4104566287557291E-2</v>
      </c>
      <c r="R38" s="99">
        <f>IF(AND(SamplingData[[#This Row],[Total]]&lt;&gt; 0, NOT(ISBLANK(SamplingData[[#This Row],[Candidate 3]]))),(SamplingData[[#This Row],[Total]]+SamplingData[[#This Row],[Winning Candidate]]-SamplingData[[#This Row],[Candidate 3]])/(SamplingData[[#Totals],[Winning Candidate]]-SamplingData[[#Totals],[Candidate 3]]), 0)</f>
        <v>0</v>
      </c>
      <c r="S38" s="99">
        <f>IF(AND(SamplingData[[#This Row],[Total]]&lt;&gt; 0, NOT(ISBLANK(SamplingData[[#This Row],[Candidate 4]]))),(SamplingData[[#This Row],[Total]]+SamplingData[[#This Row],[Winning Candidate]]-SamplingData[[#This Row],[Candidate 4]])/(SamplingData[[#Totals],[Winning Candidate]]-SamplingData[[#Totals],[Candidate 4]]), 0)</f>
        <v>0</v>
      </c>
      <c r="T38" s="99">
        <f>IF(AND(SamplingData[[#This Row],[Total]]&lt;&gt; 0, NOT(ISBLANK(SamplingData[[#This Row],[Candidate 5]]))),(SamplingData[[#This Row],[Total]]+SamplingData[[#This Row],[Winning Candidate]]-SamplingData[[#This Row],[Candidate 5]])/(SamplingData[[#Totals],[Winning Candidate]]-SamplingData[[#Totals],[Candidate 5]]), 0)</f>
        <v>0</v>
      </c>
      <c r="U38" s="99">
        <f>IF(AND(SamplingData[[#This Row],[Total]]&lt;&gt; 0, NOT(ISBLANK(SamplingData[[#This Row],[Candidate 6]]))),(SamplingData[[#This Row],[Total]]+SamplingData[[#This Row],[Losing Candidate]]-SamplingData[[#This Row],[Candidate 6]])/(SamplingData[[#Totals],[Winning Candidate]]-SamplingData[[#Totals],[Candidate 6]]), 0)</f>
        <v>0</v>
      </c>
      <c r="V38" s="99">
        <f>IF(AND(SamplingData[[#This Row],[Total]]&lt;&gt; 0, NOT(ISBLANK(SamplingData[[#This Row],[Candidate 7]]))),(SamplingData[[#This Row],[Total]]+SamplingData[[#This Row],[Winning Candidate]]-SamplingData[[#This Row],[Candidate 7]])/(SamplingData[[#Totals],[Winning Candidate]]-SamplingData[[#Totals],[Candidate 7]]), 0)</f>
        <v>0</v>
      </c>
      <c r="W38" s="99">
        <f>IF(AND(SamplingData[[#This Row],[Total]]&lt;&gt; 0, NOT(ISBLANK(SamplingData[[#This Row],[Candidate 8]]))),(SamplingData[[#This Row],[Total]]+SamplingData[[#This Row],[Winning Candidate]]-SamplingData[[#This Row],[Candidate 8]])/(SamplingData[[#Totals],[Winning Candidate]]-SamplingData[[#Totals],[Candidate 8]]), 0)</f>
        <v>0</v>
      </c>
      <c r="X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 s="99">
        <f>MAX(SamplingData[[#This Row],[Error Bound (up) - Max. possible relative overstatement - Losing Candidate]:[Error Bound (up) - Max. possible relative overstatement - Candidate 12]])</f>
        <v>2.4104566287557291E-2</v>
      </c>
      <c r="AC38" s="99">
        <f>IF(SamplingData[[#This Row],[Max Error Bound (up)]] = 0,0,SamplingData[[#This Row],[Max Error Bound (up)]]/SamplingData[[#Totals],[Max Error Bound (up)]])</f>
        <v>1.290580579488859E-3</v>
      </c>
      <c r="AD38" s="103">
        <f>SUM($AC$5:AC38)</f>
        <v>4.3025411713382103E-2</v>
      </c>
      <c r="AE38" s="99" t="str" cm="1">
        <f t="array" ref="AE38">IF(SamplingData[[#This Row],[up/U Selection Probability]] = 0, "Zero", TEXT(SamplingData[[#This Row],[Lower Range]], REPT("0",LEN('General Info'!$B$42))) &amp; " - " &amp; TEXT(SamplingData[[#This Row],[Upper Range]], REPT("0",LEN('General Info'!$B$42))))</f>
        <v>041735 - 043024</v>
      </c>
      <c r="AF38" s="99">
        <f>SamplingData[[#This Row],[Upper Range]]-SamplingData[[#This Row],[Span]]</f>
        <v>41734.831133893247</v>
      </c>
      <c r="AG38" s="99">
        <f>IF(ISNUMBER('General Info'!$B$42), ((SamplingData[[#This Row],[up/U Selection Probability]]) * 'General Info'!$B$44) - 1, 0)</f>
        <v>1289.580579488859</v>
      </c>
      <c r="AH38" s="99">
        <f>IF(ISNUMBER('General Info'!$B$42), (SamplingData[[#This Row],[Running (cumulative) sum]] * ('General Info'!$B$42 -'General Info'!$B$43 + 1)) + 'General Info'!$B$43 - 1, 0)</f>
        <v>43024.411713382106</v>
      </c>
      <c r="AI38" s="99" t="str">
        <f>IF(ISERROR(MATCH(SamplingData[[#This Row],[Batch by Type (p)]],SelectedPrecincts[Batch Name], 0)), "", INDEX(SelectedPrecincts[Draw], MATCH(SamplingData[[#This Row],[Batch by Type (p)]],SelectedPrecincts[Batch Name], 0)))</f>
        <v/>
      </c>
      <c r="AJ38" s="100">
        <f>IF(COUNTIF(SelectedPrecincts[Batch Name],SamplingData[[#This Row],[Batch by Type (p)]]) &lt;&gt; 0, COUNTIF(SelectedPrecincts[Batch Name],SamplingData[[#This Row],[Batch by Type (p)]]), 0)</f>
        <v>0</v>
      </c>
    </row>
    <row r="39" spans="1:36" ht="15" customHeight="1" x14ac:dyDescent="0.35">
      <c r="A39" s="97" t="s">
        <v>252</v>
      </c>
      <c r="B39" s="97">
        <v>270</v>
      </c>
      <c r="C39" s="97">
        <v>158</v>
      </c>
      <c r="D39" s="92"/>
      <c r="E39" s="92"/>
      <c r="F39" s="92"/>
      <c r="G39" s="96"/>
      <c r="H39" s="96"/>
      <c r="I39" s="92"/>
      <c r="J39" s="92"/>
      <c r="K39" s="92"/>
      <c r="L39" s="92"/>
      <c r="M39" s="92"/>
      <c r="N39" s="97">
        <v>0</v>
      </c>
      <c r="O39" s="97">
        <v>37</v>
      </c>
      <c r="P39" s="98">
        <f>SUM(SamplingData[[#This Row],[Winning Candidate]:[Under Votes]])</f>
        <v>465</v>
      </c>
      <c r="Q39" s="99">
        <f>IF(AND(SamplingData[[#This Row],[Total]]&lt;&gt; 0, NOT(ISBLANK(SamplingData[[#This Row],[Losing Candidate]]))),(SamplingData[[#This Row],[Total]]+SamplingData[[#This Row],[Winning Candidate]]-SamplingData[[#This Row],[Losing Candidate]])/(SamplingData[[#Totals],[Winning Candidate]]-SamplingData[[#Totals],[Losing Candidate]]), 0)</f>
        <v>2.4486504837888303E-2</v>
      </c>
      <c r="R39" s="99">
        <f>IF(AND(SamplingData[[#This Row],[Total]]&lt;&gt; 0, NOT(ISBLANK(SamplingData[[#This Row],[Candidate 3]]))),(SamplingData[[#This Row],[Total]]+SamplingData[[#This Row],[Winning Candidate]]-SamplingData[[#This Row],[Candidate 3]])/(SamplingData[[#Totals],[Winning Candidate]]-SamplingData[[#Totals],[Candidate 3]]), 0)</f>
        <v>0</v>
      </c>
      <c r="S39" s="99">
        <f>IF(AND(SamplingData[[#This Row],[Total]]&lt;&gt; 0, NOT(ISBLANK(SamplingData[[#This Row],[Candidate 4]]))),(SamplingData[[#This Row],[Total]]+SamplingData[[#This Row],[Winning Candidate]]-SamplingData[[#This Row],[Candidate 4]])/(SamplingData[[#Totals],[Winning Candidate]]-SamplingData[[#Totals],[Candidate 4]]), 0)</f>
        <v>0</v>
      </c>
      <c r="T39" s="99">
        <f>IF(AND(SamplingData[[#This Row],[Total]]&lt;&gt; 0, NOT(ISBLANK(SamplingData[[#This Row],[Candidate 5]]))),(SamplingData[[#This Row],[Total]]+SamplingData[[#This Row],[Winning Candidate]]-SamplingData[[#This Row],[Candidate 5]])/(SamplingData[[#Totals],[Winning Candidate]]-SamplingData[[#Totals],[Candidate 5]]), 0)</f>
        <v>0</v>
      </c>
      <c r="U39" s="99">
        <f>IF(AND(SamplingData[[#This Row],[Total]]&lt;&gt; 0, NOT(ISBLANK(SamplingData[[#This Row],[Candidate 6]]))),(SamplingData[[#This Row],[Total]]+SamplingData[[#This Row],[Losing Candidate]]-SamplingData[[#This Row],[Candidate 6]])/(SamplingData[[#Totals],[Winning Candidate]]-SamplingData[[#Totals],[Candidate 6]]), 0)</f>
        <v>0</v>
      </c>
      <c r="V39" s="99">
        <f>IF(AND(SamplingData[[#This Row],[Total]]&lt;&gt; 0, NOT(ISBLANK(SamplingData[[#This Row],[Candidate 7]]))),(SamplingData[[#This Row],[Total]]+SamplingData[[#This Row],[Winning Candidate]]-SamplingData[[#This Row],[Candidate 7]])/(SamplingData[[#Totals],[Winning Candidate]]-SamplingData[[#Totals],[Candidate 7]]), 0)</f>
        <v>0</v>
      </c>
      <c r="W39" s="99">
        <f>IF(AND(SamplingData[[#This Row],[Total]]&lt;&gt; 0, NOT(ISBLANK(SamplingData[[#This Row],[Candidate 8]]))),(SamplingData[[#This Row],[Total]]+SamplingData[[#This Row],[Winning Candidate]]-SamplingData[[#This Row],[Candidate 8]])/(SamplingData[[#Totals],[Winning Candidate]]-SamplingData[[#Totals],[Candidate 8]]), 0)</f>
        <v>0</v>
      </c>
      <c r="X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 s="99">
        <f>MAX(SamplingData[[#This Row],[Error Bound (up) - Max. possible relative overstatement - Losing Candidate]:[Error Bound (up) - Max. possible relative overstatement - Candidate 12]])</f>
        <v>2.4486504837888303E-2</v>
      </c>
      <c r="AC39" s="99">
        <f>IF(SamplingData[[#This Row],[Max Error Bound (up)]] = 0,0,SamplingData[[#This Row],[Max Error Bound (up)]]/SamplingData[[#Totals],[Max Error Bound (up)]])</f>
        <v>1.3110299196568162E-3</v>
      </c>
      <c r="AD39" s="103">
        <f>SUM($AC$5:AC39)</f>
        <v>4.4336441633038917E-2</v>
      </c>
      <c r="AE39" s="99" t="str" cm="1">
        <f t="array" ref="AE39">IF(SamplingData[[#This Row],[up/U Selection Probability]] = 0, "Zero", TEXT(SamplingData[[#This Row],[Lower Range]], REPT("0",LEN('General Info'!$B$42))) &amp; " - " &amp; TEXT(SamplingData[[#This Row],[Upper Range]], REPT("0",LEN('General Info'!$B$42))))</f>
        <v>043025 - 044335</v>
      </c>
      <c r="AF39" s="99">
        <f>SamplingData[[#This Row],[Upper Range]]-SamplingData[[#This Row],[Span]]</f>
        <v>43025.411713382098</v>
      </c>
      <c r="AG39" s="99">
        <f>IF(ISNUMBER('General Info'!$B$42), ((SamplingData[[#This Row],[up/U Selection Probability]]) * 'General Info'!$B$44) - 1, 0)</f>
        <v>1310.0299196568162</v>
      </c>
      <c r="AH39" s="99">
        <f>IF(ISNUMBER('General Info'!$B$42), (SamplingData[[#This Row],[Running (cumulative) sum]] * ('General Info'!$B$42 -'General Info'!$B$43 + 1)) + 'General Info'!$B$43 - 1, 0)</f>
        <v>44335.441633038914</v>
      </c>
      <c r="AI39" s="99" t="str">
        <f>IF(ISERROR(MATCH(SamplingData[[#This Row],[Batch by Type (p)]],SelectedPrecincts[Batch Name], 0)), "", INDEX(SelectedPrecincts[Draw], MATCH(SamplingData[[#This Row],[Batch by Type (p)]],SelectedPrecincts[Batch Name], 0)))</f>
        <v/>
      </c>
      <c r="AJ39" s="100">
        <f>IF(COUNTIF(SelectedPrecincts[Batch Name],SamplingData[[#This Row],[Batch by Type (p)]]) &lt;&gt; 0, COUNTIF(SelectedPrecincts[Batch Name],SamplingData[[#This Row],[Batch by Type (p)]]), 0)</f>
        <v>0</v>
      </c>
    </row>
    <row r="40" spans="1:36" ht="15" customHeight="1" x14ac:dyDescent="0.35">
      <c r="A40" s="97" t="s">
        <v>253</v>
      </c>
      <c r="B40" s="97">
        <v>330</v>
      </c>
      <c r="C40" s="97">
        <v>224</v>
      </c>
      <c r="D40" s="92"/>
      <c r="E40" s="92"/>
      <c r="F40" s="92"/>
      <c r="G40" s="96"/>
      <c r="H40" s="96"/>
      <c r="I40" s="92"/>
      <c r="J40" s="92"/>
      <c r="K40" s="92"/>
      <c r="L40" s="92"/>
      <c r="M40" s="92"/>
      <c r="N40" s="97">
        <v>0</v>
      </c>
      <c r="O40" s="97">
        <v>25</v>
      </c>
      <c r="P40" s="98">
        <f>SUM(SamplingData[[#This Row],[Winning Candidate]:[Under Votes]])</f>
        <v>579</v>
      </c>
      <c r="Q40" s="99">
        <f>IF(AND(SamplingData[[#This Row],[Total]]&lt;&gt; 0, NOT(ISBLANK(SamplingData[[#This Row],[Losing Candidate]]))),(SamplingData[[#This Row],[Total]]+SamplingData[[#This Row],[Winning Candidate]]-SamplingData[[#This Row],[Losing Candidate]])/(SamplingData[[#Totals],[Winning Candidate]]-SamplingData[[#Totals],[Losing Candidate]]), 0)</f>
        <v>2.9069767441860465E-2</v>
      </c>
      <c r="R40" s="99">
        <f>IF(AND(SamplingData[[#This Row],[Total]]&lt;&gt; 0, NOT(ISBLANK(SamplingData[[#This Row],[Candidate 3]]))),(SamplingData[[#This Row],[Total]]+SamplingData[[#This Row],[Winning Candidate]]-SamplingData[[#This Row],[Candidate 3]])/(SamplingData[[#Totals],[Winning Candidate]]-SamplingData[[#Totals],[Candidate 3]]), 0)</f>
        <v>0</v>
      </c>
      <c r="S40" s="99">
        <f>IF(AND(SamplingData[[#This Row],[Total]]&lt;&gt; 0, NOT(ISBLANK(SamplingData[[#This Row],[Candidate 4]]))),(SamplingData[[#This Row],[Total]]+SamplingData[[#This Row],[Winning Candidate]]-SamplingData[[#This Row],[Candidate 4]])/(SamplingData[[#Totals],[Winning Candidate]]-SamplingData[[#Totals],[Candidate 4]]), 0)</f>
        <v>0</v>
      </c>
      <c r="T40" s="99">
        <f>IF(AND(SamplingData[[#This Row],[Total]]&lt;&gt; 0, NOT(ISBLANK(SamplingData[[#This Row],[Candidate 5]]))),(SamplingData[[#This Row],[Total]]+SamplingData[[#This Row],[Winning Candidate]]-SamplingData[[#This Row],[Candidate 5]])/(SamplingData[[#Totals],[Winning Candidate]]-SamplingData[[#Totals],[Candidate 5]]), 0)</f>
        <v>0</v>
      </c>
      <c r="U40" s="99">
        <f>IF(AND(SamplingData[[#This Row],[Total]]&lt;&gt; 0, NOT(ISBLANK(SamplingData[[#This Row],[Candidate 6]]))),(SamplingData[[#This Row],[Total]]+SamplingData[[#This Row],[Losing Candidate]]-SamplingData[[#This Row],[Candidate 6]])/(SamplingData[[#Totals],[Winning Candidate]]-SamplingData[[#Totals],[Candidate 6]]), 0)</f>
        <v>0</v>
      </c>
      <c r="V40" s="99">
        <f>IF(AND(SamplingData[[#This Row],[Total]]&lt;&gt; 0, NOT(ISBLANK(SamplingData[[#This Row],[Candidate 7]]))),(SamplingData[[#This Row],[Total]]+SamplingData[[#This Row],[Winning Candidate]]-SamplingData[[#This Row],[Candidate 7]])/(SamplingData[[#Totals],[Winning Candidate]]-SamplingData[[#Totals],[Candidate 7]]), 0)</f>
        <v>0</v>
      </c>
      <c r="W40" s="99">
        <f>IF(AND(SamplingData[[#This Row],[Total]]&lt;&gt; 0, NOT(ISBLANK(SamplingData[[#This Row],[Candidate 8]]))),(SamplingData[[#This Row],[Total]]+SamplingData[[#This Row],[Winning Candidate]]-SamplingData[[#This Row],[Candidate 8]])/(SamplingData[[#Totals],[Winning Candidate]]-SamplingData[[#Totals],[Candidate 8]]), 0)</f>
        <v>0</v>
      </c>
      <c r="X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 s="99">
        <f>MAX(SamplingData[[#This Row],[Error Bound (up) - Max. possible relative overstatement - Losing Candidate]:[Error Bound (up) - Max. possible relative overstatement - Candidate 12]])</f>
        <v>2.9069767441860465E-2</v>
      </c>
      <c r="AC40" s="99">
        <f>IF(SamplingData[[#This Row],[Max Error Bound (up)]] = 0,0,SamplingData[[#This Row],[Max Error Bound (up)]]/SamplingData[[#Totals],[Max Error Bound (up)]])</f>
        <v>1.5564220016723036E-3</v>
      </c>
      <c r="AD40" s="103">
        <f>SUM($AC$5:AC40)</f>
        <v>4.589286363471122E-2</v>
      </c>
      <c r="AE40" s="99" t="str" cm="1">
        <f t="array" ref="AE40">IF(SamplingData[[#This Row],[up/U Selection Probability]] = 0, "Zero", TEXT(SamplingData[[#This Row],[Lower Range]], REPT("0",LEN('General Info'!$B$42))) &amp; " - " &amp; TEXT(SamplingData[[#This Row],[Upper Range]], REPT("0",LEN('General Info'!$B$42))))</f>
        <v>044336 - 045892</v>
      </c>
      <c r="AF40" s="99">
        <f>SamplingData[[#This Row],[Upper Range]]-SamplingData[[#This Row],[Span]]</f>
        <v>44336.441633038914</v>
      </c>
      <c r="AG40" s="99">
        <f>IF(ISNUMBER('General Info'!$B$42), ((SamplingData[[#This Row],[up/U Selection Probability]]) * 'General Info'!$B$44) - 1, 0)</f>
        <v>1555.4220016723036</v>
      </c>
      <c r="AH40" s="99">
        <f>IF(ISNUMBER('General Info'!$B$42), (SamplingData[[#This Row],[Running (cumulative) sum]] * ('General Info'!$B$42 -'General Info'!$B$43 + 1)) + 'General Info'!$B$43 - 1, 0)</f>
        <v>45891.863634711219</v>
      </c>
      <c r="AI40" s="99" t="str">
        <f>IF(ISERROR(MATCH(SamplingData[[#This Row],[Batch by Type (p)]],SelectedPrecincts[Batch Name], 0)), "", INDEX(SelectedPrecincts[Draw], MATCH(SamplingData[[#This Row],[Batch by Type (p)]],SelectedPrecincts[Batch Name], 0)))</f>
        <v/>
      </c>
      <c r="AJ40" s="100">
        <f>IF(COUNTIF(SelectedPrecincts[Batch Name],SamplingData[[#This Row],[Batch by Type (p)]]) &lt;&gt; 0, COUNTIF(SelectedPrecincts[Batch Name],SamplingData[[#This Row],[Batch by Type (p)]]), 0)</f>
        <v>0</v>
      </c>
    </row>
    <row r="41" spans="1:36" ht="15" customHeight="1" x14ac:dyDescent="0.35">
      <c r="A41" s="97" t="s">
        <v>254</v>
      </c>
      <c r="B41" s="97">
        <v>388</v>
      </c>
      <c r="C41" s="97">
        <v>200</v>
      </c>
      <c r="D41" s="92"/>
      <c r="E41" s="92"/>
      <c r="F41" s="92"/>
      <c r="G41" s="96"/>
      <c r="H41" s="96"/>
      <c r="I41" s="92"/>
      <c r="J41" s="92"/>
      <c r="K41" s="92"/>
      <c r="L41" s="92"/>
      <c r="M41" s="92"/>
      <c r="N41" s="97">
        <v>1</v>
      </c>
      <c r="O41" s="97">
        <v>31</v>
      </c>
      <c r="P41" s="98">
        <f>SUM(SamplingData[[#This Row],[Winning Candidate]:[Under Votes]])</f>
        <v>620</v>
      </c>
      <c r="Q41" s="99">
        <f>IF(AND(SamplingData[[#This Row],[Total]]&lt;&gt; 0, NOT(ISBLANK(SamplingData[[#This Row],[Losing Candidate]]))),(SamplingData[[#This Row],[Total]]+SamplingData[[#This Row],[Winning Candidate]]-SamplingData[[#This Row],[Losing Candidate]])/(SamplingData[[#Totals],[Winning Candidate]]-SamplingData[[#Totals],[Losing Candidate]]), 0)</f>
        <v>3.4289594296384313E-2</v>
      </c>
      <c r="R41" s="99">
        <f>IF(AND(SamplingData[[#This Row],[Total]]&lt;&gt; 0, NOT(ISBLANK(SamplingData[[#This Row],[Candidate 3]]))),(SamplingData[[#This Row],[Total]]+SamplingData[[#This Row],[Winning Candidate]]-SamplingData[[#This Row],[Candidate 3]])/(SamplingData[[#Totals],[Winning Candidate]]-SamplingData[[#Totals],[Candidate 3]]), 0)</f>
        <v>0</v>
      </c>
      <c r="S41" s="99">
        <f>IF(AND(SamplingData[[#This Row],[Total]]&lt;&gt; 0, NOT(ISBLANK(SamplingData[[#This Row],[Candidate 4]]))),(SamplingData[[#This Row],[Total]]+SamplingData[[#This Row],[Winning Candidate]]-SamplingData[[#This Row],[Candidate 4]])/(SamplingData[[#Totals],[Winning Candidate]]-SamplingData[[#Totals],[Candidate 4]]), 0)</f>
        <v>0</v>
      </c>
      <c r="T41" s="99">
        <f>IF(AND(SamplingData[[#This Row],[Total]]&lt;&gt; 0, NOT(ISBLANK(SamplingData[[#This Row],[Candidate 5]]))),(SamplingData[[#This Row],[Total]]+SamplingData[[#This Row],[Winning Candidate]]-SamplingData[[#This Row],[Candidate 5]])/(SamplingData[[#Totals],[Winning Candidate]]-SamplingData[[#Totals],[Candidate 5]]), 0)</f>
        <v>0</v>
      </c>
      <c r="U41" s="99">
        <f>IF(AND(SamplingData[[#This Row],[Total]]&lt;&gt; 0, NOT(ISBLANK(SamplingData[[#This Row],[Candidate 6]]))),(SamplingData[[#This Row],[Total]]+SamplingData[[#This Row],[Losing Candidate]]-SamplingData[[#This Row],[Candidate 6]])/(SamplingData[[#Totals],[Winning Candidate]]-SamplingData[[#Totals],[Candidate 6]]), 0)</f>
        <v>0</v>
      </c>
      <c r="V41" s="99">
        <f>IF(AND(SamplingData[[#This Row],[Total]]&lt;&gt; 0, NOT(ISBLANK(SamplingData[[#This Row],[Candidate 7]]))),(SamplingData[[#This Row],[Total]]+SamplingData[[#This Row],[Winning Candidate]]-SamplingData[[#This Row],[Candidate 7]])/(SamplingData[[#Totals],[Winning Candidate]]-SamplingData[[#Totals],[Candidate 7]]), 0)</f>
        <v>0</v>
      </c>
      <c r="W41" s="99">
        <f>IF(AND(SamplingData[[#This Row],[Total]]&lt;&gt; 0, NOT(ISBLANK(SamplingData[[#This Row],[Candidate 8]]))),(SamplingData[[#This Row],[Total]]+SamplingData[[#This Row],[Winning Candidate]]-SamplingData[[#This Row],[Candidate 8]])/(SamplingData[[#Totals],[Winning Candidate]]-SamplingData[[#Totals],[Candidate 8]]), 0)</f>
        <v>0</v>
      </c>
      <c r="X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 s="99">
        <f>MAX(SamplingData[[#This Row],[Error Bound (up) - Max. possible relative overstatement - Losing Candidate]:[Error Bound (up) - Max. possible relative overstatement - Candidate 12]])</f>
        <v>3.4289594296384313E-2</v>
      </c>
      <c r="AC41" s="99">
        <f>IF(SamplingData[[#This Row],[Max Error Bound (up)]] = 0,0,SamplingData[[#This Row],[Max Error Bound (up)]]/SamplingData[[#Totals],[Max Error Bound (up)]])</f>
        <v>1.8358963173010529E-3</v>
      </c>
      <c r="AD41" s="103">
        <f>SUM($AC$5:AC41)</f>
        <v>4.772875995201227E-2</v>
      </c>
      <c r="AE41" s="99" t="str" cm="1">
        <f t="array" ref="AE41">IF(SamplingData[[#This Row],[up/U Selection Probability]] = 0, "Zero", TEXT(SamplingData[[#This Row],[Lower Range]], REPT("0",LEN('General Info'!$B$42))) &amp; " - " &amp; TEXT(SamplingData[[#This Row],[Upper Range]], REPT("0",LEN('General Info'!$B$42))))</f>
        <v>045893 - 047728</v>
      </c>
      <c r="AF41" s="99">
        <f>SamplingData[[#This Row],[Upper Range]]-SamplingData[[#This Row],[Span]]</f>
        <v>45892.863634711211</v>
      </c>
      <c r="AG41" s="99">
        <f>IF(ISNUMBER('General Info'!$B$42), ((SamplingData[[#This Row],[up/U Selection Probability]]) * 'General Info'!$B$44) - 1, 0)</f>
        <v>1834.8963173010529</v>
      </c>
      <c r="AH41" s="99">
        <f>IF(ISNUMBER('General Info'!$B$42), (SamplingData[[#This Row],[Running (cumulative) sum]] * ('General Info'!$B$42 -'General Info'!$B$43 + 1)) + 'General Info'!$B$43 - 1, 0)</f>
        <v>47727.759952012268</v>
      </c>
      <c r="AI41" s="99" t="str">
        <f>IF(ISERROR(MATCH(SamplingData[[#This Row],[Batch by Type (p)]],SelectedPrecincts[Batch Name], 0)), "", INDEX(SelectedPrecincts[Draw], MATCH(SamplingData[[#This Row],[Batch by Type (p)]],SelectedPrecincts[Batch Name], 0)))</f>
        <v/>
      </c>
      <c r="AJ41" s="100">
        <f>IF(COUNTIF(SelectedPrecincts[Batch Name],SamplingData[[#This Row],[Batch by Type (p)]]) &lt;&gt; 0, COUNTIF(SelectedPrecincts[Batch Name],SamplingData[[#This Row],[Batch by Type (p)]]), 0)</f>
        <v>0</v>
      </c>
    </row>
    <row r="42" spans="1:36" ht="15" customHeight="1" x14ac:dyDescent="0.35">
      <c r="A42" s="97" t="s">
        <v>255</v>
      </c>
      <c r="B42" s="97">
        <v>296</v>
      </c>
      <c r="C42" s="97">
        <v>238</v>
      </c>
      <c r="D42" s="92"/>
      <c r="E42" s="92"/>
      <c r="F42" s="92"/>
      <c r="G42" s="96"/>
      <c r="H42" s="96"/>
      <c r="I42" s="92"/>
      <c r="J42" s="92"/>
      <c r="K42" s="92"/>
      <c r="L42" s="92"/>
      <c r="M42" s="92"/>
      <c r="N42" s="97">
        <v>0</v>
      </c>
      <c r="O42" s="97">
        <v>21</v>
      </c>
      <c r="P42" s="98">
        <f>SUM(SamplingData[[#This Row],[Winning Candidate]:[Under Votes]])</f>
        <v>555</v>
      </c>
      <c r="Q42" s="99">
        <f>IF(AND(SamplingData[[#This Row],[Total]]&lt;&gt; 0, NOT(ISBLANK(SamplingData[[#This Row],[Losing Candidate]]))),(SamplingData[[#This Row],[Total]]+SamplingData[[#This Row],[Winning Candidate]]-SamplingData[[#This Row],[Losing Candidate]])/(SamplingData[[#Totals],[Winning Candidate]]-SamplingData[[#Totals],[Losing Candidate]]), 0)</f>
        <v>2.6014259039212357E-2</v>
      </c>
      <c r="R42" s="99">
        <f>IF(AND(SamplingData[[#This Row],[Total]]&lt;&gt; 0, NOT(ISBLANK(SamplingData[[#This Row],[Candidate 3]]))),(SamplingData[[#This Row],[Total]]+SamplingData[[#This Row],[Winning Candidate]]-SamplingData[[#This Row],[Candidate 3]])/(SamplingData[[#Totals],[Winning Candidate]]-SamplingData[[#Totals],[Candidate 3]]), 0)</f>
        <v>0</v>
      </c>
      <c r="S42" s="99">
        <f>IF(AND(SamplingData[[#This Row],[Total]]&lt;&gt; 0, NOT(ISBLANK(SamplingData[[#This Row],[Candidate 4]]))),(SamplingData[[#This Row],[Total]]+SamplingData[[#This Row],[Winning Candidate]]-SamplingData[[#This Row],[Candidate 4]])/(SamplingData[[#Totals],[Winning Candidate]]-SamplingData[[#Totals],[Candidate 4]]), 0)</f>
        <v>0</v>
      </c>
      <c r="T42" s="99">
        <f>IF(AND(SamplingData[[#This Row],[Total]]&lt;&gt; 0, NOT(ISBLANK(SamplingData[[#This Row],[Candidate 5]]))),(SamplingData[[#This Row],[Total]]+SamplingData[[#This Row],[Winning Candidate]]-SamplingData[[#This Row],[Candidate 5]])/(SamplingData[[#Totals],[Winning Candidate]]-SamplingData[[#Totals],[Candidate 5]]), 0)</f>
        <v>0</v>
      </c>
      <c r="U42" s="99">
        <f>IF(AND(SamplingData[[#This Row],[Total]]&lt;&gt; 0, NOT(ISBLANK(SamplingData[[#This Row],[Candidate 6]]))),(SamplingData[[#This Row],[Total]]+SamplingData[[#This Row],[Losing Candidate]]-SamplingData[[#This Row],[Candidate 6]])/(SamplingData[[#Totals],[Winning Candidate]]-SamplingData[[#Totals],[Candidate 6]]), 0)</f>
        <v>0</v>
      </c>
      <c r="V42" s="99">
        <f>IF(AND(SamplingData[[#This Row],[Total]]&lt;&gt; 0, NOT(ISBLANK(SamplingData[[#This Row],[Candidate 7]]))),(SamplingData[[#This Row],[Total]]+SamplingData[[#This Row],[Winning Candidate]]-SamplingData[[#This Row],[Candidate 7]])/(SamplingData[[#Totals],[Winning Candidate]]-SamplingData[[#Totals],[Candidate 7]]), 0)</f>
        <v>0</v>
      </c>
      <c r="W42" s="99">
        <f>IF(AND(SamplingData[[#This Row],[Total]]&lt;&gt; 0, NOT(ISBLANK(SamplingData[[#This Row],[Candidate 8]]))),(SamplingData[[#This Row],[Total]]+SamplingData[[#This Row],[Winning Candidate]]-SamplingData[[#This Row],[Candidate 8]])/(SamplingData[[#Totals],[Winning Candidate]]-SamplingData[[#Totals],[Candidate 8]]), 0)</f>
        <v>0</v>
      </c>
      <c r="X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 s="99">
        <f>MAX(SamplingData[[#This Row],[Error Bound (up) - Max. possible relative overstatement - Losing Candidate]:[Error Bound (up) - Max. possible relative overstatement - Candidate 12]])</f>
        <v>2.6014259039212357E-2</v>
      </c>
      <c r="AC42" s="99">
        <f>IF(SamplingData[[#This Row],[Max Error Bound (up)]] = 0,0,SamplingData[[#This Row],[Max Error Bound (up)]]/SamplingData[[#Totals],[Max Error Bound (up)]])</f>
        <v>1.3928272803286454E-3</v>
      </c>
      <c r="AD42" s="103">
        <f>SUM($AC$5:AC42)</f>
        <v>4.9121587232340919E-2</v>
      </c>
      <c r="AE42" s="99" t="str" cm="1">
        <f t="array" ref="AE42">IF(SamplingData[[#This Row],[up/U Selection Probability]] = 0, "Zero", TEXT(SamplingData[[#This Row],[Lower Range]], REPT("0",LEN('General Info'!$B$42))) &amp; " - " &amp; TEXT(SamplingData[[#This Row],[Upper Range]], REPT("0",LEN('General Info'!$B$42))))</f>
        <v>047729 - 049121</v>
      </c>
      <c r="AF42" s="99">
        <f>SamplingData[[#This Row],[Upper Range]]-SamplingData[[#This Row],[Span]]</f>
        <v>47728.759952012275</v>
      </c>
      <c r="AG42" s="99">
        <f>IF(ISNUMBER('General Info'!$B$42), ((SamplingData[[#This Row],[up/U Selection Probability]]) * 'General Info'!$B$44) - 1, 0)</f>
        <v>1391.8272803286454</v>
      </c>
      <c r="AH42" s="99">
        <f>IF(ISNUMBER('General Info'!$B$42), (SamplingData[[#This Row],[Running (cumulative) sum]] * ('General Info'!$B$42 -'General Info'!$B$43 + 1)) + 'General Info'!$B$43 - 1, 0)</f>
        <v>49120.58723234092</v>
      </c>
      <c r="AI42" s="99" t="str">
        <f>IF(ISERROR(MATCH(SamplingData[[#This Row],[Batch by Type (p)]],SelectedPrecincts[Batch Name], 0)), "", INDEX(SelectedPrecincts[Draw], MATCH(SamplingData[[#This Row],[Batch by Type (p)]],SelectedPrecincts[Batch Name], 0)))</f>
        <v/>
      </c>
      <c r="AJ42" s="100">
        <f>IF(COUNTIF(SelectedPrecincts[Batch Name],SamplingData[[#This Row],[Batch by Type (p)]]) &lt;&gt; 0, COUNTIF(SelectedPrecincts[Batch Name],SamplingData[[#This Row],[Batch by Type (p)]]), 0)</f>
        <v>0</v>
      </c>
    </row>
    <row r="43" spans="1:36" ht="15" customHeight="1" x14ac:dyDescent="0.35">
      <c r="A43" s="97" t="s">
        <v>256</v>
      </c>
      <c r="B43" s="97">
        <v>289</v>
      </c>
      <c r="C43" s="97">
        <v>131</v>
      </c>
      <c r="D43" s="92"/>
      <c r="E43" s="92"/>
      <c r="F43" s="92"/>
      <c r="G43" s="96"/>
      <c r="H43" s="96"/>
      <c r="I43" s="92"/>
      <c r="J43" s="92"/>
      <c r="K43" s="92"/>
      <c r="L43" s="92"/>
      <c r="M43" s="92"/>
      <c r="N43" s="97">
        <v>0</v>
      </c>
      <c r="O43" s="97">
        <v>26</v>
      </c>
      <c r="P43" s="98">
        <f>SUM(SamplingData[[#This Row],[Winning Candidate]:[Under Votes]])</f>
        <v>446</v>
      </c>
      <c r="Q43" s="99">
        <f>IF(AND(SamplingData[[#This Row],[Total]]&lt;&gt; 0, NOT(ISBLANK(SamplingData[[#This Row],[Losing Candidate]]))),(SamplingData[[#This Row],[Total]]+SamplingData[[#This Row],[Winning Candidate]]-SamplingData[[#This Row],[Losing Candidate]])/(SamplingData[[#Totals],[Winning Candidate]]-SamplingData[[#Totals],[Losing Candidate]]), 0)</f>
        <v>2.5632320488881345E-2</v>
      </c>
      <c r="R43" s="99">
        <f>IF(AND(SamplingData[[#This Row],[Total]]&lt;&gt; 0, NOT(ISBLANK(SamplingData[[#This Row],[Candidate 3]]))),(SamplingData[[#This Row],[Total]]+SamplingData[[#This Row],[Winning Candidate]]-SamplingData[[#This Row],[Candidate 3]])/(SamplingData[[#Totals],[Winning Candidate]]-SamplingData[[#Totals],[Candidate 3]]), 0)</f>
        <v>0</v>
      </c>
      <c r="S43" s="99">
        <f>IF(AND(SamplingData[[#This Row],[Total]]&lt;&gt; 0, NOT(ISBLANK(SamplingData[[#This Row],[Candidate 4]]))),(SamplingData[[#This Row],[Total]]+SamplingData[[#This Row],[Winning Candidate]]-SamplingData[[#This Row],[Candidate 4]])/(SamplingData[[#Totals],[Winning Candidate]]-SamplingData[[#Totals],[Candidate 4]]), 0)</f>
        <v>0</v>
      </c>
      <c r="T43" s="99">
        <f>IF(AND(SamplingData[[#This Row],[Total]]&lt;&gt; 0, NOT(ISBLANK(SamplingData[[#This Row],[Candidate 5]]))),(SamplingData[[#This Row],[Total]]+SamplingData[[#This Row],[Winning Candidate]]-SamplingData[[#This Row],[Candidate 5]])/(SamplingData[[#Totals],[Winning Candidate]]-SamplingData[[#Totals],[Candidate 5]]), 0)</f>
        <v>0</v>
      </c>
      <c r="U43" s="99">
        <f>IF(AND(SamplingData[[#This Row],[Total]]&lt;&gt; 0, NOT(ISBLANK(SamplingData[[#This Row],[Candidate 6]]))),(SamplingData[[#This Row],[Total]]+SamplingData[[#This Row],[Losing Candidate]]-SamplingData[[#This Row],[Candidate 6]])/(SamplingData[[#Totals],[Winning Candidate]]-SamplingData[[#Totals],[Candidate 6]]), 0)</f>
        <v>0</v>
      </c>
      <c r="V43" s="99">
        <f>IF(AND(SamplingData[[#This Row],[Total]]&lt;&gt; 0, NOT(ISBLANK(SamplingData[[#This Row],[Candidate 7]]))),(SamplingData[[#This Row],[Total]]+SamplingData[[#This Row],[Winning Candidate]]-SamplingData[[#This Row],[Candidate 7]])/(SamplingData[[#Totals],[Winning Candidate]]-SamplingData[[#Totals],[Candidate 7]]), 0)</f>
        <v>0</v>
      </c>
      <c r="W43" s="99">
        <f>IF(AND(SamplingData[[#This Row],[Total]]&lt;&gt; 0, NOT(ISBLANK(SamplingData[[#This Row],[Candidate 8]]))),(SamplingData[[#This Row],[Total]]+SamplingData[[#This Row],[Winning Candidate]]-SamplingData[[#This Row],[Candidate 8]])/(SamplingData[[#Totals],[Winning Candidate]]-SamplingData[[#Totals],[Candidate 8]]), 0)</f>
        <v>0</v>
      </c>
      <c r="X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 s="99">
        <f>MAX(SamplingData[[#This Row],[Error Bound (up) - Max. possible relative overstatement - Losing Candidate]:[Error Bound (up) - Max. possible relative overstatement - Candidate 12]])</f>
        <v>2.5632320488881345E-2</v>
      </c>
      <c r="AC43" s="99">
        <f>IF(SamplingData[[#This Row],[Max Error Bound (up)]] = 0,0,SamplingData[[#This Row],[Max Error Bound (up)]]/SamplingData[[#Totals],[Max Error Bound (up)]])</f>
        <v>1.3723779401606882E-3</v>
      </c>
      <c r="AD43" s="103">
        <f>SUM($AC$5:AC43)</f>
        <v>5.0493965172501605E-2</v>
      </c>
      <c r="AE43" s="99" t="str" cm="1">
        <f t="array" ref="AE43">IF(SamplingData[[#This Row],[up/U Selection Probability]] = 0, "Zero", TEXT(SamplingData[[#This Row],[Lower Range]], REPT("0",LEN('General Info'!$B$42))) &amp; " - " &amp; TEXT(SamplingData[[#This Row],[Upper Range]], REPT("0",LEN('General Info'!$B$42))))</f>
        <v>049122 - 050493</v>
      </c>
      <c r="AF43" s="99">
        <f>SamplingData[[#This Row],[Upper Range]]-SamplingData[[#This Row],[Span]]</f>
        <v>49121.58723234092</v>
      </c>
      <c r="AG43" s="99">
        <f>IF(ISNUMBER('General Info'!$B$42), ((SamplingData[[#This Row],[up/U Selection Probability]]) * 'General Info'!$B$44) - 1, 0)</f>
        <v>1371.3779401606882</v>
      </c>
      <c r="AH43" s="99">
        <f>IF(ISNUMBER('General Info'!$B$42), (SamplingData[[#This Row],[Running (cumulative) sum]] * ('General Info'!$B$42 -'General Info'!$B$43 + 1)) + 'General Info'!$B$43 - 1, 0)</f>
        <v>50492.965172501608</v>
      </c>
      <c r="AI43" s="99" t="str">
        <f>IF(ISERROR(MATCH(SamplingData[[#This Row],[Batch by Type (p)]],SelectedPrecincts[Batch Name], 0)), "", INDEX(SelectedPrecincts[Draw], MATCH(SamplingData[[#This Row],[Batch by Type (p)]],SelectedPrecincts[Batch Name], 0)))</f>
        <v/>
      </c>
      <c r="AJ43" s="100">
        <f>IF(COUNTIF(SelectedPrecincts[Batch Name],SamplingData[[#This Row],[Batch by Type (p)]]) &lt;&gt; 0, COUNTIF(SelectedPrecincts[Batch Name],SamplingData[[#This Row],[Batch by Type (p)]]), 0)</f>
        <v>0</v>
      </c>
    </row>
    <row r="44" spans="1:36" ht="15" customHeight="1" x14ac:dyDescent="0.35">
      <c r="A44" s="97" t="s">
        <v>257</v>
      </c>
      <c r="B44" s="97">
        <v>279</v>
      </c>
      <c r="C44" s="97">
        <v>130</v>
      </c>
      <c r="D44" s="92"/>
      <c r="E44" s="92"/>
      <c r="F44" s="92"/>
      <c r="G44" s="96"/>
      <c r="H44" s="96"/>
      <c r="I44" s="92"/>
      <c r="J44" s="92"/>
      <c r="K44" s="92"/>
      <c r="L44" s="92"/>
      <c r="M44" s="92"/>
      <c r="N44" s="97">
        <v>0</v>
      </c>
      <c r="O44" s="97">
        <v>16</v>
      </c>
      <c r="P44" s="98">
        <f>SUM(SamplingData[[#This Row],[Winning Candidate]:[Under Votes]])</f>
        <v>425</v>
      </c>
      <c r="Q44" s="99">
        <f>IF(AND(SamplingData[[#This Row],[Total]]&lt;&gt; 0, NOT(ISBLANK(SamplingData[[#This Row],[Losing Candidate]]))),(SamplingData[[#This Row],[Total]]+SamplingData[[#This Row],[Winning Candidate]]-SamplingData[[#This Row],[Losing Candidate]])/(SamplingData[[#Totals],[Winning Candidate]]-SamplingData[[#Totals],[Losing Candidate]]), 0)</f>
        <v>2.4359191987777966E-2</v>
      </c>
      <c r="R44" s="99">
        <f>IF(AND(SamplingData[[#This Row],[Total]]&lt;&gt; 0, NOT(ISBLANK(SamplingData[[#This Row],[Candidate 3]]))),(SamplingData[[#This Row],[Total]]+SamplingData[[#This Row],[Winning Candidate]]-SamplingData[[#This Row],[Candidate 3]])/(SamplingData[[#Totals],[Winning Candidate]]-SamplingData[[#Totals],[Candidate 3]]), 0)</f>
        <v>0</v>
      </c>
      <c r="S44" s="99">
        <f>IF(AND(SamplingData[[#This Row],[Total]]&lt;&gt; 0, NOT(ISBLANK(SamplingData[[#This Row],[Candidate 4]]))),(SamplingData[[#This Row],[Total]]+SamplingData[[#This Row],[Winning Candidate]]-SamplingData[[#This Row],[Candidate 4]])/(SamplingData[[#Totals],[Winning Candidate]]-SamplingData[[#Totals],[Candidate 4]]), 0)</f>
        <v>0</v>
      </c>
      <c r="T44" s="99">
        <f>IF(AND(SamplingData[[#This Row],[Total]]&lt;&gt; 0, NOT(ISBLANK(SamplingData[[#This Row],[Candidate 5]]))),(SamplingData[[#This Row],[Total]]+SamplingData[[#This Row],[Winning Candidate]]-SamplingData[[#This Row],[Candidate 5]])/(SamplingData[[#Totals],[Winning Candidate]]-SamplingData[[#Totals],[Candidate 5]]), 0)</f>
        <v>0</v>
      </c>
      <c r="U44" s="99">
        <f>IF(AND(SamplingData[[#This Row],[Total]]&lt;&gt; 0, NOT(ISBLANK(SamplingData[[#This Row],[Candidate 6]]))),(SamplingData[[#This Row],[Total]]+SamplingData[[#This Row],[Losing Candidate]]-SamplingData[[#This Row],[Candidate 6]])/(SamplingData[[#Totals],[Winning Candidate]]-SamplingData[[#Totals],[Candidate 6]]), 0)</f>
        <v>0</v>
      </c>
      <c r="V44" s="99">
        <f>IF(AND(SamplingData[[#This Row],[Total]]&lt;&gt; 0, NOT(ISBLANK(SamplingData[[#This Row],[Candidate 7]]))),(SamplingData[[#This Row],[Total]]+SamplingData[[#This Row],[Winning Candidate]]-SamplingData[[#This Row],[Candidate 7]])/(SamplingData[[#Totals],[Winning Candidate]]-SamplingData[[#Totals],[Candidate 7]]), 0)</f>
        <v>0</v>
      </c>
      <c r="W44" s="99">
        <f>IF(AND(SamplingData[[#This Row],[Total]]&lt;&gt; 0, NOT(ISBLANK(SamplingData[[#This Row],[Candidate 8]]))),(SamplingData[[#This Row],[Total]]+SamplingData[[#This Row],[Winning Candidate]]-SamplingData[[#This Row],[Candidate 8]])/(SamplingData[[#Totals],[Winning Candidate]]-SamplingData[[#Totals],[Candidate 8]]), 0)</f>
        <v>0</v>
      </c>
      <c r="X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 s="99">
        <f>MAX(SamplingData[[#This Row],[Error Bound (up) - Max. possible relative overstatement - Losing Candidate]:[Error Bound (up) - Max. possible relative overstatement - Candidate 12]])</f>
        <v>2.4359191987777966E-2</v>
      </c>
      <c r="AC44" s="99">
        <f>IF(SamplingData[[#This Row],[Max Error Bound (up)]] = 0,0,SamplingData[[#This Row],[Max Error Bound (up)]]/SamplingData[[#Totals],[Max Error Bound (up)]])</f>
        <v>1.3042134729341639E-3</v>
      </c>
      <c r="AD44" s="103">
        <f>SUM($AC$5:AC44)</f>
        <v>5.1798178645435768E-2</v>
      </c>
      <c r="AE44" s="99" t="str" cm="1">
        <f t="array" ref="AE44">IF(SamplingData[[#This Row],[up/U Selection Probability]] = 0, "Zero", TEXT(SamplingData[[#This Row],[Lower Range]], REPT("0",LEN('General Info'!$B$42))) &amp; " - " &amp; TEXT(SamplingData[[#This Row],[Upper Range]], REPT("0",LEN('General Info'!$B$42))))</f>
        <v>050494 - 051797</v>
      </c>
      <c r="AF44" s="99">
        <f>SamplingData[[#This Row],[Upper Range]]-SamplingData[[#This Row],[Span]]</f>
        <v>50493.965172501601</v>
      </c>
      <c r="AG44" s="99">
        <f>IF(ISNUMBER('General Info'!$B$42), ((SamplingData[[#This Row],[up/U Selection Probability]]) * 'General Info'!$B$44) - 1, 0)</f>
        <v>1303.213472934164</v>
      </c>
      <c r="AH44" s="99">
        <f>IF(ISNUMBER('General Info'!$B$42), (SamplingData[[#This Row],[Running (cumulative) sum]] * ('General Info'!$B$42 -'General Info'!$B$43 + 1)) + 'General Info'!$B$43 - 1, 0)</f>
        <v>51797.178645435764</v>
      </c>
      <c r="AI44" s="99" t="str">
        <f>IF(ISERROR(MATCH(SamplingData[[#This Row],[Batch by Type (p)]],SelectedPrecincts[Batch Name], 0)), "", INDEX(SelectedPrecincts[Draw], MATCH(SamplingData[[#This Row],[Batch by Type (p)]],SelectedPrecincts[Batch Name], 0)))</f>
        <v/>
      </c>
      <c r="AJ44" s="100">
        <f>IF(COUNTIF(SelectedPrecincts[Batch Name],SamplingData[[#This Row],[Batch by Type (p)]]) &lt;&gt; 0, COUNTIF(SelectedPrecincts[Batch Name],SamplingData[[#This Row],[Batch by Type (p)]]), 0)</f>
        <v>0</v>
      </c>
    </row>
    <row r="45" spans="1:36" ht="15" customHeight="1" x14ac:dyDescent="0.35">
      <c r="A45" s="97" t="s">
        <v>258</v>
      </c>
      <c r="B45" s="97">
        <v>407</v>
      </c>
      <c r="C45" s="97">
        <v>206</v>
      </c>
      <c r="D45" s="92"/>
      <c r="E45" s="92"/>
      <c r="F45" s="92"/>
      <c r="G45" s="96"/>
      <c r="H45" s="96"/>
      <c r="I45" s="92"/>
      <c r="J45" s="92"/>
      <c r="K45" s="92"/>
      <c r="L45" s="92"/>
      <c r="M45" s="92"/>
      <c r="N45" s="97">
        <v>0</v>
      </c>
      <c r="O45" s="97">
        <v>40</v>
      </c>
      <c r="P45" s="98">
        <f>SUM(SamplingData[[#This Row],[Winning Candidate]:[Under Votes]])</f>
        <v>653</v>
      </c>
      <c r="Q45" s="99">
        <f>IF(AND(SamplingData[[#This Row],[Total]]&lt;&gt; 0, NOT(ISBLANK(SamplingData[[#This Row],[Losing Candidate]]))),(SamplingData[[#This Row],[Total]]+SamplingData[[#This Row],[Winning Candidate]]-SamplingData[[#This Row],[Losing Candidate]])/(SamplingData[[#Totals],[Winning Candidate]]-SamplingData[[#Totals],[Losing Candidate]]), 0)</f>
        <v>3.6241724664742826E-2</v>
      </c>
      <c r="R45" s="99">
        <f>IF(AND(SamplingData[[#This Row],[Total]]&lt;&gt; 0, NOT(ISBLANK(SamplingData[[#This Row],[Candidate 3]]))),(SamplingData[[#This Row],[Total]]+SamplingData[[#This Row],[Winning Candidate]]-SamplingData[[#This Row],[Candidate 3]])/(SamplingData[[#Totals],[Winning Candidate]]-SamplingData[[#Totals],[Candidate 3]]), 0)</f>
        <v>0</v>
      </c>
      <c r="S45" s="99">
        <f>IF(AND(SamplingData[[#This Row],[Total]]&lt;&gt; 0, NOT(ISBLANK(SamplingData[[#This Row],[Candidate 4]]))),(SamplingData[[#This Row],[Total]]+SamplingData[[#This Row],[Winning Candidate]]-SamplingData[[#This Row],[Candidate 4]])/(SamplingData[[#Totals],[Winning Candidate]]-SamplingData[[#Totals],[Candidate 4]]), 0)</f>
        <v>0</v>
      </c>
      <c r="T45" s="99">
        <f>IF(AND(SamplingData[[#This Row],[Total]]&lt;&gt; 0, NOT(ISBLANK(SamplingData[[#This Row],[Candidate 5]]))),(SamplingData[[#This Row],[Total]]+SamplingData[[#This Row],[Winning Candidate]]-SamplingData[[#This Row],[Candidate 5]])/(SamplingData[[#Totals],[Winning Candidate]]-SamplingData[[#Totals],[Candidate 5]]), 0)</f>
        <v>0</v>
      </c>
      <c r="U45" s="99">
        <f>IF(AND(SamplingData[[#This Row],[Total]]&lt;&gt; 0, NOT(ISBLANK(SamplingData[[#This Row],[Candidate 6]]))),(SamplingData[[#This Row],[Total]]+SamplingData[[#This Row],[Losing Candidate]]-SamplingData[[#This Row],[Candidate 6]])/(SamplingData[[#Totals],[Winning Candidate]]-SamplingData[[#Totals],[Candidate 6]]), 0)</f>
        <v>0</v>
      </c>
      <c r="V45" s="99">
        <f>IF(AND(SamplingData[[#This Row],[Total]]&lt;&gt; 0, NOT(ISBLANK(SamplingData[[#This Row],[Candidate 7]]))),(SamplingData[[#This Row],[Total]]+SamplingData[[#This Row],[Winning Candidate]]-SamplingData[[#This Row],[Candidate 7]])/(SamplingData[[#Totals],[Winning Candidate]]-SamplingData[[#Totals],[Candidate 7]]), 0)</f>
        <v>0</v>
      </c>
      <c r="W45" s="99">
        <f>IF(AND(SamplingData[[#This Row],[Total]]&lt;&gt; 0, NOT(ISBLANK(SamplingData[[#This Row],[Candidate 8]]))),(SamplingData[[#This Row],[Total]]+SamplingData[[#This Row],[Winning Candidate]]-SamplingData[[#This Row],[Candidate 8]])/(SamplingData[[#Totals],[Winning Candidate]]-SamplingData[[#Totals],[Candidate 8]]), 0)</f>
        <v>0</v>
      </c>
      <c r="X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 s="99">
        <f>MAX(SamplingData[[#This Row],[Error Bound (up) - Max. possible relative overstatement - Losing Candidate]:[Error Bound (up) - Max. possible relative overstatement - Candidate 12]])</f>
        <v>3.6241724664742826E-2</v>
      </c>
      <c r="AC45" s="99">
        <f>IF(SamplingData[[#This Row],[Max Error Bound (up)]] = 0,0,SamplingData[[#This Row],[Max Error Bound (up)]]/SamplingData[[#Totals],[Max Error Bound (up)]])</f>
        <v>1.9404151670483901E-3</v>
      </c>
      <c r="AD45" s="103">
        <f>SUM($AC$5:AC45)</f>
        <v>5.3738593812484158E-2</v>
      </c>
      <c r="AE45" s="99" t="str" cm="1">
        <f t="array" ref="AE45">IF(SamplingData[[#This Row],[up/U Selection Probability]] = 0, "Zero", TEXT(SamplingData[[#This Row],[Lower Range]], REPT("0",LEN('General Info'!$B$42))) &amp; " - " &amp; TEXT(SamplingData[[#This Row],[Upper Range]], REPT("0",LEN('General Info'!$B$42))))</f>
        <v>051798 - 053738</v>
      </c>
      <c r="AF45" s="99">
        <f>SamplingData[[#This Row],[Upper Range]]-SamplingData[[#This Row],[Span]]</f>
        <v>51798.178645435764</v>
      </c>
      <c r="AG45" s="99">
        <f>IF(ISNUMBER('General Info'!$B$42), ((SamplingData[[#This Row],[up/U Selection Probability]]) * 'General Info'!$B$44) - 1, 0)</f>
        <v>1939.41516704839</v>
      </c>
      <c r="AH45" s="99">
        <f>IF(ISNUMBER('General Info'!$B$42), (SamplingData[[#This Row],[Running (cumulative) sum]] * ('General Info'!$B$42 -'General Info'!$B$43 + 1)) + 'General Info'!$B$43 - 1, 0)</f>
        <v>53737.593812484156</v>
      </c>
      <c r="AI45" s="99" t="str">
        <f>IF(ISERROR(MATCH(SamplingData[[#This Row],[Batch by Type (p)]],SelectedPrecincts[Batch Name], 0)), "", INDEX(SelectedPrecincts[Draw], MATCH(SamplingData[[#This Row],[Batch by Type (p)]],SelectedPrecincts[Batch Name], 0)))</f>
        <v/>
      </c>
      <c r="AJ45" s="100">
        <f>IF(COUNTIF(SelectedPrecincts[Batch Name],SamplingData[[#This Row],[Batch by Type (p)]]) &lt;&gt; 0, COUNTIF(SelectedPrecincts[Batch Name],SamplingData[[#This Row],[Batch by Type (p)]]), 0)</f>
        <v>0</v>
      </c>
    </row>
    <row r="46" spans="1:36" ht="15" customHeight="1" x14ac:dyDescent="0.35">
      <c r="A46" s="97" t="s">
        <v>259</v>
      </c>
      <c r="B46" s="97">
        <v>367</v>
      </c>
      <c r="C46" s="97">
        <v>174</v>
      </c>
      <c r="D46" s="92"/>
      <c r="E46" s="92"/>
      <c r="F46" s="92"/>
      <c r="G46" s="96"/>
      <c r="H46" s="96"/>
      <c r="I46" s="92"/>
      <c r="J46" s="92"/>
      <c r="K46" s="92"/>
      <c r="L46" s="92"/>
      <c r="M46" s="92"/>
      <c r="N46" s="97">
        <v>0</v>
      </c>
      <c r="O46" s="97">
        <v>33</v>
      </c>
      <c r="P46" s="98">
        <f>SUM(SamplingData[[#This Row],[Winning Candidate]:[Under Votes]])</f>
        <v>574</v>
      </c>
      <c r="Q46" s="99">
        <f>IF(AND(SamplingData[[#This Row],[Total]]&lt;&gt; 0, NOT(ISBLANK(SamplingData[[#This Row],[Losing Candidate]]))),(SamplingData[[#This Row],[Total]]+SamplingData[[#This Row],[Winning Candidate]]-SamplingData[[#This Row],[Losing Candidate]])/(SamplingData[[#Totals],[Winning Candidate]]-SamplingData[[#Totals],[Losing Candidate]]), 0)</f>
        <v>3.2549652011543029E-2</v>
      </c>
      <c r="R46" s="99">
        <f>IF(AND(SamplingData[[#This Row],[Total]]&lt;&gt; 0, NOT(ISBLANK(SamplingData[[#This Row],[Candidate 3]]))),(SamplingData[[#This Row],[Total]]+SamplingData[[#This Row],[Winning Candidate]]-SamplingData[[#This Row],[Candidate 3]])/(SamplingData[[#Totals],[Winning Candidate]]-SamplingData[[#Totals],[Candidate 3]]), 0)</f>
        <v>0</v>
      </c>
      <c r="S46" s="99">
        <f>IF(AND(SamplingData[[#This Row],[Total]]&lt;&gt; 0, NOT(ISBLANK(SamplingData[[#This Row],[Candidate 4]]))),(SamplingData[[#This Row],[Total]]+SamplingData[[#This Row],[Winning Candidate]]-SamplingData[[#This Row],[Candidate 4]])/(SamplingData[[#Totals],[Winning Candidate]]-SamplingData[[#Totals],[Candidate 4]]), 0)</f>
        <v>0</v>
      </c>
      <c r="T46" s="99">
        <f>IF(AND(SamplingData[[#This Row],[Total]]&lt;&gt; 0, NOT(ISBLANK(SamplingData[[#This Row],[Candidate 5]]))),(SamplingData[[#This Row],[Total]]+SamplingData[[#This Row],[Winning Candidate]]-SamplingData[[#This Row],[Candidate 5]])/(SamplingData[[#Totals],[Winning Candidate]]-SamplingData[[#Totals],[Candidate 5]]), 0)</f>
        <v>0</v>
      </c>
      <c r="U46" s="99">
        <f>IF(AND(SamplingData[[#This Row],[Total]]&lt;&gt; 0, NOT(ISBLANK(SamplingData[[#This Row],[Candidate 6]]))),(SamplingData[[#This Row],[Total]]+SamplingData[[#This Row],[Losing Candidate]]-SamplingData[[#This Row],[Candidate 6]])/(SamplingData[[#Totals],[Winning Candidate]]-SamplingData[[#Totals],[Candidate 6]]), 0)</f>
        <v>0</v>
      </c>
      <c r="V46" s="99">
        <f>IF(AND(SamplingData[[#This Row],[Total]]&lt;&gt; 0, NOT(ISBLANK(SamplingData[[#This Row],[Candidate 7]]))),(SamplingData[[#This Row],[Total]]+SamplingData[[#This Row],[Winning Candidate]]-SamplingData[[#This Row],[Candidate 7]])/(SamplingData[[#Totals],[Winning Candidate]]-SamplingData[[#Totals],[Candidate 7]]), 0)</f>
        <v>0</v>
      </c>
      <c r="W46" s="99">
        <f>IF(AND(SamplingData[[#This Row],[Total]]&lt;&gt; 0, NOT(ISBLANK(SamplingData[[#This Row],[Candidate 8]]))),(SamplingData[[#This Row],[Total]]+SamplingData[[#This Row],[Winning Candidate]]-SamplingData[[#This Row],[Candidate 8]])/(SamplingData[[#Totals],[Winning Candidate]]-SamplingData[[#Totals],[Candidate 8]]), 0)</f>
        <v>0</v>
      </c>
      <c r="X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 s="99">
        <f>MAX(SamplingData[[#This Row],[Error Bound (up) - Max. possible relative overstatement - Losing Candidate]:[Error Bound (up) - Max. possible relative overstatement - Candidate 12]])</f>
        <v>3.2549652011543029E-2</v>
      </c>
      <c r="AC46" s="99">
        <f>IF(SamplingData[[#This Row],[Max Error Bound (up)]] = 0,0,SamplingData[[#This Row],[Max Error Bound (up)]]/SamplingData[[#Totals],[Max Error Bound (up)]])</f>
        <v>1.7427382120914698E-3</v>
      </c>
      <c r="AD46" s="103">
        <f>SUM($AC$5:AC46)</f>
        <v>5.5481332024575628E-2</v>
      </c>
      <c r="AE46" s="99" t="str" cm="1">
        <f t="array" ref="AE46">IF(SamplingData[[#This Row],[up/U Selection Probability]] = 0, "Zero", TEXT(SamplingData[[#This Row],[Lower Range]], REPT("0",LEN('General Info'!$B$42))) &amp; " - " &amp; TEXT(SamplingData[[#This Row],[Upper Range]], REPT("0",LEN('General Info'!$B$42))))</f>
        <v>053739 - 055480</v>
      </c>
      <c r="AF46" s="99">
        <f>SamplingData[[#This Row],[Upper Range]]-SamplingData[[#This Row],[Span]]</f>
        <v>53738.593812484156</v>
      </c>
      <c r="AG46" s="99">
        <f>IF(ISNUMBER('General Info'!$B$42), ((SamplingData[[#This Row],[up/U Selection Probability]]) * 'General Info'!$B$44) - 1, 0)</f>
        <v>1741.7382120914697</v>
      </c>
      <c r="AH46" s="99">
        <f>IF(ISNUMBER('General Info'!$B$42), (SamplingData[[#This Row],[Running (cumulative) sum]] * ('General Info'!$B$42 -'General Info'!$B$43 + 1)) + 'General Info'!$B$43 - 1, 0)</f>
        <v>55480.332024575626</v>
      </c>
      <c r="AI46" s="99" t="str">
        <f>IF(ISERROR(MATCH(SamplingData[[#This Row],[Batch by Type (p)]],SelectedPrecincts[Batch Name], 0)), "", INDEX(SelectedPrecincts[Draw], MATCH(SamplingData[[#This Row],[Batch by Type (p)]],SelectedPrecincts[Batch Name], 0)))</f>
        <v/>
      </c>
      <c r="AJ46" s="100">
        <f>IF(COUNTIF(SelectedPrecincts[Batch Name],SamplingData[[#This Row],[Batch by Type (p)]]) &lt;&gt; 0, COUNTIF(SelectedPrecincts[Batch Name],SamplingData[[#This Row],[Batch by Type (p)]]), 0)</f>
        <v>0</v>
      </c>
    </row>
    <row r="47" spans="1:36" ht="15" customHeight="1" x14ac:dyDescent="0.35">
      <c r="A47" s="97" t="s">
        <v>260</v>
      </c>
      <c r="B47" s="97">
        <v>221</v>
      </c>
      <c r="C47" s="97">
        <v>127</v>
      </c>
      <c r="D47" s="92"/>
      <c r="E47" s="92"/>
      <c r="F47" s="92"/>
      <c r="G47" s="96"/>
      <c r="H47" s="96"/>
      <c r="I47" s="92"/>
      <c r="J47" s="92"/>
      <c r="K47" s="92"/>
      <c r="L47" s="92"/>
      <c r="M47" s="92"/>
      <c r="N47" s="97">
        <v>0</v>
      </c>
      <c r="O47" s="97">
        <v>16</v>
      </c>
      <c r="P47" s="98">
        <f>SUM(SamplingData[[#This Row],[Winning Candidate]:[Under Votes]])</f>
        <v>364</v>
      </c>
      <c r="Q47" s="99">
        <f>IF(AND(SamplingData[[#This Row],[Total]]&lt;&gt; 0, NOT(ISBLANK(SamplingData[[#This Row],[Losing Candidate]]))),(SamplingData[[#This Row],[Total]]+SamplingData[[#This Row],[Winning Candidate]]-SamplingData[[#This Row],[Losing Candidate]])/(SamplingData[[#Totals],[Winning Candidate]]-SamplingData[[#Totals],[Losing Candidate]]), 0)</f>
        <v>1.9436428450178237E-2</v>
      </c>
      <c r="R47" s="99">
        <f>IF(AND(SamplingData[[#This Row],[Total]]&lt;&gt; 0, NOT(ISBLANK(SamplingData[[#This Row],[Candidate 3]]))),(SamplingData[[#This Row],[Total]]+SamplingData[[#This Row],[Winning Candidate]]-SamplingData[[#This Row],[Candidate 3]])/(SamplingData[[#Totals],[Winning Candidate]]-SamplingData[[#Totals],[Candidate 3]]), 0)</f>
        <v>0</v>
      </c>
      <c r="S47" s="99">
        <f>IF(AND(SamplingData[[#This Row],[Total]]&lt;&gt; 0, NOT(ISBLANK(SamplingData[[#This Row],[Candidate 4]]))),(SamplingData[[#This Row],[Total]]+SamplingData[[#This Row],[Winning Candidate]]-SamplingData[[#This Row],[Candidate 4]])/(SamplingData[[#Totals],[Winning Candidate]]-SamplingData[[#Totals],[Candidate 4]]), 0)</f>
        <v>0</v>
      </c>
      <c r="T47" s="99">
        <f>IF(AND(SamplingData[[#This Row],[Total]]&lt;&gt; 0, NOT(ISBLANK(SamplingData[[#This Row],[Candidate 5]]))),(SamplingData[[#This Row],[Total]]+SamplingData[[#This Row],[Winning Candidate]]-SamplingData[[#This Row],[Candidate 5]])/(SamplingData[[#Totals],[Winning Candidate]]-SamplingData[[#Totals],[Candidate 5]]), 0)</f>
        <v>0</v>
      </c>
      <c r="U47" s="99">
        <f>IF(AND(SamplingData[[#This Row],[Total]]&lt;&gt; 0, NOT(ISBLANK(SamplingData[[#This Row],[Candidate 6]]))),(SamplingData[[#This Row],[Total]]+SamplingData[[#This Row],[Losing Candidate]]-SamplingData[[#This Row],[Candidate 6]])/(SamplingData[[#Totals],[Winning Candidate]]-SamplingData[[#Totals],[Candidate 6]]), 0)</f>
        <v>0</v>
      </c>
      <c r="V47" s="99">
        <f>IF(AND(SamplingData[[#This Row],[Total]]&lt;&gt; 0, NOT(ISBLANK(SamplingData[[#This Row],[Candidate 7]]))),(SamplingData[[#This Row],[Total]]+SamplingData[[#This Row],[Winning Candidate]]-SamplingData[[#This Row],[Candidate 7]])/(SamplingData[[#Totals],[Winning Candidate]]-SamplingData[[#Totals],[Candidate 7]]), 0)</f>
        <v>0</v>
      </c>
      <c r="W47" s="99">
        <f>IF(AND(SamplingData[[#This Row],[Total]]&lt;&gt; 0, NOT(ISBLANK(SamplingData[[#This Row],[Candidate 8]]))),(SamplingData[[#This Row],[Total]]+SamplingData[[#This Row],[Winning Candidate]]-SamplingData[[#This Row],[Candidate 8]])/(SamplingData[[#Totals],[Winning Candidate]]-SamplingData[[#Totals],[Candidate 8]]), 0)</f>
        <v>0</v>
      </c>
      <c r="X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 s="99">
        <f>MAX(SamplingData[[#This Row],[Error Bound (up) - Max. possible relative overstatement - Losing Candidate]:[Error Bound (up) - Max. possible relative overstatement - Candidate 12]])</f>
        <v>1.9436428450178237E-2</v>
      </c>
      <c r="AC47" s="99">
        <f>IF(SamplingData[[#This Row],[Max Error Bound (up)]] = 0,0,SamplingData[[#This Row],[Max Error Bound (up)]]/SamplingData[[#Totals],[Max Error Bound (up)]])</f>
        <v>1.04064419965827E-3</v>
      </c>
      <c r="AD47" s="103">
        <f>SUM($AC$5:AC47)</f>
        <v>5.6521976224233897E-2</v>
      </c>
      <c r="AE47" s="99" t="str" cm="1">
        <f t="array" ref="AE47">IF(SamplingData[[#This Row],[up/U Selection Probability]] = 0, "Zero", TEXT(SamplingData[[#This Row],[Lower Range]], REPT("0",LEN('General Info'!$B$42))) &amp; " - " &amp; TEXT(SamplingData[[#This Row],[Upper Range]], REPT("0",LEN('General Info'!$B$42))))</f>
        <v>055481 - 056521</v>
      </c>
      <c r="AF47" s="99">
        <f>SamplingData[[#This Row],[Upper Range]]-SamplingData[[#This Row],[Span]]</f>
        <v>55481.332024575626</v>
      </c>
      <c r="AG47" s="99">
        <f>IF(ISNUMBER('General Info'!$B$42), ((SamplingData[[#This Row],[up/U Selection Probability]]) * 'General Info'!$B$44) - 1, 0)</f>
        <v>1039.6441996582701</v>
      </c>
      <c r="AH47" s="99">
        <f>IF(ISNUMBER('General Info'!$B$42), (SamplingData[[#This Row],[Running (cumulative) sum]] * ('General Info'!$B$42 -'General Info'!$B$43 + 1)) + 'General Info'!$B$43 - 1, 0)</f>
        <v>56520.976224233898</v>
      </c>
      <c r="AI47" s="99" t="str">
        <f>IF(ISERROR(MATCH(SamplingData[[#This Row],[Batch by Type (p)]],SelectedPrecincts[Batch Name], 0)), "", INDEX(SelectedPrecincts[Draw], MATCH(SamplingData[[#This Row],[Batch by Type (p)]],SelectedPrecincts[Batch Name], 0)))</f>
        <v/>
      </c>
      <c r="AJ47" s="100">
        <f>IF(COUNTIF(SelectedPrecincts[Batch Name],SamplingData[[#This Row],[Batch by Type (p)]]) &lt;&gt; 0, COUNTIF(SelectedPrecincts[Batch Name],SamplingData[[#This Row],[Batch by Type (p)]]), 0)</f>
        <v>0</v>
      </c>
    </row>
    <row r="48" spans="1:36" ht="15" customHeight="1" x14ac:dyDescent="0.35">
      <c r="A48" s="97" t="s">
        <v>261</v>
      </c>
      <c r="B48" s="97">
        <v>373</v>
      </c>
      <c r="C48" s="97">
        <v>236</v>
      </c>
      <c r="D48" s="92"/>
      <c r="E48" s="92"/>
      <c r="F48" s="92"/>
      <c r="G48" s="96"/>
      <c r="H48" s="96"/>
      <c r="I48" s="92"/>
      <c r="J48" s="92"/>
      <c r="K48" s="92"/>
      <c r="L48" s="92"/>
      <c r="M48" s="92"/>
      <c r="N48" s="97">
        <v>1</v>
      </c>
      <c r="O48" s="97">
        <v>44</v>
      </c>
      <c r="P48" s="98">
        <f>SUM(SamplingData[[#This Row],[Winning Candidate]:[Under Votes]])</f>
        <v>654</v>
      </c>
      <c r="Q48" s="99">
        <f>IF(AND(SamplingData[[#This Row],[Total]]&lt;&gt; 0, NOT(ISBLANK(SamplingData[[#This Row],[Losing Candidate]]))),(SamplingData[[#This Row],[Total]]+SamplingData[[#This Row],[Winning Candidate]]-SamplingData[[#This Row],[Losing Candidate]])/(SamplingData[[#Totals],[Winning Candidate]]-SamplingData[[#Totals],[Losing Candidate]]), 0)</f>
        <v>3.3568154812425734E-2</v>
      </c>
      <c r="R48" s="99">
        <f>IF(AND(SamplingData[[#This Row],[Total]]&lt;&gt; 0, NOT(ISBLANK(SamplingData[[#This Row],[Candidate 3]]))),(SamplingData[[#This Row],[Total]]+SamplingData[[#This Row],[Winning Candidate]]-SamplingData[[#This Row],[Candidate 3]])/(SamplingData[[#Totals],[Winning Candidate]]-SamplingData[[#Totals],[Candidate 3]]), 0)</f>
        <v>0</v>
      </c>
      <c r="S48" s="99">
        <f>IF(AND(SamplingData[[#This Row],[Total]]&lt;&gt; 0, NOT(ISBLANK(SamplingData[[#This Row],[Candidate 4]]))),(SamplingData[[#This Row],[Total]]+SamplingData[[#This Row],[Winning Candidate]]-SamplingData[[#This Row],[Candidate 4]])/(SamplingData[[#Totals],[Winning Candidate]]-SamplingData[[#Totals],[Candidate 4]]), 0)</f>
        <v>0</v>
      </c>
      <c r="T48" s="99">
        <f>IF(AND(SamplingData[[#This Row],[Total]]&lt;&gt; 0, NOT(ISBLANK(SamplingData[[#This Row],[Candidate 5]]))),(SamplingData[[#This Row],[Total]]+SamplingData[[#This Row],[Winning Candidate]]-SamplingData[[#This Row],[Candidate 5]])/(SamplingData[[#Totals],[Winning Candidate]]-SamplingData[[#Totals],[Candidate 5]]), 0)</f>
        <v>0</v>
      </c>
      <c r="U48" s="99">
        <f>IF(AND(SamplingData[[#This Row],[Total]]&lt;&gt; 0, NOT(ISBLANK(SamplingData[[#This Row],[Candidate 6]]))),(SamplingData[[#This Row],[Total]]+SamplingData[[#This Row],[Losing Candidate]]-SamplingData[[#This Row],[Candidate 6]])/(SamplingData[[#Totals],[Winning Candidate]]-SamplingData[[#Totals],[Candidate 6]]), 0)</f>
        <v>0</v>
      </c>
      <c r="V48" s="99">
        <f>IF(AND(SamplingData[[#This Row],[Total]]&lt;&gt; 0, NOT(ISBLANK(SamplingData[[#This Row],[Candidate 7]]))),(SamplingData[[#This Row],[Total]]+SamplingData[[#This Row],[Winning Candidate]]-SamplingData[[#This Row],[Candidate 7]])/(SamplingData[[#Totals],[Winning Candidate]]-SamplingData[[#Totals],[Candidate 7]]), 0)</f>
        <v>0</v>
      </c>
      <c r="W48" s="99">
        <f>IF(AND(SamplingData[[#This Row],[Total]]&lt;&gt; 0, NOT(ISBLANK(SamplingData[[#This Row],[Candidate 8]]))),(SamplingData[[#This Row],[Total]]+SamplingData[[#This Row],[Winning Candidate]]-SamplingData[[#This Row],[Candidate 8]])/(SamplingData[[#Totals],[Winning Candidate]]-SamplingData[[#Totals],[Candidate 8]]), 0)</f>
        <v>0</v>
      </c>
      <c r="X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 s="99">
        <f>MAX(SamplingData[[#This Row],[Error Bound (up) - Max. possible relative overstatement - Losing Candidate]:[Error Bound (up) - Max. possible relative overstatement - Candidate 12]])</f>
        <v>3.3568154812425734E-2</v>
      </c>
      <c r="AC48" s="99">
        <f>IF(SamplingData[[#This Row],[Max Error Bound (up)]] = 0,0,SamplingData[[#This Row],[Max Error Bound (up)]]/SamplingData[[#Totals],[Max Error Bound (up)]])</f>
        <v>1.7972697858726892E-3</v>
      </c>
      <c r="AD48" s="103">
        <f>SUM($AC$5:AC48)</f>
        <v>5.8319246010106587E-2</v>
      </c>
      <c r="AE48" s="99" t="str" cm="1">
        <f t="array" ref="AE48">IF(SamplingData[[#This Row],[up/U Selection Probability]] = 0, "Zero", TEXT(SamplingData[[#This Row],[Lower Range]], REPT("0",LEN('General Info'!$B$42))) &amp; " - " &amp; TEXT(SamplingData[[#This Row],[Upper Range]], REPT("0",LEN('General Info'!$B$42))))</f>
        <v>056522 - 058318</v>
      </c>
      <c r="AF48" s="99">
        <f>SamplingData[[#This Row],[Upper Range]]-SamplingData[[#This Row],[Span]]</f>
        <v>56521.976224233898</v>
      </c>
      <c r="AG48" s="99">
        <f>IF(ISNUMBER('General Info'!$B$42), ((SamplingData[[#This Row],[up/U Selection Probability]]) * 'General Info'!$B$44) - 1, 0)</f>
        <v>1796.2697858726892</v>
      </c>
      <c r="AH48" s="99">
        <f>IF(ISNUMBER('General Info'!$B$42), (SamplingData[[#This Row],[Running (cumulative) sum]] * ('General Info'!$B$42 -'General Info'!$B$43 + 1)) + 'General Info'!$B$43 - 1, 0)</f>
        <v>58318.246010106588</v>
      </c>
      <c r="AI48" s="99" t="str">
        <f>IF(ISERROR(MATCH(SamplingData[[#This Row],[Batch by Type (p)]],SelectedPrecincts[Batch Name], 0)), "", INDEX(SelectedPrecincts[Draw], MATCH(SamplingData[[#This Row],[Batch by Type (p)]],SelectedPrecincts[Batch Name], 0)))</f>
        <v/>
      </c>
      <c r="AJ48" s="100">
        <f>IF(COUNTIF(SelectedPrecincts[Batch Name],SamplingData[[#This Row],[Batch by Type (p)]]) &lt;&gt; 0, COUNTIF(SelectedPrecincts[Batch Name],SamplingData[[#This Row],[Batch by Type (p)]]), 0)</f>
        <v>0</v>
      </c>
    </row>
    <row r="49" spans="1:36" ht="15" customHeight="1" x14ac:dyDescent="0.35">
      <c r="A49" s="97" t="s">
        <v>262</v>
      </c>
      <c r="B49" s="97">
        <v>238</v>
      </c>
      <c r="C49" s="97">
        <v>36</v>
      </c>
      <c r="D49" s="92"/>
      <c r="E49" s="92"/>
      <c r="F49" s="92"/>
      <c r="G49" s="96"/>
      <c r="H49" s="96"/>
      <c r="I49" s="92"/>
      <c r="J49" s="92"/>
      <c r="K49" s="92"/>
      <c r="L49" s="92"/>
      <c r="M49" s="92"/>
      <c r="N49" s="97">
        <v>0</v>
      </c>
      <c r="O49" s="97">
        <v>13</v>
      </c>
      <c r="P49" s="98">
        <f>SUM(SamplingData[[#This Row],[Winning Candidate]:[Under Votes]])</f>
        <v>287</v>
      </c>
      <c r="Q49" s="99">
        <f>IF(AND(SamplingData[[#This Row],[Total]]&lt;&gt; 0, NOT(ISBLANK(SamplingData[[#This Row],[Losing Candidate]]))),(SamplingData[[#This Row],[Total]]+SamplingData[[#This Row],[Winning Candidate]]-SamplingData[[#This Row],[Losing Candidate]])/(SamplingData[[#Totals],[Winning Candidate]]-SamplingData[[#Totals],[Losing Candidate]]), 0)</f>
        <v>2.0751994567985061E-2</v>
      </c>
      <c r="R49" s="99">
        <f>IF(AND(SamplingData[[#This Row],[Total]]&lt;&gt; 0, NOT(ISBLANK(SamplingData[[#This Row],[Candidate 3]]))),(SamplingData[[#This Row],[Total]]+SamplingData[[#This Row],[Winning Candidate]]-SamplingData[[#This Row],[Candidate 3]])/(SamplingData[[#Totals],[Winning Candidate]]-SamplingData[[#Totals],[Candidate 3]]), 0)</f>
        <v>0</v>
      </c>
      <c r="S49" s="99">
        <f>IF(AND(SamplingData[[#This Row],[Total]]&lt;&gt; 0, NOT(ISBLANK(SamplingData[[#This Row],[Candidate 4]]))),(SamplingData[[#This Row],[Total]]+SamplingData[[#This Row],[Winning Candidate]]-SamplingData[[#This Row],[Candidate 4]])/(SamplingData[[#Totals],[Winning Candidate]]-SamplingData[[#Totals],[Candidate 4]]), 0)</f>
        <v>0</v>
      </c>
      <c r="T49" s="99">
        <f>IF(AND(SamplingData[[#This Row],[Total]]&lt;&gt; 0, NOT(ISBLANK(SamplingData[[#This Row],[Candidate 5]]))),(SamplingData[[#This Row],[Total]]+SamplingData[[#This Row],[Winning Candidate]]-SamplingData[[#This Row],[Candidate 5]])/(SamplingData[[#Totals],[Winning Candidate]]-SamplingData[[#Totals],[Candidate 5]]), 0)</f>
        <v>0</v>
      </c>
      <c r="U49" s="99">
        <f>IF(AND(SamplingData[[#This Row],[Total]]&lt;&gt; 0, NOT(ISBLANK(SamplingData[[#This Row],[Candidate 6]]))),(SamplingData[[#This Row],[Total]]+SamplingData[[#This Row],[Losing Candidate]]-SamplingData[[#This Row],[Candidate 6]])/(SamplingData[[#Totals],[Winning Candidate]]-SamplingData[[#Totals],[Candidate 6]]), 0)</f>
        <v>0</v>
      </c>
      <c r="V49" s="99">
        <f>IF(AND(SamplingData[[#This Row],[Total]]&lt;&gt; 0, NOT(ISBLANK(SamplingData[[#This Row],[Candidate 7]]))),(SamplingData[[#This Row],[Total]]+SamplingData[[#This Row],[Winning Candidate]]-SamplingData[[#This Row],[Candidate 7]])/(SamplingData[[#Totals],[Winning Candidate]]-SamplingData[[#Totals],[Candidate 7]]), 0)</f>
        <v>0</v>
      </c>
      <c r="W49" s="99">
        <f>IF(AND(SamplingData[[#This Row],[Total]]&lt;&gt; 0, NOT(ISBLANK(SamplingData[[#This Row],[Candidate 8]]))),(SamplingData[[#This Row],[Total]]+SamplingData[[#This Row],[Winning Candidate]]-SamplingData[[#This Row],[Candidate 8]])/(SamplingData[[#Totals],[Winning Candidate]]-SamplingData[[#Totals],[Candidate 8]]), 0)</f>
        <v>0</v>
      </c>
      <c r="X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 s="99">
        <f>MAX(SamplingData[[#This Row],[Error Bound (up) - Max. possible relative overstatement - Losing Candidate]:[Error Bound (up) - Max. possible relative overstatement - Candidate 12]])</f>
        <v>2.0751994567985061E-2</v>
      </c>
      <c r="AC49" s="99">
        <f>IF(SamplingData[[#This Row],[Max Error Bound (up)]] = 0,0,SamplingData[[#This Row],[Max Error Bound (up)]]/SamplingData[[#Totals],[Max Error Bound (up)]])</f>
        <v>1.1110808157923451E-3</v>
      </c>
      <c r="AD49" s="103">
        <f>SUM($AC$5:AC49)</f>
        <v>5.9430326825898931E-2</v>
      </c>
      <c r="AE49" s="99" t="str" cm="1">
        <f t="array" ref="AE49">IF(SamplingData[[#This Row],[up/U Selection Probability]] = 0, "Zero", TEXT(SamplingData[[#This Row],[Lower Range]], REPT("0",LEN('General Info'!$B$42))) &amp; " - " &amp; TEXT(SamplingData[[#This Row],[Upper Range]], REPT("0",LEN('General Info'!$B$42))))</f>
        <v>058319 - 059429</v>
      </c>
      <c r="AF49" s="99">
        <f>SamplingData[[#This Row],[Upper Range]]-SamplingData[[#This Row],[Span]]</f>
        <v>58319.246010106588</v>
      </c>
      <c r="AG49" s="99">
        <f>IF(ISNUMBER('General Info'!$B$42), ((SamplingData[[#This Row],[up/U Selection Probability]]) * 'General Info'!$B$44) - 1, 0)</f>
        <v>1110.080815792345</v>
      </c>
      <c r="AH49" s="99">
        <f>IF(ISNUMBER('General Info'!$B$42), (SamplingData[[#This Row],[Running (cumulative) sum]] * ('General Info'!$B$42 -'General Info'!$B$43 + 1)) + 'General Info'!$B$43 - 1, 0)</f>
        <v>59429.326825898934</v>
      </c>
      <c r="AI49" s="99" t="str">
        <f>IF(ISERROR(MATCH(SamplingData[[#This Row],[Batch by Type (p)]],SelectedPrecincts[Batch Name], 0)), "", INDEX(SelectedPrecincts[Draw], MATCH(SamplingData[[#This Row],[Batch by Type (p)]],SelectedPrecincts[Batch Name], 0)))</f>
        <v/>
      </c>
      <c r="AJ49" s="100">
        <f>IF(COUNTIF(SelectedPrecincts[Batch Name],SamplingData[[#This Row],[Batch by Type (p)]]) &lt;&gt; 0, COUNTIF(SelectedPrecincts[Batch Name],SamplingData[[#This Row],[Batch by Type (p)]]), 0)</f>
        <v>0</v>
      </c>
    </row>
    <row r="50" spans="1:36" ht="15" customHeight="1" x14ac:dyDescent="0.35">
      <c r="A50" s="97" t="s">
        <v>263</v>
      </c>
      <c r="B50" s="97">
        <v>263</v>
      </c>
      <c r="C50" s="97">
        <v>258</v>
      </c>
      <c r="D50" s="92"/>
      <c r="E50" s="92"/>
      <c r="F50" s="92"/>
      <c r="G50" s="96"/>
      <c r="H50" s="96"/>
      <c r="I50" s="92"/>
      <c r="J50" s="92"/>
      <c r="K50" s="92"/>
      <c r="L50" s="92"/>
      <c r="M50" s="92"/>
      <c r="N50" s="97">
        <v>0</v>
      </c>
      <c r="O50" s="97">
        <v>29</v>
      </c>
      <c r="P50" s="98">
        <f>SUM(SamplingData[[#This Row],[Winning Candidate]:[Under Votes]])</f>
        <v>550</v>
      </c>
      <c r="Q50" s="99">
        <f>IF(AND(SamplingData[[#This Row],[Total]]&lt;&gt; 0, NOT(ISBLANK(SamplingData[[#This Row],[Losing Candidate]]))),(SamplingData[[#This Row],[Total]]+SamplingData[[#This Row],[Winning Candidate]]-SamplingData[[#This Row],[Losing Candidate]])/(SamplingData[[#Totals],[Winning Candidate]]-SamplingData[[#Totals],[Losing Candidate]]), 0)</f>
        <v>2.3552877270412494E-2</v>
      </c>
      <c r="R50" s="99">
        <f>IF(AND(SamplingData[[#This Row],[Total]]&lt;&gt; 0, NOT(ISBLANK(SamplingData[[#This Row],[Candidate 3]]))),(SamplingData[[#This Row],[Total]]+SamplingData[[#This Row],[Winning Candidate]]-SamplingData[[#This Row],[Candidate 3]])/(SamplingData[[#Totals],[Winning Candidate]]-SamplingData[[#Totals],[Candidate 3]]), 0)</f>
        <v>0</v>
      </c>
      <c r="S50" s="99">
        <f>IF(AND(SamplingData[[#This Row],[Total]]&lt;&gt; 0, NOT(ISBLANK(SamplingData[[#This Row],[Candidate 4]]))),(SamplingData[[#This Row],[Total]]+SamplingData[[#This Row],[Winning Candidate]]-SamplingData[[#This Row],[Candidate 4]])/(SamplingData[[#Totals],[Winning Candidate]]-SamplingData[[#Totals],[Candidate 4]]), 0)</f>
        <v>0</v>
      </c>
      <c r="T50" s="99">
        <f>IF(AND(SamplingData[[#This Row],[Total]]&lt;&gt; 0, NOT(ISBLANK(SamplingData[[#This Row],[Candidate 5]]))),(SamplingData[[#This Row],[Total]]+SamplingData[[#This Row],[Winning Candidate]]-SamplingData[[#This Row],[Candidate 5]])/(SamplingData[[#Totals],[Winning Candidate]]-SamplingData[[#Totals],[Candidate 5]]), 0)</f>
        <v>0</v>
      </c>
      <c r="U50" s="99">
        <f>IF(AND(SamplingData[[#This Row],[Total]]&lt;&gt; 0, NOT(ISBLANK(SamplingData[[#This Row],[Candidate 6]]))),(SamplingData[[#This Row],[Total]]+SamplingData[[#This Row],[Losing Candidate]]-SamplingData[[#This Row],[Candidate 6]])/(SamplingData[[#Totals],[Winning Candidate]]-SamplingData[[#Totals],[Candidate 6]]), 0)</f>
        <v>0</v>
      </c>
      <c r="V50" s="99">
        <f>IF(AND(SamplingData[[#This Row],[Total]]&lt;&gt; 0, NOT(ISBLANK(SamplingData[[#This Row],[Candidate 7]]))),(SamplingData[[#This Row],[Total]]+SamplingData[[#This Row],[Winning Candidate]]-SamplingData[[#This Row],[Candidate 7]])/(SamplingData[[#Totals],[Winning Candidate]]-SamplingData[[#Totals],[Candidate 7]]), 0)</f>
        <v>0</v>
      </c>
      <c r="W50" s="99">
        <f>IF(AND(SamplingData[[#This Row],[Total]]&lt;&gt; 0, NOT(ISBLANK(SamplingData[[#This Row],[Candidate 8]]))),(SamplingData[[#This Row],[Total]]+SamplingData[[#This Row],[Winning Candidate]]-SamplingData[[#This Row],[Candidate 8]])/(SamplingData[[#Totals],[Winning Candidate]]-SamplingData[[#Totals],[Candidate 8]]), 0)</f>
        <v>0</v>
      </c>
      <c r="X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 s="99">
        <f>MAX(SamplingData[[#This Row],[Error Bound (up) - Max. possible relative overstatement - Losing Candidate]:[Error Bound (up) - Max. possible relative overstatement - Candidate 12]])</f>
        <v>2.3552877270412494E-2</v>
      </c>
      <c r="AC50" s="99">
        <f>IF(SamplingData[[#This Row],[Max Error Bound (up)]] = 0,0,SamplingData[[#This Row],[Max Error Bound (up)]]/SamplingData[[#Totals],[Max Error Bound (up)]])</f>
        <v>1.2610426436906986E-3</v>
      </c>
      <c r="AD50" s="103">
        <f>SUM($AC$5:AC50)</f>
        <v>6.0691369469589633E-2</v>
      </c>
      <c r="AE50" s="99" t="str" cm="1">
        <f t="array" ref="AE50">IF(SamplingData[[#This Row],[up/U Selection Probability]] = 0, "Zero", TEXT(SamplingData[[#This Row],[Lower Range]], REPT("0",LEN('General Info'!$B$42))) &amp; " - " &amp; TEXT(SamplingData[[#This Row],[Upper Range]], REPT("0",LEN('General Info'!$B$42))))</f>
        <v>059430 - 060690</v>
      </c>
      <c r="AF50" s="99">
        <f>SamplingData[[#This Row],[Upper Range]]-SamplingData[[#This Row],[Span]]</f>
        <v>59430.326825898934</v>
      </c>
      <c r="AG50" s="99">
        <f>IF(ISNUMBER('General Info'!$B$42), ((SamplingData[[#This Row],[up/U Selection Probability]]) * 'General Info'!$B$44) - 1, 0)</f>
        <v>1260.0426436906987</v>
      </c>
      <c r="AH50" s="99">
        <f>IF(ISNUMBER('General Info'!$B$42), (SamplingData[[#This Row],[Running (cumulative) sum]] * ('General Info'!$B$42 -'General Info'!$B$43 + 1)) + 'General Info'!$B$43 - 1, 0)</f>
        <v>60690.369469589634</v>
      </c>
      <c r="AI50" s="99" t="str">
        <f>IF(ISERROR(MATCH(SamplingData[[#This Row],[Batch by Type (p)]],SelectedPrecincts[Batch Name], 0)), "", INDEX(SelectedPrecincts[Draw], MATCH(SamplingData[[#This Row],[Batch by Type (p)]],SelectedPrecincts[Batch Name], 0)))</f>
        <v/>
      </c>
      <c r="AJ50" s="100">
        <f>IF(COUNTIF(SelectedPrecincts[Batch Name],SamplingData[[#This Row],[Batch by Type (p)]]) &lt;&gt; 0, COUNTIF(SelectedPrecincts[Batch Name],SamplingData[[#This Row],[Batch by Type (p)]]), 0)</f>
        <v>0</v>
      </c>
    </row>
    <row r="51" spans="1:36" ht="15" customHeight="1" x14ac:dyDescent="0.35">
      <c r="A51" s="97" t="s">
        <v>264</v>
      </c>
      <c r="B51" s="97">
        <v>375</v>
      </c>
      <c r="C51" s="97">
        <v>119</v>
      </c>
      <c r="D51" s="92"/>
      <c r="E51" s="92"/>
      <c r="F51" s="92"/>
      <c r="G51" s="96"/>
      <c r="H51" s="96"/>
      <c r="I51" s="92"/>
      <c r="J51" s="92"/>
      <c r="K51" s="92"/>
      <c r="L51" s="92"/>
      <c r="M51" s="92"/>
      <c r="N51" s="97">
        <v>0</v>
      </c>
      <c r="O51" s="97">
        <v>25</v>
      </c>
      <c r="P51" s="98">
        <f>SUM(SamplingData[[#This Row],[Winning Candidate]:[Under Votes]])</f>
        <v>519</v>
      </c>
      <c r="Q51" s="99">
        <f>IF(AND(SamplingData[[#This Row],[Total]]&lt;&gt; 0, NOT(ISBLANK(SamplingData[[#This Row],[Losing Candidate]]))),(SamplingData[[#This Row],[Total]]+SamplingData[[#This Row],[Winning Candidate]]-SamplingData[[#This Row],[Losing Candidate]])/(SamplingData[[#Totals],[Winning Candidate]]-SamplingData[[#Totals],[Losing Candidate]]), 0)</f>
        <v>3.2889152945170599E-2</v>
      </c>
      <c r="R51" s="99">
        <f>IF(AND(SamplingData[[#This Row],[Total]]&lt;&gt; 0, NOT(ISBLANK(SamplingData[[#This Row],[Candidate 3]]))),(SamplingData[[#This Row],[Total]]+SamplingData[[#This Row],[Winning Candidate]]-SamplingData[[#This Row],[Candidate 3]])/(SamplingData[[#Totals],[Winning Candidate]]-SamplingData[[#Totals],[Candidate 3]]), 0)</f>
        <v>0</v>
      </c>
      <c r="S51" s="99">
        <f>IF(AND(SamplingData[[#This Row],[Total]]&lt;&gt; 0, NOT(ISBLANK(SamplingData[[#This Row],[Candidate 4]]))),(SamplingData[[#This Row],[Total]]+SamplingData[[#This Row],[Winning Candidate]]-SamplingData[[#This Row],[Candidate 4]])/(SamplingData[[#Totals],[Winning Candidate]]-SamplingData[[#Totals],[Candidate 4]]), 0)</f>
        <v>0</v>
      </c>
      <c r="T51" s="99">
        <f>IF(AND(SamplingData[[#This Row],[Total]]&lt;&gt; 0, NOT(ISBLANK(SamplingData[[#This Row],[Candidate 5]]))),(SamplingData[[#This Row],[Total]]+SamplingData[[#This Row],[Winning Candidate]]-SamplingData[[#This Row],[Candidate 5]])/(SamplingData[[#Totals],[Winning Candidate]]-SamplingData[[#Totals],[Candidate 5]]), 0)</f>
        <v>0</v>
      </c>
      <c r="U51" s="99">
        <f>IF(AND(SamplingData[[#This Row],[Total]]&lt;&gt; 0, NOT(ISBLANK(SamplingData[[#This Row],[Candidate 6]]))),(SamplingData[[#This Row],[Total]]+SamplingData[[#This Row],[Losing Candidate]]-SamplingData[[#This Row],[Candidate 6]])/(SamplingData[[#Totals],[Winning Candidate]]-SamplingData[[#Totals],[Candidate 6]]), 0)</f>
        <v>0</v>
      </c>
      <c r="V51" s="99">
        <f>IF(AND(SamplingData[[#This Row],[Total]]&lt;&gt; 0, NOT(ISBLANK(SamplingData[[#This Row],[Candidate 7]]))),(SamplingData[[#This Row],[Total]]+SamplingData[[#This Row],[Winning Candidate]]-SamplingData[[#This Row],[Candidate 7]])/(SamplingData[[#Totals],[Winning Candidate]]-SamplingData[[#Totals],[Candidate 7]]), 0)</f>
        <v>0</v>
      </c>
      <c r="W51" s="99">
        <f>IF(AND(SamplingData[[#This Row],[Total]]&lt;&gt; 0, NOT(ISBLANK(SamplingData[[#This Row],[Candidate 8]]))),(SamplingData[[#This Row],[Total]]+SamplingData[[#This Row],[Winning Candidate]]-SamplingData[[#This Row],[Candidate 8]])/(SamplingData[[#Totals],[Winning Candidate]]-SamplingData[[#Totals],[Candidate 8]]), 0)</f>
        <v>0</v>
      </c>
      <c r="X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 s="99">
        <f>MAX(SamplingData[[#This Row],[Error Bound (up) - Max. possible relative overstatement - Losing Candidate]:[Error Bound (up) - Max. possible relative overstatement - Candidate 12]])</f>
        <v>3.2889152945170599E-2</v>
      </c>
      <c r="AC51" s="99">
        <f>IF(SamplingData[[#This Row],[Max Error Bound (up)]] = 0,0,SamplingData[[#This Row],[Max Error Bound (up)]]/SamplingData[[#Totals],[Max Error Bound (up)]])</f>
        <v>1.7609154033518763E-3</v>
      </c>
      <c r="AD51" s="103">
        <f>SUM($AC$5:AC51)</f>
        <v>6.2452284872941508E-2</v>
      </c>
      <c r="AE51" s="99" t="str" cm="1">
        <f t="array" ref="AE51">IF(SamplingData[[#This Row],[up/U Selection Probability]] = 0, "Zero", TEXT(SamplingData[[#This Row],[Lower Range]], REPT("0",LEN('General Info'!$B$42))) &amp; " - " &amp; TEXT(SamplingData[[#This Row],[Upper Range]], REPT("0",LEN('General Info'!$B$42))))</f>
        <v>060691 - 062451</v>
      </c>
      <c r="AF51" s="99">
        <f>SamplingData[[#This Row],[Upper Range]]-SamplingData[[#This Row],[Span]]</f>
        <v>60691.369469589627</v>
      </c>
      <c r="AG51" s="99">
        <f>IF(ISNUMBER('General Info'!$B$42), ((SamplingData[[#This Row],[up/U Selection Probability]]) * 'General Info'!$B$44) - 1, 0)</f>
        <v>1759.9154033518762</v>
      </c>
      <c r="AH51" s="99">
        <f>IF(ISNUMBER('General Info'!$B$42), (SamplingData[[#This Row],[Running (cumulative) sum]] * ('General Info'!$B$42 -'General Info'!$B$43 + 1)) + 'General Info'!$B$43 - 1, 0)</f>
        <v>62451.284872941505</v>
      </c>
      <c r="AI51" s="99" t="str">
        <f>IF(ISERROR(MATCH(SamplingData[[#This Row],[Batch by Type (p)]],SelectedPrecincts[Batch Name], 0)), "", INDEX(SelectedPrecincts[Draw], MATCH(SamplingData[[#This Row],[Batch by Type (p)]],SelectedPrecincts[Batch Name], 0)))</f>
        <v/>
      </c>
      <c r="AJ51" s="100">
        <f>IF(COUNTIF(SelectedPrecincts[Batch Name],SamplingData[[#This Row],[Batch by Type (p)]]) &lt;&gt; 0, COUNTIF(SelectedPrecincts[Batch Name],SamplingData[[#This Row],[Batch by Type (p)]]), 0)</f>
        <v>0</v>
      </c>
    </row>
    <row r="52" spans="1:36" ht="15" customHeight="1" x14ac:dyDescent="0.35">
      <c r="A52" s="97" t="s">
        <v>265</v>
      </c>
      <c r="B52" s="97">
        <v>226</v>
      </c>
      <c r="C52" s="97">
        <v>88</v>
      </c>
      <c r="D52" s="92"/>
      <c r="E52" s="92"/>
      <c r="F52" s="92"/>
      <c r="G52" s="96"/>
      <c r="H52" s="96"/>
      <c r="I52" s="92"/>
      <c r="J52" s="92"/>
      <c r="K52" s="92"/>
      <c r="L52" s="92"/>
      <c r="M52" s="92"/>
      <c r="N52" s="97">
        <v>0</v>
      </c>
      <c r="O52" s="97">
        <v>20</v>
      </c>
      <c r="P52" s="98">
        <f>SUM(SamplingData[[#This Row],[Winning Candidate]:[Under Votes]])</f>
        <v>334</v>
      </c>
      <c r="Q52" s="99">
        <f>IF(AND(SamplingData[[#This Row],[Total]]&lt;&gt; 0, NOT(ISBLANK(SamplingData[[#This Row],[Losing Candidate]]))),(SamplingData[[#This Row],[Total]]+SamplingData[[#This Row],[Winning Candidate]]-SamplingData[[#This Row],[Losing Candidate]])/(SamplingData[[#Totals],[Winning Candidate]]-SamplingData[[#Totals],[Losing Candidate]]), 0)</f>
        <v>2.0030555084026482E-2</v>
      </c>
      <c r="R52" s="99">
        <f>IF(AND(SamplingData[[#This Row],[Total]]&lt;&gt; 0, NOT(ISBLANK(SamplingData[[#This Row],[Candidate 3]]))),(SamplingData[[#This Row],[Total]]+SamplingData[[#This Row],[Winning Candidate]]-SamplingData[[#This Row],[Candidate 3]])/(SamplingData[[#Totals],[Winning Candidate]]-SamplingData[[#Totals],[Candidate 3]]), 0)</f>
        <v>0</v>
      </c>
      <c r="S52" s="99">
        <f>IF(AND(SamplingData[[#This Row],[Total]]&lt;&gt; 0, NOT(ISBLANK(SamplingData[[#This Row],[Candidate 4]]))),(SamplingData[[#This Row],[Total]]+SamplingData[[#This Row],[Winning Candidate]]-SamplingData[[#This Row],[Candidate 4]])/(SamplingData[[#Totals],[Winning Candidate]]-SamplingData[[#Totals],[Candidate 4]]), 0)</f>
        <v>0</v>
      </c>
      <c r="T52" s="99">
        <f>IF(AND(SamplingData[[#This Row],[Total]]&lt;&gt; 0, NOT(ISBLANK(SamplingData[[#This Row],[Candidate 5]]))),(SamplingData[[#This Row],[Total]]+SamplingData[[#This Row],[Winning Candidate]]-SamplingData[[#This Row],[Candidate 5]])/(SamplingData[[#Totals],[Winning Candidate]]-SamplingData[[#Totals],[Candidate 5]]), 0)</f>
        <v>0</v>
      </c>
      <c r="U52" s="99">
        <f>IF(AND(SamplingData[[#This Row],[Total]]&lt;&gt; 0, NOT(ISBLANK(SamplingData[[#This Row],[Candidate 6]]))),(SamplingData[[#This Row],[Total]]+SamplingData[[#This Row],[Losing Candidate]]-SamplingData[[#This Row],[Candidate 6]])/(SamplingData[[#Totals],[Winning Candidate]]-SamplingData[[#Totals],[Candidate 6]]), 0)</f>
        <v>0</v>
      </c>
      <c r="V52" s="99">
        <f>IF(AND(SamplingData[[#This Row],[Total]]&lt;&gt; 0, NOT(ISBLANK(SamplingData[[#This Row],[Candidate 7]]))),(SamplingData[[#This Row],[Total]]+SamplingData[[#This Row],[Winning Candidate]]-SamplingData[[#This Row],[Candidate 7]])/(SamplingData[[#Totals],[Winning Candidate]]-SamplingData[[#Totals],[Candidate 7]]), 0)</f>
        <v>0</v>
      </c>
      <c r="W52" s="99">
        <f>IF(AND(SamplingData[[#This Row],[Total]]&lt;&gt; 0, NOT(ISBLANK(SamplingData[[#This Row],[Candidate 8]]))),(SamplingData[[#This Row],[Total]]+SamplingData[[#This Row],[Winning Candidate]]-SamplingData[[#This Row],[Candidate 8]])/(SamplingData[[#Totals],[Winning Candidate]]-SamplingData[[#Totals],[Candidate 8]]), 0)</f>
        <v>0</v>
      </c>
      <c r="X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 s="99">
        <f>MAX(SamplingData[[#This Row],[Error Bound (up) - Max. possible relative overstatement - Losing Candidate]:[Error Bound (up) - Max. possible relative overstatement - Candidate 12]])</f>
        <v>2.0030555084026482E-2</v>
      </c>
      <c r="AC52" s="99">
        <f>IF(SamplingData[[#This Row],[Max Error Bound (up)]] = 0,0,SamplingData[[#This Row],[Max Error Bound (up)]]/SamplingData[[#Totals],[Max Error Bound (up)]])</f>
        <v>1.0724542843639816E-3</v>
      </c>
      <c r="AD52" s="103">
        <f>SUM($AC$5:AC52)</f>
        <v>6.3524739157305485E-2</v>
      </c>
      <c r="AE52" s="99" t="str" cm="1">
        <f t="array" ref="AE52">IF(SamplingData[[#This Row],[up/U Selection Probability]] = 0, "Zero", TEXT(SamplingData[[#This Row],[Lower Range]], REPT("0",LEN('General Info'!$B$42))) &amp; " - " &amp; TEXT(SamplingData[[#This Row],[Upper Range]], REPT("0",LEN('General Info'!$B$42))))</f>
        <v>062452 - 063524</v>
      </c>
      <c r="AF52" s="99">
        <f>SamplingData[[#This Row],[Upper Range]]-SamplingData[[#This Row],[Span]]</f>
        <v>62452.284872941505</v>
      </c>
      <c r="AG52" s="99">
        <f>IF(ISNUMBER('General Info'!$B$42), ((SamplingData[[#This Row],[up/U Selection Probability]]) * 'General Info'!$B$44) - 1, 0)</f>
        <v>1071.4542843639815</v>
      </c>
      <c r="AH52" s="99">
        <f>IF(ISNUMBER('General Info'!$B$42), (SamplingData[[#This Row],[Running (cumulative) sum]] * ('General Info'!$B$42 -'General Info'!$B$43 + 1)) + 'General Info'!$B$43 - 1, 0)</f>
        <v>63523.739157305485</v>
      </c>
      <c r="AI52" s="99" t="str">
        <f>IF(ISERROR(MATCH(SamplingData[[#This Row],[Batch by Type (p)]],SelectedPrecincts[Batch Name], 0)), "", INDEX(SelectedPrecincts[Draw], MATCH(SamplingData[[#This Row],[Batch by Type (p)]],SelectedPrecincts[Batch Name], 0)))</f>
        <v/>
      </c>
      <c r="AJ52" s="100">
        <f>IF(COUNTIF(SelectedPrecincts[Batch Name],SamplingData[[#This Row],[Batch by Type (p)]]) &lt;&gt; 0, COUNTIF(SelectedPrecincts[Batch Name],SamplingData[[#This Row],[Batch by Type (p)]]), 0)</f>
        <v>0</v>
      </c>
    </row>
    <row r="53" spans="1:36" ht="15" customHeight="1" x14ac:dyDescent="0.35">
      <c r="A53" s="97" t="s">
        <v>266</v>
      </c>
      <c r="B53" s="97">
        <v>257</v>
      </c>
      <c r="C53" s="97">
        <v>39</v>
      </c>
      <c r="D53" s="92"/>
      <c r="E53" s="92"/>
      <c r="F53" s="92"/>
      <c r="G53" s="96"/>
      <c r="H53" s="96"/>
      <c r="I53" s="92"/>
      <c r="J53" s="92"/>
      <c r="K53" s="92"/>
      <c r="L53" s="92"/>
      <c r="M53" s="92"/>
      <c r="N53" s="97">
        <v>0</v>
      </c>
      <c r="O53" s="97">
        <v>14</v>
      </c>
      <c r="P53" s="98">
        <f>SUM(SamplingData[[#This Row],[Winning Candidate]:[Under Votes]])</f>
        <v>310</v>
      </c>
      <c r="Q53" s="99">
        <f>IF(AND(SamplingData[[#This Row],[Total]]&lt;&gt; 0, NOT(ISBLANK(SamplingData[[#This Row],[Losing Candidate]]))),(SamplingData[[#This Row],[Total]]+SamplingData[[#This Row],[Winning Candidate]]-SamplingData[[#This Row],[Losing Candidate]])/(SamplingData[[#Totals],[Winning Candidate]]-SamplingData[[#Totals],[Losing Candidate]]), 0)</f>
        <v>2.2407061619419452E-2</v>
      </c>
      <c r="R53" s="99">
        <f>IF(AND(SamplingData[[#This Row],[Total]]&lt;&gt; 0, NOT(ISBLANK(SamplingData[[#This Row],[Candidate 3]]))),(SamplingData[[#This Row],[Total]]+SamplingData[[#This Row],[Winning Candidate]]-SamplingData[[#This Row],[Candidate 3]])/(SamplingData[[#Totals],[Winning Candidate]]-SamplingData[[#Totals],[Candidate 3]]), 0)</f>
        <v>0</v>
      </c>
      <c r="S53" s="99">
        <f>IF(AND(SamplingData[[#This Row],[Total]]&lt;&gt; 0, NOT(ISBLANK(SamplingData[[#This Row],[Candidate 4]]))),(SamplingData[[#This Row],[Total]]+SamplingData[[#This Row],[Winning Candidate]]-SamplingData[[#This Row],[Candidate 4]])/(SamplingData[[#Totals],[Winning Candidate]]-SamplingData[[#Totals],[Candidate 4]]), 0)</f>
        <v>0</v>
      </c>
      <c r="T53" s="99">
        <f>IF(AND(SamplingData[[#This Row],[Total]]&lt;&gt; 0, NOT(ISBLANK(SamplingData[[#This Row],[Candidate 5]]))),(SamplingData[[#This Row],[Total]]+SamplingData[[#This Row],[Winning Candidate]]-SamplingData[[#This Row],[Candidate 5]])/(SamplingData[[#Totals],[Winning Candidate]]-SamplingData[[#Totals],[Candidate 5]]), 0)</f>
        <v>0</v>
      </c>
      <c r="U53" s="99">
        <f>IF(AND(SamplingData[[#This Row],[Total]]&lt;&gt; 0, NOT(ISBLANK(SamplingData[[#This Row],[Candidate 6]]))),(SamplingData[[#This Row],[Total]]+SamplingData[[#This Row],[Losing Candidate]]-SamplingData[[#This Row],[Candidate 6]])/(SamplingData[[#Totals],[Winning Candidate]]-SamplingData[[#Totals],[Candidate 6]]), 0)</f>
        <v>0</v>
      </c>
      <c r="V53" s="99">
        <f>IF(AND(SamplingData[[#This Row],[Total]]&lt;&gt; 0, NOT(ISBLANK(SamplingData[[#This Row],[Candidate 7]]))),(SamplingData[[#This Row],[Total]]+SamplingData[[#This Row],[Winning Candidate]]-SamplingData[[#This Row],[Candidate 7]])/(SamplingData[[#Totals],[Winning Candidate]]-SamplingData[[#Totals],[Candidate 7]]), 0)</f>
        <v>0</v>
      </c>
      <c r="W53" s="99">
        <f>IF(AND(SamplingData[[#This Row],[Total]]&lt;&gt; 0, NOT(ISBLANK(SamplingData[[#This Row],[Candidate 8]]))),(SamplingData[[#This Row],[Total]]+SamplingData[[#This Row],[Winning Candidate]]-SamplingData[[#This Row],[Candidate 8]])/(SamplingData[[#Totals],[Winning Candidate]]-SamplingData[[#Totals],[Candidate 8]]), 0)</f>
        <v>0</v>
      </c>
      <c r="X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 s="99">
        <f>MAX(SamplingData[[#This Row],[Error Bound (up) - Max. possible relative overstatement - Losing Candidate]:[Error Bound (up) - Max. possible relative overstatement - Candidate 12]])</f>
        <v>2.2407061619419452E-2</v>
      </c>
      <c r="AC53" s="99">
        <f>IF(SamplingData[[#This Row],[Max Error Bound (up)]] = 0,0,SamplingData[[#This Row],[Max Error Bound (up)]]/SamplingData[[#Totals],[Max Error Bound (up)]])</f>
        <v>1.1996946231868266E-3</v>
      </c>
      <c r="AD53" s="103">
        <f>SUM($AC$5:AC53)</f>
        <v>6.4724433780492308E-2</v>
      </c>
      <c r="AE53" s="99" t="str" cm="1">
        <f t="array" ref="AE53">IF(SamplingData[[#This Row],[up/U Selection Probability]] = 0, "Zero", TEXT(SamplingData[[#This Row],[Lower Range]], REPT("0",LEN('General Info'!$B$42))) &amp; " - " &amp; TEXT(SamplingData[[#This Row],[Upper Range]], REPT("0",LEN('General Info'!$B$42))))</f>
        <v>063525 - 064723</v>
      </c>
      <c r="AF53" s="99">
        <f>SamplingData[[#This Row],[Upper Range]]-SamplingData[[#This Row],[Span]]</f>
        <v>63524.739157305477</v>
      </c>
      <c r="AG53" s="99">
        <f>IF(ISNUMBER('General Info'!$B$42), ((SamplingData[[#This Row],[up/U Selection Probability]]) * 'General Info'!$B$44) - 1, 0)</f>
        <v>1198.6946231868267</v>
      </c>
      <c r="AH53" s="99">
        <f>IF(ISNUMBER('General Info'!$B$42), (SamplingData[[#This Row],[Running (cumulative) sum]] * ('General Info'!$B$42 -'General Info'!$B$43 + 1)) + 'General Info'!$B$43 - 1, 0)</f>
        <v>64723.433780492305</v>
      </c>
      <c r="AI53" s="99" t="str">
        <f>IF(ISERROR(MATCH(SamplingData[[#This Row],[Batch by Type (p)]],SelectedPrecincts[Batch Name], 0)), "", INDEX(SelectedPrecincts[Draw], MATCH(SamplingData[[#This Row],[Batch by Type (p)]],SelectedPrecincts[Batch Name], 0)))</f>
        <v/>
      </c>
      <c r="AJ53" s="100">
        <f>IF(COUNTIF(SelectedPrecincts[Batch Name],SamplingData[[#This Row],[Batch by Type (p)]]) &lt;&gt; 0, COUNTIF(SelectedPrecincts[Batch Name],SamplingData[[#This Row],[Batch by Type (p)]]), 0)</f>
        <v>0</v>
      </c>
    </row>
    <row r="54" spans="1:36" ht="15" customHeight="1" x14ac:dyDescent="0.35">
      <c r="A54" s="97" t="s">
        <v>267</v>
      </c>
      <c r="B54" s="97">
        <v>378</v>
      </c>
      <c r="C54" s="97">
        <v>48</v>
      </c>
      <c r="D54" s="92"/>
      <c r="E54" s="92"/>
      <c r="F54" s="92"/>
      <c r="G54" s="96"/>
      <c r="H54" s="96"/>
      <c r="I54" s="92"/>
      <c r="J54" s="92"/>
      <c r="K54" s="92"/>
      <c r="L54" s="92"/>
      <c r="M54" s="92"/>
      <c r="N54" s="97">
        <v>0</v>
      </c>
      <c r="O54" s="97">
        <v>22</v>
      </c>
      <c r="P54" s="98">
        <f>SUM(SamplingData[[#This Row],[Winning Candidate]:[Under Votes]])</f>
        <v>448</v>
      </c>
      <c r="Q54" s="99">
        <f>IF(AND(SamplingData[[#This Row],[Total]]&lt;&gt; 0, NOT(ISBLANK(SamplingData[[#This Row],[Losing Candidate]]))),(SamplingData[[#This Row],[Total]]+SamplingData[[#This Row],[Winning Candidate]]-SamplingData[[#This Row],[Losing Candidate]])/(SamplingData[[#Totals],[Winning Candidate]]-SamplingData[[#Totals],[Losing Candidate]]), 0)</f>
        <v>3.301646579528094E-2</v>
      </c>
      <c r="R54" s="99">
        <f>IF(AND(SamplingData[[#This Row],[Total]]&lt;&gt; 0, NOT(ISBLANK(SamplingData[[#This Row],[Candidate 3]]))),(SamplingData[[#This Row],[Total]]+SamplingData[[#This Row],[Winning Candidate]]-SamplingData[[#This Row],[Candidate 3]])/(SamplingData[[#Totals],[Winning Candidate]]-SamplingData[[#Totals],[Candidate 3]]), 0)</f>
        <v>0</v>
      </c>
      <c r="S54" s="99">
        <f>IF(AND(SamplingData[[#This Row],[Total]]&lt;&gt; 0, NOT(ISBLANK(SamplingData[[#This Row],[Candidate 4]]))),(SamplingData[[#This Row],[Total]]+SamplingData[[#This Row],[Winning Candidate]]-SamplingData[[#This Row],[Candidate 4]])/(SamplingData[[#Totals],[Winning Candidate]]-SamplingData[[#Totals],[Candidate 4]]), 0)</f>
        <v>0</v>
      </c>
      <c r="T54" s="99">
        <f>IF(AND(SamplingData[[#This Row],[Total]]&lt;&gt; 0, NOT(ISBLANK(SamplingData[[#This Row],[Candidate 5]]))),(SamplingData[[#This Row],[Total]]+SamplingData[[#This Row],[Winning Candidate]]-SamplingData[[#This Row],[Candidate 5]])/(SamplingData[[#Totals],[Winning Candidate]]-SamplingData[[#Totals],[Candidate 5]]), 0)</f>
        <v>0</v>
      </c>
      <c r="U54" s="99">
        <f>IF(AND(SamplingData[[#This Row],[Total]]&lt;&gt; 0, NOT(ISBLANK(SamplingData[[#This Row],[Candidate 6]]))),(SamplingData[[#This Row],[Total]]+SamplingData[[#This Row],[Losing Candidate]]-SamplingData[[#This Row],[Candidate 6]])/(SamplingData[[#Totals],[Winning Candidate]]-SamplingData[[#Totals],[Candidate 6]]), 0)</f>
        <v>0</v>
      </c>
      <c r="V54" s="99">
        <f>IF(AND(SamplingData[[#This Row],[Total]]&lt;&gt; 0, NOT(ISBLANK(SamplingData[[#This Row],[Candidate 7]]))),(SamplingData[[#This Row],[Total]]+SamplingData[[#This Row],[Winning Candidate]]-SamplingData[[#This Row],[Candidate 7]])/(SamplingData[[#Totals],[Winning Candidate]]-SamplingData[[#Totals],[Candidate 7]]), 0)</f>
        <v>0</v>
      </c>
      <c r="W54" s="99">
        <f>IF(AND(SamplingData[[#This Row],[Total]]&lt;&gt; 0, NOT(ISBLANK(SamplingData[[#This Row],[Candidate 8]]))),(SamplingData[[#This Row],[Total]]+SamplingData[[#This Row],[Winning Candidate]]-SamplingData[[#This Row],[Candidate 8]])/(SamplingData[[#Totals],[Winning Candidate]]-SamplingData[[#Totals],[Candidate 8]]), 0)</f>
        <v>0</v>
      </c>
      <c r="X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 s="99">
        <f>MAX(SamplingData[[#This Row],[Error Bound (up) - Max. possible relative overstatement - Losing Candidate]:[Error Bound (up) - Max. possible relative overstatement - Candidate 12]])</f>
        <v>3.301646579528094E-2</v>
      </c>
      <c r="AC54" s="99">
        <f>IF(SamplingData[[#This Row],[Max Error Bound (up)]] = 0,0,SamplingData[[#This Row],[Max Error Bound (up)]]/SamplingData[[#Totals],[Max Error Bound (up)]])</f>
        <v>1.7677318500745288E-3</v>
      </c>
      <c r="AD54" s="103">
        <f>SUM($AC$5:AC54)</f>
        <v>6.6492165630566841E-2</v>
      </c>
      <c r="AE54" s="99" t="str" cm="1">
        <f t="array" ref="AE54">IF(SamplingData[[#This Row],[up/U Selection Probability]] = 0, "Zero", TEXT(SamplingData[[#This Row],[Lower Range]], REPT("0",LEN('General Info'!$B$42))) &amp; " - " &amp; TEXT(SamplingData[[#This Row],[Upper Range]], REPT("0",LEN('General Info'!$B$42))))</f>
        <v>064724 - 066491</v>
      </c>
      <c r="AF54" s="99">
        <f>SamplingData[[#This Row],[Upper Range]]-SamplingData[[#This Row],[Span]]</f>
        <v>64724.433780492313</v>
      </c>
      <c r="AG54" s="99">
        <f>IF(ISNUMBER('General Info'!$B$42), ((SamplingData[[#This Row],[up/U Selection Probability]]) * 'General Info'!$B$44) - 1, 0)</f>
        <v>1766.7318500745289</v>
      </c>
      <c r="AH54" s="99">
        <f>IF(ISNUMBER('General Info'!$B$42), (SamplingData[[#This Row],[Running (cumulative) sum]] * ('General Info'!$B$42 -'General Info'!$B$43 + 1)) + 'General Info'!$B$43 - 1, 0)</f>
        <v>66491.165630566844</v>
      </c>
      <c r="AI54" s="99" t="str">
        <f>IF(ISERROR(MATCH(SamplingData[[#This Row],[Batch by Type (p)]],SelectedPrecincts[Batch Name], 0)), "", INDEX(SelectedPrecincts[Draw], MATCH(SamplingData[[#This Row],[Batch by Type (p)]],SelectedPrecincts[Batch Name], 0)))</f>
        <v/>
      </c>
      <c r="AJ54" s="100">
        <f>IF(COUNTIF(SelectedPrecincts[Batch Name],SamplingData[[#This Row],[Batch by Type (p)]]) &lt;&gt; 0, COUNTIF(SelectedPrecincts[Batch Name],SamplingData[[#This Row],[Batch by Type (p)]]), 0)</f>
        <v>0</v>
      </c>
    </row>
    <row r="55" spans="1:36" ht="15" customHeight="1" x14ac:dyDescent="0.35">
      <c r="A55" s="97" t="s">
        <v>268</v>
      </c>
      <c r="B55" s="97">
        <v>316</v>
      </c>
      <c r="C55" s="97">
        <v>102</v>
      </c>
      <c r="D55" s="92"/>
      <c r="E55" s="92"/>
      <c r="F55" s="92"/>
      <c r="G55" s="96"/>
      <c r="H55" s="96"/>
      <c r="I55" s="92"/>
      <c r="J55" s="92"/>
      <c r="K55" s="92"/>
      <c r="L55" s="92"/>
      <c r="M55" s="92"/>
      <c r="N55" s="97">
        <v>0</v>
      </c>
      <c r="O55" s="97">
        <v>26</v>
      </c>
      <c r="P55" s="98">
        <f>SUM(SamplingData[[#This Row],[Winning Candidate]:[Under Votes]])</f>
        <v>444</v>
      </c>
      <c r="Q55" s="99">
        <f>IF(AND(SamplingData[[#This Row],[Total]]&lt;&gt; 0, NOT(ISBLANK(SamplingData[[#This Row],[Losing Candidate]]))),(SamplingData[[#This Row],[Total]]+SamplingData[[#This Row],[Winning Candidate]]-SamplingData[[#This Row],[Losing Candidate]])/(SamplingData[[#Totals],[Winning Candidate]]-SamplingData[[#Totals],[Losing Candidate]]), 0)</f>
        <v>2.7923951790867426E-2</v>
      </c>
      <c r="R55" s="99">
        <f>IF(AND(SamplingData[[#This Row],[Total]]&lt;&gt; 0, NOT(ISBLANK(SamplingData[[#This Row],[Candidate 3]]))),(SamplingData[[#This Row],[Total]]+SamplingData[[#This Row],[Winning Candidate]]-SamplingData[[#This Row],[Candidate 3]])/(SamplingData[[#Totals],[Winning Candidate]]-SamplingData[[#Totals],[Candidate 3]]), 0)</f>
        <v>0</v>
      </c>
      <c r="S55" s="99">
        <f>IF(AND(SamplingData[[#This Row],[Total]]&lt;&gt; 0, NOT(ISBLANK(SamplingData[[#This Row],[Candidate 4]]))),(SamplingData[[#This Row],[Total]]+SamplingData[[#This Row],[Winning Candidate]]-SamplingData[[#This Row],[Candidate 4]])/(SamplingData[[#Totals],[Winning Candidate]]-SamplingData[[#Totals],[Candidate 4]]), 0)</f>
        <v>0</v>
      </c>
      <c r="T55" s="99">
        <f>IF(AND(SamplingData[[#This Row],[Total]]&lt;&gt; 0, NOT(ISBLANK(SamplingData[[#This Row],[Candidate 5]]))),(SamplingData[[#This Row],[Total]]+SamplingData[[#This Row],[Winning Candidate]]-SamplingData[[#This Row],[Candidate 5]])/(SamplingData[[#Totals],[Winning Candidate]]-SamplingData[[#Totals],[Candidate 5]]), 0)</f>
        <v>0</v>
      </c>
      <c r="U55" s="99">
        <f>IF(AND(SamplingData[[#This Row],[Total]]&lt;&gt; 0, NOT(ISBLANK(SamplingData[[#This Row],[Candidate 6]]))),(SamplingData[[#This Row],[Total]]+SamplingData[[#This Row],[Losing Candidate]]-SamplingData[[#This Row],[Candidate 6]])/(SamplingData[[#Totals],[Winning Candidate]]-SamplingData[[#Totals],[Candidate 6]]), 0)</f>
        <v>0</v>
      </c>
      <c r="V55" s="99">
        <f>IF(AND(SamplingData[[#This Row],[Total]]&lt;&gt; 0, NOT(ISBLANK(SamplingData[[#This Row],[Candidate 7]]))),(SamplingData[[#This Row],[Total]]+SamplingData[[#This Row],[Winning Candidate]]-SamplingData[[#This Row],[Candidate 7]])/(SamplingData[[#Totals],[Winning Candidate]]-SamplingData[[#Totals],[Candidate 7]]), 0)</f>
        <v>0</v>
      </c>
      <c r="W55" s="99">
        <f>IF(AND(SamplingData[[#This Row],[Total]]&lt;&gt; 0, NOT(ISBLANK(SamplingData[[#This Row],[Candidate 8]]))),(SamplingData[[#This Row],[Total]]+SamplingData[[#This Row],[Winning Candidate]]-SamplingData[[#This Row],[Candidate 8]])/(SamplingData[[#Totals],[Winning Candidate]]-SamplingData[[#Totals],[Candidate 8]]), 0)</f>
        <v>0</v>
      </c>
      <c r="X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 s="99">
        <f>MAX(SamplingData[[#This Row],[Error Bound (up) - Max. possible relative overstatement - Losing Candidate]:[Error Bound (up) - Max. possible relative overstatement - Candidate 12]])</f>
        <v>2.7923951790867426E-2</v>
      </c>
      <c r="AC55" s="99">
        <f>IF(SamplingData[[#This Row],[Max Error Bound (up)]] = 0,0,SamplingData[[#This Row],[Max Error Bound (up)]]/SamplingData[[#Totals],[Max Error Bound (up)]])</f>
        <v>1.4950739811684318E-3</v>
      </c>
      <c r="AD55" s="103">
        <f>SUM($AC$5:AC55)</f>
        <v>6.7987239611735278E-2</v>
      </c>
      <c r="AE55" s="99" t="str" cm="1">
        <f t="array" ref="AE55">IF(SamplingData[[#This Row],[up/U Selection Probability]] = 0, "Zero", TEXT(SamplingData[[#This Row],[Lower Range]], REPT("0",LEN('General Info'!$B$42))) &amp; " - " &amp; TEXT(SamplingData[[#This Row],[Upper Range]], REPT("0",LEN('General Info'!$B$42))))</f>
        <v>066492 - 067986</v>
      </c>
      <c r="AF55" s="99">
        <f>SamplingData[[#This Row],[Upper Range]]-SamplingData[[#This Row],[Span]]</f>
        <v>66492.165630566844</v>
      </c>
      <c r="AG55" s="99">
        <f>IF(ISNUMBER('General Info'!$B$42), ((SamplingData[[#This Row],[up/U Selection Probability]]) * 'General Info'!$B$44) - 1, 0)</f>
        <v>1494.0739811684318</v>
      </c>
      <c r="AH55" s="99">
        <f>IF(ISNUMBER('General Info'!$B$42), (SamplingData[[#This Row],[Running (cumulative) sum]] * ('General Info'!$B$42 -'General Info'!$B$43 + 1)) + 'General Info'!$B$43 - 1, 0)</f>
        <v>67986.239611735276</v>
      </c>
      <c r="AI55" s="99" t="str">
        <f>IF(ISERROR(MATCH(SamplingData[[#This Row],[Batch by Type (p)]],SelectedPrecincts[Batch Name], 0)), "", INDEX(SelectedPrecincts[Draw], MATCH(SamplingData[[#This Row],[Batch by Type (p)]],SelectedPrecincts[Batch Name], 0)))</f>
        <v/>
      </c>
      <c r="AJ55" s="100">
        <f>IF(COUNTIF(SelectedPrecincts[Batch Name],SamplingData[[#This Row],[Batch by Type (p)]]) &lt;&gt; 0, COUNTIF(SelectedPrecincts[Batch Name],SamplingData[[#This Row],[Batch by Type (p)]]), 0)</f>
        <v>0</v>
      </c>
    </row>
    <row r="56" spans="1:36" ht="15" customHeight="1" x14ac:dyDescent="0.35">
      <c r="A56" s="97" t="s">
        <v>269</v>
      </c>
      <c r="B56" s="97">
        <v>374</v>
      </c>
      <c r="C56" s="97">
        <v>42</v>
      </c>
      <c r="D56" s="92"/>
      <c r="E56" s="92"/>
      <c r="F56" s="92"/>
      <c r="G56" s="96"/>
      <c r="H56" s="96"/>
      <c r="I56" s="92"/>
      <c r="J56" s="92"/>
      <c r="K56" s="92"/>
      <c r="L56" s="92"/>
      <c r="M56" s="92"/>
      <c r="N56" s="97">
        <v>1</v>
      </c>
      <c r="O56" s="97">
        <v>25</v>
      </c>
      <c r="P56" s="98">
        <f>SUM(SamplingData[[#This Row],[Winning Candidate]:[Under Votes]])</f>
        <v>442</v>
      </c>
      <c r="Q56" s="99">
        <f>IF(AND(SamplingData[[#This Row],[Total]]&lt;&gt; 0, NOT(ISBLANK(SamplingData[[#This Row],[Losing Candidate]]))),(SamplingData[[#This Row],[Total]]+SamplingData[[#This Row],[Winning Candidate]]-SamplingData[[#This Row],[Losing Candidate]])/(SamplingData[[#Totals],[Winning Candidate]]-SamplingData[[#Totals],[Losing Candidate]]), 0)</f>
        <v>3.2846715328467155E-2</v>
      </c>
      <c r="R56" s="99">
        <f>IF(AND(SamplingData[[#This Row],[Total]]&lt;&gt; 0, NOT(ISBLANK(SamplingData[[#This Row],[Candidate 3]]))),(SamplingData[[#This Row],[Total]]+SamplingData[[#This Row],[Winning Candidate]]-SamplingData[[#This Row],[Candidate 3]])/(SamplingData[[#Totals],[Winning Candidate]]-SamplingData[[#Totals],[Candidate 3]]), 0)</f>
        <v>0</v>
      </c>
      <c r="S56" s="99">
        <f>IF(AND(SamplingData[[#This Row],[Total]]&lt;&gt; 0, NOT(ISBLANK(SamplingData[[#This Row],[Candidate 4]]))),(SamplingData[[#This Row],[Total]]+SamplingData[[#This Row],[Winning Candidate]]-SamplingData[[#This Row],[Candidate 4]])/(SamplingData[[#Totals],[Winning Candidate]]-SamplingData[[#Totals],[Candidate 4]]), 0)</f>
        <v>0</v>
      </c>
      <c r="T56" s="99">
        <f>IF(AND(SamplingData[[#This Row],[Total]]&lt;&gt; 0, NOT(ISBLANK(SamplingData[[#This Row],[Candidate 5]]))),(SamplingData[[#This Row],[Total]]+SamplingData[[#This Row],[Winning Candidate]]-SamplingData[[#This Row],[Candidate 5]])/(SamplingData[[#Totals],[Winning Candidate]]-SamplingData[[#Totals],[Candidate 5]]), 0)</f>
        <v>0</v>
      </c>
      <c r="U56" s="99">
        <f>IF(AND(SamplingData[[#This Row],[Total]]&lt;&gt; 0, NOT(ISBLANK(SamplingData[[#This Row],[Candidate 6]]))),(SamplingData[[#This Row],[Total]]+SamplingData[[#This Row],[Losing Candidate]]-SamplingData[[#This Row],[Candidate 6]])/(SamplingData[[#Totals],[Winning Candidate]]-SamplingData[[#Totals],[Candidate 6]]), 0)</f>
        <v>0</v>
      </c>
      <c r="V56" s="99">
        <f>IF(AND(SamplingData[[#This Row],[Total]]&lt;&gt; 0, NOT(ISBLANK(SamplingData[[#This Row],[Candidate 7]]))),(SamplingData[[#This Row],[Total]]+SamplingData[[#This Row],[Winning Candidate]]-SamplingData[[#This Row],[Candidate 7]])/(SamplingData[[#Totals],[Winning Candidate]]-SamplingData[[#Totals],[Candidate 7]]), 0)</f>
        <v>0</v>
      </c>
      <c r="W56" s="99">
        <f>IF(AND(SamplingData[[#This Row],[Total]]&lt;&gt; 0, NOT(ISBLANK(SamplingData[[#This Row],[Candidate 8]]))),(SamplingData[[#This Row],[Total]]+SamplingData[[#This Row],[Winning Candidate]]-SamplingData[[#This Row],[Candidate 8]])/(SamplingData[[#Totals],[Winning Candidate]]-SamplingData[[#Totals],[Candidate 8]]), 0)</f>
        <v>0</v>
      </c>
      <c r="X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 s="99">
        <f>MAX(SamplingData[[#This Row],[Error Bound (up) - Max. possible relative overstatement - Losing Candidate]:[Error Bound (up) - Max. possible relative overstatement - Candidate 12]])</f>
        <v>3.2846715328467155E-2</v>
      </c>
      <c r="AC56" s="99">
        <f>IF(SamplingData[[#This Row],[Max Error Bound (up)]] = 0,0,SamplingData[[#This Row],[Max Error Bound (up)]]/SamplingData[[#Totals],[Max Error Bound (up)]])</f>
        <v>1.7586432544443257E-3</v>
      </c>
      <c r="AD56" s="103">
        <f>SUM($AC$5:AC56)</f>
        <v>6.9745882866179609E-2</v>
      </c>
      <c r="AE56" s="99" t="str" cm="1">
        <f t="array" ref="AE56">IF(SamplingData[[#This Row],[up/U Selection Probability]] = 0, "Zero", TEXT(SamplingData[[#This Row],[Lower Range]], REPT("0",LEN('General Info'!$B$42))) &amp; " - " &amp; TEXT(SamplingData[[#This Row],[Upper Range]], REPT("0",LEN('General Info'!$B$42))))</f>
        <v>067987 - 069745</v>
      </c>
      <c r="AF56" s="99">
        <f>SamplingData[[#This Row],[Upper Range]]-SamplingData[[#This Row],[Span]]</f>
        <v>67987.239611735291</v>
      </c>
      <c r="AG56" s="99">
        <f>IF(ISNUMBER('General Info'!$B$42), ((SamplingData[[#This Row],[up/U Selection Probability]]) * 'General Info'!$B$44) - 1, 0)</f>
        <v>1757.6432544443257</v>
      </c>
      <c r="AH56" s="99">
        <f>IF(ISNUMBER('General Info'!$B$42), (SamplingData[[#This Row],[Running (cumulative) sum]] * ('General Info'!$B$42 -'General Info'!$B$43 + 1)) + 'General Info'!$B$43 - 1, 0)</f>
        <v>69744.882866179614</v>
      </c>
      <c r="AI56" s="99" t="str">
        <f>IF(ISERROR(MATCH(SamplingData[[#This Row],[Batch by Type (p)]],SelectedPrecincts[Batch Name], 0)), "", INDEX(SelectedPrecincts[Draw], MATCH(SamplingData[[#This Row],[Batch by Type (p)]],SelectedPrecincts[Batch Name], 0)))</f>
        <v/>
      </c>
      <c r="AJ56" s="100">
        <f>IF(COUNTIF(SelectedPrecincts[Batch Name],SamplingData[[#This Row],[Batch by Type (p)]]) &lt;&gt; 0, COUNTIF(SelectedPrecincts[Batch Name],SamplingData[[#This Row],[Batch by Type (p)]]), 0)</f>
        <v>0</v>
      </c>
    </row>
    <row r="57" spans="1:36" ht="15" customHeight="1" x14ac:dyDescent="0.35">
      <c r="A57" s="97" t="s">
        <v>270</v>
      </c>
      <c r="B57" s="97">
        <v>162</v>
      </c>
      <c r="C57" s="97">
        <v>14</v>
      </c>
      <c r="D57" s="92"/>
      <c r="E57" s="92"/>
      <c r="F57" s="92"/>
      <c r="G57" s="96"/>
      <c r="H57" s="96"/>
      <c r="I57" s="92"/>
      <c r="J57" s="92"/>
      <c r="K57" s="92"/>
      <c r="L57" s="92"/>
      <c r="M57" s="92"/>
      <c r="N57" s="97">
        <v>0</v>
      </c>
      <c r="O57" s="97">
        <v>13</v>
      </c>
      <c r="P57" s="98">
        <f>SUM(SamplingData[[#This Row],[Winning Candidate]:[Under Votes]])</f>
        <v>189</v>
      </c>
      <c r="Q57" s="99">
        <f>IF(AND(SamplingData[[#This Row],[Total]]&lt;&gt; 0, NOT(ISBLANK(SamplingData[[#This Row],[Losing Candidate]]))),(SamplingData[[#This Row],[Total]]+SamplingData[[#This Row],[Winning Candidate]]-SamplingData[[#This Row],[Losing Candidate]])/(SamplingData[[#Totals],[Winning Candidate]]-SamplingData[[#Totals],[Losing Candidate]]), 0)</f>
        <v>1.430147682906128E-2</v>
      </c>
      <c r="R57" s="99">
        <f>IF(AND(SamplingData[[#This Row],[Total]]&lt;&gt; 0, NOT(ISBLANK(SamplingData[[#This Row],[Candidate 3]]))),(SamplingData[[#This Row],[Total]]+SamplingData[[#This Row],[Winning Candidate]]-SamplingData[[#This Row],[Candidate 3]])/(SamplingData[[#Totals],[Winning Candidate]]-SamplingData[[#Totals],[Candidate 3]]), 0)</f>
        <v>0</v>
      </c>
      <c r="S57" s="99">
        <f>IF(AND(SamplingData[[#This Row],[Total]]&lt;&gt; 0, NOT(ISBLANK(SamplingData[[#This Row],[Candidate 4]]))),(SamplingData[[#This Row],[Total]]+SamplingData[[#This Row],[Winning Candidate]]-SamplingData[[#This Row],[Candidate 4]])/(SamplingData[[#Totals],[Winning Candidate]]-SamplingData[[#Totals],[Candidate 4]]), 0)</f>
        <v>0</v>
      </c>
      <c r="T57" s="99">
        <f>IF(AND(SamplingData[[#This Row],[Total]]&lt;&gt; 0, NOT(ISBLANK(SamplingData[[#This Row],[Candidate 5]]))),(SamplingData[[#This Row],[Total]]+SamplingData[[#This Row],[Winning Candidate]]-SamplingData[[#This Row],[Candidate 5]])/(SamplingData[[#Totals],[Winning Candidate]]-SamplingData[[#Totals],[Candidate 5]]), 0)</f>
        <v>0</v>
      </c>
      <c r="U57" s="99">
        <f>IF(AND(SamplingData[[#This Row],[Total]]&lt;&gt; 0, NOT(ISBLANK(SamplingData[[#This Row],[Candidate 6]]))),(SamplingData[[#This Row],[Total]]+SamplingData[[#This Row],[Losing Candidate]]-SamplingData[[#This Row],[Candidate 6]])/(SamplingData[[#Totals],[Winning Candidate]]-SamplingData[[#Totals],[Candidate 6]]), 0)</f>
        <v>0</v>
      </c>
      <c r="V57" s="99">
        <f>IF(AND(SamplingData[[#This Row],[Total]]&lt;&gt; 0, NOT(ISBLANK(SamplingData[[#This Row],[Candidate 7]]))),(SamplingData[[#This Row],[Total]]+SamplingData[[#This Row],[Winning Candidate]]-SamplingData[[#This Row],[Candidate 7]])/(SamplingData[[#Totals],[Winning Candidate]]-SamplingData[[#Totals],[Candidate 7]]), 0)</f>
        <v>0</v>
      </c>
      <c r="W57" s="99">
        <f>IF(AND(SamplingData[[#This Row],[Total]]&lt;&gt; 0, NOT(ISBLANK(SamplingData[[#This Row],[Candidate 8]]))),(SamplingData[[#This Row],[Total]]+SamplingData[[#This Row],[Winning Candidate]]-SamplingData[[#This Row],[Candidate 8]])/(SamplingData[[#Totals],[Winning Candidate]]-SamplingData[[#Totals],[Candidate 8]]), 0)</f>
        <v>0</v>
      </c>
      <c r="X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 s="99">
        <f>MAX(SamplingData[[#This Row],[Error Bound (up) - Max. possible relative overstatement - Losing Candidate]:[Error Bound (up) - Max. possible relative overstatement - Candidate 12]])</f>
        <v>1.430147682906128E-2</v>
      </c>
      <c r="AC57" s="99">
        <f>IF(SamplingData[[#This Row],[Max Error Bound (up)]] = 0,0,SamplingData[[#This Row],[Max Error Bound (up)]]/SamplingData[[#Totals],[Max Error Bound (up)]])</f>
        <v>7.6571418184462239E-4</v>
      </c>
      <c r="AD57" s="103">
        <f>SUM($AC$5:AC57)</f>
        <v>7.0511597048024233E-2</v>
      </c>
      <c r="AE57" s="99" t="str" cm="1">
        <f t="array" ref="AE57">IF(SamplingData[[#This Row],[up/U Selection Probability]] = 0, "Zero", TEXT(SamplingData[[#This Row],[Lower Range]], REPT("0",LEN('General Info'!$B$42))) &amp; " - " &amp; TEXT(SamplingData[[#This Row],[Upper Range]], REPT("0",LEN('General Info'!$B$42))))</f>
        <v>069746 - 070511</v>
      </c>
      <c r="AF57" s="99">
        <f>SamplingData[[#This Row],[Upper Range]]-SamplingData[[#This Row],[Span]]</f>
        <v>69745.882866179614</v>
      </c>
      <c r="AG57" s="99">
        <f>IF(ISNUMBER('General Info'!$B$42), ((SamplingData[[#This Row],[up/U Selection Probability]]) * 'General Info'!$B$44) - 1, 0)</f>
        <v>764.71418184462243</v>
      </c>
      <c r="AH57" s="99">
        <f>IF(ISNUMBER('General Info'!$B$42), (SamplingData[[#This Row],[Running (cumulative) sum]] * ('General Info'!$B$42 -'General Info'!$B$43 + 1)) + 'General Info'!$B$43 - 1, 0)</f>
        <v>70510.597048024239</v>
      </c>
      <c r="AI57" s="99" t="str">
        <f>IF(ISERROR(MATCH(SamplingData[[#This Row],[Batch by Type (p)]],SelectedPrecincts[Batch Name], 0)), "", INDEX(SelectedPrecincts[Draw], MATCH(SamplingData[[#This Row],[Batch by Type (p)]],SelectedPrecincts[Batch Name], 0)))</f>
        <v/>
      </c>
      <c r="AJ57" s="100">
        <f>IF(COUNTIF(SelectedPrecincts[Batch Name],SamplingData[[#This Row],[Batch by Type (p)]]) &lt;&gt; 0, COUNTIF(SelectedPrecincts[Batch Name],SamplingData[[#This Row],[Batch by Type (p)]]), 0)</f>
        <v>0</v>
      </c>
    </row>
    <row r="58" spans="1:36" ht="15" customHeight="1" x14ac:dyDescent="0.35">
      <c r="A58" s="97" t="s">
        <v>271</v>
      </c>
      <c r="B58" s="97">
        <v>404</v>
      </c>
      <c r="C58" s="97">
        <v>26</v>
      </c>
      <c r="D58" s="92"/>
      <c r="E58" s="92"/>
      <c r="F58" s="92"/>
      <c r="G58" s="96"/>
      <c r="H58" s="96"/>
      <c r="I58" s="92"/>
      <c r="J58" s="92"/>
      <c r="K58" s="92"/>
      <c r="L58" s="92"/>
      <c r="M58" s="92"/>
      <c r="N58" s="97">
        <v>0</v>
      </c>
      <c r="O58" s="97">
        <v>21</v>
      </c>
      <c r="P58" s="98">
        <f>SUM(SamplingData[[#This Row],[Winning Candidate]:[Under Votes]])</f>
        <v>451</v>
      </c>
      <c r="Q58" s="99">
        <f>IF(AND(SamplingData[[#This Row],[Total]]&lt;&gt; 0, NOT(ISBLANK(SamplingData[[#This Row],[Losing Candidate]]))),(SamplingData[[#This Row],[Total]]+SamplingData[[#This Row],[Winning Candidate]]-SamplingData[[#This Row],[Losing Candidate]])/(SamplingData[[#Totals],[Winning Candidate]]-SamplingData[[#Totals],[Losing Candidate]]), 0)</f>
        <v>3.5180784247156677E-2</v>
      </c>
      <c r="R58" s="99">
        <f>IF(AND(SamplingData[[#This Row],[Total]]&lt;&gt; 0, NOT(ISBLANK(SamplingData[[#This Row],[Candidate 3]]))),(SamplingData[[#This Row],[Total]]+SamplingData[[#This Row],[Winning Candidate]]-SamplingData[[#This Row],[Candidate 3]])/(SamplingData[[#Totals],[Winning Candidate]]-SamplingData[[#Totals],[Candidate 3]]), 0)</f>
        <v>0</v>
      </c>
      <c r="S58" s="99">
        <f>IF(AND(SamplingData[[#This Row],[Total]]&lt;&gt; 0, NOT(ISBLANK(SamplingData[[#This Row],[Candidate 4]]))),(SamplingData[[#This Row],[Total]]+SamplingData[[#This Row],[Winning Candidate]]-SamplingData[[#This Row],[Candidate 4]])/(SamplingData[[#Totals],[Winning Candidate]]-SamplingData[[#Totals],[Candidate 4]]), 0)</f>
        <v>0</v>
      </c>
      <c r="T58" s="99">
        <f>IF(AND(SamplingData[[#This Row],[Total]]&lt;&gt; 0, NOT(ISBLANK(SamplingData[[#This Row],[Candidate 5]]))),(SamplingData[[#This Row],[Total]]+SamplingData[[#This Row],[Winning Candidate]]-SamplingData[[#This Row],[Candidate 5]])/(SamplingData[[#Totals],[Winning Candidate]]-SamplingData[[#Totals],[Candidate 5]]), 0)</f>
        <v>0</v>
      </c>
      <c r="U58" s="99">
        <f>IF(AND(SamplingData[[#This Row],[Total]]&lt;&gt; 0, NOT(ISBLANK(SamplingData[[#This Row],[Candidate 6]]))),(SamplingData[[#This Row],[Total]]+SamplingData[[#This Row],[Losing Candidate]]-SamplingData[[#This Row],[Candidate 6]])/(SamplingData[[#Totals],[Winning Candidate]]-SamplingData[[#Totals],[Candidate 6]]), 0)</f>
        <v>0</v>
      </c>
      <c r="V58" s="99">
        <f>IF(AND(SamplingData[[#This Row],[Total]]&lt;&gt; 0, NOT(ISBLANK(SamplingData[[#This Row],[Candidate 7]]))),(SamplingData[[#This Row],[Total]]+SamplingData[[#This Row],[Winning Candidate]]-SamplingData[[#This Row],[Candidate 7]])/(SamplingData[[#Totals],[Winning Candidate]]-SamplingData[[#Totals],[Candidate 7]]), 0)</f>
        <v>0</v>
      </c>
      <c r="W58" s="99">
        <f>IF(AND(SamplingData[[#This Row],[Total]]&lt;&gt; 0, NOT(ISBLANK(SamplingData[[#This Row],[Candidate 8]]))),(SamplingData[[#This Row],[Total]]+SamplingData[[#This Row],[Winning Candidate]]-SamplingData[[#This Row],[Candidate 8]])/(SamplingData[[#Totals],[Winning Candidate]]-SamplingData[[#Totals],[Candidate 8]]), 0)</f>
        <v>0</v>
      </c>
      <c r="X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 s="99">
        <f>MAX(SamplingData[[#This Row],[Error Bound (up) - Max. possible relative overstatement - Losing Candidate]:[Error Bound (up) - Max. possible relative overstatement - Candidate 12]])</f>
        <v>3.5180784247156677E-2</v>
      </c>
      <c r="AC58" s="99">
        <f>IF(SamplingData[[#This Row],[Max Error Bound (up)]] = 0,0,SamplingData[[#This Row],[Max Error Bound (up)]]/SamplingData[[#Totals],[Max Error Bound (up)]])</f>
        <v>1.8836114443596197E-3</v>
      </c>
      <c r="AD58" s="103">
        <f>SUM($AC$5:AC58)</f>
        <v>7.2395208492383858E-2</v>
      </c>
      <c r="AE58" s="99" t="str" cm="1">
        <f t="array" ref="AE58">IF(SamplingData[[#This Row],[up/U Selection Probability]] = 0, "Zero", TEXT(SamplingData[[#This Row],[Lower Range]], REPT("0",LEN('General Info'!$B$42))) &amp; " - " &amp; TEXT(SamplingData[[#This Row],[Upper Range]], REPT("0",LEN('General Info'!$B$42))))</f>
        <v>070512 - 072394</v>
      </c>
      <c r="AF58" s="99">
        <f>SamplingData[[#This Row],[Upper Range]]-SamplingData[[#This Row],[Span]]</f>
        <v>70511.597048024239</v>
      </c>
      <c r="AG58" s="99">
        <f>IF(ISNUMBER('General Info'!$B$42), ((SamplingData[[#This Row],[up/U Selection Probability]]) * 'General Info'!$B$44) - 1, 0)</f>
        <v>1882.6114443596198</v>
      </c>
      <c r="AH58" s="99">
        <f>IF(ISNUMBER('General Info'!$B$42), (SamplingData[[#This Row],[Running (cumulative) sum]] * ('General Info'!$B$42 -'General Info'!$B$43 + 1)) + 'General Info'!$B$43 - 1, 0)</f>
        <v>72394.208492383856</v>
      </c>
      <c r="AI58" s="99" t="str">
        <f>IF(ISERROR(MATCH(SamplingData[[#This Row],[Batch by Type (p)]],SelectedPrecincts[Batch Name], 0)), "", INDEX(SelectedPrecincts[Draw], MATCH(SamplingData[[#This Row],[Batch by Type (p)]],SelectedPrecincts[Batch Name], 0)))</f>
        <v/>
      </c>
      <c r="AJ58" s="100">
        <f>IF(COUNTIF(SelectedPrecincts[Batch Name],SamplingData[[#This Row],[Batch by Type (p)]]) &lt;&gt; 0, COUNTIF(SelectedPrecincts[Batch Name],SamplingData[[#This Row],[Batch by Type (p)]]), 0)</f>
        <v>0</v>
      </c>
    </row>
    <row r="59" spans="1:36" ht="15" customHeight="1" x14ac:dyDescent="0.35">
      <c r="A59" s="97" t="s">
        <v>272</v>
      </c>
      <c r="B59" s="97">
        <v>294</v>
      </c>
      <c r="C59" s="97">
        <v>25</v>
      </c>
      <c r="D59" s="92"/>
      <c r="E59" s="92"/>
      <c r="F59" s="92"/>
      <c r="G59" s="96"/>
      <c r="H59" s="96"/>
      <c r="I59" s="92"/>
      <c r="J59" s="92"/>
      <c r="K59" s="92"/>
      <c r="L59" s="92"/>
      <c r="M59" s="92"/>
      <c r="N59" s="97">
        <v>0</v>
      </c>
      <c r="O59" s="97">
        <v>24</v>
      </c>
      <c r="P59" s="98">
        <f>SUM(SamplingData[[#This Row],[Winning Candidate]:[Under Votes]])</f>
        <v>343</v>
      </c>
      <c r="Q59" s="99">
        <f>IF(AND(SamplingData[[#This Row],[Total]]&lt;&gt; 0, NOT(ISBLANK(SamplingData[[#This Row],[Losing Candidate]]))),(SamplingData[[#This Row],[Total]]+SamplingData[[#This Row],[Winning Candidate]]-SamplingData[[#This Row],[Losing Candidate]])/(SamplingData[[#Totals],[Winning Candidate]]-SamplingData[[#Totals],[Losing Candidate]]), 0)</f>
        <v>2.5971821422508912E-2</v>
      </c>
      <c r="R59" s="99">
        <f>IF(AND(SamplingData[[#This Row],[Total]]&lt;&gt; 0, NOT(ISBLANK(SamplingData[[#This Row],[Candidate 3]]))),(SamplingData[[#This Row],[Total]]+SamplingData[[#This Row],[Winning Candidate]]-SamplingData[[#This Row],[Candidate 3]])/(SamplingData[[#Totals],[Winning Candidate]]-SamplingData[[#Totals],[Candidate 3]]), 0)</f>
        <v>0</v>
      </c>
      <c r="S59" s="99">
        <f>IF(AND(SamplingData[[#This Row],[Total]]&lt;&gt; 0, NOT(ISBLANK(SamplingData[[#This Row],[Candidate 4]]))),(SamplingData[[#This Row],[Total]]+SamplingData[[#This Row],[Winning Candidate]]-SamplingData[[#This Row],[Candidate 4]])/(SamplingData[[#Totals],[Winning Candidate]]-SamplingData[[#Totals],[Candidate 4]]), 0)</f>
        <v>0</v>
      </c>
      <c r="T59" s="99">
        <f>IF(AND(SamplingData[[#This Row],[Total]]&lt;&gt; 0, NOT(ISBLANK(SamplingData[[#This Row],[Candidate 5]]))),(SamplingData[[#This Row],[Total]]+SamplingData[[#This Row],[Winning Candidate]]-SamplingData[[#This Row],[Candidate 5]])/(SamplingData[[#Totals],[Winning Candidate]]-SamplingData[[#Totals],[Candidate 5]]), 0)</f>
        <v>0</v>
      </c>
      <c r="U59" s="99">
        <f>IF(AND(SamplingData[[#This Row],[Total]]&lt;&gt; 0, NOT(ISBLANK(SamplingData[[#This Row],[Candidate 6]]))),(SamplingData[[#This Row],[Total]]+SamplingData[[#This Row],[Losing Candidate]]-SamplingData[[#This Row],[Candidate 6]])/(SamplingData[[#Totals],[Winning Candidate]]-SamplingData[[#Totals],[Candidate 6]]), 0)</f>
        <v>0</v>
      </c>
      <c r="V59" s="99">
        <f>IF(AND(SamplingData[[#This Row],[Total]]&lt;&gt; 0, NOT(ISBLANK(SamplingData[[#This Row],[Candidate 7]]))),(SamplingData[[#This Row],[Total]]+SamplingData[[#This Row],[Winning Candidate]]-SamplingData[[#This Row],[Candidate 7]])/(SamplingData[[#Totals],[Winning Candidate]]-SamplingData[[#Totals],[Candidate 7]]), 0)</f>
        <v>0</v>
      </c>
      <c r="W59" s="99">
        <f>IF(AND(SamplingData[[#This Row],[Total]]&lt;&gt; 0, NOT(ISBLANK(SamplingData[[#This Row],[Candidate 8]]))),(SamplingData[[#This Row],[Total]]+SamplingData[[#This Row],[Winning Candidate]]-SamplingData[[#This Row],[Candidate 8]])/(SamplingData[[#Totals],[Winning Candidate]]-SamplingData[[#Totals],[Candidate 8]]), 0)</f>
        <v>0</v>
      </c>
      <c r="X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 s="99">
        <f>MAX(SamplingData[[#This Row],[Error Bound (up) - Max. possible relative overstatement - Losing Candidate]:[Error Bound (up) - Max. possible relative overstatement - Candidate 12]])</f>
        <v>2.5971821422508912E-2</v>
      </c>
      <c r="AC59" s="99">
        <f>IF(SamplingData[[#This Row],[Max Error Bound (up)]] = 0,0,SamplingData[[#This Row],[Max Error Bound (up)]]/SamplingData[[#Totals],[Max Error Bound (up)]])</f>
        <v>1.3905551314210946E-3</v>
      </c>
      <c r="AD59" s="103">
        <f>SUM($AC$5:AC59)</f>
        <v>7.3785763623804956E-2</v>
      </c>
      <c r="AE59" s="99" t="str" cm="1">
        <f t="array" ref="AE59">IF(SamplingData[[#This Row],[up/U Selection Probability]] = 0, "Zero", TEXT(SamplingData[[#This Row],[Lower Range]], REPT("0",LEN('General Info'!$B$42))) &amp; " - " &amp; TEXT(SamplingData[[#This Row],[Upper Range]], REPT("0",LEN('General Info'!$B$42))))</f>
        <v>072395 - 073785</v>
      </c>
      <c r="AF59" s="99">
        <f>SamplingData[[#This Row],[Upper Range]]-SamplingData[[#This Row],[Span]]</f>
        <v>72395.20849238387</v>
      </c>
      <c r="AG59" s="99">
        <f>IF(ISNUMBER('General Info'!$B$42), ((SamplingData[[#This Row],[up/U Selection Probability]]) * 'General Info'!$B$44) - 1, 0)</f>
        <v>1389.5551314210945</v>
      </c>
      <c r="AH59" s="99">
        <f>IF(ISNUMBER('General Info'!$B$42), (SamplingData[[#This Row],[Running (cumulative) sum]] * ('General Info'!$B$42 -'General Info'!$B$43 + 1)) + 'General Info'!$B$43 - 1, 0)</f>
        <v>73784.76362380496</v>
      </c>
      <c r="AI59" s="99" t="str">
        <f>IF(ISERROR(MATCH(SamplingData[[#This Row],[Batch by Type (p)]],SelectedPrecincts[Batch Name], 0)), "", INDEX(SelectedPrecincts[Draw], MATCH(SamplingData[[#This Row],[Batch by Type (p)]],SelectedPrecincts[Batch Name], 0)))</f>
        <v/>
      </c>
      <c r="AJ59" s="100">
        <f>IF(COUNTIF(SelectedPrecincts[Batch Name],SamplingData[[#This Row],[Batch by Type (p)]]) &lt;&gt; 0, COUNTIF(SelectedPrecincts[Batch Name],SamplingData[[#This Row],[Batch by Type (p)]]), 0)</f>
        <v>0</v>
      </c>
    </row>
    <row r="60" spans="1:36" ht="15" customHeight="1" x14ac:dyDescent="0.35">
      <c r="A60" s="97" t="s">
        <v>273</v>
      </c>
      <c r="B60" s="97">
        <v>199</v>
      </c>
      <c r="C60" s="97">
        <v>15</v>
      </c>
      <c r="D60" s="92"/>
      <c r="E60" s="92"/>
      <c r="F60" s="92"/>
      <c r="G60" s="96"/>
      <c r="H60" s="96"/>
      <c r="I60" s="92"/>
      <c r="J60" s="92"/>
      <c r="K60" s="92"/>
      <c r="L60" s="92"/>
      <c r="M60" s="92"/>
      <c r="N60" s="97">
        <v>0</v>
      </c>
      <c r="O60" s="97">
        <v>20</v>
      </c>
      <c r="P60" s="98">
        <f>SUM(SamplingData[[#This Row],[Winning Candidate]:[Under Votes]])</f>
        <v>234</v>
      </c>
      <c r="Q60" s="99">
        <f>IF(AND(SamplingData[[#This Row],[Total]]&lt;&gt; 0, NOT(ISBLANK(SamplingData[[#This Row],[Losing Candidate]]))),(SamplingData[[#This Row],[Total]]+SamplingData[[#This Row],[Winning Candidate]]-SamplingData[[#This Row],[Losing Candidate]])/(SamplingData[[#Totals],[Winning Candidate]]-SamplingData[[#Totals],[Losing Candidate]]), 0)</f>
        <v>1.7738923782040401E-2</v>
      </c>
      <c r="R60" s="99">
        <f>IF(AND(SamplingData[[#This Row],[Total]]&lt;&gt; 0, NOT(ISBLANK(SamplingData[[#This Row],[Candidate 3]]))),(SamplingData[[#This Row],[Total]]+SamplingData[[#This Row],[Winning Candidate]]-SamplingData[[#This Row],[Candidate 3]])/(SamplingData[[#Totals],[Winning Candidate]]-SamplingData[[#Totals],[Candidate 3]]), 0)</f>
        <v>0</v>
      </c>
      <c r="S60" s="99">
        <f>IF(AND(SamplingData[[#This Row],[Total]]&lt;&gt; 0, NOT(ISBLANK(SamplingData[[#This Row],[Candidate 4]]))),(SamplingData[[#This Row],[Total]]+SamplingData[[#This Row],[Winning Candidate]]-SamplingData[[#This Row],[Candidate 4]])/(SamplingData[[#Totals],[Winning Candidate]]-SamplingData[[#Totals],[Candidate 4]]), 0)</f>
        <v>0</v>
      </c>
      <c r="T60" s="99">
        <f>IF(AND(SamplingData[[#This Row],[Total]]&lt;&gt; 0, NOT(ISBLANK(SamplingData[[#This Row],[Candidate 5]]))),(SamplingData[[#This Row],[Total]]+SamplingData[[#This Row],[Winning Candidate]]-SamplingData[[#This Row],[Candidate 5]])/(SamplingData[[#Totals],[Winning Candidate]]-SamplingData[[#Totals],[Candidate 5]]), 0)</f>
        <v>0</v>
      </c>
      <c r="U60" s="99">
        <f>IF(AND(SamplingData[[#This Row],[Total]]&lt;&gt; 0, NOT(ISBLANK(SamplingData[[#This Row],[Candidate 6]]))),(SamplingData[[#This Row],[Total]]+SamplingData[[#This Row],[Losing Candidate]]-SamplingData[[#This Row],[Candidate 6]])/(SamplingData[[#Totals],[Winning Candidate]]-SamplingData[[#Totals],[Candidate 6]]), 0)</f>
        <v>0</v>
      </c>
      <c r="V60" s="99">
        <f>IF(AND(SamplingData[[#This Row],[Total]]&lt;&gt; 0, NOT(ISBLANK(SamplingData[[#This Row],[Candidate 7]]))),(SamplingData[[#This Row],[Total]]+SamplingData[[#This Row],[Winning Candidate]]-SamplingData[[#This Row],[Candidate 7]])/(SamplingData[[#Totals],[Winning Candidate]]-SamplingData[[#Totals],[Candidate 7]]), 0)</f>
        <v>0</v>
      </c>
      <c r="W60" s="99">
        <f>IF(AND(SamplingData[[#This Row],[Total]]&lt;&gt; 0, NOT(ISBLANK(SamplingData[[#This Row],[Candidate 8]]))),(SamplingData[[#This Row],[Total]]+SamplingData[[#This Row],[Winning Candidate]]-SamplingData[[#This Row],[Candidate 8]])/(SamplingData[[#Totals],[Winning Candidate]]-SamplingData[[#Totals],[Candidate 8]]), 0)</f>
        <v>0</v>
      </c>
      <c r="X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 s="99">
        <f>MAX(SamplingData[[#This Row],[Error Bound (up) - Max. possible relative overstatement - Losing Candidate]:[Error Bound (up) - Max. possible relative overstatement - Candidate 12]])</f>
        <v>1.7738923782040401E-2</v>
      </c>
      <c r="AC60" s="99">
        <f>IF(SamplingData[[#This Row],[Max Error Bound (up)]] = 0,0,SamplingData[[#This Row],[Max Error Bound (up)]]/SamplingData[[#Totals],[Max Error Bound (up)]])</f>
        <v>9.4975824335623781E-4</v>
      </c>
      <c r="AD60" s="103">
        <f>SUM($AC$5:AC60)</f>
        <v>7.4735521867161189E-2</v>
      </c>
      <c r="AE60" s="99" t="str" cm="1">
        <f t="array" ref="AE60">IF(SamplingData[[#This Row],[up/U Selection Probability]] = 0, "Zero", TEXT(SamplingData[[#This Row],[Lower Range]], REPT("0",LEN('General Info'!$B$42))) &amp; " - " &amp; TEXT(SamplingData[[#This Row],[Upper Range]], REPT("0",LEN('General Info'!$B$42))))</f>
        <v>073786 - 074735</v>
      </c>
      <c r="AF60" s="99">
        <f>SamplingData[[#This Row],[Upper Range]]-SamplingData[[#This Row],[Span]]</f>
        <v>73785.76362380496</v>
      </c>
      <c r="AG60" s="99">
        <f>IF(ISNUMBER('General Info'!$B$42), ((SamplingData[[#This Row],[up/U Selection Probability]]) * 'General Info'!$B$44) - 1, 0)</f>
        <v>948.75824335623781</v>
      </c>
      <c r="AH60" s="99">
        <f>IF(ISNUMBER('General Info'!$B$42), (SamplingData[[#This Row],[Running (cumulative) sum]] * ('General Info'!$B$42 -'General Info'!$B$43 + 1)) + 'General Info'!$B$43 - 1, 0)</f>
        <v>74734.521867161195</v>
      </c>
      <c r="AI60" s="99" t="str">
        <f>IF(ISERROR(MATCH(SamplingData[[#This Row],[Batch by Type (p)]],SelectedPrecincts[Batch Name], 0)), "", INDEX(SelectedPrecincts[Draw], MATCH(SamplingData[[#This Row],[Batch by Type (p)]],SelectedPrecincts[Batch Name], 0)))</f>
        <v/>
      </c>
      <c r="AJ60" s="100">
        <f>IF(COUNTIF(SelectedPrecincts[Batch Name],SamplingData[[#This Row],[Batch by Type (p)]]) &lt;&gt; 0, COUNTIF(SelectedPrecincts[Batch Name],SamplingData[[#This Row],[Batch by Type (p)]]), 0)</f>
        <v>0</v>
      </c>
    </row>
    <row r="61" spans="1:36" ht="15" customHeight="1" x14ac:dyDescent="0.35">
      <c r="A61" s="97" t="s">
        <v>274</v>
      </c>
      <c r="B61" s="97">
        <v>244</v>
      </c>
      <c r="C61" s="97">
        <v>20</v>
      </c>
      <c r="D61" s="92"/>
      <c r="E61" s="92"/>
      <c r="F61" s="92"/>
      <c r="G61" s="96"/>
      <c r="H61" s="96"/>
      <c r="I61" s="92"/>
      <c r="J61" s="92"/>
      <c r="K61" s="92"/>
      <c r="L61" s="92"/>
      <c r="M61" s="92"/>
      <c r="N61" s="97">
        <v>0</v>
      </c>
      <c r="O61" s="97">
        <v>14</v>
      </c>
      <c r="P61" s="98">
        <f>SUM(SamplingData[[#This Row],[Winning Candidate]:[Under Votes]])</f>
        <v>278</v>
      </c>
      <c r="Q61" s="99">
        <f>IF(AND(SamplingData[[#This Row],[Total]]&lt;&gt; 0, NOT(ISBLANK(SamplingData[[#This Row],[Losing Candidate]]))),(SamplingData[[#This Row],[Total]]+SamplingData[[#This Row],[Winning Candidate]]-SamplingData[[#This Row],[Losing Candidate]])/(SamplingData[[#Totals],[Winning Candidate]]-SamplingData[[#Totals],[Losing Candidate]]), 0)</f>
        <v>2.1303683585129858E-2</v>
      </c>
      <c r="R61" s="99">
        <f>IF(AND(SamplingData[[#This Row],[Total]]&lt;&gt; 0, NOT(ISBLANK(SamplingData[[#This Row],[Candidate 3]]))),(SamplingData[[#This Row],[Total]]+SamplingData[[#This Row],[Winning Candidate]]-SamplingData[[#This Row],[Candidate 3]])/(SamplingData[[#Totals],[Winning Candidate]]-SamplingData[[#Totals],[Candidate 3]]), 0)</f>
        <v>0</v>
      </c>
      <c r="S61" s="99">
        <f>IF(AND(SamplingData[[#This Row],[Total]]&lt;&gt; 0, NOT(ISBLANK(SamplingData[[#This Row],[Candidate 4]]))),(SamplingData[[#This Row],[Total]]+SamplingData[[#This Row],[Winning Candidate]]-SamplingData[[#This Row],[Candidate 4]])/(SamplingData[[#Totals],[Winning Candidate]]-SamplingData[[#Totals],[Candidate 4]]), 0)</f>
        <v>0</v>
      </c>
      <c r="T61" s="99">
        <f>IF(AND(SamplingData[[#This Row],[Total]]&lt;&gt; 0, NOT(ISBLANK(SamplingData[[#This Row],[Candidate 5]]))),(SamplingData[[#This Row],[Total]]+SamplingData[[#This Row],[Winning Candidate]]-SamplingData[[#This Row],[Candidate 5]])/(SamplingData[[#Totals],[Winning Candidate]]-SamplingData[[#Totals],[Candidate 5]]), 0)</f>
        <v>0</v>
      </c>
      <c r="U61" s="99">
        <f>IF(AND(SamplingData[[#This Row],[Total]]&lt;&gt; 0, NOT(ISBLANK(SamplingData[[#This Row],[Candidate 6]]))),(SamplingData[[#This Row],[Total]]+SamplingData[[#This Row],[Losing Candidate]]-SamplingData[[#This Row],[Candidate 6]])/(SamplingData[[#Totals],[Winning Candidate]]-SamplingData[[#Totals],[Candidate 6]]), 0)</f>
        <v>0</v>
      </c>
      <c r="V61" s="99">
        <f>IF(AND(SamplingData[[#This Row],[Total]]&lt;&gt; 0, NOT(ISBLANK(SamplingData[[#This Row],[Candidate 7]]))),(SamplingData[[#This Row],[Total]]+SamplingData[[#This Row],[Winning Candidate]]-SamplingData[[#This Row],[Candidate 7]])/(SamplingData[[#Totals],[Winning Candidate]]-SamplingData[[#Totals],[Candidate 7]]), 0)</f>
        <v>0</v>
      </c>
      <c r="W61" s="99">
        <f>IF(AND(SamplingData[[#This Row],[Total]]&lt;&gt; 0, NOT(ISBLANK(SamplingData[[#This Row],[Candidate 8]]))),(SamplingData[[#This Row],[Total]]+SamplingData[[#This Row],[Winning Candidate]]-SamplingData[[#This Row],[Candidate 8]])/(SamplingData[[#Totals],[Winning Candidate]]-SamplingData[[#Totals],[Candidate 8]]), 0)</f>
        <v>0</v>
      </c>
      <c r="X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 s="99">
        <f>MAX(SamplingData[[#This Row],[Error Bound (up) - Max. possible relative overstatement - Losing Candidate]:[Error Bound (up) - Max. possible relative overstatement - Candidate 12]])</f>
        <v>2.1303683585129858E-2</v>
      </c>
      <c r="AC61" s="99">
        <f>IF(SamplingData[[#This Row],[Max Error Bound (up)]] = 0,0,SamplingData[[#This Row],[Max Error Bound (up)]]/SamplingData[[#Totals],[Max Error Bound (up)]])</f>
        <v>1.1406187515905057E-3</v>
      </c>
      <c r="AD61" s="103">
        <f>SUM($AC$5:AC61)</f>
        <v>7.5876140618751697E-2</v>
      </c>
      <c r="AE61" s="99" t="str" cm="1">
        <f t="array" ref="AE61">IF(SamplingData[[#This Row],[up/U Selection Probability]] = 0, "Zero", TEXT(SamplingData[[#This Row],[Lower Range]], REPT("0",LEN('General Info'!$B$42))) &amp; " - " &amp; TEXT(SamplingData[[#This Row],[Upper Range]], REPT("0",LEN('General Info'!$B$42))))</f>
        <v>074736 - 075875</v>
      </c>
      <c r="AF61" s="99">
        <f>SamplingData[[#This Row],[Upper Range]]-SamplingData[[#This Row],[Span]]</f>
        <v>74735.521867161195</v>
      </c>
      <c r="AG61" s="99">
        <f>IF(ISNUMBER('General Info'!$B$42), ((SamplingData[[#This Row],[up/U Selection Probability]]) * 'General Info'!$B$44) - 1, 0)</f>
        <v>1139.6187515905058</v>
      </c>
      <c r="AH61" s="99">
        <f>IF(ISNUMBER('General Info'!$B$42), (SamplingData[[#This Row],[Running (cumulative) sum]] * ('General Info'!$B$42 -'General Info'!$B$43 + 1)) + 'General Info'!$B$43 - 1, 0)</f>
        <v>75875.140618751699</v>
      </c>
      <c r="AI61" s="99" t="str">
        <f>IF(ISERROR(MATCH(SamplingData[[#This Row],[Batch by Type (p)]],SelectedPrecincts[Batch Name], 0)), "", INDEX(SelectedPrecincts[Draw], MATCH(SamplingData[[#This Row],[Batch by Type (p)]],SelectedPrecincts[Batch Name], 0)))</f>
        <v/>
      </c>
      <c r="AJ61" s="100">
        <f>IF(COUNTIF(SelectedPrecincts[Batch Name],SamplingData[[#This Row],[Batch by Type (p)]]) &lt;&gt; 0, COUNTIF(SelectedPrecincts[Batch Name],SamplingData[[#This Row],[Batch by Type (p)]]), 0)</f>
        <v>0</v>
      </c>
    </row>
    <row r="62" spans="1:36" ht="15" customHeight="1" x14ac:dyDescent="0.35">
      <c r="A62" s="97" t="s">
        <v>275</v>
      </c>
      <c r="B62" s="97">
        <v>329</v>
      </c>
      <c r="C62" s="97">
        <v>35</v>
      </c>
      <c r="D62" s="92"/>
      <c r="E62" s="92"/>
      <c r="F62" s="92"/>
      <c r="G62" s="96"/>
      <c r="H62" s="96"/>
      <c r="I62" s="92"/>
      <c r="J62" s="92"/>
      <c r="K62" s="92"/>
      <c r="L62" s="92"/>
      <c r="M62" s="92"/>
      <c r="N62" s="97">
        <v>0</v>
      </c>
      <c r="O62" s="97">
        <v>15</v>
      </c>
      <c r="P62" s="98">
        <f>SUM(SamplingData[[#This Row],[Winning Candidate]:[Under Votes]])</f>
        <v>379</v>
      </c>
      <c r="Q62" s="99">
        <f>IF(AND(SamplingData[[#This Row],[Total]]&lt;&gt; 0, NOT(ISBLANK(SamplingData[[#This Row],[Losing Candidate]]))),(SamplingData[[#This Row],[Total]]+SamplingData[[#This Row],[Winning Candidate]]-SamplingData[[#This Row],[Losing Candidate]])/(SamplingData[[#Totals],[Winning Candidate]]-SamplingData[[#Totals],[Losing Candidate]]), 0)</f>
        <v>2.8560516041419112E-2</v>
      </c>
      <c r="R62" s="99">
        <f>IF(AND(SamplingData[[#This Row],[Total]]&lt;&gt; 0, NOT(ISBLANK(SamplingData[[#This Row],[Candidate 3]]))),(SamplingData[[#This Row],[Total]]+SamplingData[[#This Row],[Winning Candidate]]-SamplingData[[#This Row],[Candidate 3]])/(SamplingData[[#Totals],[Winning Candidate]]-SamplingData[[#Totals],[Candidate 3]]), 0)</f>
        <v>0</v>
      </c>
      <c r="S62" s="99">
        <f>IF(AND(SamplingData[[#This Row],[Total]]&lt;&gt; 0, NOT(ISBLANK(SamplingData[[#This Row],[Candidate 4]]))),(SamplingData[[#This Row],[Total]]+SamplingData[[#This Row],[Winning Candidate]]-SamplingData[[#This Row],[Candidate 4]])/(SamplingData[[#Totals],[Winning Candidate]]-SamplingData[[#Totals],[Candidate 4]]), 0)</f>
        <v>0</v>
      </c>
      <c r="T62" s="99">
        <f>IF(AND(SamplingData[[#This Row],[Total]]&lt;&gt; 0, NOT(ISBLANK(SamplingData[[#This Row],[Candidate 5]]))),(SamplingData[[#This Row],[Total]]+SamplingData[[#This Row],[Winning Candidate]]-SamplingData[[#This Row],[Candidate 5]])/(SamplingData[[#Totals],[Winning Candidate]]-SamplingData[[#Totals],[Candidate 5]]), 0)</f>
        <v>0</v>
      </c>
      <c r="U62" s="99">
        <f>IF(AND(SamplingData[[#This Row],[Total]]&lt;&gt; 0, NOT(ISBLANK(SamplingData[[#This Row],[Candidate 6]]))),(SamplingData[[#This Row],[Total]]+SamplingData[[#This Row],[Losing Candidate]]-SamplingData[[#This Row],[Candidate 6]])/(SamplingData[[#Totals],[Winning Candidate]]-SamplingData[[#Totals],[Candidate 6]]), 0)</f>
        <v>0</v>
      </c>
      <c r="V62" s="99">
        <f>IF(AND(SamplingData[[#This Row],[Total]]&lt;&gt; 0, NOT(ISBLANK(SamplingData[[#This Row],[Candidate 7]]))),(SamplingData[[#This Row],[Total]]+SamplingData[[#This Row],[Winning Candidate]]-SamplingData[[#This Row],[Candidate 7]])/(SamplingData[[#Totals],[Winning Candidate]]-SamplingData[[#Totals],[Candidate 7]]), 0)</f>
        <v>0</v>
      </c>
      <c r="W62" s="99">
        <f>IF(AND(SamplingData[[#This Row],[Total]]&lt;&gt; 0, NOT(ISBLANK(SamplingData[[#This Row],[Candidate 8]]))),(SamplingData[[#This Row],[Total]]+SamplingData[[#This Row],[Winning Candidate]]-SamplingData[[#This Row],[Candidate 8]])/(SamplingData[[#Totals],[Winning Candidate]]-SamplingData[[#Totals],[Candidate 8]]), 0)</f>
        <v>0</v>
      </c>
      <c r="X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 s="99">
        <f>MAX(SamplingData[[#This Row],[Error Bound (up) - Max. possible relative overstatement - Losing Candidate]:[Error Bound (up) - Max. possible relative overstatement - Candidate 12]])</f>
        <v>2.8560516041419112E-2</v>
      </c>
      <c r="AC62" s="99">
        <f>IF(SamplingData[[#This Row],[Max Error Bound (up)]] = 0,0,SamplingData[[#This Row],[Max Error Bound (up)]]/SamplingData[[#Totals],[Max Error Bound (up)]])</f>
        <v>1.5291562147816938E-3</v>
      </c>
      <c r="AD62" s="103">
        <f>SUM($AC$5:AC62)</f>
        <v>7.7405296833533394E-2</v>
      </c>
      <c r="AE62" s="99" t="str" cm="1">
        <f t="array" ref="AE62">IF(SamplingData[[#This Row],[up/U Selection Probability]] = 0, "Zero", TEXT(SamplingData[[#This Row],[Lower Range]], REPT("0",LEN('General Info'!$B$42))) &amp; " - " &amp; TEXT(SamplingData[[#This Row],[Upper Range]], REPT("0",LEN('General Info'!$B$42))))</f>
        <v>075876 - 077404</v>
      </c>
      <c r="AF62" s="99">
        <f>SamplingData[[#This Row],[Upper Range]]-SamplingData[[#This Row],[Span]]</f>
        <v>75876.140618751713</v>
      </c>
      <c r="AG62" s="99">
        <f>IF(ISNUMBER('General Info'!$B$42), ((SamplingData[[#This Row],[up/U Selection Probability]]) * 'General Info'!$B$44) - 1, 0)</f>
        <v>1528.1562147816937</v>
      </c>
      <c r="AH62" s="99">
        <f>IF(ISNUMBER('General Info'!$B$42), (SamplingData[[#This Row],[Running (cumulative) sum]] * ('General Info'!$B$42 -'General Info'!$B$43 + 1)) + 'General Info'!$B$43 - 1, 0)</f>
        <v>77404.296833533401</v>
      </c>
      <c r="AI62" s="99" t="str">
        <f>IF(ISERROR(MATCH(SamplingData[[#This Row],[Batch by Type (p)]],SelectedPrecincts[Batch Name], 0)), "", INDEX(SelectedPrecincts[Draw], MATCH(SamplingData[[#This Row],[Batch by Type (p)]],SelectedPrecincts[Batch Name], 0)))</f>
        <v/>
      </c>
      <c r="AJ62" s="100">
        <f>IF(COUNTIF(SelectedPrecincts[Batch Name],SamplingData[[#This Row],[Batch by Type (p)]]) &lt;&gt; 0, COUNTIF(SelectedPrecincts[Batch Name],SamplingData[[#This Row],[Batch by Type (p)]]), 0)</f>
        <v>0</v>
      </c>
    </row>
    <row r="63" spans="1:36" ht="15" customHeight="1" x14ac:dyDescent="0.35">
      <c r="A63" s="97" t="s">
        <v>276</v>
      </c>
      <c r="B63" s="97">
        <v>265</v>
      </c>
      <c r="C63" s="97">
        <v>12</v>
      </c>
      <c r="D63" s="92"/>
      <c r="E63" s="92"/>
      <c r="F63" s="92"/>
      <c r="G63" s="96"/>
      <c r="H63" s="96"/>
      <c r="I63" s="92"/>
      <c r="J63" s="92"/>
      <c r="K63" s="92"/>
      <c r="L63" s="92"/>
      <c r="M63" s="92"/>
      <c r="N63" s="97">
        <v>0</v>
      </c>
      <c r="O63" s="97">
        <v>13</v>
      </c>
      <c r="P63" s="98">
        <f>SUM(SamplingData[[#This Row],[Winning Candidate]:[Under Votes]])</f>
        <v>290</v>
      </c>
      <c r="Q63" s="99">
        <f>IF(AND(SamplingData[[#This Row],[Total]]&lt;&gt; 0, NOT(ISBLANK(SamplingData[[#This Row],[Losing Candidate]]))),(SamplingData[[#This Row],[Total]]+SamplingData[[#This Row],[Winning Candidate]]-SamplingData[[#This Row],[Losing Candidate]])/(SamplingData[[#Totals],[Winning Candidate]]-SamplingData[[#Totals],[Losing Candidate]]), 0)</f>
        <v>2.3043625869971142E-2</v>
      </c>
      <c r="R63" s="99">
        <f>IF(AND(SamplingData[[#This Row],[Total]]&lt;&gt; 0, NOT(ISBLANK(SamplingData[[#This Row],[Candidate 3]]))),(SamplingData[[#This Row],[Total]]+SamplingData[[#This Row],[Winning Candidate]]-SamplingData[[#This Row],[Candidate 3]])/(SamplingData[[#Totals],[Winning Candidate]]-SamplingData[[#Totals],[Candidate 3]]), 0)</f>
        <v>0</v>
      </c>
      <c r="S63" s="99">
        <f>IF(AND(SamplingData[[#This Row],[Total]]&lt;&gt; 0, NOT(ISBLANK(SamplingData[[#This Row],[Candidate 4]]))),(SamplingData[[#This Row],[Total]]+SamplingData[[#This Row],[Winning Candidate]]-SamplingData[[#This Row],[Candidate 4]])/(SamplingData[[#Totals],[Winning Candidate]]-SamplingData[[#Totals],[Candidate 4]]), 0)</f>
        <v>0</v>
      </c>
      <c r="T63" s="99">
        <f>IF(AND(SamplingData[[#This Row],[Total]]&lt;&gt; 0, NOT(ISBLANK(SamplingData[[#This Row],[Candidate 5]]))),(SamplingData[[#This Row],[Total]]+SamplingData[[#This Row],[Winning Candidate]]-SamplingData[[#This Row],[Candidate 5]])/(SamplingData[[#Totals],[Winning Candidate]]-SamplingData[[#Totals],[Candidate 5]]), 0)</f>
        <v>0</v>
      </c>
      <c r="U63" s="99">
        <f>IF(AND(SamplingData[[#This Row],[Total]]&lt;&gt; 0, NOT(ISBLANK(SamplingData[[#This Row],[Candidate 6]]))),(SamplingData[[#This Row],[Total]]+SamplingData[[#This Row],[Losing Candidate]]-SamplingData[[#This Row],[Candidate 6]])/(SamplingData[[#Totals],[Winning Candidate]]-SamplingData[[#Totals],[Candidate 6]]), 0)</f>
        <v>0</v>
      </c>
      <c r="V63" s="99">
        <f>IF(AND(SamplingData[[#This Row],[Total]]&lt;&gt; 0, NOT(ISBLANK(SamplingData[[#This Row],[Candidate 7]]))),(SamplingData[[#This Row],[Total]]+SamplingData[[#This Row],[Winning Candidate]]-SamplingData[[#This Row],[Candidate 7]])/(SamplingData[[#Totals],[Winning Candidate]]-SamplingData[[#Totals],[Candidate 7]]), 0)</f>
        <v>0</v>
      </c>
      <c r="W63" s="99">
        <f>IF(AND(SamplingData[[#This Row],[Total]]&lt;&gt; 0, NOT(ISBLANK(SamplingData[[#This Row],[Candidate 8]]))),(SamplingData[[#This Row],[Total]]+SamplingData[[#This Row],[Winning Candidate]]-SamplingData[[#This Row],[Candidate 8]])/(SamplingData[[#Totals],[Winning Candidate]]-SamplingData[[#Totals],[Candidate 8]]), 0)</f>
        <v>0</v>
      </c>
      <c r="X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 s="99">
        <f>MAX(SamplingData[[#This Row],[Error Bound (up) - Max. possible relative overstatement - Losing Candidate]:[Error Bound (up) - Max. possible relative overstatement - Candidate 12]])</f>
        <v>2.3043625869971142E-2</v>
      </c>
      <c r="AC63" s="99">
        <f>IF(SamplingData[[#This Row],[Max Error Bound (up)]] = 0,0,SamplingData[[#This Row],[Max Error Bound (up)]]/SamplingData[[#Totals],[Max Error Bound (up)]])</f>
        <v>1.2337768568000888E-3</v>
      </c>
      <c r="AD63" s="103">
        <f>SUM($AC$5:AC63)</f>
        <v>7.8639073690333489E-2</v>
      </c>
      <c r="AE63" s="99" t="str" cm="1">
        <f t="array" ref="AE63">IF(SamplingData[[#This Row],[up/U Selection Probability]] = 0, "Zero", TEXT(SamplingData[[#This Row],[Lower Range]], REPT("0",LEN('General Info'!$B$42))) &amp; " - " &amp; TEXT(SamplingData[[#This Row],[Upper Range]], REPT("0",LEN('General Info'!$B$42))))</f>
        <v>077405 - 078638</v>
      </c>
      <c r="AF63" s="99">
        <f>SamplingData[[#This Row],[Upper Range]]-SamplingData[[#This Row],[Span]]</f>
        <v>77405.296833533401</v>
      </c>
      <c r="AG63" s="99">
        <f>IF(ISNUMBER('General Info'!$B$42), ((SamplingData[[#This Row],[up/U Selection Probability]]) * 'General Info'!$B$44) - 1, 0)</f>
        <v>1232.7768568000888</v>
      </c>
      <c r="AH63" s="99">
        <f>IF(ISNUMBER('General Info'!$B$42), (SamplingData[[#This Row],[Running (cumulative) sum]] * ('General Info'!$B$42 -'General Info'!$B$43 + 1)) + 'General Info'!$B$43 - 1, 0)</f>
        <v>78638.073690333491</v>
      </c>
      <c r="AI63" s="99" t="str">
        <f>IF(ISERROR(MATCH(SamplingData[[#This Row],[Batch by Type (p)]],SelectedPrecincts[Batch Name], 0)), "", INDEX(SelectedPrecincts[Draw], MATCH(SamplingData[[#This Row],[Batch by Type (p)]],SelectedPrecincts[Batch Name], 0)))</f>
        <v/>
      </c>
      <c r="AJ63" s="100">
        <f>IF(COUNTIF(SelectedPrecincts[Batch Name],SamplingData[[#This Row],[Batch by Type (p)]]) &lt;&gt; 0, COUNTIF(SelectedPrecincts[Batch Name],SamplingData[[#This Row],[Batch by Type (p)]]), 0)</f>
        <v>0</v>
      </c>
    </row>
    <row r="64" spans="1:36" ht="15" customHeight="1" x14ac:dyDescent="0.35">
      <c r="A64" s="97" t="s">
        <v>277</v>
      </c>
      <c r="B64" s="97">
        <v>357</v>
      </c>
      <c r="C64" s="97">
        <v>38</v>
      </c>
      <c r="D64" s="92"/>
      <c r="E64" s="92"/>
      <c r="F64" s="92"/>
      <c r="G64" s="96"/>
      <c r="H64" s="96"/>
      <c r="I64" s="92"/>
      <c r="J64" s="92"/>
      <c r="K64" s="92"/>
      <c r="L64" s="92"/>
      <c r="M64" s="92"/>
      <c r="N64" s="97">
        <v>0</v>
      </c>
      <c r="O64" s="97">
        <v>19</v>
      </c>
      <c r="P64" s="98">
        <f>SUM(SamplingData[[#This Row],[Winning Candidate]:[Under Votes]])</f>
        <v>414</v>
      </c>
      <c r="Q64" s="99">
        <f>IF(AND(SamplingData[[#This Row],[Total]]&lt;&gt; 0, NOT(ISBLANK(SamplingData[[#This Row],[Losing Candidate]]))),(SamplingData[[#This Row],[Total]]+SamplingData[[#This Row],[Winning Candidate]]-SamplingData[[#This Row],[Losing Candidate]])/(SamplingData[[#Totals],[Winning Candidate]]-SamplingData[[#Totals],[Losing Candidate]]), 0)</f>
        <v>3.1106773043625871E-2</v>
      </c>
      <c r="R64" s="99">
        <f>IF(AND(SamplingData[[#This Row],[Total]]&lt;&gt; 0, NOT(ISBLANK(SamplingData[[#This Row],[Candidate 3]]))),(SamplingData[[#This Row],[Total]]+SamplingData[[#This Row],[Winning Candidate]]-SamplingData[[#This Row],[Candidate 3]])/(SamplingData[[#Totals],[Winning Candidate]]-SamplingData[[#Totals],[Candidate 3]]), 0)</f>
        <v>0</v>
      </c>
      <c r="S64" s="99">
        <f>IF(AND(SamplingData[[#This Row],[Total]]&lt;&gt; 0, NOT(ISBLANK(SamplingData[[#This Row],[Candidate 4]]))),(SamplingData[[#This Row],[Total]]+SamplingData[[#This Row],[Winning Candidate]]-SamplingData[[#This Row],[Candidate 4]])/(SamplingData[[#Totals],[Winning Candidate]]-SamplingData[[#Totals],[Candidate 4]]), 0)</f>
        <v>0</v>
      </c>
      <c r="T64" s="99">
        <f>IF(AND(SamplingData[[#This Row],[Total]]&lt;&gt; 0, NOT(ISBLANK(SamplingData[[#This Row],[Candidate 5]]))),(SamplingData[[#This Row],[Total]]+SamplingData[[#This Row],[Winning Candidate]]-SamplingData[[#This Row],[Candidate 5]])/(SamplingData[[#Totals],[Winning Candidate]]-SamplingData[[#Totals],[Candidate 5]]), 0)</f>
        <v>0</v>
      </c>
      <c r="U64" s="99">
        <f>IF(AND(SamplingData[[#This Row],[Total]]&lt;&gt; 0, NOT(ISBLANK(SamplingData[[#This Row],[Candidate 6]]))),(SamplingData[[#This Row],[Total]]+SamplingData[[#This Row],[Losing Candidate]]-SamplingData[[#This Row],[Candidate 6]])/(SamplingData[[#Totals],[Winning Candidate]]-SamplingData[[#Totals],[Candidate 6]]), 0)</f>
        <v>0</v>
      </c>
      <c r="V64" s="99">
        <f>IF(AND(SamplingData[[#This Row],[Total]]&lt;&gt; 0, NOT(ISBLANK(SamplingData[[#This Row],[Candidate 7]]))),(SamplingData[[#This Row],[Total]]+SamplingData[[#This Row],[Winning Candidate]]-SamplingData[[#This Row],[Candidate 7]])/(SamplingData[[#Totals],[Winning Candidate]]-SamplingData[[#Totals],[Candidate 7]]), 0)</f>
        <v>0</v>
      </c>
      <c r="W64" s="99">
        <f>IF(AND(SamplingData[[#This Row],[Total]]&lt;&gt; 0, NOT(ISBLANK(SamplingData[[#This Row],[Candidate 8]]))),(SamplingData[[#This Row],[Total]]+SamplingData[[#This Row],[Winning Candidate]]-SamplingData[[#This Row],[Candidate 8]])/(SamplingData[[#Totals],[Winning Candidate]]-SamplingData[[#Totals],[Candidate 8]]), 0)</f>
        <v>0</v>
      </c>
      <c r="X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 s="99">
        <f>MAX(SamplingData[[#This Row],[Error Bound (up) - Max. possible relative overstatement - Losing Candidate]:[Error Bound (up) - Max. possible relative overstatement - Candidate 12]])</f>
        <v>3.1106773043625871E-2</v>
      </c>
      <c r="AC64" s="99">
        <f>IF(SamplingData[[#This Row],[Max Error Bound (up)]] = 0,0,SamplingData[[#This Row],[Max Error Bound (up)]]/SamplingData[[#Totals],[Max Error Bound (up)]])</f>
        <v>1.6654851492347424E-3</v>
      </c>
      <c r="AD64" s="103">
        <f>SUM($AC$5:AC64)</f>
        <v>8.0304558839568232E-2</v>
      </c>
      <c r="AE64" s="99" t="str" cm="1">
        <f t="array" ref="AE64">IF(SamplingData[[#This Row],[up/U Selection Probability]] = 0, "Zero", TEXT(SamplingData[[#This Row],[Lower Range]], REPT("0",LEN('General Info'!$B$42))) &amp; " - " &amp; TEXT(SamplingData[[#This Row],[Upper Range]], REPT("0",LEN('General Info'!$B$42))))</f>
        <v>078639 - 080304</v>
      </c>
      <c r="AF64" s="99">
        <f>SamplingData[[#This Row],[Upper Range]]-SamplingData[[#This Row],[Span]]</f>
        <v>78639.073690333491</v>
      </c>
      <c r="AG64" s="99">
        <f>IF(ISNUMBER('General Info'!$B$42), ((SamplingData[[#This Row],[up/U Selection Probability]]) * 'General Info'!$B$44) - 1, 0)</f>
        <v>1664.4851492347423</v>
      </c>
      <c r="AH64" s="99">
        <f>IF(ISNUMBER('General Info'!$B$42), (SamplingData[[#This Row],[Running (cumulative) sum]] * ('General Info'!$B$42 -'General Info'!$B$43 + 1)) + 'General Info'!$B$43 - 1, 0)</f>
        <v>80303.558839568228</v>
      </c>
      <c r="AI64" s="99" t="str">
        <f>IF(ISERROR(MATCH(SamplingData[[#This Row],[Batch by Type (p)]],SelectedPrecincts[Batch Name], 0)), "", INDEX(SelectedPrecincts[Draw], MATCH(SamplingData[[#This Row],[Batch by Type (p)]],SelectedPrecincts[Batch Name], 0)))</f>
        <v/>
      </c>
      <c r="AJ64" s="100">
        <f>IF(COUNTIF(SelectedPrecincts[Batch Name],SamplingData[[#This Row],[Batch by Type (p)]]) &lt;&gt; 0, COUNTIF(SelectedPrecincts[Batch Name],SamplingData[[#This Row],[Batch by Type (p)]]), 0)</f>
        <v>0</v>
      </c>
    </row>
    <row r="65" spans="1:36" ht="15" customHeight="1" x14ac:dyDescent="0.35">
      <c r="A65" s="97" t="s">
        <v>278</v>
      </c>
      <c r="B65" s="97">
        <v>109</v>
      </c>
      <c r="C65" s="97">
        <v>20</v>
      </c>
      <c r="D65" s="92"/>
      <c r="E65" s="92"/>
      <c r="F65" s="92"/>
      <c r="G65" s="96"/>
      <c r="H65" s="96"/>
      <c r="I65" s="92"/>
      <c r="J65" s="92"/>
      <c r="K65" s="92"/>
      <c r="L65" s="92"/>
      <c r="M65" s="92"/>
      <c r="N65" s="97">
        <v>0</v>
      </c>
      <c r="O65" s="97">
        <v>6</v>
      </c>
      <c r="P65" s="98">
        <f>SUM(SamplingData[[#This Row],[Winning Candidate]:[Under Votes]])</f>
        <v>135</v>
      </c>
      <c r="Q65" s="99">
        <f>IF(AND(SamplingData[[#This Row],[Total]]&lt;&gt; 0, NOT(ISBLANK(SamplingData[[#This Row],[Losing Candidate]]))),(SamplingData[[#This Row],[Total]]+SamplingData[[#This Row],[Winning Candidate]]-SamplingData[[#This Row],[Losing Candidate]])/(SamplingData[[#Totals],[Winning Candidate]]-SamplingData[[#Totals],[Losing Candidate]]), 0)</f>
        <v>9.5060261415718886E-3</v>
      </c>
      <c r="R65" s="99">
        <f>IF(AND(SamplingData[[#This Row],[Total]]&lt;&gt; 0, NOT(ISBLANK(SamplingData[[#This Row],[Candidate 3]]))),(SamplingData[[#This Row],[Total]]+SamplingData[[#This Row],[Winning Candidate]]-SamplingData[[#This Row],[Candidate 3]])/(SamplingData[[#Totals],[Winning Candidate]]-SamplingData[[#Totals],[Candidate 3]]), 0)</f>
        <v>0</v>
      </c>
      <c r="S65" s="99">
        <f>IF(AND(SamplingData[[#This Row],[Total]]&lt;&gt; 0, NOT(ISBLANK(SamplingData[[#This Row],[Candidate 4]]))),(SamplingData[[#This Row],[Total]]+SamplingData[[#This Row],[Winning Candidate]]-SamplingData[[#This Row],[Candidate 4]])/(SamplingData[[#Totals],[Winning Candidate]]-SamplingData[[#Totals],[Candidate 4]]), 0)</f>
        <v>0</v>
      </c>
      <c r="T65" s="99">
        <f>IF(AND(SamplingData[[#This Row],[Total]]&lt;&gt; 0, NOT(ISBLANK(SamplingData[[#This Row],[Candidate 5]]))),(SamplingData[[#This Row],[Total]]+SamplingData[[#This Row],[Winning Candidate]]-SamplingData[[#This Row],[Candidate 5]])/(SamplingData[[#Totals],[Winning Candidate]]-SamplingData[[#Totals],[Candidate 5]]), 0)</f>
        <v>0</v>
      </c>
      <c r="U65" s="99">
        <f>IF(AND(SamplingData[[#This Row],[Total]]&lt;&gt; 0, NOT(ISBLANK(SamplingData[[#This Row],[Candidate 6]]))),(SamplingData[[#This Row],[Total]]+SamplingData[[#This Row],[Losing Candidate]]-SamplingData[[#This Row],[Candidate 6]])/(SamplingData[[#Totals],[Winning Candidate]]-SamplingData[[#Totals],[Candidate 6]]), 0)</f>
        <v>0</v>
      </c>
      <c r="V65" s="99">
        <f>IF(AND(SamplingData[[#This Row],[Total]]&lt;&gt; 0, NOT(ISBLANK(SamplingData[[#This Row],[Candidate 7]]))),(SamplingData[[#This Row],[Total]]+SamplingData[[#This Row],[Winning Candidate]]-SamplingData[[#This Row],[Candidate 7]])/(SamplingData[[#Totals],[Winning Candidate]]-SamplingData[[#Totals],[Candidate 7]]), 0)</f>
        <v>0</v>
      </c>
      <c r="W65" s="99">
        <f>IF(AND(SamplingData[[#This Row],[Total]]&lt;&gt; 0, NOT(ISBLANK(SamplingData[[#This Row],[Candidate 8]]))),(SamplingData[[#This Row],[Total]]+SamplingData[[#This Row],[Winning Candidate]]-SamplingData[[#This Row],[Candidate 8]])/(SamplingData[[#Totals],[Winning Candidate]]-SamplingData[[#Totals],[Candidate 8]]), 0)</f>
        <v>0</v>
      </c>
      <c r="X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 s="99">
        <f>MAX(SamplingData[[#This Row],[Error Bound (up) - Max. possible relative overstatement - Losing Candidate]:[Error Bound (up) - Max. possible relative overstatement - Candidate 12]])</f>
        <v>9.5060261415718886E-3</v>
      </c>
      <c r="AC65" s="99">
        <f>IF(SamplingData[[#This Row],[Max Error Bound (up)]] = 0,0,SamplingData[[#This Row],[Max Error Bound (up)]]/SamplingData[[#Totals],[Max Error Bound (up)]])</f>
        <v>5.08961355291381E-4</v>
      </c>
      <c r="AD65" s="103">
        <f>SUM($AC$5:AC65)</f>
        <v>8.0813520194859614E-2</v>
      </c>
      <c r="AE65" s="99" t="str" cm="1">
        <f t="array" ref="AE65">IF(SamplingData[[#This Row],[up/U Selection Probability]] = 0, "Zero", TEXT(SamplingData[[#This Row],[Lower Range]], REPT("0",LEN('General Info'!$B$42))) &amp; " - " &amp; TEXT(SamplingData[[#This Row],[Upper Range]], REPT("0",LEN('General Info'!$B$42))))</f>
        <v>080305 - 080813</v>
      </c>
      <c r="AF65" s="99">
        <f>SamplingData[[#This Row],[Upper Range]]-SamplingData[[#This Row],[Span]]</f>
        <v>80304.558839568228</v>
      </c>
      <c r="AG65" s="99">
        <f>IF(ISNUMBER('General Info'!$B$42), ((SamplingData[[#This Row],[up/U Selection Probability]]) * 'General Info'!$B$44) - 1, 0)</f>
        <v>507.96135529138098</v>
      </c>
      <c r="AH65" s="99">
        <f>IF(ISNUMBER('General Info'!$B$42), (SamplingData[[#This Row],[Running (cumulative) sum]] * ('General Info'!$B$42 -'General Info'!$B$43 + 1)) + 'General Info'!$B$43 - 1, 0)</f>
        <v>80812.520194859608</v>
      </c>
      <c r="AI65" s="99" t="str">
        <f>IF(ISERROR(MATCH(SamplingData[[#This Row],[Batch by Type (p)]],SelectedPrecincts[Batch Name], 0)), "", INDEX(SelectedPrecincts[Draw], MATCH(SamplingData[[#This Row],[Batch by Type (p)]],SelectedPrecincts[Batch Name], 0)))</f>
        <v/>
      </c>
      <c r="AJ65" s="100">
        <f>IF(COUNTIF(SelectedPrecincts[Batch Name],SamplingData[[#This Row],[Batch by Type (p)]]) &lt;&gt; 0, COUNTIF(SelectedPrecincts[Batch Name],SamplingData[[#This Row],[Batch by Type (p)]]), 0)</f>
        <v>0</v>
      </c>
    </row>
    <row r="66" spans="1:36" ht="15" customHeight="1" x14ac:dyDescent="0.35">
      <c r="A66" s="97" t="s">
        <v>279</v>
      </c>
      <c r="B66" s="97">
        <v>252</v>
      </c>
      <c r="C66" s="97">
        <v>45</v>
      </c>
      <c r="D66" s="92"/>
      <c r="E66" s="92"/>
      <c r="F66" s="92"/>
      <c r="G66" s="96"/>
      <c r="H66" s="96"/>
      <c r="I66" s="92"/>
      <c r="J66" s="92"/>
      <c r="K66" s="92"/>
      <c r="L66" s="92"/>
      <c r="M66" s="92"/>
      <c r="N66" s="97">
        <v>0</v>
      </c>
      <c r="O66" s="97">
        <v>19</v>
      </c>
      <c r="P66" s="98">
        <f>SUM(SamplingData[[#This Row],[Winning Candidate]:[Under Votes]])</f>
        <v>316</v>
      </c>
      <c r="Q66" s="99">
        <f>IF(AND(SamplingData[[#This Row],[Total]]&lt;&gt; 0, NOT(ISBLANK(SamplingData[[#This Row],[Losing Candidate]]))),(SamplingData[[#This Row],[Total]]+SamplingData[[#This Row],[Winning Candidate]]-SamplingData[[#This Row],[Losing Candidate]])/(SamplingData[[#Totals],[Winning Candidate]]-SamplingData[[#Totals],[Losing Candidate]]), 0)</f>
        <v>2.2194873535902222E-2</v>
      </c>
      <c r="R66" s="99">
        <f>IF(AND(SamplingData[[#This Row],[Total]]&lt;&gt; 0, NOT(ISBLANK(SamplingData[[#This Row],[Candidate 3]]))),(SamplingData[[#This Row],[Total]]+SamplingData[[#This Row],[Winning Candidate]]-SamplingData[[#This Row],[Candidate 3]])/(SamplingData[[#Totals],[Winning Candidate]]-SamplingData[[#Totals],[Candidate 3]]), 0)</f>
        <v>0</v>
      </c>
      <c r="S66" s="99">
        <f>IF(AND(SamplingData[[#This Row],[Total]]&lt;&gt; 0, NOT(ISBLANK(SamplingData[[#This Row],[Candidate 4]]))),(SamplingData[[#This Row],[Total]]+SamplingData[[#This Row],[Winning Candidate]]-SamplingData[[#This Row],[Candidate 4]])/(SamplingData[[#Totals],[Winning Candidate]]-SamplingData[[#Totals],[Candidate 4]]), 0)</f>
        <v>0</v>
      </c>
      <c r="T66" s="99">
        <f>IF(AND(SamplingData[[#This Row],[Total]]&lt;&gt; 0, NOT(ISBLANK(SamplingData[[#This Row],[Candidate 5]]))),(SamplingData[[#This Row],[Total]]+SamplingData[[#This Row],[Winning Candidate]]-SamplingData[[#This Row],[Candidate 5]])/(SamplingData[[#Totals],[Winning Candidate]]-SamplingData[[#Totals],[Candidate 5]]), 0)</f>
        <v>0</v>
      </c>
      <c r="U66" s="99">
        <f>IF(AND(SamplingData[[#This Row],[Total]]&lt;&gt; 0, NOT(ISBLANK(SamplingData[[#This Row],[Candidate 6]]))),(SamplingData[[#This Row],[Total]]+SamplingData[[#This Row],[Losing Candidate]]-SamplingData[[#This Row],[Candidate 6]])/(SamplingData[[#Totals],[Winning Candidate]]-SamplingData[[#Totals],[Candidate 6]]), 0)</f>
        <v>0</v>
      </c>
      <c r="V66" s="99">
        <f>IF(AND(SamplingData[[#This Row],[Total]]&lt;&gt; 0, NOT(ISBLANK(SamplingData[[#This Row],[Candidate 7]]))),(SamplingData[[#This Row],[Total]]+SamplingData[[#This Row],[Winning Candidate]]-SamplingData[[#This Row],[Candidate 7]])/(SamplingData[[#Totals],[Winning Candidate]]-SamplingData[[#Totals],[Candidate 7]]), 0)</f>
        <v>0</v>
      </c>
      <c r="W66" s="99">
        <f>IF(AND(SamplingData[[#This Row],[Total]]&lt;&gt; 0, NOT(ISBLANK(SamplingData[[#This Row],[Candidate 8]]))),(SamplingData[[#This Row],[Total]]+SamplingData[[#This Row],[Winning Candidate]]-SamplingData[[#This Row],[Candidate 8]])/(SamplingData[[#Totals],[Winning Candidate]]-SamplingData[[#Totals],[Candidate 8]]), 0)</f>
        <v>0</v>
      </c>
      <c r="X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 s="99">
        <f>MAX(SamplingData[[#This Row],[Error Bound (up) - Max. possible relative overstatement - Losing Candidate]:[Error Bound (up) - Max. possible relative overstatement - Candidate 12]])</f>
        <v>2.2194873535902222E-2</v>
      </c>
      <c r="AC66" s="99">
        <f>IF(SamplingData[[#This Row],[Max Error Bound (up)]] = 0,0,SamplingData[[#This Row],[Max Error Bound (up)]]/SamplingData[[#Totals],[Max Error Bound (up)]])</f>
        <v>1.1883338786490725E-3</v>
      </c>
      <c r="AD66" s="103">
        <f>SUM($AC$5:AC66)</f>
        <v>8.2001854073508684E-2</v>
      </c>
      <c r="AE66" s="99" t="str" cm="1">
        <f t="array" ref="AE66">IF(SamplingData[[#This Row],[up/U Selection Probability]] = 0, "Zero", TEXT(SamplingData[[#This Row],[Lower Range]], REPT("0",LEN('General Info'!$B$42))) &amp; " - " &amp; TEXT(SamplingData[[#This Row],[Upper Range]], REPT("0",LEN('General Info'!$B$42))))</f>
        <v>080814 - 082001</v>
      </c>
      <c r="AF66" s="99">
        <f>SamplingData[[#This Row],[Upper Range]]-SamplingData[[#This Row],[Span]]</f>
        <v>80813.520194859608</v>
      </c>
      <c r="AG66" s="99">
        <f>IF(ISNUMBER('General Info'!$B$42), ((SamplingData[[#This Row],[up/U Selection Probability]]) * 'General Info'!$B$44) - 1, 0)</f>
        <v>1187.3338786490726</v>
      </c>
      <c r="AH66" s="99">
        <f>IF(ISNUMBER('General Info'!$B$42), (SamplingData[[#This Row],[Running (cumulative) sum]] * ('General Info'!$B$42 -'General Info'!$B$43 + 1)) + 'General Info'!$B$43 - 1, 0)</f>
        <v>82000.854073508686</v>
      </c>
      <c r="AI66" s="99" t="str">
        <f>IF(ISERROR(MATCH(SamplingData[[#This Row],[Batch by Type (p)]],SelectedPrecincts[Batch Name], 0)), "", INDEX(SelectedPrecincts[Draw], MATCH(SamplingData[[#This Row],[Batch by Type (p)]],SelectedPrecincts[Batch Name], 0)))</f>
        <v/>
      </c>
      <c r="AJ66" s="100">
        <f>IF(COUNTIF(SelectedPrecincts[Batch Name],SamplingData[[#This Row],[Batch by Type (p)]]) &lt;&gt; 0, COUNTIF(SelectedPrecincts[Batch Name],SamplingData[[#This Row],[Batch by Type (p)]]), 0)</f>
        <v>0</v>
      </c>
    </row>
    <row r="67" spans="1:36" ht="15" customHeight="1" x14ac:dyDescent="0.35">
      <c r="A67" s="97" t="s">
        <v>280</v>
      </c>
      <c r="B67" s="97">
        <v>315</v>
      </c>
      <c r="C67" s="97">
        <v>23</v>
      </c>
      <c r="D67" s="92"/>
      <c r="E67" s="92"/>
      <c r="F67" s="92"/>
      <c r="G67" s="96"/>
      <c r="H67" s="96"/>
      <c r="I67" s="92"/>
      <c r="J67" s="92"/>
      <c r="K67" s="92"/>
      <c r="L67" s="92"/>
      <c r="M67" s="92"/>
      <c r="N67" s="97">
        <v>0</v>
      </c>
      <c r="O67" s="97">
        <v>14</v>
      </c>
      <c r="P67" s="98">
        <f>SUM(SamplingData[[#This Row],[Winning Candidate]:[Under Votes]])</f>
        <v>352</v>
      </c>
      <c r="Q67" s="99">
        <f>IF(AND(SamplingData[[#This Row],[Total]]&lt;&gt; 0, NOT(ISBLANK(SamplingData[[#This Row],[Losing Candidate]]))),(SamplingData[[#This Row],[Total]]+SamplingData[[#This Row],[Winning Candidate]]-SamplingData[[#This Row],[Losing Candidate]])/(SamplingData[[#Totals],[Winning Candidate]]-SamplingData[[#Totals],[Losing Candidate]]), 0)</f>
        <v>2.7329825157019181E-2</v>
      </c>
      <c r="R67" s="99">
        <f>IF(AND(SamplingData[[#This Row],[Total]]&lt;&gt; 0, NOT(ISBLANK(SamplingData[[#This Row],[Candidate 3]]))),(SamplingData[[#This Row],[Total]]+SamplingData[[#This Row],[Winning Candidate]]-SamplingData[[#This Row],[Candidate 3]])/(SamplingData[[#Totals],[Winning Candidate]]-SamplingData[[#Totals],[Candidate 3]]), 0)</f>
        <v>0</v>
      </c>
      <c r="S67" s="99">
        <f>IF(AND(SamplingData[[#This Row],[Total]]&lt;&gt; 0, NOT(ISBLANK(SamplingData[[#This Row],[Candidate 4]]))),(SamplingData[[#This Row],[Total]]+SamplingData[[#This Row],[Winning Candidate]]-SamplingData[[#This Row],[Candidate 4]])/(SamplingData[[#Totals],[Winning Candidate]]-SamplingData[[#Totals],[Candidate 4]]), 0)</f>
        <v>0</v>
      </c>
      <c r="T67" s="99">
        <f>IF(AND(SamplingData[[#This Row],[Total]]&lt;&gt; 0, NOT(ISBLANK(SamplingData[[#This Row],[Candidate 5]]))),(SamplingData[[#This Row],[Total]]+SamplingData[[#This Row],[Winning Candidate]]-SamplingData[[#This Row],[Candidate 5]])/(SamplingData[[#Totals],[Winning Candidate]]-SamplingData[[#Totals],[Candidate 5]]), 0)</f>
        <v>0</v>
      </c>
      <c r="U67" s="99">
        <f>IF(AND(SamplingData[[#This Row],[Total]]&lt;&gt; 0, NOT(ISBLANK(SamplingData[[#This Row],[Candidate 6]]))),(SamplingData[[#This Row],[Total]]+SamplingData[[#This Row],[Losing Candidate]]-SamplingData[[#This Row],[Candidate 6]])/(SamplingData[[#Totals],[Winning Candidate]]-SamplingData[[#Totals],[Candidate 6]]), 0)</f>
        <v>0</v>
      </c>
      <c r="V67" s="99">
        <f>IF(AND(SamplingData[[#This Row],[Total]]&lt;&gt; 0, NOT(ISBLANK(SamplingData[[#This Row],[Candidate 7]]))),(SamplingData[[#This Row],[Total]]+SamplingData[[#This Row],[Winning Candidate]]-SamplingData[[#This Row],[Candidate 7]])/(SamplingData[[#Totals],[Winning Candidate]]-SamplingData[[#Totals],[Candidate 7]]), 0)</f>
        <v>0</v>
      </c>
      <c r="W67" s="99">
        <f>IF(AND(SamplingData[[#This Row],[Total]]&lt;&gt; 0, NOT(ISBLANK(SamplingData[[#This Row],[Candidate 8]]))),(SamplingData[[#This Row],[Total]]+SamplingData[[#This Row],[Winning Candidate]]-SamplingData[[#This Row],[Candidate 8]])/(SamplingData[[#Totals],[Winning Candidate]]-SamplingData[[#Totals],[Candidate 8]]), 0)</f>
        <v>0</v>
      </c>
      <c r="X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 s="99">
        <f>MAX(SamplingData[[#This Row],[Error Bound (up) - Max. possible relative overstatement - Losing Candidate]:[Error Bound (up) - Max. possible relative overstatement - Candidate 12]])</f>
        <v>2.7329825157019181E-2</v>
      </c>
      <c r="AC67" s="99">
        <f>IF(SamplingData[[#This Row],[Max Error Bound (up)]] = 0,0,SamplingData[[#This Row],[Max Error Bound (up)]]/SamplingData[[#Totals],[Max Error Bound (up)]])</f>
        <v>1.4632638964627205E-3</v>
      </c>
      <c r="AD67" s="103">
        <f>SUM($AC$5:AC67)</f>
        <v>8.34651179699714E-2</v>
      </c>
      <c r="AE67" s="99" t="str" cm="1">
        <f t="array" ref="AE67">IF(SamplingData[[#This Row],[up/U Selection Probability]] = 0, "Zero", TEXT(SamplingData[[#This Row],[Lower Range]], REPT("0",LEN('General Info'!$B$42))) &amp; " - " &amp; TEXT(SamplingData[[#This Row],[Upper Range]], REPT("0",LEN('General Info'!$B$42))))</f>
        <v>082002 - 083464</v>
      </c>
      <c r="AF67" s="99">
        <f>SamplingData[[#This Row],[Upper Range]]-SamplingData[[#This Row],[Span]]</f>
        <v>82001.854073508672</v>
      </c>
      <c r="AG67" s="99">
        <f>IF(ISNUMBER('General Info'!$B$42), ((SamplingData[[#This Row],[up/U Selection Probability]]) * 'General Info'!$B$44) - 1, 0)</f>
        <v>1462.2638964627206</v>
      </c>
      <c r="AH67" s="99">
        <f>IF(ISNUMBER('General Info'!$B$42), (SamplingData[[#This Row],[Running (cumulative) sum]] * ('General Info'!$B$42 -'General Info'!$B$43 + 1)) + 'General Info'!$B$43 - 1, 0)</f>
        <v>83464.117969971398</v>
      </c>
      <c r="AI67" s="99" t="str">
        <f>IF(ISERROR(MATCH(SamplingData[[#This Row],[Batch by Type (p)]],SelectedPrecincts[Batch Name], 0)), "", INDEX(SelectedPrecincts[Draw], MATCH(SamplingData[[#This Row],[Batch by Type (p)]],SelectedPrecincts[Batch Name], 0)))</f>
        <v/>
      </c>
      <c r="AJ67" s="100">
        <f>IF(COUNTIF(SelectedPrecincts[Batch Name],SamplingData[[#This Row],[Batch by Type (p)]]) &lt;&gt; 0, COUNTIF(SelectedPrecincts[Batch Name],SamplingData[[#This Row],[Batch by Type (p)]]), 0)</f>
        <v>0</v>
      </c>
    </row>
    <row r="68" spans="1:36" ht="15" customHeight="1" x14ac:dyDescent="0.35">
      <c r="A68" s="97" t="s">
        <v>281</v>
      </c>
      <c r="B68" s="97">
        <v>283</v>
      </c>
      <c r="C68" s="97">
        <v>107</v>
      </c>
      <c r="D68" s="92"/>
      <c r="E68" s="92"/>
      <c r="F68" s="92"/>
      <c r="G68" s="96"/>
      <c r="H68" s="96"/>
      <c r="I68" s="92"/>
      <c r="J68" s="92"/>
      <c r="K68" s="92"/>
      <c r="L68" s="92"/>
      <c r="M68" s="92"/>
      <c r="N68" s="97">
        <v>0</v>
      </c>
      <c r="O68" s="97">
        <v>15</v>
      </c>
      <c r="P68" s="98">
        <f>SUM(SamplingData[[#This Row],[Winning Candidate]:[Under Votes]])</f>
        <v>405</v>
      </c>
      <c r="Q68" s="99">
        <f>IF(AND(SamplingData[[#This Row],[Total]]&lt;&gt; 0, NOT(ISBLANK(SamplingData[[#This Row],[Losing Candidate]]))),(SamplingData[[#This Row],[Total]]+SamplingData[[#This Row],[Winning Candidate]]-SamplingData[[#This Row],[Losing Candidate]])/(SamplingData[[#Totals],[Winning Candidate]]-SamplingData[[#Totals],[Losing Candidate]]), 0)</f>
        <v>2.4656255304702088E-2</v>
      </c>
      <c r="R68" s="99">
        <f>IF(AND(SamplingData[[#This Row],[Total]]&lt;&gt; 0, NOT(ISBLANK(SamplingData[[#This Row],[Candidate 3]]))),(SamplingData[[#This Row],[Total]]+SamplingData[[#This Row],[Winning Candidate]]-SamplingData[[#This Row],[Candidate 3]])/(SamplingData[[#Totals],[Winning Candidate]]-SamplingData[[#Totals],[Candidate 3]]), 0)</f>
        <v>0</v>
      </c>
      <c r="S68" s="99">
        <f>IF(AND(SamplingData[[#This Row],[Total]]&lt;&gt; 0, NOT(ISBLANK(SamplingData[[#This Row],[Candidate 4]]))),(SamplingData[[#This Row],[Total]]+SamplingData[[#This Row],[Winning Candidate]]-SamplingData[[#This Row],[Candidate 4]])/(SamplingData[[#Totals],[Winning Candidate]]-SamplingData[[#Totals],[Candidate 4]]), 0)</f>
        <v>0</v>
      </c>
      <c r="T68" s="99">
        <f>IF(AND(SamplingData[[#This Row],[Total]]&lt;&gt; 0, NOT(ISBLANK(SamplingData[[#This Row],[Candidate 5]]))),(SamplingData[[#This Row],[Total]]+SamplingData[[#This Row],[Winning Candidate]]-SamplingData[[#This Row],[Candidate 5]])/(SamplingData[[#Totals],[Winning Candidate]]-SamplingData[[#Totals],[Candidate 5]]), 0)</f>
        <v>0</v>
      </c>
      <c r="U68" s="99">
        <f>IF(AND(SamplingData[[#This Row],[Total]]&lt;&gt; 0, NOT(ISBLANK(SamplingData[[#This Row],[Candidate 6]]))),(SamplingData[[#This Row],[Total]]+SamplingData[[#This Row],[Losing Candidate]]-SamplingData[[#This Row],[Candidate 6]])/(SamplingData[[#Totals],[Winning Candidate]]-SamplingData[[#Totals],[Candidate 6]]), 0)</f>
        <v>0</v>
      </c>
      <c r="V68" s="99">
        <f>IF(AND(SamplingData[[#This Row],[Total]]&lt;&gt; 0, NOT(ISBLANK(SamplingData[[#This Row],[Candidate 7]]))),(SamplingData[[#This Row],[Total]]+SamplingData[[#This Row],[Winning Candidate]]-SamplingData[[#This Row],[Candidate 7]])/(SamplingData[[#Totals],[Winning Candidate]]-SamplingData[[#Totals],[Candidate 7]]), 0)</f>
        <v>0</v>
      </c>
      <c r="W68" s="99">
        <f>IF(AND(SamplingData[[#This Row],[Total]]&lt;&gt; 0, NOT(ISBLANK(SamplingData[[#This Row],[Candidate 8]]))),(SamplingData[[#This Row],[Total]]+SamplingData[[#This Row],[Winning Candidate]]-SamplingData[[#This Row],[Candidate 8]])/(SamplingData[[#Totals],[Winning Candidate]]-SamplingData[[#Totals],[Candidate 8]]), 0)</f>
        <v>0</v>
      </c>
      <c r="X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 s="99">
        <f>MAX(SamplingData[[#This Row],[Error Bound (up) - Max. possible relative overstatement - Losing Candidate]:[Error Bound (up) - Max. possible relative overstatement - Candidate 12]])</f>
        <v>2.4656255304702088E-2</v>
      </c>
      <c r="AC68" s="99">
        <f>IF(SamplingData[[#This Row],[Max Error Bound (up)]] = 0,0,SamplingData[[#This Row],[Max Error Bound (up)]]/SamplingData[[#Totals],[Max Error Bound (up)]])</f>
        <v>1.3201185152870195E-3</v>
      </c>
      <c r="AD68" s="103">
        <f>SUM($AC$5:AC68)</f>
        <v>8.4785236485258417E-2</v>
      </c>
      <c r="AE68" s="99" t="str" cm="1">
        <f t="array" ref="AE68">IF(SamplingData[[#This Row],[up/U Selection Probability]] = 0, "Zero", TEXT(SamplingData[[#This Row],[Lower Range]], REPT("0",LEN('General Info'!$B$42))) &amp; " - " &amp; TEXT(SamplingData[[#This Row],[Upper Range]], REPT("0",LEN('General Info'!$B$42))))</f>
        <v>083465 - 084784</v>
      </c>
      <c r="AF68" s="99">
        <f>SamplingData[[#This Row],[Upper Range]]-SamplingData[[#This Row],[Span]]</f>
        <v>83465.117969971398</v>
      </c>
      <c r="AG68" s="99">
        <f>IF(ISNUMBER('General Info'!$B$42), ((SamplingData[[#This Row],[up/U Selection Probability]]) * 'General Info'!$B$44) - 1, 0)</f>
        <v>1319.1185152870196</v>
      </c>
      <c r="AH68" s="99">
        <f>IF(ISNUMBER('General Info'!$B$42), (SamplingData[[#This Row],[Running (cumulative) sum]] * ('General Info'!$B$42 -'General Info'!$B$43 + 1)) + 'General Info'!$B$43 - 1, 0)</f>
        <v>84784.236485258414</v>
      </c>
      <c r="AI68" s="99" t="str">
        <f>IF(ISERROR(MATCH(SamplingData[[#This Row],[Batch by Type (p)]],SelectedPrecincts[Batch Name], 0)), "", INDEX(SelectedPrecincts[Draw], MATCH(SamplingData[[#This Row],[Batch by Type (p)]],SelectedPrecincts[Batch Name], 0)))</f>
        <v/>
      </c>
      <c r="AJ68" s="100">
        <f>IF(COUNTIF(SelectedPrecincts[Batch Name],SamplingData[[#This Row],[Batch by Type (p)]]) &lt;&gt; 0, COUNTIF(SelectedPrecincts[Batch Name],SamplingData[[#This Row],[Batch by Type (p)]]), 0)</f>
        <v>0</v>
      </c>
    </row>
    <row r="69" spans="1:36" ht="15" customHeight="1" x14ac:dyDescent="0.35">
      <c r="A69" s="97" t="s">
        <v>282</v>
      </c>
      <c r="B69" s="97">
        <v>362</v>
      </c>
      <c r="C69" s="97">
        <v>251</v>
      </c>
      <c r="D69" s="92"/>
      <c r="E69" s="92"/>
      <c r="F69" s="92"/>
      <c r="G69" s="96"/>
      <c r="H69" s="96"/>
      <c r="I69" s="92"/>
      <c r="J69" s="92"/>
      <c r="K69" s="92"/>
      <c r="L69" s="92"/>
      <c r="M69" s="92"/>
      <c r="N69" s="97">
        <v>0</v>
      </c>
      <c r="O69" s="97">
        <v>33</v>
      </c>
      <c r="P69" s="98">
        <f>SUM(SamplingData[[#This Row],[Winning Candidate]:[Under Votes]])</f>
        <v>646</v>
      </c>
      <c r="Q69" s="99">
        <f>IF(AND(SamplingData[[#This Row],[Total]]&lt;&gt; 0, NOT(ISBLANK(SamplingData[[#This Row],[Losing Candidate]]))),(SamplingData[[#This Row],[Total]]+SamplingData[[#This Row],[Winning Candidate]]-SamplingData[[#This Row],[Losing Candidate]])/(SamplingData[[#Totals],[Winning Candidate]]-SamplingData[[#Totals],[Losing Candidate]]), 0)</f>
        <v>3.2125275844508569E-2</v>
      </c>
      <c r="R69" s="99">
        <f>IF(AND(SamplingData[[#This Row],[Total]]&lt;&gt; 0, NOT(ISBLANK(SamplingData[[#This Row],[Candidate 3]]))),(SamplingData[[#This Row],[Total]]+SamplingData[[#This Row],[Winning Candidate]]-SamplingData[[#This Row],[Candidate 3]])/(SamplingData[[#Totals],[Winning Candidate]]-SamplingData[[#Totals],[Candidate 3]]), 0)</f>
        <v>0</v>
      </c>
      <c r="S69" s="99">
        <f>IF(AND(SamplingData[[#This Row],[Total]]&lt;&gt; 0, NOT(ISBLANK(SamplingData[[#This Row],[Candidate 4]]))),(SamplingData[[#This Row],[Total]]+SamplingData[[#This Row],[Winning Candidate]]-SamplingData[[#This Row],[Candidate 4]])/(SamplingData[[#Totals],[Winning Candidate]]-SamplingData[[#Totals],[Candidate 4]]), 0)</f>
        <v>0</v>
      </c>
      <c r="T69" s="99">
        <f>IF(AND(SamplingData[[#This Row],[Total]]&lt;&gt; 0, NOT(ISBLANK(SamplingData[[#This Row],[Candidate 5]]))),(SamplingData[[#This Row],[Total]]+SamplingData[[#This Row],[Winning Candidate]]-SamplingData[[#This Row],[Candidate 5]])/(SamplingData[[#Totals],[Winning Candidate]]-SamplingData[[#Totals],[Candidate 5]]), 0)</f>
        <v>0</v>
      </c>
      <c r="U69" s="99">
        <f>IF(AND(SamplingData[[#This Row],[Total]]&lt;&gt; 0, NOT(ISBLANK(SamplingData[[#This Row],[Candidate 6]]))),(SamplingData[[#This Row],[Total]]+SamplingData[[#This Row],[Losing Candidate]]-SamplingData[[#This Row],[Candidate 6]])/(SamplingData[[#Totals],[Winning Candidate]]-SamplingData[[#Totals],[Candidate 6]]), 0)</f>
        <v>0</v>
      </c>
      <c r="V69" s="99">
        <f>IF(AND(SamplingData[[#This Row],[Total]]&lt;&gt; 0, NOT(ISBLANK(SamplingData[[#This Row],[Candidate 7]]))),(SamplingData[[#This Row],[Total]]+SamplingData[[#This Row],[Winning Candidate]]-SamplingData[[#This Row],[Candidate 7]])/(SamplingData[[#Totals],[Winning Candidate]]-SamplingData[[#Totals],[Candidate 7]]), 0)</f>
        <v>0</v>
      </c>
      <c r="W69" s="99">
        <f>IF(AND(SamplingData[[#This Row],[Total]]&lt;&gt; 0, NOT(ISBLANK(SamplingData[[#This Row],[Candidate 8]]))),(SamplingData[[#This Row],[Total]]+SamplingData[[#This Row],[Winning Candidate]]-SamplingData[[#This Row],[Candidate 8]])/(SamplingData[[#Totals],[Winning Candidate]]-SamplingData[[#Totals],[Candidate 8]]), 0)</f>
        <v>0</v>
      </c>
      <c r="X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 s="99">
        <f>MAX(SamplingData[[#This Row],[Error Bound (up) - Max. possible relative overstatement - Losing Candidate]:[Error Bound (up) - Max. possible relative overstatement - Candidate 12]])</f>
        <v>3.2125275844508569E-2</v>
      </c>
      <c r="AC69" s="99">
        <f>IF(SamplingData[[#This Row],[Max Error Bound (up)]] = 0,0,SamplingData[[#This Row],[Max Error Bound (up)]]/SamplingData[[#Totals],[Max Error Bound (up)]])</f>
        <v>1.7200167230159615E-3</v>
      </c>
      <c r="AD69" s="103">
        <f>SUM($AC$5:AC69)</f>
        <v>8.6505253208274374E-2</v>
      </c>
      <c r="AE69" s="99" t="str" cm="1">
        <f t="array" ref="AE69">IF(SamplingData[[#This Row],[up/U Selection Probability]] = 0, "Zero", TEXT(SamplingData[[#This Row],[Lower Range]], REPT("0",LEN('General Info'!$B$42))) &amp; " - " &amp; TEXT(SamplingData[[#This Row],[Upper Range]], REPT("0",LEN('General Info'!$B$42))))</f>
        <v>084785 - 086504</v>
      </c>
      <c r="AF69" s="99">
        <f>SamplingData[[#This Row],[Upper Range]]-SamplingData[[#This Row],[Span]]</f>
        <v>84785.236485258414</v>
      </c>
      <c r="AG69" s="99">
        <f>IF(ISNUMBER('General Info'!$B$42), ((SamplingData[[#This Row],[up/U Selection Probability]]) * 'General Info'!$B$44) - 1, 0)</f>
        <v>1719.0167230159616</v>
      </c>
      <c r="AH69" s="99">
        <f>IF(ISNUMBER('General Info'!$B$42), (SamplingData[[#This Row],[Running (cumulative) sum]] * ('General Info'!$B$42 -'General Info'!$B$43 + 1)) + 'General Info'!$B$43 - 1, 0)</f>
        <v>86504.253208274371</v>
      </c>
      <c r="AI69" s="99" t="str">
        <f>IF(ISERROR(MATCH(SamplingData[[#This Row],[Batch by Type (p)]],SelectedPrecincts[Batch Name], 0)), "", INDEX(SelectedPrecincts[Draw], MATCH(SamplingData[[#This Row],[Batch by Type (p)]],SelectedPrecincts[Batch Name], 0)))</f>
        <v/>
      </c>
      <c r="AJ69" s="100">
        <f>IF(COUNTIF(SelectedPrecincts[Batch Name],SamplingData[[#This Row],[Batch by Type (p)]]) &lt;&gt; 0, COUNTIF(SelectedPrecincts[Batch Name],SamplingData[[#This Row],[Batch by Type (p)]]), 0)</f>
        <v>0</v>
      </c>
    </row>
    <row r="70" spans="1:36" ht="15" customHeight="1" x14ac:dyDescent="0.35">
      <c r="A70" s="97" t="s">
        <v>283</v>
      </c>
      <c r="B70" s="97">
        <v>292</v>
      </c>
      <c r="C70" s="97">
        <v>35</v>
      </c>
      <c r="D70" s="92"/>
      <c r="E70" s="92"/>
      <c r="F70" s="92"/>
      <c r="G70" s="96"/>
      <c r="H70" s="96"/>
      <c r="I70" s="92"/>
      <c r="J70" s="92"/>
      <c r="K70" s="92"/>
      <c r="L70" s="92"/>
      <c r="M70" s="92"/>
      <c r="N70" s="97">
        <v>1</v>
      </c>
      <c r="O70" s="97">
        <v>16</v>
      </c>
      <c r="P70" s="98">
        <f>SUM(SamplingData[[#This Row],[Winning Candidate]:[Under Votes]])</f>
        <v>344</v>
      </c>
      <c r="Q70" s="99">
        <f>IF(AND(SamplingData[[#This Row],[Total]]&lt;&gt; 0, NOT(ISBLANK(SamplingData[[#This Row],[Losing Candidate]]))),(SamplingData[[#This Row],[Total]]+SamplingData[[#This Row],[Winning Candidate]]-SamplingData[[#This Row],[Losing Candidate]])/(SamplingData[[#Totals],[Winning Candidate]]-SamplingData[[#Totals],[Losing Candidate]]), 0)</f>
        <v>2.5505007638771008E-2</v>
      </c>
      <c r="R70" s="99">
        <f>IF(AND(SamplingData[[#This Row],[Total]]&lt;&gt; 0, NOT(ISBLANK(SamplingData[[#This Row],[Candidate 3]]))),(SamplingData[[#This Row],[Total]]+SamplingData[[#This Row],[Winning Candidate]]-SamplingData[[#This Row],[Candidate 3]])/(SamplingData[[#Totals],[Winning Candidate]]-SamplingData[[#Totals],[Candidate 3]]), 0)</f>
        <v>0</v>
      </c>
      <c r="S70" s="99">
        <f>IF(AND(SamplingData[[#This Row],[Total]]&lt;&gt; 0, NOT(ISBLANK(SamplingData[[#This Row],[Candidate 4]]))),(SamplingData[[#This Row],[Total]]+SamplingData[[#This Row],[Winning Candidate]]-SamplingData[[#This Row],[Candidate 4]])/(SamplingData[[#Totals],[Winning Candidate]]-SamplingData[[#Totals],[Candidate 4]]), 0)</f>
        <v>0</v>
      </c>
      <c r="T70" s="99">
        <f>IF(AND(SamplingData[[#This Row],[Total]]&lt;&gt; 0, NOT(ISBLANK(SamplingData[[#This Row],[Candidate 5]]))),(SamplingData[[#This Row],[Total]]+SamplingData[[#This Row],[Winning Candidate]]-SamplingData[[#This Row],[Candidate 5]])/(SamplingData[[#Totals],[Winning Candidate]]-SamplingData[[#Totals],[Candidate 5]]), 0)</f>
        <v>0</v>
      </c>
      <c r="U70" s="99">
        <f>IF(AND(SamplingData[[#This Row],[Total]]&lt;&gt; 0, NOT(ISBLANK(SamplingData[[#This Row],[Candidate 6]]))),(SamplingData[[#This Row],[Total]]+SamplingData[[#This Row],[Losing Candidate]]-SamplingData[[#This Row],[Candidate 6]])/(SamplingData[[#Totals],[Winning Candidate]]-SamplingData[[#Totals],[Candidate 6]]), 0)</f>
        <v>0</v>
      </c>
      <c r="V70" s="99">
        <f>IF(AND(SamplingData[[#This Row],[Total]]&lt;&gt; 0, NOT(ISBLANK(SamplingData[[#This Row],[Candidate 7]]))),(SamplingData[[#This Row],[Total]]+SamplingData[[#This Row],[Winning Candidate]]-SamplingData[[#This Row],[Candidate 7]])/(SamplingData[[#Totals],[Winning Candidate]]-SamplingData[[#Totals],[Candidate 7]]), 0)</f>
        <v>0</v>
      </c>
      <c r="W70" s="99">
        <f>IF(AND(SamplingData[[#This Row],[Total]]&lt;&gt; 0, NOT(ISBLANK(SamplingData[[#This Row],[Candidate 8]]))),(SamplingData[[#This Row],[Total]]+SamplingData[[#This Row],[Winning Candidate]]-SamplingData[[#This Row],[Candidate 8]])/(SamplingData[[#Totals],[Winning Candidate]]-SamplingData[[#Totals],[Candidate 8]]), 0)</f>
        <v>0</v>
      </c>
      <c r="X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 s="99">
        <f>MAX(SamplingData[[#This Row],[Error Bound (up) - Max. possible relative overstatement - Losing Candidate]:[Error Bound (up) - Max. possible relative overstatement - Candidate 12]])</f>
        <v>2.5505007638771008E-2</v>
      </c>
      <c r="AC70" s="99">
        <f>IF(SamplingData[[#This Row],[Max Error Bound (up)]] = 0,0,SamplingData[[#This Row],[Max Error Bound (up)]]/SamplingData[[#Totals],[Max Error Bound (up)]])</f>
        <v>1.3655614934380358E-3</v>
      </c>
      <c r="AD70" s="103">
        <f>SUM($AC$5:AC70)</f>
        <v>8.7870814701712416E-2</v>
      </c>
      <c r="AE70" s="99" t="str" cm="1">
        <f t="array" ref="AE70">IF(SamplingData[[#This Row],[up/U Selection Probability]] = 0, "Zero", TEXT(SamplingData[[#This Row],[Lower Range]], REPT("0",LEN('General Info'!$B$42))) &amp; " - " &amp; TEXT(SamplingData[[#This Row],[Upper Range]], REPT("0",LEN('General Info'!$B$42))))</f>
        <v>086505 - 087870</v>
      </c>
      <c r="AF70" s="99">
        <f>SamplingData[[#This Row],[Upper Range]]-SamplingData[[#This Row],[Span]]</f>
        <v>86505.253208274371</v>
      </c>
      <c r="AG70" s="99">
        <f>IF(ISNUMBER('General Info'!$B$42), ((SamplingData[[#This Row],[up/U Selection Probability]]) * 'General Info'!$B$44) - 1, 0)</f>
        <v>1364.5614934380358</v>
      </c>
      <c r="AH70" s="99">
        <f>IF(ISNUMBER('General Info'!$B$42), (SamplingData[[#This Row],[Running (cumulative) sum]] * ('General Info'!$B$42 -'General Info'!$B$43 + 1)) + 'General Info'!$B$43 - 1, 0)</f>
        <v>87869.814701712414</v>
      </c>
      <c r="AI70" s="99">
        <f>IF(ISERROR(MATCH(SamplingData[[#This Row],[Batch by Type (p)]],SelectedPrecincts[Batch Name], 0)), "", INDEX(SelectedPrecincts[Draw], MATCH(SamplingData[[#This Row],[Batch by Type (p)]],SelectedPrecincts[Batch Name], 0)))</f>
        <v>9</v>
      </c>
      <c r="AJ70" s="100">
        <f>IF(COUNTIF(SelectedPrecincts[Batch Name],SamplingData[[#This Row],[Batch by Type (p)]]) &lt;&gt; 0, COUNTIF(SelectedPrecincts[Batch Name],SamplingData[[#This Row],[Batch by Type (p)]]), 0)</f>
        <v>1</v>
      </c>
    </row>
    <row r="71" spans="1:36" ht="15" customHeight="1" x14ac:dyDescent="0.35">
      <c r="A71" s="97" t="s">
        <v>284</v>
      </c>
      <c r="B71" s="97">
        <v>112</v>
      </c>
      <c r="C71" s="97">
        <v>9</v>
      </c>
      <c r="D71" s="92"/>
      <c r="E71" s="92"/>
      <c r="F71" s="92"/>
      <c r="G71" s="96"/>
      <c r="H71" s="96"/>
      <c r="I71" s="92"/>
      <c r="J71" s="92"/>
      <c r="K71" s="92"/>
      <c r="L71" s="92"/>
      <c r="M71" s="92"/>
      <c r="N71" s="97">
        <v>0</v>
      </c>
      <c r="O71" s="97">
        <v>10</v>
      </c>
      <c r="P71" s="98">
        <f>SUM(SamplingData[[#This Row],[Winning Candidate]:[Under Votes]])</f>
        <v>131</v>
      </c>
      <c r="Q71" s="99">
        <f>IF(AND(SamplingData[[#This Row],[Total]]&lt;&gt; 0, NOT(ISBLANK(SamplingData[[#This Row],[Losing Candidate]]))),(SamplingData[[#This Row],[Total]]+SamplingData[[#This Row],[Winning Candidate]]-SamplingData[[#This Row],[Losing Candidate]])/(SamplingData[[#Totals],[Winning Candidate]]-SamplingData[[#Totals],[Losing Candidate]]), 0)</f>
        <v>9.9304023086063484E-3</v>
      </c>
      <c r="R71" s="99">
        <f>IF(AND(SamplingData[[#This Row],[Total]]&lt;&gt; 0, NOT(ISBLANK(SamplingData[[#This Row],[Candidate 3]]))),(SamplingData[[#This Row],[Total]]+SamplingData[[#This Row],[Winning Candidate]]-SamplingData[[#This Row],[Candidate 3]])/(SamplingData[[#Totals],[Winning Candidate]]-SamplingData[[#Totals],[Candidate 3]]), 0)</f>
        <v>0</v>
      </c>
      <c r="S71" s="99">
        <f>IF(AND(SamplingData[[#This Row],[Total]]&lt;&gt; 0, NOT(ISBLANK(SamplingData[[#This Row],[Candidate 4]]))),(SamplingData[[#This Row],[Total]]+SamplingData[[#This Row],[Winning Candidate]]-SamplingData[[#This Row],[Candidate 4]])/(SamplingData[[#Totals],[Winning Candidate]]-SamplingData[[#Totals],[Candidate 4]]), 0)</f>
        <v>0</v>
      </c>
      <c r="T71" s="99">
        <f>IF(AND(SamplingData[[#This Row],[Total]]&lt;&gt; 0, NOT(ISBLANK(SamplingData[[#This Row],[Candidate 5]]))),(SamplingData[[#This Row],[Total]]+SamplingData[[#This Row],[Winning Candidate]]-SamplingData[[#This Row],[Candidate 5]])/(SamplingData[[#Totals],[Winning Candidate]]-SamplingData[[#Totals],[Candidate 5]]), 0)</f>
        <v>0</v>
      </c>
      <c r="U71" s="99">
        <f>IF(AND(SamplingData[[#This Row],[Total]]&lt;&gt; 0, NOT(ISBLANK(SamplingData[[#This Row],[Candidate 6]]))),(SamplingData[[#This Row],[Total]]+SamplingData[[#This Row],[Losing Candidate]]-SamplingData[[#This Row],[Candidate 6]])/(SamplingData[[#Totals],[Winning Candidate]]-SamplingData[[#Totals],[Candidate 6]]), 0)</f>
        <v>0</v>
      </c>
      <c r="V71" s="99">
        <f>IF(AND(SamplingData[[#This Row],[Total]]&lt;&gt; 0, NOT(ISBLANK(SamplingData[[#This Row],[Candidate 7]]))),(SamplingData[[#This Row],[Total]]+SamplingData[[#This Row],[Winning Candidate]]-SamplingData[[#This Row],[Candidate 7]])/(SamplingData[[#Totals],[Winning Candidate]]-SamplingData[[#Totals],[Candidate 7]]), 0)</f>
        <v>0</v>
      </c>
      <c r="W71" s="99">
        <f>IF(AND(SamplingData[[#This Row],[Total]]&lt;&gt; 0, NOT(ISBLANK(SamplingData[[#This Row],[Candidate 8]]))),(SamplingData[[#This Row],[Total]]+SamplingData[[#This Row],[Winning Candidate]]-SamplingData[[#This Row],[Candidate 8]])/(SamplingData[[#Totals],[Winning Candidate]]-SamplingData[[#Totals],[Candidate 8]]), 0)</f>
        <v>0</v>
      </c>
      <c r="X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 s="99">
        <f>MAX(SamplingData[[#This Row],[Error Bound (up) - Max. possible relative overstatement - Losing Candidate]:[Error Bound (up) - Max. possible relative overstatement - Candidate 12]])</f>
        <v>9.9304023086063484E-3</v>
      </c>
      <c r="AC71" s="99">
        <f>IF(SamplingData[[#This Row],[Max Error Bound (up)]] = 0,0,SamplingData[[#This Row],[Max Error Bound (up)]]/SamplingData[[#Totals],[Max Error Bound (up)]])</f>
        <v>5.3168284436688913E-4</v>
      </c>
      <c r="AD71" s="103">
        <f>SUM($AC$5:AC71)</f>
        <v>8.8402497546079303E-2</v>
      </c>
      <c r="AE71" s="99" t="str" cm="1">
        <f t="array" ref="AE71">IF(SamplingData[[#This Row],[up/U Selection Probability]] = 0, "Zero", TEXT(SamplingData[[#This Row],[Lower Range]], REPT("0",LEN('General Info'!$B$42))) &amp; " - " &amp; TEXT(SamplingData[[#This Row],[Upper Range]], REPT("0",LEN('General Info'!$B$42))))</f>
        <v>087871 - 088401</v>
      </c>
      <c r="AF71" s="99">
        <f>SamplingData[[#This Row],[Upper Range]]-SamplingData[[#This Row],[Span]]</f>
        <v>87870.814701712414</v>
      </c>
      <c r="AG71" s="99">
        <f>IF(ISNUMBER('General Info'!$B$42), ((SamplingData[[#This Row],[up/U Selection Probability]]) * 'General Info'!$B$44) - 1, 0)</f>
        <v>530.68284436688919</v>
      </c>
      <c r="AH71" s="99">
        <f>IF(ISNUMBER('General Info'!$B$42), (SamplingData[[#This Row],[Running (cumulative) sum]] * ('General Info'!$B$42 -'General Info'!$B$43 + 1)) + 'General Info'!$B$43 - 1, 0)</f>
        <v>88401.497546079307</v>
      </c>
      <c r="AI71" s="99" t="str">
        <f>IF(ISERROR(MATCH(SamplingData[[#This Row],[Batch by Type (p)]],SelectedPrecincts[Batch Name], 0)), "", INDEX(SelectedPrecincts[Draw], MATCH(SamplingData[[#This Row],[Batch by Type (p)]],SelectedPrecincts[Batch Name], 0)))</f>
        <v/>
      </c>
      <c r="AJ71" s="100">
        <f>IF(COUNTIF(SelectedPrecincts[Batch Name],SamplingData[[#This Row],[Batch by Type (p)]]) &lt;&gt; 0, COUNTIF(SelectedPrecincts[Batch Name],SamplingData[[#This Row],[Batch by Type (p)]]), 0)</f>
        <v>0</v>
      </c>
    </row>
    <row r="72" spans="1:36" ht="15" customHeight="1" x14ac:dyDescent="0.35">
      <c r="A72" s="97" t="s">
        <v>285</v>
      </c>
      <c r="B72" s="97">
        <v>480</v>
      </c>
      <c r="C72" s="97">
        <v>124</v>
      </c>
      <c r="D72" s="92"/>
      <c r="E72" s="92"/>
      <c r="F72" s="92"/>
      <c r="G72" s="96"/>
      <c r="H72" s="96"/>
      <c r="I72" s="92"/>
      <c r="J72" s="92"/>
      <c r="K72" s="92"/>
      <c r="L72" s="92"/>
      <c r="M72" s="92"/>
      <c r="N72" s="97">
        <v>0</v>
      </c>
      <c r="O72" s="97">
        <v>30</v>
      </c>
      <c r="P72" s="98">
        <f>SUM(SamplingData[[#This Row],[Winning Candidate]:[Under Votes]])</f>
        <v>634</v>
      </c>
      <c r="Q72" s="99">
        <f>IF(AND(SamplingData[[#This Row],[Total]]&lt;&gt; 0, NOT(ISBLANK(SamplingData[[#This Row],[Losing Candidate]]))),(SamplingData[[#This Row],[Total]]+SamplingData[[#This Row],[Winning Candidate]]-SamplingData[[#This Row],[Losing Candidate]])/(SamplingData[[#Totals],[Winning Candidate]]-SamplingData[[#Totals],[Losing Candidate]]), 0)</f>
        <v>4.2013240536411478E-2</v>
      </c>
      <c r="R72" s="99">
        <f>IF(AND(SamplingData[[#This Row],[Total]]&lt;&gt; 0, NOT(ISBLANK(SamplingData[[#This Row],[Candidate 3]]))),(SamplingData[[#This Row],[Total]]+SamplingData[[#This Row],[Winning Candidate]]-SamplingData[[#This Row],[Candidate 3]])/(SamplingData[[#Totals],[Winning Candidate]]-SamplingData[[#Totals],[Candidate 3]]), 0)</f>
        <v>0</v>
      </c>
      <c r="S72" s="99">
        <f>IF(AND(SamplingData[[#This Row],[Total]]&lt;&gt; 0, NOT(ISBLANK(SamplingData[[#This Row],[Candidate 4]]))),(SamplingData[[#This Row],[Total]]+SamplingData[[#This Row],[Winning Candidate]]-SamplingData[[#This Row],[Candidate 4]])/(SamplingData[[#Totals],[Winning Candidate]]-SamplingData[[#Totals],[Candidate 4]]), 0)</f>
        <v>0</v>
      </c>
      <c r="T72" s="99">
        <f>IF(AND(SamplingData[[#This Row],[Total]]&lt;&gt; 0, NOT(ISBLANK(SamplingData[[#This Row],[Candidate 5]]))),(SamplingData[[#This Row],[Total]]+SamplingData[[#This Row],[Winning Candidate]]-SamplingData[[#This Row],[Candidate 5]])/(SamplingData[[#Totals],[Winning Candidate]]-SamplingData[[#Totals],[Candidate 5]]), 0)</f>
        <v>0</v>
      </c>
      <c r="U72" s="99">
        <f>IF(AND(SamplingData[[#This Row],[Total]]&lt;&gt; 0, NOT(ISBLANK(SamplingData[[#This Row],[Candidate 6]]))),(SamplingData[[#This Row],[Total]]+SamplingData[[#This Row],[Losing Candidate]]-SamplingData[[#This Row],[Candidate 6]])/(SamplingData[[#Totals],[Winning Candidate]]-SamplingData[[#Totals],[Candidate 6]]), 0)</f>
        <v>0</v>
      </c>
      <c r="V72" s="99">
        <f>IF(AND(SamplingData[[#This Row],[Total]]&lt;&gt; 0, NOT(ISBLANK(SamplingData[[#This Row],[Candidate 7]]))),(SamplingData[[#This Row],[Total]]+SamplingData[[#This Row],[Winning Candidate]]-SamplingData[[#This Row],[Candidate 7]])/(SamplingData[[#Totals],[Winning Candidate]]-SamplingData[[#Totals],[Candidate 7]]), 0)</f>
        <v>0</v>
      </c>
      <c r="W72" s="99">
        <f>IF(AND(SamplingData[[#This Row],[Total]]&lt;&gt; 0, NOT(ISBLANK(SamplingData[[#This Row],[Candidate 8]]))),(SamplingData[[#This Row],[Total]]+SamplingData[[#This Row],[Winning Candidate]]-SamplingData[[#This Row],[Candidate 8]])/(SamplingData[[#Totals],[Winning Candidate]]-SamplingData[[#Totals],[Candidate 8]]), 0)</f>
        <v>0</v>
      </c>
      <c r="X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 s="99">
        <f>MAX(SamplingData[[#This Row],[Error Bound (up) - Max. possible relative overstatement - Losing Candidate]:[Error Bound (up) - Max. possible relative overstatement - Candidate 12]])</f>
        <v>4.2013240536411478E-2</v>
      </c>
      <c r="AC72" s="99">
        <f>IF(SamplingData[[#This Row],[Max Error Bound (up)]] = 0,0,SamplingData[[#This Row],[Max Error Bound (up)]]/SamplingData[[#Totals],[Max Error Bound (up)]])</f>
        <v>2.2494274184753004E-3</v>
      </c>
      <c r="AD72" s="103">
        <f>SUM($AC$5:AC72)</f>
        <v>9.0651924964554598E-2</v>
      </c>
      <c r="AE72" s="99" t="str" cm="1">
        <f t="array" ref="AE72">IF(SamplingData[[#This Row],[up/U Selection Probability]] = 0, "Zero", TEXT(SamplingData[[#This Row],[Lower Range]], REPT("0",LEN('General Info'!$B$42))) &amp; " - " &amp; TEXT(SamplingData[[#This Row],[Upper Range]], REPT("0",LEN('General Info'!$B$42))))</f>
        <v>088402 - 090651</v>
      </c>
      <c r="AF72" s="99">
        <f>SamplingData[[#This Row],[Upper Range]]-SamplingData[[#This Row],[Span]]</f>
        <v>88402.497546079292</v>
      </c>
      <c r="AG72" s="99">
        <f>IF(ISNUMBER('General Info'!$B$42), ((SamplingData[[#This Row],[up/U Selection Probability]]) * 'General Info'!$B$44) - 1, 0)</f>
        <v>2248.4274184753003</v>
      </c>
      <c r="AH72" s="99">
        <f>IF(ISNUMBER('General Info'!$B$42), (SamplingData[[#This Row],[Running (cumulative) sum]] * ('General Info'!$B$42 -'General Info'!$B$43 + 1)) + 'General Info'!$B$43 - 1, 0)</f>
        <v>90650.924964554593</v>
      </c>
      <c r="AI72" s="99" t="str">
        <f>IF(ISERROR(MATCH(SamplingData[[#This Row],[Batch by Type (p)]],SelectedPrecincts[Batch Name], 0)), "", INDEX(SelectedPrecincts[Draw], MATCH(SamplingData[[#This Row],[Batch by Type (p)]],SelectedPrecincts[Batch Name], 0)))</f>
        <v/>
      </c>
      <c r="AJ72" s="100">
        <f>IF(COUNTIF(SelectedPrecincts[Batch Name],SamplingData[[#This Row],[Batch by Type (p)]]) &lt;&gt; 0, COUNTIF(SelectedPrecincts[Batch Name],SamplingData[[#This Row],[Batch by Type (p)]]), 0)</f>
        <v>0</v>
      </c>
    </row>
    <row r="73" spans="1:36" ht="15" customHeight="1" x14ac:dyDescent="0.35">
      <c r="A73" s="97" t="s">
        <v>286</v>
      </c>
      <c r="B73" s="97">
        <v>232</v>
      </c>
      <c r="C73" s="97">
        <v>29</v>
      </c>
      <c r="D73" s="92"/>
      <c r="E73" s="92"/>
      <c r="F73" s="92"/>
      <c r="G73" s="96"/>
      <c r="H73" s="96"/>
      <c r="I73" s="92"/>
      <c r="J73" s="92"/>
      <c r="K73" s="92"/>
      <c r="L73" s="92"/>
      <c r="M73" s="92"/>
      <c r="N73" s="97">
        <v>0</v>
      </c>
      <c r="O73" s="97">
        <v>15</v>
      </c>
      <c r="P73" s="98">
        <f>SUM(SamplingData[[#This Row],[Winning Candidate]:[Under Votes]])</f>
        <v>276</v>
      </c>
      <c r="Q73" s="99">
        <f>IF(AND(SamplingData[[#This Row],[Total]]&lt;&gt; 0, NOT(ISBLANK(SamplingData[[#This Row],[Losing Candidate]]))),(SamplingData[[#This Row],[Total]]+SamplingData[[#This Row],[Winning Candidate]]-SamplingData[[#This Row],[Losing Candidate]])/(SamplingData[[#Totals],[Winning Candidate]]-SamplingData[[#Totals],[Losing Candidate]]), 0)</f>
        <v>2.0327618400950601E-2</v>
      </c>
      <c r="R73" s="99">
        <f>IF(AND(SamplingData[[#This Row],[Total]]&lt;&gt; 0, NOT(ISBLANK(SamplingData[[#This Row],[Candidate 3]]))),(SamplingData[[#This Row],[Total]]+SamplingData[[#This Row],[Winning Candidate]]-SamplingData[[#This Row],[Candidate 3]])/(SamplingData[[#Totals],[Winning Candidate]]-SamplingData[[#Totals],[Candidate 3]]), 0)</f>
        <v>0</v>
      </c>
      <c r="S73" s="99">
        <f>IF(AND(SamplingData[[#This Row],[Total]]&lt;&gt; 0, NOT(ISBLANK(SamplingData[[#This Row],[Candidate 4]]))),(SamplingData[[#This Row],[Total]]+SamplingData[[#This Row],[Winning Candidate]]-SamplingData[[#This Row],[Candidate 4]])/(SamplingData[[#Totals],[Winning Candidate]]-SamplingData[[#Totals],[Candidate 4]]), 0)</f>
        <v>0</v>
      </c>
      <c r="T73" s="99">
        <f>IF(AND(SamplingData[[#This Row],[Total]]&lt;&gt; 0, NOT(ISBLANK(SamplingData[[#This Row],[Candidate 5]]))),(SamplingData[[#This Row],[Total]]+SamplingData[[#This Row],[Winning Candidate]]-SamplingData[[#This Row],[Candidate 5]])/(SamplingData[[#Totals],[Winning Candidate]]-SamplingData[[#Totals],[Candidate 5]]), 0)</f>
        <v>0</v>
      </c>
      <c r="U73" s="99">
        <f>IF(AND(SamplingData[[#This Row],[Total]]&lt;&gt; 0, NOT(ISBLANK(SamplingData[[#This Row],[Candidate 6]]))),(SamplingData[[#This Row],[Total]]+SamplingData[[#This Row],[Losing Candidate]]-SamplingData[[#This Row],[Candidate 6]])/(SamplingData[[#Totals],[Winning Candidate]]-SamplingData[[#Totals],[Candidate 6]]), 0)</f>
        <v>0</v>
      </c>
      <c r="V73" s="99">
        <f>IF(AND(SamplingData[[#This Row],[Total]]&lt;&gt; 0, NOT(ISBLANK(SamplingData[[#This Row],[Candidate 7]]))),(SamplingData[[#This Row],[Total]]+SamplingData[[#This Row],[Winning Candidate]]-SamplingData[[#This Row],[Candidate 7]])/(SamplingData[[#Totals],[Winning Candidate]]-SamplingData[[#Totals],[Candidate 7]]), 0)</f>
        <v>0</v>
      </c>
      <c r="W73" s="99">
        <f>IF(AND(SamplingData[[#This Row],[Total]]&lt;&gt; 0, NOT(ISBLANK(SamplingData[[#This Row],[Candidate 8]]))),(SamplingData[[#This Row],[Total]]+SamplingData[[#This Row],[Winning Candidate]]-SamplingData[[#This Row],[Candidate 8]])/(SamplingData[[#Totals],[Winning Candidate]]-SamplingData[[#Totals],[Candidate 8]]), 0)</f>
        <v>0</v>
      </c>
      <c r="X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 s="99">
        <f>MAX(SamplingData[[#This Row],[Error Bound (up) - Max. possible relative overstatement - Losing Candidate]:[Error Bound (up) - Max. possible relative overstatement - Candidate 12]])</f>
        <v>2.0327618400950601E-2</v>
      </c>
      <c r="AC73" s="99">
        <f>IF(SamplingData[[#This Row],[Max Error Bound (up)]] = 0,0,SamplingData[[#This Row],[Max Error Bound (up)]]/SamplingData[[#Totals],[Max Error Bound (up)]])</f>
        <v>1.0883593267168371E-3</v>
      </c>
      <c r="AD73" s="103">
        <f>SUM($AC$5:AC73)</f>
        <v>9.1740284291271429E-2</v>
      </c>
      <c r="AE73" s="99" t="str" cm="1">
        <f t="array" ref="AE73">IF(SamplingData[[#This Row],[up/U Selection Probability]] = 0, "Zero", TEXT(SamplingData[[#This Row],[Lower Range]], REPT("0",LEN('General Info'!$B$42))) &amp; " - " &amp; TEXT(SamplingData[[#This Row],[Upper Range]], REPT("0",LEN('General Info'!$B$42))))</f>
        <v>090652 - 091739</v>
      </c>
      <c r="AF73" s="99">
        <f>SamplingData[[#This Row],[Upper Range]]-SamplingData[[#This Row],[Span]]</f>
        <v>90651.924964554593</v>
      </c>
      <c r="AG73" s="99">
        <f>IF(ISNUMBER('General Info'!$B$42), ((SamplingData[[#This Row],[up/U Selection Probability]]) * 'General Info'!$B$44) - 1, 0)</f>
        <v>1087.3593267168371</v>
      </c>
      <c r="AH73" s="99">
        <f>IF(ISNUMBER('General Info'!$B$42), (SamplingData[[#This Row],[Running (cumulative) sum]] * ('General Info'!$B$42 -'General Info'!$B$43 + 1)) + 'General Info'!$B$43 - 1, 0)</f>
        <v>91739.284291271426</v>
      </c>
      <c r="AI73" s="99" t="str">
        <f>IF(ISERROR(MATCH(SamplingData[[#This Row],[Batch by Type (p)]],SelectedPrecincts[Batch Name], 0)), "", INDEX(SelectedPrecincts[Draw], MATCH(SamplingData[[#This Row],[Batch by Type (p)]],SelectedPrecincts[Batch Name], 0)))</f>
        <v/>
      </c>
      <c r="AJ73" s="100">
        <f>IF(COUNTIF(SelectedPrecincts[Batch Name],SamplingData[[#This Row],[Batch by Type (p)]]) &lt;&gt; 0, COUNTIF(SelectedPrecincts[Batch Name],SamplingData[[#This Row],[Batch by Type (p)]]), 0)</f>
        <v>0</v>
      </c>
    </row>
    <row r="74" spans="1:36" ht="15" customHeight="1" x14ac:dyDescent="0.35">
      <c r="A74" s="97" t="s">
        <v>287</v>
      </c>
      <c r="B74" s="97">
        <v>195</v>
      </c>
      <c r="C74" s="97">
        <v>12</v>
      </c>
      <c r="D74" s="92"/>
      <c r="E74" s="92"/>
      <c r="F74" s="92"/>
      <c r="G74" s="96"/>
      <c r="H74" s="96"/>
      <c r="I74" s="92"/>
      <c r="J74" s="92"/>
      <c r="K74" s="92"/>
      <c r="L74" s="92"/>
      <c r="M74" s="92"/>
      <c r="N74" s="97">
        <v>0</v>
      </c>
      <c r="O74" s="97">
        <v>12</v>
      </c>
      <c r="P74" s="98">
        <f>SUM(SamplingData[[#This Row],[Winning Candidate]:[Under Votes]])</f>
        <v>219</v>
      </c>
      <c r="Q74" s="99">
        <f>IF(AND(SamplingData[[#This Row],[Total]]&lt;&gt; 0, NOT(ISBLANK(SamplingData[[#This Row],[Losing Candidate]]))),(SamplingData[[#This Row],[Total]]+SamplingData[[#This Row],[Winning Candidate]]-SamplingData[[#This Row],[Losing Candidate]])/(SamplingData[[#Totals],[Winning Candidate]]-SamplingData[[#Totals],[Losing Candidate]]), 0)</f>
        <v>1.7059921914785267E-2</v>
      </c>
      <c r="R74" s="99">
        <f>IF(AND(SamplingData[[#This Row],[Total]]&lt;&gt; 0, NOT(ISBLANK(SamplingData[[#This Row],[Candidate 3]]))),(SamplingData[[#This Row],[Total]]+SamplingData[[#This Row],[Winning Candidate]]-SamplingData[[#This Row],[Candidate 3]])/(SamplingData[[#Totals],[Winning Candidate]]-SamplingData[[#Totals],[Candidate 3]]), 0)</f>
        <v>0</v>
      </c>
      <c r="S74" s="99">
        <f>IF(AND(SamplingData[[#This Row],[Total]]&lt;&gt; 0, NOT(ISBLANK(SamplingData[[#This Row],[Candidate 4]]))),(SamplingData[[#This Row],[Total]]+SamplingData[[#This Row],[Winning Candidate]]-SamplingData[[#This Row],[Candidate 4]])/(SamplingData[[#Totals],[Winning Candidate]]-SamplingData[[#Totals],[Candidate 4]]), 0)</f>
        <v>0</v>
      </c>
      <c r="T74" s="99">
        <f>IF(AND(SamplingData[[#This Row],[Total]]&lt;&gt; 0, NOT(ISBLANK(SamplingData[[#This Row],[Candidate 5]]))),(SamplingData[[#This Row],[Total]]+SamplingData[[#This Row],[Winning Candidate]]-SamplingData[[#This Row],[Candidate 5]])/(SamplingData[[#Totals],[Winning Candidate]]-SamplingData[[#Totals],[Candidate 5]]), 0)</f>
        <v>0</v>
      </c>
      <c r="U74" s="99">
        <f>IF(AND(SamplingData[[#This Row],[Total]]&lt;&gt; 0, NOT(ISBLANK(SamplingData[[#This Row],[Candidate 6]]))),(SamplingData[[#This Row],[Total]]+SamplingData[[#This Row],[Losing Candidate]]-SamplingData[[#This Row],[Candidate 6]])/(SamplingData[[#Totals],[Winning Candidate]]-SamplingData[[#Totals],[Candidate 6]]), 0)</f>
        <v>0</v>
      </c>
      <c r="V74" s="99">
        <f>IF(AND(SamplingData[[#This Row],[Total]]&lt;&gt; 0, NOT(ISBLANK(SamplingData[[#This Row],[Candidate 7]]))),(SamplingData[[#This Row],[Total]]+SamplingData[[#This Row],[Winning Candidate]]-SamplingData[[#This Row],[Candidate 7]])/(SamplingData[[#Totals],[Winning Candidate]]-SamplingData[[#Totals],[Candidate 7]]), 0)</f>
        <v>0</v>
      </c>
      <c r="W74" s="99">
        <f>IF(AND(SamplingData[[#This Row],[Total]]&lt;&gt; 0, NOT(ISBLANK(SamplingData[[#This Row],[Candidate 8]]))),(SamplingData[[#This Row],[Total]]+SamplingData[[#This Row],[Winning Candidate]]-SamplingData[[#This Row],[Candidate 8]])/(SamplingData[[#Totals],[Winning Candidate]]-SamplingData[[#Totals],[Candidate 8]]), 0)</f>
        <v>0</v>
      </c>
      <c r="X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 s="99">
        <f>MAX(SamplingData[[#This Row],[Error Bound (up) - Max. possible relative overstatement - Losing Candidate]:[Error Bound (up) - Max. possible relative overstatement - Candidate 12]])</f>
        <v>1.7059921914785267E-2</v>
      </c>
      <c r="AC74" s="99">
        <f>IF(SamplingData[[#This Row],[Max Error Bound (up)]] = 0,0,SamplingData[[#This Row],[Max Error Bound (up)]]/SamplingData[[#Totals],[Max Error Bound (up)]])</f>
        <v>9.1340386083542499E-4</v>
      </c>
      <c r="AD74" s="103">
        <f>SUM($AC$5:AC74)</f>
        <v>9.2653688152106853E-2</v>
      </c>
      <c r="AE74" s="99" t="str" cm="1">
        <f t="array" ref="AE74">IF(SamplingData[[#This Row],[up/U Selection Probability]] = 0, "Zero", TEXT(SamplingData[[#This Row],[Lower Range]], REPT("0",LEN('General Info'!$B$42))) &amp; " - " &amp; TEXT(SamplingData[[#This Row],[Upper Range]], REPT("0",LEN('General Info'!$B$42))))</f>
        <v>091740 - 092653</v>
      </c>
      <c r="AF74" s="99">
        <f>SamplingData[[#This Row],[Upper Range]]-SamplingData[[#This Row],[Span]]</f>
        <v>91740.284291271426</v>
      </c>
      <c r="AG74" s="99">
        <f>IF(ISNUMBER('General Info'!$B$42), ((SamplingData[[#This Row],[up/U Selection Probability]]) * 'General Info'!$B$44) - 1, 0)</f>
        <v>912.40386083542501</v>
      </c>
      <c r="AH74" s="99">
        <f>IF(ISNUMBER('General Info'!$B$42), (SamplingData[[#This Row],[Running (cumulative) sum]] * ('General Info'!$B$42 -'General Info'!$B$43 + 1)) + 'General Info'!$B$43 - 1, 0)</f>
        <v>92652.688152106857</v>
      </c>
      <c r="AI74" s="99" t="str">
        <f>IF(ISERROR(MATCH(SamplingData[[#This Row],[Batch by Type (p)]],SelectedPrecincts[Batch Name], 0)), "", INDEX(SelectedPrecincts[Draw], MATCH(SamplingData[[#This Row],[Batch by Type (p)]],SelectedPrecincts[Batch Name], 0)))</f>
        <v/>
      </c>
      <c r="AJ74" s="100">
        <f>IF(COUNTIF(SelectedPrecincts[Batch Name],SamplingData[[#This Row],[Batch by Type (p)]]) &lt;&gt; 0, COUNTIF(SelectedPrecincts[Batch Name],SamplingData[[#This Row],[Batch by Type (p)]]), 0)</f>
        <v>0</v>
      </c>
    </row>
    <row r="75" spans="1:36" ht="15" customHeight="1" x14ac:dyDescent="0.35">
      <c r="A75" s="97" t="s">
        <v>288</v>
      </c>
      <c r="B75" s="97">
        <v>266</v>
      </c>
      <c r="C75" s="97">
        <v>66</v>
      </c>
      <c r="D75" s="92"/>
      <c r="E75" s="92"/>
      <c r="F75" s="92"/>
      <c r="G75" s="96"/>
      <c r="H75" s="96"/>
      <c r="I75" s="92"/>
      <c r="J75" s="92"/>
      <c r="K75" s="92"/>
      <c r="L75" s="92"/>
      <c r="M75" s="92"/>
      <c r="N75" s="97">
        <v>0</v>
      </c>
      <c r="O75" s="97">
        <v>9</v>
      </c>
      <c r="P75" s="98">
        <f>SUM(SamplingData[[#This Row],[Winning Candidate]:[Under Votes]])</f>
        <v>341</v>
      </c>
      <c r="Q75" s="99">
        <f>IF(AND(SamplingData[[#This Row],[Total]]&lt;&gt; 0, NOT(ISBLANK(SamplingData[[#This Row],[Losing Candidate]]))),(SamplingData[[#This Row],[Total]]+SamplingData[[#This Row],[Winning Candidate]]-SamplingData[[#This Row],[Losing Candidate]])/(SamplingData[[#Totals],[Winning Candidate]]-SamplingData[[#Totals],[Losing Candidate]]), 0)</f>
        <v>2.2958750636564249E-2</v>
      </c>
      <c r="R75" s="99">
        <f>IF(AND(SamplingData[[#This Row],[Total]]&lt;&gt; 0, NOT(ISBLANK(SamplingData[[#This Row],[Candidate 3]]))),(SamplingData[[#This Row],[Total]]+SamplingData[[#This Row],[Winning Candidate]]-SamplingData[[#This Row],[Candidate 3]])/(SamplingData[[#Totals],[Winning Candidate]]-SamplingData[[#Totals],[Candidate 3]]), 0)</f>
        <v>0</v>
      </c>
      <c r="S75" s="99">
        <f>IF(AND(SamplingData[[#This Row],[Total]]&lt;&gt; 0, NOT(ISBLANK(SamplingData[[#This Row],[Candidate 4]]))),(SamplingData[[#This Row],[Total]]+SamplingData[[#This Row],[Winning Candidate]]-SamplingData[[#This Row],[Candidate 4]])/(SamplingData[[#Totals],[Winning Candidate]]-SamplingData[[#Totals],[Candidate 4]]), 0)</f>
        <v>0</v>
      </c>
      <c r="T75" s="99">
        <f>IF(AND(SamplingData[[#This Row],[Total]]&lt;&gt; 0, NOT(ISBLANK(SamplingData[[#This Row],[Candidate 5]]))),(SamplingData[[#This Row],[Total]]+SamplingData[[#This Row],[Winning Candidate]]-SamplingData[[#This Row],[Candidate 5]])/(SamplingData[[#Totals],[Winning Candidate]]-SamplingData[[#Totals],[Candidate 5]]), 0)</f>
        <v>0</v>
      </c>
      <c r="U75" s="99">
        <f>IF(AND(SamplingData[[#This Row],[Total]]&lt;&gt; 0, NOT(ISBLANK(SamplingData[[#This Row],[Candidate 6]]))),(SamplingData[[#This Row],[Total]]+SamplingData[[#This Row],[Losing Candidate]]-SamplingData[[#This Row],[Candidate 6]])/(SamplingData[[#Totals],[Winning Candidate]]-SamplingData[[#Totals],[Candidate 6]]), 0)</f>
        <v>0</v>
      </c>
      <c r="V75" s="99">
        <f>IF(AND(SamplingData[[#This Row],[Total]]&lt;&gt; 0, NOT(ISBLANK(SamplingData[[#This Row],[Candidate 7]]))),(SamplingData[[#This Row],[Total]]+SamplingData[[#This Row],[Winning Candidate]]-SamplingData[[#This Row],[Candidate 7]])/(SamplingData[[#Totals],[Winning Candidate]]-SamplingData[[#Totals],[Candidate 7]]), 0)</f>
        <v>0</v>
      </c>
      <c r="W75" s="99">
        <f>IF(AND(SamplingData[[#This Row],[Total]]&lt;&gt; 0, NOT(ISBLANK(SamplingData[[#This Row],[Candidate 8]]))),(SamplingData[[#This Row],[Total]]+SamplingData[[#This Row],[Winning Candidate]]-SamplingData[[#This Row],[Candidate 8]])/(SamplingData[[#Totals],[Winning Candidate]]-SamplingData[[#Totals],[Candidate 8]]), 0)</f>
        <v>0</v>
      </c>
      <c r="X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 s="99">
        <f>MAX(SamplingData[[#This Row],[Error Bound (up) - Max. possible relative overstatement - Losing Candidate]:[Error Bound (up) - Max. possible relative overstatement - Candidate 12]])</f>
        <v>2.2958750636564249E-2</v>
      </c>
      <c r="AC75" s="99">
        <f>IF(SamplingData[[#This Row],[Max Error Bound (up)]] = 0,0,SamplingData[[#This Row],[Max Error Bound (up)]]/SamplingData[[#Totals],[Max Error Bound (up)]])</f>
        <v>1.2292325589849872E-3</v>
      </c>
      <c r="AD75" s="103">
        <f>SUM($AC$5:AC75)</f>
        <v>9.3882920711091847E-2</v>
      </c>
      <c r="AE75" s="99" t="str" cm="1">
        <f t="array" ref="AE75">IF(SamplingData[[#This Row],[up/U Selection Probability]] = 0, "Zero", TEXT(SamplingData[[#This Row],[Lower Range]], REPT("0",LEN('General Info'!$B$42))) &amp; " - " &amp; TEXT(SamplingData[[#This Row],[Upper Range]], REPT("0",LEN('General Info'!$B$42))))</f>
        <v>092654 - 093882</v>
      </c>
      <c r="AF75" s="99">
        <f>SamplingData[[#This Row],[Upper Range]]-SamplingData[[#This Row],[Span]]</f>
        <v>92653.688152106857</v>
      </c>
      <c r="AG75" s="99">
        <f>IF(ISNUMBER('General Info'!$B$42), ((SamplingData[[#This Row],[up/U Selection Probability]]) * 'General Info'!$B$44) - 1, 0)</f>
        <v>1228.2325589849872</v>
      </c>
      <c r="AH75" s="99">
        <f>IF(ISNUMBER('General Info'!$B$42), (SamplingData[[#This Row],[Running (cumulative) sum]] * ('General Info'!$B$42 -'General Info'!$B$43 + 1)) + 'General Info'!$B$43 - 1, 0)</f>
        <v>93881.920711091851</v>
      </c>
      <c r="AI75" s="99" t="str">
        <f>IF(ISERROR(MATCH(SamplingData[[#This Row],[Batch by Type (p)]],SelectedPrecincts[Batch Name], 0)), "", INDEX(SelectedPrecincts[Draw], MATCH(SamplingData[[#This Row],[Batch by Type (p)]],SelectedPrecincts[Batch Name], 0)))</f>
        <v/>
      </c>
      <c r="AJ75" s="100">
        <f>IF(COUNTIF(SelectedPrecincts[Batch Name],SamplingData[[#This Row],[Batch by Type (p)]]) &lt;&gt; 0, COUNTIF(SelectedPrecincts[Batch Name],SamplingData[[#This Row],[Batch by Type (p)]]), 0)</f>
        <v>0</v>
      </c>
    </row>
    <row r="76" spans="1:36" ht="15" customHeight="1" x14ac:dyDescent="0.35">
      <c r="A76" s="97" t="s">
        <v>289</v>
      </c>
      <c r="B76" s="97">
        <v>161</v>
      </c>
      <c r="C76" s="97">
        <v>26</v>
      </c>
      <c r="D76" s="92"/>
      <c r="E76" s="92"/>
      <c r="F76" s="92"/>
      <c r="G76" s="96"/>
      <c r="H76" s="96"/>
      <c r="I76" s="92"/>
      <c r="J76" s="92"/>
      <c r="K76" s="92"/>
      <c r="L76" s="92"/>
      <c r="M76" s="92"/>
      <c r="N76" s="97">
        <v>0</v>
      </c>
      <c r="O76" s="97">
        <v>11</v>
      </c>
      <c r="P76" s="98">
        <f>SUM(SamplingData[[#This Row],[Winning Candidate]:[Under Votes]])</f>
        <v>198</v>
      </c>
      <c r="Q76" s="99">
        <f>IF(AND(SamplingData[[#This Row],[Total]]&lt;&gt; 0, NOT(ISBLANK(SamplingData[[#This Row],[Losing Candidate]]))),(SamplingData[[#This Row],[Total]]+SamplingData[[#This Row],[Winning Candidate]]-SamplingData[[#This Row],[Losing Candidate]])/(SamplingData[[#Totals],[Winning Candidate]]-SamplingData[[#Totals],[Losing Candidate]]), 0)</f>
        <v>1.4131726362247497E-2</v>
      </c>
      <c r="R76" s="99">
        <f>IF(AND(SamplingData[[#This Row],[Total]]&lt;&gt; 0, NOT(ISBLANK(SamplingData[[#This Row],[Candidate 3]]))),(SamplingData[[#This Row],[Total]]+SamplingData[[#This Row],[Winning Candidate]]-SamplingData[[#This Row],[Candidate 3]])/(SamplingData[[#Totals],[Winning Candidate]]-SamplingData[[#Totals],[Candidate 3]]), 0)</f>
        <v>0</v>
      </c>
      <c r="S76" s="99">
        <f>IF(AND(SamplingData[[#This Row],[Total]]&lt;&gt; 0, NOT(ISBLANK(SamplingData[[#This Row],[Candidate 4]]))),(SamplingData[[#This Row],[Total]]+SamplingData[[#This Row],[Winning Candidate]]-SamplingData[[#This Row],[Candidate 4]])/(SamplingData[[#Totals],[Winning Candidate]]-SamplingData[[#Totals],[Candidate 4]]), 0)</f>
        <v>0</v>
      </c>
      <c r="T76" s="99">
        <f>IF(AND(SamplingData[[#This Row],[Total]]&lt;&gt; 0, NOT(ISBLANK(SamplingData[[#This Row],[Candidate 5]]))),(SamplingData[[#This Row],[Total]]+SamplingData[[#This Row],[Winning Candidate]]-SamplingData[[#This Row],[Candidate 5]])/(SamplingData[[#Totals],[Winning Candidate]]-SamplingData[[#Totals],[Candidate 5]]), 0)</f>
        <v>0</v>
      </c>
      <c r="U76" s="99">
        <f>IF(AND(SamplingData[[#This Row],[Total]]&lt;&gt; 0, NOT(ISBLANK(SamplingData[[#This Row],[Candidate 6]]))),(SamplingData[[#This Row],[Total]]+SamplingData[[#This Row],[Losing Candidate]]-SamplingData[[#This Row],[Candidate 6]])/(SamplingData[[#Totals],[Winning Candidate]]-SamplingData[[#Totals],[Candidate 6]]), 0)</f>
        <v>0</v>
      </c>
      <c r="V76" s="99">
        <f>IF(AND(SamplingData[[#This Row],[Total]]&lt;&gt; 0, NOT(ISBLANK(SamplingData[[#This Row],[Candidate 7]]))),(SamplingData[[#This Row],[Total]]+SamplingData[[#This Row],[Winning Candidate]]-SamplingData[[#This Row],[Candidate 7]])/(SamplingData[[#Totals],[Winning Candidate]]-SamplingData[[#Totals],[Candidate 7]]), 0)</f>
        <v>0</v>
      </c>
      <c r="W76" s="99">
        <f>IF(AND(SamplingData[[#This Row],[Total]]&lt;&gt; 0, NOT(ISBLANK(SamplingData[[#This Row],[Candidate 8]]))),(SamplingData[[#This Row],[Total]]+SamplingData[[#This Row],[Winning Candidate]]-SamplingData[[#This Row],[Candidate 8]])/(SamplingData[[#Totals],[Winning Candidate]]-SamplingData[[#Totals],[Candidate 8]]), 0)</f>
        <v>0</v>
      </c>
      <c r="X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 s="99">
        <f>MAX(SamplingData[[#This Row],[Error Bound (up) - Max. possible relative overstatement - Losing Candidate]:[Error Bound (up) - Max. possible relative overstatement - Candidate 12]])</f>
        <v>1.4131726362247497E-2</v>
      </c>
      <c r="AC76" s="99">
        <f>IF(SamplingData[[#This Row],[Max Error Bound (up)]] = 0,0,SamplingData[[#This Row],[Max Error Bound (up)]]/SamplingData[[#Totals],[Max Error Bound (up)]])</f>
        <v>7.5662558621441916E-4</v>
      </c>
      <c r="AD76" s="103">
        <f>SUM($AC$5:AC76)</f>
        <v>9.4639546297306268E-2</v>
      </c>
      <c r="AE76" s="99" t="str" cm="1">
        <f t="array" ref="AE76">IF(SamplingData[[#This Row],[up/U Selection Probability]] = 0, "Zero", TEXT(SamplingData[[#This Row],[Lower Range]], REPT("0",LEN('General Info'!$B$42))) &amp; " - " &amp; TEXT(SamplingData[[#This Row],[Upper Range]], REPT("0",LEN('General Info'!$B$42))))</f>
        <v>093883 - 094639</v>
      </c>
      <c r="AF76" s="99">
        <f>SamplingData[[#This Row],[Upper Range]]-SamplingData[[#This Row],[Span]]</f>
        <v>93882.920711091851</v>
      </c>
      <c r="AG76" s="99">
        <f>IF(ISNUMBER('General Info'!$B$42), ((SamplingData[[#This Row],[up/U Selection Probability]]) * 'General Info'!$B$44) - 1, 0)</f>
        <v>755.62558621441917</v>
      </c>
      <c r="AH76" s="99">
        <f>IF(ISNUMBER('General Info'!$B$42), (SamplingData[[#This Row],[Running (cumulative) sum]] * ('General Info'!$B$42 -'General Info'!$B$43 + 1)) + 'General Info'!$B$43 - 1, 0)</f>
        <v>94638.546297306268</v>
      </c>
      <c r="AI76" s="99" t="str">
        <f>IF(ISERROR(MATCH(SamplingData[[#This Row],[Batch by Type (p)]],SelectedPrecincts[Batch Name], 0)), "", INDEX(SelectedPrecincts[Draw], MATCH(SamplingData[[#This Row],[Batch by Type (p)]],SelectedPrecincts[Batch Name], 0)))</f>
        <v/>
      </c>
      <c r="AJ76" s="100">
        <f>IF(COUNTIF(SelectedPrecincts[Batch Name],SamplingData[[#This Row],[Batch by Type (p)]]) &lt;&gt; 0, COUNTIF(SelectedPrecincts[Batch Name],SamplingData[[#This Row],[Batch by Type (p)]]), 0)</f>
        <v>0</v>
      </c>
    </row>
    <row r="77" spans="1:36" ht="15" customHeight="1" x14ac:dyDescent="0.35">
      <c r="A77" s="97" t="s">
        <v>290</v>
      </c>
      <c r="B77" s="97">
        <v>271</v>
      </c>
      <c r="C77" s="97">
        <v>44</v>
      </c>
      <c r="D77" s="92"/>
      <c r="E77" s="92"/>
      <c r="F77" s="92"/>
      <c r="G77" s="96"/>
      <c r="H77" s="96"/>
      <c r="I77" s="92"/>
      <c r="J77" s="92"/>
      <c r="K77" s="92"/>
      <c r="L77" s="92"/>
      <c r="M77" s="92"/>
      <c r="N77" s="97">
        <v>0</v>
      </c>
      <c r="O77" s="97">
        <v>11</v>
      </c>
      <c r="P77" s="98">
        <f>SUM(SamplingData[[#This Row],[Winning Candidate]:[Under Votes]])</f>
        <v>326</v>
      </c>
      <c r="Q77" s="99">
        <f>IF(AND(SamplingData[[#This Row],[Total]]&lt;&gt; 0, NOT(ISBLANK(SamplingData[[#This Row],[Losing Candidate]]))),(SamplingData[[#This Row],[Total]]+SamplingData[[#This Row],[Winning Candidate]]-SamplingData[[#This Row],[Losing Candidate]])/(SamplingData[[#Totals],[Winning Candidate]]-SamplingData[[#Totals],[Losing Candidate]]), 0)</f>
        <v>2.3468002037005602E-2</v>
      </c>
      <c r="R77" s="99">
        <f>IF(AND(SamplingData[[#This Row],[Total]]&lt;&gt; 0, NOT(ISBLANK(SamplingData[[#This Row],[Candidate 3]]))),(SamplingData[[#This Row],[Total]]+SamplingData[[#This Row],[Winning Candidate]]-SamplingData[[#This Row],[Candidate 3]])/(SamplingData[[#Totals],[Winning Candidate]]-SamplingData[[#Totals],[Candidate 3]]), 0)</f>
        <v>0</v>
      </c>
      <c r="S77" s="99">
        <f>IF(AND(SamplingData[[#This Row],[Total]]&lt;&gt; 0, NOT(ISBLANK(SamplingData[[#This Row],[Candidate 4]]))),(SamplingData[[#This Row],[Total]]+SamplingData[[#This Row],[Winning Candidate]]-SamplingData[[#This Row],[Candidate 4]])/(SamplingData[[#Totals],[Winning Candidate]]-SamplingData[[#Totals],[Candidate 4]]), 0)</f>
        <v>0</v>
      </c>
      <c r="T77" s="99">
        <f>IF(AND(SamplingData[[#This Row],[Total]]&lt;&gt; 0, NOT(ISBLANK(SamplingData[[#This Row],[Candidate 5]]))),(SamplingData[[#This Row],[Total]]+SamplingData[[#This Row],[Winning Candidate]]-SamplingData[[#This Row],[Candidate 5]])/(SamplingData[[#Totals],[Winning Candidate]]-SamplingData[[#Totals],[Candidate 5]]), 0)</f>
        <v>0</v>
      </c>
      <c r="U77" s="99">
        <f>IF(AND(SamplingData[[#This Row],[Total]]&lt;&gt; 0, NOT(ISBLANK(SamplingData[[#This Row],[Candidate 6]]))),(SamplingData[[#This Row],[Total]]+SamplingData[[#This Row],[Losing Candidate]]-SamplingData[[#This Row],[Candidate 6]])/(SamplingData[[#Totals],[Winning Candidate]]-SamplingData[[#Totals],[Candidate 6]]), 0)</f>
        <v>0</v>
      </c>
      <c r="V77" s="99">
        <f>IF(AND(SamplingData[[#This Row],[Total]]&lt;&gt; 0, NOT(ISBLANK(SamplingData[[#This Row],[Candidate 7]]))),(SamplingData[[#This Row],[Total]]+SamplingData[[#This Row],[Winning Candidate]]-SamplingData[[#This Row],[Candidate 7]])/(SamplingData[[#Totals],[Winning Candidate]]-SamplingData[[#Totals],[Candidate 7]]), 0)</f>
        <v>0</v>
      </c>
      <c r="W77" s="99">
        <f>IF(AND(SamplingData[[#This Row],[Total]]&lt;&gt; 0, NOT(ISBLANK(SamplingData[[#This Row],[Candidate 8]]))),(SamplingData[[#This Row],[Total]]+SamplingData[[#This Row],[Winning Candidate]]-SamplingData[[#This Row],[Candidate 8]])/(SamplingData[[#Totals],[Winning Candidate]]-SamplingData[[#Totals],[Candidate 8]]), 0)</f>
        <v>0</v>
      </c>
      <c r="X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 s="99">
        <f>MAX(SamplingData[[#This Row],[Error Bound (up) - Max. possible relative overstatement - Losing Candidate]:[Error Bound (up) - Max. possible relative overstatement - Candidate 12]])</f>
        <v>2.3468002037005602E-2</v>
      </c>
      <c r="AC77" s="99">
        <f>IF(SamplingData[[#This Row],[Max Error Bound (up)]] = 0,0,SamplingData[[#This Row],[Max Error Bound (up)]]/SamplingData[[#Totals],[Max Error Bound (up)]])</f>
        <v>1.2564983458755968E-3</v>
      </c>
      <c r="AD77" s="103">
        <f>SUM($AC$5:AC77)</f>
        <v>9.5896044643181869E-2</v>
      </c>
      <c r="AE77" s="99" t="str" cm="1">
        <f t="array" ref="AE77">IF(SamplingData[[#This Row],[up/U Selection Probability]] = 0, "Zero", TEXT(SamplingData[[#This Row],[Lower Range]], REPT("0",LEN('General Info'!$B$42))) &amp; " - " &amp; TEXT(SamplingData[[#This Row],[Upper Range]], REPT("0",LEN('General Info'!$B$42))))</f>
        <v>094640 - 095895</v>
      </c>
      <c r="AF77" s="99">
        <f>SamplingData[[#This Row],[Upper Range]]-SamplingData[[#This Row],[Span]]</f>
        <v>94639.546297306268</v>
      </c>
      <c r="AG77" s="99">
        <f>IF(ISNUMBER('General Info'!$B$42), ((SamplingData[[#This Row],[up/U Selection Probability]]) * 'General Info'!$B$44) - 1, 0)</f>
        <v>1255.4983458755969</v>
      </c>
      <c r="AH77" s="99">
        <f>IF(ISNUMBER('General Info'!$B$42), (SamplingData[[#This Row],[Running (cumulative) sum]] * ('General Info'!$B$42 -'General Info'!$B$43 + 1)) + 'General Info'!$B$43 - 1, 0)</f>
        <v>95895.044643181871</v>
      </c>
      <c r="AI77" s="99" t="str">
        <f>IF(ISERROR(MATCH(SamplingData[[#This Row],[Batch by Type (p)]],SelectedPrecincts[Batch Name], 0)), "", INDEX(SelectedPrecincts[Draw], MATCH(SamplingData[[#This Row],[Batch by Type (p)]],SelectedPrecincts[Batch Name], 0)))</f>
        <v/>
      </c>
      <c r="AJ77" s="100">
        <f>IF(COUNTIF(SelectedPrecincts[Batch Name],SamplingData[[#This Row],[Batch by Type (p)]]) &lt;&gt; 0, COUNTIF(SelectedPrecincts[Batch Name],SamplingData[[#This Row],[Batch by Type (p)]]), 0)</f>
        <v>0</v>
      </c>
    </row>
    <row r="78" spans="1:36" ht="15" customHeight="1" x14ac:dyDescent="0.35">
      <c r="A78" s="97" t="s">
        <v>291</v>
      </c>
      <c r="B78" s="97">
        <v>214</v>
      </c>
      <c r="C78" s="97">
        <v>57</v>
      </c>
      <c r="D78" s="92"/>
      <c r="E78" s="92"/>
      <c r="F78" s="92"/>
      <c r="G78" s="96"/>
      <c r="H78" s="96"/>
      <c r="I78" s="92"/>
      <c r="J78" s="92"/>
      <c r="K78" s="92"/>
      <c r="L78" s="92"/>
      <c r="M78" s="92"/>
      <c r="N78" s="97">
        <v>1</v>
      </c>
      <c r="O78" s="97">
        <v>11</v>
      </c>
      <c r="P78" s="98">
        <f>SUM(SamplingData[[#This Row],[Winning Candidate]:[Under Votes]])</f>
        <v>283</v>
      </c>
      <c r="Q78" s="99">
        <f>IF(AND(SamplingData[[#This Row],[Total]]&lt;&gt; 0, NOT(ISBLANK(SamplingData[[#This Row],[Losing Candidate]]))),(SamplingData[[#This Row],[Total]]+SamplingData[[#This Row],[Winning Candidate]]-SamplingData[[#This Row],[Losing Candidate]])/(SamplingData[[#Totals],[Winning Candidate]]-SamplingData[[#Totals],[Losing Candidate]]), 0)</f>
        <v>1.867255134951621E-2</v>
      </c>
      <c r="R78" s="99">
        <f>IF(AND(SamplingData[[#This Row],[Total]]&lt;&gt; 0, NOT(ISBLANK(SamplingData[[#This Row],[Candidate 3]]))),(SamplingData[[#This Row],[Total]]+SamplingData[[#This Row],[Winning Candidate]]-SamplingData[[#This Row],[Candidate 3]])/(SamplingData[[#Totals],[Winning Candidate]]-SamplingData[[#Totals],[Candidate 3]]), 0)</f>
        <v>0</v>
      </c>
      <c r="S78" s="99">
        <f>IF(AND(SamplingData[[#This Row],[Total]]&lt;&gt; 0, NOT(ISBLANK(SamplingData[[#This Row],[Candidate 4]]))),(SamplingData[[#This Row],[Total]]+SamplingData[[#This Row],[Winning Candidate]]-SamplingData[[#This Row],[Candidate 4]])/(SamplingData[[#Totals],[Winning Candidate]]-SamplingData[[#Totals],[Candidate 4]]), 0)</f>
        <v>0</v>
      </c>
      <c r="T78" s="99">
        <f>IF(AND(SamplingData[[#This Row],[Total]]&lt;&gt; 0, NOT(ISBLANK(SamplingData[[#This Row],[Candidate 5]]))),(SamplingData[[#This Row],[Total]]+SamplingData[[#This Row],[Winning Candidate]]-SamplingData[[#This Row],[Candidate 5]])/(SamplingData[[#Totals],[Winning Candidate]]-SamplingData[[#Totals],[Candidate 5]]), 0)</f>
        <v>0</v>
      </c>
      <c r="U78" s="99">
        <f>IF(AND(SamplingData[[#This Row],[Total]]&lt;&gt; 0, NOT(ISBLANK(SamplingData[[#This Row],[Candidate 6]]))),(SamplingData[[#This Row],[Total]]+SamplingData[[#This Row],[Losing Candidate]]-SamplingData[[#This Row],[Candidate 6]])/(SamplingData[[#Totals],[Winning Candidate]]-SamplingData[[#Totals],[Candidate 6]]), 0)</f>
        <v>0</v>
      </c>
      <c r="V78" s="99">
        <f>IF(AND(SamplingData[[#This Row],[Total]]&lt;&gt; 0, NOT(ISBLANK(SamplingData[[#This Row],[Candidate 7]]))),(SamplingData[[#This Row],[Total]]+SamplingData[[#This Row],[Winning Candidate]]-SamplingData[[#This Row],[Candidate 7]])/(SamplingData[[#Totals],[Winning Candidate]]-SamplingData[[#Totals],[Candidate 7]]), 0)</f>
        <v>0</v>
      </c>
      <c r="W78" s="99">
        <f>IF(AND(SamplingData[[#This Row],[Total]]&lt;&gt; 0, NOT(ISBLANK(SamplingData[[#This Row],[Candidate 8]]))),(SamplingData[[#This Row],[Total]]+SamplingData[[#This Row],[Winning Candidate]]-SamplingData[[#This Row],[Candidate 8]])/(SamplingData[[#Totals],[Winning Candidate]]-SamplingData[[#Totals],[Candidate 8]]), 0)</f>
        <v>0</v>
      </c>
      <c r="X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 s="99">
        <f>MAX(SamplingData[[#This Row],[Error Bound (up) - Max. possible relative overstatement - Losing Candidate]:[Error Bound (up) - Max. possible relative overstatement - Candidate 12]])</f>
        <v>1.867255134951621E-2</v>
      </c>
      <c r="AC78" s="99">
        <f>IF(SamplingData[[#This Row],[Max Error Bound (up)]] = 0,0,SamplingData[[#This Row],[Max Error Bound (up)]]/SamplingData[[#Totals],[Max Error Bound (up)]])</f>
        <v>9.9974551932235554E-4</v>
      </c>
      <c r="AD78" s="103">
        <f>SUM($AC$5:AC78)</f>
        <v>9.6895790162504228E-2</v>
      </c>
      <c r="AE78" s="99" t="str" cm="1">
        <f t="array" ref="AE78">IF(SamplingData[[#This Row],[up/U Selection Probability]] = 0, "Zero", TEXT(SamplingData[[#This Row],[Lower Range]], REPT("0",LEN('General Info'!$B$42))) &amp; " - " &amp; TEXT(SamplingData[[#This Row],[Upper Range]], REPT("0",LEN('General Info'!$B$42))))</f>
        <v>095896 - 096895</v>
      </c>
      <c r="AF78" s="99">
        <f>SamplingData[[#This Row],[Upper Range]]-SamplingData[[#This Row],[Span]]</f>
        <v>95896.044643181871</v>
      </c>
      <c r="AG78" s="99">
        <f>IF(ISNUMBER('General Info'!$B$42), ((SamplingData[[#This Row],[up/U Selection Probability]]) * 'General Info'!$B$44) - 1, 0)</f>
        <v>998.74551932235556</v>
      </c>
      <c r="AH78" s="99">
        <f>IF(ISNUMBER('General Info'!$B$42), (SamplingData[[#This Row],[Running (cumulative) sum]] * ('General Info'!$B$42 -'General Info'!$B$43 + 1)) + 'General Info'!$B$43 - 1, 0)</f>
        <v>96894.790162504229</v>
      </c>
      <c r="AI78" s="99" t="str">
        <f>IF(ISERROR(MATCH(SamplingData[[#This Row],[Batch by Type (p)]],SelectedPrecincts[Batch Name], 0)), "", INDEX(SelectedPrecincts[Draw], MATCH(SamplingData[[#This Row],[Batch by Type (p)]],SelectedPrecincts[Batch Name], 0)))</f>
        <v/>
      </c>
      <c r="AJ78" s="100">
        <f>IF(COUNTIF(SelectedPrecincts[Batch Name],SamplingData[[#This Row],[Batch by Type (p)]]) &lt;&gt; 0, COUNTIF(SelectedPrecincts[Batch Name],SamplingData[[#This Row],[Batch by Type (p)]]), 0)</f>
        <v>0</v>
      </c>
    </row>
    <row r="79" spans="1:36" ht="15" customHeight="1" x14ac:dyDescent="0.35">
      <c r="A79" s="97" t="s">
        <v>292</v>
      </c>
      <c r="B79" s="97">
        <v>165</v>
      </c>
      <c r="C79" s="97">
        <v>31</v>
      </c>
      <c r="D79" s="92"/>
      <c r="E79" s="92"/>
      <c r="F79" s="92"/>
      <c r="G79" s="96"/>
      <c r="H79" s="96"/>
      <c r="I79" s="92"/>
      <c r="J79" s="92"/>
      <c r="K79" s="92"/>
      <c r="L79" s="92"/>
      <c r="M79" s="92"/>
      <c r="N79" s="97">
        <v>0</v>
      </c>
      <c r="O79" s="97">
        <v>9</v>
      </c>
      <c r="P79" s="98">
        <f>SUM(SamplingData[[#This Row],[Winning Candidate]:[Under Votes]])</f>
        <v>205</v>
      </c>
      <c r="Q79" s="99">
        <f>IF(AND(SamplingData[[#This Row],[Total]]&lt;&gt; 0, NOT(ISBLANK(SamplingData[[#This Row],[Losing Candidate]]))),(SamplingData[[#This Row],[Total]]+SamplingData[[#This Row],[Winning Candidate]]-SamplingData[[#This Row],[Losing Candidate]])/(SamplingData[[#Totals],[Winning Candidate]]-SamplingData[[#Totals],[Losing Candidate]]), 0)</f>
        <v>1.4386352062468171E-2</v>
      </c>
      <c r="R79" s="99">
        <f>IF(AND(SamplingData[[#This Row],[Total]]&lt;&gt; 0, NOT(ISBLANK(SamplingData[[#This Row],[Candidate 3]]))),(SamplingData[[#This Row],[Total]]+SamplingData[[#This Row],[Winning Candidate]]-SamplingData[[#This Row],[Candidate 3]])/(SamplingData[[#Totals],[Winning Candidate]]-SamplingData[[#Totals],[Candidate 3]]), 0)</f>
        <v>0</v>
      </c>
      <c r="S79" s="99">
        <f>IF(AND(SamplingData[[#This Row],[Total]]&lt;&gt; 0, NOT(ISBLANK(SamplingData[[#This Row],[Candidate 4]]))),(SamplingData[[#This Row],[Total]]+SamplingData[[#This Row],[Winning Candidate]]-SamplingData[[#This Row],[Candidate 4]])/(SamplingData[[#Totals],[Winning Candidate]]-SamplingData[[#Totals],[Candidate 4]]), 0)</f>
        <v>0</v>
      </c>
      <c r="T79" s="99">
        <f>IF(AND(SamplingData[[#This Row],[Total]]&lt;&gt; 0, NOT(ISBLANK(SamplingData[[#This Row],[Candidate 5]]))),(SamplingData[[#This Row],[Total]]+SamplingData[[#This Row],[Winning Candidate]]-SamplingData[[#This Row],[Candidate 5]])/(SamplingData[[#Totals],[Winning Candidate]]-SamplingData[[#Totals],[Candidate 5]]), 0)</f>
        <v>0</v>
      </c>
      <c r="U79" s="99">
        <f>IF(AND(SamplingData[[#This Row],[Total]]&lt;&gt; 0, NOT(ISBLANK(SamplingData[[#This Row],[Candidate 6]]))),(SamplingData[[#This Row],[Total]]+SamplingData[[#This Row],[Losing Candidate]]-SamplingData[[#This Row],[Candidate 6]])/(SamplingData[[#Totals],[Winning Candidate]]-SamplingData[[#Totals],[Candidate 6]]), 0)</f>
        <v>0</v>
      </c>
      <c r="V79" s="99">
        <f>IF(AND(SamplingData[[#This Row],[Total]]&lt;&gt; 0, NOT(ISBLANK(SamplingData[[#This Row],[Candidate 7]]))),(SamplingData[[#This Row],[Total]]+SamplingData[[#This Row],[Winning Candidate]]-SamplingData[[#This Row],[Candidate 7]])/(SamplingData[[#Totals],[Winning Candidate]]-SamplingData[[#Totals],[Candidate 7]]), 0)</f>
        <v>0</v>
      </c>
      <c r="W79" s="99">
        <f>IF(AND(SamplingData[[#This Row],[Total]]&lt;&gt; 0, NOT(ISBLANK(SamplingData[[#This Row],[Candidate 8]]))),(SamplingData[[#This Row],[Total]]+SamplingData[[#This Row],[Winning Candidate]]-SamplingData[[#This Row],[Candidate 8]])/(SamplingData[[#Totals],[Winning Candidate]]-SamplingData[[#Totals],[Candidate 8]]), 0)</f>
        <v>0</v>
      </c>
      <c r="X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 s="99">
        <f>MAX(SamplingData[[#This Row],[Error Bound (up) - Max. possible relative overstatement - Losing Candidate]:[Error Bound (up) - Max. possible relative overstatement - Candidate 12]])</f>
        <v>1.4386352062468171E-2</v>
      </c>
      <c r="AC79" s="99">
        <f>IF(SamplingData[[#This Row],[Max Error Bound (up)]] = 0,0,SamplingData[[#This Row],[Max Error Bound (up)]]/SamplingData[[#Totals],[Max Error Bound (up)]])</f>
        <v>7.7025847965972395E-4</v>
      </c>
      <c r="AD79" s="103">
        <f>SUM($AC$5:AC79)</f>
        <v>9.7666048642163952E-2</v>
      </c>
      <c r="AE79" s="99" t="str" cm="1">
        <f t="array" ref="AE79">IF(SamplingData[[#This Row],[up/U Selection Probability]] = 0, "Zero", TEXT(SamplingData[[#This Row],[Lower Range]], REPT("0",LEN('General Info'!$B$42))) &amp; " - " &amp; TEXT(SamplingData[[#This Row],[Upper Range]], REPT("0",LEN('General Info'!$B$42))))</f>
        <v>096896 - 097665</v>
      </c>
      <c r="AF79" s="99">
        <f>SamplingData[[#This Row],[Upper Range]]-SamplingData[[#This Row],[Span]]</f>
        <v>96895.790162504229</v>
      </c>
      <c r="AG79" s="99">
        <f>IF(ISNUMBER('General Info'!$B$42), ((SamplingData[[#This Row],[up/U Selection Probability]]) * 'General Info'!$B$44) - 1, 0)</f>
        <v>769.258479659724</v>
      </c>
      <c r="AH79" s="99">
        <f>IF(ISNUMBER('General Info'!$B$42), (SamplingData[[#This Row],[Running (cumulative) sum]] * ('General Info'!$B$42 -'General Info'!$B$43 + 1)) + 'General Info'!$B$43 - 1, 0)</f>
        <v>97665.048642163951</v>
      </c>
      <c r="AI79" s="99" t="str">
        <f>IF(ISERROR(MATCH(SamplingData[[#This Row],[Batch by Type (p)]],SelectedPrecincts[Batch Name], 0)), "", INDEX(SelectedPrecincts[Draw], MATCH(SamplingData[[#This Row],[Batch by Type (p)]],SelectedPrecincts[Batch Name], 0)))</f>
        <v/>
      </c>
      <c r="AJ79" s="100">
        <f>IF(COUNTIF(SelectedPrecincts[Batch Name],SamplingData[[#This Row],[Batch by Type (p)]]) &lt;&gt; 0, COUNTIF(SelectedPrecincts[Batch Name],SamplingData[[#This Row],[Batch by Type (p)]]), 0)</f>
        <v>0</v>
      </c>
    </row>
    <row r="80" spans="1:36" ht="15" customHeight="1" x14ac:dyDescent="0.35">
      <c r="A80" s="97" t="s">
        <v>293</v>
      </c>
      <c r="B80" s="97">
        <v>91</v>
      </c>
      <c r="C80" s="97">
        <v>27</v>
      </c>
      <c r="D80" s="92"/>
      <c r="E80" s="92"/>
      <c r="F80" s="92"/>
      <c r="G80" s="96"/>
      <c r="H80" s="96"/>
      <c r="I80" s="92"/>
      <c r="J80" s="92"/>
      <c r="K80" s="92"/>
      <c r="L80" s="92"/>
      <c r="M80" s="92"/>
      <c r="N80" s="97">
        <v>0</v>
      </c>
      <c r="O80" s="97">
        <v>6</v>
      </c>
      <c r="P80" s="98">
        <f>SUM(SamplingData[[#This Row],[Winning Candidate]:[Under Votes]])</f>
        <v>124</v>
      </c>
      <c r="Q80" s="99">
        <f>IF(AND(SamplingData[[#This Row],[Total]]&lt;&gt; 0, NOT(ISBLANK(SamplingData[[#This Row],[Losing Candidate]]))),(SamplingData[[#This Row],[Total]]+SamplingData[[#This Row],[Winning Candidate]]-SamplingData[[#This Row],[Losing Candidate]])/(SamplingData[[#Totals],[Winning Candidate]]-SamplingData[[#Totals],[Losing Candidate]]), 0)</f>
        <v>7.9782719402478365E-3</v>
      </c>
      <c r="R80" s="99">
        <f>IF(AND(SamplingData[[#This Row],[Total]]&lt;&gt; 0, NOT(ISBLANK(SamplingData[[#This Row],[Candidate 3]]))),(SamplingData[[#This Row],[Total]]+SamplingData[[#This Row],[Winning Candidate]]-SamplingData[[#This Row],[Candidate 3]])/(SamplingData[[#Totals],[Winning Candidate]]-SamplingData[[#Totals],[Candidate 3]]), 0)</f>
        <v>0</v>
      </c>
      <c r="S80" s="99">
        <f>IF(AND(SamplingData[[#This Row],[Total]]&lt;&gt; 0, NOT(ISBLANK(SamplingData[[#This Row],[Candidate 4]]))),(SamplingData[[#This Row],[Total]]+SamplingData[[#This Row],[Winning Candidate]]-SamplingData[[#This Row],[Candidate 4]])/(SamplingData[[#Totals],[Winning Candidate]]-SamplingData[[#Totals],[Candidate 4]]), 0)</f>
        <v>0</v>
      </c>
      <c r="T80" s="99">
        <f>IF(AND(SamplingData[[#This Row],[Total]]&lt;&gt; 0, NOT(ISBLANK(SamplingData[[#This Row],[Candidate 5]]))),(SamplingData[[#This Row],[Total]]+SamplingData[[#This Row],[Winning Candidate]]-SamplingData[[#This Row],[Candidate 5]])/(SamplingData[[#Totals],[Winning Candidate]]-SamplingData[[#Totals],[Candidate 5]]), 0)</f>
        <v>0</v>
      </c>
      <c r="U80" s="99">
        <f>IF(AND(SamplingData[[#This Row],[Total]]&lt;&gt; 0, NOT(ISBLANK(SamplingData[[#This Row],[Candidate 6]]))),(SamplingData[[#This Row],[Total]]+SamplingData[[#This Row],[Losing Candidate]]-SamplingData[[#This Row],[Candidate 6]])/(SamplingData[[#Totals],[Winning Candidate]]-SamplingData[[#Totals],[Candidate 6]]), 0)</f>
        <v>0</v>
      </c>
      <c r="V80" s="99">
        <f>IF(AND(SamplingData[[#This Row],[Total]]&lt;&gt; 0, NOT(ISBLANK(SamplingData[[#This Row],[Candidate 7]]))),(SamplingData[[#This Row],[Total]]+SamplingData[[#This Row],[Winning Candidate]]-SamplingData[[#This Row],[Candidate 7]])/(SamplingData[[#Totals],[Winning Candidate]]-SamplingData[[#Totals],[Candidate 7]]), 0)</f>
        <v>0</v>
      </c>
      <c r="W80" s="99">
        <f>IF(AND(SamplingData[[#This Row],[Total]]&lt;&gt; 0, NOT(ISBLANK(SamplingData[[#This Row],[Candidate 8]]))),(SamplingData[[#This Row],[Total]]+SamplingData[[#This Row],[Winning Candidate]]-SamplingData[[#This Row],[Candidate 8]])/(SamplingData[[#Totals],[Winning Candidate]]-SamplingData[[#Totals],[Candidate 8]]), 0)</f>
        <v>0</v>
      </c>
      <c r="X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 s="99">
        <f>MAX(SamplingData[[#This Row],[Error Bound (up) - Max. possible relative overstatement - Losing Candidate]:[Error Bound (up) - Max. possible relative overstatement - Candidate 12]])</f>
        <v>7.9782719402478365E-3</v>
      </c>
      <c r="AC80" s="99">
        <f>IF(SamplingData[[#This Row],[Max Error Bound (up)]] = 0,0,SamplingData[[#This Row],[Max Error Bound (up)]]/SamplingData[[#Totals],[Max Error Bound (up)]])</f>
        <v>4.2716399461955196E-4</v>
      </c>
      <c r="AD80" s="103">
        <f>SUM($AC$5:AC80)</f>
        <v>9.80932126367835E-2</v>
      </c>
      <c r="AE80" s="99" t="str" cm="1">
        <f t="array" ref="AE80">IF(SamplingData[[#This Row],[up/U Selection Probability]] = 0, "Zero", TEXT(SamplingData[[#This Row],[Lower Range]], REPT("0",LEN('General Info'!$B$42))) &amp; " - " &amp; TEXT(SamplingData[[#This Row],[Upper Range]], REPT("0",LEN('General Info'!$B$42))))</f>
        <v>097666 - 098092</v>
      </c>
      <c r="AF80" s="99">
        <f>SamplingData[[#This Row],[Upper Range]]-SamplingData[[#This Row],[Span]]</f>
        <v>97666.048642163951</v>
      </c>
      <c r="AG80" s="99">
        <f>IF(ISNUMBER('General Info'!$B$42), ((SamplingData[[#This Row],[up/U Selection Probability]]) * 'General Info'!$B$44) - 1, 0)</f>
        <v>426.16399461955194</v>
      </c>
      <c r="AH80" s="99">
        <f>IF(ISNUMBER('General Info'!$B$42), (SamplingData[[#This Row],[Running (cumulative) sum]] * ('General Info'!$B$42 -'General Info'!$B$43 + 1)) + 'General Info'!$B$43 - 1, 0)</f>
        <v>98092.212636783501</v>
      </c>
      <c r="AI80" s="99" t="str">
        <f>IF(ISERROR(MATCH(SamplingData[[#This Row],[Batch by Type (p)]],SelectedPrecincts[Batch Name], 0)), "", INDEX(SelectedPrecincts[Draw], MATCH(SamplingData[[#This Row],[Batch by Type (p)]],SelectedPrecincts[Batch Name], 0)))</f>
        <v/>
      </c>
      <c r="AJ80" s="100">
        <f>IF(COUNTIF(SelectedPrecincts[Batch Name],SamplingData[[#This Row],[Batch by Type (p)]]) &lt;&gt; 0, COUNTIF(SelectedPrecincts[Batch Name],SamplingData[[#This Row],[Batch by Type (p)]]), 0)</f>
        <v>0</v>
      </c>
    </row>
    <row r="81" spans="1:36" ht="15" customHeight="1" x14ac:dyDescent="0.35">
      <c r="A81" s="97" t="s">
        <v>294</v>
      </c>
      <c r="B81" s="97">
        <v>161</v>
      </c>
      <c r="C81" s="97">
        <v>37</v>
      </c>
      <c r="D81" s="92"/>
      <c r="E81" s="92"/>
      <c r="F81" s="92"/>
      <c r="G81" s="96"/>
      <c r="H81" s="96"/>
      <c r="I81" s="92"/>
      <c r="J81" s="92"/>
      <c r="K81" s="92"/>
      <c r="L81" s="92"/>
      <c r="M81" s="92"/>
      <c r="N81" s="97">
        <v>0</v>
      </c>
      <c r="O81" s="97">
        <v>8</v>
      </c>
      <c r="P81" s="98">
        <f>SUM(SamplingData[[#This Row],[Winning Candidate]:[Under Votes]])</f>
        <v>206</v>
      </c>
      <c r="Q81" s="99">
        <f>IF(AND(SamplingData[[#This Row],[Total]]&lt;&gt; 0, NOT(ISBLANK(SamplingData[[#This Row],[Losing Candidate]]))),(SamplingData[[#This Row],[Total]]+SamplingData[[#This Row],[Winning Candidate]]-SamplingData[[#This Row],[Losing Candidate]])/(SamplingData[[#Totals],[Winning Candidate]]-SamplingData[[#Totals],[Losing Candidate]]), 0)</f>
        <v>1.4004413512137158E-2</v>
      </c>
      <c r="R81" s="99">
        <f>IF(AND(SamplingData[[#This Row],[Total]]&lt;&gt; 0, NOT(ISBLANK(SamplingData[[#This Row],[Candidate 3]]))),(SamplingData[[#This Row],[Total]]+SamplingData[[#This Row],[Winning Candidate]]-SamplingData[[#This Row],[Candidate 3]])/(SamplingData[[#Totals],[Winning Candidate]]-SamplingData[[#Totals],[Candidate 3]]), 0)</f>
        <v>0</v>
      </c>
      <c r="S81" s="99">
        <f>IF(AND(SamplingData[[#This Row],[Total]]&lt;&gt; 0, NOT(ISBLANK(SamplingData[[#This Row],[Candidate 4]]))),(SamplingData[[#This Row],[Total]]+SamplingData[[#This Row],[Winning Candidate]]-SamplingData[[#This Row],[Candidate 4]])/(SamplingData[[#Totals],[Winning Candidate]]-SamplingData[[#Totals],[Candidate 4]]), 0)</f>
        <v>0</v>
      </c>
      <c r="T81" s="99">
        <f>IF(AND(SamplingData[[#This Row],[Total]]&lt;&gt; 0, NOT(ISBLANK(SamplingData[[#This Row],[Candidate 5]]))),(SamplingData[[#This Row],[Total]]+SamplingData[[#This Row],[Winning Candidate]]-SamplingData[[#This Row],[Candidate 5]])/(SamplingData[[#Totals],[Winning Candidate]]-SamplingData[[#Totals],[Candidate 5]]), 0)</f>
        <v>0</v>
      </c>
      <c r="U81" s="99">
        <f>IF(AND(SamplingData[[#This Row],[Total]]&lt;&gt; 0, NOT(ISBLANK(SamplingData[[#This Row],[Candidate 6]]))),(SamplingData[[#This Row],[Total]]+SamplingData[[#This Row],[Losing Candidate]]-SamplingData[[#This Row],[Candidate 6]])/(SamplingData[[#Totals],[Winning Candidate]]-SamplingData[[#Totals],[Candidate 6]]), 0)</f>
        <v>0</v>
      </c>
      <c r="V81" s="99">
        <f>IF(AND(SamplingData[[#This Row],[Total]]&lt;&gt; 0, NOT(ISBLANK(SamplingData[[#This Row],[Candidate 7]]))),(SamplingData[[#This Row],[Total]]+SamplingData[[#This Row],[Winning Candidate]]-SamplingData[[#This Row],[Candidate 7]])/(SamplingData[[#Totals],[Winning Candidate]]-SamplingData[[#Totals],[Candidate 7]]), 0)</f>
        <v>0</v>
      </c>
      <c r="W81" s="99">
        <f>IF(AND(SamplingData[[#This Row],[Total]]&lt;&gt; 0, NOT(ISBLANK(SamplingData[[#This Row],[Candidate 8]]))),(SamplingData[[#This Row],[Total]]+SamplingData[[#This Row],[Winning Candidate]]-SamplingData[[#This Row],[Candidate 8]])/(SamplingData[[#Totals],[Winning Candidate]]-SamplingData[[#Totals],[Candidate 8]]), 0)</f>
        <v>0</v>
      </c>
      <c r="X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 s="99">
        <f>MAX(SamplingData[[#This Row],[Error Bound (up) - Max. possible relative overstatement - Losing Candidate]:[Error Bound (up) - Max. possible relative overstatement - Candidate 12]])</f>
        <v>1.4004413512137158E-2</v>
      </c>
      <c r="AC81" s="99">
        <f>IF(SamplingData[[#This Row],[Max Error Bound (up)]] = 0,0,SamplingData[[#This Row],[Max Error Bound (up)]]/SamplingData[[#Totals],[Max Error Bound (up)]])</f>
        <v>7.498091394917666E-4</v>
      </c>
      <c r="AD81" s="103">
        <f>SUM($AC$5:AC81)</f>
        <v>9.8843021776275269E-2</v>
      </c>
      <c r="AE81" s="99" t="str" cm="1">
        <f t="array" ref="AE81">IF(SamplingData[[#This Row],[up/U Selection Probability]] = 0, "Zero", TEXT(SamplingData[[#This Row],[Lower Range]], REPT("0",LEN('General Info'!$B$42))) &amp; " - " &amp; TEXT(SamplingData[[#This Row],[Upper Range]], REPT("0",LEN('General Info'!$B$42))))</f>
        <v>098093 - 098842</v>
      </c>
      <c r="AF81" s="99">
        <f>SamplingData[[#This Row],[Upper Range]]-SamplingData[[#This Row],[Span]]</f>
        <v>98093.212636783501</v>
      </c>
      <c r="AG81" s="99">
        <f>IF(ISNUMBER('General Info'!$B$42), ((SamplingData[[#This Row],[up/U Selection Probability]]) * 'General Info'!$B$44) - 1, 0)</f>
        <v>748.80913949176659</v>
      </c>
      <c r="AH81" s="99">
        <f>IF(ISNUMBER('General Info'!$B$42), (SamplingData[[#This Row],[Running (cumulative) sum]] * ('General Info'!$B$42 -'General Info'!$B$43 + 1)) + 'General Info'!$B$43 - 1, 0)</f>
        <v>98842.021776275273</v>
      </c>
      <c r="AI81" s="99" t="str">
        <f>IF(ISERROR(MATCH(SamplingData[[#This Row],[Batch by Type (p)]],SelectedPrecincts[Batch Name], 0)), "", INDEX(SelectedPrecincts[Draw], MATCH(SamplingData[[#This Row],[Batch by Type (p)]],SelectedPrecincts[Batch Name], 0)))</f>
        <v/>
      </c>
      <c r="AJ81" s="100">
        <f>IF(COUNTIF(SelectedPrecincts[Batch Name],SamplingData[[#This Row],[Batch by Type (p)]]) &lt;&gt; 0, COUNTIF(SelectedPrecincts[Batch Name],SamplingData[[#This Row],[Batch by Type (p)]]), 0)</f>
        <v>0</v>
      </c>
    </row>
    <row r="82" spans="1:36" ht="15" customHeight="1" x14ac:dyDescent="0.35">
      <c r="A82" s="97" t="s">
        <v>295</v>
      </c>
      <c r="B82" s="97">
        <v>76</v>
      </c>
      <c r="C82" s="97">
        <v>17</v>
      </c>
      <c r="D82" s="92"/>
      <c r="E82" s="92"/>
      <c r="F82" s="92"/>
      <c r="G82" s="96"/>
      <c r="H82" s="96"/>
      <c r="I82" s="92"/>
      <c r="J82" s="92"/>
      <c r="K82" s="92"/>
      <c r="L82" s="92"/>
      <c r="M82" s="92"/>
      <c r="N82" s="97">
        <v>0</v>
      </c>
      <c r="O82" s="97">
        <v>4</v>
      </c>
      <c r="P82" s="98">
        <f>SUM(SamplingData[[#This Row],[Winning Candidate]:[Under Votes]])</f>
        <v>97</v>
      </c>
      <c r="Q82" s="99">
        <f>IF(AND(SamplingData[[#This Row],[Total]]&lt;&gt; 0, NOT(ISBLANK(SamplingData[[#This Row],[Losing Candidate]]))),(SamplingData[[#This Row],[Total]]+SamplingData[[#This Row],[Winning Candidate]]-SamplingData[[#This Row],[Losing Candidate]])/(SamplingData[[#Totals],[Winning Candidate]]-SamplingData[[#Totals],[Losing Candidate]]), 0)</f>
        <v>6.6202682057375662E-3</v>
      </c>
      <c r="R82" s="99">
        <f>IF(AND(SamplingData[[#This Row],[Total]]&lt;&gt; 0, NOT(ISBLANK(SamplingData[[#This Row],[Candidate 3]]))),(SamplingData[[#This Row],[Total]]+SamplingData[[#This Row],[Winning Candidate]]-SamplingData[[#This Row],[Candidate 3]])/(SamplingData[[#Totals],[Winning Candidate]]-SamplingData[[#Totals],[Candidate 3]]), 0)</f>
        <v>0</v>
      </c>
      <c r="S82" s="99">
        <f>IF(AND(SamplingData[[#This Row],[Total]]&lt;&gt; 0, NOT(ISBLANK(SamplingData[[#This Row],[Candidate 4]]))),(SamplingData[[#This Row],[Total]]+SamplingData[[#This Row],[Winning Candidate]]-SamplingData[[#This Row],[Candidate 4]])/(SamplingData[[#Totals],[Winning Candidate]]-SamplingData[[#Totals],[Candidate 4]]), 0)</f>
        <v>0</v>
      </c>
      <c r="T82" s="99">
        <f>IF(AND(SamplingData[[#This Row],[Total]]&lt;&gt; 0, NOT(ISBLANK(SamplingData[[#This Row],[Candidate 5]]))),(SamplingData[[#This Row],[Total]]+SamplingData[[#This Row],[Winning Candidate]]-SamplingData[[#This Row],[Candidate 5]])/(SamplingData[[#Totals],[Winning Candidate]]-SamplingData[[#Totals],[Candidate 5]]), 0)</f>
        <v>0</v>
      </c>
      <c r="U82" s="99">
        <f>IF(AND(SamplingData[[#This Row],[Total]]&lt;&gt; 0, NOT(ISBLANK(SamplingData[[#This Row],[Candidate 6]]))),(SamplingData[[#This Row],[Total]]+SamplingData[[#This Row],[Losing Candidate]]-SamplingData[[#This Row],[Candidate 6]])/(SamplingData[[#Totals],[Winning Candidate]]-SamplingData[[#Totals],[Candidate 6]]), 0)</f>
        <v>0</v>
      </c>
      <c r="V82" s="99">
        <f>IF(AND(SamplingData[[#This Row],[Total]]&lt;&gt; 0, NOT(ISBLANK(SamplingData[[#This Row],[Candidate 7]]))),(SamplingData[[#This Row],[Total]]+SamplingData[[#This Row],[Winning Candidate]]-SamplingData[[#This Row],[Candidate 7]])/(SamplingData[[#Totals],[Winning Candidate]]-SamplingData[[#Totals],[Candidate 7]]), 0)</f>
        <v>0</v>
      </c>
      <c r="W82" s="99">
        <f>IF(AND(SamplingData[[#This Row],[Total]]&lt;&gt; 0, NOT(ISBLANK(SamplingData[[#This Row],[Candidate 8]]))),(SamplingData[[#This Row],[Total]]+SamplingData[[#This Row],[Winning Candidate]]-SamplingData[[#This Row],[Candidate 8]])/(SamplingData[[#Totals],[Winning Candidate]]-SamplingData[[#Totals],[Candidate 8]]), 0)</f>
        <v>0</v>
      </c>
      <c r="X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 s="99">
        <f>MAX(SamplingData[[#This Row],[Error Bound (up) - Max. possible relative overstatement - Losing Candidate]:[Error Bound (up) - Max. possible relative overstatement - Candidate 12]])</f>
        <v>6.6202682057375662E-3</v>
      </c>
      <c r="AC82" s="99">
        <f>IF(SamplingData[[#This Row],[Max Error Bound (up)]] = 0,0,SamplingData[[#This Row],[Max Error Bound (up)]]/SamplingData[[#Totals],[Max Error Bound (up)]])</f>
        <v>3.5445522957792611E-4</v>
      </c>
      <c r="AD82" s="103">
        <f>SUM($AC$5:AC82)</f>
        <v>9.9197477005853199E-2</v>
      </c>
      <c r="AE82" s="99" t="str" cm="1">
        <f t="array" ref="AE82">IF(SamplingData[[#This Row],[up/U Selection Probability]] = 0, "Zero", TEXT(SamplingData[[#This Row],[Lower Range]], REPT("0",LEN('General Info'!$B$42))) &amp; " - " &amp; TEXT(SamplingData[[#This Row],[Upper Range]], REPT("0",LEN('General Info'!$B$42))))</f>
        <v>098843 - 099196</v>
      </c>
      <c r="AF82" s="99">
        <f>SamplingData[[#This Row],[Upper Range]]-SamplingData[[#This Row],[Span]]</f>
        <v>98843.021776275273</v>
      </c>
      <c r="AG82" s="99">
        <f>IF(ISNUMBER('General Info'!$B$42), ((SamplingData[[#This Row],[up/U Selection Probability]]) * 'General Info'!$B$44) - 1, 0)</f>
        <v>353.4552295779261</v>
      </c>
      <c r="AH82" s="99">
        <f>IF(ISNUMBER('General Info'!$B$42), (SamplingData[[#This Row],[Running (cumulative) sum]] * ('General Info'!$B$42 -'General Info'!$B$43 + 1)) + 'General Info'!$B$43 - 1, 0)</f>
        <v>99196.477005853201</v>
      </c>
      <c r="AI82" s="99" t="str">
        <f>IF(ISERROR(MATCH(SamplingData[[#This Row],[Batch by Type (p)]],SelectedPrecincts[Batch Name], 0)), "", INDEX(SelectedPrecincts[Draw], MATCH(SamplingData[[#This Row],[Batch by Type (p)]],SelectedPrecincts[Batch Name], 0)))</f>
        <v/>
      </c>
      <c r="AJ82" s="100">
        <f>IF(COUNTIF(SelectedPrecincts[Batch Name],SamplingData[[#This Row],[Batch by Type (p)]]) &lt;&gt; 0, COUNTIF(SelectedPrecincts[Batch Name],SamplingData[[#This Row],[Batch by Type (p)]]), 0)</f>
        <v>0</v>
      </c>
    </row>
    <row r="83" spans="1:36" ht="15" customHeight="1" x14ac:dyDescent="0.35">
      <c r="A83" s="97" t="s">
        <v>296</v>
      </c>
      <c r="B83" s="97">
        <v>21</v>
      </c>
      <c r="C83" s="97">
        <v>5</v>
      </c>
      <c r="D83" s="92"/>
      <c r="E83" s="92"/>
      <c r="F83" s="92"/>
      <c r="G83" s="96"/>
      <c r="H83" s="96"/>
      <c r="I83" s="92"/>
      <c r="J83" s="92"/>
      <c r="K83" s="92"/>
      <c r="L83" s="92"/>
      <c r="M83" s="92"/>
      <c r="N83" s="97">
        <v>0</v>
      </c>
      <c r="O83" s="97">
        <v>2</v>
      </c>
      <c r="P83" s="98">
        <f>SUM(SamplingData[[#This Row],[Winning Candidate]:[Under Votes]])</f>
        <v>28</v>
      </c>
      <c r="Q83" s="99">
        <f>IF(AND(SamplingData[[#This Row],[Total]]&lt;&gt; 0, NOT(ISBLANK(SamplingData[[#This Row],[Losing Candidate]]))),(SamplingData[[#This Row],[Total]]+SamplingData[[#This Row],[Winning Candidate]]-SamplingData[[#This Row],[Losing Candidate]])/(SamplingData[[#Totals],[Winning Candidate]]-SamplingData[[#Totals],[Losing Candidate]]), 0)</f>
        <v>1.867255134951621E-3</v>
      </c>
      <c r="R83" s="99">
        <f>IF(AND(SamplingData[[#This Row],[Total]]&lt;&gt; 0, NOT(ISBLANK(SamplingData[[#This Row],[Candidate 3]]))),(SamplingData[[#This Row],[Total]]+SamplingData[[#This Row],[Winning Candidate]]-SamplingData[[#This Row],[Candidate 3]])/(SamplingData[[#Totals],[Winning Candidate]]-SamplingData[[#Totals],[Candidate 3]]), 0)</f>
        <v>0</v>
      </c>
      <c r="S83" s="99">
        <f>IF(AND(SamplingData[[#This Row],[Total]]&lt;&gt; 0, NOT(ISBLANK(SamplingData[[#This Row],[Candidate 4]]))),(SamplingData[[#This Row],[Total]]+SamplingData[[#This Row],[Winning Candidate]]-SamplingData[[#This Row],[Candidate 4]])/(SamplingData[[#Totals],[Winning Candidate]]-SamplingData[[#Totals],[Candidate 4]]), 0)</f>
        <v>0</v>
      </c>
      <c r="T83" s="99">
        <f>IF(AND(SamplingData[[#This Row],[Total]]&lt;&gt; 0, NOT(ISBLANK(SamplingData[[#This Row],[Candidate 5]]))),(SamplingData[[#This Row],[Total]]+SamplingData[[#This Row],[Winning Candidate]]-SamplingData[[#This Row],[Candidate 5]])/(SamplingData[[#Totals],[Winning Candidate]]-SamplingData[[#Totals],[Candidate 5]]), 0)</f>
        <v>0</v>
      </c>
      <c r="U83" s="99">
        <f>IF(AND(SamplingData[[#This Row],[Total]]&lt;&gt; 0, NOT(ISBLANK(SamplingData[[#This Row],[Candidate 6]]))),(SamplingData[[#This Row],[Total]]+SamplingData[[#This Row],[Losing Candidate]]-SamplingData[[#This Row],[Candidate 6]])/(SamplingData[[#Totals],[Winning Candidate]]-SamplingData[[#Totals],[Candidate 6]]), 0)</f>
        <v>0</v>
      </c>
      <c r="V83" s="99">
        <f>IF(AND(SamplingData[[#This Row],[Total]]&lt;&gt; 0, NOT(ISBLANK(SamplingData[[#This Row],[Candidate 7]]))),(SamplingData[[#This Row],[Total]]+SamplingData[[#This Row],[Winning Candidate]]-SamplingData[[#This Row],[Candidate 7]])/(SamplingData[[#Totals],[Winning Candidate]]-SamplingData[[#Totals],[Candidate 7]]), 0)</f>
        <v>0</v>
      </c>
      <c r="W83" s="99">
        <f>IF(AND(SamplingData[[#This Row],[Total]]&lt;&gt; 0, NOT(ISBLANK(SamplingData[[#This Row],[Candidate 8]]))),(SamplingData[[#This Row],[Total]]+SamplingData[[#This Row],[Winning Candidate]]-SamplingData[[#This Row],[Candidate 8]])/(SamplingData[[#Totals],[Winning Candidate]]-SamplingData[[#Totals],[Candidate 8]]), 0)</f>
        <v>0</v>
      </c>
      <c r="X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 s="99">
        <f>MAX(SamplingData[[#This Row],[Error Bound (up) - Max. possible relative overstatement - Losing Candidate]:[Error Bound (up) - Max. possible relative overstatement - Candidate 12]])</f>
        <v>1.867255134951621E-3</v>
      </c>
      <c r="AC83" s="99">
        <f>IF(SamplingData[[#This Row],[Max Error Bound (up)]] = 0,0,SamplingData[[#This Row],[Max Error Bound (up)]]/SamplingData[[#Totals],[Max Error Bound (up)]])</f>
        <v>9.9974551932235554E-5</v>
      </c>
      <c r="AD83" s="103">
        <f>SUM($AC$5:AC83)</f>
        <v>9.9297451557785438E-2</v>
      </c>
      <c r="AE83" s="99" t="str" cm="1">
        <f t="array" ref="AE83">IF(SamplingData[[#This Row],[up/U Selection Probability]] = 0, "Zero", TEXT(SamplingData[[#This Row],[Lower Range]], REPT("0",LEN('General Info'!$B$42))) &amp; " - " &amp; TEXT(SamplingData[[#This Row],[Upper Range]], REPT("0",LEN('General Info'!$B$42))))</f>
        <v>099197 - 099296</v>
      </c>
      <c r="AF83" s="99">
        <f>SamplingData[[#This Row],[Upper Range]]-SamplingData[[#This Row],[Span]]</f>
        <v>99197.477005853201</v>
      </c>
      <c r="AG83" s="99">
        <f>IF(ISNUMBER('General Info'!$B$42), ((SamplingData[[#This Row],[up/U Selection Probability]]) * 'General Info'!$B$44) - 1, 0)</f>
        <v>98.974551932235556</v>
      </c>
      <c r="AH83" s="99">
        <f>IF(ISNUMBER('General Info'!$B$42), (SamplingData[[#This Row],[Running (cumulative) sum]] * ('General Info'!$B$42 -'General Info'!$B$43 + 1)) + 'General Info'!$B$43 - 1, 0)</f>
        <v>99296.451557785433</v>
      </c>
      <c r="AI83" s="99" t="str">
        <f>IF(ISERROR(MATCH(SamplingData[[#This Row],[Batch by Type (p)]],SelectedPrecincts[Batch Name], 0)), "", INDEX(SelectedPrecincts[Draw], MATCH(SamplingData[[#This Row],[Batch by Type (p)]],SelectedPrecincts[Batch Name], 0)))</f>
        <v/>
      </c>
      <c r="AJ83" s="100">
        <f>IF(COUNTIF(SelectedPrecincts[Batch Name],SamplingData[[#This Row],[Batch by Type (p)]]) &lt;&gt; 0, COUNTIF(SelectedPrecincts[Batch Name],SamplingData[[#This Row],[Batch by Type (p)]]), 0)</f>
        <v>0</v>
      </c>
    </row>
    <row r="84" spans="1:36" ht="15" customHeight="1" x14ac:dyDescent="0.35">
      <c r="A84" s="97" t="s">
        <v>297</v>
      </c>
      <c r="B84" s="97">
        <v>145</v>
      </c>
      <c r="C84" s="97">
        <v>19</v>
      </c>
      <c r="D84" s="92"/>
      <c r="E84" s="92"/>
      <c r="F84" s="92"/>
      <c r="G84" s="96"/>
      <c r="H84" s="96"/>
      <c r="I84" s="92"/>
      <c r="J84" s="92"/>
      <c r="K84" s="92"/>
      <c r="L84" s="92"/>
      <c r="M84" s="92"/>
      <c r="N84" s="97">
        <v>0</v>
      </c>
      <c r="O84" s="97">
        <v>14</v>
      </c>
      <c r="P84" s="98">
        <f>SUM(SamplingData[[#This Row],[Winning Candidate]:[Under Votes]])</f>
        <v>178</v>
      </c>
      <c r="Q84" s="99">
        <f>IF(AND(SamplingData[[#This Row],[Total]]&lt;&gt; 0, NOT(ISBLANK(SamplingData[[#This Row],[Losing Candidate]]))),(SamplingData[[#This Row],[Total]]+SamplingData[[#This Row],[Winning Candidate]]-SamplingData[[#This Row],[Losing Candidate]])/(SamplingData[[#Totals],[Winning Candidate]]-SamplingData[[#Totals],[Losing Candidate]]), 0)</f>
        <v>1.2901035477847564E-2</v>
      </c>
      <c r="R84" s="99">
        <f>IF(AND(SamplingData[[#This Row],[Total]]&lt;&gt; 0, NOT(ISBLANK(SamplingData[[#This Row],[Candidate 3]]))),(SamplingData[[#This Row],[Total]]+SamplingData[[#This Row],[Winning Candidate]]-SamplingData[[#This Row],[Candidate 3]])/(SamplingData[[#Totals],[Winning Candidate]]-SamplingData[[#Totals],[Candidate 3]]), 0)</f>
        <v>0</v>
      </c>
      <c r="S84" s="99">
        <f>IF(AND(SamplingData[[#This Row],[Total]]&lt;&gt; 0, NOT(ISBLANK(SamplingData[[#This Row],[Candidate 4]]))),(SamplingData[[#This Row],[Total]]+SamplingData[[#This Row],[Winning Candidate]]-SamplingData[[#This Row],[Candidate 4]])/(SamplingData[[#Totals],[Winning Candidate]]-SamplingData[[#Totals],[Candidate 4]]), 0)</f>
        <v>0</v>
      </c>
      <c r="T84" s="99">
        <f>IF(AND(SamplingData[[#This Row],[Total]]&lt;&gt; 0, NOT(ISBLANK(SamplingData[[#This Row],[Candidate 5]]))),(SamplingData[[#This Row],[Total]]+SamplingData[[#This Row],[Winning Candidate]]-SamplingData[[#This Row],[Candidate 5]])/(SamplingData[[#Totals],[Winning Candidate]]-SamplingData[[#Totals],[Candidate 5]]), 0)</f>
        <v>0</v>
      </c>
      <c r="U84" s="99">
        <f>IF(AND(SamplingData[[#This Row],[Total]]&lt;&gt; 0, NOT(ISBLANK(SamplingData[[#This Row],[Candidate 6]]))),(SamplingData[[#This Row],[Total]]+SamplingData[[#This Row],[Losing Candidate]]-SamplingData[[#This Row],[Candidate 6]])/(SamplingData[[#Totals],[Winning Candidate]]-SamplingData[[#Totals],[Candidate 6]]), 0)</f>
        <v>0</v>
      </c>
      <c r="V84" s="99">
        <f>IF(AND(SamplingData[[#This Row],[Total]]&lt;&gt; 0, NOT(ISBLANK(SamplingData[[#This Row],[Candidate 7]]))),(SamplingData[[#This Row],[Total]]+SamplingData[[#This Row],[Winning Candidate]]-SamplingData[[#This Row],[Candidate 7]])/(SamplingData[[#Totals],[Winning Candidate]]-SamplingData[[#Totals],[Candidate 7]]), 0)</f>
        <v>0</v>
      </c>
      <c r="W84" s="99">
        <f>IF(AND(SamplingData[[#This Row],[Total]]&lt;&gt; 0, NOT(ISBLANK(SamplingData[[#This Row],[Candidate 8]]))),(SamplingData[[#This Row],[Total]]+SamplingData[[#This Row],[Winning Candidate]]-SamplingData[[#This Row],[Candidate 8]])/(SamplingData[[#Totals],[Winning Candidate]]-SamplingData[[#Totals],[Candidate 8]]), 0)</f>
        <v>0</v>
      </c>
      <c r="X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 s="99">
        <f>MAX(SamplingData[[#This Row],[Error Bound (up) - Max. possible relative overstatement - Losing Candidate]:[Error Bound (up) - Max. possible relative overstatement - Candidate 12]])</f>
        <v>1.2901035477847564E-2</v>
      </c>
      <c r="AC84" s="99">
        <f>IF(SamplingData[[#This Row],[Max Error Bound (up)]] = 0,0,SamplingData[[#This Row],[Max Error Bound (up)]]/SamplingData[[#Totals],[Max Error Bound (up)]])</f>
        <v>6.9073326789544564E-4</v>
      </c>
      <c r="AD84" s="103">
        <f>SUM($AC$5:AC84)</f>
        <v>9.9988184825680879E-2</v>
      </c>
      <c r="AE84" s="99" t="str" cm="1">
        <f t="array" ref="AE84">IF(SamplingData[[#This Row],[up/U Selection Probability]] = 0, "Zero", TEXT(SamplingData[[#This Row],[Lower Range]], REPT("0",LEN('General Info'!$B$42))) &amp; " - " &amp; TEXT(SamplingData[[#This Row],[Upper Range]], REPT("0",LEN('General Info'!$B$42))))</f>
        <v>099297 - 099987</v>
      </c>
      <c r="AF84" s="99">
        <f>SamplingData[[#This Row],[Upper Range]]-SamplingData[[#This Row],[Span]]</f>
        <v>99297.451557785433</v>
      </c>
      <c r="AG84" s="99">
        <f>IF(ISNUMBER('General Info'!$B$42), ((SamplingData[[#This Row],[up/U Selection Probability]]) * 'General Info'!$B$44) - 1, 0)</f>
        <v>689.73326789544569</v>
      </c>
      <c r="AH84" s="99">
        <f>IF(ISNUMBER('General Info'!$B$42), (SamplingData[[#This Row],[Running (cumulative) sum]] * ('General Info'!$B$42 -'General Info'!$B$43 + 1)) + 'General Info'!$B$43 - 1, 0)</f>
        <v>99987.184825680873</v>
      </c>
      <c r="AI84" s="99" t="str">
        <f>IF(ISERROR(MATCH(SamplingData[[#This Row],[Batch by Type (p)]],SelectedPrecincts[Batch Name], 0)), "", INDEX(SelectedPrecincts[Draw], MATCH(SamplingData[[#This Row],[Batch by Type (p)]],SelectedPrecincts[Batch Name], 0)))</f>
        <v/>
      </c>
      <c r="AJ84" s="100">
        <f>IF(COUNTIF(SelectedPrecincts[Batch Name],SamplingData[[#This Row],[Batch by Type (p)]]) &lt;&gt; 0, COUNTIF(SelectedPrecincts[Batch Name],SamplingData[[#This Row],[Batch by Type (p)]]), 0)</f>
        <v>0</v>
      </c>
    </row>
    <row r="85" spans="1:36" ht="15" customHeight="1" x14ac:dyDescent="0.35">
      <c r="A85" s="97" t="s">
        <v>298</v>
      </c>
      <c r="B85" s="97">
        <v>218</v>
      </c>
      <c r="C85" s="97">
        <v>58</v>
      </c>
      <c r="D85" s="92"/>
      <c r="E85" s="92"/>
      <c r="F85" s="92"/>
      <c r="G85" s="96"/>
      <c r="H85" s="96"/>
      <c r="I85" s="92"/>
      <c r="J85" s="92"/>
      <c r="K85" s="92"/>
      <c r="L85" s="92"/>
      <c r="M85" s="92"/>
      <c r="N85" s="97">
        <v>1</v>
      </c>
      <c r="O85" s="97">
        <v>22</v>
      </c>
      <c r="P85" s="98">
        <f>SUM(SamplingData[[#This Row],[Winning Candidate]:[Under Votes]])</f>
        <v>299</v>
      </c>
      <c r="Q85" s="99">
        <f>IF(AND(SamplingData[[#This Row],[Total]]&lt;&gt; 0, NOT(ISBLANK(SamplingData[[#This Row],[Losing Candidate]]))),(SamplingData[[#This Row],[Total]]+SamplingData[[#This Row],[Winning Candidate]]-SamplingData[[#This Row],[Losing Candidate]])/(SamplingData[[#Totals],[Winning Candidate]]-SamplingData[[#Totals],[Losing Candidate]]), 0)</f>
        <v>1.9478866066881685E-2</v>
      </c>
      <c r="R85" s="99">
        <f>IF(AND(SamplingData[[#This Row],[Total]]&lt;&gt; 0, NOT(ISBLANK(SamplingData[[#This Row],[Candidate 3]]))),(SamplingData[[#This Row],[Total]]+SamplingData[[#This Row],[Winning Candidate]]-SamplingData[[#This Row],[Candidate 3]])/(SamplingData[[#Totals],[Winning Candidate]]-SamplingData[[#Totals],[Candidate 3]]), 0)</f>
        <v>0</v>
      </c>
      <c r="S85" s="99">
        <f>IF(AND(SamplingData[[#This Row],[Total]]&lt;&gt; 0, NOT(ISBLANK(SamplingData[[#This Row],[Candidate 4]]))),(SamplingData[[#This Row],[Total]]+SamplingData[[#This Row],[Winning Candidate]]-SamplingData[[#This Row],[Candidate 4]])/(SamplingData[[#Totals],[Winning Candidate]]-SamplingData[[#Totals],[Candidate 4]]), 0)</f>
        <v>0</v>
      </c>
      <c r="T85" s="99">
        <f>IF(AND(SamplingData[[#This Row],[Total]]&lt;&gt; 0, NOT(ISBLANK(SamplingData[[#This Row],[Candidate 5]]))),(SamplingData[[#This Row],[Total]]+SamplingData[[#This Row],[Winning Candidate]]-SamplingData[[#This Row],[Candidate 5]])/(SamplingData[[#Totals],[Winning Candidate]]-SamplingData[[#Totals],[Candidate 5]]), 0)</f>
        <v>0</v>
      </c>
      <c r="U85" s="99">
        <f>IF(AND(SamplingData[[#This Row],[Total]]&lt;&gt; 0, NOT(ISBLANK(SamplingData[[#This Row],[Candidate 6]]))),(SamplingData[[#This Row],[Total]]+SamplingData[[#This Row],[Losing Candidate]]-SamplingData[[#This Row],[Candidate 6]])/(SamplingData[[#Totals],[Winning Candidate]]-SamplingData[[#Totals],[Candidate 6]]), 0)</f>
        <v>0</v>
      </c>
      <c r="V85" s="99">
        <f>IF(AND(SamplingData[[#This Row],[Total]]&lt;&gt; 0, NOT(ISBLANK(SamplingData[[#This Row],[Candidate 7]]))),(SamplingData[[#This Row],[Total]]+SamplingData[[#This Row],[Winning Candidate]]-SamplingData[[#This Row],[Candidate 7]])/(SamplingData[[#Totals],[Winning Candidate]]-SamplingData[[#Totals],[Candidate 7]]), 0)</f>
        <v>0</v>
      </c>
      <c r="W85" s="99">
        <f>IF(AND(SamplingData[[#This Row],[Total]]&lt;&gt; 0, NOT(ISBLANK(SamplingData[[#This Row],[Candidate 8]]))),(SamplingData[[#This Row],[Total]]+SamplingData[[#This Row],[Winning Candidate]]-SamplingData[[#This Row],[Candidate 8]])/(SamplingData[[#Totals],[Winning Candidate]]-SamplingData[[#Totals],[Candidate 8]]), 0)</f>
        <v>0</v>
      </c>
      <c r="X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 s="99">
        <f>MAX(SamplingData[[#This Row],[Error Bound (up) - Max. possible relative overstatement - Losing Candidate]:[Error Bound (up) - Max. possible relative overstatement - Candidate 12]])</f>
        <v>1.9478866066881685E-2</v>
      </c>
      <c r="AC85" s="99">
        <f>IF(SamplingData[[#This Row],[Max Error Bound (up)]] = 0,0,SamplingData[[#This Row],[Max Error Bound (up)]]/SamplingData[[#Totals],[Max Error Bound (up)]])</f>
        <v>1.042916348565821E-3</v>
      </c>
      <c r="AD85" s="103">
        <f>SUM($AC$5:AC85)</f>
        <v>0.1010311011742467</v>
      </c>
      <c r="AE85" s="99" t="str" cm="1">
        <f t="array" ref="AE85">IF(SamplingData[[#This Row],[up/U Selection Probability]] = 0, "Zero", TEXT(SamplingData[[#This Row],[Lower Range]], REPT("0",LEN('General Info'!$B$42))) &amp; " - " &amp; TEXT(SamplingData[[#This Row],[Upper Range]], REPT("0",LEN('General Info'!$B$42))))</f>
        <v>099988 - 101030</v>
      </c>
      <c r="AF85" s="99">
        <f>SamplingData[[#This Row],[Upper Range]]-SamplingData[[#This Row],[Span]]</f>
        <v>99988.184825680873</v>
      </c>
      <c r="AG85" s="99">
        <f>IF(ISNUMBER('General Info'!$B$42), ((SamplingData[[#This Row],[up/U Selection Probability]]) * 'General Info'!$B$44) - 1, 0)</f>
        <v>1041.916348565821</v>
      </c>
      <c r="AH85" s="99">
        <f>IF(ISNUMBER('General Info'!$B$42), (SamplingData[[#This Row],[Running (cumulative) sum]] * ('General Info'!$B$42 -'General Info'!$B$43 + 1)) + 'General Info'!$B$43 - 1, 0)</f>
        <v>101030.10117424669</v>
      </c>
      <c r="AI85" s="99" t="str">
        <f>IF(ISERROR(MATCH(SamplingData[[#This Row],[Batch by Type (p)]],SelectedPrecincts[Batch Name], 0)), "", INDEX(SelectedPrecincts[Draw], MATCH(SamplingData[[#This Row],[Batch by Type (p)]],SelectedPrecincts[Batch Name], 0)))</f>
        <v/>
      </c>
      <c r="AJ85" s="100">
        <f>IF(COUNTIF(SelectedPrecincts[Batch Name],SamplingData[[#This Row],[Batch by Type (p)]]) &lt;&gt; 0, COUNTIF(SelectedPrecincts[Batch Name],SamplingData[[#This Row],[Batch by Type (p)]]), 0)</f>
        <v>0</v>
      </c>
    </row>
    <row r="86" spans="1:36" ht="15" customHeight="1" x14ac:dyDescent="0.35">
      <c r="A86" s="97" t="s">
        <v>299</v>
      </c>
      <c r="B86" s="97">
        <v>93</v>
      </c>
      <c r="C86" s="97">
        <v>13</v>
      </c>
      <c r="D86" s="92"/>
      <c r="E86" s="92"/>
      <c r="F86" s="92"/>
      <c r="G86" s="96"/>
      <c r="H86" s="96"/>
      <c r="I86" s="92"/>
      <c r="J86" s="92"/>
      <c r="K86" s="92"/>
      <c r="L86" s="92"/>
      <c r="M86" s="92"/>
      <c r="N86" s="97">
        <v>0</v>
      </c>
      <c r="O86" s="97">
        <v>13</v>
      </c>
      <c r="P86" s="98">
        <f>SUM(SamplingData[[#This Row],[Winning Candidate]:[Under Votes]])</f>
        <v>119</v>
      </c>
      <c r="Q86" s="99">
        <f>IF(AND(SamplingData[[#This Row],[Total]]&lt;&gt; 0, NOT(ISBLANK(SamplingData[[#This Row],[Losing Candidate]]))),(SamplingData[[#This Row],[Total]]+SamplingData[[#This Row],[Winning Candidate]]-SamplingData[[#This Row],[Losing Candidate]])/(SamplingData[[#Totals],[Winning Candidate]]-SamplingData[[#Totals],[Losing Candidate]]), 0)</f>
        <v>8.4450857239857409E-3</v>
      </c>
      <c r="R86" s="99">
        <f>IF(AND(SamplingData[[#This Row],[Total]]&lt;&gt; 0, NOT(ISBLANK(SamplingData[[#This Row],[Candidate 3]]))),(SamplingData[[#This Row],[Total]]+SamplingData[[#This Row],[Winning Candidate]]-SamplingData[[#This Row],[Candidate 3]])/(SamplingData[[#Totals],[Winning Candidate]]-SamplingData[[#Totals],[Candidate 3]]), 0)</f>
        <v>0</v>
      </c>
      <c r="S86" s="99">
        <f>IF(AND(SamplingData[[#This Row],[Total]]&lt;&gt; 0, NOT(ISBLANK(SamplingData[[#This Row],[Candidate 4]]))),(SamplingData[[#This Row],[Total]]+SamplingData[[#This Row],[Winning Candidate]]-SamplingData[[#This Row],[Candidate 4]])/(SamplingData[[#Totals],[Winning Candidate]]-SamplingData[[#Totals],[Candidate 4]]), 0)</f>
        <v>0</v>
      </c>
      <c r="T86" s="99">
        <f>IF(AND(SamplingData[[#This Row],[Total]]&lt;&gt; 0, NOT(ISBLANK(SamplingData[[#This Row],[Candidate 5]]))),(SamplingData[[#This Row],[Total]]+SamplingData[[#This Row],[Winning Candidate]]-SamplingData[[#This Row],[Candidate 5]])/(SamplingData[[#Totals],[Winning Candidate]]-SamplingData[[#Totals],[Candidate 5]]), 0)</f>
        <v>0</v>
      </c>
      <c r="U86" s="99">
        <f>IF(AND(SamplingData[[#This Row],[Total]]&lt;&gt; 0, NOT(ISBLANK(SamplingData[[#This Row],[Candidate 6]]))),(SamplingData[[#This Row],[Total]]+SamplingData[[#This Row],[Losing Candidate]]-SamplingData[[#This Row],[Candidate 6]])/(SamplingData[[#Totals],[Winning Candidate]]-SamplingData[[#Totals],[Candidate 6]]), 0)</f>
        <v>0</v>
      </c>
      <c r="V86" s="99">
        <f>IF(AND(SamplingData[[#This Row],[Total]]&lt;&gt; 0, NOT(ISBLANK(SamplingData[[#This Row],[Candidate 7]]))),(SamplingData[[#This Row],[Total]]+SamplingData[[#This Row],[Winning Candidate]]-SamplingData[[#This Row],[Candidate 7]])/(SamplingData[[#Totals],[Winning Candidate]]-SamplingData[[#Totals],[Candidate 7]]), 0)</f>
        <v>0</v>
      </c>
      <c r="W86" s="99">
        <f>IF(AND(SamplingData[[#This Row],[Total]]&lt;&gt; 0, NOT(ISBLANK(SamplingData[[#This Row],[Candidate 8]]))),(SamplingData[[#This Row],[Total]]+SamplingData[[#This Row],[Winning Candidate]]-SamplingData[[#This Row],[Candidate 8]])/(SamplingData[[#Totals],[Winning Candidate]]-SamplingData[[#Totals],[Candidate 8]]), 0)</f>
        <v>0</v>
      </c>
      <c r="X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 s="99">
        <f>MAX(SamplingData[[#This Row],[Error Bound (up) - Max. possible relative overstatement - Losing Candidate]:[Error Bound (up) - Max. possible relative overstatement - Candidate 12]])</f>
        <v>8.4450857239857409E-3</v>
      </c>
      <c r="AC86" s="99">
        <f>IF(SamplingData[[#This Row],[Max Error Bound (up)]] = 0,0,SamplingData[[#This Row],[Max Error Bound (up)]]/SamplingData[[#Totals],[Max Error Bound (up)]])</f>
        <v>4.5215763260261083E-4</v>
      </c>
      <c r="AD86" s="103">
        <f>SUM($AC$5:AC86)</f>
        <v>0.1014832588068493</v>
      </c>
      <c r="AE86" s="99" t="str" cm="1">
        <f t="array" ref="AE86">IF(SamplingData[[#This Row],[up/U Selection Probability]] = 0, "Zero", TEXT(SamplingData[[#This Row],[Lower Range]], REPT("0",LEN('General Info'!$B$42))) &amp; " - " &amp; TEXT(SamplingData[[#This Row],[Upper Range]], REPT("0",LEN('General Info'!$B$42))))</f>
        <v>101031 - 101482</v>
      </c>
      <c r="AF86" s="99">
        <f>SamplingData[[#This Row],[Upper Range]]-SamplingData[[#This Row],[Span]]</f>
        <v>101031.10117424669</v>
      </c>
      <c r="AG86" s="99">
        <f>IF(ISNUMBER('General Info'!$B$42), ((SamplingData[[#This Row],[up/U Selection Probability]]) * 'General Info'!$B$44) - 1, 0)</f>
        <v>451.15763260261082</v>
      </c>
      <c r="AH86" s="99">
        <f>IF(ISNUMBER('General Info'!$B$42), (SamplingData[[#This Row],[Running (cumulative) sum]] * ('General Info'!$B$42 -'General Info'!$B$43 + 1)) + 'General Info'!$B$43 - 1, 0)</f>
        <v>101482.25880684931</v>
      </c>
      <c r="AI86" s="99" t="str">
        <f>IF(ISERROR(MATCH(SamplingData[[#This Row],[Batch by Type (p)]],SelectedPrecincts[Batch Name], 0)), "", INDEX(SelectedPrecincts[Draw], MATCH(SamplingData[[#This Row],[Batch by Type (p)]],SelectedPrecincts[Batch Name], 0)))</f>
        <v/>
      </c>
      <c r="AJ86" s="100">
        <f>IF(COUNTIF(SelectedPrecincts[Batch Name],SamplingData[[#This Row],[Batch by Type (p)]]) &lt;&gt; 0, COUNTIF(SelectedPrecincts[Batch Name],SamplingData[[#This Row],[Batch by Type (p)]]), 0)</f>
        <v>0</v>
      </c>
    </row>
    <row r="87" spans="1:36" ht="15" customHeight="1" x14ac:dyDescent="0.35">
      <c r="A87" s="97" t="s">
        <v>300</v>
      </c>
      <c r="B87" s="97">
        <v>176</v>
      </c>
      <c r="C87" s="97">
        <v>10</v>
      </c>
      <c r="D87" s="92"/>
      <c r="E87" s="92"/>
      <c r="F87" s="92"/>
      <c r="G87" s="96"/>
      <c r="H87" s="96"/>
      <c r="I87" s="92"/>
      <c r="J87" s="92"/>
      <c r="K87" s="92"/>
      <c r="L87" s="92"/>
      <c r="M87" s="92"/>
      <c r="N87" s="97">
        <v>0</v>
      </c>
      <c r="O87" s="97">
        <v>14</v>
      </c>
      <c r="P87" s="98">
        <f>SUM(SamplingData[[#This Row],[Winning Candidate]:[Under Votes]])</f>
        <v>200</v>
      </c>
      <c r="Q87" s="99">
        <f>IF(AND(SamplingData[[#This Row],[Total]]&lt;&gt; 0, NOT(ISBLANK(SamplingData[[#This Row],[Losing Candidate]]))),(SamplingData[[#This Row],[Total]]+SamplingData[[#This Row],[Winning Candidate]]-SamplingData[[#This Row],[Losing Candidate]])/(SamplingData[[#Totals],[Winning Candidate]]-SamplingData[[#Totals],[Losing Candidate]]), 0)</f>
        <v>1.5532167713461211E-2</v>
      </c>
      <c r="R87" s="99">
        <f>IF(AND(SamplingData[[#This Row],[Total]]&lt;&gt; 0, NOT(ISBLANK(SamplingData[[#This Row],[Candidate 3]]))),(SamplingData[[#This Row],[Total]]+SamplingData[[#This Row],[Winning Candidate]]-SamplingData[[#This Row],[Candidate 3]])/(SamplingData[[#Totals],[Winning Candidate]]-SamplingData[[#Totals],[Candidate 3]]), 0)</f>
        <v>0</v>
      </c>
      <c r="S87" s="99">
        <f>IF(AND(SamplingData[[#This Row],[Total]]&lt;&gt; 0, NOT(ISBLANK(SamplingData[[#This Row],[Candidate 4]]))),(SamplingData[[#This Row],[Total]]+SamplingData[[#This Row],[Winning Candidate]]-SamplingData[[#This Row],[Candidate 4]])/(SamplingData[[#Totals],[Winning Candidate]]-SamplingData[[#Totals],[Candidate 4]]), 0)</f>
        <v>0</v>
      </c>
      <c r="T87" s="99">
        <f>IF(AND(SamplingData[[#This Row],[Total]]&lt;&gt; 0, NOT(ISBLANK(SamplingData[[#This Row],[Candidate 5]]))),(SamplingData[[#This Row],[Total]]+SamplingData[[#This Row],[Winning Candidate]]-SamplingData[[#This Row],[Candidate 5]])/(SamplingData[[#Totals],[Winning Candidate]]-SamplingData[[#Totals],[Candidate 5]]), 0)</f>
        <v>0</v>
      </c>
      <c r="U87" s="99">
        <f>IF(AND(SamplingData[[#This Row],[Total]]&lt;&gt; 0, NOT(ISBLANK(SamplingData[[#This Row],[Candidate 6]]))),(SamplingData[[#This Row],[Total]]+SamplingData[[#This Row],[Losing Candidate]]-SamplingData[[#This Row],[Candidate 6]])/(SamplingData[[#Totals],[Winning Candidate]]-SamplingData[[#Totals],[Candidate 6]]), 0)</f>
        <v>0</v>
      </c>
      <c r="V87" s="99">
        <f>IF(AND(SamplingData[[#This Row],[Total]]&lt;&gt; 0, NOT(ISBLANK(SamplingData[[#This Row],[Candidate 7]]))),(SamplingData[[#This Row],[Total]]+SamplingData[[#This Row],[Winning Candidate]]-SamplingData[[#This Row],[Candidate 7]])/(SamplingData[[#Totals],[Winning Candidate]]-SamplingData[[#Totals],[Candidate 7]]), 0)</f>
        <v>0</v>
      </c>
      <c r="W87" s="99">
        <f>IF(AND(SamplingData[[#This Row],[Total]]&lt;&gt; 0, NOT(ISBLANK(SamplingData[[#This Row],[Candidate 8]]))),(SamplingData[[#This Row],[Total]]+SamplingData[[#This Row],[Winning Candidate]]-SamplingData[[#This Row],[Candidate 8]])/(SamplingData[[#Totals],[Winning Candidate]]-SamplingData[[#Totals],[Candidate 8]]), 0)</f>
        <v>0</v>
      </c>
      <c r="X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 s="99">
        <f>MAX(SamplingData[[#This Row],[Error Bound (up) - Max. possible relative overstatement - Losing Candidate]:[Error Bound (up) - Max. possible relative overstatement - Candidate 12]])</f>
        <v>1.5532167713461211E-2</v>
      </c>
      <c r="AC87" s="99">
        <f>IF(SamplingData[[#This Row],[Max Error Bound (up)]] = 0,0,SamplingData[[#This Row],[Max Error Bound (up)]]/SamplingData[[#Totals],[Max Error Bound (up)]])</f>
        <v>8.316065001635958E-4</v>
      </c>
      <c r="AD87" s="103">
        <f>SUM($AC$5:AC87)</f>
        <v>0.10231486530701289</v>
      </c>
      <c r="AE87" s="99" t="str" cm="1">
        <f t="array" ref="AE87">IF(SamplingData[[#This Row],[up/U Selection Probability]] = 0, "Zero", TEXT(SamplingData[[#This Row],[Lower Range]], REPT("0",LEN('General Info'!$B$42))) &amp; " - " &amp; TEXT(SamplingData[[#This Row],[Upper Range]], REPT("0",LEN('General Info'!$B$42))))</f>
        <v>101483 - 102314</v>
      </c>
      <c r="AF87" s="99">
        <f>SamplingData[[#This Row],[Upper Range]]-SamplingData[[#This Row],[Span]]</f>
        <v>101483.25880684929</v>
      </c>
      <c r="AG87" s="99">
        <f>IF(ISNUMBER('General Info'!$B$42), ((SamplingData[[#This Row],[up/U Selection Probability]]) * 'General Info'!$B$44) - 1, 0)</f>
        <v>830.6065001635958</v>
      </c>
      <c r="AH87" s="99">
        <f>IF(ISNUMBER('General Info'!$B$42), (SamplingData[[#This Row],[Running (cumulative) sum]] * ('General Info'!$B$42 -'General Info'!$B$43 + 1)) + 'General Info'!$B$43 - 1, 0)</f>
        <v>102313.86530701289</v>
      </c>
      <c r="AI87" s="99" t="str">
        <f>IF(ISERROR(MATCH(SamplingData[[#This Row],[Batch by Type (p)]],SelectedPrecincts[Batch Name], 0)), "", INDEX(SelectedPrecincts[Draw], MATCH(SamplingData[[#This Row],[Batch by Type (p)]],SelectedPrecincts[Batch Name], 0)))</f>
        <v/>
      </c>
      <c r="AJ87" s="100">
        <f>IF(COUNTIF(SelectedPrecincts[Batch Name],SamplingData[[#This Row],[Batch by Type (p)]]) &lt;&gt; 0, COUNTIF(SelectedPrecincts[Batch Name],SamplingData[[#This Row],[Batch by Type (p)]]), 0)</f>
        <v>0</v>
      </c>
    </row>
    <row r="88" spans="1:36" ht="15" customHeight="1" x14ac:dyDescent="0.35">
      <c r="A88" s="97" t="s">
        <v>301</v>
      </c>
      <c r="B88" s="97">
        <v>257</v>
      </c>
      <c r="C88" s="97">
        <v>42</v>
      </c>
      <c r="D88" s="92"/>
      <c r="E88" s="92"/>
      <c r="F88" s="92"/>
      <c r="G88" s="96"/>
      <c r="H88" s="96"/>
      <c r="I88" s="92"/>
      <c r="J88" s="92"/>
      <c r="K88" s="92"/>
      <c r="L88" s="92"/>
      <c r="M88" s="92"/>
      <c r="N88" s="97">
        <v>0</v>
      </c>
      <c r="O88" s="97">
        <v>10</v>
      </c>
      <c r="P88" s="98">
        <f>SUM(SamplingData[[#This Row],[Winning Candidate]:[Under Votes]])</f>
        <v>309</v>
      </c>
      <c r="Q88" s="99">
        <f>IF(AND(SamplingData[[#This Row],[Total]]&lt;&gt; 0, NOT(ISBLANK(SamplingData[[#This Row],[Losing Candidate]]))),(SamplingData[[#This Row],[Total]]+SamplingData[[#This Row],[Winning Candidate]]-SamplingData[[#This Row],[Losing Candidate]])/(SamplingData[[#Totals],[Winning Candidate]]-SamplingData[[#Totals],[Losing Candidate]]), 0)</f>
        <v>2.223731115260567E-2</v>
      </c>
      <c r="R88" s="99">
        <f>IF(AND(SamplingData[[#This Row],[Total]]&lt;&gt; 0, NOT(ISBLANK(SamplingData[[#This Row],[Candidate 3]]))),(SamplingData[[#This Row],[Total]]+SamplingData[[#This Row],[Winning Candidate]]-SamplingData[[#This Row],[Candidate 3]])/(SamplingData[[#Totals],[Winning Candidate]]-SamplingData[[#Totals],[Candidate 3]]), 0)</f>
        <v>0</v>
      </c>
      <c r="S88" s="99">
        <f>IF(AND(SamplingData[[#This Row],[Total]]&lt;&gt; 0, NOT(ISBLANK(SamplingData[[#This Row],[Candidate 4]]))),(SamplingData[[#This Row],[Total]]+SamplingData[[#This Row],[Winning Candidate]]-SamplingData[[#This Row],[Candidate 4]])/(SamplingData[[#Totals],[Winning Candidate]]-SamplingData[[#Totals],[Candidate 4]]), 0)</f>
        <v>0</v>
      </c>
      <c r="T88" s="99">
        <f>IF(AND(SamplingData[[#This Row],[Total]]&lt;&gt; 0, NOT(ISBLANK(SamplingData[[#This Row],[Candidate 5]]))),(SamplingData[[#This Row],[Total]]+SamplingData[[#This Row],[Winning Candidate]]-SamplingData[[#This Row],[Candidate 5]])/(SamplingData[[#Totals],[Winning Candidate]]-SamplingData[[#Totals],[Candidate 5]]), 0)</f>
        <v>0</v>
      </c>
      <c r="U88" s="99">
        <f>IF(AND(SamplingData[[#This Row],[Total]]&lt;&gt; 0, NOT(ISBLANK(SamplingData[[#This Row],[Candidate 6]]))),(SamplingData[[#This Row],[Total]]+SamplingData[[#This Row],[Losing Candidate]]-SamplingData[[#This Row],[Candidate 6]])/(SamplingData[[#Totals],[Winning Candidate]]-SamplingData[[#Totals],[Candidate 6]]), 0)</f>
        <v>0</v>
      </c>
      <c r="V88" s="99">
        <f>IF(AND(SamplingData[[#This Row],[Total]]&lt;&gt; 0, NOT(ISBLANK(SamplingData[[#This Row],[Candidate 7]]))),(SamplingData[[#This Row],[Total]]+SamplingData[[#This Row],[Winning Candidate]]-SamplingData[[#This Row],[Candidate 7]])/(SamplingData[[#Totals],[Winning Candidate]]-SamplingData[[#Totals],[Candidate 7]]), 0)</f>
        <v>0</v>
      </c>
      <c r="W88" s="99">
        <f>IF(AND(SamplingData[[#This Row],[Total]]&lt;&gt; 0, NOT(ISBLANK(SamplingData[[#This Row],[Candidate 8]]))),(SamplingData[[#This Row],[Total]]+SamplingData[[#This Row],[Winning Candidate]]-SamplingData[[#This Row],[Candidate 8]])/(SamplingData[[#Totals],[Winning Candidate]]-SamplingData[[#Totals],[Candidate 8]]), 0)</f>
        <v>0</v>
      </c>
      <c r="X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 s="99">
        <f>MAX(SamplingData[[#This Row],[Error Bound (up) - Max. possible relative overstatement - Losing Candidate]:[Error Bound (up) - Max. possible relative overstatement - Candidate 12]])</f>
        <v>2.223731115260567E-2</v>
      </c>
      <c r="AC88" s="99">
        <f>IF(SamplingData[[#This Row],[Max Error Bound (up)]] = 0,0,SamplingData[[#This Row],[Max Error Bound (up)]]/SamplingData[[#Totals],[Max Error Bound (up)]])</f>
        <v>1.1906060275566235E-3</v>
      </c>
      <c r="AD88" s="103">
        <f>SUM($AC$5:AC88)</f>
        <v>0.10350547133456951</v>
      </c>
      <c r="AE88" s="99" t="str" cm="1">
        <f t="array" ref="AE88">IF(SamplingData[[#This Row],[up/U Selection Probability]] = 0, "Zero", TEXT(SamplingData[[#This Row],[Lower Range]], REPT("0",LEN('General Info'!$B$42))) &amp; " - " &amp; TEXT(SamplingData[[#This Row],[Upper Range]], REPT("0",LEN('General Info'!$B$42))))</f>
        <v>102315 - 103504</v>
      </c>
      <c r="AF88" s="99">
        <f>SamplingData[[#This Row],[Upper Range]]-SamplingData[[#This Row],[Span]]</f>
        <v>102314.86530701288</v>
      </c>
      <c r="AG88" s="99">
        <f>IF(ISNUMBER('General Info'!$B$42), ((SamplingData[[#This Row],[up/U Selection Probability]]) * 'General Info'!$B$44) - 1, 0)</f>
        <v>1189.6060275566235</v>
      </c>
      <c r="AH88" s="99">
        <f>IF(ISNUMBER('General Info'!$B$42), (SamplingData[[#This Row],[Running (cumulative) sum]] * ('General Info'!$B$42 -'General Info'!$B$43 + 1)) + 'General Info'!$B$43 - 1, 0)</f>
        <v>103504.47133456951</v>
      </c>
      <c r="AI88" s="99" t="str">
        <f>IF(ISERROR(MATCH(SamplingData[[#This Row],[Batch by Type (p)]],SelectedPrecincts[Batch Name], 0)), "", INDEX(SelectedPrecincts[Draw], MATCH(SamplingData[[#This Row],[Batch by Type (p)]],SelectedPrecincts[Batch Name], 0)))</f>
        <v/>
      </c>
      <c r="AJ88" s="100">
        <f>IF(COUNTIF(SelectedPrecincts[Batch Name],SamplingData[[#This Row],[Batch by Type (p)]]) &lt;&gt; 0, COUNTIF(SelectedPrecincts[Batch Name],SamplingData[[#This Row],[Batch by Type (p)]]), 0)</f>
        <v>0</v>
      </c>
    </row>
    <row r="89" spans="1:36" ht="15" customHeight="1" x14ac:dyDescent="0.35">
      <c r="A89" s="97" t="s">
        <v>302</v>
      </c>
      <c r="B89" s="97">
        <v>170</v>
      </c>
      <c r="C89" s="97">
        <v>13</v>
      </c>
      <c r="D89" s="92"/>
      <c r="E89" s="92"/>
      <c r="F89" s="92"/>
      <c r="G89" s="96"/>
      <c r="H89" s="96"/>
      <c r="I89" s="92"/>
      <c r="J89" s="92"/>
      <c r="K89" s="92"/>
      <c r="L89" s="92"/>
      <c r="M89" s="92"/>
      <c r="N89" s="97">
        <v>0</v>
      </c>
      <c r="O89" s="97">
        <v>10</v>
      </c>
      <c r="P89" s="98">
        <f>SUM(SamplingData[[#This Row],[Winning Candidate]:[Under Votes]])</f>
        <v>193</v>
      </c>
      <c r="Q89" s="99">
        <f>IF(AND(SamplingData[[#This Row],[Total]]&lt;&gt; 0, NOT(ISBLANK(SamplingData[[#This Row],[Losing Candidate]]))),(SamplingData[[#This Row],[Total]]+SamplingData[[#This Row],[Winning Candidate]]-SamplingData[[#This Row],[Losing Candidate]])/(SamplingData[[#Totals],[Winning Candidate]]-SamplingData[[#Totals],[Losing Candidate]]), 0)</f>
        <v>1.4853165846206077E-2</v>
      </c>
      <c r="R89" s="99">
        <f>IF(AND(SamplingData[[#This Row],[Total]]&lt;&gt; 0, NOT(ISBLANK(SamplingData[[#This Row],[Candidate 3]]))),(SamplingData[[#This Row],[Total]]+SamplingData[[#This Row],[Winning Candidate]]-SamplingData[[#This Row],[Candidate 3]])/(SamplingData[[#Totals],[Winning Candidate]]-SamplingData[[#Totals],[Candidate 3]]), 0)</f>
        <v>0</v>
      </c>
      <c r="S89" s="99">
        <f>IF(AND(SamplingData[[#This Row],[Total]]&lt;&gt; 0, NOT(ISBLANK(SamplingData[[#This Row],[Candidate 4]]))),(SamplingData[[#This Row],[Total]]+SamplingData[[#This Row],[Winning Candidate]]-SamplingData[[#This Row],[Candidate 4]])/(SamplingData[[#Totals],[Winning Candidate]]-SamplingData[[#Totals],[Candidate 4]]), 0)</f>
        <v>0</v>
      </c>
      <c r="T89" s="99">
        <f>IF(AND(SamplingData[[#This Row],[Total]]&lt;&gt; 0, NOT(ISBLANK(SamplingData[[#This Row],[Candidate 5]]))),(SamplingData[[#This Row],[Total]]+SamplingData[[#This Row],[Winning Candidate]]-SamplingData[[#This Row],[Candidate 5]])/(SamplingData[[#Totals],[Winning Candidate]]-SamplingData[[#Totals],[Candidate 5]]), 0)</f>
        <v>0</v>
      </c>
      <c r="U89" s="99">
        <f>IF(AND(SamplingData[[#This Row],[Total]]&lt;&gt; 0, NOT(ISBLANK(SamplingData[[#This Row],[Candidate 6]]))),(SamplingData[[#This Row],[Total]]+SamplingData[[#This Row],[Losing Candidate]]-SamplingData[[#This Row],[Candidate 6]])/(SamplingData[[#Totals],[Winning Candidate]]-SamplingData[[#Totals],[Candidate 6]]), 0)</f>
        <v>0</v>
      </c>
      <c r="V89" s="99">
        <f>IF(AND(SamplingData[[#This Row],[Total]]&lt;&gt; 0, NOT(ISBLANK(SamplingData[[#This Row],[Candidate 7]]))),(SamplingData[[#This Row],[Total]]+SamplingData[[#This Row],[Winning Candidate]]-SamplingData[[#This Row],[Candidate 7]])/(SamplingData[[#Totals],[Winning Candidate]]-SamplingData[[#Totals],[Candidate 7]]), 0)</f>
        <v>0</v>
      </c>
      <c r="W89" s="99">
        <f>IF(AND(SamplingData[[#This Row],[Total]]&lt;&gt; 0, NOT(ISBLANK(SamplingData[[#This Row],[Candidate 8]]))),(SamplingData[[#This Row],[Total]]+SamplingData[[#This Row],[Winning Candidate]]-SamplingData[[#This Row],[Candidate 8]])/(SamplingData[[#Totals],[Winning Candidate]]-SamplingData[[#Totals],[Candidate 8]]), 0)</f>
        <v>0</v>
      </c>
      <c r="X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 s="99">
        <f>MAX(SamplingData[[#This Row],[Error Bound (up) - Max. possible relative overstatement - Losing Candidate]:[Error Bound (up) - Max. possible relative overstatement - Candidate 12]])</f>
        <v>1.4853165846206077E-2</v>
      </c>
      <c r="AC89" s="99">
        <f>IF(SamplingData[[#This Row],[Max Error Bound (up)]] = 0,0,SamplingData[[#This Row],[Max Error Bound (up)]]/SamplingData[[#Totals],[Max Error Bound (up)]])</f>
        <v>7.9525211764278287E-4</v>
      </c>
      <c r="AD89" s="103">
        <f>SUM($AC$5:AC89)</f>
        <v>0.10430072345221229</v>
      </c>
      <c r="AE89" s="99" t="str" cm="1">
        <f t="array" ref="AE89">IF(SamplingData[[#This Row],[up/U Selection Probability]] = 0, "Zero", TEXT(SamplingData[[#This Row],[Lower Range]], REPT("0",LEN('General Info'!$B$42))) &amp; " - " &amp; TEXT(SamplingData[[#This Row],[Upper Range]], REPT("0",LEN('General Info'!$B$42))))</f>
        <v>103505 - 104300</v>
      </c>
      <c r="AF89" s="99">
        <f>SamplingData[[#This Row],[Upper Range]]-SamplingData[[#This Row],[Span]]</f>
        <v>103505.47133456951</v>
      </c>
      <c r="AG89" s="99">
        <f>IF(ISNUMBER('General Info'!$B$42), ((SamplingData[[#This Row],[up/U Selection Probability]]) * 'General Info'!$B$44) - 1, 0)</f>
        <v>794.25211764278288</v>
      </c>
      <c r="AH89" s="99">
        <f>IF(ISNUMBER('General Info'!$B$42), (SamplingData[[#This Row],[Running (cumulative) sum]] * ('General Info'!$B$42 -'General Info'!$B$43 + 1)) + 'General Info'!$B$43 - 1, 0)</f>
        <v>104299.72345221229</v>
      </c>
      <c r="AI89" s="99" t="str">
        <f>IF(ISERROR(MATCH(SamplingData[[#This Row],[Batch by Type (p)]],SelectedPrecincts[Batch Name], 0)), "", INDEX(SelectedPrecincts[Draw], MATCH(SamplingData[[#This Row],[Batch by Type (p)]],SelectedPrecincts[Batch Name], 0)))</f>
        <v/>
      </c>
      <c r="AJ89" s="100">
        <f>IF(COUNTIF(SelectedPrecincts[Batch Name],SamplingData[[#This Row],[Batch by Type (p)]]) &lt;&gt; 0, COUNTIF(SelectedPrecincts[Batch Name],SamplingData[[#This Row],[Batch by Type (p)]]), 0)</f>
        <v>0</v>
      </c>
    </row>
    <row r="90" spans="1:36" ht="15" customHeight="1" x14ac:dyDescent="0.35">
      <c r="A90" s="97" t="s">
        <v>303</v>
      </c>
      <c r="B90" s="97">
        <v>262</v>
      </c>
      <c r="C90" s="97">
        <v>27</v>
      </c>
      <c r="D90" s="92"/>
      <c r="E90" s="92"/>
      <c r="F90" s="92"/>
      <c r="G90" s="96"/>
      <c r="H90" s="96"/>
      <c r="I90" s="92"/>
      <c r="J90" s="92"/>
      <c r="K90" s="92"/>
      <c r="L90" s="92"/>
      <c r="M90" s="92"/>
      <c r="N90" s="97">
        <v>1</v>
      </c>
      <c r="O90" s="97">
        <v>12</v>
      </c>
      <c r="P90" s="98">
        <f>SUM(SamplingData[[#This Row],[Winning Candidate]:[Under Votes]])</f>
        <v>302</v>
      </c>
      <c r="Q90" s="99">
        <f>IF(AND(SamplingData[[#This Row],[Total]]&lt;&gt; 0, NOT(ISBLANK(SamplingData[[#This Row],[Losing Candidate]]))),(SamplingData[[#This Row],[Total]]+SamplingData[[#This Row],[Winning Candidate]]-SamplingData[[#This Row],[Losing Candidate]])/(SamplingData[[#Totals],[Winning Candidate]]-SamplingData[[#Totals],[Losing Candidate]]), 0)</f>
        <v>2.2789000169750467E-2</v>
      </c>
      <c r="R90" s="99">
        <f>IF(AND(SamplingData[[#This Row],[Total]]&lt;&gt; 0, NOT(ISBLANK(SamplingData[[#This Row],[Candidate 3]]))),(SamplingData[[#This Row],[Total]]+SamplingData[[#This Row],[Winning Candidate]]-SamplingData[[#This Row],[Candidate 3]])/(SamplingData[[#Totals],[Winning Candidate]]-SamplingData[[#Totals],[Candidate 3]]), 0)</f>
        <v>0</v>
      </c>
      <c r="S90" s="99">
        <f>IF(AND(SamplingData[[#This Row],[Total]]&lt;&gt; 0, NOT(ISBLANK(SamplingData[[#This Row],[Candidate 4]]))),(SamplingData[[#This Row],[Total]]+SamplingData[[#This Row],[Winning Candidate]]-SamplingData[[#This Row],[Candidate 4]])/(SamplingData[[#Totals],[Winning Candidate]]-SamplingData[[#Totals],[Candidate 4]]), 0)</f>
        <v>0</v>
      </c>
      <c r="T90" s="99">
        <f>IF(AND(SamplingData[[#This Row],[Total]]&lt;&gt; 0, NOT(ISBLANK(SamplingData[[#This Row],[Candidate 5]]))),(SamplingData[[#This Row],[Total]]+SamplingData[[#This Row],[Winning Candidate]]-SamplingData[[#This Row],[Candidate 5]])/(SamplingData[[#Totals],[Winning Candidate]]-SamplingData[[#Totals],[Candidate 5]]), 0)</f>
        <v>0</v>
      </c>
      <c r="U90" s="99">
        <f>IF(AND(SamplingData[[#This Row],[Total]]&lt;&gt; 0, NOT(ISBLANK(SamplingData[[#This Row],[Candidate 6]]))),(SamplingData[[#This Row],[Total]]+SamplingData[[#This Row],[Losing Candidate]]-SamplingData[[#This Row],[Candidate 6]])/(SamplingData[[#Totals],[Winning Candidate]]-SamplingData[[#Totals],[Candidate 6]]), 0)</f>
        <v>0</v>
      </c>
      <c r="V90" s="99">
        <f>IF(AND(SamplingData[[#This Row],[Total]]&lt;&gt; 0, NOT(ISBLANK(SamplingData[[#This Row],[Candidate 7]]))),(SamplingData[[#This Row],[Total]]+SamplingData[[#This Row],[Winning Candidate]]-SamplingData[[#This Row],[Candidate 7]])/(SamplingData[[#Totals],[Winning Candidate]]-SamplingData[[#Totals],[Candidate 7]]), 0)</f>
        <v>0</v>
      </c>
      <c r="W90" s="99">
        <f>IF(AND(SamplingData[[#This Row],[Total]]&lt;&gt; 0, NOT(ISBLANK(SamplingData[[#This Row],[Candidate 8]]))),(SamplingData[[#This Row],[Total]]+SamplingData[[#This Row],[Winning Candidate]]-SamplingData[[#This Row],[Candidate 8]])/(SamplingData[[#Totals],[Winning Candidate]]-SamplingData[[#Totals],[Candidate 8]]), 0)</f>
        <v>0</v>
      </c>
      <c r="X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 s="99">
        <f>MAX(SamplingData[[#This Row],[Error Bound (up) - Max. possible relative overstatement - Losing Candidate]:[Error Bound (up) - Max. possible relative overstatement - Candidate 12]])</f>
        <v>2.2789000169750467E-2</v>
      </c>
      <c r="AC90" s="99">
        <f>IF(SamplingData[[#This Row],[Max Error Bound (up)]] = 0,0,SamplingData[[#This Row],[Max Error Bound (up)]]/SamplingData[[#Totals],[Max Error Bound (up)]])</f>
        <v>1.2201439633547841E-3</v>
      </c>
      <c r="AD90" s="103">
        <f>SUM($AC$5:AC90)</f>
        <v>0.10552086741556707</v>
      </c>
      <c r="AE90" s="99" t="str" cm="1">
        <f t="array" ref="AE90">IF(SamplingData[[#This Row],[up/U Selection Probability]] = 0, "Zero", TEXT(SamplingData[[#This Row],[Lower Range]], REPT("0",LEN('General Info'!$B$42))) &amp; " - " &amp; TEXT(SamplingData[[#This Row],[Upper Range]], REPT("0",LEN('General Info'!$B$42))))</f>
        <v>104301 - 105520</v>
      </c>
      <c r="AF90" s="99">
        <f>SamplingData[[#This Row],[Upper Range]]-SamplingData[[#This Row],[Span]]</f>
        <v>104300.72345221229</v>
      </c>
      <c r="AG90" s="99">
        <f>IF(ISNUMBER('General Info'!$B$42), ((SamplingData[[#This Row],[up/U Selection Probability]]) * 'General Info'!$B$44) - 1, 0)</f>
        <v>1219.1439633547841</v>
      </c>
      <c r="AH90" s="99">
        <f>IF(ISNUMBER('General Info'!$B$42), (SamplingData[[#This Row],[Running (cumulative) sum]] * ('General Info'!$B$42 -'General Info'!$B$43 + 1)) + 'General Info'!$B$43 - 1, 0)</f>
        <v>105519.86741556707</v>
      </c>
      <c r="AI90" s="99" t="str">
        <f>IF(ISERROR(MATCH(SamplingData[[#This Row],[Batch by Type (p)]],SelectedPrecincts[Batch Name], 0)), "", INDEX(SelectedPrecincts[Draw], MATCH(SamplingData[[#This Row],[Batch by Type (p)]],SelectedPrecincts[Batch Name], 0)))</f>
        <v/>
      </c>
      <c r="AJ90" s="100">
        <f>IF(COUNTIF(SelectedPrecincts[Batch Name],SamplingData[[#This Row],[Batch by Type (p)]]) &lt;&gt; 0, COUNTIF(SelectedPrecincts[Batch Name],SamplingData[[#This Row],[Batch by Type (p)]]), 0)</f>
        <v>0</v>
      </c>
    </row>
    <row r="91" spans="1:36" ht="15" customHeight="1" x14ac:dyDescent="0.35">
      <c r="A91" s="97" t="s">
        <v>304</v>
      </c>
      <c r="B91" s="97">
        <v>564</v>
      </c>
      <c r="C91" s="97">
        <v>77</v>
      </c>
      <c r="D91" s="92"/>
      <c r="E91" s="92"/>
      <c r="F91" s="92"/>
      <c r="G91" s="96"/>
      <c r="H91" s="96"/>
      <c r="I91" s="92"/>
      <c r="J91" s="92"/>
      <c r="K91" s="92"/>
      <c r="L91" s="92"/>
      <c r="M91" s="92"/>
      <c r="N91" s="97">
        <v>0</v>
      </c>
      <c r="O91" s="97">
        <v>33</v>
      </c>
      <c r="P91" s="98">
        <f>SUM(SamplingData[[#This Row],[Winning Candidate]:[Under Votes]])</f>
        <v>674</v>
      </c>
      <c r="Q91" s="99">
        <f>IF(AND(SamplingData[[#This Row],[Total]]&lt;&gt; 0, NOT(ISBLANK(SamplingData[[#This Row],[Losing Candidate]]))),(SamplingData[[#This Row],[Total]]+SamplingData[[#This Row],[Winning Candidate]]-SamplingData[[#This Row],[Losing Candidate]])/(SamplingData[[#Totals],[Winning Candidate]]-SamplingData[[#Totals],[Losing Candidate]]), 0)</f>
        <v>4.9270072992700732E-2</v>
      </c>
      <c r="R91" s="99">
        <f>IF(AND(SamplingData[[#This Row],[Total]]&lt;&gt; 0, NOT(ISBLANK(SamplingData[[#This Row],[Candidate 3]]))),(SamplingData[[#This Row],[Total]]+SamplingData[[#This Row],[Winning Candidate]]-SamplingData[[#This Row],[Candidate 3]])/(SamplingData[[#Totals],[Winning Candidate]]-SamplingData[[#Totals],[Candidate 3]]), 0)</f>
        <v>0</v>
      </c>
      <c r="S91" s="99">
        <f>IF(AND(SamplingData[[#This Row],[Total]]&lt;&gt; 0, NOT(ISBLANK(SamplingData[[#This Row],[Candidate 4]]))),(SamplingData[[#This Row],[Total]]+SamplingData[[#This Row],[Winning Candidate]]-SamplingData[[#This Row],[Candidate 4]])/(SamplingData[[#Totals],[Winning Candidate]]-SamplingData[[#Totals],[Candidate 4]]), 0)</f>
        <v>0</v>
      </c>
      <c r="T91" s="99">
        <f>IF(AND(SamplingData[[#This Row],[Total]]&lt;&gt; 0, NOT(ISBLANK(SamplingData[[#This Row],[Candidate 5]]))),(SamplingData[[#This Row],[Total]]+SamplingData[[#This Row],[Winning Candidate]]-SamplingData[[#This Row],[Candidate 5]])/(SamplingData[[#Totals],[Winning Candidate]]-SamplingData[[#Totals],[Candidate 5]]), 0)</f>
        <v>0</v>
      </c>
      <c r="U91" s="99">
        <f>IF(AND(SamplingData[[#This Row],[Total]]&lt;&gt; 0, NOT(ISBLANK(SamplingData[[#This Row],[Candidate 6]]))),(SamplingData[[#This Row],[Total]]+SamplingData[[#This Row],[Losing Candidate]]-SamplingData[[#This Row],[Candidate 6]])/(SamplingData[[#Totals],[Winning Candidate]]-SamplingData[[#Totals],[Candidate 6]]), 0)</f>
        <v>0</v>
      </c>
      <c r="V91" s="99">
        <f>IF(AND(SamplingData[[#This Row],[Total]]&lt;&gt; 0, NOT(ISBLANK(SamplingData[[#This Row],[Candidate 7]]))),(SamplingData[[#This Row],[Total]]+SamplingData[[#This Row],[Winning Candidate]]-SamplingData[[#This Row],[Candidate 7]])/(SamplingData[[#Totals],[Winning Candidate]]-SamplingData[[#Totals],[Candidate 7]]), 0)</f>
        <v>0</v>
      </c>
      <c r="W91" s="99">
        <f>IF(AND(SamplingData[[#This Row],[Total]]&lt;&gt; 0, NOT(ISBLANK(SamplingData[[#This Row],[Candidate 8]]))),(SamplingData[[#This Row],[Total]]+SamplingData[[#This Row],[Winning Candidate]]-SamplingData[[#This Row],[Candidate 8]])/(SamplingData[[#Totals],[Winning Candidate]]-SamplingData[[#Totals],[Candidate 8]]), 0)</f>
        <v>0</v>
      </c>
      <c r="X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 s="99">
        <f>MAX(SamplingData[[#This Row],[Error Bound (up) - Max. possible relative overstatement - Losing Candidate]:[Error Bound (up) - Max. possible relative overstatement - Candidate 12]])</f>
        <v>4.9270072992700732E-2</v>
      </c>
      <c r="AC91" s="99">
        <f>IF(SamplingData[[#This Row],[Max Error Bound (up)]] = 0,0,SamplingData[[#This Row],[Max Error Bound (up)]]/SamplingData[[#Totals],[Max Error Bound (up)]])</f>
        <v>2.6379648816664885E-3</v>
      </c>
      <c r="AD91" s="103">
        <f>SUM($AC$5:AC91)</f>
        <v>0.10815883229723355</v>
      </c>
      <c r="AE91" s="99" t="str" cm="1">
        <f t="array" ref="AE91">IF(SamplingData[[#This Row],[up/U Selection Probability]] = 0, "Zero", TEXT(SamplingData[[#This Row],[Lower Range]], REPT("0",LEN('General Info'!$B$42))) &amp; " - " &amp; TEXT(SamplingData[[#This Row],[Upper Range]], REPT("0",LEN('General Info'!$B$42))))</f>
        <v>105521 - 108158</v>
      </c>
      <c r="AF91" s="99">
        <f>SamplingData[[#This Row],[Upper Range]]-SamplingData[[#This Row],[Span]]</f>
        <v>105520.86741556707</v>
      </c>
      <c r="AG91" s="99">
        <f>IF(ISNUMBER('General Info'!$B$42), ((SamplingData[[#This Row],[up/U Selection Probability]]) * 'General Info'!$B$44) - 1, 0)</f>
        <v>2636.9648816664885</v>
      </c>
      <c r="AH91" s="99">
        <f>IF(ISNUMBER('General Info'!$B$42), (SamplingData[[#This Row],[Running (cumulative) sum]] * ('General Info'!$B$42 -'General Info'!$B$43 + 1)) + 'General Info'!$B$43 - 1, 0)</f>
        <v>108157.83229723356</v>
      </c>
      <c r="AI91" s="99" t="str">
        <f>IF(ISERROR(MATCH(SamplingData[[#This Row],[Batch by Type (p)]],SelectedPrecincts[Batch Name], 0)), "", INDEX(SelectedPrecincts[Draw], MATCH(SamplingData[[#This Row],[Batch by Type (p)]],SelectedPrecincts[Batch Name], 0)))</f>
        <v/>
      </c>
      <c r="AJ91" s="100">
        <f>IF(COUNTIF(SelectedPrecincts[Batch Name],SamplingData[[#This Row],[Batch by Type (p)]]) &lt;&gt; 0, COUNTIF(SelectedPrecincts[Batch Name],SamplingData[[#This Row],[Batch by Type (p)]]), 0)</f>
        <v>0</v>
      </c>
    </row>
    <row r="92" spans="1:36" ht="15" customHeight="1" x14ac:dyDescent="0.35">
      <c r="A92" s="97" t="s">
        <v>305</v>
      </c>
      <c r="B92" s="97">
        <v>360</v>
      </c>
      <c r="C92" s="97">
        <v>37</v>
      </c>
      <c r="D92" s="92"/>
      <c r="E92" s="92"/>
      <c r="F92" s="92"/>
      <c r="G92" s="96"/>
      <c r="H92" s="96"/>
      <c r="I92" s="92"/>
      <c r="J92" s="92"/>
      <c r="K92" s="92"/>
      <c r="L92" s="92"/>
      <c r="M92" s="92"/>
      <c r="N92" s="97">
        <v>1</v>
      </c>
      <c r="O92" s="97">
        <v>13</v>
      </c>
      <c r="P92" s="98">
        <f>SUM(SamplingData[[#This Row],[Winning Candidate]:[Under Votes]])</f>
        <v>411</v>
      </c>
      <c r="Q92" s="99">
        <f>IF(AND(SamplingData[[#This Row],[Total]]&lt;&gt; 0, NOT(ISBLANK(SamplingData[[#This Row],[Losing Candidate]]))),(SamplingData[[#This Row],[Total]]+SamplingData[[#This Row],[Winning Candidate]]-SamplingData[[#This Row],[Losing Candidate]])/(SamplingData[[#Totals],[Winning Candidate]]-SamplingData[[#Totals],[Losing Candidate]]), 0)</f>
        <v>3.1149210660329316E-2</v>
      </c>
      <c r="R92" s="99">
        <f>IF(AND(SamplingData[[#This Row],[Total]]&lt;&gt; 0, NOT(ISBLANK(SamplingData[[#This Row],[Candidate 3]]))),(SamplingData[[#This Row],[Total]]+SamplingData[[#This Row],[Winning Candidate]]-SamplingData[[#This Row],[Candidate 3]])/(SamplingData[[#Totals],[Winning Candidate]]-SamplingData[[#Totals],[Candidate 3]]), 0)</f>
        <v>0</v>
      </c>
      <c r="S92" s="99">
        <f>IF(AND(SamplingData[[#This Row],[Total]]&lt;&gt; 0, NOT(ISBLANK(SamplingData[[#This Row],[Candidate 4]]))),(SamplingData[[#This Row],[Total]]+SamplingData[[#This Row],[Winning Candidate]]-SamplingData[[#This Row],[Candidate 4]])/(SamplingData[[#Totals],[Winning Candidate]]-SamplingData[[#Totals],[Candidate 4]]), 0)</f>
        <v>0</v>
      </c>
      <c r="T92" s="99">
        <f>IF(AND(SamplingData[[#This Row],[Total]]&lt;&gt; 0, NOT(ISBLANK(SamplingData[[#This Row],[Candidate 5]]))),(SamplingData[[#This Row],[Total]]+SamplingData[[#This Row],[Winning Candidate]]-SamplingData[[#This Row],[Candidate 5]])/(SamplingData[[#Totals],[Winning Candidate]]-SamplingData[[#Totals],[Candidate 5]]), 0)</f>
        <v>0</v>
      </c>
      <c r="U92" s="99">
        <f>IF(AND(SamplingData[[#This Row],[Total]]&lt;&gt; 0, NOT(ISBLANK(SamplingData[[#This Row],[Candidate 6]]))),(SamplingData[[#This Row],[Total]]+SamplingData[[#This Row],[Losing Candidate]]-SamplingData[[#This Row],[Candidate 6]])/(SamplingData[[#Totals],[Winning Candidate]]-SamplingData[[#Totals],[Candidate 6]]), 0)</f>
        <v>0</v>
      </c>
      <c r="V92" s="99">
        <f>IF(AND(SamplingData[[#This Row],[Total]]&lt;&gt; 0, NOT(ISBLANK(SamplingData[[#This Row],[Candidate 7]]))),(SamplingData[[#This Row],[Total]]+SamplingData[[#This Row],[Winning Candidate]]-SamplingData[[#This Row],[Candidate 7]])/(SamplingData[[#Totals],[Winning Candidate]]-SamplingData[[#Totals],[Candidate 7]]), 0)</f>
        <v>0</v>
      </c>
      <c r="W92" s="99">
        <f>IF(AND(SamplingData[[#This Row],[Total]]&lt;&gt; 0, NOT(ISBLANK(SamplingData[[#This Row],[Candidate 8]]))),(SamplingData[[#This Row],[Total]]+SamplingData[[#This Row],[Winning Candidate]]-SamplingData[[#This Row],[Candidate 8]])/(SamplingData[[#Totals],[Winning Candidate]]-SamplingData[[#Totals],[Candidate 8]]), 0)</f>
        <v>0</v>
      </c>
      <c r="X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 s="99">
        <f>MAX(SamplingData[[#This Row],[Error Bound (up) - Max. possible relative overstatement - Losing Candidate]:[Error Bound (up) - Max. possible relative overstatement - Candidate 12]])</f>
        <v>3.1149210660329316E-2</v>
      </c>
      <c r="AC92" s="99">
        <f>IF(SamplingData[[#This Row],[Max Error Bound (up)]] = 0,0,SamplingData[[#This Row],[Max Error Bound (up)]]/SamplingData[[#Totals],[Max Error Bound (up)]])</f>
        <v>1.6677572981422932E-3</v>
      </c>
      <c r="AD92" s="103">
        <f>SUM($AC$5:AC92)</f>
        <v>0.10982658959537585</v>
      </c>
      <c r="AE92" s="99" t="str" cm="1">
        <f t="array" ref="AE92">IF(SamplingData[[#This Row],[up/U Selection Probability]] = 0, "Zero", TEXT(SamplingData[[#This Row],[Lower Range]], REPT("0",LEN('General Info'!$B$42))) &amp; " - " &amp; TEXT(SamplingData[[#This Row],[Upper Range]], REPT("0",LEN('General Info'!$B$42))))</f>
        <v>108159 - 109826</v>
      </c>
      <c r="AF92" s="99">
        <f>SamplingData[[#This Row],[Upper Range]]-SamplingData[[#This Row],[Span]]</f>
        <v>108158.83229723354</v>
      </c>
      <c r="AG92" s="99">
        <f>IF(ISNUMBER('General Info'!$B$42), ((SamplingData[[#This Row],[up/U Selection Probability]]) * 'General Info'!$B$44) - 1, 0)</f>
        <v>1666.7572981422932</v>
      </c>
      <c r="AH92" s="99">
        <f>IF(ISNUMBER('General Info'!$B$42), (SamplingData[[#This Row],[Running (cumulative) sum]] * ('General Info'!$B$42 -'General Info'!$B$43 + 1)) + 'General Info'!$B$43 - 1, 0)</f>
        <v>109825.58959537584</v>
      </c>
      <c r="AI92" s="99" t="str">
        <f>IF(ISERROR(MATCH(SamplingData[[#This Row],[Batch by Type (p)]],SelectedPrecincts[Batch Name], 0)), "", INDEX(SelectedPrecincts[Draw], MATCH(SamplingData[[#This Row],[Batch by Type (p)]],SelectedPrecincts[Batch Name], 0)))</f>
        <v/>
      </c>
      <c r="AJ92" s="100">
        <f>IF(COUNTIF(SelectedPrecincts[Batch Name],SamplingData[[#This Row],[Batch by Type (p)]]) &lt;&gt; 0, COUNTIF(SelectedPrecincts[Batch Name],SamplingData[[#This Row],[Batch by Type (p)]]), 0)</f>
        <v>0</v>
      </c>
    </row>
    <row r="93" spans="1:36" ht="15" customHeight="1" x14ac:dyDescent="0.35">
      <c r="A93" s="97" t="s">
        <v>306</v>
      </c>
      <c r="B93" s="97">
        <v>225</v>
      </c>
      <c r="C93" s="97">
        <v>21</v>
      </c>
      <c r="D93" s="92"/>
      <c r="E93" s="92"/>
      <c r="F93" s="92"/>
      <c r="G93" s="96"/>
      <c r="H93" s="96"/>
      <c r="I93" s="92"/>
      <c r="J93" s="92"/>
      <c r="K93" s="92"/>
      <c r="L93" s="92"/>
      <c r="M93" s="92"/>
      <c r="N93" s="97">
        <v>0</v>
      </c>
      <c r="O93" s="97">
        <v>11</v>
      </c>
      <c r="P93" s="98">
        <f>SUM(SamplingData[[#This Row],[Winning Candidate]:[Under Votes]])</f>
        <v>257</v>
      </c>
      <c r="Q93" s="99">
        <f>IF(AND(SamplingData[[#This Row],[Total]]&lt;&gt; 0, NOT(ISBLANK(SamplingData[[#This Row],[Losing Candidate]]))),(SamplingData[[#This Row],[Total]]+SamplingData[[#This Row],[Winning Candidate]]-SamplingData[[#This Row],[Losing Candidate]])/(SamplingData[[#Totals],[Winning Candidate]]-SamplingData[[#Totals],[Losing Candidate]]), 0)</f>
        <v>1.9563741300288574E-2</v>
      </c>
      <c r="R93" s="99">
        <f>IF(AND(SamplingData[[#This Row],[Total]]&lt;&gt; 0, NOT(ISBLANK(SamplingData[[#This Row],[Candidate 3]]))),(SamplingData[[#This Row],[Total]]+SamplingData[[#This Row],[Winning Candidate]]-SamplingData[[#This Row],[Candidate 3]])/(SamplingData[[#Totals],[Winning Candidate]]-SamplingData[[#Totals],[Candidate 3]]), 0)</f>
        <v>0</v>
      </c>
      <c r="S93" s="99">
        <f>IF(AND(SamplingData[[#This Row],[Total]]&lt;&gt; 0, NOT(ISBLANK(SamplingData[[#This Row],[Candidate 4]]))),(SamplingData[[#This Row],[Total]]+SamplingData[[#This Row],[Winning Candidate]]-SamplingData[[#This Row],[Candidate 4]])/(SamplingData[[#Totals],[Winning Candidate]]-SamplingData[[#Totals],[Candidate 4]]), 0)</f>
        <v>0</v>
      </c>
      <c r="T93" s="99">
        <f>IF(AND(SamplingData[[#This Row],[Total]]&lt;&gt; 0, NOT(ISBLANK(SamplingData[[#This Row],[Candidate 5]]))),(SamplingData[[#This Row],[Total]]+SamplingData[[#This Row],[Winning Candidate]]-SamplingData[[#This Row],[Candidate 5]])/(SamplingData[[#Totals],[Winning Candidate]]-SamplingData[[#Totals],[Candidate 5]]), 0)</f>
        <v>0</v>
      </c>
      <c r="U93" s="99">
        <f>IF(AND(SamplingData[[#This Row],[Total]]&lt;&gt; 0, NOT(ISBLANK(SamplingData[[#This Row],[Candidate 6]]))),(SamplingData[[#This Row],[Total]]+SamplingData[[#This Row],[Losing Candidate]]-SamplingData[[#This Row],[Candidate 6]])/(SamplingData[[#Totals],[Winning Candidate]]-SamplingData[[#Totals],[Candidate 6]]), 0)</f>
        <v>0</v>
      </c>
      <c r="V93" s="99">
        <f>IF(AND(SamplingData[[#This Row],[Total]]&lt;&gt; 0, NOT(ISBLANK(SamplingData[[#This Row],[Candidate 7]]))),(SamplingData[[#This Row],[Total]]+SamplingData[[#This Row],[Winning Candidate]]-SamplingData[[#This Row],[Candidate 7]])/(SamplingData[[#Totals],[Winning Candidate]]-SamplingData[[#Totals],[Candidate 7]]), 0)</f>
        <v>0</v>
      </c>
      <c r="W93" s="99">
        <f>IF(AND(SamplingData[[#This Row],[Total]]&lt;&gt; 0, NOT(ISBLANK(SamplingData[[#This Row],[Candidate 8]]))),(SamplingData[[#This Row],[Total]]+SamplingData[[#This Row],[Winning Candidate]]-SamplingData[[#This Row],[Candidate 8]])/(SamplingData[[#Totals],[Winning Candidate]]-SamplingData[[#Totals],[Candidate 8]]), 0)</f>
        <v>0</v>
      </c>
      <c r="X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 s="99">
        <f>MAX(SamplingData[[#This Row],[Error Bound (up) - Max. possible relative overstatement - Losing Candidate]:[Error Bound (up) - Max. possible relative overstatement - Candidate 12]])</f>
        <v>1.9563741300288574E-2</v>
      </c>
      <c r="AC93" s="99">
        <f>IF(SamplingData[[#This Row],[Max Error Bound (up)]] = 0,0,SamplingData[[#This Row],[Max Error Bound (up)]]/SamplingData[[#Totals],[Max Error Bound (up)]])</f>
        <v>1.0474606463809226E-3</v>
      </c>
      <c r="AD93" s="103">
        <f>SUM($AC$5:AC93)</f>
        <v>0.11087405024175677</v>
      </c>
      <c r="AE93" s="99" t="str" cm="1">
        <f t="array" ref="AE93">IF(SamplingData[[#This Row],[up/U Selection Probability]] = 0, "Zero", TEXT(SamplingData[[#This Row],[Lower Range]], REPT("0",LEN('General Info'!$B$42))) &amp; " - " &amp; TEXT(SamplingData[[#This Row],[Upper Range]], REPT("0",LEN('General Info'!$B$42))))</f>
        <v>109827 - 110873</v>
      </c>
      <c r="AF93" s="99">
        <f>SamplingData[[#This Row],[Upper Range]]-SamplingData[[#This Row],[Span]]</f>
        <v>109826.58959537584</v>
      </c>
      <c r="AG93" s="99">
        <f>IF(ISNUMBER('General Info'!$B$42), ((SamplingData[[#This Row],[up/U Selection Probability]]) * 'General Info'!$B$44) - 1, 0)</f>
        <v>1046.4606463809225</v>
      </c>
      <c r="AH93" s="99">
        <f>IF(ISNUMBER('General Info'!$B$42), (SamplingData[[#This Row],[Running (cumulative) sum]] * ('General Info'!$B$42 -'General Info'!$B$43 + 1)) + 'General Info'!$B$43 - 1, 0)</f>
        <v>110873.05024175676</v>
      </c>
      <c r="AI93" s="99" t="str">
        <f>IF(ISERROR(MATCH(SamplingData[[#This Row],[Batch by Type (p)]],SelectedPrecincts[Batch Name], 0)), "", INDEX(SelectedPrecincts[Draw], MATCH(SamplingData[[#This Row],[Batch by Type (p)]],SelectedPrecincts[Batch Name], 0)))</f>
        <v/>
      </c>
      <c r="AJ93" s="100">
        <f>IF(COUNTIF(SelectedPrecincts[Batch Name],SamplingData[[#This Row],[Batch by Type (p)]]) &lt;&gt; 0, COUNTIF(SelectedPrecincts[Batch Name],SamplingData[[#This Row],[Batch by Type (p)]]), 0)</f>
        <v>0</v>
      </c>
    </row>
    <row r="94" spans="1:36" ht="15" customHeight="1" x14ac:dyDescent="0.35">
      <c r="A94" s="97" t="s">
        <v>307</v>
      </c>
      <c r="B94" s="97">
        <v>26</v>
      </c>
      <c r="C94" s="97">
        <v>13</v>
      </c>
      <c r="D94" s="92"/>
      <c r="E94" s="92"/>
      <c r="F94" s="92"/>
      <c r="G94" s="96"/>
      <c r="H94" s="96"/>
      <c r="I94" s="92"/>
      <c r="J94" s="92"/>
      <c r="K94" s="92"/>
      <c r="L94" s="92"/>
      <c r="M94" s="92"/>
      <c r="N94" s="97">
        <v>0</v>
      </c>
      <c r="O94" s="97">
        <v>5</v>
      </c>
      <c r="P94" s="98">
        <f>SUM(SamplingData[[#This Row],[Winning Candidate]:[Under Votes]])</f>
        <v>44</v>
      </c>
      <c r="Q94" s="99">
        <f>IF(AND(SamplingData[[#This Row],[Total]]&lt;&gt; 0, NOT(ISBLANK(SamplingData[[#This Row],[Losing Candidate]]))),(SamplingData[[#This Row],[Total]]+SamplingData[[#This Row],[Winning Candidate]]-SamplingData[[#This Row],[Losing Candidate]])/(SamplingData[[#Totals],[Winning Candidate]]-SamplingData[[#Totals],[Losing Candidate]]), 0)</f>
        <v>2.4189441520964181E-3</v>
      </c>
      <c r="R94" s="99">
        <f>IF(AND(SamplingData[[#This Row],[Total]]&lt;&gt; 0, NOT(ISBLANK(SamplingData[[#This Row],[Candidate 3]]))),(SamplingData[[#This Row],[Total]]+SamplingData[[#This Row],[Winning Candidate]]-SamplingData[[#This Row],[Candidate 3]])/(SamplingData[[#Totals],[Winning Candidate]]-SamplingData[[#Totals],[Candidate 3]]), 0)</f>
        <v>0</v>
      </c>
      <c r="S94" s="99">
        <f>IF(AND(SamplingData[[#This Row],[Total]]&lt;&gt; 0, NOT(ISBLANK(SamplingData[[#This Row],[Candidate 4]]))),(SamplingData[[#This Row],[Total]]+SamplingData[[#This Row],[Winning Candidate]]-SamplingData[[#This Row],[Candidate 4]])/(SamplingData[[#Totals],[Winning Candidate]]-SamplingData[[#Totals],[Candidate 4]]), 0)</f>
        <v>0</v>
      </c>
      <c r="T94" s="99">
        <f>IF(AND(SamplingData[[#This Row],[Total]]&lt;&gt; 0, NOT(ISBLANK(SamplingData[[#This Row],[Candidate 5]]))),(SamplingData[[#This Row],[Total]]+SamplingData[[#This Row],[Winning Candidate]]-SamplingData[[#This Row],[Candidate 5]])/(SamplingData[[#Totals],[Winning Candidate]]-SamplingData[[#Totals],[Candidate 5]]), 0)</f>
        <v>0</v>
      </c>
      <c r="U94" s="99">
        <f>IF(AND(SamplingData[[#This Row],[Total]]&lt;&gt; 0, NOT(ISBLANK(SamplingData[[#This Row],[Candidate 6]]))),(SamplingData[[#This Row],[Total]]+SamplingData[[#This Row],[Losing Candidate]]-SamplingData[[#This Row],[Candidate 6]])/(SamplingData[[#Totals],[Winning Candidate]]-SamplingData[[#Totals],[Candidate 6]]), 0)</f>
        <v>0</v>
      </c>
      <c r="V94" s="99">
        <f>IF(AND(SamplingData[[#This Row],[Total]]&lt;&gt; 0, NOT(ISBLANK(SamplingData[[#This Row],[Candidate 7]]))),(SamplingData[[#This Row],[Total]]+SamplingData[[#This Row],[Winning Candidate]]-SamplingData[[#This Row],[Candidate 7]])/(SamplingData[[#Totals],[Winning Candidate]]-SamplingData[[#Totals],[Candidate 7]]), 0)</f>
        <v>0</v>
      </c>
      <c r="W94" s="99">
        <f>IF(AND(SamplingData[[#This Row],[Total]]&lt;&gt; 0, NOT(ISBLANK(SamplingData[[#This Row],[Candidate 8]]))),(SamplingData[[#This Row],[Total]]+SamplingData[[#This Row],[Winning Candidate]]-SamplingData[[#This Row],[Candidate 8]])/(SamplingData[[#Totals],[Winning Candidate]]-SamplingData[[#Totals],[Candidate 8]]), 0)</f>
        <v>0</v>
      </c>
      <c r="X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 s="99">
        <f>MAX(SamplingData[[#This Row],[Error Bound (up) - Max. possible relative overstatement - Losing Candidate]:[Error Bound (up) - Max. possible relative overstatement - Candidate 12]])</f>
        <v>2.4189441520964181E-3</v>
      </c>
      <c r="AC94" s="99">
        <f>IF(SamplingData[[#This Row],[Max Error Bound (up)]] = 0,0,SamplingData[[#This Row],[Max Error Bound (up)]]/SamplingData[[#Totals],[Max Error Bound (up)]])</f>
        <v>1.2951248773039606E-4</v>
      </c>
      <c r="AD94" s="103">
        <f>SUM($AC$5:AC94)</f>
        <v>0.11100356272948717</v>
      </c>
      <c r="AE94" s="99" t="str" cm="1">
        <f t="array" ref="AE94">IF(SamplingData[[#This Row],[up/U Selection Probability]] = 0, "Zero", TEXT(SamplingData[[#This Row],[Lower Range]], REPT("0",LEN('General Info'!$B$42))) &amp; " - " &amp; TEXT(SamplingData[[#This Row],[Upper Range]], REPT("0",LEN('General Info'!$B$42))))</f>
        <v>110874 - 111003</v>
      </c>
      <c r="AF94" s="99">
        <f>SamplingData[[#This Row],[Upper Range]]-SamplingData[[#This Row],[Span]]</f>
        <v>110874.05024175678</v>
      </c>
      <c r="AG94" s="99">
        <f>IF(ISNUMBER('General Info'!$B$42), ((SamplingData[[#This Row],[up/U Selection Probability]]) * 'General Info'!$B$44) - 1, 0)</f>
        <v>128.51248773039606</v>
      </c>
      <c r="AH94" s="99">
        <f>IF(ISNUMBER('General Info'!$B$42), (SamplingData[[#This Row],[Running (cumulative) sum]] * ('General Info'!$B$42 -'General Info'!$B$43 + 1)) + 'General Info'!$B$43 - 1, 0)</f>
        <v>111002.56272948717</v>
      </c>
      <c r="AI94" s="99" t="str">
        <f>IF(ISERROR(MATCH(SamplingData[[#This Row],[Batch by Type (p)]],SelectedPrecincts[Batch Name], 0)), "", INDEX(SelectedPrecincts[Draw], MATCH(SamplingData[[#This Row],[Batch by Type (p)]],SelectedPrecincts[Batch Name], 0)))</f>
        <v/>
      </c>
      <c r="AJ94" s="100">
        <f>IF(COUNTIF(SelectedPrecincts[Batch Name],SamplingData[[#This Row],[Batch by Type (p)]]) &lt;&gt; 0, COUNTIF(SelectedPrecincts[Batch Name],SamplingData[[#This Row],[Batch by Type (p)]]), 0)</f>
        <v>0</v>
      </c>
    </row>
    <row r="95" spans="1:36" ht="15" customHeight="1" x14ac:dyDescent="0.35">
      <c r="A95" s="97" t="s">
        <v>308</v>
      </c>
      <c r="B95" s="97">
        <v>422</v>
      </c>
      <c r="C95" s="97">
        <v>87</v>
      </c>
      <c r="D95" s="92"/>
      <c r="E95" s="92"/>
      <c r="F95" s="92"/>
      <c r="G95" s="96"/>
      <c r="H95" s="96"/>
      <c r="I95" s="92"/>
      <c r="J95" s="92"/>
      <c r="K95" s="92"/>
      <c r="L95" s="92"/>
      <c r="M95" s="92"/>
      <c r="N95" s="97">
        <v>0</v>
      </c>
      <c r="O95" s="97">
        <v>31</v>
      </c>
      <c r="P95" s="98">
        <f>SUM(SamplingData[[#This Row],[Winning Candidate]:[Under Votes]])</f>
        <v>540</v>
      </c>
      <c r="Q95" s="99">
        <f>IF(AND(SamplingData[[#This Row],[Total]]&lt;&gt; 0, NOT(ISBLANK(SamplingData[[#This Row],[Losing Candidate]]))),(SamplingData[[#This Row],[Total]]+SamplingData[[#This Row],[Winning Candidate]]-SamplingData[[#This Row],[Losing Candidate]])/(SamplingData[[#Totals],[Winning Candidate]]-SamplingData[[#Totals],[Losing Candidate]]), 0)</f>
        <v>3.713291461551519E-2</v>
      </c>
      <c r="R95" s="99">
        <f>IF(AND(SamplingData[[#This Row],[Total]]&lt;&gt; 0, NOT(ISBLANK(SamplingData[[#This Row],[Candidate 3]]))),(SamplingData[[#This Row],[Total]]+SamplingData[[#This Row],[Winning Candidate]]-SamplingData[[#This Row],[Candidate 3]])/(SamplingData[[#Totals],[Winning Candidate]]-SamplingData[[#Totals],[Candidate 3]]), 0)</f>
        <v>0</v>
      </c>
      <c r="S95" s="99">
        <f>IF(AND(SamplingData[[#This Row],[Total]]&lt;&gt; 0, NOT(ISBLANK(SamplingData[[#This Row],[Candidate 4]]))),(SamplingData[[#This Row],[Total]]+SamplingData[[#This Row],[Winning Candidate]]-SamplingData[[#This Row],[Candidate 4]])/(SamplingData[[#Totals],[Winning Candidate]]-SamplingData[[#Totals],[Candidate 4]]), 0)</f>
        <v>0</v>
      </c>
      <c r="T95" s="99">
        <f>IF(AND(SamplingData[[#This Row],[Total]]&lt;&gt; 0, NOT(ISBLANK(SamplingData[[#This Row],[Candidate 5]]))),(SamplingData[[#This Row],[Total]]+SamplingData[[#This Row],[Winning Candidate]]-SamplingData[[#This Row],[Candidate 5]])/(SamplingData[[#Totals],[Winning Candidate]]-SamplingData[[#Totals],[Candidate 5]]), 0)</f>
        <v>0</v>
      </c>
      <c r="U95" s="99">
        <f>IF(AND(SamplingData[[#This Row],[Total]]&lt;&gt; 0, NOT(ISBLANK(SamplingData[[#This Row],[Candidate 6]]))),(SamplingData[[#This Row],[Total]]+SamplingData[[#This Row],[Losing Candidate]]-SamplingData[[#This Row],[Candidate 6]])/(SamplingData[[#Totals],[Winning Candidate]]-SamplingData[[#Totals],[Candidate 6]]), 0)</f>
        <v>0</v>
      </c>
      <c r="V95" s="99">
        <f>IF(AND(SamplingData[[#This Row],[Total]]&lt;&gt; 0, NOT(ISBLANK(SamplingData[[#This Row],[Candidate 7]]))),(SamplingData[[#This Row],[Total]]+SamplingData[[#This Row],[Winning Candidate]]-SamplingData[[#This Row],[Candidate 7]])/(SamplingData[[#Totals],[Winning Candidate]]-SamplingData[[#Totals],[Candidate 7]]), 0)</f>
        <v>0</v>
      </c>
      <c r="W95" s="99">
        <f>IF(AND(SamplingData[[#This Row],[Total]]&lt;&gt; 0, NOT(ISBLANK(SamplingData[[#This Row],[Candidate 8]]))),(SamplingData[[#This Row],[Total]]+SamplingData[[#This Row],[Winning Candidate]]-SamplingData[[#This Row],[Candidate 8]])/(SamplingData[[#Totals],[Winning Candidate]]-SamplingData[[#Totals],[Candidate 8]]), 0)</f>
        <v>0</v>
      </c>
      <c r="X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 s="99">
        <f>MAX(SamplingData[[#This Row],[Error Bound (up) - Max. possible relative overstatement - Losing Candidate]:[Error Bound (up) - Max. possible relative overstatement - Candidate 12]])</f>
        <v>3.713291461551519E-2</v>
      </c>
      <c r="AC95" s="99">
        <f>IF(SamplingData[[#This Row],[Max Error Bound (up)]] = 0,0,SamplingData[[#This Row],[Max Error Bound (up)]]/SamplingData[[#Totals],[Max Error Bound (up)]])</f>
        <v>1.9881302941069569E-3</v>
      </c>
      <c r="AD95" s="103">
        <f>SUM($AC$5:AC95)</f>
        <v>0.11299169302359412</v>
      </c>
      <c r="AE95" s="99" t="str" cm="1">
        <f t="array" ref="AE95">IF(SamplingData[[#This Row],[up/U Selection Probability]] = 0, "Zero", TEXT(SamplingData[[#This Row],[Lower Range]], REPT("0",LEN('General Info'!$B$42))) &amp; " - " &amp; TEXT(SamplingData[[#This Row],[Upper Range]], REPT("0",LEN('General Info'!$B$42))))</f>
        <v>111004 - 112991</v>
      </c>
      <c r="AF95" s="99">
        <f>SamplingData[[#This Row],[Upper Range]]-SamplingData[[#This Row],[Span]]</f>
        <v>111003.56272948715</v>
      </c>
      <c r="AG95" s="99">
        <f>IF(ISNUMBER('General Info'!$B$42), ((SamplingData[[#This Row],[up/U Selection Probability]]) * 'General Info'!$B$44) - 1, 0)</f>
        <v>1987.1302941069569</v>
      </c>
      <c r="AH95" s="99">
        <f>IF(ISNUMBER('General Info'!$B$42), (SamplingData[[#This Row],[Running (cumulative) sum]] * ('General Info'!$B$42 -'General Info'!$B$43 + 1)) + 'General Info'!$B$43 - 1, 0)</f>
        <v>112990.69302359411</v>
      </c>
      <c r="AI95" s="99" t="str">
        <f>IF(ISERROR(MATCH(SamplingData[[#This Row],[Batch by Type (p)]],SelectedPrecincts[Batch Name], 0)), "", INDEX(SelectedPrecincts[Draw], MATCH(SamplingData[[#This Row],[Batch by Type (p)]],SelectedPrecincts[Batch Name], 0)))</f>
        <v/>
      </c>
      <c r="AJ95" s="100">
        <f>IF(COUNTIF(SelectedPrecincts[Batch Name],SamplingData[[#This Row],[Batch by Type (p)]]) &lt;&gt; 0, COUNTIF(SelectedPrecincts[Batch Name],SamplingData[[#This Row],[Batch by Type (p)]]), 0)</f>
        <v>0</v>
      </c>
    </row>
    <row r="96" spans="1:36" ht="15" customHeight="1" x14ac:dyDescent="0.35">
      <c r="A96" s="97" t="s">
        <v>309</v>
      </c>
      <c r="B96" s="97">
        <v>335</v>
      </c>
      <c r="C96" s="97">
        <v>26</v>
      </c>
      <c r="D96" s="92"/>
      <c r="E96" s="92"/>
      <c r="F96" s="92"/>
      <c r="G96" s="96"/>
      <c r="H96" s="96"/>
      <c r="I96" s="92"/>
      <c r="J96" s="92"/>
      <c r="K96" s="92"/>
      <c r="L96" s="92"/>
      <c r="M96" s="92"/>
      <c r="N96" s="97">
        <v>0</v>
      </c>
      <c r="O96" s="97">
        <v>14</v>
      </c>
      <c r="P96" s="98">
        <f>SUM(SamplingData[[#This Row],[Winning Candidate]:[Under Votes]])</f>
        <v>375</v>
      </c>
      <c r="Q96" s="99">
        <f>IF(AND(SamplingData[[#This Row],[Total]]&lt;&gt; 0, NOT(ISBLANK(SamplingData[[#This Row],[Losing Candidate]]))),(SamplingData[[#This Row],[Total]]+SamplingData[[#This Row],[Winning Candidate]]-SamplingData[[#This Row],[Losing Candidate]])/(SamplingData[[#Totals],[Winning Candidate]]-SamplingData[[#Totals],[Losing Candidate]]), 0)</f>
        <v>2.902732982515702E-2</v>
      </c>
      <c r="R96" s="99">
        <f>IF(AND(SamplingData[[#This Row],[Total]]&lt;&gt; 0, NOT(ISBLANK(SamplingData[[#This Row],[Candidate 3]]))),(SamplingData[[#This Row],[Total]]+SamplingData[[#This Row],[Winning Candidate]]-SamplingData[[#This Row],[Candidate 3]])/(SamplingData[[#Totals],[Winning Candidate]]-SamplingData[[#Totals],[Candidate 3]]), 0)</f>
        <v>0</v>
      </c>
      <c r="S96" s="99">
        <f>IF(AND(SamplingData[[#This Row],[Total]]&lt;&gt; 0, NOT(ISBLANK(SamplingData[[#This Row],[Candidate 4]]))),(SamplingData[[#This Row],[Total]]+SamplingData[[#This Row],[Winning Candidate]]-SamplingData[[#This Row],[Candidate 4]])/(SamplingData[[#Totals],[Winning Candidate]]-SamplingData[[#Totals],[Candidate 4]]), 0)</f>
        <v>0</v>
      </c>
      <c r="T96" s="99">
        <f>IF(AND(SamplingData[[#This Row],[Total]]&lt;&gt; 0, NOT(ISBLANK(SamplingData[[#This Row],[Candidate 5]]))),(SamplingData[[#This Row],[Total]]+SamplingData[[#This Row],[Winning Candidate]]-SamplingData[[#This Row],[Candidate 5]])/(SamplingData[[#Totals],[Winning Candidate]]-SamplingData[[#Totals],[Candidate 5]]), 0)</f>
        <v>0</v>
      </c>
      <c r="U96" s="99">
        <f>IF(AND(SamplingData[[#This Row],[Total]]&lt;&gt; 0, NOT(ISBLANK(SamplingData[[#This Row],[Candidate 6]]))),(SamplingData[[#This Row],[Total]]+SamplingData[[#This Row],[Losing Candidate]]-SamplingData[[#This Row],[Candidate 6]])/(SamplingData[[#Totals],[Winning Candidate]]-SamplingData[[#Totals],[Candidate 6]]), 0)</f>
        <v>0</v>
      </c>
      <c r="V96" s="99">
        <f>IF(AND(SamplingData[[#This Row],[Total]]&lt;&gt; 0, NOT(ISBLANK(SamplingData[[#This Row],[Candidate 7]]))),(SamplingData[[#This Row],[Total]]+SamplingData[[#This Row],[Winning Candidate]]-SamplingData[[#This Row],[Candidate 7]])/(SamplingData[[#Totals],[Winning Candidate]]-SamplingData[[#Totals],[Candidate 7]]), 0)</f>
        <v>0</v>
      </c>
      <c r="W96" s="99">
        <f>IF(AND(SamplingData[[#This Row],[Total]]&lt;&gt; 0, NOT(ISBLANK(SamplingData[[#This Row],[Candidate 8]]))),(SamplingData[[#This Row],[Total]]+SamplingData[[#This Row],[Winning Candidate]]-SamplingData[[#This Row],[Candidate 8]])/(SamplingData[[#Totals],[Winning Candidate]]-SamplingData[[#Totals],[Candidate 8]]), 0)</f>
        <v>0</v>
      </c>
      <c r="X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 s="99">
        <f>MAX(SamplingData[[#This Row],[Error Bound (up) - Max. possible relative overstatement - Losing Candidate]:[Error Bound (up) - Max. possible relative overstatement - Candidate 12]])</f>
        <v>2.902732982515702E-2</v>
      </c>
      <c r="AC96" s="99">
        <f>IF(SamplingData[[#This Row],[Max Error Bound (up)]] = 0,0,SamplingData[[#This Row],[Max Error Bound (up)]]/SamplingData[[#Totals],[Max Error Bound (up)]])</f>
        <v>1.5541498527647528E-3</v>
      </c>
      <c r="AD96" s="103">
        <f>SUM($AC$5:AC96)</f>
        <v>0.11454584287635887</v>
      </c>
      <c r="AE96" s="99" t="str" cm="1">
        <f t="array" ref="AE96">IF(SamplingData[[#This Row],[up/U Selection Probability]] = 0, "Zero", TEXT(SamplingData[[#This Row],[Lower Range]], REPT("0",LEN('General Info'!$B$42))) &amp; " - " &amp; TEXT(SamplingData[[#This Row],[Upper Range]], REPT("0",LEN('General Info'!$B$42))))</f>
        <v>112992 - 114545</v>
      </c>
      <c r="AF96" s="99">
        <f>SamplingData[[#This Row],[Upper Range]]-SamplingData[[#This Row],[Span]]</f>
        <v>112991.69302359413</v>
      </c>
      <c r="AG96" s="99">
        <f>IF(ISNUMBER('General Info'!$B$42), ((SamplingData[[#This Row],[up/U Selection Probability]]) * 'General Info'!$B$44) - 1, 0)</f>
        <v>1553.1498527647527</v>
      </c>
      <c r="AH96" s="99">
        <f>IF(ISNUMBER('General Info'!$B$42), (SamplingData[[#This Row],[Running (cumulative) sum]] * ('General Info'!$B$42 -'General Info'!$B$43 + 1)) + 'General Info'!$B$43 - 1, 0)</f>
        <v>114544.84287635887</v>
      </c>
      <c r="AI96" s="99" t="str">
        <f>IF(ISERROR(MATCH(SamplingData[[#This Row],[Batch by Type (p)]],SelectedPrecincts[Batch Name], 0)), "", INDEX(SelectedPrecincts[Draw], MATCH(SamplingData[[#This Row],[Batch by Type (p)]],SelectedPrecincts[Batch Name], 0)))</f>
        <v/>
      </c>
      <c r="AJ96" s="100">
        <f>IF(COUNTIF(SelectedPrecincts[Batch Name],SamplingData[[#This Row],[Batch by Type (p)]]) &lt;&gt; 0, COUNTIF(SelectedPrecincts[Batch Name],SamplingData[[#This Row],[Batch by Type (p)]]), 0)</f>
        <v>0</v>
      </c>
    </row>
    <row r="97" spans="1:36" ht="15" customHeight="1" x14ac:dyDescent="0.35">
      <c r="A97" s="97" t="s">
        <v>310</v>
      </c>
      <c r="B97" s="97">
        <v>147</v>
      </c>
      <c r="C97" s="97">
        <v>57</v>
      </c>
      <c r="D97" s="92"/>
      <c r="E97" s="92"/>
      <c r="F97" s="92"/>
      <c r="G97" s="96"/>
      <c r="H97" s="96"/>
      <c r="I97" s="92"/>
      <c r="J97" s="92"/>
      <c r="K97" s="92"/>
      <c r="L97" s="92"/>
      <c r="M97" s="92"/>
      <c r="N97" s="97">
        <v>1</v>
      </c>
      <c r="O97" s="97">
        <v>14</v>
      </c>
      <c r="P97" s="98">
        <f>SUM(SamplingData[[#This Row],[Winning Candidate]:[Under Votes]])</f>
        <v>219</v>
      </c>
      <c r="Q97" s="99">
        <f>IF(AND(SamplingData[[#This Row],[Total]]&lt;&gt; 0, NOT(ISBLANK(SamplingData[[#This Row],[Losing Candidate]]))),(SamplingData[[#This Row],[Total]]+SamplingData[[#This Row],[Winning Candidate]]-SamplingData[[#This Row],[Losing Candidate]])/(SamplingData[[#Totals],[Winning Candidate]]-SamplingData[[#Totals],[Losing Candidate]]), 0)</f>
        <v>1.3113223561364793E-2</v>
      </c>
      <c r="R97" s="99">
        <f>IF(AND(SamplingData[[#This Row],[Total]]&lt;&gt; 0, NOT(ISBLANK(SamplingData[[#This Row],[Candidate 3]]))),(SamplingData[[#This Row],[Total]]+SamplingData[[#This Row],[Winning Candidate]]-SamplingData[[#This Row],[Candidate 3]])/(SamplingData[[#Totals],[Winning Candidate]]-SamplingData[[#Totals],[Candidate 3]]), 0)</f>
        <v>0</v>
      </c>
      <c r="S97" s="99">
        <f>IF(AND(SamplingData[[#This Row],[Total]]&lt;&gt; 0, NOT(ISBLANK(SamplingData[[#This Row],[Candidate 4]]))),(SamplingData[[#This Row],[Total]]+SamplingData[[#This Row],[Winning Candidate]]-SamplingData[[#This Row],[Candidate 4]])/(SamplingData[[#Totals],[Winning Candidate]]-SamplingData[[#Totals],[Candidate 4]]), 0)</f>
        <v>0</v>
      </c>
      <c r="T97" s="99">
        <f>IF(AND(SamplingData[[#This Row],[Total]]&lt;&gt; 0, NOT(ISBLANK(SamplingData[[#This Row],[Candidate 5]]))),(SamplingData[[#This Row],[Total]]+SamplingData[[#This Row],[Winning Candidate]]-SamplingData[[#This Row],[Candidate 5]])/(SamplingData[[#Totals],[Winning Candidate]]-SamplingData[[#Totals],[Candidate 5]]), 0)</f>
        <v>0</v>
      </c>
      <c r="U97" s="99">
        <f>IF(AND(SamplingData[[#This Row],[Total]]&lt;&gt; 0, NOT(ISBLANK(SamplingData[[#This Row],[Candidate 6]]))),(SamplingData[[#This Row],[Total]]+SamplingData[[#This Row],[Losing Candidate]]-SamplingData[[#This Row],[Candidate 6]])/(SamplingData[[#Totals],[Winning Candidate]]-SamplingData[[#Totals],[Candidate 6]]), 0)</f>
        <v>0</v>
      </c>
      <c r="V97" s="99">
        <f>IF(AND(SamplingData[[#This Row],[Total]]&lt;&gt; 0, NOT(ISBLANK(SamplingData[[#This Row],[Candidate 7]]))),(SamplingData[[#This Row],[Total]]+SamplingData[[#This Row],[Winning Candidate]]-SamplingData[[#This Row],[Candidate 7]])/(SamplingData[[#Totals],[Winning Candidate]]-SamplingData[[#Totals],[Candidate 7]]), 0)</f>
        <v>0</v>
      </c>
      <c r="W97" s="99">
        <f>IF(AND(SamplingData[[#This Row],[Total]]&lt;&gt; 0, NOT(ISBLANK(SamplingData[[#This Row],[Candidate 8]]))),(SamplingData[[#This Row],[Total]]+SamplingData[[#This Row],[Winning Candidate]]-SamplingData[[#This Row],[Candidate 8]])/(SamplingData[[#Totals],[Winning Candidate]]-SamplingData[[#Totals],[Candidate 8]]), 0)</f>
        <v>0</v>
      </c>
      <c r="X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 s="99">
        <f>MAX(SamplingData[[#This Row],[Error Bound (up) - Max. possible relative overstatement - Losing Candidate]:[Error Bound (up) - Max. possible relative overstatement - Candidate 12]])</f>
        <v>1.3113223561364793E-2</v>
      </c>
      <c r="AC97" s="99">
        <f>IF(SamplingData[[#This Row],[Max Error Bound (up)]] = 0,0,SamplingData[[#This Row],[Max Error Bound (up)]]/SamplingData[[#Totals],[Max Error Bound (up)]])</f>
        <v>7.0209401243319966E-4</v>
      </c>
      <c r="AD97" s="103">
        <f>SUM($AC$5:AC97)</f>
        <v>0.11524793688879206</v>
      </c>
      <c r="AE97" s="99" t="str" cm="1">
        <f t="array" ref="AE97">IF(SamplingData[[#This Row],[up/U Selection Probability]] = 0, "Zero", TEXT(SamplingData[[#This Row],[Lower Range]], REPT("0",LEN('General Info'!$B$42))) &amp; " - " &amp; TEXT(SamplingData[[#This Row],[Upper Range]], REPT("0",LEN('General Info'!$B$42))))</f>
        <v>114546 - 115247</v>
      </c>
      <c r="AF97" s="99">
        <f>SamplingData[[#This Row],[Upper Range]]-SamplingData[[#This Row],[Span]]</f>
        <v>114545.84287635886</v>
      </c>
      <c r="AG97" s="99">
        <f>IF(ISNUMBER('General Info'!$B$42), ((SamplingData[[#This Row],[up/U Selection Probability]]) * 'General Info'!$B$44) - 1, 0)</f>
        <v>701.09401243319962</v>
      </c>
      <c r="AH97" s="99">
        <f>IF(ISNUMBER('General Info'!$B$42), (SamplingData[[#This Row],[Running (cumulative) sum]] * ('General Info'!$B$42 -'General Info'!$B$43 + 1)) + 'General Info'!$B$43 - 1, 0)</f>
        <v>115246.93688879206</v>
      </c>
      <c r="AI97" s="99" t="str">
        <f>IF(ISERROR(MATCH(SamplingData[[#This Row],[Batch by Type (p)]],SelectedPrecincts[Batch Name], 0)), "", INDEX(SelectedPrecincts[Draw], MATCH(SamplingData[[#This Row],[Batch by Type (p)]],SelectedPrecincts[Batch Name], 0)))</f>
        <v/>
      </c>
      <c r="AJ97" s="100">
        <f>IF(COUNTIF(SelectedPrecincts[Batch Name],SamplingData[[#This Row],[Batch by Type (p)]]) &lt;&gt; 0, COUNTIF(SelectedPrecincts[Batch Name],SamplingData[[#This Row],[Batch by Type (p)]]), 0)</f>
        <v>0</v>
      </c>
    </row>
    <row r="98" spans="1:36" ht="15" customHeight="1" x14ac:dyDescent="0.35">
      <c r="A98" s="97" t="s">
        <v>311</v>
      </c>
      <c r="B98" s="97">
        <v>532</v>
      </c>
      <c r="C98" s="97">
        <v>93</v>
      </c>
      <c r="D98" s="92"/>
      <c r="E98" s="92"/>
      <c r="F98" s="92"/>
      <c r="G98" s="96"/>
      <c r="H98" s="96"/>
      <c r="I98" s="92"/>
      <c r="J98" s="92"/>
      <c r="K98" s="92"/>
      <c r="L98" s="92"/>
      <c r="M98" s="92"/>
      <c r="N98" s="97">
        <v>0</v>
      </c>
      <c r="O98" s="97">
        <v>44</v>
      </c>
      <c r="P98" s="98">
        <f>SUM(SamplingData[[#This Row],[Winning Candidate]:[Under Votes]])</f>
        <v>669</v>
      </c>
      <c r="Q98" s="99">
        <f>IF(AND(SamplingData[[#This Row],[Total]]&lt;&gt; 0, NOT(ISBLANK(SamplingData[[#This Row],[Losing Candidate]]))),(SamplingData[[#This Row],[Total]]+SamplingData[[#This Row],[Winning Candidate]]-SamplingData[[#This Row],[Losing Candidate]])/(SamplingData[[#Totals],[Winning Candidate]]-SamplingData[[#Totals],[Losing Candidate]]), 0)</f>
        <v>4.7020879307418093E-2</v>
      </c>
      <c r="R98" s="99">
        <f>IF(AND(SamplingData[[#This Row],[Total]]&lt;&gt; 0, NOT(ISBLANK(SamplingData[[#This Row],[Candidate 3]]))),(SamplingData[[#This Row],[Total]]+SamplingData[[#This Row],[Winning Candidate]]-SamplingData[[#This Row],[Candidate 3]])/(SamplingData[[#Totals],[Winning Candidate]]-SamplingData[[#Totals],[Candidate 3]]), 0)</f>
        <v>0</v>
      </c>
      <c r="S98" s="99">
        <f>IF(AND(SamplingData[[#This Row],[Total]]&lt;&gt; 0, NOT(ISBLANK(SamplingData[[#This Row],[Candidate 4]]))),(SamplingData[[#This Row],[Total]]+SamplingData[[#This Row],[Winning Candidate]]-SamplingData[[#This Row],[Candidate 4]])/(SamplingData[[#Totals],[Winning Candidate]]-SamplingData[[#Totals],[Candidate 4]]), 0)</f>
        <v>0</v>
      </c>
      <c r="T98" s="99">
        <f>IF(AND(SamplingData[[#This Row],[Total]]&lt;&gt; 0, NOT(ISBLANK(SamplingData[[#This Row],[Candidate 5]]))),(SamplingData[[#This Row],[Total]]+SamplingData[[#This Row],[Winning Candidate]]-SamplingData[[#This Row],[Candidate 5]])/(SamplingData[[#Totals],[Winning Candidate]]-SamplingData[[#Totals],[Candidate 5]]), 0)</f>
        <v>0</v>
      </c>
      <c r="U98" s="99">
        <f>IF(AND(SamplingData[[#This Row],[Total]]&lt;&gt; 0, NOT(ISBLANK(SamplingData[[#This Row],[Candidate 6]]))),(SamplingData[[#This Row],[Total]]+SamplingData[[#This Row],[Losing Candidate]]-SamplingData[[#This Row],[Candidate 6]])/(SamplingData[[#Totals],[Winning Candidate]]-SamplingData[[#Totals],[Candidate 6]]), 0)</f>
        <v>0</v>
      </c>
      <c r="V98" s="99">
        <f>IF(AND(SamplingData[[#This Row],[Total]]&lt;&gt; 0, NOT(ISBLANK(SamplingData[[#This Row],[Candidate 7]]))),(SamplingData[[#This Row],[Total]]+SamplingData[[#This Row],[Winning Candidate]]-SamplingData[[#This Row],[Candidate 7]])/(SamplingData[[#Totals],[Winning Candidate]]-SamplingData[[#Totals],[Candidate 7]]), 0)</f>
        <v>0</v>
      </c>
      <c r="W98" s="99">
        <f>IF(AND(SamplingData[[#This Row],[Total]]&lt;&gt; 0, NOT(ISBLANK(SamplingData[[#This Row],[Candidate 8]]))),(SamplingData[[#This Row],[Total]]+SamplingData[[#This Row],[Winning Candidate]]-SamplingData[[#This Row],[Candidate 8]])/(SamplingData[[#Totals],[Winning Candidate]]-SamplingData[[#Totals],[Candidate 8]]), 0)</f>
        <v>0</v>
      </c>
      <c r="X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 s="99">
        <f>MAX(SamplingData[[#This Row],[Error Bound (up) - Max. possible relative overstatement - Losing Candidate]:[Error Bound (up) - Max. possible relative overstatement - Candidate 12]])</f>
        <v>4.7020879307418093E-2</v>
      </c>
      <c r="AC98" s="99">
        <f>IF(SamplingData[[#This Row],[Max Error Bound (up)]] = 0,0,SamplingData[[#This Row],[Max Error Bound (up)]]/SamplingData[[#Totals],[Max Error Bound (up)]])</f>
        <v>2.5175409895662952E-3</v>
      </c>
      <c r="AD98" s="103">
        <f>SUM($AC$5:AC98)</f>
        <v>0.11776547787835835</v>
      </c>
      <c r="AE98" s="99" t="str" cm="1">
        <f t="array" ref="AE98">IF(SamplingData[[#This Row],[up/U Selection Probability]] = 0, "Zero", TEXT(SamplingData[[#This Row],[Lower Range]], REPT("0",LEN('General Info'!$B$42))) &amp; " - " &amp; TEXT(SamplingData[[#This Row],[Upper Range]], REPT("0",LEN('General Info'!$B$42))))</f>
        <v>115248 - 117764</v>
      </c>
      <c r="AF98" s="99">
        <f>SamplingData[[#This Row],[Upper Range]]-SamplingData[[#This Row],[Span]]</f>
        <v>115247.93688879206</v>
      </c>
      <c r="AG98" s="99">
        <f>IF(ISNUMBER('General Info'!$B$42), ((SamplingData[[#This Row],[up/U Selection Probability]]) * 'General Info'!$B$44) - 1, 0)</f>
        <v>2516.5409895662951</v>
      </c>
      <c r="AH98" s="99">
        <f>IF(ISNUMBER('General Info'!$B$42), (SamplingData[[#This Row],[Running (cumulative) sum]] * ('General Info'!$B$42 -'General Info'!$B$43 + 1)) + 'General Info'!$B$43 - 1, 0)</f>
        <v>117764.47787835835</v>
      </c>
      <c r="AI98" s="99" t="str">
        <f>IF(ISERROR(MATCH(SamplingData[[#This Row],[Batch by Type (p)]],SelectedPrecincts[Batch Name], 0)), "", INDEX(SelectedPrecincts[Draw], MATCH(SamplingData[[#This Row],[Batch by Type (p)]],SelectedPrecincts[Batch Name], 0)))</f>
        <v/>
      </c>
      <c r="AJ98" s="100">
        <f>IF(COUNTIF(SelectedPrecincts[Batch Name],SamplingData[[#This Row],[Batch by Type (p)]]) &lt;&gt; 0, COUNTIF(SelectedPrecincts[Batch Name],SamplingData[[#This Row],[Batch by Type (p)]]), 0)</f>
        <v>0</v>
      </c>
    </row>
    <row r="99" spans="1:36" ht="15" customHeight="1" x14ac:dyDescent="0.35">
      <c r="A99" s="97" t="s">
        <v>312</v>
      </c>
      <c r="B99" s="97">
        <v>434</v>
      </c>
      <c r="C99" s="97">
        <v>76</v>
      </c>
      <c r="D99" s="92"/>
      <c r="E99" s="92"/>
      <c r="F99" s="92"/>
      <c r="G99" s="96"/>
      <c r="H99" s="96"/>
      <c r="I99" s="92"/>
      <c r="J99" s="92"/>
      <c r="K99" s="92"/>
      <c r="L99" s="92"/>
      <c r="M99" s="92"/>
      <c r="N99" s="97">
        <v>0</v>
      </c>
      <c r="O99" s="97">
        <v>24</v>
      </c>
      <c r="P99" s="98">
        <f>SUM(SamplingData[[#This Row],[Winning Candidate]:[Under Votes]])</f>
        <v>534</v>
      </c>
      <c r="Q99" s="99">
        <f>IF(AND(SamplingData[[#This Row],[Total]]&lt;&gt; 0, NOT(ISBLANK(SamplingData[[#This Row],[Losing Candidate]]))),(SamplingData[[#This Row],[Total]]+SamplingData[[#This Row],[Winning Candidate]]-SamplingData[[#This Row],[Losing Candidate]])/(SamplingData[[#Totals],[Winning Candidate]]-SamplingData[[#Totals],[Losing Candidate]]), 0)</f>
        <v>3.7854354099473776E-2</v>
      </c>
      <c r="R99" s="99">
        <f>IF(AND(SamplingData[[#This Row],[Total]]&lt;&gt; 0, NOT(ISBLANK(SamplingData[[#This Row],[Candidate 3]]))),(SamplingData[[#This Row],[Total]]+SamplingData[[#This Row],[Winning Candidate]]-SamplingData[[#This Row],[Candidate 3]])/(SamplingData[[#Totals],[Winning Candidate]]-SamplingData[[#Totals],[Candidate 3]]), 0)</f>
        <v>0</v>
      </c>
      <c r="S99" s="99">
        <f>IF(AND(SamplingData[[#This Row],[Total]]&lt;&gt; 0, NOT(ISBLANK(SamplingData[[#This Row],[Candidate 4]]))),(SamplingData[[#This Row],[Total]]+SamplingData[[#This Row],[Winning Candidate]]-SamplingData[[#This Row],[Candidate 4]])/(SamplingData[[#Totals],[Winning Candidate]]-SamplingData[[#Totals],[Candidate 4]]), 0)</f>
        <v>0</v>
      </c>
      <c r="T99" s="99">
        <f>IF(AND(SamplingData[[#This Row],[Total]]&lt;&gt; 0, NOT(ISBLANK(SamplingData[[#This Row],[Candidate 5]]))),(SamplingData[[#This Row],[Total]]+SamplingData[[#This Row],[Winning Candidate]]-SamplingData[[#This Row],[Candidate 5]])/(SamplingData[[#Totals],[Winning Candidate]]-SamplingData[[#Totals],[Candidate 5]]), 0)</f>
        <v>0</v>
      </c>
      <c r="U99" s="99">
        <f>IF(AND(SamplingData[[#This Row],[Total]]&lt;&gt; 0, NOT(ISBLANK(SamplingData[[#This Row],[Candidate 6]]))),(SamplingData[[#This Row],[Total]]+SamplingData[[#This Row],[Losing Candidate]]-SamplingData[[#This Row],[Candidate 6]])/(SamplingData[[#Totals],[Winning Candidate]]-SamplingData[[#Totals],[Candidate 6]]), 0)</f>
        <v>0</v>
      </c>
      <c r="V99" s="99">
        <f>IF(AND(SamplingData[[#This Row],[Total]]&lt;&gt; 0, NOT(ISBLANK(SamplingData[[#This Row],[Candidate 7]]))),(SamplingData[[#This Row],[Total]]+SamplingData[[#This Row],[Winning Candidate]]-SamplingData[[#This Row],[Candidate 7]])/(SamplingData[[#Totals],[Winning Candidate]]-SamplingData[[#Totals],[Candidate 7]]), 0)</f>
        <v>0</v>
      </c>
      <c r="W99" s="99">
        <f>IF(AND(SamplingData[[#This Row],[Total]]&lt;&gt; 0, NOT(ISBLANK(SamplingData[[#This Row],[Candidate 8]]))),(SamplingData[[#This Row],[Total]]+SamplingData[[#This Row],[Winning Candidate]]-SamplingData[[#This Row],[Candidate 8]])/(SamplingData[[#Totals],[Winning Candidate]]-SamplingData[[#Totals],[Candidate 8]]), 0)</f>
        <v>0</v>
      </c>
      <c r="X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 s="99">
        <f>MAX(SamplingData[[#This Row],[Error Bound (up) - Max. possible relative overstatement - Losing Candidate]:[Error Bound (up) - Max. possible relative overstatement - Candidate 12]])</f>
        <v>3.7854354099473776E-2</v>
      </c>
      <c r="AC99" s="99">
        <f>IF(SamplingData[[#This Row],[Max Error Bound (up)]] = 0,0,SamplingData[[#This Row],[Max Error Bound (up)]]/SamplingData[[#Totals],[Max Error Bound (up)]])</f>
        <v>2.0267568255353209E-3</v>
      </c>
      <c r="AD99" s="103">
        <f>SUM($AC$5:AC99)</f>
        <v>0.11979223470389368</v>
      </c>
      <c r="AE99" s="99" t="str" cm="1">
        <f t="array" ref="AE99">IF(SamplingData[[#This Row],[up/U Selection Probability]] = 0, "Zero", TEXT(SamplingData[[#This Row],[Lower Range]], REPT("0",LEN('General Info'!$B$42))) &amp; " - " &amp; TEXT(SamplingData[[#This Row],[Upper Range]], REPT("0",LEN('General Info'!$B$42))))</f>
        <v>117765 - 119791</v>
      </c>
      <c r="AF99" s="99">
        <f>SamplingData[[#This Row],[Upper Range]]-SamplingData[[#This Row],[Span]]</f>
        <v>117765.47787835835</v>
      </c>
      <c r="AG99" s="99">
        <f>IF(ISNUMBER('General Info'!$B$42), ((SamplingData[[#This Row],[up/U Selection Probability]]) * 'General Info'!$B$44) - 1, 0)</f>
        <v>2025.7568255353208</v>
      </c>
      <c r="AH99" s="99">
        <f>IF(ISNUMBER('General Info'!$B$42), (SamplingData[[#This Row],[Running (cumulative) sum]] * ('General Info'!$B$42 -'General Info'!$B$43 + 1)) + 'General Info'!$B$43 - 1, 0)</f>
        <v>119791.23470389367</v>
      </c>
      <c r="AI99" s="99" t="str">
        <f>IF(ISERROR(MATCH(SamplingData[[#This Row],[Batch by Type (p)]],SelectedPrecincts[Batch Name], 0)), "", INDEX(SelectedPrecincts[Draw], MATCH(SamplingData[[#This Row],[Batch by Type (p)]],SelectedPrecincts[Batch Name], 0)))</f>
        <v/>
      </c>
      <c r="AJ99" s="100">
        <f>IF(COUNTIF(SelectedPrecincts[Batch Name],SamplingData[[#This Row],[Batch by Type (p)]]) &lt;&gt; 0, COUNTIF(SelectedPrecincts[Batch Name],SamplingData[[#This Row],[Batch by Type (p)]]), 0)</f>
        <v>0</v>
      </c>
    </row>
    <row r="100" spans="1:36" ht="15" customHeight="1" x14ac:dyDescent="0.35">
      <c r="A100" s="97" t="s">
        <v>313</v>
      </c>
      <c r="B100" s="97">
        <v>387</v>
      </c>
      <c r="C100" s="97">
        <v>43</v>
      </c>
      <c r="D100" s="92"/>
      <c r="E100" s="92"/>
      <c r="F100" s="92"/>
      <c r="G100" s="96"/>
      <c r="H100" s="96"/>
      <c r="I100" s="92"/>
      <c r="J100" s="92"/>
      <c r="K100" s="92"/>
      <c r="L100" s="92"/>
      <c r="M100" s="92"/>
      <c r="N100" s="97">
        <v>0</v>
      </c>
      <c r="O100" s="97">
        <v>13</v>
      </c>
      <c r="P100" s="98">
        <f>SUM(SamplingData[[#This Row],[Winning Candidate]:[Under Votes]])</f>
        <v>443</v>
      </c>
      <c r="Q100" s="99">
        <f>IF(AND(SamplingData[[#This Row],[Total]]&lt;&gt; 0, NOT(ISBLANK(SamplingData[[#This Row],[Losing Candidate]]))),(SamplingData[[#This Row],[Total]]+SamplingData[[#This Row],[Winning Candidate]]-SamplingData[[#This Row],[Losing Candidate]])/(SamplingData[[#Totals],[Winning Candidate]]-SamplingData[[#Totals],[Losing Candidate]]), 0)</f>
        <v>3.3398404345611948E-2</v>
      </c>
      <c r="R100" s="99">
        <f>IF(AND(SamplingData[[#This Row],[Total]]&lt;&gt; 0, NOT(ISBLANK(SamplingData[[#This Row],[Candidate 3]]))),(SamplingData[[#This Row],[Total]]+SamplingData[[#This Row],[Winning Candidate]]-SamplingData[[#This Row],[Candidate 3]])/(SamplingData[[#Totals],[Winning Candidate]]-SamplingData[[#Totals],[Candidate 3]]), 0)</f>
        <v>0</v>
      </c>
      <c r="S100" s="99">
        <f>IF(AND(SamplingData[[#This Row],[Total]]&lt;&gt; 0, NOT(ISBLANK(SamplingData[[#This Row],[Candidate 4]]))),(SamplingData[[#This Row],[Total]]+SamplingData[[#This Row],[Winning Candidate]]-SamplingData[[#This Row],[Candidate 4]])/(SamplingData[[#Totals],[Winning Candidate]]-SamplingData[[#Totals],[Candidate 4]]), 0)</f>
        <v>0</v>
      </c>
      <c r="T100" s="99">
        <f>IF(AND(SamplingData[[#This Row],[Total]]&lt;&gt; 0, NOT(ISBLANK(SamplingData[[#This Row],[Candidate 5]]))),(SamplingData[[#This Row],[Total]]+SamplingData[[#This Row],[Winning Candidate]]-SamplingData[[#This Row],[Candidate 5]])/(SamplingData[[#Totals],[Winning Candidate]]-SamplingData[[#Totals],[Candidate 5]]), 0)</f>
        <v>0</v>
      </c>
      <c r="U100" s="99">
        <f>IF(AND(SamplingData[[#This Row],[Total]]&lt;&gt; 0, NOT(ISBLANK(SamplingData[[#This Row],[Candidate 6]]))),(SamplingData[[#This Row],[Total]]+SamplingData[[#This Row],[Losing Candidate]]-SamplingData[[#This Row],[Candidate 6]])/(SamplingData[[#Totals],[Winning Candidate]]-SamplingData[[#Totals],[Candidate 6]]), 0)</f>
        <v>0</v>
      </c>
      <c r="V100" s="99">
        <f>IF(AND(SamplingData[[#This Row],[Total]]&lt;&gt; 0, NOT(ISBLANK(SamplingData[[#This Row],[Candidate 7]]))),(SamplingData[[#This Row],[Total]]+SamplingData[[#This Row],[Winning Candidate]]-SamplingData[[#This Row],[Candidate 7]])/(SamplingData[[#Totals],[Winning Candidate]]-SamplingData[[#Totals],[Candidate 7]]), 0)</f>
        <v>0</v>
      </c>
      <c r="W100" s="99">
        <f>IF(AND(SamplingData[[#This Row],[Total]]&lt;&gt; 0, NOT(ISBLANK(SamplingData[[#This Row],[Candidate 8]]))),(SamplingData[[#This Row],[Total]]+SamplingData[[#This Row],[Winning Candidate]]-SamplingData[[#This Row],[Candidate 8]])/(SamplingData[[#Totals],[Winning Candidate]]-SamplingData[[#Totals],[Candidate 8]]), 0)</f>
        <v>0</v>
      </c>
      <c r="X1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 s="99">
        <f>MAX(SamplingData[[#This Row],[Error Bound (up) - Max. possible relative overstatement - Losing Candidate]:[Error Bound (up) - Max. possible relative overstatement - Candidate 12]])</f>
        <v>3.3398404345611948E-2</v>
      </c>
      <c r="AC100" s="99">
        <f>IF(SamplingData[[#This Row],[Max Error Bound (up)]] = 0,0,SamplingData[[#This Row],[Max Error Bound (up)]]/SamplingData[[#Totals],[Max Error Bound (up)]])</f>
        <v>1.7881811902424858E-3</v>
      </c>
      <c r="AD100" s="103">
        <f>SUM($AC$5:AC100)</f>
        <v>0.12158041589413617</v>
      </c>
      <c r="AE100" s="99" t="str" cm="1">
        <f t="array" ref="AE100">IF(SamplingData[[#This Row],[up/U Selection Probability]] = 0, "Zero", TEXT(SamplingData[[#This Row],[Lower Range]], REPT("0",LEN('General Info'!$B$42))) &amp; " - " &amp; TEXT(SamplingData[[#This Row],[Upper Range]], REPT("0",LEN('General Info'!$B$42))))</f>
        <v>119792 - 121579</v>
      </c>
      <c r="AF100" s="99">
        <f>SamplingData[[#This Row],[Upper Range]]-SamplingData[[#This Row],[Span]]</f>
        <v>119792.23470389369</v>
      </c>
      <c r="AG100" s="99">
        <f>IF(ISNUMBER('General Info'!$B$42), ((SamplingData[[#This Row],[up/U Selection Probability]]) * 'General Info'!$B$44) - 1, 0)</f>
        <v>1787.1811902424859</v>
      </c>
      <c r="AH100" s="99">
        <f>IF(ISNUMBER('General Info'!$B$42), (SamplingData[[#This Row],[Running (cumulative) sum]] * ('General Info'!$B$42 -'General Info'!$B$43 + 1)) + 'General Info'!$B$43 - 1, 0)</f>
        <v>121579.41589413617</v>
      </c>
      <c r="AI100" s="99" t="str">
        <f>IF(ISERROR(MATCH(SamplingData[[#This Row],[Batch by Type (p)]],SelectedPrecincts[Batch Name], 0)), "", INDEX(SelectedPrecincts[Draw], MATCH(SamplingData[[#This Row],[Batch by Type (p)]],SelectedPrecincts[Batch Name], 0)))</f>
        <v/>
      </c>
      <c r="AJ100" s="100">
        <f>IF(COUNTIF(SelectedPrecincts[Batch Name],SamplingData[[#This Row],[Batch by Type (p)]]) &lt;&gt; 0, COUNTIF(SelectedPrecincts[Batch Name],SamplingData[[#This Row],[Batch by Type (p)]]), 0)</f>
        <v>0</v>
      </c>
    </row>
    <row r="101" spans="1:36" ht="15" customHeight="1" x14ac:dyDescent="0.35">
      <c r="A101" s="97" t="s">
        <v>314</v>
      </c>
      <c r="B101" s="97">
        <v>307</v>
      </c>
      <c r="C101" s="97">
        <v>99</v>
      </c>
      <c r="D101" s="92"/>
      <c r="E101" s="92"/>
      <c r="F101" s="92"/>
      <c r="G101" s="96"/>
      <c r="H101" s="96"/>
      <c r="I101" s="92"/>
      <c r="J101" s="92"/>
      <c r="K101" s="92"/>
      <c r="L101" s="92"/>
      <c r="M101" s="92"/>
      <c r="N101" s="97">
        <v>0</v>
      </c>
      <c r="O101" s="97">
        <v>14</v>
      </c>
      <c r="P101" s="98">
        <f>SUM(SamplingData[[#This Row],[Winning Candidate]:[Under Votes]])</f>
        <v>420</v>
      </c>
      <c r="Q101" s="99">
        <f>IF(AND(SamplingData[[#This Row],[Total]]&lt;&gt; 0, NOT(ISBLANK(SamplingData[[#This Row],[Losing Candidate]]))),(SamplingData[[#This Row],[Total]]+SamplingData[[#This Row],[Winning Candidate]]-SamplingData[[#This Row],[Losing Candidate]])/(SamplingData[[#Totals],[Winning Candidate]]-SamplingData[[#Totals],[Losing Candidate]]), 0)</f>
        <v>2.6650823289764047E-2</v>
      </c>
      <c r="R101" s="99">
        <f>IF(AND(SamplingData[[#This Row],[Total]]&lt;&gt; 0, NOT(ISBLANK(SamplingData[[#This Row],[Candidate 3]]))),(SamplingData[[#This Row],[Total]]+SamplingData[[#This Row],[Winning Candidate]]-SamplingData[[#This Row],[Candidate 3]])/(SamplingData[[#Totals],[Winning Candidate]]-SamplingData[[#Totals],[Candidate 3]]), 0)</f>
        <v>0</v>
      </c>
      <c r="S101" s="99">
        <f>IF(AND(SamplingData[[#This Row],[Total]]&lt;&gt; 0, NOT(ISBLANK(SamplingData[[#This Row],[Candidate 4]]))),(SamplingData[[#This Row],[Total]]+SamplingData[[#This Row],[Winning Candidate]]-SamplingData[[#This Row],[Candidate 4]])/(SamplingData[[#Totals],[Winning Candidate]]-SamplingData[[#Totals],[Candidate 4]]), 0)</f>
        <v>0</v>
      </c>
      <c r="T101" s="99">
        <f>IF(AND(SamplingData[[#This Row],[Total]]&lt;&gt; 0, NOT(ISBLANK(SamplingData[[#This Row],[Candidate 5]]))),(SamplingData[[#This Row],[Total]]+SamplingData[[#This Row],[Winning Candidate]]-SamplingData[[#This Row],[Candidate 5]])/(SamplingData[[#Totals],[Winning Candidate]]-SamplingData[[#Totals],[Candidate 5]]), 0)</f>
        <v>0</v>
      </c>
      <c r="U101" s="99">
        <f>IF(AND(SamplingData[[#This Row],[Total]]&lt;&gt; 0, NOT(ISBLANK(SamplingData[[#This Row],[Candidate 6]]))),(SamplingData[[#This Row],[Total]]+SamplingData[[#This Row],[Losing Candidate]]-SamplingData[[#This Row],[Candidate 6]])/(SamplingData[[#Totals],[Winning Candidate]]-SamplingData[[#Totals],[Candidate 6]]), 0)</f>
        <v>0</v>
      </c>
      <c r="V101" s="99">
        <f>IF(AND(SamplingData[[#This Row],[Total]]&lt;&gt; 0, NOT(ISBLANK(SamplingData[[#This Row],[Candidate 7]]))),(SamplingData[[#This Row],[Total]]+SamplingData[[#This Row],[Winning Candidate]]-SamplingData[[#This Row],[Candidate 7]])/(SamplingData[[#Totals],[Winning Candidate]]-SamplingData[[#Totals],[Candidate 7]]), 0)</f>
        <v>0</v>
      </c>
      <c r="W101" s="99">
        <f>IF(AND(SamplingData[[#This Row],[Total]]&lt;&gt; 0, NOT(ISBLANK(SamplingData[[#This Row],[Candidate 8]]))),(SamplingData[[#This Row],[Total]]+SamplingData[[#This Row],[Winning Candidate]]-SamplingData[[#This Row],[Candidate 8]])/(SamplingData[[#Totals],[Winning Candidate]]-SamplingData[[#Totals],[Candidate 8]]), 0)</f>
        <v>0</v>
      </c>
      <c r="X1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 s="99">
        <f>MAX(SamplingData[[#This Row],[Error Bound (up) - Max. possible relative overstatement - Losing Candidate]:[Error Bound (up) - Max. possible relative overstatement - Candidate 12]])</f>
        <v>2.6650823289764047E-2</v>
      </c>
      <c r="AC101" s="99">
        <f>IF(SamplingData[[#This Row],[Max Error Bound (up)]] = 0,0,SamplingData[[#This Row],[Max Error Bound (up)]]/SamplingData[[#Totals],[Max Error Bound (up)]])</f>
        <v>1.4269095139419076E-3</v>
      </c>
      <c r="AD101" s="103">
        <f>SUM($AC$5:AC101)</f>
        <v>0.12300732540807807</v>
      </c>
      <c r="AE101" s="99" t="str" cm="1">
        <f t="array" ref="AE101">IF(SamplingData[[#This Row],[up/U Selection Probability]] = 0, "Zero", TEXT(SamplingData[[#This Row],[Lower Range]], REPT("0",LEN('General Info'!$B$42))) &amp; " - " &amp; TEXT(SamplingData[[#This Row],[Upper Range]], REPT("0",LEN('General Info'!$B$42))))</f>
        <v>121580 - 123006</v>
      </c>
      <c r="AF101" s="99">
        <f>SamplingData[[#This Row],[Upper Range]]-SamplingData[[#This Row],[Span]]</f>
        <v>121580.41589413617</v>
      </c>
      <c r="AG101" s="99">
        <f>IF(ISNUMBER('General Info'!$B$42), ((SamplingData[[#This Row],[up/U Selection Probability]]) * 'General Info'!$B$44) - 1, 0)</f>
        <v>1425.9095139419076</v>
      </c>
      <c r="AH101" s="99">
        <f>IF(ISNUMBER('General Info'!$B$42), (SamplingData[[#This Row],[Running (cumulative) sum]] * ('General Info'!$B$42 -'General Info'!$B$43 + 1)) + 'General Info'!$B$43 - 1, 0)</f>
        <v>123006.32540807808</v>
      </c>
      <c r="AI101" s="99" t="str">
        <f>IF(ISERROR(MATCH(SamplingData[[#This Row],[Batch by Type (p)]],SelectedPrecincts[Batch Name], 0)), "", INDEX(SelectedPrecincts[Draw], MATCH(SamplingData[[#This Row],[Batch by Type (p)]],SelectedPrecincts[Batch Name], 0)))</f>
        <v/>
      </c>
      <c r="AJ101" s="100">
        <f>IF(COUNTIF(SelectedPrecincts[Batch Name],SamplingData[[#This Row],[Batch by Type (p)]]) &lt;&gt; 0, COUNTIF(SelectedPrecincts[Batch Name],SamplingData[[#This Row],[Batch by Type (p)]]), 0)</f>
        <v>0</v>
      </c>
    </row>
    <row r="102" spans="1:36" ht="15" customHeight="1" x14ac:dyDescent="0.35">
      <c r="A102" s="97" t="s">
        <v>315</v>
      </c>
      <c r="B102" s="97">
        <v>399</v>
      </c>
      <c r="C102" s="97">
        <v>91</v>
      </c>
      <c r="D102" s="92"/>
      <c r="E102" s="92"/>
      <c r="F102" s="92"/>
      <c r="G102" s="96"/>
      <c r="H102" s="96"/>
      <c r="I102" s="92"/>
      <c r="J102" s="92"/>
      <c r="K102" s="92"/>
      <c r="L102" s="92"/>
      <c r="M102" s="92"/>
      <c r="N102" s="97">
        <v>0</v>
      </c>
      <c r="O102" s="97">
        <v>25</v>
      </c>
      <c r="P102" s="98">
        <f>SUM(SamplingData[[#This Row],[Winning Candidate]:[Under Votes]])</f>
        <v>515</v>
      </c>
      <c r="Q102" s="99">
        <f>IF(AND(SamplingData[[#This Row],[Total]]&lt;&gt; 0, NOT(ISBLANK(SamplingData[[#This Row],[Losing Candidate]]))),(SamplingData[[#This Row],[Total]]+SamplingData[[#This Row],[Winning Candidate]]-SamplingData[[#This Row],[Losing Candidate]])/(SamplingData[[#Totals],[Winning Candidate]]-SamplingData[[#Totals],[Losing Candidate]]), 0)</f>
        <v>3.4926158546936002E-2</v>
      </c>
      <c r="R102" s="99">
        <f>IF(AND(SamplingData[[#This Row],[Total]]&lt;&gt; 0, NOT(ISBLANK(SamplingData[[#This Row],[Candidate 3]]))),(SamplingData[[#This Row],[Total]]+SamplingData[[#This Row],[Winning Candidate]]-SamplingData[[#This Row],[Candidate 3]])/(SamplingData[[#Totals],[Winning Candidate]]-SamplingData[[#Totals],[Candidate 3]]), 0)</f>
        <v>0</v>
      </c>
      <c r="S102" s="99">
        <f>IF(AND(SamplingData[[#This Row],[Total]]&lt;&gt; 0, NOT(ISBLANK(SamplingData[[#This Row],[Candidate 4]]))),(SamplingData[[#This Row],[Total]]+SamplingData[[#This Row],[Winning Candidate]]-SamplingData[[#This Row],[Candidate 4]])/(SamplingData[[#Totals],[Winning Candidate]]-SamplingData[[#Totals],[Candidate 4]]), 0)</f>
        <v>0</v>
      </c>
      <c r="T102" s="99">
        <f>IF(AND(SamplingData[[#This Row],[Total]]&lt;&gt; 0, NOT(ISBLANK(SamplingData[[#This Row],[Candidate 5]]))),(SamplingData[[#This Row],[Total]]+SamplingData[[#This Row],[Winning Candidate]]-SamplingData[[#This Row],[Candidate 5]])/(SamplingData[[#Totals],[Winning Candidate]]-SamplingData[[#Totals],[Candidate 5]]), 0)</f>
        <v>0</v>
      </c>
      <c r="U102" s="99">
        <f>IF(AND(SamplingData[[#This Row],[Total]]&lt;&gt; 0, NOT(ISBLANK(SamplingData[[#This Row],[Candidate 6]]))),(SamplingData[[#This Row],[Total]]+SamplingData[[#This Row],[Losing Candidate]]-SamplingData[[#This Row],[Candidate 6]])/(SamplingData[[#Totals],[Winning Candidate]]-SamplingData[[#Totals],[Candidate 6]]), 0)</f>
        <v>0</v>
      </c>
      <c r="V102" s="99">
        <f>IF(AND(SamplingData[[#This Row],[Total]]&lt;&gt; 0, NOT(ISBLANK(SamplingData[[#This Row],[Candidate 7]]))),(SamplingData[[#This Row],[Total]]+SamplingData[[#This Row],[Winning Candidate]]-SamplingData[[#This Row],[Candidate 7]])/(SamplingData[[#Totals],[Winning Candidate]]-SamplingData[[#Totals],[Candidate 7]]), 0)</f>
        <v>0</v>
      </c>
      <c r="W102" s="99">
        <f>IF(AND(SamplingData[[#This Row],[Total]]&lt;&gt; 0, NOT(ISBLANK(SamplingData[[#This Row],[Candidate 8]]))),(SamplingData[[#This Row],[Total]]+SamplingData[[#This Row],[Winning Candidate]]-SamplingData[[#This Row],[Candidate 8]])/(SamplingData[[#Totals],[Winning Candidate]]-SamplingData[[#Totals],[Candidate 8]]), 0)</f>
        <v>0</v>
      </c>
      <c r="X1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 s="99">
        <f>MAX(SamplingData[[#This Row],[Error Bound (up) - Max. possible relative overstatement - Losing Candidate]:[Error Bound (up) - Max. possible relative overstatement - Candidate 12]])</f>
        <v>3.4926158546936002E-2</v>
      </c>
      <c r="AC102" s="99">
        <f>IF(SamplingData[[#This Row],[Max Error Bound (up)]] = 0,0,SamplingData[[#This Row],[Max Error Bound (up)]]/SamplingData[[#Totals],[Max Error Bound (up)]])</f>
        <v>1.869978550914315E-3</v>
      </c>
      <c r="AD102" s="103">
        <f>SUM($AC$5:AC102)</f>
        <v>0.12487730395899238</v>
      </c>
      <c r="AE102" s="99" t="str" cm="1">
        <f t="array" ref="AE102">IF(SamplingData[[#This Row],[up/U Selection Probability]] = 0, "Zero", TEXT(SamplingData[[#This Row],[Lower Range]], REPT("0",LEN('General Info'!$B$42))) &amp; " - " &amp; TEXT(SamplingData[[#This Row],[Upper Range]], REPT("0",LEN('General Info'!$B$42))))</f>
        <v>123007 - 124876</v>
      </c>
      <c r="AF102" s="99">
        <f>SamplingData[[#This Row],[Upper Range]]-SamplingData[[#This Row],[Span]]</f>
        <v>123007.32540807808</v>
      </c>
      <c r="AG102" s="99">
        <f>IF(ISNUMBER('General Info'!$B$42), ((SamplingData[[#This Row],[up/U Selection Probability]]) * 'General Info'!$B$44) - 1, 0)</f>
        <v>1868.9785509143151</v>
      </c>
      <c r="AH102" s="99">
        <f>IF(ISNUMBER('General Info'!$B$42), (SamplingData[[#This Row],[Running (cumulative) sum]] * ('General Info'!$B$42 -'General Info'!$B$43 + 1)) + 'General Info'!$B$43 - 1, 0)</f>
        <v>124876.30395899239</v>
      </c>
      <c r="AI102" s="99" t="str">
        <f>IF(ISERROR(MATCH(SamplingData[[#This Row],[Batch by Type (p)]],SelectedPrecincts[Batch Name], 0)), "", INDEX(SelectedPrecincts[Draw], MATCH(SamplingData[[#This Row],[Batch by Type (p)]],SelectedPrecincts[Batch Name], 0)))</f>
        <v/>
      </c>
      <c r="AJ102" s="100">
        <f>IF(COUNTIF(SelectedPrecincts[Batch Name],SamplingData[[#This Row],[Batch by Type (p)]]) &lt;&gt; 0, COUNTIF(SelectedPrecincts[Batch Name],SamplingData[[#This Row],[Batch by Type (p)]]), 0)</f>
        <v>0</v>
      </c>
    </row>
    <row r="103" spans="1:36" ht="15" customHeight="1" x14ac:dyDescent="0.35">
      <c r="A103" s="97" t="s">
        <v>316</v>
      </c>
      <c r="B103" s="97">
        <v>418</v>
      </c>
      <c r="C103" s="97">
        <v>105</v>
      </c>
      <c r="D103" s="92"/>
      <c r="E103" s="92"/>
      <c r="F103" s="92"/>
      <c r="G103" s="96"/>
      <c r="H103" s="96"/>
      <c r="I103" s="92"/>
      <c r="J103" s="92"/>
      <c r="K103" s="92"/>
      <c r="L103" s="92"/>
      <c r="M103" s="92"/>
      <c r="N103" s="97">
        <v>0</v>
      </c>
      <c r="O103" s="97">
        <v>29</v>
      </c>
      <c r="P103" s="98">
        <f>SUM(SamplingData[[#This Row],[Winning Candidate]:[Under Votes]])</f>
        <v>552</v>
      </c>
      <c r="Q103" s="99">
        <f>IF(AND(SamplingData[[#This Row],[Total]]&lt;&gt; 0, NOT(ISBLANK(SamplingData[[#This Row],[Losing Candidate]]))),(SamplingData[[#This Row],[Total]]+SamplingData[[#This Row],[Winning Candidate]]-SamplingData[[#This Row],[Losing Candidate]])/(SamplingData[[#Totals],[Winning Candidate]]-SamplingData[[#Totals],[Losing Candidate]]), 0)</f>
        <v>3.6708538448480731E-2</v>
      </c>
      <c r="R103" s="99">
        <f>IF(AND(SamplingData[[#This Row],[Total]]&lt;&gt; 0, NOT(ISBLANK(SamplingData[[#This Row],[Candidate 3]]))),(SamplingData[[#This Row],[Total]]+SamplingData[[#This Row],[Winning Candidate]]-SamplingData[[#This Row],[Candidate 3]])/(SamplingData[[#Totals],[Winning Candidate]]-SamplingData[[#Totals],[Candidate 3]]), 0)</f>
        <v>0</v>
      </c>
      <c r="S103" s="99">
        <f>IF(AND(SamplingData[[#This Row],[Total]]&lt;&gt; 0, NOT(ISBLANK(SamplingData[[#This Row],[Candidate 4]]))),(SamplingData[[#This Row],[Total]]+SamplingData[[#This Row],[Winning Candidate]]-SamplingData[[#This Row],[Candidate 4]])/(SamplingData[[#Totals],[Winning Candidate]]-SamplingData[[#Totals],[Candidate 4]]), 0)</f>
        <v>0</v>
      </c>
      <c r="T103" s="99">
        <f>IF(AND(SamplingData[[#This Row],[Total]]&lt;&gt; 0, NOT(ISBLANK(SamplingData[[#This Row],[Candidate 5]]))),(SamplingData[[#This Row],[Total]]+SamplingData[[#This Row],[Winning Candidate]]-SamplingData[[#This Row],[Candidate 5]])/(SamplingData[[#Totals],[Winning Candidate]]-SamplingData[[#Totals],[Candidate 5]]), 0)</f>
        <v>0</v>
      </c>
      <c r="U103" s="99">
        <f>IF(AND(SamplingData[[#This Row],[Total]]&lt;&gt; 0, NOT(ISBLANK(SamplingData[[#This Row],[Candidate 6]]))),(SamplingData[[#This Row],[Total]]+SamplingData[[#This Row],[Losing Candidate]]-SamplingData[[#This Row],[Candidate 6]])/(SamplingData[[#Totals],[Winning Candidate]]-SamplingData[[#Totals],[Candidate 6]]), 0)</f>
        <v>0</v>
      </c>
      <c r="V103" s="99">
        <f>IF(AND(SamplingData[[#This Row],[Total]]&lt;&gt; 0, NOT(ISBLANK(SamplingData[[#This Row],[Candidate 7]]))),(SamplingData[[#This Row],[Total]]+SamplingData[[#This Row],[Winning Candidate]]-SamplingData[[#This Row],[Candidate 7]])/(SamplingData[[#Totals],[Winning Candidate]]-SamplingData[[#Totals],[Candidate 7]]), 0)</f>
        <v>0</v>
      </c>
      <c r="W103" s="99">
        <f>IF(AND(SamplingData[[#This Row],[Total]]&lt;&gt; 0, NOT(ISBLANK(SamplingData[[#This Row],[Candidate 8]]))),(SamplingData[[#This Row],[Total]]+SamplingData[[#This Row],[Winning Candidate]]-SamplingData[[#This Row],[Candidate 8]])/(SamplingData[[#Totals],[Winning Candidate]]-SamplingData[[#Totals],[Candidate 8]]), 0)</f>
        <v>0</v>
      </c>
      <c r="X1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 s="99">
        <f>MAX(SamplingData[[#This Row],[Error Bound (up) - Max. possible relative overstatement - Losing Candidate]:[Error Bound (up) - Max. possible relative overstatement - Candidate 12]])</f>
        <v>3.6708538448480731E-2</v>
      </c>
      <c r="AC103" s="99">
        <f>IF(SamplingData[[#This Row],[Max Error Bound (up)]] = 0,0,SamplingData[[#This Row],[Max Error Bound (up)]]/SamplingData[[#Totals],[Max Error Bound (up)]])</f>
        <v>1.9654088050314487E-3</v>
      </c>
      <c r="AD103" s="103">
        <f>SUM($AC$5:AC103)</f>
        <v>0.12684271276402384</v>
      </c>
      <c r="AE103" s="99" t="str" cm="1">
        <f t="array" ref="AE103">IF(SamplingData[[#This Row],[up/U Selection Probability]] = 0, "Zero", TEXT(SamplingData[[#This Row],[Lower Range]], REPT("0",LEN('General Info'!$B$42))) &amp; " - " &amp; TEXT(SamplingData[[#This Row],[Upper Range]], REPT("0",LEN('General Info'!$B$42))))</f>
        <v>124877 - 126842</v>
      </c>
      <c r="AF103" s="99">
        <f>SamplingData[[#This Row],[Upper Range]]-SamplingData[[#This Row],[Span]]</f>
        <v>124877.3039589924</v>
      </c>
      <c r="AG103" s="99">
        <f>IF(ISNUMBER('General Info'!$B$42), ((SamplingData[[#This Row],[up/U Selection Probability]]) * 'General Info'!$B$44) - 1, 0)</f>
        <v>1964.4088050314488</v>
      </c>
      <c r="AH103" s="99">
        <f>IF(ISNUMBER('General Info'!$B$42), (SamplingData[[#This Row],[Running (cumulative) sum]] * ('General Info'!$B$42 -'General Info'!$B$43 + 1)) + 'General Info'!$B$43 - 1, 0)</f>
        <v>126841.71276402385</v>
      </c>
      <c r="AI103" s="99" t="str">
        <f>IF(ISERROR(MATCH(SamplingData[[#This Row],[Batch by Type (p)]],SelectedPrecincts[Batch Name], 0)), "", INDEX(SelectedPrecincts[Draw], MATCH(SamplingData[[#This Row],[Batch by Type (p)]],SelectedPrecincts[Batch Name], 0)))</f>
        <v/>
      </c>
      <c r="AJ103" s="100">
        <f>IF(COUNTIF(SelectedPrecincts[Batch Name],SamplingData[[#This Row],[Batch by Type (p)]]) &lt;&gt; 0, COUNTIF(SelectedPrecincts[Batch Name],SamplingData[[#This Row],[Batch by Type (p)]]), 0)</f>
        <v>0</v>
      </c>
    </row>
    <row r="104" spans="1:36" ht="15" customHeight="1" x14ac:dyDescent="0.35">
      <c r="A104" s="97" t="s">
        <v>317</v>
      </c>
      <c r="B104" s="97">
        <v>324</v>
      </c>
      <c r="C104" s="97">
        <v>33</v>
      </c>
      <c r="D104" s="92"/>
      <c r="E104" s="92"/>
      <c r="F104" s="92"/>
      <c r="G104" s="96"/>
      <c r="H104" s="96"/>
      <c r="I104" s="92"/>
      <c r="J104" s="92"/>
      <c r="K104" s="92"/>
      <c r="L104" s="92"/>
      <c r="M104" s="92"/>
      <c r="N104" s="97">
        <v>0</v>
      </c>
      <c r="O104" s="97">
        <v>13</v>
      </c>
      <c r="P104" s="98">
        <f>SUM(SamplingData[[#This Row],[Winning Candidate]:[Under Votes]])</f>
        <v>370</v>
      </c>
      <c r="Q104" s="99">
        <f>IF(AND(SamplingData[[#This Row],[Total]]&lt;&gt; 0, NOT(ISBLANK(SamplingData[[#This Row],[Losing Candidate]]))),(SamplingData[[#This Row],[Total]]+SamplingData[[#This Row],[Winning Candidate]]-SamplingData[[#This Row],[Losing Candidate]])/(SamplingData[[#Totals],[Winning Candidate]]-SamplingData[[#Totals],[Losing Candidate]]), 0)</f>
        <v>2.8051264640977763E-2</v>
      </c>
      <c r="R104" s="99">
        <f>IF(AND(SamplingData[[#This Row],[Total]]&lt;&gt; 0, NOT(ISBLANK(SamplingData[[#This Row],[Candidate 3]]))),(SamplingData[[#This Row],[Total]]+SamplingData[[#This Row],[Winning Candidate]]-SamplingData[[#This Row],[Candidate 3]])/(SamplingData[[#Totals],[Winning Candidate]]-SamplingData[[#Totals],[Candidate 3]]), 0)</f>
        <v>0</v>
      </c>
      <c r="S104" s="99">
        <f>IF(AND(SamplingData[[#This Row],[Total]]&lt;&gt; 0, NOT(ISBLANK(SamplingData[[#This Row],[Candidate 4]]))),(SamplingData[[#This Row],[Total]]+SamplingData[[#This Row],[Winning Candidate]]-SamplingData[[#This Row],[Candidate 4]])/(SamplingData[[#Totals],[Winning Candidate]]-SamplingData[[#Totals],[Candidate 4]]), 0)</f>
        <v>0</v>
      </c>
      <c r="T104" s="99">
        <f>IF(AND(SamplingData[[#This Row],[Total]]&lt;&gt; 0, NOT(ISBLANK(SamplingData[[#This Row],[Candidate 5]]))),(SamplingData[[#This Row],[Total]]+SamplingData[[#This Row],[Winning Candidate]]-SamplingData[[#This Row],[Candidate 5]])/(SamplingData[[#Totals],[Winning Candidate]]-SamplingData[[#Totals],[Candidate 5]]), 0)</f>
        <v>0</v>
      </c>
      <c r="U104" s="99">
        <f>IF(AND(SamplingData[[#This Row],[Total]]&lt;&gt; 0, NOT(ISBLANK(SamplingData[[#This Row],[Candidate 6]]))),(SamplingData[[#This Row],[Total]]+SamplingData[[#This Row],[Losing Candidate]]-SamplingData[[#This Row],[Candidate 6]])/(SamplingData[[#Totals],[Winning Candidate]]-SamplingData[[#Totals],[Candidate 6]]), 0)</f>
        <v>0</v>
      </c>
      <c r="V104" s="99">
        <f>IF(AND(SamplingData[[#This Row],[Total]]&lt;&gt; 0, NOT(ISBLANK(SamplingData[[#This Row],[Candidate 7]]))),(SamplingData[[#This Row],[Total]]+SamplingData[[#This Row],[Winning Candidate]]-SamplingData[[#This Row],[Candidate 7]])/(SamplingData[[#Totals],[Winning Candidate]]-SamplingData[[#Totals],[Candidate 7]]), 0)</f>
        <v>0</v>
      </c>
      <c r="W104" s="99">
        <f>IF(AND(SamplingData[[#This Row],[Total]]&lt;&gt; 0, NOT(ISBLANK(SamplingData[[#This Row],[Candidate 8]]))),(SamplingData[[#This Row],[Total]]+SamplingData[[#This Row],[Winning Candidate]]-SamplingData[[#This Row],[Candidate 8]])/(SamplingData[[#Totals],[Winning Candidate]]-SamplingData[[#Totals],[Candidate 8]]), 0)</f>
        <v>0</v>
      </c>
      <c r="X1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 s="99">
        <f>MAX(SamplingData[[#This Row],[Error Bound (up) - Max. possible relative overstatement - Losing Candidate]:[Error Bound (up) - Max. possible relative overstatement - Candidate 12]])</f>
        <v>2.8051264640977763E-2</v>
      </c>
      <c r="AC104" s="99">
        <f>IF(SamplingData[[#This Row],[Max Error Bound (up)]] = 0,0,SamplingData[[#This Row],[Max Error Bound (up)]]/SamplingData[[#Totals],[Max Error Bound (up)]])</f>
        <v>1.5018904278910842E-3</v>
      </c>
      <c r="AD104" s="103">
        <f>SUM($AC$5:AC104)</f>
        <v>0.12834460319191493</v>
      </c>
      <c r="AE104" s="99" t="str" cm="1">
        <f t="array" ref="AE104">IF(SamplingData[[#This Row],[up/U Selection Probability]] = 0, "Zero", TEXT(SamplingData[[#This Row],[Lower Range]], REPT("0",LEN('General Info'!$B$42))) &amp; " - " &amp; TEXT(SamplingData[[#This Row],[Upper Range]], REPT("0",LEN('General Info'!$B$42))))</f>
        <v>126843 - 128344</v>
      </c>
      <c r="AF104" s="99">
        <f>SamplingData[[#This Row],[Upper Range]]-SamplingData[[#This Row],[Span]]</f>
        <v>126842.71276402385</v>
      </c>
      <c r="AG104" s="99">
        <f>IF(ISNUMBER('General Info'!$B$42), ((SamplingData[[#This Row],[up/U Selection Probability]]) * 'General Info'!$B$44) - 1, 0)</f>
        <v>1500.8904278910843</v>
      </c>
      <c r="AH104" s="99">
        <f>IF(ISNUMBER('General Info'!$B$42), (SamplingData[[#This Row],[Running (cumulative) sum]] * ('General Info'!$B$42 -'General Info'!$B$43 + 1)) + 'General Info'!$B$43 - 1, 0)</f>
        <v>128343.60319191492</v>
      </c>
      <c r="AI104" s="99" t="str">
        <f>IF(ISERROR(MATCH(SamplingData[[#This Row],[Batch by Type (p)]],SelectedPrecincts[Batch Name], 0)), "", INDEX(SelectedPrecincts[Draw], MATCH(SamplingData[[#This Row],[Batch by Type (p)]],SelectedPrecincts[Batch Name], 0)))</f>
        <v/>
      </c>
      <c r="AJ104" s="100">
        <f>IF(COUNTIF(SelectedPrecincts[Batch Name],SamplingData[[#This Row],[Batch by Type (p)]]) &lt;&gt; 0, COUNTIF(SelectedPrecincts[Batch Name],SamplingData[[#This Row],[Batch by Type (p)]]), 0)</f>
        <v>0</v>
      </c>
    </row>
    <row r="105" spans="1:36" ht="15" customHeight="1" x14ac:dyDescent="0.35">
      <c r="A105" s="97" t="s">
        <v>318</v>
      </c>
      <c r="B105" s="97">
        <v>387</v>
      </c>
      <c r="C105" s="97">
        <v>67</v>
      </c>
      <c r="D105" s="92"/>
      <c r="E105" s="92"/>
      <c r="F105" s="92"/>
      <c r="G105" s="96"/>
      <c r="H105" s="96"/>
      <c r="I105" s="92"/>
      <c r="J105" s="92"/>
      <c r="K105" s="92"/>
      <c r="L105" s="92"/>
      <c r="M105" s="92"/>
      <c r="N105" s="97">
        <v>0</v>
      </c>
      <c r="O105" s="97">
        <v>16</v>
      </c>
      <c r="P105" s="98">
        <f>SUM(SamplingData[[#This Row],[Winning Candidate]:[Under Votes]])</f>
        <v>470</v>
      </c>
      <c r="Q105" s="99">
        <f>IF(AND(SamplingData[[#This Row],[Total]]&lt;&gt; 0, NOT(ISBLANK(SamplingData[[#This Row],[Losing Candidate]]))),(SamplingData[[#This Row],[Total]]+SamplingData[[#This Row],[Winning Candidate]]-SamplingData[[#This Row],[Losing Candidate]])/(SamplingData[[#Totals],[Winning Candidate]]-SamplingData[[#Totals],[Losing Candidate]]), 0)</f>
        <v>3.3525717195722289E-2</v>
      </c>
      <c r="R105" s="99">
        <f>IF(AND(SamplingData[[#This Row],[Total]]&lt;&gt; 0, NOT(ISBLANK(SamplingData[[#This Row],[Candidate 3]]))),(SamplingData[[#This Row],[Total]]+SamplingData[[#This Row],[Winning Candidate]]-SamplingData[[#This Row],[Candidate 3]])/(SamplingData[[#Totals],[Winning Candidate]]-SamplingData[[#Totals],[Candidate 3]]), 0)</f>
        <v>0</v>
      </c>
      <c r="S105" s="99">
        <f>IF(AND(SamplingData[[#This Row],[Total]]&lt;&gt; 0, NOT(ISBLANK(SamplingData[[#This Row],[Candidate 4]]))),(SamplingData[[#This Row],[Total]]+SamplingData[[#This Row],[Winning Candidate]]-SamplingData[[#This Row],[Candidate 4]])/(SamplingData[[#Totals],[Winning Candidate]]-SamplingData[[#Totals],[Candidate 4]]), 0)</f>
        <v>0</v>
      </c>
      <c r="T105" s="99">
        <f>IF(AND(SamplingData[[#This Row],[Total]]&lt;&gt; 0, NOT(ISBLANK(SamplingData[[#This Row],[Candidate 5]]))),(SamplingData[[#This Row],[Total]]+SamplingData[[#This Row],[Winning Candidate]]-SamplingData[[#This Row],[Candidate 5]])/(SamplingData[[#Totals],[Winning Candidate]]-SamplingData[[#Totals],[Candidate 5]]), 0)</f>
        <v>0</v>
      </c>
      <c r="U105" s="99">
        <f>IF(AND(SamplingData[[#This Row],[Total]]&lt;&gt; 0, NOT(ISBLANK(SamplingData[[#This Row],[Candidate 6]]))),(SamplingData[[#This Row],[Total]]+SamplingData[[#This Row],[Losing Candidate]]-SamplingData[[#This Row],[Candidate 6]])/(SamplingData[[#Totals],[Winning Candidate]]-SamplingData[[#Totals],[Candidate 6]]), 0)</f>
        <v>0</v>
      </c>
      <c r="V105" s="99">
        <f>IF(AND(SamplingData[[#This Row],[Total]]&lt;&gt; 0, NOT(ISBLANK(SamplingData[[#This Row],[Candidate 7]]))),(SamplingData[[#This Row],[Total]]+SamplingData[[#This Row],[Winning Candidate]]-SamplingData[[#This Row],[Candidate 7]])/(SamplingData[[#Totals],[Winning Candidate]]-SamplingData[[#Totals],[Candidate 7]]), 0)</f>
        <v>0</v>
      </c>
      <c r="W105" s="99">
        <f>IF(AND(SamplingData[[#This Row],[Total]]&lt;&gt; 0, NOT(ISBLANK(SamplingData[[#This Row],[Candidate 8]]))),(SamplingData[[#This Row],[Total]]+SamplingData[[#This Row],[Winning Candidate]]-SamplingData[[#This Row],[Candidate 8]])/(SamplingData[[#Totals],[Winning Candidate]]-SamplingData[[#Totals],[Candidate 8]]), 0)</f>
        <v>0</v>
      </c>
      <c r="X1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 s="99">
        <f>MAX(SamplingData[[#This Row],[Error Bound (up) - Max. possible relative overstatement - Losing Candidate]:[Error Bound (up) - Max. possible relative overstatement - Candidate 12]])</f>
        <v>3.3525717195722289E-2</v>
      </c>
      <c r="AC105" s="99">
        <f>IF(SamplingData[[#This Row],[Max Error Bound (up)]] = 0,0,SamplingData[[#This Row],[Max Error Bound (up)]]/SamplingData[[#Totals],[Max Error Bound (up)]])</f>
        <v>1.7949976369651384E-3</v>
      </c>
      <c r="AD105" s="103">
        <f>SUM($AC$5:AC105)</f>
        <v>0.13013960082888007</v>
      </c>
      <c r="AE105" s="99" t="str" cm="1">
        <f t="array" ref="AE105">IF(SamplingData[[#This Row],[up/U Selection Probability]] = 0, "Zero", TEXT(SamplingData[[#This Row],[Lower Range]], REPT("0",LEN('General Info'!$B$42))) &amp; " - " &amp; TEXT(SamplingData[[#This Row],[Upper Range]], REPT("0",LEN('General Info'!$B$42))))</f>
        <v>128345 - 130139</v>
      </c>
      <c r="AF105" s="99">
        <f>SamplingData[[#This Row],[Upper Range]]-SamplingData[[#This Row],[Span]]</f>
        <v>128344.60319191492</v>
      </c>
      <c r="AG105" s="99">
        <f>IF(ISNUMBER('General Info'!$B$42), ((SamplingData[[#This Row],[up/U Selection Probability]]) * 'General Info'!$B$44) - 1, 0)</f>
        <v>1793.9976369651383</v>
      </c>
      <c r="AH105" s="99">
        <f>IF(ISNUMBER('General Info'!$B$42), (SamplingData[[#This Row],[Running (cumulative) sum]] * ('General Info'!$B$42 -'General Info'!$B$43 + 1)) + 'General Info'!$B$43 - 1, 0)</f>
        <v>130138.60082888007</v>
      </c>
      <c r="AI105" s="99" t="str">
        <f>IF(ISERROR(MATCH(SamplingData[[#This Row],[Batch by Type (p)]],SelectedPrecincts[Batch Name], 0)), "", INDEX(SelectedPrecincts[Draw], MATCH(SamplingData[[#This Row],[Batch by Type (p)]],SelectedPrecincts[Batch Name], 0)))</f>
        <v/>
      </c>
      <c r="AJ105" s="100">
        <f>IF(COUNTIF(SelectedPrecincts[Batch Name],SamplingData[[#This Row],[Batch by Type (p)]]) &lt;&gt; 0, COUNTIF(SelectedPrecincts[Batch Name],SamplingData[[#This Row],[Batch by Type (p)]]), 0)</f>
        <v>0</v>
      </c>
    </row>
    <row r="106" spans="1:36" ht="15" customHeight="1" x14ac:dyDescent="0.35">
      <c r="A106" s="97" t="s">
        <v>319</v>
      </c>
      <c r="B106" s="97">
        <v>141</v>
      </c>
      <c r="C106" s="97">
        <v>13</v>
      </c>
      <c r="D106" s="92"/>
      <c r="E106" s="92"/>
      <c r="F106" s="92"/>
      <c r="G106" s="96"/>
      <c r="H106" s="96"/>
      <c r="I106" s="92"/>
      <c r="J106" s="92"/>
      <c r="K106" s="92"/>
      <c r="L106" s="92"/>
      <c r="M106" s="92"/>
      <c r="N106" s="97">
        <v>0</v>
      </c>
      <c r="O106" s="97">
        <v>7</v>
      </c>
      <c r="P106" s="98">
        <f>SUM(SamplingData[[#This Row],[Winning Candidate]:[Under Votes]])</f>
        <v>161</v>
      </c>
      <c r="Q106" s="99">
        <f>IF(AND(SamplingData[[#This Row],[Total]]&lt;&gt; 0, NOT(ISBLANK(SamplingData[[#This Row],[Losing Candidate]]))),(SamplingData[[#This Row],[Total]]+SamplingData[[#This Row],[Winning Candidate]]-SamplingData[[#This Row],[Losing Candidate]])/(SamplingData[[#Totals],[Winning Candidate]]-SamplingData[[#Totals],[Losing Candidate]]), 0)</f>
        <v>1.2264471227295876E-2</v>
      </c>
      <c r="R106" s="99">
        <f>IF(AND(SamplingData[[#This Row],[Total]]&lt;&gt; 0, NOT(ISBLANK(SamplingData[[#This Row],[Candidate 3]]))),(SamplingData[[#This Row],[Total]]+SamplingData[[#This Row],[Winning Candidate]]-SamplingData[[#This Row],[Candidate 3]])/(SamplingData[[#Totals],[Winning Candidate]]-SamplingData[[#Totals],[Candidate 3]]), 0)</f>
        <v>0</v>
      </c>
      <c r="S106" s="99">
        <f>IF(AND(SamplingData[[#This Row],[Total]]&lt;&gt; 0, NOT(ISBLANK(SamplingData[[#This Row],[Candidate 4]]))),(SamplingData[[#This Row],[Total]]+SamplingData[[#This Row],[Winning Candidate]]-SamplingData[[#This Row],[Candidate 4]])/(SamplingData[[#Totals],[Winning Candidate]]-SamplingData[[#Totals],[Candidate 4]]), 0)</f>
        <v>0</v>
      </c>
      <c r="T106" s="99">
        <f>IF(AND(SamplingData[[#This Row],[Total]]&lt;&gt; 0, NOT(ISBLANK(SamplingData[[#This Row],[Candidate 5]]))),(SamplingData[[#This Row],[Total]]+SamplingData[[#This Row],[Winning Candidate]]-SamplingData[[#This Row],[Candidate 5]])/(SamplingData[[#Totals],[Winning Candidate]]-SamplingData[[#Totals],[Candidate 5]]), 0)</f>
        <v>0</v>
      </c>
      <c r="U106" s="99">
        <f>IF(AND(SamplingData[[#This Row],[Total]]&lt;&gt; 0, NOT(ISBLANK(SamplingData[[#This Row],[Candidate 6]]))),(SamplingData[[#This Row],[Total]]+SamplingData[[#This Row],[Losing Candidate]]-SamplingData[[#This Row],[Candidate 6]])/(SamplingData[[#Totals],[Winning Candidate]]-SamplingData[[#Totals],[Candidate 6]]), 0)</f>
        <v>0</v>
      </c>
      <c r="V106" s="99">
        <f>IF(AND(SamplingData[[#This Row],[Total]]&lt;&gt; 0, NOT(ISBLANK(SamplingData[[#This Row],[Candidate 7]]))),(SamplingData[[#This Row],[Total]]+SamplingData[[#This Row],[Winning Candidate]]-SamplingData[[#This Row],[Candidate 7]])/(SamplingData[[#Totals],[Winning Candidate]]-SamplingData[[#Totals],[Candidate 7]]), 0)</f>
        <v>0</v>
      </c>
      <c r="W106" s="99">
        <f>IF(AND(SamplingData[[#This Row],[Total]]&lt;&gt; 0, NOT(ISBLANK(SamplingData[[#This Row],[Candidate 8]]))),(SamplingData[[#This Row],[Total]]+SamplingData[[#This Row],[Winning Candidate]]-SamplingData[[#This Row],[Candidate 8]])/(SamplingData[[#Totals],[Winning Candidate]]-SamplingData[[#Totals],[Candidate 8]]), 0)</f>
        <v>0</v>
      </c>
      <c r="X1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 s="99">
        <f>MAX(SamplingData[[#This Row],[Error Bound (up) - Max. possible relative overstatement - Losing Candidate]:[Error Bound (up) - Max. possible relative overstatement - Candidate 12]])</f>
        <v>1.2264471227295876E-2</v>
      </c>
      <c r="AC106" s="99">
        <f>IF(SamplingData[[#This Row],[Max Error Bound (up)]] = 0,0,SamplingData[[#This Row],[Max Error Bound (up)]]/SamplingData[[#Totals],[Max Error Bound (up)]])</f>
        <v>6.566510342821836E-4</v>
      </c>
      <c r="AD106" s="103">
        <f>SUM($AC$5:AC106)</f>
        <v>0.13079625186316227</v>
      </c>
      <c r="AE106" s="99" t="str" cm="1">
        <f t="array" ref="AE106">IF(SamplingData[[#This Row],[up/U Selection Probability]] = 0, "Zero", TEXT(SamplingData[[#This Row],[Lower Range]], REPT("0",LEN('General Info'!$B$42))) &amp; " - " &amp; TEXT(SamplingData[[#This Row],[Upper Range]], REPT("0",LEN('General Info'!$B$42))))</f>
        <v>130140 - 130795</v>
      </c>
      <c r="AF106" s="99">
        <f>SamplingData[[#This Row],[Upper Range]]-SamplingData[[#This Row],[Span]]</f>
        <v>130139.60082888008</v>
      </c>
      <c r="AG106" s="99">
        <f>IF(ISNUMBER('General Info'!$B$42), ((SamplingData[[#This Row],[up/U Selection Probability]]) * 'General Info'!$B$44) - 1, 0)</f>
        <v>655.65103428218356</v>
      </c>
      <c r="AH106" s="99">
        <f>IF(ISNUMBER('General Info'!$B$42), (SamplingData[[#This Row],[Running (cumulative) sum]] * ('General Info'!$B$42 -'General Info'!$B$43 + 1)) + 'General Info'!$B$43 - 1, 0)</f>
        <v>130795.25186316227</v>
      </c>
      <c r="AI106" s="99" t="str">
        <f>IF(ISERROR(MATCH(SamplingData[[#This Row],[Batch by Type (p)]],SelectedPrecincts[Batch Name], 0)), "", INDEX(SelectedPrecincts[Draw], MATCH(SamplingData[[#This Row],[Batch by Type (p)]],SelectedPrecincts[Batch Name], 0)))</f>
        <v/>
      </c>
      <c r="AJ106" s="100">
        <f>IF(COUNTIF(SelectedPrecincts[Batch Name],SamplingData[[#This Row],[Batch by Type (p)]]) &lt;&gt; 0, COUNTIF(SelectedPrecincts[Batch Name],SamplingData[[#This Row],[Batch by Type (p)]]), 0)</f>
        <v>0</v>
      </c>
    </row>
    <row r="107" spans="1:36" ht="15" customHeight="1" x14ac:dyDescent="0.35">
      <c r="A107" s="97" t="s">
        <v>320</v>
      </c>
      <c r="B107" s="97">
        <v>222</v>
      </c>
      <c r="C107" s="97">
        <v>21</v>
      </c>
      <c r="D107" s="92"/>
      <c r="E107" s="92"/>
      <c r="F107" s="92"/>
      <c r="G107" s="96"/>
      <c r="H107" s="96"/>
      <c r="I107" s="92"/>
      <c r="J107" s="92"/>
      <c r="K107" s="92"/>
      <c r="L107" s="92"/>
      <c r="M107" s="92"/>
      <c r="N107" s="97">
        <v>0</v>
      </c>
      <c r="O107" s="97">
        <v>14</v>
      </c>
      <c r="P107" s="98">
        <f>SUM(SamplingData[[#This Row],[Winning Candidate]:[Under Votes]])</f>
        <v>257</v>
      </c>
      <c r="Q107" s="99">
        <f>IF(AND(SamplingData[[#This Row],[Total]]&lt;&gt; 0, NOT(ISBLANK(SamplingData[[#This Row],[Losing Candidate]]))),(SamplingData[[#This Row],[Total]]+SamplingData[[#This Row],[Winning Candidate]]-SamplingData[[#This Row],[Losing Candidate]])/(SamplingData[[#Totals],[Winning Candidate]]-SamplingData[[#Totals],[Losing Candidate]]), 0)</f>
        <v>1.9436428450178237E-2</v>
      </c>
      <c r="R107" s="99">
        <f>IF(AND(SamplingData[[#This Row],[Total]]&lt;&gt; 0, NOT(ISBLANK(SamplingData[[#This Row],[Candidate 3]]))),(SamplingData[[#This Row],[Total]]+SamplingData[[#This Row],[Winning Candidate]]-SamplingData[[#This Row],[Candidate 3]])/(SamplingData[[#Totals],[Winning Candidate]]-SamplingData[[#Totals],[Candidate 3]]), 0)</f>
        <v>0</v>
      </c>
      <c r="S107" s="99">
        <f>IF(AND(SamplingData[[#This Row],[Total]]&lt;&gt; 0, NOT(ISBLANK(SamplingData[[#This Row],[Candidate 4]]))),(SamplingData[[#This Row],[Total]]+SamplingData[[#This Row],[Winning Candidate]]-SamplingData[[#This Row],[Candidate 4]])/(SamplingData[[#Totals],[Winning Candidate]]-SamplingData[[#Totals],[Candidate 4]]), 0)</f>
        <v>0</v>
      </c>
      <c r="T107" s="99">
        <f>IF(AND(SamplingData[[#This Row],[Total]]&lt;&gt; 0, NOT(ISBLANK(SamplingData[[#This Row],[Candidate 5]]))),(SamplingData[[#This Row],[Total]]+SamplingData[[#This Row],[Winning Candidate]]-SamplingData[[#This Row],[Candidate 5]])/(SamplingData[[#Totals],[Winning Candidate]]-SamplingData[[#Totals],[Candidate 5]]), 0)</f>
        <v>0</v>
      </c>
      <c r="U107" s="99">
        <f>IF(AND(SamplingData[[#This Row],[Total]]&lt;&gt; 0, NOT(ISBLANK(SamplingData[[#This Row],[Candidate 6]]))),(SamplingData[[#This Row],[Total]]+SamplingData[[#This Row],[Losing Candidate]]-SamplingData[[#This Row],[Candidate 6]])/(SamplingData[[#Totals],[Winning Candidate]]-SamplingData[[#Totals],[Candidate 6]]), 0)</f>
        <v>0</v>
      </c>
      <c r="V107" s="99">
        <f>IF(AND(SamplingData[[#This Row],[Total]]&lt;&gt; 0, NOT(ISBLANK(SamplingData[[#This Row],[Candidate 7]]))),(SamplingData[[#This Row],[Total]]+SamplingData[[#This Row],[Winning Candidate]]-SamplingData[[#This Row],[Candidate 7]])/(SamplingData[[#Totals],[Winning Candidate]]-SamplingData[[#Totals],[Candidate 7]]), 0)</f>
        <v>0</v>
      </c>
      <c r="W107" s="99">
        <f>IF(AND(SamplingData[[#This Row],[Total]]&lt;&gt; 0, NOT(ISBLANK(SamplingData[[#This Row],[Candidate 8]]))),(SamplingData[[#This Row],[Total]]+SamplingData[[#This Row],[Winning Candidate]]-SamplingData[[#This Row],[Candidate 8]])/(SamplingData[[#Totals],[Winning Candidate]]-SamplingData[[#Totals],[Candidate 8]]), 0)</f>
        <v>0</v>
      </c>
      <c r="X1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 s="99">
        <f>MAX(SamplingData[[#This Row],[Error Bound (up) - Max. possible relative overstatement - Losing Candidate]:[Error Bound (up) - Max. possible relative overstatement - Candidate 12]])</f>
        <v>1.9436428450178237E-2</v>
      </c>
      <c r="AC107" s="99">
        <f>IF(SamplingData[[#This Row],[Max Error Bound (up)]] = 0,0,SamplingData[[#This Row],[Max Error Bound (up)]]/SamplingData[[#Totals],[Max Error Bound (up)]])</f>
        <v>1.04064419965827E-3</v>
      </c>
      <c r="AD107" s="103">
        <f>SUM($AC$5:AC107)</f>
        <v>0.13183689606282054</v>
      </c>
      <c r="AE107" s="99" t="str" cm="1">
        <f t="array" ref="AE107">IF(SamplingData[[#This Row],[up/U Selection Probability]] = 0, "Zero", TEXT(SamplingData[[#This Row],[Lower Range]], REPT("0",LEN('General Info'!$B$42))) &amp; " - " &amp; TEXT(SamplingData[[#This Row],[Upper Range]], REPT("0",LEN('General Info'!$B$42))))</f>
        <v>130796 - 131836</v>
      </c>
      <c r="AF107" s="99">
        <f>SamplingData[[#This Row],[Upper Range]]-SamplingData[[#This Row],[Span]]</f>
        <v>130796.25186316227</v>
      </c>
      <c r="AG107" s="99">
        <f>IF(ISNUMBER('General Info'!$B$42), ((SamplingData[[#This Row],[up/U Selection Probability]]) * 'General Info'!$B$44) - 1, 0)</f>
        <v>1039.6441996582701</v>
      </c>
      <c r="AH107" s="99">
        <f>IF(ISNUMBER('General Info'!$B$42), (SamplingData[[#This Row],[Running (cumulative) sum]] * ('General Info'!$B$42 -'General Info'!$B$43 + 1)) + 'General Info'!$B$43 - 1, 0)</f>
        <v>131835.89606282054</v>
      </c>
      <c r="AI107" s="99">
        <f>IF(ISERROR(MATCH(SamplingData[[#This Row],[Batch by Type (p)]],SelectedPrecincts[Batch Name], 0)), "", INDEX(SelectedPrecincts[Draw], MATCH(SamplingData[[#This Row],[Batch by Type (p)]],SelectedPrecincts[Batch Name], 0)))</f>
        <v>3</v>
      </c>
      <c r="AJ107" s="100">
        <f>IF(COUNTIF(SelectedPrecincts[Batch Name],SamplingData[[#This Row],[Batch by Type (p)]]) &lt;&gt; 0, COUNTIF(SelectedPrecincts[Batch Name],SamplingData[[#This Row],[Batch by Type (p)]]), 0)</f>
        <v>1</v>
      </c>
    </row>
    <row r="108" spans="1:36" ht="15" customHeight="1" x14ac:dyDescent="0.35">
      <c r="A108" s="97" t="s">
        <v>321</v>
      </c>
      <c r="B108" s="97">
        <v>371</v>
      </c>
      <c r="C108" s="97">
        <v>70</v>
      </c>
      <c r="D108" s="92"/>
      <c r="E108" s="92"/>
      <c r="F108" s="92"/>
      <c r="G108" s="96"/>
      <c r="H108" s="96"/>
      <c r="I108" s="92"/>
      <c r="J108" s="92"/>
      <c r="K108" s="92"/>
      <c r="L108" s="92"/>
      <c r="M108" s="92"/>
      <c r="N108" s="97">
        <v>0</v>
      </c>
      <c r="O108" s="97">
        <v>16</v>
      </c>
      <c r="P108" s="98">
        <f>SUM(SamplingData[[#This Row],[Winning Candidate]:[Under Votes]])</f>
        <v>457</v>
      </c>
      <c r="Q108" s="99">
        <f>IF(AND(SamplingData[[#This Row],[Total]]&lt;&gt; 0, NOT(ISBLANK(SamplingData[[#This Row],[Losing Candidate]]))),(SamplingData[[#This Row],[Total]]+SamplingData[[#This Row],[Winning Candidate]]-SamplingData[[#This Row],[Losing Candidate]])/(SamplingData[[#Totals],[Winning Candidate]]-SamplingData[[#Totals],[Losing Candidate]]), 0)</f>
        <v>3.2167713461212021E-2</v>
      </c>
      <c r="R108" s="99">
        <f>IF(AND(SamplingData[[#This Row],[Total]]&lt;&gt; 0, NOT(ISBLANK(SamplingData[[#This Row],[Candidate 3]]))),(SamplingData[[#This Row],[Total]]+SamplingData[[#This Row],[Winning Candidate]]-SamplingData[[#This Row],[Candidate 3]])/(SamplingData[[#Totals],[Winning Candidate]]-SamplingData[[#Totals],[Candidate 3]]), 0)</f>
        <v>0</v>
      </c>
      <c r="S108" s="99">
        <f>IF(AND(SamplingData[[#This Row],[Total]]&lt;&gt; 0, NOT(ISBLANK(SamplingData[[#This Row],[Candidate 4]]))),(SamplingData[[#This Row],[Total]]+SamplingData[[#This Row],[Winning Candidate]]-SamplingData[[#This Row],[Candidate 4]])/(SamplingData[[#Totals],[Winning Candidate]]-SamplingData[[#Totals],[Candidate 4]]), 0)</f>
        <v>0</v>
      </c>
      <c r="T108" s="99">
        <f>IF(AND(SamplingData[[#This Row],[Total]]&lt;&gt; 0, NOT(ISBLANK(SamplingData[[#This Row],[Candidate 5]]))),(SamplingData[[#This Row],[Total]]+SamplingData[[#This Row],[Winning Candidate]]-SamplingData[[#This Row],[Candidate 5]])/(SamplingData[[#Totals],[Winning Candidate]]-SamplingData[[#Totals],[Candidate 5]]), 0)</f>
        <v>0</v>
      </c>
      <c r="U108" s="99">
        <f>IF(AND(SamplingData[[#This Row],[Total]]&lt;&gt; 0, NOT(ISBLANK(SamplingData[[#This Row],[Candidate 6]]))),(SamplingData[[#This Row],[Total]]+SamplingData[[#This Row],[Losing Candidate]]-SamplingData[[#This Row],[Candidate 6]])/(SamplingData[[#Totals],[Winning Candidate]]-SamplingData[[#Totals],[Candidate 6]]), 0)</f>
        <v>0</v>
      </c>
      <c r="V108" s="99">
        <f>IF(AND(SamplingData[[#This Row],[Total]]&lt;&gt; 0, NOT(ISBLANK(SamplingData[[#This Row],[Candidate 7]]))),(SamplingData[[#This Row],[Total]]+SamplingData[[#This Row],[Winning Candidate]]-SamplingData[[#This Row],[Candidate 7]])/(SamplingData[[#Totals],[Winning Candidate]]-SamplingData[[#Totals],[Candidate 7]]), 0)</f>
        <v>0</v>
      </c>
      <c r="W108" s="99">
        <f>IF(AND(SamplingData[[#This Row],[Total]]&lt;&gt; 0, NOT(ISBLANK(SamplingData[[#This Row],[Candidate 8]]))),(SamplingData[[#This Row],[Total]]+SamplingData[[#This Row],[Winning Candidate]]-SamplingData[[#This Row],[Candidate 8]])/(SamplingData[[#Totals],[Winning Candidate]]-SamplingData[[#Totals],[Candidate 8]]), 0)</f>
        <v>0</v>
      </c>
      <c r="X1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 s="99">
        <f>MAX(SamplingData[[#This Row],[Error Bound (up) - Max. possible relative overstatement - Losing Candidate]:[Error Bound (up) - Max. possible relative overstatement - Candidate 12]])</f>
        <v>3.2167713461212021E-2</v>
      </c>
      <c r="AC108" s="99">
        <f>IF(SamplingData[[#This Row],[Max Error Bound (up)]] = 0,0,SamplingData[[#This Row],[Max Error Bound (up)]]/SamplingData[[#Totals],[Max Error Bound (up)]])</f>
        <v>1.7222888719235128E-3</v>
      </c>
      <c r="AD108" s="103">
        <f>SUM($AC$5:AC108)</f>
        <v>0.13355918493474406</v>
      </c>
      <c r="AE108" s="99" t="str" cm="1">
        <f t="array" ref="AE108">IF(SamplingData[[#This Row],[up/U Selection Probability]] = 0, "Zero", TEXT(SamplingData[[#This Row],[Lower Range]], REPT("0",LEN('General Info'!$B$42))) &amp; " - " &amp; TEXT(SamplingData[[#This Row],[Upper Range]], REPT("0",LEN('General Info'!$B$42))))</f>
        <v>131837 - 133558</v>
      </c>
      <c r="AF108" s="99">
        <f>SamplingData[[#This Row],[Upper Range]]-SamplingData[[#This Row],[Span]]</f>
        <v>131836.89606282054</v>
      </c>
      <c r="AG108" s="99">
        <f>IF(ISNUMBER('General Info'!$B$42), ((SamplingData[[#This Row],[up/U Selection Probability]]) * 'General Info'!$B$44) - 1, 0)</f>
        <v>1721.2888719235127</v>
      </c>
      <c r="AH108" s="99">
        <f>IF(ISNUMBER('General Info'!$B$42), (SamplingData[[#This Row],[Running (cumulative) sum]] * ('General Info'!$B$42 -'General Info'!$B$43 + 1)) + 'General Info'!$B$43 - 1, 0)</f>
        <v>133558.18493474406</v>
      </c>
      <c r="AI108" s="99">
        <f>IF(ISERROR(MATCH(SamplingData[[#This Row],[Batch by Type (p)]],SelectedPrecincts[Batch Name], 0)), "", INDEX(SelectedPrecincts[Draw], MATCH(SamplingData[[#This Row],[Batch by Type (p)]],SelectedPrecincts[Batch Name], 0)))</f>
        <v>10</v>
      </c>
      <c r="AJ108" s="100">
        <f>IF(COUNTIF(SelectedPrecincts[Batch Name],SamplingData[[#This Row],[Batch by Type (p)]]) &lt;&gt; 0, COUNTIF(SelectedPrecincts[Batch Name],SamplingData[[#This Row],[Batch by Type (p)]]), 0)</f>
        <v>1</v>
      </c>
    </row>
    <row r="109" spans="1:36" ht="15" customHeight="1" x14ac:dyDescent="0.35">
      <c r="A109" s="97" t="s">
        <v>322</v>
      </c>
      <c r="B109" s="97">
        <v>360</v>
      </c>
      <c r="C109" s="97">
        <v>52</v>
      </c>
      <c r="D109" s="92"/>
      <c r="E109" s="92"/>
      <c r="F109" s="92"/>
      <c r="G109" s="96"/>
      <c r="H109" s="96"/>
      <c r="I109" s="92"/>
      <c r="J109" s="92"/>
      <c r="K109" s="92"/>
      <c r="L109" s="92"/>
      <c r="M109" s="92"/>
      <c r="N109" s="97">
        <v>0</v>
      </c>
      <c r="O109" s="97">
        <v>16</v>
      </c>
      <c r="P109" s="98">
        <f>SUM(SamplingData[[#This Row],[Winning Candidate]:[Under Votes]])</f>
        <v>428</v>
      </c>
      <c r="Q109" s="99">
        <f>IF(AND(SamplingData[[#This Row],[Total]]&lt;&gt; 0, NOT(ISBLANK(SamplingData[[#This Row],[Losing Candidate]]))),(SamplingData[[#This Row],[Total]]+SamplingData[[#This Row],[Winning Candidate]]-SamplingData[[#This Row],[Losing Candidate]])/(SamplingData[[#Totals],[Winning Candidate]]-SamplingData[[#Totals],[Losing Candidate]]), 0)</f>
        <v>3.1234085893736208E-2</v>
      </c>
      <c r="R109" s="99">
        <f>IF(AND(SamplingData[[#This Row],[Total]]&lt;&gt; 0, NOT(ISBLANK(SamplingData[[#This Row],[Candidate 3]]))),(SamplingData[[#This Row],[Total]]+SamplingData[[#This Row],[Winning Candidate]]-SamplingData[[#This Row],[Candidate 3]])/(SamplingData[[#Totals],[Winning Candidate]]-SamplingData[[#Totals],[Candidate 3]]), 0)</f>
        <v>0</v>
      </c>
      <c r="S109" s="99">
        <f>IF(AND(SamplingData[[#This Row],[Total]]&lt;&gt; 0, NOT(ISBLANK(SamplingData[[#This Row],[Candidate 4]]))),(SamplingData[[#This Row],[Total]]+SamplingData[[#This Row],[Winning Candidate]]-SamplingData[[#This Row],[Candidate 4]])/(SamplingData[[#Totals],[Winning Candidate]]-SamplingData[[#Totals],[Candidate 4]]), 0)</f>
        <v>0</v>
      </c>
      <c r="T109" s="99">
        <f>IF(AND(SamplingData[[#This Row],[Total]]&lt;&gt; 0, NOT(ISBLANK(SamplingData[[#This Row],[Candidate 5]]))),(SamplingData[[#This Row],[Total]]+SamplingData[[#This Row],[Winning Candidate]]-SamplingData[[#This Row],[Candidate 5]])/(SamplingData[[#Totals],[Winning Candidate]]-SamplingData[[#Totals],[Candidate 5]]), 0)</f>
        <v>0</v>
      </c>
      <c r="U109" s="99">
        <f>IF(AND(SamplingData[[#This Row],[Total]]&lt;&gt; 0, NOT(ISBLANK(SamplingData[[#This Row],[Candidate 6]]))),(SamplingData[[#This Row],[Total]]+SamplingData[[#This Row],[Losing Candidate]]-SamplingData[[#This Row],[Candidate 6]])/(SamplingData[[#Totals],[Winning Candidate]]-SamplingData[[#Totals],[Candidate 6]]), 0)</f>
        <v>0</v>
      </c>
      <c r="V109" s="99">
        <f>IF(AND(SamplingData[[#This Row],[Total]]&lt;&gt; 0, NOT(ISBLANK(SamplingData[[#This Row],[Candidate 7]]))),(SamplingData[[#This Row],[Total]]+SamplingData[[#This Row],[Winning Candidate]]-SamplingData[[#This Row],[Candidate 7]])/(SamplingData[[#Totals],[Winning Candidate]]-SamplingData[[#Totals],[Candidate 7]]), 0)</f>
        <v>0</v>
      </c>
      <c r="W109" s="99">
        <f>IF(AND(SamplingData[[#This Row],[Total]]&lt;&gt; 0, NOT(ISBLANK(SamplingData[[#This Row],[Candidate 8]]))),(SamplingData[[#This Row],[Total]]+SamplingData[[#This Row],[Winning Candidate]]-SamplingData[[#This Row],[Candidate 8]])/(SamplingData[[#Totals],[Winning Candidate]]-SamplingData[[#Totals],[Candidate 8]]), 0)</f>
        <v>0</v>
      </c>
      <c r="X1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 s="99">
        <f>MAX(SamplingData[[#This Row],[Error Bound (up) - Max. possible relative overstatement - Losing Candidate]:[Error Bound (up) - Max. possible relative overstatement - Candidate 12]])</f>
        <v>3.1234085893736208E-2</v>
      </c>
      <c r="AC109" s="99">
        <f>IF(SamplingData[[#This Row],[Max Error Bound (up)]] = 0,0,SamplingData[[#This Row],[Max Error Bound (up)]]/SamplingData[[#Totals],[Max Error Bound (up)]])</f>
        <v>1.6723015959573949E-3</v>
      </c>
      <c r="AD109" s="103">
        <f>SUM($AC$5:AC109)</f>
        <v>0.13523148653070144</v>
      </c>
      <c r="AE109" s="99" t="str" cm="1">
        <f t="array" ref="AE109">IF(SamplingData[[#This Row],[up/U Selection Probability]] = 0, "Zero", TEXT(SamplingData[[#This Row],[Lower Range]], REPT("0",LEN('General Info'!$B$42))) &amp; " - " &amp; TEXT(SamplingData[[#This Row],[Upper Range]], REPT("0",LEN('General Info'!$B$42))))</f>
        <v>133559 - 135230</v>
      </c>
      <c r="AF109" s="99">
        <f>SamplingData[[#This Row],[Upper Range]]-SamplingData[[#This Row],[Span]]</f>
        <v>133559.18493474403</v>
      </c>
      <c r="AG109" s="99">
        <f>IF(ISNUMBER('General Info'!$B$42), ((SamplingData[[#This Row],[up/U Selection Probability]]) * 'General Info'!$B$44) - 1, 0)</f>
        <v>1671.301595957395</v>
      </c>
      <c r="AH109" s="99">
        <f>IF(ISNUMBER('General Info'!$B$42), (SamplingData[[#This Row],[Running (cumulative) sum]] * ('General Info'!$B$42 -'General Info'!$B$43 + 1)) + 'General Info'!$B$43 - 1, 0)</f>
        <v>135230.48653070143</v>
      </c>
      <c r="AI109" s="99" t="str">
        <f>IF(ISERROR(MATCH(SamplingData[[#This Row],[Batch by Type (p)]],SelectedPrecincts[Batch Name], 0)), "", INDEX(SelectedPrecincts[Draw], MATCH(SamplingData[[#This Row],[Batch by Type (p)]],SelectedPrecincts[Batch Name], 0)))</f>
        <v/>
      </c>
      <c r="AJ109" s="100">
        <f>IF(COUNTIF(SelectedPrecincts[Batch Name],SamplingData[[#This Row],[Batch by Type (p)]]) &lt;&gt; 0, COUNTIF(SelectedPrecincts[Batch Name],SamplingData[[#This Row],[Batch by Type (p)]]), 0)</f>
        <v>0</v>
      </c>
    </row>
    <row r="110" spans="1:36" ht="15" customHeight="1" x14ac:dyDescent="0.35">
      <c r="A110" s="97" t="s">
        <v>323</v>
      </c>
      <c r="B110" s="97">
        <v>184</v>
      </c>
      <c r="C110" s="97">
        <v>39</v>
      </c>
      <c r="D110" s="92"/>
      <c r="E110" s="92"/>
      <c r="F110" s="92"/>
      <c r="G110" s="96"/>
      <c r="H110" s="96"/>
      <c r="I110" s="92"/>
      <c r="J110" s="92"/>
      <c r="K110" s="92"/>
      <c r="L110" s="92"/>
      <c r="M110" s="92"/>
      <c r="N110" s="97">
        <v>0</v>
      </c>
      <c r="O110" s="97">
        <v>9</v>
      </c>
      <c r="P110" s="98">
        <f>SUM(SamplingData[[#This Row],[Winning Candidate]:[Under Votes]])</f>
        <v>232</v>
      </c>
      <c r="Q110" s="99">
        <f>IF(AND(SamplingData[[#This Row],[Total]]&lt;&gt; 0, NOT(ISBLANK(SamplingData[[#This Row],[Losing Candidate]]))),(SamplingData[[#This Row],[Total]]+SamplingData[[#This Row],[Winning Candidate]]-SamplingData[[#This Row],[Losing Candidate]])/(SamplingData[[#Totals],[Winning Candidate]]-SamplingData[[#Totals],[Losing Candidate]]), 0)</f>
        <v>1.5998981497199118E-2</v>
      </c>
      <c r="R110" s="99">
        <f>IF(AND(SamplingData[[#This Row],[Total]]&lt;&gt; 0, NOT(ISBLANK(SamplingData[[#This Row],[Candidate 3]]))),(SamplingData[[#This Row],[Total]]+SamplingData[[#This Row],[Winning Candidate]]-SamplingData[[#This Row],[Candidate 3]])/(SamplingData[[#Totals],[Winning Candidate]]-SamplingData[[#Totals],[Candidate 3]]), 0)</f>
        <v>0</v>
      </c>
      <c r="S110" s="99">
        <f>IF(AND(SamplingData[[#This Row],[Total]]&lt;&gt; 0, NOT(ISBLANK(SamplingData[[#This Row],[Candidate 4]]))),(SamplingData[[#This Row],[Total]]+SamplingData[[#This Row],[Winning Candidate]]-SamplingData[[#This Row],[Candidate 4]])/(SamplingData[[#Totals],[Winning Candidate]]-SamplingData[[#Totals],[Candidate 4]]), 0)</f>
        <v>0</v>
      </c>
      <c r="T110" s="99">
        <f>IF(AND(SamplingData[[#This Row],[Total]]&lt;&gt; 0, NOT(ISBLANK(SamplingData[[#This Row],[Candidate 5]]))),(SamplingData[[#This Row],[Total]]+SamplingData[[#This Row],[Winning Candidate]]-SamplingData[[#This Row],[Candidate 5]])/(SamplingData[[#Totals],[Winning Candidate]]-SamplingData[[#Totals],[Candidate 5]]), 0)</f>
        <v>0</v>
      </c>
      <c r="U110" s="99">
        <f>IF(AND(SamplingData[[#This Row],[Total]]&lt;&gt; 0, NOT(ISBLANK(SamplingData[[#This Row],[Candidate 6]]))),(SamplingData[[#This Row],[Total]]+SamplingData[[#This Row],[Losing Candidate]]-SamplingData[[#This Row],[Candidate 6]])/(SamplingData[[#Totals],[Winning Candidate]]-SamplingData[[#Totals],[Candidate 6]]), 0)</f>
        <v>0</v>
      </c>
      <c r="V110" s="99">
        <f>IF(AND(SamplingData[[#This Row],[Total]]&lt;&gt; 0, NOT(ISBLANK(SamplingData[[#This Row],[Candidate 7]]))),(SamplingData[[#This Row],[Total]]+SamplingData[[#This Row],[Winning Candidate]]-SamplingData[[#This Row],[Candidate 7]])/(SamplingData[[#Totals],[Winning Candidate]]-SamplingData[[#Totals],[Candidate 7]]), 0)</f>
        <v>0</v>
      </c>
      <c r="W110" s="99">
        <f>IF(AND(SamplingData[[#This Row],[Total]]&lt;&gt; 0, NOT(ISBLANK(SamplingData[[#This Row],[Candidate 8]]))),(SamplingData[[#This Row],[Total]]+SamplingData[[#This Row],[Winning Candidate]]-SamplingData[[#This Row],[Candidate 8]])/(SamplingData[[#Totals],[Winning Candidate]]-SamplingData[[#Totals],[Candidate 8]]), 0)</f>
        <v>0</v>
      </c>
      <c r="X1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 s="99">
        <f>MAX(SamplingData[[#This Row],[Error Bound (up) - Max. possible relative overstatement - Losing Candidate]:[Error Bound (up) - Max. possible relative overstatement - Candidate 12]])</f>
        <v>1.5998981497199118E-2</v>
      </c>
      <c r="AC110" s="99">
        <f>IF(SamplingData[[#This Row],[Max Error Bound (up)]] = 0,0,SamplingData[[#This Row],[Max Error Bound (up)]]/SamplingData[[#Totals],[Max Error Bound (up)]])</f>
        <v>8.5660013814665471E-4</v>
      </c>
      <c r="AD110" s="103">
        <f>SUM($AC$5:AC110)</f>
        <v>0.13608808666884809</v>
      </c>
      <c r="AE110" s="99" t="str" cm="1">
        <f t="array" ref="AE110">IF(SamplingData[[#This Row],[up/U Selection Probability]] = 0, "Zero", TEXT(SamplingData[[#This Row],[Lower Range]], REPT("0",LEN('General Info'!$B$42))) &amp; " - " &amp; TEXT(SamplingData[[#This Row],[Upper Range]], REPT("0",LEN('General Info'!$B$42))))</f>
        <v>135231 - 136087</v>
      </c>
      <c r="AF110" s="99">
        <f>SamplingData[[#This Row],[Upper Range]]-SamplingData[[#This Row],[Span]]</f>
        <v>135231.48653070143</v>
      </c>
      <c r="AG110" s="99">
        <f>IF(ISNUMBER('General Info'!$B$42), ((SamplingData[[#This Row],[up/U Selection Probability]]) * 'General Info'!$B$44) - 1, 0)</f>
        <v>855.60013814665467</v>
      </c>
      <c r="AH110" s="99">
        <f>IF(ISNUMBER('General Info'!$B$42), (SamplingData[[#This Row],[Running (cumulative) sum]] * ('General Info'!$B$42 -'General Info'!$B$43 + 1)) + 'General Info'!$B$43 - 1, 0)</f>
        <v>136087.08666884809</v>
      </c>
      <c r="AI110" s="99" t="str">
        <f>IF(ISERROR(MATCH(SamplingData[[#This Row],[Batch by Type (p)]],SelectedPrecincts[Batch Name], 0)), "", INDEX(SelectedPrecincts[Draw], MATCH(SamplingData[[#This Row],[Batch by Type (p)]],SelectedPrecincts[Batch Name], 0)))</f>
        <v/>
      </c>
      <c r="AJ110" s="100">
        <f>IF(COUNTIF(SelectedPrecincts[Batch Name],SamplingData[[#This Row],[Batch by Type (p)]]) &lt;&gt; 0, COUNTIF(SelectedPrecincts[Batch Name],SamplingData[[#This Row],[Batch by Type (p)]]), 0)</f>
        <v>0</v>
      </c>
    </row>
    <row r="111" spans="1:36" ht="15" customHeight="1" x14ac:dyDescent="0.35">
      <c r="A111" s="97" t="s">
        <v>324</v>
      </c>
      <c r="B111" s="97">
        <v>413</v>
      </c>
      <c r="C111" s="97">
        <v>84</v>
      </c>
      <c r="D111" s="92"/>
      <c r="E111" s="92"/>
      <c r="F111" s="92"/>
      <c r="G111" s="96"/>
      <c r="H111" s="96"/>
      <c r="I111" s="92"/>
      <c r="J111" s="92"/>
      <c r="K111" s="92"/>
      <c r="L111" s="92"/>
      <c r="M111" s="92"/>
      <c r="N111" s="97">
        <v>1</v>
      </c>
      <c r="O111" s="97">
        <v>15</v>
      </c>
      <c r="P111" s="98">
        <f>SUM(SamplingData[[#This Row],[Winning Candidate]:[Under Votes]])</f>
        <v>513</v>
      </c>
      <c r="Q111" s="99">
        <f>IF(AND(SamplingData[[#This Row],[Total]]&lt;&gt; 0, NOT(ISBLANK(SamplingData[[#This Row],[Losing Candidate]]))),(SamplingData[[#This Row],[Total]]+SamplingData[[#This Row],[Winning Candidate]]-SamplingData[[#This Row],[Losing Candidate]])/(SamplingData[[#Totals],[Winning Candidate]]-SamplingData[[#Totals],[Losing Candidate]]), 0)</f>
        <v>3.5732473264301477E-2</v>
      </c>
      <c r="R111" s="99">
        <f>IF(AND(SamplingData[[#This Row],[Total]]&lt;&gt; 0, NOT(ISBLANK(SamplingData[[#This Row],[Candidate 3]]))),(SamplingData[[#This Row],[Total]]+SamplingData[[#This Row],[Winning Candidate]]-SamplingData[[#This Row],[Candidate 3]])/(SamplingData[[#Totals],[Winning Candidate]]-SamplingData[[#Totals],[Candidate 3]]), 0)</f>
        <v>0</v>
      </c>
      <c r="S111" s="99">
        <f>IF(AND(SamplingData[[#This Row],[Total]]&lt;&gt; 0, NOT(ISBLANK(SamplingData[[#This Row],[Candidate 4]]))),(SamplingData[[#This Row],[Total]]+SamplingData[[#This Row],[Winning Candidate]]-SamplingData[[#This Row],[Candidate 4]])/(SamplingData[[#Totals],[Winning Candidate]]-SamplingData[[#Totals],[Candidate 4]]), 0)</f>
        <v>0</v>
      </c>
      <c r="T111" s="99">
        <f>IF(AND(SamplingData[[#This Row],[Total]]&lt;&gt; 0, NOT(ISBLANK(SamplingData[[#This Row],[Candidate 5]]))),(SamplingData[[#This Row],[Total]]+SamplingData[[#This Row],[Winning Candidate]]-SamplingData[[#This Row],[Candidate 5]])/(SamplingData[[#Totals],[Winning Candidate]]-SamplingData[[#Totals],[Candidate 5]]), 0)</f>
        <v>0</v>
      </c>
      <c r="U111" s="99">
        <f>IF(AND(SamplingData[[#This Row],[Total]]&lt;&gt; 0, NOT(ISBLANK(SamplingData[[#This Row],[Candidate 6]]))),(SamplingData[[#This Row],[Total]]+SamplingData[[#This Row],[Losing Candidate]]-SamplingData[[#This Row],[Candidate 6]])/(SamplingData[[#Totals],[Winning Candidate]]-SamplingData[[#Totals],[Candidate 6]]), 0)</f>
        <v>0</v>
      </c>
      <c r="V111" s="99">
        <f>IF(AND(SamplingData[[#This Row],[Total]]&lt;&gt; 0, NOT(ISBLANK(SamplingData[[#This Row],[Candidate 7]]))),(SamplingData[[#This Row],[Total]]+SamplingData[[#This Row],[Winning Candidate]]-SamplingData[[#This Row],[Candidate 7]])/(SamplingData[[#Totals],[Winning Candidate]]-SamplingData[[#Totals],[Candidate 7]]), 0)</f>
        <v>0</v>
      </c>
      <c r="W111" s="99">
        <f>IF(AND(SamplingData[[#This Row],[Total]]&lt;&gt; 0, NOT(ISBLANK(SamplingData[[#This Row],[Candidate 8]]))),(SamplingData[[#This Row],[Total]]+SamplingData[[#This Row],[Winning Candidate]]-SamplingData[[#This Row],[Candidate 8]])/(SamplingData[[#Totals],[Winning Candidate]]-SamplingData[[#Totals],[Candidate 8]]), 0)</f>
        <v>0</v>
      </c>
      <c r="X1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 s="99">
        <f>MAX(SamplingData[[#This Row],[Error Bound (up) - Max. possible relative overstatement - Losing Candidate]:[Error Bound (up) - Max. possible relative overstatement - Candidate 12]])</f>
        <v>3.5732473264301477E-2</v>
      </c>
      <c r="AC111" s="99">
        <f>IF(SamplingData[[#This Row],[Max Error Bound (up)]] = 0,0,SamplingData[[#This Row],[Max Error Bound (up)]]/SamplingData[[#Totals],[Max Error Bound (up)]])</f>
        <v>1.9131493801577805E-3</v>
      </c>
      <c r="AD111" s="103">
        <f>SUM($AC$5:AC111)</f>
        <v>0.13800123604900585</v>
      </c>
      <c r="AE111" s="99" t="str" cm="1">
        <f t="array" ref="AE111">IF(SamplingData[[#This Row],[up/U Selection Probability]] = 0, "Zero", TEXT(SamplingData[[#This Row],[Lower Range]], REPT("0",LEN('General Info'!$B$42))) &amp; " - " &amp; TEXT(SamplingData[[#This Row],[Upper Range]], REPT("0",LEN('General Info'!$B$42))))</f>
        <v>136088 - 138000</v>
      </c>
      <c r="AF111" s="99">
        <f>SamplingData[[#This Row],[Upper Range]]-SamplingData[[#This Row],[Span]]</f>
        <v>136088.08666884806</v>
      </c>
      <c r="AG111" s="99">
        <f>IF(ISNUMBER('General Info'!$B$42), ((SamplingData[[#This Row],[up/U Selection Probability]]) * 'General Info'!$B$44) - 1, 0)</f>
        <v>1912.1493801577806</v>
      </c>
      <c r="AH111" s="99">
        <f>IF(ISNUMBER('General Info'!$B$42), (SamplingData[[#This Row],[Running (cumulative) sum]] * ('General Info'!$B$42 -'General Info'!$B$43 + 1)) + 'General Info'!$B$43 - 1, 0)</f>
        <v>138000.23604900585</v>
      </c>
      <c r="AI111" s="99" t="str">
        <f>IF(ISERROR(MATCH(SamplingData[[#This Row],[Batch by Type (p)]],SelectedPrecincts[Batch Name], 0)), "", INDEX(SelectedPrecincts[Draw], MATCH(SamplingData[[#This Row],[Batch by Type (p)]],SelectedPrecincts[Batch Name], 0)))</f>
        <v/>
      </c>
      <c r="AJ111" s="100">
        <f>IF(COUNTIF(SelectedPrecincts[Batch Name],SamplingData[[#This Row],[Batch by Type (p)]]) &lt;&gt; 0, COUNTIF(SelectedPrecincts[Batch Name],SamplingData[[#This Row],[Batch by Type (p)]]), 0)</f>
        <v>0</v>
      </c>
    </row>
    <row r="112" spans="1:36" ht="15" customHeight="1" x14ac:dyDescent="0.35">
      <c r="A112" s="97" t="s">
        <v>325</v>
      </c>
      <c r="B112" s="97">
        <v>278</v>
      </c>
      <c r="C112" s="97">
        <v>42</v>
      </c>
      <c r="D112" s="92"/>
      <c r="E112" s="92"/>
      <c r="F112" s="92"/>
      <c r="G112" s="96"/>
      <c r="H112" s="96"/>
      <c r="I112" s="92"/>
      <c r="J112" s="92"/>
      <c r="K112" s="92"/>
      <c r="L112" s="92"/>
      <c r="M112" s="92"/>
      <c r="N112" s="97">
        <v>0</v>
      </c>
      <c r="O112" s="97">
        <v>12</v>
      </c>
      <c r="P112" s="98">
        <f>SUM(SamplingData[[#This Row],[Winning Candidate]:[Under Votes]])</f>
        <v>332</v>
      </c>
      <c r="Q112" s="99">
        <f>IF(AND(SamplingData[[#This Row],[Total]]&lt;&gt; 0, NOT(ISBLANK(SamplingData[[#This Row],[Losing Candidate]]))),(SamplingData[[#This Row],[Total]]+SamplingData[[#This Row],[Winning Candidate]]-SamplingData[[#This Row],[Losing Candidate]])/(SamplingData[[#Totals],[Winning Candidate]]-SamplingData[[#Totals],[Losing Candidate]]), 0)</f>
        <v>2.4104566287557291E-2</v>
      </c>
      <c r="R112" s="99">
        <f>IF(AND(SamplingData[[#This Row],[Total]]&lt;&gt; 0, NOT(ISBLANK(SamplingData[[#This Row],[Candidate 3]]))),(SamplingData[[#This Row],[Total]]+SamplingData[[#This Row],[Winning Candidate]]-SamplingData[[#This Row],[Candidate 3]])/(SamplingData[[#Totals],[Winning Candidate]]-SamplingData[[#Totals],[Candidate 3]]), 0)</f>
        <v>0</v>
      </c>
      <c r="S112" s="99">
        <f>IF(AND(SamplingData[[#This Row],[Total]]&lt;&gt; 0, NOT(ISBLANK(SamplingData[[#This Row],[Candidate 4]]))),(SamplingData[[#This Row],[Total]]+SamplingData[[#This Row],[Winning Candidate]]-SamplingData[[#This Row],[Candidate 4]])/(SamplingData[[#Totals],[Winning Candidate]]-SamplingData[[#Totals],[Candidate 4]]), 0)</f>
        <v>0</v>
      </c>
      <c r="T112" s="99">
        <f>IF(AND(SamplingData[[#This Row],[Total]]&lt;&gt; 0, NOT(ISBLANK(SamplingData[[#This Row],[Candidate 5]]))),(SamplingData[[#This Row],[Total]]+SamplingData[[#This Row],[Winning Candidate]]-SamplingData[[#This Row],[Candidate 5]])/(SamplingData[[#Totals],[Winning Candidate]]-SamplingData[[#Totals],[Candidate 5]]), 0)</f>
        <v>0</v>
      </c>
      <c r="U112" s="99">
        <f>IF(AND(SamplingData[[#This Row],[Total]]&lt;&gt; 0, NOT(ISBLANK(SamplingData[[#This Row],[Candidate 6]]))),(SamplingData[[#This Row],[Total]]+SamplingData[[#This Row],[Losing Candidate]]-SamplingData[[#This Row],[Candidate 6]])/(SamplingData[[#Totals],[Winning Candidate]]-SamplingData[[#Totals],[Candidate 6]]), 0)</f>
        <v>0</v>
      </c>
      <c r="V112" s="99">
        <f>IF(AND(SamplingData[[#This Row],[Total]]&lt;&gt; 0, NOT(ISBLANK(SamplingData[[#This Row],[Candidate 7]]))),(SamplingData[[#This Row],[Total]]+SamplingData[[#This Row],[Winning Candidate]]-SamplingData[[#This Row],[Candidate 7]])/(SamplingData[[#Totals],[Winning Candidate]]-SamplingData[[#Totals],[Candidate 7]]), 0)</f>
        <v>0</v>
      </c>
      <c r="W112" s="99">
        <f>IF(AND(SamplingData[[#This Row],[Total]]&lt;&gt; 0, NOT(ISBLANK(SamplingData[[#This Row],[Candidate 8]]))),(SamplingData[[#This Row],[Total]]+SamplingData[[#This Row],[Winning Candidate]]-SamplingData[[#This Row],[Candidate 8]])/(SamplingData[[#Totals],[Winning Candidate]]-SamplingData[[#Totals],[Candidate 8]]), 0)</f>
        <v>0</v>
      </c>
      <c r="X1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 s="99">
        <f>MAX(SamplingData[[#This Row],[Error Bound (up) - Max. possible relative overstatement - Losing Candidate]:[Error Bound (up) - Max. possible relative overstatement - Candidate 12]])</f>
        <v>2.4104566287557291E-2</v>
      </c>
      <c r="AC112" s="99">
        <f>IF(SamplingData[[#This Row],[Max Error Bound (up)]] = 0,0,SamplingData[[#This Row],[Max Error Bound (up)]]/SamplingData[[#Totals],[Max Error Bound (up)]])</f>
        <v>1.290580579488859E-3</v>
      </c>
      <c r="AD112" s="103">
        <f>SUM($AC$5:AC112)</f>
        <v>0.13929181662849471</v>
      </c>
      <c r="AE112" s="99" t="str" cm="1">
        <f t="array" ref="AE112">IF(SamplingData[[#This Row],[up/U Selection Probability]] = 0, "Zero", TEXT(SamplingData[[#This Row],[Lower Range]], REPT("0",LEN('General Info'!$B$42))) &amp; " - " &amp; TEXT(SamplingData[[#This Row],[Upper Range]], REPT("0",LEN('General Info'!$B$42))))</f>
        <v>138001 - 139291</v>
      </c>
      <c r="AF112" s="99">
        <f>SamplingData[[#This Row],[Upper Range]]-SamplingData[[#This Row],[Span]]</f>
        <v>138001.23604900585</v>
      </c>
      <c r="AG112" s="99">
        <f>IF(ISNUMBER('General Info'!$B$42), ((SamplingData[[#This Row],[up/U Selection Probability]]) * 'General Info'!$B$44) - 1, 0)</f>
        <v>1289.580579488859</v>
      </c>
      <c r="AH112" s="99">
        <f>IF(ISNUMBER('General Info'!$B$42), (SamplingData[[#This Row],[Running (cumulative) sum]] * ('General Info'!$B$42 -'General Info'!$B$43 + 1)) + 'General Info'!$B$43 - 1, 0)</f>
        <v>139290.81662849471</v>
      </c>
      <c r="AI112" s="99" t="str">
        <f>IF(ISERROR(MATCH(SamplingData[[#This Row],[Batch by Type (p)]],SelectedPrecincts[Batch Name], 0)), "", INDEX(SelectedPrecincts[Draw], MATCH(SamplingData[[#This Row],[Batch by Type (p)]],SelectedPrecincts[Batch Name], 0)))</f>
        <v/>
      </c>
      <c r="AJ112" s="100">
        <f>IF(COUNTIF(SelectedPrecincts[Batch Name],SamplingData[[#This Row],[Batch by Type (p)]]) &lt;&gt; 0, COUNTIF(SelectedPrecincts[Batch Name],SamplingData[[#This Row],[Batch by Type (p)]]), 0)</f>
        <v>0</v>
      </c>
    </row>
    <row r="113" spans="1:36" ht="15" customHeight="1" x14ac:dyDescent="0.35">
      <c r="A113" s="97" t="s">
        <v>326</v>
      </c>
      <c r="B113" s="97">
        <v>144</v>
      </c>
      <c r="C113" s="97">
        <v>6</v>
      </c>
      <c r="D113" s="92"/>
      <c r="E113" s="92"/>
      <c r="F113" s="92"/>
      <c r="G113" s="96"/>
      <c r="H113" s="96"/>
      <c r="I113" s="92"/>
      <c r="J113" s="92"/>
      <c r="K113" s="92"/>
      <c r="L113" s="92"/>
      <c r="M113" s="92"/>
      <c r="N113" s="97">
        <v>1</v>
      </c>
      <c r="O113" s="97">
        <v>7</v>
      </c>
      <c r="P113" s="98">
        <f>SUM(SamplingData[[#This Row],[Winning Candidate]:[Under Votes]])</f>
        <v>158</v>
      </c>
      <c r="Q113" s="99">
        <f>IF(AND(SamplingData[[#This Row],[Total]]&lt;&gt; 0, NOT(ISBLANK(SamplingData[[#This Row],[Losing Candidate]]))),(SamplingData[[#This Row],[Total]]+SamplingData[[#This Row],[Winning Candidate]]-SamplingData[[#This Row],[Losing Candidate]])/(SamplingData[[#Totals],[Winning Candidate]]-SamplingData[[#Totals],[Losing Candidate]]), 0)</f>
        <v>1.2561534544219996E-2</v>
      </c>
      <c r="R113" s="99">
        <f>IF(AND(SamplingData[[#This Row],[Total]]&lt;&gt; 0, NOT(ISBLANK(SamplingData[[#This Row],[Candidate 3]]))),(SamplingData[[#This Row],[Total]]+SamplingData[[#This Row],[Winning Candidate]]-SamplingData[[#This Row],[Candidate 3]])/(SamplingData[[#Totals],[Winning Candidate]]-SamplingData[[#Totals],[Candidate 3]]), 0)</f>
        <v>0</v>
      </c>
      <c r="S113" s="99">
        <f>IF(AND(SamplingData[[#This Row],[Total]]&lt;&gt; 0, NOT(ISBLANK(SamplingData[[#This Row],[Candidate 4]]))),(SamplingData[[#This Row],[Total]]+SamplingData[[#This Row],[Winning Candidate]]-SamplingData[[#This Row],[Candidate 4]])/(SamplingData[[#Totals],[Winning Candidate]]-SamplingData[[#Totals],[Candidate 4]]), 0)</f>
        <v>0</v>
      </c>
      <c r="T113" s="99">
        <f>IF(AND(SamplingData[[#This Row],[Total]]&lt;&gt; 0, NOT(ISBLANK(SamplingData[[#This Row],[Candidate 5]]))),(SamplingData[[#This Row],[Total]]+SamplingData[[#This Row],[Winning Candidate]]-SamplingData[[#This Row],[Candidate 5]])/(SamplingData[[#Totals],[Winning Candidate]]-SamplingData[[#Totals],[Candidate 5]]), 0)</f>
        <v>0</v>
      </c>
      <c r="U113" s="99">
        <f>IF(AND(SamplingData[[#This Row],[Total]]&lt;&gt; 0, NOT(ISBLANK(SamplingData[[#This Row],[Candidate 6]]))),(SamplingData[[#This Row],[Total]]+SamplingData[[#This Row],[Losing Candidate]]-SamplingData[[#This Row],[Candidate 6]])/(SamplingData[[#Totals],[Winning Candidate]]-SamplingData[[#Totals],[Candidate 6]]), 0)</f>
        <v>0</v>
      </c>
      <c r="V113" s="99">
        <f>IF(AND(SamplingData[[#This Row],[Total]]&lt;&gt; 0, NOT(ISBLANK(SamplingData[[#This Row],[Candidate 7]]))),(SamplingData[[#This Row],[Total]]+SamplingData[[#This Row],[Winning Candidate]]-SamplingData[[#This Row],[Candidate 7]])/(SamplingData[[#Totals],[Winning Candidate]]-SamplingData[[#Totals],[Candidate 7]]), 0)</f>
        <v>0</v>
      </c>
      <c r="W113" s="99">
        <f>IF(AND(SamplingData[[#This Row],[Total]]&lt;&gt; 0, NOT(ISBLANK(SamplingData[[#This Row],[Candidate 8]]))),(SamplingData[[#This Row],[Total]]+SamplingData[[#This Row],[Winning Candidate]]-SamplingData[[#This Row],[Candidate 8]])/(SamplingData[[#Totals],[Winning Candidate]]-SamplingData[[#Totals],[Candidate 8]]), 0)</f>
        <v>0</v>
      </c>
      <c r="X1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3" s="99">
        <f>MAX(SamplingData[[#This Row],[Error Bound (up) - Max. possible relative overstatement - Losing Candidate]:[Error Bound (up) - Max. possible relative overstatement - Candidate 12]])</f>
        <v>1.2561534544219996E-2</v>
      </c>
      <c r="AC113" s="99">
        <f>IF(SamplingData[[#This Row],[Max Error Bound (up)]] = 0,0,SamplingData[[#This Row],[Max Error Bound (up)]]/SamplingData[[#Totals],[Max Error Bound (up)]])</f>
        <v>6.7255607663503918E-4</v>
      </c>
      <c r="AD113" s="103">
        <f>SUM($AC$5:AC113)</f>
        <v>0.13996437270512976</v>
      </c>
      <c r="AE113" s="99" t="str" cm="1">
        <f t="array" ref="AE113">IF(SamplingData[[#This Row],[up/U Selection Probability]] = 0, "Zero", TEXT(SamplingData[[#This Row],[Lower Range]], REPT("0",LEN('General Info'!$B$42))) &amp; " - " &amp; TEXT(SamplingData[[#This Row],[Upper Range]], REPT("0",LEN('General Info'!$B$42))))</f>
        <v>139292 - 139963</v>
      </c>
      <c r="AF113" s="99">
        <f>SamplingData[[#This Row],[Upper Range]]-SamplingData[[#This Row],[Span]]</f>
        <v>139291.81662849471</v>
      </c>
      <c r="AG113" s="99">
        <f>IF(ISNUMBER('General Info'!$B$42), ((SamplingData[[#This Row],[up/U Selection Probability]]) * 'General Info'!$B$44) - 1, 0)</f>
        <v>671.55607663503918</v>
      </c>
      <c r="AH113" s="99">
        <f>IF(ISNUMBER('General Info'!$B$42), (SamplingData[[#This Row],[Running (cumulative) sum]] * ('General Info'!$B$42 -'General Info'!$B$43 + 1)) + 'General Info'!$B$43 - 1, 0)</f>
        <v>139963.37270512976</v>
      </c>
      <c r="AI113" s="99" t="str">
        <f>IF(ISERROR(MATCH(SamplingData[[#This Row],[Batch by Type (p)]],SelectedPrecincts[Batch Name], 0)), "", INDEX(SelectedPrecincts[Draw], MATCH(SamplingData[[#This Row],[Batch by Type (p)]],SelectedPrecincts[Batch Name], 0)))</f>
        <v/>
      </c>
      <c r="AJ113" s="100">
        <f>IF(COUNTIF(SelectedPrecincts[Batch Name],SamplingData[[#This Row],[Batch by Type (p)]]) &lt;&gt; 0, COUNTIF(SelectedPrecincts[Batch Name],SamplingData[[#This Row],[Batch by Type (p)]]), 0)</f>
        <v>0</v>
      </c>
    </row>
    <row r="114" spans="1:36" ht="15" customHeight="1" x14ac:dyDescent="0.35">
      <c r="A114" s="97" t="s">
        <v>327</v>
      </c>
      <c r="B114" s="97">
        <v>144</v>
      </c>
      <c r="C114" s="97">
        <v>31</v>
      </c>
      <c r="D114" s="92"/>
      <c r="E114" s="92"/>
      <c r="F114" s="92"/>
      <c r="G114" s="96"/>
      <c r="H114" s="96"/>
      <c r="I114" s="92"/>
      <c r="J114" s="92"/>
      <c r="K114" s="92"/>
      <c r="L114" s="92"/>
      <c r="M114" s="92"/>
      <c r="N114" s="97">
        <v>0</v>
      </c>
      <c r="O114" s="97">
        <v>12</v>
      </c>
      <c r="P114" s="98">
        <f>SUM(SamplingData[[#This Row],[Winning Candidate]:[Under Votes]])</f>
        <v>187</v>
      </c>
      <c r="Q114" s="99">
        <f>IF(AND(SamplingData[[#This Row],[Total]]&lt;&gt; 0, NOT(ISBLANK(SamplingData[[#This Row],[Losing Candidate]]))),(SamplingData[[#This Row],[Total]]+SamplingData[[#This Row],[Winning Candidate]]-SamplingData[[#This Row],[Losing Candidate]])/(SamplingData[[#Totals],[Winning Candidate]]-SamplingData[[#Totals],[Losing Candidate]]), 0)</f>
        <v>1.273128501103378E-2</v>
      </c>
      <c r="R114" s="99">
        <f>IF(AND(SamplingData[[#This Row],[Total]]&lt;&gt; 0, NOT(ISBLANK(SamplingData[[#This Row],[Candidate 3]]))),(SamplingData[[#This Row],[Total]]+SamplingData[[#This Row],[Winning Candidate]]-SamplingData[[#This Row],[Candidate 3]])/(SamplingData[[#Totals],[Winning Candidate]]-SamplingData[[#Totals],[Candidate 3]]), 0)</f>
        <v>0</v>
      </c>
      <c r="S114" s="99">
        <f>IF(AND(SamplingData[[#This Row],[Total]]&lt;&gt; 0, NOT(ISBLANK(SamplingData[[#This Row],[Candidate 4]]))),(SamplingData[[#This Row],[Total]]+SamplingData[[#This Row],[Winning Candidate]]-SamplingData[[#This Row],[Candidate 4]])/(SamplingData[[#Totals],[Winning Candidate]]-SamplingData[[#Totals],[Candidate 4]]), 0)</f>
        <v>0</v>
      </c>
      <c r="T114" s="99">
        <f>IF(AND(SamplingData[[#This Row],[Total]]&lt;&gt; 0, NOT(ISBLANK(SamplingData[[#This Row],[Candidate 5]]))),(SamplingData[[#This Row],[Total]]+SamplingData[[#This Row],[Winning Candidate]]-SamplingData[[#This Row],[Candidate 5]])/(SamplingData[[#Totals],[Winning Candidate]]-SamplingData[[#Totals],[Candidate 5]]), 0)</f>
        <v>0</v>
      </c>
      <c r="U114" s="99">
        <f>IF(AND(SamplingData[[#This Row],[Total]]&lt;&gt; 0, NOT(ISBLANK(SamplingData[[#This Row],[Candidate 6]]))),(SamplingData[[#This Row],[Total]]+SamplingData[[#This Row],[Losing Candidate]]-SamplingData[[#This Row],[Candidate 6]])/(SamplingData[[#Totals],[Winning Candidate]]-SamplingData[[#Totals],[Candidate 6]]), 0)</f>
        <v>0</v>
      </c>
      <c r="V114" s="99">
        <f>IF(AND(SamplingData[[#This Row],[Total]]&lt;&gt; 0, NOT(ISBLANK(SamplingData[[#This Row],[Candidate 7]]))),(SamplingData[[#This Row],[Total]]+SamplingData[[#This Row],[Winning Candidate]]-SamplingData[[#This Row],[Candidate 7]])/(SamplingData[[#Totals],[Winning Candidate]]-SamplingData[[#Totals],[Candidate 7]]), 0)</f>
        <v>0</v>
      </c>
      <c r="W114" s="99">
        <f>IF(AND(SamplingData[[#This Row],[Total]]&lt;&gt; 0, NOT(ISBLANK(SamplingData[[#This Row],[Candidate 8]]))),(SamplingData[[#This Row],[Total]]+SamplingData[[#This Row],[Winning Candidate]]-SamplingData[[#This Row],[Candidate 8]])/(SamplingData[[#Totals],[Winning Candidate]]-SamplingData[[#Totals],[Candidate 8]]), 0)</f>
        <v>0</v>
      </c>
      <c r="X1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4" s="99">
        <f>MAX(SamplingData[[#This Row],[Error Bound (up) - Max. possible relative overstatement - Losing Candidate]:[Error Bound (up) - Max. possible relative overstatement - Candidate 12]])</f>
        <v>1.273128501103378E-2</v>
      </c>
      <c r="AC114" s="99">
        <f>IF(SamplingData[[#This Row],[Max Error Bound (up)]] = 0,0,SamplingData[[#This Row],[Max Error Bound (up)]]/SamplingData[[#Totals],[Max Error Bound (up)]])</f>
        <v>6.8164467226524241E-4</v>
      </c>
      <c r="AD114" s="103">
        <f>SUM($AC$5:AC114)</f>
        <v>0.14064601737739502</v>
      </c>
      <c r="AE114" s="99" t="str" cm="1">
        <f t="array" ref="AE114">IF(SamplingData[[#This Row],[up/U Selection Probability]] = 0, "Zero", TEXT(SamplingData[[#This Row],[Lower Range]], REPT("0",LEN('General Info'!$B$42))) &amp; " - " &amp; TEXT(SamplingData[[#This Row],[Upper Range]], REPT("0",LEN('General Info'!$B$42))))</f>
        <v>139964 - 140645</v>
      </c>
      <c r="AF114" s="99">
        <f>SamplingData[[#This Row],[Upper Range]]-SamplingData[[#This Row],[Span]]</f>
        <v>139964.37270512976</v>
      </c>
      <c r="AG114" s="99">
        <f>IF(ISNUMBER('General Info'!$B$42), ((SamplingData[[#This Row],[up/U Selection Probability]]) * 'General Info'!$B$44) - 1, 0)</f>
        <v>680.64467226524243</v>
      </c>
      <c r="AH114" s="99">
        <f>IF(ISNUMBER('General Info'!$B$42), (SamplingData[[#This Row],[Running (cumulative) sum]] * ('General Info'!$B$42 -'General Info'!$B$43 + 1)) + 'General Info'!$B$43 - 1, 0)</f>
        <v>140645.01737739501</v>
      </c>
      <c r="AI114" s="99" t="str">
        <f>IF(ISERROR(MATCH(SamplingData[[#This Row],[Batch by Type (p)]],SelectedPrecincts[Batch Name], 0)), "", INDEX(SelectedPrecincts[Draw], MATCH(SamplingData[[#This Row],[Batch by Type (p)]],SelectedPrecincts[Batch Name], 0)))</f>
        <v/>
      </c>
      <c r="AJ114" s="100">
        <f>IF(COUNTIF(SelectedPrecincts[Batch Name],SamplingData[[#This Row],[Batch by Type (p)]]) &lt;&gt; 0, COUNTIF(SelectedPrecincts[Batch Name],SamplingData[[#This Row],[Batch by Type (p)]]), 0)</f>
        <v>0</v>
      </c>
    </row>
    <row r="115" spans="1:36" ht="15" customHeight="1" x14ac:dyDescent="0.35">
      <c r="A115" s="97" t="s">
        <v>328</v>
      </c>
      <c r="B115" s="97">
        <v>172</v>
      </c>
      <c r="C115" s="97">
        <v>10</v>
      </c>
      <c r="D115" s="92"/>
      <c r="E115" s="92"/>
      <c r="F115" s="92"/>
      <c r="G115" s="96"/>
      <c r="H115" s="96"/>
      <c r="I115" s="92"/>
      <c r="J115" s="92"/>
      <c r="K115" s="92"/>
      <c r="L115" s="92"/>
      <c r="M115" s="92"/>
      <c r="N115" s="97">
        <v>0</v>
      </c>
      <c r="O115" s="97">
        <v>9</v>
      </c>
      <c r="P115" s="98">
        <f>SUM(SamplingData[[#This Row],[Winning Candidate]:[Under Votes]])</f>
        <v>191</v>
      </c>
      <c r="Q115" s="99">
        <f>IF(AND(SamplingData[[#This Row],[Total]]&lt;&gt; 0, NOT(ISBLANK(SamplingData[[#This Row],[Losing Candidate]]))),(SamplingData[[#This Row],[Total]]+SamplingData[[#This Row],[Winning Candidate]]-SamplingData[[#This Row],[Losing Candidate]])/(SamplingData[[#Totals],[Winning Candidate]]-SamplingData[[#Totals],[Losing Candidate]]), 0)</f>
        <v>1.4980478696316414E-2</v>
      </c>
      <c r="R115" s="99">
        <f>IF(AND(SamplingData[[#This Row],[Total]]&lt;&gt; 0, NOT(ISBLANK(SamplingData[[#This Row],[Candidate 3]]))),(SamplingData[[#This Row],[Total]]+SamplingData[[#This Row],[Winning Candidate]]-SamplingData[[#This Row],[Candidate 3]])/(SamplingData[[#Totals],[Winning Candidate]]-SamplingData[[#Totals],[Candidate 3]]), 0)</f>
        <v>0</v>
      </c>
      <c r="S115" s="99">
        <f>IF(AND(SamplingData[[#This Row],[Total]]&lt;&gt; 0, NOT(ISBLANK(SamplingData[[#This Row],[Candidate 4]]))),(SamplingData[[#This Row],[Total]]+SamplingData[[#This Row],[Winning Candidate]]-SamplingData[[#This Row],[Candidate 4]])/(SamplingData[[#Totals],[Winning Candidate]]-SamplingData[[#Totals],[Candidate 4]]), 0)</f>
        <v>0</v>
      </c>
      <c r="T115" s="99">
        <f>IF(AND(SamplingData[[#This Row],[Total]]&lt;&gt; 0, NOT(ISBLANK(SamplingData[[#This Row],[Candidate 5]]))),(SamplingData[[#This Row],[Total]]+SamplingData[[#This Row],[Winning Candidate]]-SamplingData[[#This Row],[Candidate 5]])/(SamplingData[[#Totals],[Winning Candidate]]-SamplingData[[#Totals],[Candidate 5]]), 0)</f>
        <v>0</v>
      </c>
      <c r="U115" s="99">
        <f>IF(AND(SamplingData[[#This Row],[Total]]&lt;&gt; 0, NOT(ISBLANK(SamplingData[[#This Row],[Candidate 6]]))),(SamplingData[[#This Row],[Total]]+SamplingData[[#This Row],[Losing Candidate]]-SamplingData[[#This Row],[Candidate 6]])/(SamplingData[[#Totals],[Winning Candidate]]-SamplingData[[#Totals],[Candidate 6]]), 0)</f>
        <v>0</v>
      </c>
      <c r="V115" s="99">
        <f>IF(AND(SamplingData[[#This Row],[Total]]&lt;&gt; 0, NOT(ISBLANK(SamplingData[[#This Row],[Candidate 7]]))),(SamplingData[[#This Row],[Total]]+SamplingData[[#This Row],[Winning Candidate]]-SamplingData[[#This Row],[Candidate 7]])/(SamplingData[[#Totals],[Winning Candidate]]-SamplingData[[#Totals],[Candidate 7]]), 0)</f>
        <v>0</v>
      </c>
      <c r="W115" s="99">
        <f>IF(AND(SamplingData[[#This Row],[Total]]&lt;&gt; 0, NOT(ISBLANK(SamplingData[[#This Row],[Candidate 8]]))),(SamplingData[[#This Row],[Total]]+SamplingData[[#This Row],[Winning Candidate]]-SamplingData[[#This Row],[Candidate 8]])/(SamplingData[[#Totals],[Winning Candidate]]-SamplingData[[#Totals],[Candidate 8]]), 0)</f>
        <v>0</v>
      </c>
      <c r="X1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5" s="99">
        <f>MAX(SamplingData[[#This Row],[Error Bound (up) - Max. possible relative overstatement - Losing Candidate]:[Error Bound (up) - Max. possible relative overstatement - Candidate 12]])</f>
        <v>1.4980478696316414E-2</v>
      </c>
      <c r="AC115" s="99">
        <f>IF(SamplingData[[#This Row],[Max Error Bound (up)]] = 0,0,SamplingData[[#This Row],[Max Error Bound (up)]]/SamplingData[[#Totals],[Max Error Bound (up)]])</f>
        <v>8.0206856436543521E-4</v>
      </c>
      <c r="AD115" s="103">
        <f>SUM($AC$5:AC115)</f>
        <v>0.14144808594176045</v>
      </c>
      <c r="AE115" s="99" t="str" cm="1">
        <f t="array" ref="AE115">IF(SamplingData[[#This Row],[up/U Selection Probability]] = 0, "Zero", TEXT(SamplingData[[#This Row],[Lower Range]], REPT("0",LEN('General Info'!$B$42))) &amp; " - " &amp; TEXT(SamplingData[[#This Row],[Upper Range]], REPT("0",LEN('General Info'!$B$42))))</f>
        <v>140646 - 141447</v>
      </c>
      <c r="AF115" s="99">
        <f>SamplingData[[#This Row],[Upper Range]]-SamplingData[[#This Row],[Span]]</f>
        <v>140646.01737739501</v>
      </c>
      <c r="AG115" s="99">
        <f>IF(ISNUMBER('General Info'!$B$42), ((SamplingData[[#This Row],[up/U Selection Probability]]) * 'General Info'!$B$44) - 1, 0)</f>
        <v>801.06856436543524</v>
      </c>
      <c r="AH115" s="99">
        <f>IF(ISNUMBER('General Info'!$B$42), (SamplingData[[#This Row],[Running (cumulative) sum]] * ('General Info'!$B$42 -'General Info'!$B$43 + 1)) + 'General Info'!$B$43 - 1, 0)</f>
        <v>141447.08594176045</v>
      </c>
      <c r="AI115" s="99" t="str">
        <f>IF(ISERROR(MATCH(SamplingData[[#This Row],[Batch by Type (p)]],SelectedPrecincts[Batch Name], 0)), "", INDEX(SelectedPrecincts[Draw], MATCH(SamplingData[[#This Row],[Batch by Type (p)]],SelectedPrecincts[Batch Name], 0)))</f>
        <v/>
      </c>
      <c r="AJ115" s="100">
        <f>IF(COUNTIF(SelectedPrecincts[Batch Name],SamplingData[[#This Row],[Batch by Type (p)]]) &lt;&gt; 0, COUNTIF(SelectedPrecincts[Batch Name],SamplingData[[#This Row],[Batch by Type (p)]]), 0)</f>
        <v>0</v>
      </c>
    </row>
    <row r="116" spans="1:36" ht="15" customHeight="1" x14ac:dyDescent="0.35">
      <c r="A116" s="97" t="s">
        <v>329</v>
      </c>
      <c r="B116" s="97">
        <v>298</v>
      </c>
      <c r="C116" s="97">
        <v>52</v>
      </c>
      <c r="D116" s="92"/>
      <c r="E116" s="92"/>
      <c r="F116" s="92"/>
      <c r="G116" s="96"/>
      <c r="H116" s="96"/>
      <c r="I116" s="92"/>
      <c r="J116" s="92"/>
      <c r="K116" s="92"/>
      <c r="L116" s="92"/>
      <c r="M116" s="92"/>
      <c r="N116" s="97">
        <v>0</v>
      </c>
      <c r="O116" s="97">
        <v>23</v>
      </c>
      <c r="P116" s="98">
        <f>SUM(SamplingData[[#This Row],[Winning Candidate]:[Under Votes]])</f>
        <v>373</v>
      </c>
      <c r="Q116" s="99">
        <f>IF(AND(SamplingData[[#This Row],[Total]]&lt;&gt; 0, NOT(ISBLANK(SamplingData[[#This Row],[Losing Candidate]]))),(SamplingData[[#This Row],[Total]]+SamplingData[[#This Row],[Winning Candidate]]-SamplingData[[#This Row],[Losing Candidate]])/(SamplingData[[#Totals],[Winning Candidate]]-SamplingData[[#Totals],[Losing Candidate]]), 0)</f>
        <v>2.6268884739433035E-2</v>
      </c>
      <c r="R116" s="99">
        <f>IF(AND(SamplingData[[#This Row],[Total]]&lt;&gt; 0, NOT(ISBLANK(SamplingData[[#This Row],[Candidate 3]]))),(SamplingData[[#This Row],[Total]]+SamplingData[[#This Row],[Winning Candidate]]-SamplingData[[#This Row],[Candidate 3]])/(SamplingData[[#Totals],[Winning Candidate]]-SamplingData[[#Totals],[Candidate 3]]), 0)</f>
        <v>0</v>
      </c>
      <c r="S116" s="99">
        <f>IF(AND(SamplingData[[#This Row],[Total]]&lt;&gt; 0, NOT(ISBLANK(SamplingData[[#This Row],[Candidate 4]]))),(SamplingData[[#This Row],[Total]]+SamplingData[[#This Row],[Winning Candidate]]-SamplingData[[#This Row],[Candidate 4]])/(SamplingData[[#Totals],[Winning Candidate]]-SamplingData[[#Totals],[Candidate 4]]), 0)</f>
        <v>0</v>
      </c>
      <c r="T116" s="99">
        <f>IF(AND(SamplingData[[#This Row],[Total]]&lt;&gt; 0, NOT(ISBLANK(SamplingData[[#This Row],[Candidate 5]]))),(SamplingData[[#This Row],[Total]]+SamplingData[[#This Row],[Winning Candidate]]-SamplingData[[#This Row],[Candidate 5]])/(SamplingData[[#Totals],[Winning Candidate]]-SamplingData[[#Totals],[Candidate 5]]), 0)</f>
        <v>0</v>
      </c>
      <c r="U116" s="99">
        <f>IF(AND(SamplingData[[#This Row],[Total]]&lt;&gt; 0, NOT(ISBLANK(SamplingData[[#This Row],[Candidate 6]]))),(SamplingData[[#This Row],[Total]]+SamplingData[[#This Row],[Losing Candidate]]-SamplingData[[#This Row],[Candidate 6]])/(SamplingData[[#Totals],[Winning Candidate]]-SamplingData[[#Totals],[Candidate 6]]), 0)</f>
        <v>0</v>
      </c>
      <c r="V116" s="99">
        <f>IF(AND(SamplingData[[#This Row],[Total]]&lt;&gt; 0, NOT(ISBLANK(SamplingData[[#This Row],[Candidate 7]]))),(SamplingData[[#This Row],[Total]]+SamplingData[[#This Row],[Winning Candidate]]-SamplingData[[#This Row],[Candidate 7]])/(SamplingData[[#Totals],[Winning Candidate]]-SamplingData[[#Totals],[Candidate 7]]), 0)</f>
        <v>0</v>
      </c>
      <c r="W116" s="99">
        <f>IF(AND(SamplingData[[#This Row],[Total]]&lt;&gt; 0, NOT(ISBLANK(SamplingData[[#This Row],[Candidate 8]]))),(SamplingData[[#This Row],[Total]]+SamplingData[[#This Row],[Winning Candidate]]-SamplingData[[#This Row],[Candidate 8]])/(SamplingData[[#Totals],[Winning Candidate]]-SamplingData[[#Totals],[Candidate 8]]), 0)</f>
        <v>0</v>
      </c>
      <c r="X1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6" s="99">
        <f>MAX(SamplingData[[#This Row],[Error Bound (up) - Max. possible relative overstatement - Losing Candidate]:[Error Bound (up) - Max. possible relative overstatement - Candidate 12]])</f>
        <v>2.6268884739433035E-2</v>
      </c>
      <c r="AC116" s="99">
        <f>IF(SamplingData[[#This Row],[Max Error Bound (up)]] = 0,0,SamplingData[[#This Row],[Max Error Bound (up)]]/SamplingData[[#Totals],[Max Error Bound (up)]])</f>
        <v>1.4064601737739503E-3</v>
      </c>
      <c r="AD116" s="103">
        <f>SUM($AC$5:AC116)</f>
        <v>0.14285454611553439</v>
      </c>
      <c r="AE116" s="99" t="str" cm="1">
        <f t="array" ref="AE116">IF(SamplingData[[#This Row],[up/U Selection Probability]] = 0, "Zero", TEXT(SamplingData[[#This Row],[Lower Range]], REPT("0",LEN('General Info'!$B$42))) &amp; " - " &amp; TEXT(SamplingData[[#This Row],[Upper Range]], REPT("0",LEN('General Info'!$B$42))))</f>
        <v>141448 - 142854</v>
      </c>
      <c r="AF116" s="99">
        <f>SamplingData[[#This Row],[Upper Range]]-SamplingData[[#This Row],[Span]]</f>
        <v>141448.08594176042</v>
      </c>
      <c r="AG116" s="99">
        <f>IF(ISNUMBER('General Info'!$B$42), ((SamplingData[[#This Row],[up/U Selection Probability]]) * 'General Info'!$B$44) - 1, 0)</f>
        <v>1405.4601737739504</v>
      </c>
      <c r="AH116" s="99">
        <f>IF(ISNUMBER('General Info'!$B$42), (SamplingData[[#This Row],[Running (cumulative) sum]] * ('General Info'!$B$42 -'General Info'!$B$43 + 1)) + 'General Info'!$B$43 - 1, 0)</f>
        <v>142853.54611553438</v>
      </c>
      <c r="AI116" s="99">
        <f>IF(ISERROR(MATCH(SamplingData[[#This Row],[Batch by Type (p)]],SelectedPrecincts[Batch Name], 0)), "", INDEX(SelectedPrecincts[Draw], MATCH(SamplingData[[#This Row],[Batch by Type (p)]],SelectedPrecincts[Batch Name], 0)))</f>
        <v>21</v>
      </c>
      <c r="AJ116" s="100">
        <f>IF(COUNTIF(SelectedPrecincts[Batch Name],SamplingData[[#This Row],[Batch by Type (p)]]) &lt;&gt; 0, COUNTIF(SelectedPrecincts[Batch Name],SamplingData[[#This Row],[Batch by Type (p)]]), 0)</f>
        <v>1</v>
      </c>
    </row>
    <row r="117" spans="1:36" ht="15" customHeight="1" x14ac:dyDescent="0.35">
      <c r="A117" s="97" t="s">
        <v>330</v>
      </c>
      <c r="B117" s="97">
        <v>137</v>
      </c>
      <c r="C117" s="97">
        <v>15</v>
      </c>
      <c r="D117" s="92"/>
      <c r="E117" s="92"/>
      <c r="F117" s="92"/>
      <c r="G117" s="96"/>
      <c r="H117" s="96"/>
      <c r="I117" s="92"/>
      <c r="J117" s="92"/>
      <c r="K117" s="92"/>
      <c r="L117" s="92"/>
      <c r="M117" s="92"/>
      <c r="N117" s="97">
        <v>0</v>
      </c>
      <c r="O117" s="97">
        <v>11</v>
      </c>
      <c r="P117" s="98">
        <f>SUM(SamplingData[[#This Row],[Winning Candidate]:[Under Votes]])</f>
        <v>163</v>
      </c>
      <c r="Q117" s="99">
        <f>IF(AND(SamplingData[[#This Row],[Total]]&lt;&gt; 0, NOT(ISBLANK(SamplingData[[#This Row],[Losing Candidate]]))),(SamplingData[[#This Row],[Total]]+SamplingData[[#This Row],[Winning Candidate]]-SamplingData[[#This Row],[Losing Candidate]])/(SamplingData[[#Totals],[Winning Candidate]]-SamplingData[[#Totals],[Losing Candidate]]), 0)</f>
        <v>1.2094720760482092E-2</v>
      </c>
      <c r="R117" s="99">
        <f>IF(AND(SamplingData[[#This Row],[Total]]&lt;&gt; 0, NOT(ISBLANK(SamplingData[[#This Row],[Candidate 3]]))),(SamplingData[[#This Row],[Total]]+SamplingData[[#This Row],[Winning Candidate]]-SamplingData[[#This Row],[Candidate 3]])/(SamplingData[[#Totals],[Winning Candidate]]-SamplingData[[#Totals],[Candidate 3]]), 0)</f>
        <v>0</v>
      </c>
      <c r="S117" s="99">
        <f>IF(AND(SamplingData[[#This Row],[Total]]&lt;&gt; 0, NOT(ISBLANK(SamplingData[[#This Row],[Candidate 4]]))),(SamplingData[[#This Row],[Total]]+SamplingData[[#This Row],[Winning Candidate]]-SamplingData[[#This Row],[Candidate 4]])/(SamplingData[[#Totals],[Winning Candidate]]-SamplingData[[#Totals],[Candidate 4]]), 0)</f>
        <v>0</v>
      </c>
      <c r="T117" s="99">
        <f>IF(AND(SamplingData[[#This Row],[Total]]&lt;&gt; 0, NOT(ISBLANK(SamplingData[[#This Row],[Candidate 5]]))),(SamplingData[[#This Row],[Total]]+SamplingData[[#This Row],[Winning Candidate]]-SamplingData[[#This Row],[Candidate 5]])/(SamplingData[[#Totals],[Winning Candidate]]-SamplingData[[#Totals],[Candidate 5]]), 0)</f>
        <v>0</v>
      </c>
      <c r="U117" s="99">
        <f>IF(AND(SamplingData[[#This Row],[Total]]&lt;&gt; 0, NOT(ISBLANK(SamplingData[[#This Row],[Candidate 6]]))),(SamplingData[[#This Row],[Total]]+SamplingData[[#This Row],[Losing Candidate]]-SamplingData[[#This Row],[Candidate 6]])/(SamplingData[[#Totals],[Winning Candidate]]-SamplingData[[#Totals],[Candidate 6]]), 0)</f>
        <v>0</v>
      </c>
      <c r="V117" s="99">
        <f>IF(AND(SamplingData[[#This Row],[Total]]&lt;&gt; 0, NOT(ISBLANK(SamplingData[[#This Row],[Candidate 7]]))),(SamplingData[[#This Row],[Total]]+SamplingData[[#This Row],[Winning Candidate]]-SamplingData[[#This Row],[Candidate 7]])/(SamplingData[[#Totals],[Winning Candidate]]-SamplingData[[#Totals],[Candidate 7]]), 0)</f>
        <v>0</v>
      </c>
      <c r="W117" s="99">
        <f>IF(AND(SamplingData[[#This Row],[Total]]&lt;&gt; 0, NOT(ISBLANK(SamplingData[[#This Row],[Candidate 8]]))),(SamplingData[[#This Row],[Total]]+SamplingData[[#This Row],[Winning Candidate]]-SamplingData[[#This Row],[Candidate 8]])/(SamplingData[[#Totals],[Winning Candidate]]-SamplingData[[#Totals],[Candidate 8]]), 0)</f>
        <v>0</v>
      </c>
      <c r="X1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7" s="99">
        <f>MAX(SamplingData[[#This Row],[Error Bound (up) - Max. possible relative overstatement - Losing Candidate]:[Error Bound (up) - Max. possible relative overstatement - Candidate 12]])</f>
        <v>1.2094720760482092E-2</v>
      </c>
      <c r="AC117" s="99">
        <f>IF(SamplingData[[#This Row],[Max Error Bound (up)]] = 0,0,SamplingData[[#This Row],[Max Error Bound (up)]]/SamplingData[[#Totals],[Max Error Bound (up)]])</f>
        <v>6.4756243865198037E-4</v>
      </c>
      <c r="AD117" s="103">
        <f>SUM($AC$5:AC117)</f>
        <v>0.14350210855418638</v>
      </c>
      <c r="AE117" s="99" t="str" cm="1">
        <f t="array" ref="AE117">IF(SamplingData[[#This Row],[up/U Selection Probability]] = 0, "Zero", TEXT(SamplingData[[#This Row],[Lower Range]], REPT("0",LEN('General Info'!$B$42))) &amp; " - " &amp; TEXT(SamplingData[[#This Row],[Upper Range]], REPT("0",LEN('General Info'!$B$42))))</f>
        <v>142855 - 143501</v>
      </c>
      <c r="AF117" s="99">
        <f>SamplingData[[#This Row],[Upper Range]]-SamplingData[[#This Row],[Span]]</f>
        <v>142854.54611553441</v>
      </c>
      <c r="AG117" s="99">
        <f>IF(ISNUMBER('General Info'!$B$42), ((SamplingData[[#This Row],[up/U Selection Probability]]) * 'General Info'!$B$44) - 1, 0)</f>
        <v>646.56243865198041</v>
      </c>
      <c r="AH117" s="99">
        <f>IF(ISNUMBER('General Info'!$B$42), (SamplingData[[#This Row],[Running (cumulative) sum]] * ('General Info'!$B$42 -'General Info'!$B$43 + 1)) + 'General Info'!$B$43 - 1, 0)</f>
        <v>143501.10855418639</v>
      </c>
      <c r="AI117" s="99" t="str">
        <f>IF(ISERROR(MATCH(SamplingData[[#This Row],[Batch by Type (p)]],SelectedPrecincts[Batch Name], 0)), "", INDEX(SelectedPrecincts[Draw], MATCH(SamplingData[[#This Row],[Batch by Type (p)]],SelectedPrecincts[Batch Name], 0)))</f>
        <v/>
      </c>
      <c r="AJ117" s="100">
        <f>IF(COUNTIF(SelectedPrecincts[Batch Name],SamplingData[[#This Row],[Batch by Type (p)]]) &lt;&gt; 0, COUNTIF(SelectedPrecincts[Batch Name],SamplingData[[#This Row],[Batch by Type (p)]]), 0)</f>
        <v>0</v>
      </c>
    </row>
    <row r="118" spans="1:36" ht="15" customHeight="1" x14ac:dyDescent="0.35">
      <c r="A118" s="97" t="s">
        <v>331</v>
      </c>
      <c r="B118" s="97">
        <v>108</v>
      </c>
      <c r="C118" s="97">
        <v>9</v>
      </c>
      <c r="D118" s="92"/>
      <c r="E118" s="92"/>
      <c r="F118" s="92"/>
      <c r="G118" s="96"/>
      <c r="H118" s="96"/>
      <c r="I118" s="92"/>
      <c r="J118" s="92"/>
      <c r="K118" s="92"/>
      <c r="L118" s="92"/>
      <c r="M118" s="92"/>
      <c r="N118" s="97">
        <v>0</v>
      </c>
      <c r="O118" s="97">
        <v>7</v>
      </c>
      <c r="P118" s="98">
        <f>SUM(SamplingData[[#This Row],[Winning Candidate]:[Under Votes]])</f>
        <v>124</v>
      </c>
      <c r="Q118" s="99">
        <f>IF(AND(SamplingData[[#This Row],[Total]]&lt;&gt; 0, NOT(ISBLANK(SamplingData[[#This Row],[Losing Candidate]]))),(SamplingData[[#This Row],[Total]]+SamplingData[[#This Row],[Winning Candidate]]-SamplingData[[#This Row],[Losing Candidate]])/(SamplingData[[#Totals],[Winning Candidate]]-SamplingData[[#Totals],[Losing Candidate]]), 0)</f>
        <v>9.4635885248684441E-3</v>
      </c>
      <c r="R118" s="99">
        <f>IF(AND(SamplingData[[#This Row],[Total]]&lt;&gt; 0, NOT(ISBLANK(SamplingData[[#This Row],[Candidate 3]]))),(SamplingData[[#This Row],[Total]]+SamplingData[[#This Row],[Winning Candidate]]-SamplingData[[#This Row],[Candidate 3]])/(SamplingData[[#Totals],[Winning Candidate]]-SamplingData[[#Totals],[Candidate 3]]), 0)</f>
        <v>0</v>
      </c>
      <c r="S118" s="99">
        <f>IF(AND(SamplingData[[#This Row],[Total]]&lt;&gt; 0, NOT(ISBLANK(SamplingData[[#This Row],[Candidate 4]]))),(SamplingData[[#This Row],[Total]]+SamplingData[[#This Row],[Winning Candidate]]-SamplingData[[#This Row],[Candidate 4]])/(SamplingData[[#Totals],[Winning Candidate]]-SamplingData[[#Totals],[Candidate 4]]), 0)</f>
        <v>0</v>
      </c>
      <c r="T118" s="99">
        <f>IF(AND(SamplingData[[#This Row],[Total]]&lt;&gt; 0, NOT(ISBLANK(SamplingData[[#This Row],[Candidate 5]]))),(SamplingData[[#This Row],[Total]]+SamplingData[[#This Row],[Winning Candidate]]-SamplingData[[#This Row],[Candidate 5]])/(SamplingData[[#Totals],[Winning Candidate]]-SamplingData[[#Totals],[Candidate 5]]), 0)</f>
        <v>0</v>
      </c>
      <c r="U118" s="99">
        <f>IF(AND(SamplingData[[#This Row],[Total]]&lt;&gt; 0, NOT(ISBLANK(SamplingData[[#This Row],[Candidate 6]]))),(SamplingData[[#This Row],[Total]]+SamplingData[[#This Row],[Losing Candidate]]-SamplingData[[#This Row],[Candidate 6]])/(SamplingData[[#Totals],[Winning Candidate]]-SamplingData[[#Totals],[Candidate 6]]), 0)</f>
        <v>0</v>
      </c>
      <c r="V118" s="99">
        <f>IF(AND(SamplingData[[#This Row],[Total]]&lt;&gt; 0, NOT(ISBLANK(SamplingData[[#This Row],[Candidate 7]]))),(SamplingData[[#This Row],[Total]]+SamplingData[[#This Row],[Winning Candidate]]-SamplingData[[#This Row],[Candidate 7]])/(SamplingData[[#Totals],[Winning Candidate]]-SamplingData[[#Totals],[Candidate 7]]), 0)</f>
        <v>0</v>
      </c>
      <c r="W118" s="99">
        <f>IF(AND(SamplingData[[#This Row],[Total]]&lt;&gt; 0, NOT(ISBLANK(SamplingData[[#This Row],[Candidate 8]]))),(SamplingData[[#This Row],[Total]]+SamplingData[[#This Row],[Winning Candidate]]-SamplingData[[#This Row],[Candidate 8]])/(SamplingData[[#Totals],[Winning Candidate]]-SamplingData[[#Totals],[Candidate 8]]), 0)</f>
        <v>0</v>
      </c>
      <c r="X1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8" s="99">
        <f>MAX(SamplingData[[#This Row],[Error Bound (up) - Max. possible relative overstatement - Losing Candidate]:[Error Bound (up) - Max. possible relative overstatement - Candidate 12]])</f>
        <v>9.4635885248684441E-3</v>
      </c>
      <c r="AC118" s="99">
        <f>IF(SamplingData[[#This Row],[Max Error Bound (up)]] = 0,0,SamplingData[[#This Row],[Max Error Bound (up)]]/SamplingData[[#Totals],[Max Error Bound (up)]])</f>
        <v>5.0668920638383022E-4</v>
      </c>
      <c r="AD118" s="103">
        <f>SUM($AC$5:AC118)</f>
        <v>0.14400879776057021</v>
      </c>
      <c r="AE118" s="99" t="str" cm="1">
        <f t="array" ref="AE118">IF(SamplingData[[#This Row],[up/U Selection Probability]] = 0, "Zero", TEXT(SamplingData[[#This Row],[Lower Range]], REPT("0",LEN('General Info'!$B$42))) &amp; " - " &amp; TEXT(SamplingData[[#This Row],[Upper Range]], REPT("0",LEN('General Info'!$B$42))))</f>
        <v>143502 - 144008</v>
      </c>
      <c r="AF118" s="99">
        <f>SamplingData[[#This Row],[Upper Range]]-SamplingData[[#This Row],[Span]]</f>
        <v>143502.10855418639</v>
      </c>
      <c r="AG118" s="99">
        <f>IF(ISNUMBER('General Info'!$B$42), ((SamplingData[[#This Row],[up/U Selection Probability]]) * 'General Info'!$B$44) - 1, 0)</f>
        <v>505.6892063838302</v>
      </c>
      <c r="AH118" s="99">
        <f>IF(ISNUMBER('General Info'!$B$42), (SamplingData[[#This Row],[Running (cumulative) sum]] * ('General Info'!$B$42 -'General Info'!$B$43 + 1)) + 'General Info'!$B$43 - 1, 0)</f>
        <v>144007.79776057022</v>
      </c>
      <c r="AI118" s="99" t="str">
        <f>IF(ISERROR(MATCH(SamplingData[[#This Row],[Batch by Type (p)]],SelectedPrecincts[Batch Name], 0)), "", INDEX(SelectedPrecincts[Draw], MATCH(SamplingData[[#This Row],[Batch by Type (p)]],SelectedPrecincts[Batch Name], 0)))</f>
        <v/>
      </c>
      <c r="AJ118" s="100">
        <f>IF(COUNTIF(SelectedPrecincts[Batch Name],SamplingData[[#This Row],[Batch by Type (p)]]) &lt;&gt; 0, COUNTIF(SelectedPrecincts[Batch Name],SamplingData[[#This Row],[Batch by Type (p)]]), 0)</f>
        <v>0</v>
      </c>
    </row>
    <row r="119" spans="1:36" ht="15" customHeight="1" x14ac:dyDescent="0.35">
      <c r="A119" s="97" t="s">
        <v>332</v>
      </c>
      <c r="B119" s="97">
        <v>39</v>
      </c>
      <c r="C119" s="97">
        <v>5</v>
      </c>
      <c r="D119" s="92"/>
      <c r="E119" s="92"/>
      <c r="F119" s="92"/>
      <c r="G119" s="96"/>
      <c r="H119" s="96"/>
      <c r="I119" s="92"/>
      <c r="J119" s="92"/>
      <c r="K119" s="92"/>
      <c r="L119" s="92"/>
      <c r="M119" s="92"/>
      <c r="N119" s="97">
        <v>0</v>
      </c>
      <c r="O119" s="97">
        <v>4</v>
      </c>
      <c r="P119" s="98">
        <f>SUM(SamplingData[[#This Row],[Winning Candidate]:[Under Votes]])</f>
        <v>48</v>
      </c>
      <c r="Q119" s="99">
        <f>IF(AND(SamplingData[[#This Row],[Total]]&lt;&gt; 0, NOT(ISBLANK(SamplingData[[#This Row],[Losing Candidate]]))),(SamplingData[[#This Row],[Total]]+SamplingData[[#This Row],[Winning Candidate]]-SamplingData[[#This Row],[Losing Candidate]])/(SamplingData[[#Totals],[Winning Candidate]]-SamplingData[[#Totals],[Losing Candidate]]), 0)</f>
        <v>3.4798845696825667E-3</v>
      </c>
      <c r="R119" s="99">
        <f>IF(AND(SamplingData[[#This Row],[Total]]&lt;&gt; 0, NOT(ISBLANK(SamplingData[[#This Row],[Candidate 3]]))),(SamplingData[[#This Row],[Total]]+SamplingData[[#This Row],[Winning Candidate]]-SamplingData[[#This Row],[Candidate 3]])/(SamplingData[[#Totals],[Winning Candidate]]-SamplingData[[#Totals],[Candidate 3]]), 0)</f>
        <v>0</v>
      </c>
      <c r="S119" s="99">
        <f>IF(AND(SamplingData[[#This Row],[Total]]&lt;&gt; 0, NOT(ISBLANK(SamplingData[[#This Row],[Candidate 4]]))),(SamplingData[[#This Row],[Total]]+SamplingData[[#This Row],[Winning Candidate]]-SamplingData[[#This Row],[Candidate 4]])/(SamplingData[[#Totals],[Winning Candidate]]-SamplingData[[#Totals],[Candidate 4]]), 0)</f>
        <v>0</v>
      </c>
      <c r="T119" s="99">
        <f>IF(AND(SamplingData[[#This Row],[Total]]&lt;&gt; 0, NOT(ISBLANK(SamplingData[[#This Row],[Candidate 5]]))),(SamplingData[[#This Row],[Total]]+SamplingData[[#This Row],[Winning Candidate]]-SamplingData[[#This Row],[Candidate 5]])/(SamplingData[[#Totals],[Winning Candidate]]-SamplingData[[#Totals],[Candidate 5]]), 0)</f>
        <v>0</v>
      </c>
      <c r="U119" s="99">
        <f>IF(AND(SamplingData[[#This Row],[Total]]&lt;&gt; 0, NOT(ISBLANK(SamplingData[[#This Row],[Candidate 6]]))),(SamplingData[[#This Row],[Total]]+SamplingData[[#This Row],[Losing Candidate]]-SamplingData[[#This Row],[Candidate 6]])/(SamplingData[[#Totals],[Winning Candidate]]-SamplingData[[#Totals],[Candidate 6]]), 0)</f>
        <v>0</v>
      </c>
      <c r="V119" s="99">
        <f>IF(AND(SamplingData[[#This Row],[Total]]&lt;&gt; 0, NOT(ISBLANK(SamplingData[[#This Row],[Candidate 7]]))),(SamplingData[[#This Row],[Total]]+SamplingData[[#This Row],[Winning Candidate]]-SamplingData[[#This Row],[Candidate 7]])/(SamplingData[[#Totals],[Winning Candidate]]-SamplingData[[#Totals],[Candidate 7]]), 0)</f>
        <v>0</v>
      </c>
      <c r="W119" s="99">
        <f>IF(AND(SamplingData[[#This Row],[Total]]&lt;&gt; 0, NOT(ISBLANK(SamplingData[[#This Row],[Candidate 8]]))),(SamplingData[[#This Row],[Total]]+SamplingData[[#This Row],[Winning Candidate]]-SamplingData[[#This Row],[Candidate 8]])/(SamplingData[[#Totals],[Winning Candidate]]-SamplingData[[#Totals],[Candidate 8]]), 0)</f>
        <v>0</v>
      </c>
      <c r="X1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9" s="99">
        <f>MAX(SamplingData[[#This Row],[Error Bound (up) - Max. possible relative overstatement - Losing Candidate]:[Error Bound (up) - Max. possible relative overstatement - Candidate 12]])</f>
        <v>3.4798845696825667E-3</v>
      </c>
      <c r="AC119" s="99">
        <f>IF(SamplingData[[#This Row],[Max Error Bound (up)]] = 0,0,SamplingData[[#This Row],[Max Error Bound (up)]]/SamplingData[[#Totals],[Max Error Bound (up)]])</f>
        <v>1.8631621041916626E-4</v>
      </c>
      <c r="AD119" s="103">
        <f>SUM($AC$5:AC119)</f>
        <v>0.14419511397098939</v>
      </c>
      <c r="AE119" s="99" t="str" cm="1">
        <f t="array" ref="AE119">IF(SamplingData[[#This Row],[up/U Selection Probability]] = 0, "Zero", TEXT(SamplingData[[#This Row],[Lower Range]], REPT("0",LEN('General Info'!$B$42))) &amp; " - " &amp; TEXT(SamplingData[[#This Row],[Upper Range]], REPT("0",LEN('General Info'!$B$42))))</f>
        <v>144009 - 144194</v>
      </c>
      <c r="AF119" s="99">
        <f>SamplingData[[#This Row],[Upper Range]]-SamplingData[[#This Row],[Span]]</f>
        <v>144008.79776057022</v>
      </c>
      <c r="AG119" s="99">
        <f>IF(ISNUMBER('General Info'!$B$42), ((SamplingData[[#This Row],[up/U Selection Probability]]) * 'General Info'!$B$44) - 1, 0)</f>
        <v>185.31621041916625</v>
      </c>
      <c r="AH119" s="99">
        <f>IF(ISNUMBER('General Info'!$B$42), (SamplingData[[#This Row],[Running (cumulative) sum]] * ('General Info'!$B$42 -'General Info'!$B$43 + 1)) + 'General Info'!$B$43 - 1, 0)</f>
        <v>144194.11397098939</v>
      </c>
      <c r="AI119" s="99" t="str">
        <f>IF(ISERROR(MATCH(SamplingData[[#This Row],[Batch by Type (p)]],SelectedPrecincts[Batch Name], 0)), "", INDEX(SelectedPrecincts[Draw], MATCH(SamplingData[[#This Row],[Batch by Type (p)]],SelectedPrecincts[Batch Name], 0)))</f>
        <v/>
      </c>
      <c r="AJ119" s="100">
        <f>IF(COUNTIF(SelectedPrecincts[Batch Name],SamplingData[[#This Row],[Batch by Type (p)]]) &lt;&gt; 0, COUNTIF(SelectedPrecincts[Batch Name],SamplingData[[#This Row],[Batch by Type (p)]]), 0)</f>
        <v>0</v>
      </c>
    </row>
    <row r="120" spans="1:36" ht="15" customHeight="1" x14ac:dyDescent="0.35">
      <c r="A120" s="97" t="s">
        <v>333</v>
      </c>
      <c r="B120" s="97">
        <v>56</v>
      </c>
      <c r="C120" s="97">
        <v>78</v>
      </c>
      <c r="D120" s="92"/>
      <c r="E120" s="92"/>
      <c r="F120" s="92"/>
      <c r="G120" s="96"/>
      <c r="H120" s="96"/>
      <c r="I120" s="92"/>
      <c r="J120" s="92"/>
      <c r="K120" s="92"/>
      <c r="L120" s="92"/>
      <c r="M120" s="92"/>
      <c r="N120" s="97">
        <v>0</v>
      </c>
      <c r="O120" s="97">
        <v>3</v>
      </c>
      <c r="P120" s="98">
        <f>SUM(SamplingData[[#This Row],[Winning Candidate]:[Under Votes]])</f>
        <v>137</v>
      </c>
      <c r="Q120" s="99">
        <f>IF(AND(SamplingData[[#This Row],[Total]]&lt;&gt; 0, NOT(ISBLANK(SamplingData[[#This Row],[Losing Candidate]]))),(SamplingData[[#This Row],[Total]]+SamplingData[[#This Row],[Winning Candidate]]-SamplingData[[#This Row],[Losing Candidate]])/(SamplingData[[#Totals],[Winning Candidate]]-SamplingData[[#Totals],[Losing Candidate]]), 0)</f>
        <v>4.8803259208962824E-3</v>
      </c>
      <c r="R120" s="99">
        <f>IF(AND(SamplingData[[#This Row],[Total]]&lt;&gt; 0, NOT(ISBLANK(SamplingData[[#This Row],[Candidate 3]]))),(SamplingData[[#This Row],[Total]]+SamplingData[[#This Row],[Winning Candidate]]-SamplingData[[#This Row],[Candidate 3]])/(SamplingData[[#Totals],[Winning Candidate]]-SamplingData[[#Totals],[Candidate 3]]), 0)</f>
        <v>0</v>
      </c>
      <c r="S120" s="99">
        <f>IF(AND(SamplingData[[#This Row],[Total]]&lt;&gt; 0, NOT(ISBLANK(SamplingData[[#This Row],[Candidate 4]]))),(SamplingData[[#This Row],[Total]]+SamplingData[[#This Row],[Winning Candidate]]-SamplingData[[#This Row],[Candidate 4]])/(SamplingData[[#Totals],[Winning Candidate]]-SamplingData[[#Totals],[Candidate 4]]), 0)</f>
        <v>0</v>
      </c>
      <c r="T120" s="99">
        <f>IF(AND(SamplingData[[#This Row],[Total]]&lt;&gt; 0, NOT(ISBLANK(SamplingData[[#This Row],[Candidate 5]]))),(SamplingData[[#This Row],[Total]]+SamplingData[[#This Row],[Winning Candidate]]-SamplingData[[#This Row],[Candidate 5]])/(SamplingData[[#Totals],[Winning Candidate]]-SamplingData[[#Totals],[Candidate 5]]), 0)</f>
        <v>0</v>
      </c>
      <c r="U120" s="99">
        <f>IF(AND(SamplingData[[#This Row],[Total]]&lt;&gt; 0, NOT(ISBLANK(SamplingData[[#This Row],[Candidate 6]]))),(SamplingData[[#This Row],[Total]]+SamplingData[[#This Row],[Losing Candidate]]-SamplingData[[#This Row],[Candidate 6]])/(SamplingData[[#Totals],[Winning Candidate]]-SamplingData[[#Totals],[Candidate 6]]), 0)</f>
        <v>0</v>
      </c>
      <c r="V120" s="99">
        <f>IF(AND(SamplingData[[#This Row],[Total]]&lt;&gt; 0, NOT(ISBLANK(SamplingData[[#This Row],[Candidate 7]]))),(SamplingData[[#This Row],[Total]]+SamplingData[[#This Row],[Winning Candidate]]-SamplingData[[#This Row],[Candidate 7]])/(SamplingData[[#Totals],[Winning Candidate]]-SamplingData[[#Totals],[Candidate 7]]), 0)</f>
        <v>0</v>
      </c>
      <c r="W120" s="99">
        <f>IF(AND(SamplingData[[#This Row],[Total]]&lt;&gt; 0, NOT(ISBLANK(SamplingData[[#This Row],[Candidate 8]]))),(SamplingData[[#This Row],[Total]]+SamplingData[[#This Row],[Winning Candidate]]-SamplingData[[#This Row],[Candidate 8]])/(SamplingData[[#Totals],[Winning Candidate]]-SamplingData[[#Totals],[Candidate 8]]), 0)</f>
        <v>0</v>
      </c>
      <c r="X1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0" s="99">
        <f>MAX(SamplingData[[#This Row],[Error Bound (up) - Max. possible relative overstatement - Losing Candidate]:[Error Bound (up) - Max. possible relative overstatement - Candidate 12]])</f>
        <v>4.8803259208962824E-3</v>
      </c>
      <c r="AC120" s="99">
        <f>IF(SamplingData[[#This Row],[Max Error Bound (up)]] = 0,0,SamplingData[[#This Row],[Max Error Bound (up)]]/SamplingData[[#Totals],[Max Error Bound (up)]])</f>
        <v>2.6129712436834295E-4</v>
      </c>
      <c r="AD120" s="103">
        <f>SUM($AC$5:AC120)</f>
        <v>0.14445641109535773</v>
      </c>
      <c r="AE120" s="99" t="str" cm="1">
        <f t="array" ref="AE120">IF(SamplingData[[#This Row],[up/U Selection Probability]] = 0, "Zero", TEXT(SamplingData[[#This Row],[Lower Range]], REPT("0",LEN('General Info'!$B$42))) &amp; " - " &amp; TEXT(SamplingData[[#This Row],[Upper Range]], REPT("0",LEN('General Info'!$B$42))))</f>
        <v>144195 - 144455</v>
      </c>
      <c r="AF120" s="99">
        <f>SamplingData[[#This Row],[Upper Range]]-SamplingData[[#This Row],[Span]]</f>
        <v>144195.11397098939</v>
      </c>
      <c r="AG120" s="99">
        <f>IF(ISNUMBER('General Info'!$B$42), ((SamplingData[[#This Row],[up/U Selection Probability]]) * 'General Info'!$B$44) - 1, 0)</f>
        <v>260.29712436834296</v>
      </c>
      <c r="AH120" s="99">
        <f>IF(ISNUMBER('General Info'!$B$42), (SamplingData[[#This Row],[Running (cumulative) sum]] * ('General Info'!$B$42 -'General Info'!$B$43 + 1)) + 'General Info'!$B$43 - 1, 0)</f>
        <v>144455.41109535773</v>
      </c>
      <c r="AI120" s="99" t="str">
        <f>IF(ISERROR(MATCH(SamplingData[[#This Row],[Batch by Type (p)]],SelectedPrecincts[Batch Name], 0)), "", INDEX(SelectedPrecincts[Draw], MATCH(SamplingData[[#This Row],[Batch by Type (p)]],SelectedPrecincts[Batch Name], 0)))</f>
        <v/>
      </c>
      <c r="AJ120" s="100">
        <f>IF(COUNTIF(SelectedPrecincts[Batch Name],SamplingData[[#This Row],[Batch by Type (p)]]) &lt;&gt; 0, COUNTIF(SelectedPrecincts[Batch Name],SamplingData[[#This Row],[Batch by Type (p)]]), 0)</f>
        <v>0</v>
      </c>
    </row>
    <row r="121" spans="1:36" ht="15" customHeight="1" x14ac:dyDescent="0.35">
      <c r="A121" s="97" t="s">
        <v>334</v>
      </c>
      <c r="B121" s="97">
        <v>60</v>
      </c>
      <c r="C121" s="97">
        <v>146</v>
      </c>
      <c r="D121" s="92"/>
      <c r="E121" s="92"/>
      <c r="F121" s="92"/>
      <c r="G121" s="96"/>
      <c r="H121" s="96"/>
      <c r="I121" s="92"/>
      <c r="J121" s="92"/>
      <c r="K121" s="92"/>
      <c r="L121" s="92"/>
      <c r="M121" s="92"/>
      <c r="N121" s="97">
        <v>0</v>
      </c>
      <c r="O121" s="97">
        <v>5</v>
      </c>
      <c r="P121" s="98">
        <f>SUM(SamplingData[[#This Row],[Winning Candidate]:[Under Votes]])</f>
        <v>211</v>
      </c>
      <c r="Q121" s="99">
        <f>IF(AND(SamplingData[[#This Row],[Total]]&lt;&gt; 0, NOT(ISBLANK(SamplingData[[#This Row],[Losing Candidate]]))),(SamplingData[[#This Row],[Total]]+SamplingData[[#This Row],[Winning Candidate]]-SamplingData[[#This Row],[Losing Candidate]])/(SamplingData[[#Totals],[Winning Candidate]]-SamplingData[[#Totals],[Losing Candidate]]), 0)</f>
        <v>5.3047020879307422E-3</v>
      </c>
      <c r="R121" s="99">
        <f>IF(AND(SamplingData[[#This Row],[Total]]&lt;&gt; 0, NOT(ISBLANK(SamplingData[[#This Row],[Candidate 3]]))),(SamplingData[[#This Row],[Total]]+SamplingData[[#This Row],[Winning Candidate]]-SamplingData[[#This Row],[Candidate 3]])/(SamplingData[[#Totals],[Winning Candidate]]-SamplingData[[#Totals],[Candidate 3]]), 0)</f>
        <v>0</v>
      </c>
      <c r="S121" s="99">
        <f>IF(AND(SamplingData[[#This Row],[Total]]&lt;&gt; 0, NOT(ISBLANK(SamplingData[[#This Row],[Candidate 4]]))),(SamplingData[[#This Row],[Total]]+SamplingData[[#This Row],[Winning Candidate]]-SamplingData[[#This Row],[Candidate 4]])/(SamplingData[[#Totals],[Winning Candidate]]-SamplingData[[#Totals],[Candidate 4]]), 0)</f>
        <v>0</v>
      </c>
      <c r="T121" s="99">
        <f>IF(AND(SamplingData[[#This Row],[Total]]&lt;&gt; 0, NOT(ISBLANK(SamplingData[[#This Row],[Candidate 5]]))),(SamplingData[[#This Row],[Total]]+SamplingData[[#This Row],[Winning Candidate]]-SamplingData[[#This Row],[Candidate 5]])/(SamplingData[[#Totals],[Winning Candidate]]-SamplingData[[#Totals],[Candidate 5]]), 0)</f>
        <v>0</v>
      </c>
      <c r="U121" s="99">
        <f>IF(AND(SamplingData[[#This Row],[Total]]&lt;&gt; 0, NOT(ISBLANK(SamplingData[[#This Row],[Candidate 6]]))),(SamplingData[[#This Row],[Total]]+SamplingData[[#This Row],[Losing Candidate]]-SamplingData[[#This Row],[Candidate 6]])/(SamplingData[[#Totals],[Winning Candidate]]-SamplingData[[#Totals],[Candidate 6]]), 0)</f>
        <v>0</v>
      </c>
      <c r="V121" s="99">
        <f>IF(AND(SamplingData[[#This Row],[Total]]&lt;&gt; 0, NOT(ISBLANK(SamplingData[[#This Row],[Candidate 7]]))),(SamplingData[[#This Row],[Total]]+SamplingData[[#This Row],[Winning Candidate]]-SamplingData[[#This Row],[Candidate 7]])/(SamplingData[[#Totals],[Winning Candidate]]-SamplingData[[#Totals],[Candidate 7]]), 0)</f>
        <v>0</v>
      </c>
      <c r="W121" s="99">
        <f>IF(AND(SamplingData[[#This Row],[Total]]&lt;&gt; 0, NOT(ISBLANK(SamplingData[[#This Row],[Candidate 8]]))),(SamplingData[[#This Row],[Total]]+SamplingData[[#This Row],[Winning Candidate]]-SamplingData[[#This Row],[Candidate 8]])/(SamplingData[[#Totals],[Winning Candidate]]-SamplingData[[#Totals],[Candidate 8]]), 0)</f>
        <v>0</v>
      </c>
      <c r="X1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1" s="99">
        <f>MAX(SamplingData[[#This Row],[Error Bound (up) - Max. possible relative overstatement - Losing Candidate]:[Error Bound (up) - Max. possible relative overstatement - Candidate 12]])</f>
        <v>5.3047020879307422E-3</v>
      </c>
      <c r="AC121" s="99">
        <f>IF(SamplingData[[#This Row],[Max Error Bound (up)]] = 0,0,SamplingData[[#This Row],[Max Error Bound (up)]]/SamplingData[[#Totals],[Max Error Bound (up)]])</f>
        <v>2.8401861344385103E-4</v>
      </c>
      <c r="AD121" s="103">
        <f>SUM($AC$5:AC121)</f>
        <v>0.14474042970880158</v>
      </c>
      <c r="AE121" s="99" t="str" cm="1">
        <f t="array" ref="AE121">IF(SamplingData[[#This Row],[up/U Selection Probability]] = 0, "Zero", TEXT(SamplingData[[#This Row],[Lower Range]], REPT("0",LEN('General Info'!$B$42))) &amp; " - " &amp; TEXT(SamplingData[[#This Row],[Upper Range]], REPT("0",LEN('General Info'!$B$42))))</f>
        <v>144456 - 144739</v>
      </c>
      <c r="AF121" s="99">
        <f>SamplingData[[#This Row],[Upper Range]]-SamplingData[[#This Row],[Span]]</f>
        <v>144456.41109535773</v>
      </c>
      <c r="AG121" s="99">
        <f>IF(ISNUMBER('General Info'!$B$42), ((SamplingData[[#This Row],[up/U Selection Probability]]) * 'General Info'!$B$44) - 1, 0)</f>
        <v>283.01861344385105</v>
      </c>
      <c r="AH121" s="99">
        <f>IF(ISNUMBER('General Info'!$B$42), (SamplingData[[#This Row],[Running (cumulative) sum]] * ('General Info'!$B$42 -'General Info'!$B$43 + 1)) + 'General Info'!$B$43 - 1, 0)</f>
        <v>144739.42970880159</v>
      </c>
      <c r="AI121" s="99" t="str">
        <f>IF(ISERROR(MATCH(SamplingData[[#This Row],[Batch by Type (p)]],SelectedPrecincts[Batch Name], 0)), "", INDEX(SelectedPrecincts[Draw], MATCH(SamplingData[[#This Row],[Batch by Type (p)]],SelectedPrecincts[Batch Name], 0)))</f>
        <v/>
      </c>
      <c r="AJ121" s="100">
        <f>IF(COUNTIF(SelectedPrecincts[Batch Name],SamplingData[[#This Row],[Batch by Type (p)]]) &lt;&gt; 0, COUNTIF(SelectedPrecincts[Batch Name],SamplingData[[#This Row],[Batch by Type (p)]]), 0)</f>
        <v>0</v>
      </c>
    </row>
    <row r="122" spans="1:36" ht="15" customHeight="1" x14ac:dyDescent="0.35">
      <c r="A122" s="97" t="s">
        <v>335</v>
      </c>
      <c r="B122" s="97">
        <v>75</v>
      </c>
      <c r="C122" s="97">
        <v>137</v>
      </c>
      <c r="D122" s="92"/>
      <c r="E122" s="92"/>
      <c r="F122" s="92"/>
      <c r="G122" s="96"/>
      <c r="H122" s="96"/>
      <c r="I122" s="92"/>
      <c r="J122" s="92"/>
      <c r="K122" s="92"/>
      <c r="L122" s="92"/>
      <c r="M122" s="92"/>
      <c r="N122" s="97">
        <v>0</v>
      </c>
      <c r="O122" s="97">
        <v>11</v>
      </c>
      <c r="P122" s="98">
        <f>SUM(SamplingData[[#This Row],[Winning Candidate]:[Under Votes]])</f>
        <v>223</v>
      </c>
      <c r="Q122" s="99">
        <f>IF(AND(SamplingData[[#This Row],[Total]]&lt;&gt; 0, NOT(ISBLANK(SamplingData[[#This Row],[Losing Candidate]]))),(SamplingData[[#This Row],[Total]]+SamplingData[[#This Row],[Winning Candidate]]-SamplingData[[#This Row],[Losing Candidate]])/(SamplingData[[#Totals],[Winning Candidate]]-SamplingData[[#Totals],[Losing Candidate]]), 0)</f>
        <v>6.8324562892547952E-3</v>
      </c>
      <c r="R122" s="99">
        <f>IF(AND(SamplingData[[#This Row],[Total]]&lt;&gt; 0, NOT(ISBLANK(SamplingData[[#This Row],[Candidate 3]]))),(SamplingData[[#This Row],[Total]]+SamplingData[[#This Row],[Winning Candidate]]-SamplingData[[#This Row],[Candidate 3]])/(SamplingData[[#Totals],[Winning Candidate]]-SamplingData[[#Totals],[Candidate 3]]), 0)</f>
        <v>0</v>
      </c>
      <c r="S122" s="99">
        <f>IF(AND(SamplingData[[#This Row],[Total]]&lt;&gt; 0, NOT(ISBLANK(SamplingData[[#This Row],[Candidate 4]]))),(SamplingData[[#This Row],[Total]]+SamplingData[[#This Row],[Winning Candidate]]-SamplingData[[#This Row],[Candidate 4]])/(SamplingData[[#Totals],[Winning Candidate]]-SamplingData[[#Totals],[Candidate 4]]), 0)</f>
        <v>0</v>
      </c>
      <c r="T122" s="99">
        <f>IF(AND(SamplingData[[#This Row],[Total]]&lt;&gt; 0, NOT(ISBLANK(SamplingData[[#This Row],[Candidate 5]]))),(SamplingData[[#This Row],[Total]]+SamplingData[[#This Row],[Winning Candidate]]-SamplingData[[#This Row],[Candidate 5]])/(SamplingData[[#Totals],[Winning Candidate]]-SamplingData[[#Totals],[Candidate 5]]), 0)</f>
        <v>0</v>
      </c>
      <c r="U122" s="99">
        <f>IF(AND(SamplingData[[#This Row],[Total]]&lt;&gt; 0, NOT(ISBLANK(SamplingData[[#This Row],[Candidate 6]]))),(SamplingData[[#This Row],[Total]]+SamplingData[[#This Row],[Losing Candidate]]-SamplingData[[#This Row],[Candidate 6]])/(SamplingData[[#Totals],[Winning Candidate]]-SamplingData[[#Totals],[Candidate 6]]), 0)</f>
        <v>0</v>
      </c>
      <c r="V122" s="99">
        <f>IF(AND(SamplingData[[#This Row],[Total]]&lt;&gt; 0, NOT(ISBLANK(SamplingData[[#This Row],[Candidate 7]]))),(SamplingData[[#This Row],[Total]]+SamplingData[[#This Row],[Winning Candidate]]-SamplingData[[#This Row],[Candidate 7]])/(SamplingData[[#Totals],[Winning Candidate]]-SamplingData[[#Totals],[Candidate 7]]), 0)</f>
        <v>0</v>
      </c>
      <c r="W122" s="99">
        <f>IF(AND(SamplingData[[#This Row],[Total]]&lt;&gt; 0, NOT(ISBLANK(SamplingData[[#This Row],[Candidate 8]]))),(SamplingData[[#This Row],[Total]]+SamplingData[[#This Row],[Winning Candidate]]-SamplingData[[#This Row],[Candidate 8]])/(SamplingData[[#Totals],[Winning Candidate]]-SamplingData[[#Totals],[Candidate 8]]), 0)</f>
        <v>0</v>
      </c>
      <c r="X1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2" s="99">
        <f>MAX(SamplingData[[#This Row],[Error Bound (up) - Max. possible relative overstatement - Losing Candidate]:[Error Bound (up) - Max. possible relative overstatement - Candidate 12]])</f>
        <v>6.8324562892547952E-3</v>
      </c>
      <c r="AC122" s="99">
        <f>IF(SamplingData[[#This Row],[Max Error Bound (up)]] = 0,0,SamplingData[[#This Row],[Max Error Bound (up)]]/SamplingData[[#Totals],[Max Error Bound (up)]])</f>
        <v>3.6581597411568012E-4</v>
      </c>
      <c r="AD122" s="103">
        <f>SUM($AC$5:AC122)</f>
        <v>0.14510624568291725</v>
      </c>
      <c r="AE122" s="99" t="str" cm="1">
        <f t="array" ref="AE122">IF(SamplingData[[#This Row],[up/U Selection Probability]] = 0, "Zero", TEXT(SamplingData[[#This Row],[Lower Range]], REPT("0",LEN('General Info'!$B$42))) &amp; " - " &amp; TEXT(SamplingData[[#This Row],[Upper Range]], REPT("0",LEN('General Info'!$B$42))))</f>
        <v>144740 - 145105</v>
      </c>
      <c r="AF122" s="99">
        <f>SamplingData[[#This Row],[Upper Range]]-SamplingData[[#This Row],[Span]]</f>
        <v>144740.42970880156</v>
      </c>
      <c r="AG122" s="99">
        <f>IF(ISNUMBER('General Info'!$B$42), ((SamplingData[[#This Row],[up/U Selection Probability]]) * 'General Info'!$B$44) - 1, 0)</f>
        <v>364.81597411568015</v>
      </c>
      <c r="AH122" s="99">
        <f>IF(ISNUMBER('General Info'!$B$42), (SamplingData[[#This Row],[Running (cumulative) sum]] * ('General Info'!$B$42 -'General Info'!$B$43 + 1)) + 'General Info'!$B$43 - 1, 0)</f>
        <v>145105.24568291724</v>
      </c>
      <c r="AI122" s="99" t="str">
        <f>IF(ISERROR(MATCH(SamplingData[[#This Row],[Batch by Type (p)]],SelectedPrecincts[Batch Name], 0)), "", INDEX(SelectedPrecincts[Draw], MATCH(SamplingData[[#This Row],[Batch by Type (p)]],SelectedPrecincts[Batch Name], 0)))</f>
        <v/>
      </c>
      <c r="AJ122" s="100">
        <f>IF(COUNTIF(SelectedPrecincts[Batch Name],SamplingData[[#This Row],[Batch by Type (p)]]) &lt;&gt; 0, COUNTIF(SelectedPrecincts[Batch Name],SamplingData[[#This Row],[Batch by Type (p)]]), 0)</f>
        <v>0</v>
      </c>
    </row>
    <row r="123" spans="1:36" ht="15" customHeight="1" x14ac:dyDescent="0.35">
      <c r="A123" s="97" t="s">
        <v>336</v>
      </c>
      <c r="B123" s="97">
        <v>17</v>
      </c>
      <c r="C123" s="97">
        <v>4</v>
      </c>
      <c r="D123" s="92"/>
      <c r="E123" s="92"/>
      <c r="F123" s="92"/>
      <c r="G123" s="96"/>
      <c r="H123" s="96"/>
      <c r="I123" s="92"/>
      <c r="J123" s="92"/>
      <c r="K123" s="92"/>
      <c r="L123" s="92"/>
      <c r="M123" s="92"/>
      <c r="N123" s="97">
        <v>0</v>
      </c>
      <c r="O123" s="97">
        <v>0</v>
      </c>
      <c r="P123" s="98">
        <f>SUM(SamplingData[[#This Row],[Winning Candidate]:[Under Votes]])</f>
        <v>21</v>
      </c>
      <c r="Q123" s="99">
        <f>IF(AND(SamplingData[[#This Row],[Total]]&lt;&gt; 0, NOT(ISBLANK(SamplingData[[#This Row],[Losing Candidate]]))),(SamplingData[[#This Row],[Total]]+SamplingData[[#This Row],[Winning Candidate]]-SamplingData[[#This Row],[Losing Candidate]])/(SamplingData[[#Totals],[Winning Candidate]]-SamplingData[[#Totals],[Losing Candidate]]), 0)</f>
        <v>1.4428789679171619E-3</v>
      </c>
      <c r="R123" s="99">
        <f>IF(AND(SamplingData[[#This Row],[Total]]&lt;&gt; 0, NOT(ISBLANK(SamplingData[[#This Row],[Candidate 3]]))),(SamplingData[[#This Row],[Total]]+SamplingData[[#This Row],[Winning Candidate]]-SamplingData[[#This Row],[Candidate 3]])/(SamplingData[[#Totals],[Winning Candidate]]-SamplingData[[#Totals],[Candidate 3]]), 0)</f>
        <v>0</v>
      </c>
      <c r="S123" s="99">
        <f>IF(AND(SamplingData[[#This Row],[Total]]&lt;&gt; 0, NOT(ISBLANK(SamplingData[[#This Row],[Candidate 4]]))),(SamplingData[[#This Row],[Total]]+SamplingData[[#This Row],[Winning Candidate]]-SamplingData[[#This Row],[Candidate 4]])/(SamplingData[[#Totals],[Winning Candidate]]-SamplingData[[#Totals],[Candidate 4]]), 0)</f>
        <v>0</v>
      </c>
      <c r="T123" s="99">
        <f>IF(AND(SamplingData[[#This Row],[Total]]&lt;&gt; 0, NOT(ISBLANK(SamplingData[[#This Row],[Candidate 5]]))),(SamplingData[[#This Row],[Total]]+SamplingData[[#This Row],[Winning Candidate]]-SamplingData[[#This Row],[Candidate 5]])/(SamplingData[[#Totals],[Winning Candidate]]-SamplingData[[#Totals],[Candidate 5]]), 0)</f>
        <v>0</v>
      </c>
      <c r="U123" s="99">
        <f>IF(AND(SamplingData[[#This Row],[Total]]&lt;&gt; 0, NOT(ISBLANK(SamplingData[[#This Row],[Candidate 6]]))),(SamplingData[[#This Row],[Total]]+SamplingData[[#This Row],[Losing Candidate]]-SamplingData[[#This Row],[Candidate 6]])/(SamplingData[[#Totals],[Winning Candidate]]-SamplingData[[#Totals],[Candidate 6]]), 0)</f>
        <v>0</v>
      </c>
      <c r="V123" s="99">
        <f>IF(AND(SamplingData[[#This Row],[Total]]&lt;&gt; 0, NOT(ISBLANK(SamplingData[[#This Row],[Candidate 7]]))),(SamplingData[[#This Row],[Total]]+SamplingData[[#This Row],[Winning Candidate]]-SamplingData[[#This Row],[Candidate 7]])/(SamplingData[[#Totals],[Winning Candidate]]-SamplingData[[#Totals],[Candidate 7]]), 0)</f>
        <v>0</v>
      </c>
      <c r="W123" s="99">
        <f>IF(AND(SamplingData[[#This Row],[Total]]&lt;&gt; 0, NOT(ISBLANK(SamplingData[[#This Row],[Candidate 8]]))),(SamplingData[[#This Row],[Total]]+SamplingData[[#This Row],[Winning Candidate]]-SamplingData[[#This Row],[Candidate 8]])/(SamplingData[[#Totals],[Winning Candidate]]-SamplingData[[#Totals],[Candidate 8]]), 0)</f>
        <v>0</v>
      </c>
      <c r="X1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3" s="99">
        <f>MAX(SamplingData[[#This Row],[Error Bound (up) - Max. possible relative overstatement - Losing Candidate]:[Error Bound (up) - Max. possible relative overstatement - Candidate 12]])</f>
        <v>1.4428789679171619E-3</v>
      </c>
      <c r="AC123" s="99">
        <f>IF(SamplingData[[#This Row],[Max Error Bound (up)]] = 0,0,SamplingData[[#This Row],[Max Error Bound (up)]]/SamplingData[[#Totals],[Max Error Bound (up)]])</f>
        <v>7.7253062856727487E-5</v>
      </c>
      <c r="AD123" s="103">
        <f>SUM($AC$5:AC123)</f>
        <v>0.14518349874577396</v>
      </c>
      <c r="AE123" s="99" t="str" cm="1">
        <f t="array" ref="AE123">IF(SamplingData[[#This Row],[up/U Selection Probability]] = 0, "Zero", TEXT(SamplingData[[#This Row],[Lower Range]], REPT("0",LEN('General Info'!$B$42))) &amp; " - " &amp; TEXT(SamplingData[[#This Row],[Upper Range]], REPT("0",LEN('General Info'!$B$42))))</f>
        <v>145106 - 145182</v>
      </c>
      <c r="AF123" s="99">
        <f>SamplingData[[#This Row],[Upper Range]]-SamplingData[[#This Row],[Span]]</f>
        <v>145106.24568291724</v>
      </c>
      <c r="AG123" s="99">
        <f>IF(ISNUMBER('General Info'!$B$42), ((SamplingData[[#This Row],[up/U Selection Probability]]) * 'General Info'!$B$44) - 1, 0)</f>
        <v>76.253062856727482</v>
      </c>
      <c r="AH123" s="99">
        <f>IF(ISNUMBER('General Info'!$B$42), (SamplingData[[#This Row],[Running (cumulative) sum]] * ('General Info'!$B$42 -'General Info'!$B$43 + 1)) + 'General Info'!$B$43 - 1, 0)</f>
        <v>145182.49874577398</v>
      </c>
      <c r="AI123" s="99" t="str">
        <f>IF(ISERROR(MATCH(SamplingData[[#This Row],[Batch by Type (p)]],SelectedPrecincts[Batch Name], 0)), "", INDEX(SelectedPrecincts[Draw], MATCH(SamplingData[[#This Row],[Batch by Type (p)]],SelectedPrecincts[Batch Name], 0)))</f>
        <v/>
      </c>
      <c r="AJ123" s="100">
        <f>IF(COUNTIF(SelectedPrecincts[Batch Name],SamplingData[[#This Row],[Batch by Type (p)]]) &lt;&gt; 0, COUNTIF(SelectedPrecincts[Batch Name],SamplingData[[#This Row],[Batch by Type (p)]]), 0)</f>
        <v>0</v>
      </c>
    </row>
    <row r="124" spans="1:36" ht="15" customHeight="1" x14ac:dyDescent="0.35">
      <c r="A124" s="97" t="s">
        <v>337</v>
      </c>
      <c r="B124" s="97">
        <v>98</v>
      </c>
      <c r="C124" s="97">
        <v>54</v>
      </c>
      <c r="D124" s="92"/>
      <c r="E124" s="92"/>
      <c r="F124" s="92"/>
      <c r="G124" s="96"/>
      <c r="H124" s="96"/>
      <c r="I124" s="92"/>
      <c r="J124" s="92"/>
      <c r="K124" s="92"/>
      <c r="L124" s="92"/>
      <c r="M124" s="92"/>
      <c r="N124" s="97">
        <v>0</v>
      </c>
      <c r="O124" s="97">
        <v>9</v>
      </c>
      <c r="P124" s="98">
        <f>SUM(SamplingData[[#This Row],[Winning Candidate]:[Under Votes]])</f>
        <v>161</v>
      </c>
      <c r="Q124" s="99">
        <f>IF(AND(SamplingData[[#This Row],[Total]]&lt;&gt; 0, NOT(ISBLANK(SamplingData[[#This Row],[Losing Candidate]]))),(SamplingData[[#This Row],[Total]]+SamplingData[[#This Row],[Winning Candidate]]-SamplingData[[#This Row],[Losing Candidate]])/(SamplingData[[#Totals],[Winning Candidate]]-SamplingData[[#Totals],[Losing Candidate]]), 0)</f>
        <v>8.6997114242064171E-3</v>
      </c>
      <c r="R124" s="99">
        <f>IF(AND(SamplingData[[#This Row],[Total]]&lt;&gt; 0, NOT(ISBLANK(SamplingData[[#This Row],[Candidate 3]]))),(SamplingData[[#This Row],[Total]]+SamplingData[[#This Row],[Winning Candidate]]-SamplingData[[#This Row],[Candidate 3]])/(SamplingData[[#Totals],[Winning Candidate]]-SamplingData[[#Totals],[Candidate 3]]), 0)</f>
        <v>0</v>
      </c>
      <c r="S124" s="99">
        <f>IF(AND(SamplingData[[#This Row],[Total]]&lt;&gt; 0, NOT(ISBLANK(SamplingData[[#This Row],[Candidate 4]]))),(SamplingData[[#This Row],[Total]]+SamplingData[[#This Row],[Winning Candidate]]-SamplingData[[#This Row],[Candidate 4]])/(SamplingData[[#Totals],[Winning Candidate]]-SamplingData[[#Totals],[Candidate 4]]), 0)</f>
        <v>0</v>
      </c>
      <c r="T124" s="99">
        <f>IF(AND(SamplingData[[#This Row],[Total]]&lt;&gt; 0, NOT(ISBLANK(SamplingData[[#This Row],[Candidate 5]]))),(SamplingData[[#This Row],[Total]]+SamplingData[[#This Row],[Winning Candidate]]-SamplingData[[#This Row],[Candidate 5]])/(SamplingData[[#Totals],[Winning Candidate]]-SamplingData[[#Totals],[Candidate 5]]), 0)</f>
        <v>0</v>
      </c>
      <c r="U124" s="99">
        <f>IF(AND(SamplingData[[#This Row],[Total]]&lt;&gt; 0, NOT(ISBLANK(SamplingData[[#This Row],[Candidate 6]]))),(SamplingData[[#This Row],[Total]]+SamplingData[[#This Row],[Losing Candidate]]-SamplingData[[#This Row],[Candidate 6]])/(SamplingData[[#Totals],[Winning Candidate]]-SamplingData[[#Totals],[Candidate 6]]), 0)</f>
        <v>0</v>
      </c>
      <c r="V124" s="99">
        <f>IF(AND(SamplingData[[#This Row],[Total]]&lt;&gt; 0, NOT(ISBLANK(SamplingData[[#This Row],[Candidate 7]]))),(SamplingData[[#This Row],[Total]]+SamplingData[[#This Row],[Winning Candidate]]-SamplingData[[#This Row],[Candidate 7]])/(SamplingData[[#Totals],[Winning Candidate]]-SamplingData[[#Totals],[Candidate 7]]), 0)</f>
        <v>0</v>
      </c>
      <c r="W124" s="99">
        <f>IF(AND(SamplingData[[#This Row],[Total]]&lt;&gt; 0, NOT(ISBLANK(SamplingData[[#This Row],[Candidate 8]]))),(SamplingData[[#This Row],[Total]]+SamplingData[[#This Row],[Winning Candidate]]-SamplingData[[#This Row],[Candidate 8]])/(SamplingData[[#Totals],[Winning Candidate]]-SamplingData[[#Totals],[Candidate 8]]), 0)</f>
        <v>0</v>
      </c>
      <c r="X1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4" s="99">
        <f>MAX(SamplingData[[#This Row],[Error Bound (up) - Max. possible relative overstatement - Losing Candidate]:[Error Bound (up) - Max. possible relative overstatement - Candidate 12]])</f>
        <v>8.6997114242064171E-3</v>
      </c>
      <c r="AC124" s="99">
        <f>IF(SamplingData[[#This Row],[Max Error Bound (up)]] = 0,0,SamplingData[[#This Row],[Max Error Bound (up)]]/SamplingData[[#Totals],[Max Error Bound (up)]])</f>
        <v>4.6579052604791567E-4</v>
      </c>
      <c r="AD124" s="103">
        <f>SUM($AC$5:AC124)</f>
        <v>0.14564928927182189</v>
      </c>
      <c r="AE124" s="99" t="str" cm="1">
        <f t="array" ref="AE124">IF(SamplingData[[#This Row],[up/U Selection Probability]] = 0, "Zero", TEXT(SamplingData[[#This Row],[Lower Range]], REPT("0",LEN('General Info'!$B$42))) &amp; " - " &amp; TEXT(SamplingData[[#This Row],[Upper Range]], REPT("0",LEN('General Info'!$B$42))))</f>
        <v>145183 - 145648</v>
      </c>
      <c r="AF124" s="99">
        <f>SamplingData[[#This Row],[Upper Range]]-SamplingData[[#This Row],[Span]]</f>
        <v>145183.49874577398</v>
      </c>
      <c r="AG124" s="99">
        <f>IF(ISNUMBER('General Info'!$B$42), ((SamplingData[[#This Row],[up/U Selection Probability]]) * 'General Info'!$B$44) - 1, 0)</f>
        <v>464.79052604791565</v>
      </c>
      <c r="AH124" s="99">
        <f>IF(ISNUMBER('General Info'!$B$42), (SamplingData[[#This Row],[Running (cumulative) sum]] * ('General Info'!$B$42 -'General Info'!$B$43 + 1)) + 'General Info'!$B$43 - 1, 0)</f>
        <v>145648.28927182188</v>
      </c>
      <c r="AI124" s="99" t="str">
        <f>IF(ISERROR(MATCH(SamplingData[[#This Row],[Batch by Type (p)]],SelectedPrecincts[Batch Name], 0)), "", INDEX(SelectedPrecincts[Draw], MATCH(SamplingData[[#This Row],[Batch by Type (p)]],SelectedPrecincts[Batch Name], 0)))</f>
        <v/>
      </c>
      <c r="AJ124" s="100">
        <f>IF(COUNTIF(SelectedPrecincts[Batch Name],SamplingData[[#This Row],[Batch by Type (p)]]) &lt;&gt; 0, COUNTIF(SelectedPrecincts[Batch Name],SamplingData[[#This Row],[Batch by Type (p)]]), 0)</f>
        <v>0</v>
      </c>
    </row>
    <row r="125" spans="1:36" ht="15" customHeight="1" x14ac:dyDescent="0.35">
      <c r="A125" s="97" t="s">
        <v>338</v>
      </c>
      <c r="B125" s="97">
        <v>89</v>
      </c>
      <c r="C125" s="97">
        <v>42</v>
      </c>
      <c r="D125" s="92"/>
      <c r="E125" s="92"/>
      <c r="F125" s="92"/>
      <c r="G125" s="96"/>
      <c r="H125" s="96"/>
      <c r="I125" s="92"/>
      <c r="J125" s="92"/>
      <c r="K125" s="92"/>
      <c r="L125" s="92"/>
      <c r="M125" s="92"/>
      <c r="N125" s="97">
        <v>0</v>
      </c>
      <c r="O125" s="97">
        <v>8</v>
      </c>
      <c r="P125" s="98">
        <f>SUM(SamplingData[[#This Row],[Winning Candidate]:[Under Votes]])</f>
        <v>139</v>
      </c>
      <c r="Q125" s="99">
        <f>IF(AND(SamplingData[[#This Row],[Total]]&lt;&gt; 0, NOT(ISBLANK(SamplingData[[#This Row],[Losing Candidate]]))),(SamplingData[[#This Row],[Total]]+SamplingData[[#This Row],[Winning Candidate]]-SamplingData[[#This Row],[Losing Candidate]])/(SamplingData[[#Totals],[Winning Candidate]]-SamplingData[[#Totals],[Losing Candidate]]), 0)</f>
        <v>7.8933967068409439E-3</v>
      </c>
      <c r="R125" s="99">
        <f>IF(AND(SamplingData[[#This Row],[Total]]&lt;&gt; 0, NOT(ISBLANK(SamplingData[[#This Row],[Candidate 3]]))),(SamplingData[[#This Row],[Total]]+SamplingData[[#This Row],[Winning Candidate]]-SamplingData[[#This Row],[Candidate 3]])/(SamplingData[[#Totals],[Winning Candidate]]-SamplingData[[#Totals],[Candidate 3]]), 0)</f>
        <v>0</v>
      </c>
      <c r="S125" s="99">
        <f>IF(AND(SamplingData[[#This Row],[Total]]&lt;&gt; 0, NOT(ISBLANK(SamplingData[[#This Row],[Candidate 4]]))),(SamplingData[[#This Row],[Total]]+SamplingData[[#This Row],[Winning Candidate]]-SamplingData[[#This Row],[Candidate 4]])/(SamplingData[[#Totals],[Winning Candidate]]-SamplingData[[#Totals],[Candidate 4]]), 0)</f>
        <v>0</v>
      </c>
      <c r="T125" s="99">
        <f>IF(AND(SamplingData[[#This Row],[Total]]&lt;&gt; 0, NOT(ISBLANK(SamplingData[[#This Row],[Candidate 5]]))),(SamplingData[[#This Row],[Total]]+SamplingData[[#This Row],[Winning Candidate]]-SamplingData[[#This Row],[Candidate 5]])/(SamplingData[[#Totals],[Winning Candidate]]-SamplingData[[#Totals],[Candidate 5]]), 0)</f>
        <v>0</v>
      </c>
      <c r="U125" s="99">
        <f>IF(AND(SamplingData[[#This Row],[Total]]&lt;&gt; 0, NOT(ISBLANK(SamplingData[[#This Row],[Candidate 6]]))),(SamplingData[[#This Row],[Total]]+SamplingData[[#This Row],[Losing Candidate]]-SamplingData[[#This Row],[Candidate 6]])/(SamplingData[[#Totals],[Winning Candidate]]-SamplingData[[#Totals],[Candidate 6]]), 0)</f>
        <v>0</v>
      </c>
      <c r="V125" s="99">
        <f>IF(AND(SamplingData[[#This Row],[Total]]&lt;&gt; 0, NOT(ISBLANK(SamplingData[[#This Row],[Candidate 7]]))),(SamplingData[[#This Row],[Total]]+SamplingData[[#This Row],[Winning Candidate]]-SamplingData[[#This Row],[Candidate 7]])/(SamplingData[[#Totals],[Winning Candidate]]-SamplingData[[#Totals],[Candidate 7]]), 0)</f>
        <v>0</v>
      </c>
      <c r="W125" s="99">
        <f>IF(AND(SamplingData[[#This Row],[Total]]&lt;&gt; 0, NOT(ISBLANK(SamplingData[[#This Row],[Candidate 8]]))),(SamplingData[[#This Row],[Total]]+SamplingData[[#This Row],[Winning Candidate]]-SamplingData[[#This Row],[Candidate 8]])/(SamplingData[[#Totals],[Winning Candidate]]-SamplingData[[#Totals],[Candidate 8]]), 0)</f>
        <v>0</v>
      </c>
      <c r="X1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5" s="99">
        <f>MAX(SamplingData[[#This Row],[Error Bound (up) - Max. possible relative overstatement - Losing Candidate]:[Error Bound (up) - Max. possible relative overstatement - Candidate 12]])</f>
        <v>7.8933967068409439E-3</v>
      </c>
      <c r="AC125" s="99">
        <f>IF(SamplingData[[#This Row],[Max Error Bound (up)]] = 0,0,SamplingData[[#This Row],[Max Error Bound (up)]]/SamplingData[[#Totals],[Max Error Bound (up)]])</f>
        <v>4.2261969680445029E-4</v>
      </c>
      <c r="AD125" s="103">
        <f>SUM($AC$5:AC125)</f>
        <v>0.14607190896862635</v>
      </c>
      <c r="AE125" s="99" t="str" cm="1">
        <f t="array" ref="AE125">IF(SamplingData[[#This Row],[up/U Selection Probability]] = 0, "Zero", TEXT(SamplingData[[#This Row],[Lower Range]], REPT("0",LEN('General Info'!$B$42))) &amp; " - " &amp; TEXT(SamplingData[[#This Row],[Upper Range]], REPT("0",LEN('General Info'!$B$42))))</f>
        <v>145649 - 146071</v>
      </c>
      <c r="AF125" s="99">
        <f>SamplingData[[#This Row],[Upper Range]]-SamplingData[[#This Row],[Span]]</f>
        <v>145649.28927182191</v>
      </c>
      <c r="AG125" s="99">
        <f>IF(ISNUMBER('General Info'!$B$42), ((SamplingData[[#This Row],[up/U Selection Probability]]) * 'General Info'!$B$44) - 1, 0)</f>
        <v>421.61969680445031</v>
      </c>
      <c r="AH125" s="99">
        <f>IF(ISNUMBER('General Info'!$B$42), (SamplingData[[#This Row],[Running (cumulative) sum]] * ('General Info'!$B$42 -'General Info'!$B$43 + 1)) + 'General Info'!$B$43 - 1, 0)</f>
        <v>146070.90896862635</v>
      </c>
      <c r="AI125" s="99" t="str">
        <f>IF(ISERROR(MATCH(SamplingData[[#This Row],[Batch by Type (p)]],SelectedPrecincts[Batch Name], 0)), "", INDEX(SelectedPrecincts[Draw], MATCH(SamplingData[[#This Row],[Batch by Type (p)]],SelectedPrecincts[Batch Name], 0)))</f>
        <v/>
      </c>
      <c r="AJ125" s="100">
        <f>IF(COUNTIF(SelectedPrecincts[Batch Name],SamplingData[[#This Row],[Batch by Type (p)]]) &lt;&gt; 0, COUNTIF(SelectedPrecincts[Batch Name],SamplingData[[#This Row],[Batch by Type (p)]]), 0)</f>
        <v>0</v>
      </c>
    </row>
    <row r="126" spans="1:36" ht="15" customHeight="1" x14ac:dyDescent="0.35">
      <c r="A126" s="97" t="s">
        <v>339</v>
      </c>
      <c r="B126" s="97">
        <v>210</v>
      </c>
      <c r="C126" s="97">
        <v>109</v>
      </c>
      <c r="D126" s="92"/>
      <c r="E126" s="92"/>
      <c r="F126" s="92"/>
      <c r="G126" s="96"/>
      <c r="H126" s="96"/>
      <c r="I126" s="92"/>
      <c r="J126" s="92"/>
      <c r="K126" s="92"/>
      <c r="L126" s="92"/>
      <c r="M126" s="92"/>
      <c r="N126" s="97">
        <v>0</v>
      </c>
      <c r="O126" s="97">
        <v>13</v>
      </c>
      <c r="P126" s="98">
        <f>SUM(SamplingData[[#This Row],[Winning Candidate]:[Under Votes]])</f>
        <v>332</v>
      </c>
      <c r="Q126" s="99">
        <f>IF(AND(SamplingData[[#This Row],[Total]]&lt;&gt; 0, NOT(ISBLANK(SamplingData[[#This Row],[Losing Candidate]]))),(SamplingData[[#This Row],[Total]]+SamplingData[[#This Row],[Winning Candidate]]-SamplingData[[#This Row],[Losing Candidate]])/(SamplingData[[#Totals],[Winning Candidate]]-SamplingData[[#Totals],[Losing Candidate]]), 0)</f>
        <v>1.8375488032592091E-2</v>
      </c>
      <c r="R126" s="99">
        <f>IF(AND(SamplingData[[#This Row],[Total]]&lt;&gt; 0, NOT(ISBLANK(SamplingData[[#This Row],[Candidate 3]]))),(SamplingData[[#This Row],[Total]]+SamplingData[[#This Row],[Winning Candidate]]-SamplingData[[#This Row],[Candidate 3]])/(SamplingData[[#Totals],[Winning Candidate]]-SamplingData[[#Totals],[Candidate 3]]), 0)</f>
        <v>0</v>
      </c>
      <c r="S126" s="99">
        <f>IF(AND(SamplingData[[#This Row],[Total]]&lt;&gt; 0, NOT(ISBLANK(SamplingData[[#This Row],[Candidate 4]]))),(SamplingData[[#This Row],[Total]]+SamplingData[[#This Row],[Winning Candidate]]-SamplingData[[#This Row],[Candidate 4]])/(SamplingData[[#Totals],[Winning Candidate]]-SamplingData[[#Totals],[Candidate 4]]), 0)</f>
        <v>0</v>
      </c>
      <c r="T126" s="99">
        <f>IF(AND(SamplingData[[#This Row],[Total]]&lt;&gt; 0, NOT(ISBLANK(SamplingData[[#This Row],[Candidate 5]]))),(SamplingData[[#This Row],[Total]]+SamplingData[[#This Row],[Winning Candidate]]-SamplingData[[#This Row],[Candidate 5]])/(SamplingData[[#Totals],[Winning Candidate]]-SamplingData[[#Totals],[Candidate 5]]), 0)</f>
        <v>0</v>
      </c>
      <c r="U126" s="99">
        <f>IF(AND(SamplingData[[#This Row],[Total]]&lt;&gt; 0, NOT(ISBLANK(SamplingData[[#This Row],[Candidate 6]]))),(SamplingData[[#This Row],[Total]]+SamplingData[[#This Row],[Losing Candidate]]-SamplingData[[#This Row],[Candidate 6]])/(SamplingData[[#Totals],[Winning Candidate]]-SamplingData[[#Totals],[Candidate 6]]), 0)</f>
        <v>0</v>
      </c>
      <c r="V126" s="99">
        <f>IF(AND(SamplingData[[#This Row],[Total]]&lt;&gt; 0, NOT(ISBLANK(SamplingData[[#This Row],[Candidate 7]]))),(SamplingData[[#This Row],[Total]]+SamplingData[[#This Row],[Winning Candidate]]-SamplingData[[#This Row],[Candidate 7]])/(SamplingData[[#Totals],[Winning Candidate]]-SamplingData[[#Totals],[Candidate 7]]), 0)</f>
        <v>0</v>
      </c>
      <c r="W126" s="99">
        <f>IF(AND(SamplingData[[#This Row],[Total]]&lt;&gt; 0, NOT(ISBLANK(SamplingData[[#This Row],[Candidate 8]]))),(SamplingData[[#This Row],[Total]]+SamplingData[[#This Row],[Winning Candidate]]-SamplingData[[#This Row],[Candidate 8]])/(SamplingData[[#Totals],[Winning Candidate]]-SamplingData[[#Totals],[Candidate 8]]), 0)</f>
        <v>0</v>
      </c>
      <c r="X1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6" s="99">
        <f>MAX(SamplingData[[#This Row],[Error Bound (up) - Max. possible relative overstatement - Losing Candidate]:[Error Bound (up) - Max. possible relative overstatement - Candidate 12]])</f>
        <v>1.8375488032592091E-2</v>
      </c>
      <c r="AC126" s="99">
        <f>IF(SamplingData[[#This Row],[Max Error Bound (up)]] = 0,0,SamplingData[[#This Row],[Max Error Bound (up)]]/SamplingData[[#Totals],[Max Error Bound (up)]])</f>
        <v>9.8384047696950007E-4</v>
      </c>
      <c r="AD126" s="103">
        <f>SUM($AC$5:AC126)</f>
        <v>0.14705574944559585</v>
      </c>
      <c r="AE126" s="99" t="str" cm="1">
        <f t="array" ref="AE126">IF(SamplingData[[#This Row],[up/U Selection Probability]] = 0, "Zero", TEXT(SamplingData[[#This Row],[Lower Range]], REPT("0",LEN('General Info'!$B$42))) &amp; " - " &amp; TEXT(SamplingData[[#This Row],[Upper Range]], REPT("0",LEN('General Info'!$B$42))))</f>
        <v>146072 - 147055</v>
      </c>
      <c r="AF126" s="99">
        <f>SamplingData[[#This Row],[Upper Range]]-SamplingData[[#This Row],[Span]]</f>
        <v>146071.90896862638</v>
      </c>
      <c r="AG126" s="99">
        <f>IF(ISNUMBER('General Info'!$B$42), ((SamplingData[[#This Row],[up/U Selection Probability]]) * 'General Info'!$B$44) - 1, 0)</f>
        <v>982.84047696950006</v>
      </c>
      <c r="AH126" s="99">
        <f>IF(ISNUMBER('General Info'!$B$42), (SamplingData[[#This Row],[Running (cumulative) sum]] * ('General Info'!$B$42 -'General Info'!$B$43 + 1)) + 'General Info'!$B$43 - 1, 0)</f>
        <v>147054.74944559587</v>
      </c>
      <c r="AI126" s="99" t="str">
        <f>IF(ISERROR(MATCH(SamplingData[[#This Row],[Batch by Type (p)]],SelectedPrecincts[Batch Name], 0)), "", INDEX(SelectedPrecincts[Draw], MATCH(SamplingData[[#This Row],[Batch by Type (p)]],SelectedPrecincts[Batch Name], 0)))</f>
        <v/>
      </c>
      <c r="AJ126" s="100">
        <f>IF(COUNTIF(SelectedPrecincts[Batch Name],SamplingData[[#This Row],[Batch by Type (p)]]) &lt;&gt; 0, COUNTIF(SelectedPrecincts[Batch Name],SamplingData[[#This Row],[Batch by Type (p)]]), 0)</f>
        <v>0</v>
      </c>
    </row>
    <row r="127" spans="1:36" ht="15" customHeight="1" x14ac:dyDescent="0.35">
      <c r="A127" s="97" t="s">
        <v>340</v>
      </c>
      <c r="B127" s="97">
        <v>210</v>
      </c>
      <c r="C127" s="97">
        <v>99</v>
      </c>
      <c r="D127" s="92"/>
      <c r="E127" s="92"/>
      <c r="F127" s="92"/>
      <c r="G127" s="96"/>
      <c r="H127" s="96"/>
      <c r="I127" s="92"/>
      <c r="J127" s="92"/>
      <c r="K127" s="92"/>
      <c r="L127" s="92"/>
      <c r="M127" s="92"/>
      <c r="N127" s="97">
        <v>0</v>
      </c>
      <c r="O127" s="97">
        <v>19</v>
      </c>
      <c r="P127" s="98">
        <f>SUM(SamplingData[[#This Row],[Winning Candidate]:[Under Votes]])</f>
        <v>328</v>
      </c>
      <c r="Q127" s="99">
        <f>IF(AND(SamplingData[[#This Row],[Total]]&lt;&gt; 0, NOT(ISBLANK(SamplingData[[#This Row],[Losing Candidate]]))),(SamplingData[[#This Row],[Total]]+SamplingData[[#This Row],[Winning Candidate]]-SamplingData[[#This Row],[Losing Candidate]])/(SamplingData[[#Totals],[Winning Candidate]]-SamplingData[[#Totals],[Losing Candidate]]), 0)</f>
        <v>1.8630113732812766E-2</v>
      </c>
      <c r="R127" s="99">
        <f>IF(AND(SamplingData[[#This Row],[Total]]&lt;&gt; 0, NOT(ISBLANK(SamplingData[[#This Row],[Candidate 3]]))),(SamplingData[[#This Row],[Total]]+SamplingData[[#This Row],[Winning Candidate]]-SamplingData[[#This Row],[Candidate 3]])/(SamplingData[[#Totals],[Winning Candidate]]-SamplingData[[#Totals],[Candidate 3]]), 0)</f>
        <v>0</v>
      </c>
      <c r="S127" s="99">
        <f>IF(AND(SamplingData[[#This Row],[Total]]&lt;&gt; 0, NOT(ISBLANK(SamplingData[[#This Row],[Candidate 4]]))),(SamplingData[[#This Row],[Total]]+SamplingData[[#This Row],[Winning Candidate]]-SamplingData[[#This Row],[Candidate 4]])/(SamplingData[[#Totals],[Winning Candidate]]-SamplingData[[#Totals],[Candidate 4]]), 0)</f>
        <v>0</v>
      </c>
      <c r="T127" s="99">
        <f>IF(AND(SamplingData[[#This Row],[Total]]&lt;&gt; 0, NOT(ISBLANK(SamplingData[[#This Row],[Candidate 5]]))),(SamplingData[[#This Row],[Total]]+SamplingData[[#This Row],[Winning Candidate]]-SamplingData[[#This Row],[Candidate 5]])/(SamplingData[[#Totals],[Winning Candidate]]-SamplingData[[#Totals],[Candidate 5]]), 0)</f>
        <v>0</v>
      </c>
      <c r="U127" s="99">
        <f>IF(AND(SamplingData[[#This Row],[Total]]&lt;&gt; 0, NOT(ISBLANK(SamplingData[[#This Row],[Candidate 6]]))),(SamplingData[[#This Row],[Total]]+SamplingData[[#This Row],[Losing Candidate]]-SamplingData[[#This Row],[Candidate 6]])/(SamplingData[[#Totals],[Winning Candidate]]-SamplingData[[#Totals],[Candidate 6]]), 0)</f>
        <v>0</v>
      </c>
      <c r="V127" s="99">
        <f>IF(AND(SamplingData[[#This Row],[Total]]&lt;&gt; 0, NOT(ISBLANK(SamplingData[[#This Row],[Candidate 7]]))),(SamplingData[[#This Row],[Total]]+SamplingData[[#This Row],[Winning Candidate]]-SamplingData[[#This Row],[Candidate 7]])/(SamplingData[[#Totals],[Winning Candidate]]-SamplingData[[#Totals],[Candidate 7]]), 0)</f>
        <v>0</v>
      </c>
      <c r="W127" s="99">
        <f>IF(AND(SamplingData[[#This Row],[Total]]&lt;&gt; 0, NOT(ISBLANK(SamplingData[[#This Row],[Candidate 8]]))),(SamplingData[[#This Row],[Total]]+SamplingData[[#This Row],[Winning Candidate]]-SamplingData[[#This Row],[Candidate 8]])/(SamplingData[[#Totals],[Winning Candidate]]-SamplingData[[#Totals],[Candidate 8]]), 0)</f>
        <v>0</v>
      </c>
      <c r="X1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7" s="99">
        <f>MAX(SamplingData[[#This Row],[Error Bound (up) - Max. possible relative overstatement - Losing Candidate]:[Error Bound (up) - Max. possible relative overstatement - Candidate 12]])</f>
        <v>1.8630113732812766E-2</v>
      </c>
      <c r="AC127" s="99">
        <f>IF(SamplingData[[#This Row],[Max Error Bound (up)]] = 0,0,SamplingData[[#This Row],[Max Error Bound (up)]]/SamplingData[[#Totals],[Max Error Bound (up)]])</f>
        <v>9.9747337041480475E-4</v>
      </c>
      <c r="AD127" s="103">
        <f>SUM($AC$5:AC127)</f>
        <v>0.14805322281601066</v>
      </c>
      <c r="AE127" s="99" t="str" cm="1">
        <f t="array" ref="AE127">IF(SamplingData[[#This Row],[up/U Selection Probability]] = 0, "Zero", TEXT(SamplingData[[#This Row],[Lower Range]], REPT("0",LEN('General Info'!$B$42))) &amp; " - " &amp; TEXT(SamplingData[[#This Row],[Upper Range]], REPT("0",LEN('General Info'!$B$42))))</f>
        <v>147056 - 148052</v>
      </c>
      <c r="AF127" s="99">
        <f>SamplingData[[#This Row],[Upper Range]]-SamplingData[[#This Row],[Span]]</f>
        <v>147055.74944559584</v>
      </c>
      <c r="AG127" s="99">
        <f>IF(ISNUMBER('General Info'!$B$42), ((SamplingData[[#This Row],[up/U Selection Probability]]) * 'General Info'!$B$44) - 1, 0)</f>
        <v>996.47337041480478</v>
      </c>
      <c r="AH127" s="99">
        <f>IF(ISNUMBER('General Info'!$B$42), (SamplingData[[#This Row],[Running (cumulative) sum]] * ('General Info'!$B$42 -'General Info'!$B$43 + 1)) + 'General Info'!$B$43 - 1, 0)</f>
        <v>148052.22281601065</v>
      </c>
      <c r="AI127" s="99" t="str">
        <f>IF(ISERROR(MATCH(SamplingData[[#This Row],[Batch by Type (p)]],SelectedPrecincts[Batch Name], 0)), "", INDEX(SelectedPrecincts[Draw], MATCH(SamplingData[[#This Row],[Batch by Type (p)]],SelectedPrecincts[Batch Name], 0)))</f>
        <v/>
      </c>
      <c r="AJ127" s="100">
        <f>IF(COUNTIF(SelectedPrecincts[Batch Name],SamplingData[[#This Row],[Batch by Type (p)]]) &lt;&gt; 0, COUNTIF(SelectedPrecincts[Batch Name],SamplingData[[#This Row],[Batch by Type (p)]]), 0)</f>
        <v>0</v>
      </c>
    </row>
    <row r="128" spans="1:36" ht="15" customHeight="1" x14ac:dyDescent="0.35">
      <c r="A128" s="97" t="s">
        <v>341</v>
      </c>
      <c r="B128" s="97">
        <v>60</v>
      </c>
      <c r="C128" s="97">
        <v>32</v>
      </c>
      <c r="D128" s="92"/>
      <c r="E128" s="92"/>
      <c r="F128" s="92"/>
      <c r="G128" s="96"/>
      <c r="H128" s="96"/>
      <c r="I128" s="92"/>
      <c r="J128" s="92"/>
      <c r="K128" s="92"/>
      <c r="L128" s="92"/>
      <c r="M128" s="92"/>
      <c r="N128" s="97">
        <v>0</v>
      </c>
      <c r="O128" s="97">
        <v>8</v>
      </c>
      <c r="P128" s="98">
        <f>SUM(SamplingData[[#This Row],[Winning Candidate]:[Under Votes]])</f>
        <v>100</v>
      </c>
      <c r="Q128" s="99">
        <f>IF(AND(SamplingData[[#This Row],[Total]]&lt;&gt; 0, NOT(ISBLANK(SamplingData[[#This Row],[Losing Candidate]]))),(SamplingData[[#This Row],[Total]]+SamplingData[[#This Row],[Winning Candidate]]-SamplingData[[#This Row],[Losing Candidate]])/(SamplingData[[#Totals],[Winning Candidate]]-SamplingData[[#Totals],[Losing Candidate]]), 0)</f>
        <v>5.4320149380410795E-3</v>
      </c>
      <c r="R128" s="99">
        <f>IF(AND(SamplingData[[#This Row],[Total]]&lt;&gt; 0, NOT(ISBLANK(SamplingData[[#This Row],[Candidate 3]]))),(SamplingData[[#This Row],[Total]]+SamplingData[[#This Row],[Winning Candidate]]-SamplingData[[#This Row],[Candidate 3]])/(SamplingData[[#Totals],[Winning Candidate]]-SamplingData[[#Totals],[Candidate 3]]), 0)</f>
        <v>0</v>
      </c>
      <c r="S128" s="99">
        <f>IF(AND(SamplingData[[#This Row],[Total]]&lt;&gt; 0, NOT(ISBLANK(SamplingData[[#This Row],[Candidate 4]]))),(SamplingData[[#This Row],[Total]]+SamplingData[[#This Row],[Winning Candidate]]-SamplingData[[#This Row],[Candidate 4]])/(SamplingData[[#Totals],[Winning Candidate]]-SamplingData[[#Totals],[Candidate 4]]), 0)</f>
        <v>0</v>
      </c>
      <c r="T128" s="99">
        <f>IF(AND(SamplingData[[#This Row],[Total]]&lt;&gt; 0, NOT(ISBLANK(SamplingData[[#This Row],[Candidate 5]]))),(SamplingData[[#This Row],[Total]]+SamplingData[[#This Row],[Winning Candidate]]-SamplingData[[#This Row],[Candidate 5]])/(SamplingData[[#Totals],[Winning Candidate]]-SamplingData[[#Totals],[Candidate 5]]), 0)</f>
        <v>0</v>
      </c>
      <c r="U128" s="99">
        <f>IF(AND(SamplingData[[#This Row],[Total]]&lt;&gt; 0, NOT(ISBLANK(SamplingData[[#This Row],[Candidate 6]]))),(SamplingData[[#This Row],[Total]]+SamplingData[[#This Row],[Losing Candidate]]-SamplingData[[#This Row],[Candidate 6]])/(SamplingData[[#Totals],[Winning Candidate]]-SamplingData[[#Totals],[Candidate 6]]), 0)</f>
        <v>0</v>
      </c>
      <c r="V128" s="99">
        <f>IF(AND(SamplingData[[#This Row],[Total]]&lt;&gt; 0, NOT(ISBLANK(SamplingData[[#This Row],[Candidate 7]]))),(SamplingData[[#This Row],[Total]]+SamplingData[[#This Row],[Winning Candidate]]-SamplingData[[#This Row],[Candidate 7]])/(SamplingData[[#Totals],[Winning Candidate]]-SamplingData[[#Totals],[Candidate 7]]), 0)</f>
        <v>0</v>
      </c>
      <c r="W128" s="99">
        <f>IF(AND(SamplingData[[#This Row],[Total]]&lt;&gt; 0, NOT(ISBLANK(SamplingData[[#This Row],[Candidate 8]]))),(SamplingData[[#This Row],[Total]]+SamplingData[[#This Row],[Winning Candidate]]-SamplingData[[#This Row],[Candidate 8]])/(SamplingData[[#Totals],[Winning Candidate]]-SamplingData[[#Totals],[Candidate 8]]), 0)</f>
        <v>0</v>
      </c>
      <c r="X1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8" s="99">
        <f>MAX(SamplingData[[#This Row],[Error Bound (up) - Max. possible relative overstatement - Losing Candidate]:[Error Bound (up) - Max. possible relative overstatement - Candidate 12]])</f>
        <v>5.4320149380410795E-3</v>
      </c>
      <c r="AC128" s="99">
        <f>IF(SamplingData[[#This Row],[Max Error Bound (up)]] = 0,0,SamplingData[[#This Row],[Max Error Bound (up)]]/SamplingData[[#Totals],[Max Error Bound (up)]])</f>
        <v>2.9083506016650343E-4</v>
      </c>
      <c r="AD128" s="103">
        <f>SUM($AC$5:AC128)</f>
        <v>0.14834405787617716</v>
      </c>
      <c r="AE128" s="99" t="str" cm="1">
        <f t="array" ref="AE128">IF(SamplingData[[#This Row],[up/U Selection Probability]] = 0, "Zero", TEXT(SamplingData[[#This Row],[Lower Range]], REPT("0",LEN('General Info'!$B$42))) &amp; " - " &amp; TEXT(SamplingData[[#This Row],[Upper Range]], REPT("0",LEN('General Info'!$B$42))))</f>
        <v>148053 - 148343</v>
      </c>
      <c r="AF128" s="99">
        <f>SamplingData[[#This Row],[Upper Range]]-SamplingData[[#This Row],[Span]]</f>
        <v>148053.22281601065</v>
      </c>
      <c r="AG128" s="99">
        <f>IF(ISNUMBER('General Info'!$B$42), ((SamplingData[[#This Row],[up/U Selection Probability]]) * 'General Info'!$B$44) - 1, 0)</f>
        <v>289.83506016650341</v>
      </c>
      <c r="AH128" s="99">
        <f>IF(ISNUMBER('General Info'!$B$42), (SamplingData[[#This Row],[Running (cumulative) sum]] * ('General Info'!$B$42 -'General Info'!$B$43 + 1)) + 'General Info'!$B$43 - 1, 0)</f>
        <v>148343.05787617716</v>
      </c>
      <c r="AI128" s="99" t="str">
        <f>IF(ISERROR(MATCH(SamplingData[[#This Row],[Batch by Type (p)]],SelectedPrecincts[Batch Name], 0)), "", INDEX(SelectedPrecincts[Draw], MATCH(SamplingData[[#This Row],[Batch by Type (p)]],SelectedPrecincts[Batch Name], 0)))</f>
        <v/>
      </c>
      <c r="AJ128" s="100">
        <f>IF(COUNTIF(SelectedPrecincts[Batch Name],SamplingData[[#This Row],[Batch by Type (p)]]) &lt;&gt; 0, COUNTIF(SelectedPrecincts[Batch Name],SamplingData[[#This Row],[Batch by Type (p)]]), 0)</f>
        <v>0</v>
      </c>
    </row>
    <row r="129" spans="1:36" ht="15" customHeight="1" x14ac:dyDescent="0.35">
      <c r="A129" s="97" t="s">
        <v>342</v>
      </c>
      <c r="B129" s="97">
        <v>60</v>
      </c>
      <c r="C129" s="97">
        <v>24</v>
      </c>
      <c r="D129" s="92"/>
      <c r="E129" s="92"/>
      <c r="F129" s="92"/>
      <c r="G129" s="96"/>
      <c r="H129" s="96"/>
      <c r="I129" s="92"/>
      <c r="J129" s="92"/>
      <c r="K129" s="92"/>
      <c r="L129" s="92"/>
      <c r="M129" s="92"/>
      <c r="N129" s="97">
        <v>0</v>
      </c>
      <c r="O129" s="97">
        <v>8</v>
      </c>
      <c r="P129" s="98">
        <f>SUM(SamplingData[[#This Row],[Winning Candidate]:[Under Votes]])</f>
        <v>92</v>
      </c>
      <c r="Q129" s="99">
        <f>IF(AND(SamplingData[[#This Row],[Total]]&lt;&gt; 0, NOT(ISBLANK(SamplingData[[#This Row],[Losing Candidate]]))),(SamplingData[[#This Row],[Total]]+SamplingData[[#This Row],[Winning Candidate]]-SamplingData[[#This Row],[Losing Candidate]])/(SamplingData[[#Totals],[Winning Candidate]]-SamplingData[[#Totals],[Losing Candidate]]), 0)</f>
        <v>5.4320149380410795E-3</v>
      </c>
      <c r="R129" s="99">
        <f>IF(AND(SamplingData[[#This Row],[Total]]&lt;&gt; 0, NOT(ISBLANK(SamplingData[[#This Row],[Candidate 3]]))),(SamplingData[[#This Row],[Total]]+SamplingData[[#This Row],[Winning Candidate]]-SamplingData[[#This Row],[Candidate 3]])/(SamplingData[[#Totals],[Winning Candidate]]-SamplingData[[#Totals],[Candidate 3]]), 0)</f>
        <v>0</v>
      </c>
      <c r="S129" s="99">
        <f>IF(AND(SamplingData[[#This Row],[Total]]&lt;&gt; 0, NOT(ISBLANK(SamplingData[[#This Row],[Candidate 4]]))),(SamplingData[[#This Row],[Total]]+SamplingData[[#This Row],[Winning Candidate]]-SamplingData[[#This Row],[Candidate 4]])/(SamplingData[[#Totals],[Winning Candidate]]-SamplingData[[#Totals],[Candidate 4]]), 0)</f>
        <v>0</v>
      </c>
      <c r="T129" s="99">
        <f>IF(AND(SamplingData[[#This Row],[Total]]&lt;&gt; 0, NOT(ISBLANK(SamplingData[[#This Row],[Candidate 5]]))),(SamplingData[[#This Row],[Total]]+SamplingData[[#This Row],[Winning Candidate]]-SamplingData[[#This Row],[Candidate 5]])/(SamplingData[[#Totals],[Winning Candidate]]-SamplingData[[#Totals],[Candidate 5]]), 0)</f>
        <v>0</v>
      </c>
      <c r="U129" s="99">
        <f>IF(AND(SamplingData[[#This Row],[Total]]&lt;&gt; 0, NOT(ISBLANK(SamplingData[[#This Row],[Candidate 6]]))),(SamplingData[[#This Row],[Total]]+SamplingData[[#This Row],[Losing Candidate]]-SamplingData[[#This Row],[Candidate 6]])/(SamplingData[[#Totals],[Winning Candidate]]-SamplingData[[#Totals],[Candidate 6]]), 0)</f>
        <v>0</v>
      </c>
      <c r="V129" s="99">
        <f>IF(AND(SamplingData[[#This Row],[Total]]&lt;&gt; 0, NOT(ISBLANK(SamplingData[[#This Row],[Candidate 7]]))),(SamplingData[[#This Row],[Total]]+SamplingData[[#This Row],[Winning Candidate]]-SamplingData[[#This Row],[Candidate 7]])/(SamplingData[[#Totals],[Winning Candidate]]-SamplingData[[#Totals],[Candidate 7]]), 0)</f>
        <v>0</v>
      </c>
      <c r="W129" s="99">
        <f>IF(AND(SamplingData[[#This Row],[Total]]&lt;&gt; 0, NOT(ISBLANK(SamplingData[[#This Row],[Candidate 8]]))),(SamplingData[[#This Row],[Total]]+SamplingData[[#This Row],[Winning Candidate]]-SamplingData[[#This Row],[Candidate 8]])/(SamplingData[[#Totals],[Winning Candidate]]-SamplingData[[#Totals],[Candidate 8]]), 0)</f>
        <v>0</v>
      </c>
      <c r="X1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9" s="99">
        <f>MAX(SamplingData[[#This Row],[Error Bound (up) - Max. possible relative overstatement - Losing Candidate]:[Error Bound (up) - Max. possible relative overstatement - Candidate 12]])</f>
        <v>5.4320149380410795E-3</v>
      </c>
      <c r="AC129" s="99">
        <f>IF(SamplingData[[#This Row],[Max Error Bound (up)]] = 0,0,SamplingData[[#This Row],[Max Error Bound (up)]]/SamplingData[[#Totals],[Max Error Bound (up)]])</f>
        <v>2.9083506016650343E-4</v>
      </c>
      <c r="AD129" s="103">
        <f>SUM($AC$5:AC129)</f>
        <v>0.14863489293634366</v>
      </c>
      <c r="AE129" s="99" t="str" cm="1">
        <f t="array" ref="AE129">IF(SamplingData[[#This Row],[up/U Selection Probability]] = 0, "Zero", TEXT(SamplingData[[#This Row],[Lower Range]], REPT("0",LEN('General Info'!$B$42))) &amp; " - " &amp; TEXT(SamplingData[[#This Row],[Upper Range]], REPT("0",LEN('General Info'!$B$42))))</f>
        <v>148344 - 148634</v>
      </c>
      <c r="AF129" s="99">
        <f>SamplingData[[#This Row],[Upper Range]]-SamplingData[[#This Row],[Span]]</f>
        <v>148344.05787617713</v>
      </c>
      <c r="AG129" s="99">
        <f>IF(ISNUMBER('General Info'!$B$42), ((SamplingData[[#This Row],[up/U Selection Probability]]) * 'General Info'!$B$44) - 1, 0)</f>
        <v>289.83506016650341</v>
      </c>
      <c r="AH129" s="99">
        <f>IF(ISNUMBER('General Info'!$B$42), (SamplingData[[#This Row],[Running (cumulative) sum]] * ('General Info'!$B$42 -'General Info'!$B$43 + 1)) + 'General Info'!$B$43 - 1, 0)</f>
        <v>148633.89293634365</v>
      </c>
      <c r="AI129" s="99" t="str">
        <f>IF(ISERROR(MATCH(SamplingData[[#This Row],[Batch by Type (p)]],SelectedPrecincts[Batch Name], 0)), "", INDEX(SelectedPrecincts[Draw], MATCH(SamplingData[[#This Row],[Batch by Type (p)]],SelectedPrecincts[Batch Name], 0)))</f>
        <v/>
      </c>
      <c r="AJ129" s="100">
        <f>IF(COUNTIF(SelectedPrecincts[Batch Name],SamplingData[[#This Row],[Batch by Type (p)]]) &lt;&gt; 0, COUNTIF(SelectedPrecincts[Batch Name],SamplingData[[#This Row],[Batch by Type (p)]]), 0)</f>
        <v>0</v>
      </c>
    </row>
    <row r="130" spans="1:36" ht="15" customHeight="1" x14ac:dyDescent="0.35">
      <c r="A130" s="97" t="s">
        <v>343</v>
      </c>
      <c r="B130" s="97">
        <v>73</v>
      </c>
      <c r="C130" s="97">
        <v>23</v>
      </c>
      <c r="D130" s="92"/>
      <c r="E130" s="92"/>
      <c r="F130" s="92"/>
      <c r="G130" s="96"/>
      <c r="H130" s="96"/>
      <c r="I130" s="92"/>
      <c r="J130" s="92"/>
      <c r="K130" s="92"/>
      <c r="L130" s="92"/>
      <c r="M130" s="92"/>
      <c r="N130" s="97">
        <v>0</v>
      </c>
      <c r="O130" s="97">
        <v>2</v>
      </c>
      <c r="P130" s="98">
        <f>SUM(SamplingData[[#This Row],[Winning Candidate]:[Under Votes]])</f>
        <v>98</v>
      </c>
      <c r="Q130" s="99">
        <f>IF(AND(SamplingData[[#This Row],[Total]]&lt;&gt; 0, NOT(ISBLANK(SamplingData[[#This Row],[Losing Candidate]]))),(SamplingData[[#This Row],[Total]]+SamplingData[[#This Row],[Winning Candidate]]-SamplingData[[#This Row],[Losing Candidate]])/(SamplingData[[#Totals],[Winning Candidate]]-SamplingData[[#Totals],[Losing Candidate]]), 0)</f>
        <v>6.2807672721099982E-3</v>
      </c>
      <c r="R130" s="99">
        <f>IF(AND(SamplingData[[#This Row],[Total]]&lt;&gt; 0, NOT(ISBLANK(SamplingData[[#This Row],[Candidate 3]]))),(SamplingData[[#This Row],[Total]]+SamplingData[[#This Row],[Winning Candidate]]-SamplingData[[#This Row],[Candidate 3]])/(SamplingData[[#Totals],[Winning Candidate]]-SamplingData[[#Totals],[Candidate 3]]), 0)</f>
        <v>0</v>
      </c>
      <c r="S130" s="99">
        <f>IF(AND(SamplingData[[#This Row],[Total]]&lt;&gt; 0, NOT(ISBLANK(SamplingData[[#This Row],[Candidate 4]]))),(SamplingData[[#This Row],[Total]]+SamplingData[[#This Row],[Winning Candidate]]-SamplingData[[#This Row],[Candidate 4]])/(SamplingData[[#Totals],[Winning Candidate]]-SamplingData[[#Totals],[Candidate 4]]), 0)</f>
        <v>0</v>
      </c>
      <c r="T130" s="99">
        <f>IF(AND(SamplingData[[#This Row],[Total]]&lt;&gt; 0, NOT(ISBLANK(SamplingData[[#This Row],[Candidate 5]]))),(SamplingData[[#This Row],[Total]]+SamplingData[[#This Row],[Winning Candidate]]-SamplingData[[#This Row],[Candidate 5]])/(SamplingData[[#Totals],[Winning Candidate]]-SamplingData[[#Totals],[Candidate 5]]), 0)</f>
        <v>0</v>
      </c>
      <c r="U130" s="99">
        <f>IF(AND(SamplingData[[#This Row],[Total]]&lt;&gt; 0, NOT(ISBLANK(SamplingData[[#This Row],[Candidate 6]]))),(SamplingData[[#This Row],[Total]]+SamplingData[[#This Row],[Losing Candidate]]-SamplingData[[#This Row],[Candidate 6]])/(SamplingData[[#Totals],[Winning Candidate]]-SamplingData[[#Totals],[Candidate 6]]), 0)</f>
        <v>0</v>
      </c>
      <c r="V130" s="99">
        <f>IF(AND(SamplingData[[#This Row],[Total]]&lt;&gt; 0, NOT(ISBLANK(SamplingData[[#This Row],[Candidate 7]]))),(SamplingData[[#This Row],[Total]]+SamplingData[[#This Row],[Winning Candidate]]-SamplingData[[#This Row],[Candidate 7]])/(SamplingData[[#Totals],[Winning Candidate]]-SamplingData[[#Totals],[Candidate 7]]), 0)</f>
        <v>0</v>
      </c>
      <c r="W130" s="99">
        <f>IF(AND(SamplingData[[#This Row],[Total]]&lt;&gt; 0, NOT(ISBLANK(SamplingData[[#This Row],[Candidate 8]]))),(SamplingData[[#This Row],[Total]]+SamplingData[[#This Row],[Winning Candidate]]-SamplingData[[#This Row],[Candidate 8]])/(SamplingData[[#Totals],[Winning Candidate]]-SamplingData[[#Totals],[Candidate 8]]), 0)</f>
        <v>0</v>
      </c>
      <c r="X1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0" s="99">
        <f>MAX(SamplingData[[#This Row],[Error Bound (up) - Max. possible relative overstatement - Losing Candidate]:[Error Bound (up) - Max. possible relative overstatement - Candidate 12]])</f>
        <v>6.2807672721099982E-3</v>
      </c>
      <c r="AC130" s="99">
        <f>IF(SamplingData[[#This Row],[Max Error Bound (up)]] = 0,0,SamplingData[[#This Row],[Max Error Bound (up)]]/SamplingData[[#Totals],[Max Error Bound (up)]])</f>
        <v>3.3627803831751959E-4</v>
      </c>
      <c r="AD130" s="103">
        <f>SUM($AC$5:AC130)</f>
        <v>0.14897117097466117</v>
      </c>
      <c r="AE130" s="99" t="str" cm="1">
        <f t="array" ref="AE130">IF(SamplingData[[#This Row],[up/U Selection Probability]] = 0, "Zero", TEXT(SamplingData[[#This Row],[Lower Range]], REPT("0",LEN('General Info'!$B$42))) &amp; " - " &amp; TEXT(SamplingData[[#This Row],[Upper Range]], REPT("0",LEN('General Info'!$B$42))))</f>
        <v>148635 - 148970</v>
      </c>
      <c r="AF130" s="99">
        <f>SamplingData[[#This Row],[Upper Range]]-SamplingData[[#This Row],[Span]]</f>
        <v>148634.89293634365</v>
      </c>
      <c r="AG130" s="99">
        <f>IF(ISNUMBER('General Info'!$B$42), ((SamplingData[[#This Row],[up/U Selection Probability]]) * 'General Info'!$B$44) - 1, 0)</f>
        <v>335.27803831751959</v>
      </c>
      <c r="AH130" s="99">
        <f>IF(ISNUMBER('General Info'!$B$42), (SamplingData[[#This Row],[Running (cumulative) sum]] * ('General Info'!$B$42 -'General Info'!$B$43 + 1)) + 'General Info'!$B$43 - 1, 0)</f>
        <v>148970.17097466116</v>
      </c>
      <c r="AI130" s="99" t="str">
        <f>IF(ISERROR(MATCH(SamplingData[[#This Row],[Batch by Type (p)]],SelectedPrecincts[Batch Name], 0)), "", INDEX(SelectedPrecincts[Draw], MATCH(SamplingData[[#This Row],[Batch by Type (p)]],SelectedPrecincts[Batch Name], 0)))</f>
        <v/>
      </c>
      <c r="AJ130" s="100">
        <f>IF(COUNTIF(SelectedPrecincts[Batch Name],SamplingData[[#This Row],[Batch by Type (p)]]) &lt;&gt; 0, COUNTIF(SelectedPrecincts[Batch Name],SamplingData[[#This Row],[Batch by Type (p)]]), 0)</f>
        <v>0</v>
      </c>
    </row>
    <row r="131" spans="1:36" ht="15" customHeight="1" x14ac:dyDescent="0.35">
      <c r="A131" s="97" t="s">
        <v>344</v>
      </c>
      <c r="B131" s="97">
        <v>103</v>
      </c>
      <c r="C131" s="97">
        <v>33</v>
      </c>
      <c r="D131" s="92"/>
      <c r="E131" s="92"/>
      <c r="F131" s="92"/>
      <c r="G131" s="96"/>
      <c r="H131" s="96"/>
      <c r="I131" s="92"/>
      <c r="J131" s="92"/>
      <c r="K131" s="92"/>
      <c r="L131" s="92"/>
      <c r="M131" s="92"/>
      <c r="N131" s="97">
        <v>0</v>
      </c>
      <c r="O131" s="97">
        <v>4</v>
      </c>
      <c r="P131" s="98">
        <f>SUM(SamplingData[[#This Row],[Winning Candidate]:[Under Votes]])</f>
        <v>140</v>
      </c>
      <c r="Q131" s="99">
        <f>IF(AND(SamplingData[[#This Row],[Total]]&lt;&gt; 0, NOT(ISBLANK(SamplingData[[#This Row],[Losing Candidate]]))),(SamplingData[[#This Row],[Total]]+SamplingData[[#This Row],[Winning Candidate]]-SamplingData[[#This Row],[Losing Candidate]])/(SamplingData[[#Totals],[Winning Candidate]]-SamplingData[[#Totals],[Losing Candidate]]), 0)</f>
        <v>8.911899507723647E-3</v>
      </c>
      <c r="R131" s="99">
        <f>IF(AND(SamplingData[[#This Row],[Total]]&lt;&gt; 0, NOT(ISBLANK(SamplingData[[#This Row],[Candidate 3]]))),(SamplingData[[#This Row],[Total]]+SamplingData[[#This Row],[Winning Candidate]]-SamplingData[[#This Row],[Candidate 3]])/(SamplingData[[#Totals],[Winning Candidate]]-SamplingData[[#Totals],[Candidate 3]]), 0)</f>
        <v>0</v>
      </c>
      <c r="S131" s="99">
        <f>IF(AND(SamplingData[[#This Row],[Total]]&lt;&gt; 0, NOT(ISBLANK(SamplingData[[#This Row],[Candidate 4]]))),(SamplingData[[#This Row],[Total]]+SamplingData[[#This Row],[Winning Candidate]]-SamplingData[[#This Row],[Candidate 4]])/(SamplingData[[#Totals],[Winning Candidate]]-SamplingData[[#Totals],[Candidate 4]]), 0)</f>
        <v>0</v>
      </c>
      <c r="T131" s="99">
        <f>IF(AND(SamplingData[[#This Row],[Total]]&lt;&gt; 0, NOT(ISBLANK(SamplingData[[#This Row],[Candidate 5]]))),(SamplingData[[#This Row],[Total]]+SamplingData[[#This Row],[Winning Candidate]]-SamplingData[[#This Row],[Candidate 5]])/(SamplingData[[#Totals],[Winning Candidate]]-SamplingData[[#Totals],[Candidate 5]]), 0)</f>
        <v>0</v>
      </c>
      <c r="U131" s="99">
        <f>IF(AND(SamplingData[[#This Row],[Total]]&lt;&gt; 0, NOT(ISBLANK(SamplingData[[#This Row],[Candidate 6]]))),(SamplingData[[#This Row],[Total]]+SamplingData[[#This Row],[Losing Candidate]]-SamplingData[[#This Row],[Candidate 6]])/(SamplingData[[#Totals],[Winning Candidate]]-SamplingData[[#Totals],[Candidate 6]]), 0)</f>
        <v>0</v>
      </c>
      <c r="V131" s="99">
        <f>IF(AND(SamplingData[[#This Row],[Total]]&lt;&gt; 0, NOT(ISBLANK(SamplingData[[#This Row],[Candidate 7]]))),(SamplingData[[#This Row],[Total]]+SamplingData[[#This Row],[Winning Candidate]]-SamplingData[[#This Row],[Candidate 7]])/(SamplingData[[#Totals],[Winning Candidate]]-SamplingData[[#Totals],[Candidate 7]]), 0)</f>
        <v>0</v>
      </c>
      <c r="W131" s="99">
        <f>IF(AND(SamplingData[[#This Row],[Total]]&lt;&gt; 0, NOT(ISBLANK(SamplingData[[#This Row],[Candidate 8]]))),(SamplingData[[#This Row],[Total]]+SamplingData[[#This Row],[Winning Candidate]]-SamplingData[[#This Row],[Candidate 8]])/(SamplingData[[#Totals],[Winning Candidate]]-SamplingData[[#Totals],[Candidate 8]]), 0)</f>
        <v>0</v>
      </c>
      <c r="X1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1" s="99">
        <f>MAX(SamplingData[[#This Row],[Error Bound (up) - Max. possible relative overstatement - Losing Candidate]:[Error Bound (up) - Max. possible relative overstatement - Candidate 12]])</f>
        <v>8.911899507723647E-3</v>
      </c>
      <c r="AC131" s="99">
        <f>IF(SamplingData[[#This Row],[Max Error Bound (up)]] = 0,0,SamplingData[[#This Row],[Max Error Bound (up)]]/SamplingData[[#Totals],[Max Error Bound (up)]])</f>
        <v>4.7715127058566974E-4</v>
      </c>
      <c r="AD131" s="103">
        <f>SUM($AC$5:AC131)</f>
        <v>0.14944832224524685</v>
      </c>
      <c r="AE131" s="99" t="str" cm="1">
        <f t="array" ref="AE131">IF(SamplingData[[#This Row],[up/U Selection Probability]] = 0, "Zero", TEXT(SamplingData[[#This Row],[Lower Range]], REPT("0",LEN('General Info'!$B$42))) &amp; " - " &amp; TEXT(SamplingData[[#This Row],[Upper Range]], REPT("0",LEN('General Info'!$B$42))))</f>
        <v>148971 - 149447</v>
      </c>
      <c r="AF131" s="99">
        <f>SamplingData[[#This Row],[Upper Range]]-SamplingData[[#This Row],[Span]]</f>
        <v>148971.17097466119</v>
      </c>
      <c r="AG131" s="99">
        <f>IF(ISNUMBER('General Info'!$B$42), ((SamplingData[[#This Row],[up/U Selection Probability]]) * 'General Info'!$B$44) - 1, 0)</f>
        <v>476.15127058566975</v>
      </c>
      <c r="AH131" s="99">
        <f>IF(ISNUMBER('General Info'!$B$42), (SamplingData[[#This Row],[Running (cumulative) sum]] * ('General Info'!$B$42 -'General Info'!$B$43 + 1)) + 'General Info'!$B$43 - 1, 0)</f>
        <v>149447.32224524685</v>
      </c>
      <c r="AI131" s="99" t="str">
        <f>IF(ISERROR(MATCH(SamplingData[[#This Row],[Batch by Type (p)]],SelectedPrecincts[Batch Name], 0)), "", INDEX(SelectedPrecincts[Draw], MATCH(SamplingData[[#This Row],[Batch by Type (p)]],SelectedPrecincts[Batch Name], 0)))</f>
        <v/>
      </c>
      <c r="AJ131" s="100">
        <f>IF(COUNTIF(SelectedPrecincts[Batch Name],SamplingData[[#This Row],[Batch by Type (p)]]) &lt;&gt; 0, COUNTIF(SelectedPrecincts[Batch Name],SamplingData[[#This Row],[Batch by Type (p)]]), 0)</f>
        <v>0</v>
      </c>
    </row>
    <row r="132" spans="1:36" ht="15" customHeight="1" x14ac:dyDescent="0.35">
      <c r="A132" s="97" t="s">
        <v>345</v>
      </c>
      <c r="B132" s="97">
        <v>78</v>
      </c>
      <c r="C132" s="97">
        <v>32</v>
      </c>
      <c r="D132" s="92"/>
      <c r="E132" s="92"/>
      <c r="F132" s="92"/>
      <c r="G132" s="96"/>
      <c r="H132" s="96"/>
      <c r="I132" s="92"/>
      <c r="J132" s="92"/>
      <c r="K132" s="92"/>
      <c r="L132" s="92"/>
      <c r="M132" s="92"/>
      <c r="N132" s="97">
        <v>0</v>
      </c>
      <c r="O132" s="97">
        <v>7</v>
      </c>
      <c r="P132" s="98">
        <f>SUM(SamplingData[[#This Row],[Winning Candidate]:[Under Votes]])</f>
        <v>117</v>
      </c>
      <c r="Q132" s="99">
        <f>IF(AND(SamplingData[[#This Row],[Total]]&lt;&gt; 0, NOT(ISBLANK(SamplingData[[#This Row],[Losing Candidate]]))),(SamplingData[[#This Row],[Total]]+SamplingData[[#This Row],[Winning Candidate]]-SamplingData[[#This Row],[Losing Candidate]])/(SamplingData[[#Totals],[Winning Candidate]]-SamplingData[[#Totals],[Losing Candidate]]), 0)</f>
        <v>6.917331522661687E-3</v>
      </c>
      <c r="R132" s="99">
        <f>IF(AND(SamplingData[[#This Row],[Total]]&lt;&gt; 0, NOT(ISBLANK(SamplingData[[#This Row],[Candidate 3]]))),(SamplingData[[#This Row],[Total]]+SamplingData[[#This Row],[Winning Candidate]]-SamplingData[[#This Row],[Candidate 3]])/(SamplingData[[#Totals],[Winning Candidate]]-SamplingData[[#Totals],[Candidate 3]]), 0)</f>
        <v>0</v>
      </c>
      <c r="S132" s="99">
        <f>IF(AND(SamplingData[[#This Row],[Total]]&lt;&gt; 0, NOT(ISBLANK(SamplingData[[#This Row],[Candidate 4]]))),(SamplingData[[#This Row],[Total]]+SamplingData[[#This Row],[Winning Candidate]]-SamplingData[[#This Row],[Candidate 4]])/(SamplingData[[#Totals],[Winning Candidate]]-SamplingData[[#Totals],[Candidate 4]]), 0)</f>
        <v>0</v>
      </c>
      <c r="T132" s="99">
        <f>IF(AND(SamplingData[[#This Row],[Total]]&lt;&gt; 0, NOT(ISBLANK(SamplingData[[#This Row],[Candidate 5]]))),(SamplingData[[#This Row],[Total]]+SamplingData[[#This Row],[Winning Candidate]]-SamplingData[[#This Row],[Candidate 5]])/(SamplingData[[#Totals],[Winning Candidate]]-SamplingData[[#Totals],[Candidate 5]]), 0)</f>
        <v>0</v>
      </c>
      <c r="U132" s="99">
        <f>IF(AND(SamplingData[[#This Row],[Total]]&lt;&gt; 0, NOT(ISBLANK(SamplingData[[#This Row],[Candidate 6]]))),(SamplingData[[#This Row],[Total]]+SamplingData[[#This Row],[Losing Candidate]]-SamplingData[[#This Row],[Candidate 6]])/(SamplingData[[#Totals],[Winning Candidate]]-SamplingData[[#Totals],[Candidate 6]]), 0)</f>
        <v>0</v>
      </c>
      <c r="V132" s="99">
        <f>IF(AND(SamplingData[[#This Row],[Total]]&lt;&gt; 0, NOT(ISBLANK(SamplingData[[#This Row],[Candidate 7]]))),(SamplingData[[#This Row],[Total]]+SamplingData[[#This Row],[Winning Candidate]]-SamplingData[[#This Row],[Candidate 7]])/(SamplingData[[#Totals],[Winning Candidate]]-SamplingData[[#Totals],[Candidate 7]]), 0)</f>
        <v>0</v>
      </c>
      <c r="W132" s="99">
        <f>IF(AND(SamplingData[[#This Row],[Total]]&lt;&gt; 0, NOT(ISBLANK(SamplingData[[#This Row],[Candidate 8]]))),(SamplingData[[#This Row],[Total]]+SamplingData[[#This Row],[Winning Candidate]]-SamplingData[[#This Row],[Candidate 8]])/(SamplingData[[#Totals],[Winning Candidate]]-SamplingData[[#Totals],[Candidate 8]]), 0)</f>
        <v>0</v>
      </c>
      <c r="X1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2" s="99">
        <f>MAX(SamplingData[[#This Row],[Error Bound (up) - Max. possible relative overstatement - Losing Candidate]:[Error Bound (up) - Max. possible relative overstatement - Candidate 12]])</f>
        <v>6.917331522661687E-3</v>
      </c>
      <c r="AC132" s="99">
        <f>IF(SamplingData[[#This Row],[Max Error Bound (up)]] = 0,0,SamplingData[[#This Row],[Max Error Bound (up)]]/SamplingData[[#Totals],[Max Error Bound (up)]])</f>
        <v>3.7036027193078174E-4</v>
      </c>
      <c r="AD132" s="103">
        <f>SUM($AC$5:AC132)</f>
        <v>0.14981868251717761</v>
      </c>
      <c r="AE132" s="99" t="str" cm="1">
        <f t="array" ref="AE132">IF(SamplingData[[#This Row],[up/U Selection Probability]] = 0, "Zero", TEXT(SamplingData[[#This Row],[Lower Range]], REPT("0",LEN('General Info'!$B$42))) &amp; " - " &amp; TEXT(SamplingData[[#This Row],[Upper Range]], REPT("0",LEN('General Info'!$B$42))))</f>
        <v>149448 - 149818</v>
      </c>
      <c r="AF132" s="99">
        <f>SamplingData[[#This Row],[Upper Range]]-SamplingData[[#This Row],[Span]]</f>
        <v>149448.32224524685</v>
      </c>
      <c r="AG132" s="99">
        <f>IF(ISNUMBER('General Info'!$B$42), ((SamplingData[[#This Row],[up/U Selection Probability]]) * 'General Info'!$B$44) - 1, 0)</f>
        <v>369.36027193078172</v>
      </c>
      <c r="AH132" s="99">
        <f>IF(ISNUMBER('General Info'!$B$42), (SamplingData[[#This Row],[Running (cumulative) sum]] * ('General Info'!$B$42 -'General Info'!$B$43 + 1)) + 'General Info'!$B$43 - 1, 0)</f>
        <v>149817.68251717763</v>
      </c>
      <c r="AI132" s="99" t="str">
        <f>IF(ISERROR(MATCH(SamplingData[[#This Row],[Batch by Type (p)]],SelectedPrecincts[Batch Name], 0)), "", INDEX(SelectedPrecincts[Draw], MATCH(SamplingData[[#This Row],[Batch by Type (p)]],SelectedPrecincts[Batch Name], 0)))</f>
        <v/>
      </c>
      <c r="AJ132" s="100">
        <f>IF(COUNTIF(SelectedPrecincts[Batch Name],SamplingData[[#This Row],[Batch by Type (p)]]) &lt;&gt; 0, COUNTIF(SelectedPrecincts[Batch Name],SamplingData[[#This Row],[Batch by Type (p)]]), 0)</f>
        <v>0</v>
      </c>
    </row>
    <row r="133" spans="1:36" ht="15" customHeight="1" x14ac:dyDescent="0.35">
      <c r="A133" s="97" t="s">
        <v>346</v>
      </c>
      <c r="B133" s="97">
        <v>56</v>
      </c>
      <c r="C133" s="97">
        <v>6</v>
      </c>
      <c r="D133" s="92"/>
      <c r="E133" s="92"/>
      <c r="F133" s="92"/>
      <c r="G133" s="96"/>
      <c r="H133" s="96"/>
      <c r="I133" s="92"/>
      <c r="J133" s="92"/>
      <c r="K133" s="92"/>
      <c r="L133" s="92"/>
      <c r="M133" s="92"/>
      <c r="N133" s="97">
        <v>0</v>
      </c>
      <c r="O133" s="97">
        <v>3</v>
      </c>
      <c r="P133" s="98">
        <f>SUM(SamplingData[[#This Row],[Winning Candidate]:[Under Votes]])</f>
        <v>65</v>
      </c>
      <c r="Q133" s="99">
        <f>IF(AND(SamplingData[[#This Row],[Total]]&lt;&gt; 0, NOT(ISBLANK(SamplingData[[#This Row],[Losing Candidate]]))),(SamplingData[[#This Row],[Total]]+SamplingData[[#This Row],[Winning Candidate]]-SamplingData[[#This Row],[Losing Candidate]])/(SamplingData[[#Totals],[Winning Candidate]]-SamplingData[[#Totals],[Losing Candidate]]), 0)</f>
        <v>4.8803259208962824E-3</v>
      </c>
      <c r="R133" s="99">
        <f>IF(AND(SamplingData[[#This Row],[Total]]&lt;&gt; 0, NOT(ISBLANK(SamplingData[[#This Row],[Candidate 3]]))),(SamplingData[[#This Row],[Total]]+SamplingData[[#This Row],[Winning Candidate]]-SamplingData[[#This Row],[Candidate 3]])/(SamplingData[[#Totals],[Winning Candidate]]-SamplingData[[#Totals],[Candidate 3]]), 0)</f>
        <v>0</v>
      </c>
      <c r="S133" s="99">
        <f>IF(AND(SamplingData[[#This Row],[Total]]&lt;&gt; 0, NOT(ISBLANK(SamplingData[[#This Row],[Candidate 4]]))),(SamplingData[[#This Row],[Total]]+SamplingData[[#This Row],[Winning Candidate]]-SamplingData[[#This Row],[Candidate 4]])/(SamplingData[[#Totals],[Winning Candidate]]-SamplingData[[#Totals],[Candidate 4]]), 0)</f>
        <v>0</v>
      </c>
      <c r="T133" s="99">
        <f>IF(AND(SamplingData[[#This Row],[Total]]&lt;&gt; 0, NOT(ISBLANK(SamplingData[[#This Row],[Candidate 5]]))),(SamplingData[[#This Row],[Total]]+SamplingData[[#This Row],[Winning Candidate]]-SamplingData[[#This Row],[Candidate 5]])/(SamplingData[[#Totals],[Winning Candidate]]-SamplingData[[#Totals],[Candidate 5]]), 0)</f>
        <v>0</v>
      </c>
      <c r="U133" s="99">
        <f>IF(AND(SamplingData[[#This Row],[Total]]&lt;&gt; 0, NOT(ISBLANK(SamplingData[[#This Row],[Candidate 6]]))),(SamplingData[[#This Row],[Total]]+SamplingData[[#This Row],[Losing Candidate]]-SamplingData[[#This Row],[Candidate 6]])/(SamplingData[[#Totals],[Winning Candidate]]-SamplingData[[#Totals],[Candidate 6]]), 0)</f>
        <v>0</v>
      </c>
      <c r="V133" s="99">
        <f>IF(AND(SamplingData[[#This Row],[Total]]&lt;&gt; 0, NOT(ISBLANK(SamplingData[[#This Row],[Candidate 7]]))),(SamplingData[[#This Row],[Total]]+SamplingData[[#This Row],[Winning Candidate]]-SamplingData[[#This Row],[Candidate 7]])/(SamplingData[[#Totals],[Winning Candidate]]-SamplingData[[#Totals],[Candidate 7]]), 0)</f>
        <v>0</v>
      </c>
      <c r="W133" s="99">
        <f>IF(AND(SamplingData[[#This Row],[Total]]&lt;&gt; 0, NOT(ISBLANK(SamplingData[[#This Row],[Candidate 8]]))),(SamplingData[[#This Row],[Total]]+SamplingData[[#This Row],[Winning Candidate]]-SamplingData[[#This Row],[Candidate 8]])/(SamplingData[[#Totals],[Winning Candidate]]-SamplingData[[#Totals],[Candidate 8]]), 0)</f>
        <v>0</v>
      </c>
      <c r="X1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3" s="99">
        <f>MAX(SamplingData[[#This Row],[Error Bound (up) - Max. possible relative overstatement - Losing Candidate]:[Error Bound (up) - Max. possible relative overstatement - Candidate 12]])</f>
        <v>4.8803259208962824E-3</v>
      </c>
      <c r="AC133" s="99">
        <f>IF(SamplingData[[#This Row],[Max Error Bound (up)]] = 0,0,SamplingData[[#This Row],[Max Error Bound (up)]]/SamplingData[[#Totals],[Max Error Bound (up)]])</f>
        <v>2.6129712436834295E-4</v>
      </c>
      <c r="AD133" s="103">
        <f>SUM($AC$5:AC133)</f>
        <v>0.15007997964154596</v>
      </c>
      <c r="AE133" s="99" t="str" cm="1">
        <f t="array" ref="AE133">IF(SamplingData[[#This Row],[up/U Selection Probability]] = 0, "Zero", TEXT(SamplingData[[#This Row],[Lower Range]], REPT("0",LEN('General Info'!$B$42))) &amp; " - " &amp; TEXT(SamplingData[[#This Row],[Upper Range]], REPT("0",LEN('General Info'!$B$42))))</f>
        <v>149819 - 150079</v>
      </c>
      <c r="AF133" s="99">
        <f>SamplingData[[#This Row],[Upper Range]]-SamplingData[[#This Row],[Span]]</f>
        <v>149818.68251717763</v>
      </c>
      <c r="AG133" s="99">
        <f>IF(ISNUMBER('General Info'!$B$42), ((SamplingData[[#This Row],[up/U Selection Probability]]) * 'General Info'!$B$44) - 1, 0)</f>
        <v>260.29712436834296</v>
      </c>
      <c r="AH133" s="99">
        <f>IF(ISNUMBER('General Info'!$B$42), (SamplingData[[#This Row],[Running (cumulative) sum]] * ('General Info'!$B$42 -'General Info'!$B$43 + 1)) + 'General Info'!$B$43 - 1, 0)</f>
        <v>150078.97964154597</v>
      </c>
      <c r="AI133" s="99" t="str">
        <f>IF(ISERROR(MATCH(SamplingData[[#This Row],[Batch by Type (p)]],SelectedPrecincts[Batch Name], 0)), "", INDEX(SelectedPrecincts[Draw], MATCH(SamplingData[[#This Row],[Batch by Type (p)]],SelectedPrecincts[Batch Name], 0)))</f>
        <v/>
      </c>
      <c r="AJ133" s="100">
        <f>IF(COUNTIF(SelectedPrecincts[Batch Name],SamplingData[[#This Row],[Batch by Type (p)]]) &lt;&gt; 0, COUNTIF(SelectedPrecincts[Batch Name],SamplingData[[#This Row],[Batch by Type (p)]]), 0)</f>
        <v>0</v>
      </c>
    </row>
    <row r="134" spans="1:36" ht="15" customHeight="1" x14ac:dyDescent="0.35">
      <c r="A134" s="97" t="s">
        <v>347</v>
      </c>
      <c r="B134" s="97">
        <v>318</v>
      </c>
      <c r="C134" s="97">
        <v>37</v>
      </c>
      <c r="D134" s="92"/>
      <c r="E134" s="92"/>
      <c r="F134" s="92"/>
      <c r="G134" s="96"/>
      <c r="H134" s="96"/>
      <c r="I134" s="92"/>
      <c r="J134" s="92"/>
      <c r="K134" s="92"/>
      <c r="L134" s="92"/>
      <c r="M134" s="92"/>
      <c r="N134" s="97">
        <v>0</v>
      </c>
      <c r="O134" s="97">
        <v>16</v>
      </c>
      <c r="P134" s="98">
        <f>SUM(SamplingData[[#This Row],[Winning Candidate]:[Under Votes]])</f>
        <v>371</v>
      </c>
      <c r="Q134" s="99">
        <f>IF(AND(SamplingData[[#This Row],[Total]]&lt;&gt; 0, NOT(ISBLANK(SamplingData[[#This Row],[Losing Candidate]]))),(SamplingData[[#This Row],[Total]]+SamplingData[[#This Row],[Winning Candidate]]-SamplingData[[#This Row],[Losing Candidate]])/(SamplingData[[#Totals],[Winning Candidate]]-SamplingData[[#Totals],[Losing Candidate]]), 0)</f>
        <v>2.7669326090646748E-2</v>
      </c>
      <c r="R134" s="99">
        <f>IF(AND(SamplingData[[#This Row],[Total]]&lt;&gt; 0, NOT(ISBLANK(SamplingData[[#This Row],[Candidate 3]]))),(SamplingData[[#This Row],[Total]]+SamplingData[[#This Row],[Winning Candidate]]-SamplingData[[#This Row],[Candidate 3]])/(SamplingData[[#Totals],[Winning Candidate]]-SamplingData[[#Totals],[Candidate 3]]), 0)</f>
        <v>0</v>
      </c>
      <c r="S134" s="99">
        <f>IF(AND(SamplingData[[#This Row],[Total]]&lt;&gt; 0, NOT(ISBLANK(SamplingData[[#This Row],[Candidate 4]]))),(SamplingData[[#This Row],[Total]]+SamplingData[[#This Row],[Winning Candidate]]-SamplingData[[#This Row],[Candidate 4]])/(SamplingData[[#Totals],[Winning Candidate]]-SamplingData[[#Totals],[Candidate 4]]), 0)</f>
        <v>0</v>
      </c>
      <c r="T134" s="99">
        <f>IF(AND(SamplingData[[#This Row],[Total]]&lt;&gt; 0, NOT(ISBLANK(SamplingData[[#This Row],[Candidate 5]]))),(SamplingData[[#This Row],[Total]]+SamplingData[[#This Row],[Winning Candidate]]-SamplingData[[#This Row],[Candidate 5]])/(SamplingData[[#Totals],[Winning Candidate]]-SamplingData[[#Totals],[Candidate 5]]), 0)</f>
        <v>0</v>
      </c>
      <c r="U134" s="99">
        <f>IF(AND(SamplingData[[#This Row],[Total]]&lt;&gt; 0, NOT(ISBLANK(SamplingData[[#This Row],[Candidate 6]]))),(SamplingData[[#This Row],[Total]]+SamplingData[[#This Row],[Losing Candidate]]-SamplingData[[#This Row],[Candidate 6]])/(SamplingData[[#Totals],[Winning Candidate]]-SamplingData[[#Totals],[Candidate 6]]), 0)</f>
        <v>0</v>
      </c>
      <c r="V134" s="99">
        <f>IF(AND(SamplingData[[#This Row],[Total]]&lt;&gt; 0, NOT(ISBLANK(SamplingData[[#This Row],[Candidate 7]]))),(SamplingData[[#This Row],[Total]]+SamplingData[[#This Row],[Winning Candidate]]-SamplingData[[#This Row],[Candidate 7]])/(SamplingData[[#Totals],[Winning Candidate]]-SamplingData[[#Totals],[Candidate 7]]), 0)</f>
        <v>0</v>
      </c>
      <c r="W134" s="99">
        <f>IF(AND(SamplingData[[#This Row],[Total]]&lt;&gt; 0, NOT(ISBLANK(SamplingData[[#This Row],[Candidate 8]]))),(SamplingData[[#This Row],[Total]]+SamplingData[[#This Row],[Winning Candidate]]-SamplingData[[#This Row],[Candidate 8]])/(SamplingData[[#Totals],[Winning Candidate]]-SamplingData[[#Totals],[Candidate 8]]), 0)</f>
        <v>0</v>
      </c>
      <c r="X1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4" s="99">
        <f>MAX(SamplingData[[#This Row],[Error Bound (up) - Max. possible relative overstatement - Losing Candidate]:[Error Bound (up) - Max. possible relative overstatement - Candidate 12]])</f>
        <v>2.7669326090646748E-2</v>
      </c>
      <c r="AC134" s="99">
        <f>IF(SamplingData[[#This Row],[Max Error Bound (up)]] = 0,0,SamplingData[[#This Row],[Max Error Bound (up)]]/SamplingData[[#Totals],[Max Error Bound (up)]])</f>
        <v>1.4814410877231269E-3</v>
      </c>
      <c r="AD134" s="103">
        <f>SUM($AC$5:AC134)</f>
        <v>0.15156142072926909</v>
      </c>
      <c r="AE134" s="99" t="str" cm="1">
        <f t="array" ref="AE134">IF(SamplingData[[#This Row],[up/U Selection Probability]] = 0, "Zero", TEXT(SamplingData[[#This Row],[Lower Range]], REPT("0",LEN('General Info'!$B$42))) &amp; " - " &amp; TEXT(SamplingData[[#This Row],[Upper Range]], REPT("0",LEN('General Info'!$B$42))))</f>
        <v>150080 - 151560</v>
      </c>
      <c r="AF134" s="99">
        <f>SamplingData[[#This Row],[Upper Range]]-SamplingData[[#This Row],[Span]]</f>
        <v>150079.97964154597</v>
      </c>
      <c r="AG134" s="99">
        <f>IF(ISNUMBER('General Info'!$B$42), ((SamplingData[[#This Row],[up/U Selection Probability]]) * 'General Info'!$B$44) - 1, 0)</f>
        <v>1480.4410877231269</v>
      </c>
      <c r="AH134" s="99">
        <f>IF(ISNUMBER('General Info'!$B$42), (SamplingData[[#This Row],[Running (cumulative) sum]] * ('General Info'!$B$42 -'General Info'!$B$43 + 1)) + 'General Info'!$B$43 - 1, 0)</f>
        <v>151560.4207292691</v>
      </c>
      <c r="AI134" s="99" t="str">
        <f>IF(ISERROR(MATCH(SamplingData[[#This Row],[Batch by Type (p)]],SelectedPrecincts[Batch Name], 0)), "", INDEX(SelectedPrecincts[Draw], MATCH(SamplingData[[#This Row],[Batch by Type (p)]],SelectedPrecincts[Batch Name], 0)))</f>
        <v/>
      </c>
      <c r="AJ134" s="100">
        <f>IF(COUNTIF(SelectedPrecincts[Batch Name],SamplingData[[#This Row],[Batch by Type (p)]]) &lt;&gt; 0, COUNTIF(SelectedPrecincts[Batch Name],SamplingData[[#This Row],[Batch by Type (p)]]), 0)</f>
        <v>0</v>
      </c>
    </row>
    <row r="135" spans="1:36" ht="15" customHeight="1" x14ac:dyDescent="0.35">
      <c r="A135" s="97" t="s">
        <v>348</v>
      </c>
      <c r="B135" s="97">
        <v>125</v>
      </c>
      <c r="C135" s="97">
        <v>17</v>
      </c>
      <c r="D135" s="92"/>
      <c r="E135" s="92"/>
      <c r="F135" s="92"/>
      <c r="G135" s="96"/>
      <c r="H135" s="96"/>
      <c r="I135" s="92"/>
      <c r="J135" s="92"/>
      <c r="K135" s="92"/>
      <c r="L135" s="92"/>
      <c r="M135" s="92"/>
      <c r="N135" s="97">
        <v>0</v>
      </c>
      <c r="O135" s="97">
        <v>4</v>
      </c>
      <c r="P135" s="98">
        <f>SUM(SamplingData[[#This Row],[Winning Candidate]:[Under Votes]])</f>
        <v>146</v>
      </c>
      <c r="Q135" s="99">
        <f>IF(AND(SamplingData[[#This Row],[Total]]&lt;&gt; 0, NOT(ISBLANK(SamplingData[[#This Row],[Losing Candidate]]))),(SamplingData[[#This Row],[Total]]+SamplingData[[#This Row],[Winning Candidate]]-SamplingData[[#This Row],[Losing Candidate]])/(SamplingData[[#Totals],[Winning Candidate]]-SamplingData[[#Totals],[Losing Candidate]]), 0)</f>
        <v>1.0779154642675268E-2</v>
      </c>
      <c r="R135" s="99">
        <f>IF(AND(SamplingData[[#This Row],[Total]]&lt;&gt; 0, NOT(ISBLANK(SamplingData[[#This Row],[Candidate 3]]))),(SamplingData[[#This Row],[Total]]+SamplingData[[#This Row],[Winning Candidate]]-SamplingData[[#This Row],[Candidate 3]])/(SamplingData[[#Totals],[Winning Candidate]]-SamplingData[[#Totals],[Candidate 3]]), 0)</f>
        <v>0</v>
      </c>
      <c r="S135" s="99">
        <f>IF(AND(SamplingData[[#This Row],[Total]]&lt;&gt; 0, NOT(ISBLANK(SamplingData[[#This Row],[Candidate 4]]))),(SamplingData[[#This Row],[Total]]+SamplingData[[#This Row],[Winning Candidate]]-SamplingData[[#This Row],[Candidate 4]])/(SamplingData[[#Totals],[Winning Candidate]]-SamplingData[[#Totals],[Candidate 4]]), 0)</f>
        <v>0</v>
      </c>
      <c r="T135" s="99">
        <f>IF(AND(SamplingData[[#This Row],[Total]]&lt;&gt; 0, NOT(ISBLANK(SamplingData[[#This Row],[Candidate 5]]))),(SamplingData[[#This Row],[Total]]+SamplingData[[#This Row],[Winning Candidate]]-SamplingData[[#This Row],[Candidate 5]])/(SamplingData[[#Totals],[Winning Candidate]]-SamplingData[[#Totals],[Candidate 5]]), 0)</f>
        <v>0</v>
      </c>
      <c r="U135" s="99">
        <f>IF(AND(SamplingData[[#This Row],[Total]]&lt;&gt; 0, NOT(ISBLANK(SamplingData[[#This Row],[Candidate 6]]))),(SamplingData[[#This Row],[Total]]+SamplingData[[#This Row],[Losing Candidate]]-SamplingData[[#This Row],[Candidate 6]])/(SamplingData[[#Totals],[Winning Candidate]]-SamplingData[[#Totals],[Candidate 6]]), 0)</f>
        <v>0</v>
      </c>
      <c r="V135" s="99">
        <f>IF(AND(SamplingData[[#This Row],[Total]]&lt;&gt; 0, NOT(ISBLANK(SamplingData[[#This Row],[Candidate 7]]))),(SamplingData[[#This Row],[Total]]+SamplingData[[#This Row],[Winning Candidate]]-SamplingData[[#This Row],[Candidate 7]])/(SamplingData[[#Totals],[Winning Candidate]]-SamplingData[[#Totals],[Candidate 7]]), 0)</f>
        <v>0</v>
      </c>
      <c r="W135" s="99">
        <f>IF(AND(SamplingData[[#This Row],[Total]]&lt;&gt; 0, NOT(ISBLANK(SamplingData[[#This Row],[Candidate 8]]))),(SamplingData[[#This Row],[Total]]+SamplingData[[#This Row],[Winning Candidate]]-SamplingData[[#This Row],[Candidate 8]])/(SamplingData[[#Totals],[Winning Candidate]]-SamplingData[[#Totals],[Candidate 8]]), 0)</f>
        <v>0</v>
      </c>
      <c r="X1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5" s="99">
        <f>MAX(SamplingData[[#This Row],[Error Bound (up) - Max. possible relative overstatement - Losing Candidate]:[Error Bound (up) - Max. possible relative overstatement - Candidate 12]])</f>
        <v>1.0779154642675268E-2</v>
      </c>
      <c r="AC135" s="99">
        <f>IF(SamplingData[[#This Row],[Max Error Bound (up)]] = 0,0,SamplingData[[#This Row],[Max Error Bound (up)]]/SamplingData[[#Totals],[Max Error Bound (up)]])</f>
        <v>5.771258225179053E-4</v>
      </c>
      <c r="AD135" s="103">
        <f>SUM($AC$5:AC135)</f>
        <v>0.15213854655178699</v>
      </c>
      <c r="AE135" s="99" t="str" cm="1">
        <f t="array" ref="AE135">IF(SamplingData[[#This Row],[up/U Selection Probability]] = 0, "Zero", TEXT(SamplingData[[#This Row],[Lower Range]], REPT("0",LEN('General Info'!$B$42))) &amp; " - " &amp; TEXT(SamplingData[[#This Row],[Upper Range]], REPT("0",LEN('General Info'!$B$42))))</f>
        <v>151561 - 152138</v>
      </c>
      <c r="AF135" s="99">
        <f>SamplingData[[#This Row],[Upper Range]]-SamplingData[[#This Row],[Span]]</f>
        <v>151561.4207292691</v>
      </c>
      <c r="AG135" s="99">
        <f>IF(ISNUMBER('General Info'!$B$42), ((SamplingData[[#This Row],[up/U Selection Probability]]) * 'General Info'!$B$44) - 1, 0)</f>
        <v>576.12582251790525</v>
      </c>
      <c r="AH135" s="99">
        <f>IF(ISNUMBER('General Info'!$B$42), (SamplingData[[#This Row],[Running (cumulative) sum]] * ('General Info'!$B$42 -'General Info'!$B$43 + 1)) + 'General Info'!$B$43 - 1, 0)</f>
        <v>152137.546551787</v>
      </c>
      <c r="AI135" s="99" t="str">
        <f>IF(ISERROR(MATCH(SamplingData[[#This Row],[Batch by Type (p)]],SelectedPrecincts[Batch Name], 0)), "", INDEX(SelectedPrecincts[Draw], MATCH(SamplingData[[#This Row],[Batch by Type (p)]],SelectedPrecincts[Batch Name], 0)))</f>
        <v/>
      </c>
      <c r="AJ135" s="100">
        <f>IF(COUNTIF(SelectedPrecincts[Batch Name],SamplingData[[#This Row],[Batch by Type (p)]]) &lt;&gt; 0, COUNTIF(SelectedPrecincts[Batch Name],SamplingData[[#This Row],[Batch by Type (p)]]), 0)</f>
        <v>0</v>
      </c>
    </row>
    <row r="136" spans="1:36" ht="15" customHeight="1" x14ac:dyDescent="0.35">
      <c r="A136" s="97" t="s">
        <v>349</v>
      </c>
      <c r="B136" s="97">
        <v>114</v>
      </c>
      <c r="C136" s="97">
        <v>9</v>
      </c>
      <c r="D136" s="92"/>
      <c r="E136" s="92"/>
      <c r="F136" s="92"/>
      <c r="G136" s="96"/>
      <c r="H136" s="96"/>
      <c r="I136" s="92"/>
      <c r="J136" s="92"/>
      <c r="K136" s="92"/>
      <c r="L136" s="92"/>
      <c r="M136" s="92"/>
      <c r="N136" s="97">
        <v>0</v>
      </c>
      <c r="O136" s="97">
        <v>4</v>
      </c>
      <c r="P136" s="98">
        <f>SUM(SamplingData[[#This Row],[Winning Candidate]:[Under Votes]])</f>
        <v>127</v>
      </c>
      <c r="Q136" s="99">
        <f>IF(AND(SamplingData[[#This Row],[Total]]&lt;&gt; 0, NOT(ISBLANK(SamplingData[[#This Row],[Losing Candidate]]))),(SamplingData[[#This Row],[Total]]+SamplingData[[#This Row],[Winning Candidate]]-SamplingData[[#This Row],[Losing Candidate]])/(SamplingData[[#Totals],[Winning Candidate]]-SamplingData[[#Totals],[Losing Candidate]]), 0)</f>
        <v>9.8455270751994575E-3</v>
      </c>
      <c r="R136" s="99">
        <f>IF(AND(SamplingData[[#This Row],[Total]]&lt;&gt; 0, NOT(ISBLANK(SamplingData[[#This Row],[Candidate 3]]))),(SamplingData[[#This Row],[Total]]+SamplingData[[#This Row],[Winning Candidate]]-SamplingData[[#This Row],[Candidate 3]])/(SamplingData[[#Totals],[Winning Candidate]]-SamplingData[[#Totals],[Candidate 3]]), 0)</f>
        <v>0</v>
      </c>
      <c r="S136" s="99">
        <f>IF(AND(SamplingData[[#This Row],[Total]]&lt;&gt; 0, NOT(ISBLANK(SamplingData[[#This Row],[Candidate 4]]))),(SamplingData[[#This Row],[Total]]+SamplingData[[#This Row],[Winning Candidate]]-SamplingData[[#This Row],[Candidate 4]])/(SamplingData[[#Totals],[Winning Candidate]]-SamplingData[[#Totals],[Candidate 4]]), 0)</f>
        <v>0</v>
      </c>
      <c r="T136" s="99">
        <f>IF(AND(SamplingData[[#This Row],[Total]]&lt;&gt; 0, NOT(ISBLANK(SamplingData[[#This Row],[Candidate 5]]))),(SamplingData[[#This Row],[Total]]+SamplingData[[#This Row],[Winning Candidate]]-SamplingData[[#This Row],[Candidate 5]])/(SamplingData[[#Totals],[Winning Candidate]]-SamplingData[[#Totals],[Candidate 5]]), 0)</f>
        <v>0</v>
      </c>
      <c r="U136" s="99">
        <f>IF(AND(SamplingData[[#This Row],[Total]]&lt;&gt; 0, NOT(ISBLANK(SamplingData[[#This Row],[Candidate 6]]))),(SamplingData[[#This Row],[Total]]+SamplingData[[#This Row],[Losing Candidate]]-SamplingData[[#This Row],[Candidate 6]])/(SamplingData[[#Totals],[Winning Candidate]]-SamplingData[[#Totals],[Candidate 6]]), 0)</f>
        <v>0</v>
      </c>
      <c r="V136" s="99">
        <f>IF(AND(SamplingData[[#This Row],[Total]]&lt;&gt; 0, NOT(ISBLANK(SamplingData[[#This Row],[Candidate 7]]))),(SamplingData[[#This Row],[Total]]+SamplingData[[#This Row],[Winning Candidate]]-SamplingData[[#This Row],[Candidate 7]])/(SamplingData[[#Totals],[Winning Candidate]]-SamplingData[[#Totals],[Candidate 7]]), 0)</f>
        <v>0</v>
      </c>
      <c r="W136" s="99">
        <f>IF(AND(SamplingData[[#This Row],[Total]]&lt;&gt; 0, NOT(ISBLANK(SamplingData[[#This Row],[Candidate 8]]))),(SamplingData[[#This Row],[Total]]+SamplingData[[#This Row],[Winning Candidate]]-SamplingData[[#This Row],[Candidate 8]])/(SamplingData[[#Totals],[Winning Candidate]]-SamplingData[[#Totals],[Candidate 8]]), 0)</f>
        <v>0</v>
      </c>
      <c r="X1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6" s="99">
        <f>MAX(SamplingData[[#This Row],[Error Bound (up) - Max. possible relative overstatement - Losing Candidate]:[Error Bound (up) - Max. possible relative overstatement - Candidate 12]])</f>
        <v>9.8455270751994575E-3</v>
      </c>
      <c r="AC136" s="99">
        <f>IF(SamplingData[[#This Row],[Max Error Bound (up)]] = 0,0,SamplingData[[#This Row],[Max Error Bound (up)]]/SamplingData[[#Totals],[Max Error Bound (up)]])</f>
        <v>5.2713854655178757E-4</v>
      </c>
      <c r="AD136" s="103">
        <f>SUM($AC$5:AC136)</f>
        <v>0.15266568509833878</v>
      </c>
      <c r="AE136" s="99" t="str" cm="1">
        <f t="array" ref="AE136">IF(SamplingData[[#This Row],[up/U Selection Probability]] = 0, "Zero", TEXT(SamplingData[[#This Row],[Lower Range]], REPT("0",LEN('General Info'!$B$42))) &amp; " - " &amp; TEXT(SamplingData[[#This Row],[Upper Range]], REPT("0",LEN('General Info'!$B$42))))</f>
        <v>152139 - 152665</v>
      </c>
      <c r="AF136" s="99">
        <f>SamplingData[[#This Row],[Upper Range]]-SamplingData[[#This Row],[Span]]</f>
        <v>152138.546551787</v>
      </c>
      <c r="AG136" s="99">
        <f>IF(ISNUMBER('General Info'!$B$42), ((SamplingData[[#This Row],[up/U Selection Probability]]) * 'General Info'!$B$44) - 1, 0)</f>
        <v>526.13854655178761</v>
      </c>
      <c r="AH136" s="99">
        <f>IF(ISNUMBER('General Info'!$B$42), (SamplingData[[#This Row],[Running (cumulative) sum]] * ('General Info'!$B$42 -'General Info'!$B$43 + 1)) + 'General Info'!$B$43 - 1, 0)</f>
        <v>152664.68509833878</v>
      </c>
      <c r="AI136" s="99" t="str">
        <f>IF(ISERROR(MATCH(SamplingData[[#This Row],[Batch by Type (p)]],SelectedPrecincts[Batch Name], 0)), "", INDEX(SelectedPrecincts[Draw], MATCH(SamplingData[[#This Row],[Batch by Type (p)]],SelectedPrecincts[Batch Name], 0)))</f>
        <v/>
      </c>
      <c r="AJ136" s="100">
        <f>IF(COUNTIF(SelectedPrecincts[Batch Name],SamplingData[[#This Row],[Batch by Type (p)]]) &lt;&gt; 0, COUNTIF(SelectedPrecincts[Batch Name],SamplingData[[#This Row],[Batch by Type (p)]]), 0)</f>
        <v>0</v>
      </c>
    </row>
    <row r="137" spans="1:36" ht="15" customHeight="1" x14ac:dyDescent="0.35">
      <c r="A137" s="97" t="s">
        <v>350</v>
      </c>
      <c r="B137" s="97">
        <v>420</v>
      </c>
      <c r="C137" s="97">
        <v>65</v>
      </c>
      <c r="D137" s="92"/>
      <c r="E137" s="92"/>
      <c r="F137" s="92"/>
      <c r="G137" s="96"/>
      <c r="H137" s="96"/>
      <c r="I137" s="92"/>
      <c r="J137" s="92"/>
      <c r="K137" s="92"/>
      <c r="L137" s="92"/>
      <c r="M137" s="92"/>
      <c r="N137" s="97">
        <v>0</v>
      </c>
      <c r="O137" s="97">
        <v>17</v>
      </c>
      <c r="P137" s="98">
        <f>SUM(SamplingData[[#This Row],[Winning Candidate]:[Under Votes]])</f>
        <v>502</v>
      </c>
      <c r="Q137" s="99">
        <f>IF(AND(SamplingData[[#This Row],[Total]]&lt;&gt; 0, NOT(ISBLANK(SamplingData[[#This Row],[Losing Candidate]]))),(SamplingData[[#This Row],[Total]]+SamplingData[[#This Row],[Winning Candidate]]-SamplingData[[#This Row],[Losing Candidate]])/(SamplingData[[#Totals],[Winning Candidate]]-SamplingData[[#Totals],[Losing Candidate]]), 0)</f>
        <v>3.6369037514853167E-2</v>
      </c>
      <c r="R137" s="99">
        <f>IF(AND(SamplingData[[#This Row],[Total]]&lt;&gt; 0, NOT(ISBLANK(SamplingData[[#This Row],[Candidate 3]]))),(SamplingData[[#This Row],[Total]]+SamplingData[[#This Row],[Winning Candidate]]-SamplingData[[#This Row],[Candidate 3]])/(SamplingData[[#Totals],[Winning Candidate]]-SamplingData[[#Totals],[Candidate 3]]), 0)</f>
        <v>0</v>
      </c>
      <c r="S137" s="99">
        <f>IF(AND(SamplingData[[#This Row],[Total]]&lt;&gt; 0, NOT(ISBLANK(SamplingData[[#This Row],[Candidate 4]]))),(SamplingData[[#This Row],[Total]]+SamplingData[[#This Row],[Winning Candidate]]-SamplingData[[#This Row],[Candidate 4]])/(SamplingData[[#Totals],[Winning Candidate]]-SamplingData[[#Totals],[Candidate 4]]), 0)</f>
        <v>0</v>
      </c>
      <c r="T137" s="99">
        <f>IF(AND(SamplingData[[#This Row],[Total]]&lt;&gt; 0, NOT(ISBLANK(SamplingData[[#This Row],[Candidate 5]]))),(SamplingData[[#This Row],[Total]]+SamplingData[[#This Row],[Winning Candidate]]-SamplingData[[#This Row],[Candidate 5]])/(SamplingData[[#Totals],[Winning Candidate]]-SamplingData[[#Totals],[Candidate 5]]), 0)</f>
        <v>0</v>
      </c>
      <c r="U137" s="99">
        <f>IF(AND(SamplingData[[#This Row],[Total]]&lt;&gt; 0, NOT(ISBLANK(SamplingData[[#This Row],[Candidate 6]]))),(SamplingData[[#This Row],[Total]]+SamplingData[[#This Row],[Losing Candidate]]-SamplingData[[#This Row],[Candidate 6]])/(SamplingData[[#Totals],[Winning Candidate]]-SamplingData[[#Totals],[Candidate 6]]), 0)</f>
        <v>0</v>
      </c>
      <c r="V137" s="99">
        <f>IF(AND(SamplingData[[#This Row],[Total]]&lt;&gt; 0, NOT(ISBLANK(SamplingData[[#This Row],[Candidate 7]]))),(SamplingData[[#This Row],[Total]]+SamplingData[[#This Row],[Winning Candidate]]-SamplingData[[#This Row],[Candidate 7]])/(SamplingData[[#Totals],[Winning Candidate]]-SamplingData[[#Totals],[Candidate 7]]), 0)</f>
        <v>0</v>
      </c>
      <c r="W137" s="99">
        <f>IF(AND(SamplingData[[#This Row],[Total]]&lt;&gt; 0, NOT(ISBLANK(SamplingData[[#This Row],[Candidate 8]]))),(SamplingData[[#This Row],[Total]]+SamplingData[[#This Row],[Winning Candidate]]-SamplingData[[#This Row],[Candidate 8]])/(SamplingData[[#Totals],[Winning Candidate]]-SamplingData[[#Totals],[Candidate 8]]), 0)</f>
        <v>0</v>
      </c>
      <c r="X1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7" s="99">
        <f>MAX(SamplingData[[#This Row],[Error Bound (up) - Max. possible relative overstatement - Losing Candidate]:[Error Bound (up) - Max. possible relative overstatement - Candidate 12]])</f>
        <v>3.6369037514853167E-2</v>
      </c>
      <c r="AC137" s="99">
        <f>IF(SamplingData[[#This Row],[Max Error Bound (up)]] = 0,0,SamplingData[[#This Row],[Max Error Bound (up)]]/SamplingData[[#Totals],[Max Error Bound (up)]])</f>
        <v>1.9472316137710427E-3</v>
      </c>
      <c r="AD137" s="103">
        <f>SUM($AC$5:AC137)</f>
        <v>0.15461291671210983</v>
      </c>
      <c r="AE137" s="99" t="str" cm="1">
        <f t="array" ref="AE137">IF(SamplingData[[#This Row],[up/U Selection Probability]] = 0, "Zero", TEXT(SamplingData[[#This Row],[Lower Range]], REPT("0",LEN('General Info'!$B$42))) &amp; " - " &amp; TEXT(SamplingData[[#This Row],[Upper Range]], REPT("0",LEN('General Info'!$B$42))))</f>
        <v>152666 - 154612</v>
      </c>
      <c r="AF137" s="99">
        <f>SamplingData[[#This Row],[Upper Range]]-SamplingData[[#This Row],[Span]]</f>
        <v>152665.68509833881</v>
      </c>
      <c r="AG137" s="99">
        <f>IF(ISNUMBER('General Info'!$B$42), ((SamplingData[[#This Row],[up/U Selection Probability]]) * 'General Info'!$B$44) - 1, 0)</f>
        <v>1946.2316137710427</v>
      </c>
      <c r="AH137" s="99">
        <f>IF(ISNUMBER('General Info'!$B$42), (SamplingData[[#This Row],[Running (cumulative) sum]] * ('General Info'!$B$42 -'General Info'!$B$43 + 1)) + 'General Info'!$B$43 - 1, 0)</f>
        <v>154611.91671210984</v>
      </c>
      <c r="AI137" s="99" t="str">
        <f>IF(ISERROR(MATCH(SamplingData[[#This Row],[Batch by Type (p)]],SelectedPrecincts[Batch Name], 0)), "", INDEX(SelectedPrecincts[Draw], MATCH(SamplingData[[#This Row],[Batch by Type (p)]],SelectedPrecincts[Batch Name], 0)))</f>
        <v/>
      </c>
      <c r="AJ137" s="100">
        <f>IF(COUNTIF(SelectedPrecincts[Batch Name],SamplingData[[#This Row],[Batch by Type (p)]]) &lt;&gt; 0, COUNTIF(SelectedPrecincts[Batch Name],SamplingData[[#This Row],[Batch by Type (p)]]), 0)</f>
        <v>0</v>
      </c>
    </row>
    <row r="138" spans="1:36" ht="15" customHeight="1" x14ac:dyDescent="0.35">
      <c r="A138" s="97" t="s">
        <v>351</v>
      </c>
      <c r="B138" s="97">
        <v>133</v>
      </c>
      <c r="C138" s="97">
        <v>24</v>
      </c>
      <c r="D138" s="92"/>
      <c r="E138" s="92"/>
      <c r="F138" s="92"/>
      <c r="G138" s="96"/>
      <c r="H138" s="96"/>
      <c r="I138" s="92"/>
      <c r="J138" s="92"/>
      <c r="K138" s="92"/>
      <c r="L138" s="92"/>
      <c r="M138" s="92"/>
      <c r="N138" s="97">
        <v>0</v>
      </c>
      <c r="O138" s="97">
        <v>11</v>
      </c>
      <c r="P138" s="98">
        <f>SUM(SamplingData[[#This Row],[Winning Candidate]:[Under Votes]])</f>
        <v>168</v>
      </c>
      <c r="Q138" s="99">
        <f>IF(AND(SamplingData[[#This Row],[Total]]&lt;&gt; 0, NOT(ISBLANK(SamplingData[[#This Row],[Losing Candidate]]))),(SamplingData[[#This Row],[Total]]+SamplingData[[#This Row],[Winning Candidate]]-SamplingData[[#This Row],[Losing Candidate]])/(SamplingData[[#Totals],[Winning Candidate]]-SamplingData[[#Totals],[Losing Candidate]]), 0)</f>
        <v>1.1755219826854523E-2</v>
      </c>
      <c r="R138" s="99">
        <f>IF(AND(SamplingData[[#This Row],[Total]]&lt;&gt; 0, NOT(ISBLANK(SamplingData[[#This Row],[Candidate 3]]))),(SamplingData[[#This Row],[Total]]+SamplingData[[#This Row],[Winning Candidate]]-SamplingData[[#This Row],[Candidate 3]])/(SamplingData[[#Totals],[Winning Candidate]]-SamplingData[[#Totals],[Candidate 3]]), 0)</f>
        <v>0</v>
      </c>
      <c r="S138" s="99">
        <f>IF(AND(SamplingData[[#This Row],[Total]]&lt;&gt; 0, NOT(ISBLANK(SamplingData[[#This Row],[Candidate 4]]))),(SamplingData[[#This Row],[Total]]+SamplingData[[#This Row],[Winning Candidate]]-SamplingData[[#This Row],[Candidate 4]])/(SamplingData[[#Totals],[Winning Candidate]]-SamplingData[[#Totals],[Candidate 4]]), 0)</f>
        <v>0</v>
      </c>
      <c r="T138" s="99">
        <f>IF(AND(SamplingData[[#This Row],[Total]]&lt;&gt; 0, NOT(ISBLANK(SamplingData[[#This Row],[Candidate 5]]))),(SamplingData[[#This Row],[Total]]+SamplingData[[#This Row],[Winning Candidate]]-SamplingData[[#This Row],[Candidate 5]])/(SamplingData[[#Totals],[Winning Candidate]]-SamplingData[[#Totals],[Candidate 5]]), 0)</f>
        <v>0</v>
      </c>
      <c r="U138" s="99">
        <f>IF(AND(SamplingData[[#This Row],[Total]]&lt;&gt; 0, NOT(ISBLANK(SamplingData[[#This Row],[Candidate 6]]))),(SamplingData[[#This Row],[Total]]+SamplingData[[#This Row],[Losing Candidate]]-SamplingData[[#This Row],[Candidate 6]])/(SamplingData[[#Totals],[Winning Candidate]]-SamplingData[[#Totals],[Candidate 6]]), 0)</f>
        <v>0</v>
      </c>
      <c r="V138" s="99">
        <f>IF(AND(SamplingData[[#This Row],[Total]]&lt;&gt; 0, NOT(ISBLANK(SamplingData[[#This Row],[Candidate 7]]))),(SamplingData[[#This Row],[Total]]+SamplingData[[#This Row],[Winning Candidate]]-SamplingData[[#This Row],[Candidate 7]])/(SamplingData[[#Totals],[Winning Candidate]]-SamplingData[[#Totals],[Candidate 7]]), 0)</f>
        <v>0</v>
      </c>
      <c r="W138" s="99">
        <f>IF(AND(SamplingData[[#This Row],[Total]]&lt;&gt; 0, NOT(ISBLANK(SamplingData[[#This Row],[Candidate 8]]))),(SamplingData[[#This Row],[Total]]+SamplingData[[#This Row],[Winning Candidate]]-SamplingData[[#This Row],[Candidate 8]])/(SamplingData[[#Totals],[Winning Candidate]]-SamplingData[[#Totals],[Candidate 8]]), 0)</f>
        <v>0</v>
      </c>
      <c r="X1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8" s="99">
        <f>MAX(SamplingData[[#This Row],[Error Bound (up) - Max. possible relative overstatement - Losing Candidate]:[Error Bound (up) - Max. possible relative overstatement - Candidate 12]])</f>
        <v>1.1755219826854523E-2</v>
      </c>
      <c r="AC138" s="99">
        <f>IF(SamplingData[[#This Row],[Max Error Bound (up)]] = 0,0,SamplingData[[#This Row],[Max Error Bound (up)]]/SamplingData[[#Totals],[Max Error Bound (up)]])</f>
        <v>6.293852473915738E-4</v>
      </c>
      <c r="AD138" s="103">
        <f>SUM($AC$5:AC138)</f>
        <v>0.15524230195950139</v>
      </c>
      <c r="AE138" s="99" t="str" cm="1">
        <f t="array" ref="AE138">IF(SamplingData[[#This Row],[up/U Selection Probability]] = 0, "Zero", TEXT(SamplingData[[#This Row],[Lower Range]], REPT("0",LEN('General Info'!$B$42))) &amp; " - " &amp; TEXT(SamplingData[[#This Row],[Upper Range]], REPT("0",LEN('General Info'!$B$42))))</f>
        <v>154613 - 155241</v>
      </c>
      <c r="AF138" s="99">
        <f>SamplingData[[#This Row],[Upper Range]]-SamplingData[[#This Row],[Span]]</f>
        <v>154612.91671210984</v>
      </c>
      <c r="AG138" s="99">
        <f>IF(ISNUMBER('General Info'!$B$42), ((SamplingData[[#This Row],[up/U Selection Probability]]) * 'General Info'!$B$44) - 1, 0)</f>
        <v>628.38524739157378</v>
      </c>
      <c r="AH138" s="99">
        <f>IF(ISNUMBER('General Info'!$B$42), (SamplingData[[#This Row],[Running (cumulative) sum]] * ('General Info'!$B$42 -'General Info'!$B$43 + 1)) + 'General Info'!$B$43 - 1, 0)</f>
        <v>155241.3019595014</v>
      </c>
      <c r="AI138" s="99" t="str">
        <f>IF(ISERROR(MATCH(SamplingData[[#This Row],[Batch by Type (p)]],SelectedPrecincts[Batch Name], 0)), "", INDEX(SelectedPrecincts[Draw], MATCH(SamplingData[[#This Row],[Batch by Type (p)]],SelectedPrecincts[Batch Name], 0)))</f>
        <v/>
      </c>
      <c r="AJ138" s="100">
        <f>IF(COUNTIF(SelectedPrecincts[Batch Name],SamplingData[[#This Row],[Batch by Type (p)]]) &lt;&gt; 0, COUNTIF(SelectedPrecincts[Batch Name],SamplingData[[#This Row],[Batch by Type (p)]]), 0)</f>
        <v>0</v>
      </c>
    </row>
    <row r="139" spans="1:36" ht="15" customHeight="1" x14ac:dyDescent="0.35">
      <c r="A139" s="97" t="s">
        <v>352</v>
      </c>
      <c r="B139" s="97">
        <v>277</v>
      </c>
      <c r="C139" s="97">
        <v>40</v>
      </c>
      <c r="D139" s="92"/>
      <c r="E139" s="92"/>
      <c r="F139" s="92"/>
      <c r="G139" s="96"/>
      <c r="H139" s="96"/>
      <c r="I139" s="92"/>
      <c r="J139" s="92"/>
      <c r="K139" s="92"/>
      <c r="L139" s="92"/>
      <c r="M139" s="92"/>
      <c r="N139" s="97">
        <v>0</v>
      </c>
      <c r="O139" s="97">
        <v>7</v>
      </c>
      <c r="P139" s="98">
        <f>SUM(SamplingData[[#This Row],[Winning Candidate]:[Under Votes]])</f>
        <v>324</v>
      </c>
      <c r="Q139" s="99">
        <f>IF(AND(SamplingData[[#This Row],[Total]]&lt;&gt; 0, NOT(ISBLANK(SamplingData[[#This Row],[Losing Candidate]]))),(SamplingData[[#This Row],[Total]]+SamplingData[[#This Row],[Winning Candidate]]-SamplingData[[#This Row],[Losing Candidate]])/(SamplingData[[#Totals],[Winning Candidate]]-SamplingData[[#Totals],[Losing Candidate]]), 0)</f>
        <v>2.3807502970633169E-2</v>
      </c>
      <c r="R139" s="99">
        <f>IF(AND(SamplingData[[#This Row],[Total]]&lt;&gt; 0, NOT(ISBLANK(SamplingData[[#This Row],[Candidate 3]]))),(SamplingData[[#This Row],[Total]]+SamplingData[[#This Row],[Winning Candidate]]-SamplingData[[#This Row],[Candidate 3]])/(SamplingData[[#Totals],[Winning Candidate]]-SamplingData[[#Totals],[Candidate 3]]), 0)</f>
        <v>0</v>
      </c>
      <c r="S139" s="99">
        <f>IF(AND(SamplingData[[#This Row],[Total]]&lt;&gt; 0, NOT(ISBLANK(SamplingData[[#This Row],[Candidate 4]]))),(SamplingData[[#This Row],[Total]]+SamplingData[[#This Row],[Winning Candidate]]-SamplingData[[#This Row],[Candidate 4]])/(SamplingData[[#Totals],[Winning Candidate]]-SamplingData[[#Totals],[Candidate 4]]), 0)</f>
        <v>0</v>
      </c>
      <c r="T139" s="99">
        <f>IF(AND(SamplingData[[#This Row],[Total]]&lt;&gt; 0, NOT(ISBLANK(SamplingData[[#This Row],[Candidate 5]]))),(SamplingData[[#This Row],[Total]]+SamplingData[[#This Row],[Winning Candidate]]-SamplingData[[#This Row],[Candidate 5]])/(SamplingData[[#Totals],[Winning Candidate]]-SamplingData[[#Totals],[Candidate 5]]), 0)</f>
        <v>0</v>
      </c>
      <c r="U139" s="99">
        <f>IF(AND(SamplingData[[#This Row],[Total]]&lt;&gt; 0, NOT(ISBLANK(SamplingData[[#This Row],[Candidate 6]]))),(SamplingData[[#This Row],[Total]]+SamplingData[[#This Row],[Losing Candidate]]-SamplingData[[#This Row],[Candidate 6]])/(SamplingData[[#Totals],[Winning Candidate]]-SamplingData[[#Totals],[Candidate 6]]), 0)</f>
        <v>0</v>
      </c>
      <c r="V139" s="99">
        <f>IF(AND(SamplingData[[#This Row],[Total]]&lt;&gt; 0, NOT(ISBLANK(SamplingData[[#This Row],[Candidate 7]]))),(SamplingData[[#This Row],[Total]]+SamplingData[[#This Row],[Winning Candidate]]-SamplingData[[#This Row],[Candidate 7]])/(SamplingData[[#Totals],[Winning Candidate]]-SamplingData[[#Totals],[Candidate 7]]), 0)</f>
        <v>0</v>
      </c>
      <c r="W139" s="99">
        <f>IF(AND(SamplingData[[#This Row],[Total]]&lt;&gt; 0, NOT(ISBLANK(SamplingData[[#This Row],[Candidate 8]]))),(SamplingData[[#This Row],[Total]]+SamplingData[[#This Row],[Winning Candidate]]-SamplingData[[#This Row],[Candidate 8]])/(SamplingData[[#Totals],[Winning Candidate]]-SamplingData[[#Totals],[Candidate 8]]), 0)</f>
        <v>0</v>
      </c>
      <c r="X1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9" s="99">
        <f>MAX(SamplingData[[#This Row],[Error Bound (up) - Max. possible relative overstatement - Losing Candidate]:[Error Bound (up) - Max. possible relative overstatement - Candidate 12]])</f>
        <v>2.3807502970633169E-2</v>
      </c>
      <c r="AC139" s="99">
        <f>IF(SamplingData[[#This Row],[Max Error Bound (up)]] = 0,0,SamplingData[[#This Row],[Max Error Bound (up)]]/SamplingData[[#Totals],[Max Error Bound (up)]])</f>
        <v>1.2746755371360033E-3</v>
      </c>
      <c r="AD139" s="103">
        <f>SUM($AC$5:AC139)</f>
        <v>0.1565169774966374</v>
      </c>
      <c r="AE139" s="99" t="str" cm="1">
        <f t="array" ref="AE139">IF(SamplingData[[#This Row],[up/U Selection Probability]] = 0, "Zero", TEXT(SamplingData[[#This Row],[Lower Range]], REPT("0",LEN('General Info'!$B$42))) &amp; " - " &amp; TEXT(SamplingData[[#This Row],[Upper Range]], REPT("0",LEN('General Info'!$B$42))))</f>
        <v>155242 - 156516</v>
      </c>
      <c r="AF139" s="99">
        <f>SamplingData[[#This Row],[Upper Range]]-SamplingData[[#This Row],[Span]]</f>
        <v>155242.3019595014</v>
      </c>
      <c r="AG139" s="99">
        <f>IF(ISNUMBER('General Info'!$B$42), ((SamplingData[[#This Row],[up/U Selection Probability]]) * 'General Info'!$B$44) - 1, 0)</f>
        <v>1273.6755371360032</v>
      </c>
      <c r="AH139" s="99">
        <f>IF(ISNUMBER('General Info'!$B$42), (SamplingData[[#This Row],[Running (cumulative) sum]] * ('General Info'!$B$42 -'General Info'!$B$43 + 1)) + 'General Info'!$B$43 - 1, 0)</f>
        <v>156515.97749663741</v>
      </c>
      <c r="AI139" s="99">
        <f>IF(ISERROR(MATCH(SamplingData[[#This Row],[Batch by Type (p)]],SelectedPrecincts[Batch Name], 0)), "", INDEX(SelectedPrecincts[Draw], MATCH(SamplingData[[#This Row],[Batch by Type (p)]],SelectedPrecincts[Batch Name], 0)))</f>
        <v>24</v>
      </c>
      <c r="AJ139" s="100">
        <f>IF(COUNTIF(SelectedPrecincts[Batch Name],SamplingData[[#This Row],[Batch by Type (p)]]) &lt;&gt; 0, COUNTIF(SelectedPrecincts[Batch Name],SamplingData[[#This Row],[Batch by Type (p)]]), 0)</f>
        <v>1</v>
      </c>
    </row>
    <row r="140" spans="1:36" ht="15" customHeight="1" x14ac:dyDescent="0.35">
      <c r="A140" s="97" t="s">
        <v>353</v>
      </c>
      <c r="B140" s="97">
        <v>334</v>
      </c>
      <c r="C140" s="97">
        <v>30</v>
      </c>
      <c r="D140" s="92"/>
      <c r="E140" s="92"/>
      <c r="F140" s="92"/>
      <c r="G140" s="96"/>
      <c r="H140" s="96"/>
      <c r="I140" s="92"/>
      <c r="J140" s="92"/>
      <c r="K140" s="92"/>
      <c r="L140" s="92"/>
      <c r="M140" s="92"/>
      <c r="N140" s="97">
        <v>0</v>
      </c>
      <c r="O140" s="97">
        <v>5</v>
      </c>
      <c r="P140" s="98">
        <f>SUM(SamplingData[[#This Row],[Winning Candidate]:[Under Votes]])</f>
        <v>369</v>
      </c>
      <c r="Q140" s="99">
        <f>IF(AND(SamplingData[[#This Row],[Total]]&lt;&gt; 0, NOT(ISBLANK(SamplingData[[#This Row],[Losing Candidate]]))),(SamplingData[[#This Row],[Total]]+SamplingData[[#This Row],[Winning Candidate]]-SamplingData[[#This Row],[Losing Candidate]])/(SamplingData[[#Totals],[Winning Candidate]]-SamplingData[[#Totals],[Losing Candidate]]), 0)</f>
        <v>2.8560516041419112E-2</v>
      </c>
      <c r="R140" s="99">
        <f>IF(AND(SamplingData[[#This Row],[Total]]&lt;&gt; 0, NOT(ISBLANK(SamplingData[[#This Row],[Candidate 3]]))),(SamplingData[[#This Row],[Total]]+SamplingData[[#This Row],[Winning Candidate]]-SamplingData[[#This Row],[Candidate 3]])/(SamplingData[[#Totals],[Winning Candidate]]-SamplingData[[#Totals],[Candidate 3]]), 0)</f>
        <v>0</v>
      </c>
      <c r="S140" s="99">
        <f>IF(AND(SamplingData[[#This Row],[Total]]&lt;&gt; 0, NOT(ISBLANK(SamplingData[[#This Row],[Candidate 4]]))),(SamplingData[[#This Row],[Total]]+SamplingData[[#This Row],[Winning Candidate]]-SamplingData[[#This Row],[Candidate 4]])/(SamplingData[[#Totals],[Winning Candidate]]-SamplingData[[#Totals],[Candidate 4]]), 0)</f>
        <v>0</v>
      </c>
      <c r="T140" s="99">
        <f>IF(AND(SamplingData[[#This Row],[Total]]&lt;&gt; 0, NOT(ISBLANK(SamplingData[[#This Row],[Candidate 5]]))),(SamplingData[[#This Row],[Total]]+SamplingData[[#This Row],[Winning Candidate]]-SamplingData[[#This Row],[Candidate 5]])/(SamplingData[[#Totals],[Winning Candidate]]-SamplingData[[#Totals],[Candidate 5]]), 0)</f>
        <v>0</v>
      </c>
      <c r="U140" s="99">
        <f>IF(AND(SamplingData[[#This Row],[Total]]&lt;&gt; 0, NOT(ISBLANK(SamplingData[[#This Row],[Candidate 6]]))),(SamplingData[[#This Row],[Total]]+SamplingData[[#This Row],[Losing Candidate]]-SamplingData[[#This Row],[Candidate 6]])/(SamplingData[[#Totals],[Winning Candidate]]-SamplingData[[#Totals],[Candidate 6]]), 0)</f>
        <v>0</v>
      </c>
      <c r="V140" s="99">
        <f>IF(AND(SamplingData[[#This Row],[Total]]&lt;&gt; 0, NOT(ISBLANK(SamplingData[[#This Row],[Candidate 7]]))),(SamplingData[[#This Row],[Total]]+SamplingData[[#This Row],[Winning Candidate]]-SamplingData[[#This Row],[Candidate 7]])/(SamplingData[[#Totals],[Winning Candidate]]-SamplingData[[#Totals],[Candidate 7]]), 0)</f>
        <v>0</v>
      </c>
      <c r="W140" s="99">
        <f>IF(AND(SamplingData[[#This Row],[Total]]&lt;&gt; 0, NOT(ISBLANK(SamplingData[[#This Row],[Candidate 8]]))),(SamplingData[[#This Row],[Total]]+SamplingData[[#This Row],[Winning Candidate]]-SamplingData[[#This Row],[Candidate 8]])/(SamplingData[[#Totals],[Winning Candidate]]-SamplingData[[#Totals],[Candidate 8]]), 0)</f>
        <v>0</v>
      </c>
      <c r="X1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0" s="99">
        <f>MAX(SamplingData[[#This Row],[Error Bound (up) - Max. possible relative overstatement - Losing Candidate]:[Error Bound (up) - Max. possible relative overstatement - Candidate 12]])</f>
        <v>2.8560516041419112E-2</v>
      </c>
      <c r="AC140" s="99">
        <f>IF(SamplingData[[#This Row],[Max Error Bound (up)]] = 0,0,SamplingData[[#This Row],[Max Error Bound (up)]]/SamplingData[[#Totals],[Max Error Bound (up)]])</f>
        <v>1.5291562147816938E-3</v>
      </c>
      <c r="AD140" s="103">
        <f>SUM($AC$5:AC140)</f>
        <v>0.1580461337114191</v>
      </c>
      <c r="AE140" s="99" t="str" cm="1">
        <f t="array" ref="AE140">IF(SamplingData[[#This Row],[up/U Selection Probability]] = 0, "Zero", TEXT(SamplingData[[#This Row],[Lower Range]], REPT("0",LEN('General Info'!$B$42))) &amp; " - " &amp; TEXT(SamplingData[[#This Row],[Upper Range]], REPT("0",LEN('General Info'!$B$42))))</f>
        <v>156517 - 158045</v>
      </c>
      <c r="AF140" s="99">
        <f>SamplingData[[#This Row],[Upper Range]]-SamplingData[[#This Row],[Span]]</f>
        <v>156516.97749663741</v>
      </c>
      <c r="AG140" s="99">
        <f>IF(ISNUMBER('General Info'!$B$42), ((SamplingData[[#This Row],[up/U Selection Probability]]) * 'General Info'!$B$44) - 1, 0)</f>
        <v>1528.1562147816937</v>
      </c>
      <c r="AH140" s="99">
        <f>IF(ISNUMBER('General Info'!$B$42), (SamplingData[[#This Row],[Running (cumulative) sum]] * ('General Info'!$B$42 -'General Info'!$B$43 + 1)) + 'General Info'!$B$43 - 1, 0)</f>
        <v>158045.1337114191</v>
      </c>
      <c r="AI140" s="99" t="str">
        <f>IF(ISERROR(MATCH(SamplingData[[#This Row],[Batch by Type (p)]],SelectedPrecincts[Batch Name], 0)), "", INDEX(SelectedPrecincts[Draw], MATCH(SamplingData[[#This Row],[Batch by Type (p)]],SelectedPrecincts[Batch Name], 0)))</f>
        <v/>
      </c>
      <c r="AJ140" s="100">
        <f>IF(COUNTIF(SelectedPrecincts[Batch Name],SamplingData[[#This Row],[Batch by Type (p)]]) &lt;&gt; 0, COUNTIF(SelectedPrecincts[Batch Name],SamplingData[[#This Row],[Batch by Type (p)]]), 0)</f>
        <v>0</v>
      </c>
    </row>
    <row r="141" spans="1:36" ht="15" customHeight="1" x14ac:dyDescent="0.35">
      <c r="A141" s="97" t="s">
        <v>354</v>
      </c>
      <c r="B141" s="97">
        <v>208</v>
      </c>
      <c r="C141" s="97">
        <v>14</v>
      </c>
      <c r="D141" s="92"/>
      <c r="E141" s="92"/>
      <c r="F141" s="92"/>
      <c r="G141" s="96"/>
      <c r="H141" s="96"/>
      <c r="I141" s="92"/>
      <c r="J141" s="92"/>
      <c r="K141" s="92"/>
      <c r="L141" s="92"/>
      <c r="M141" s="92"/>
      <c r="N141" s="97">
        <v>0</v>
      </c>
      <c r="O141" s="97">
        <v>13</v>
      </c>
      <c r="P141" s="98">
        <f>SUM(SamplingData[[#This Row],[Winning Candidate]:[Under Votes]])</f>
        <v>235</v>
      </c>
      <c r="Q141" s="99">
        <f>IF(AND(SamplingData[[#This Row],[Total]]&lt;&gt; 0, NOT(ISBLANK(SamplingData[[#This Row],[Losing Candidate]]))),(SamplingData[[#This Row],[Total]]+SamplingData[[#This Row],[Winning Candidate]]-SamplingData[[#This Row],[Losing Candidate]])/(SamplingData[[#Totals],[Winning Candidate]]-SamplingData[[#Totals],[Losing Candidate]]), 0)</f>
        <v>1.8205737565778306E-2</v>
      </c>
      <c r="R141" s="99">
        <f>IF(AND(SamplingData[[#This Row],[Total]]&lt;&gt; 0, NOT(ISBLANK(SamplingData[[#This Row],[Candidate 3]]))),(SamplingData[[#This Row],[Total]]+SamplingData[[#This Row],[Winning Candidate]]-SamplingData[[#This Row],[Candidate 3]])/(SamplingData[[#Totals],[Winning Candidate]]-SamplingData[[#Totals],[Candidate 3]]), 0)</f>
        <v>0</v>
      </c>
      <c r="S141" s="99">
        <f>IF(AND(SamplingData[[#This Row],[Total]]&lt;&gt; 0, NOT(ISBLANK(SamplingData[[#This Row],[Candidate 4]]))),(SamplingData[[#This Row],[Total]]+SamplingData[[#This Row],[Winning Candidate]]-SamplingData[[#This Row],[Candidate 4]])/(SamplingData[[#Totals],[Winning Candidate]]-SamplingData[[#Totals],[Candidate 4]]), 0)</f>
        <v>0</v>
      </c>
      <c r="T141" s="99">
        <f>IF(AND(SamplingData[[#This Row],[Total]]&lt;&gt; 0, NOT(ISBLANK(SamplingData[[#This Row],[Candidate 5]]))),(SamplingData[[#This Row],[Total]]+SamplingData[[#This Row],[Winning Candidate]]-SamplingData[[#This Row],[Candidate 5]])/(SamplingData[[#Totals],[Winning Candidate]]-SamplingData[[#Totals],[Candidate 5]]), 0)</f>
        <v>0</v>
      </c>
      <c r="U141" s="99">
        <f>IF(AND(SamplingData[[#This Row],[Total]]&lt;&gt; 0, NOT(ISBLANK(SamplingData[[#This Row],[Candidate 6]]))),(SamplingData[[#This Row],[Total]]+SamplingData[[#This Row],[Losing Candidate]]-SamplingData[[#This Row],[Candidate 6]])/(SamplingData[[#Totals],[Winning Candidate]]-SamplingData[[#Totals],[Candidate 6]]), 0)</f>
        <v>0</v>
      </c>
      <c r="V141" s="99">
        <f>IF(AND(SamplingData[[#This Row],[Total]]&lt;&gt; 0, NOT(ISBLANK(SamplingData[[#This Row],[Candidate 7]]))),(SamplingData[[#This Row],[Total]]+SamplingData[[#This Row],[Winning Candidate]]-SamplingData[[#This Row],[Candidate 7]])/(SamplingData[[#Totals],[Winning Candidate]]-SamplingData[[#Totals],[Candidate 7]]), 0)</f>
        <v>0</v>
      </c>
      <c r="W141" s="99">
        <f>IF(AND(SamplingData[[#This Row],[Total]]&lt;&gt; 0, NOT(ISBLANK(SamplingData[[#This Row],[Candidate 8]]))),(SamplingData[[#This Row],[Total]]+SamplingData[[#This Row],[Winning Candidate]]-SamplingData[[#This Row],[Candidate 8]])/(SamplingData[[#Totals],[Winning Candidate]]-SamplingData[[#Totals],[Candidate 8]]), 0)</f>
        <v>0</v>
      </c>
      <c r="X1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1" s="99">
        <f>MAX(SamplingData[[#This Row],[Error Bound (up) - Max. possible relative overstatement - Losing Candidate]:[Error Bound (up) - Max. possible relative overstatement - Candidate 12]])</f>
        <v>1.8205737565778306E-2</v>
      </c>
      <c r="AC141" s="99">
        <f>IF(SamplingData[[#This Row],[Max Error Bound (up)]] = 0,0,SamplingData[[#This Row],[Max Error Bound (up)]]/SamplingData[[#Totals],[Max Error Bound (up)]])</f>
        <v>9.7475188133929673E-4</v>
      </c>
      <c r="AD141" s="103">
        <f>SUM($AC$5:AC141)</f>
        <v>0.1590208855927584</v>
      </c>
      <c r="AE141" s="99" t="str" cm="1">
        <f t="array" ref="AE141">IF(SamplingData[[#This Row],[up/U Selection Probability]] = 0, "Zero", TEXT(SamplingData[[#This Row],[Lower Range]], REPT("0",LEN('General Info'!$B$42))) &amp; " - " &amp; TEXT(SamplingData[[#This Row],[Upper Range]], REPT("0",LEN('General Info'!$B$42))))</f>
        <v>158046 - 159020</v>
      </c>
      <c r="AF141" s="99">
        <f>SamplingData[[#This Row],[Upper Range]]-SamplingData[[#This Row],[Span]]</f>
        <v>158046.1337114191</v>
      </c>
      <c r="AG141" s="99">
        <f>IF(ISNUMBER('General Info'!$B$42), ((SamplingData[[#This Row],[up/U Selection Probability]]) * 'General Info'!$B$44) - 1, 0)</f>
        <v>973.75188133929669</v>
      </c>
      <c r="AH141" s="99">
        <f>IF(ISNUMBER('General Info'!$B$42), (SamplingData[[#This Row],[Running (cumulative) sum]] * ('General Info'!$B$42 -'General Info'!$B$43 + 1)) + 'General Info'!$B$43 - 1, 0)</f>
        <v>159019.88559275839</v>
      </c>
      <c r="AI141" s="99" t="str">
        <f>IF(ISERROR(MATCH(SamplingData[[#This Row],[Batch by Type (p)]],SelectedPrecincts[Batch Name], 0)), "", INDEX(SelectedPrecincts[Draw], MATCH(SamplingData[[#This Row],[Batch by Type (p)]],SelectedPrecincts[Batch Name], 0)))</f>
        <v/>
      </c>
      <c r="AJ141" s="100">
        <f>IF(COUNTIF(SelectedPrecincts[Batch Name],SamplingData[[#This Row],[Batch by Type (p)]]) &lt;&gt; 0, COUNTIF(SelectedPrecincts[Batch Name],SamplingData[[#This Row],[Batch by Type (p)]]), 0)</f>
        <v>0</v>
      </c>
    </row>
    <row r="142" spans="1:36" ht="15" customHeight="1" x14ac:dyDescent="0.35">
      <c r="A142" s="97" t="s">
        <v>355</v>
      </c>
      <c r="B142" s="97">
        <v>270</v>
      </c>
      <c r="C142" s="97">
        <v>65</v>
      </c>
      <c r="D142" s="92"/>
      <c r="E142" s="92"/>
      <c r="F142" s="92"/>
      <c r="G142" s="96"/>
      <c r="H142" s="96"/>
      <c r="I142" s="92"/>
      <c r="J142" s="92"/>
      <c r="K142" s="92"/>
      <c r="L142" s="92"/>
      <c r="M142" s="92"/>
      <c r="N142" s="97">
        <v>0</v>
      </c>
      <c r="O142" s="97">
        <v>17</v>
      </c>
      <c r="P142" s="98">
        <f>SUM(SamplingData[[#This Row],[Winning Candidate]:[Under Votes]])</f>
        <v>352</v>
      </c>
      <c r="Q142" s="99">
        <f>IF(AND(SamplingData[[#This Row],[Total]]&lt;&gt; 0, NOT(ISBLANK(SamplingData[[#This Row],[Losing Candidate]]))),(SamplingData[[#This Row],[Total]]+SamplingData[[#This Row],[Winning Candidate]]-SamplingData[[#This Row],[Losing Candidate]])/(SamplingData[[#Totals],[Winning Candidate]]-SamplingData[[#Totals],[Losing Candidate]]), 0)</f>
        <v>2.3637752503819387E-2</v>
      </c>
      <c r="R142" s="99">
        <f>IF(AND(SamplingData[[#This Row],[Total]]&lt;&gt; 0, NOT(ISBLANK(SamplingData[[#This Row],[Candidate 3]]))),(SamplingData[[#This Row],[Total]]+SamplingData[[#This Row],[Winning Candidate]]-SamplingData[[#This Row],[Candidate 3]])/(SamplingData[[#Totals],[Winning Candidate]]-SamplingData[[#Totals],[Candidate 3]]), 0)</f>
        <v>0</v>
      </c>
      <c r="S142" s="99">
        <f>IF(AND(SamplingData[[#This Row],[Total]]&lt;&gt; 0, NOT(ISBLANK(SamplingData[[#This Row],[Candidate 4]]))),(SamplingData[[#This Row],[Total]]+SamplingData[[#This Row],[Winning Candidate]]-SamplingData[[#This Row],[Candidate 4]])/(SamplingData[[#Totals],[Winning Candidate]]-SamplingData[[#Totals],[Candidate 4]]), 0)</f>
        <v>0</v>
      </c>
      <c r="T142" s="99">
        <f>IF(AND(SamplingData[[#This Row],[Total]]&lt;&gt; 0, NOT(ISBLANK(SamplingData[[#This Row],[Candidate 5]]))),(SamplingData[[#This Row],[Total]]+SamplingData[[#This Row],[Winning Candidate]]-SamplingData[[#This Row],[Candidate 5]])/(SamplingData[[#Totals],[Winning Candidate]]-SamplingData[[#Totals],[Candidate 5]]), 0)</f>
        <v>0</v>
      </c>
      <c r="U142" s="99">
        <f>IF(AND(SamplingData[[#This Row],[Total]]&lt;&gt; 0, NOT(ISBLANK(SamplingData[[#This Row],[Candidate 6]]))),(SamplingData[[#This Row],[Total]]+SamplingData[[#This Row],[Losing Candidate]]-SamplingData[[#This Row],[Candidate 6]])/(SamplingData[[#Totals],[Winning Candidate]]-SamplingData[[#Totals],[Candidate 6]]), 0)</f>
        <v>0</v>
      </c>
      <c r="V142" s="99">
        <f>IF(AND(SamplingData[[#This Row],[Total]]&lt;&gt; 0, NOT(ISBLANK(SamplingData[[#This Row],[Candidate 7]]))),(SamplingData[[#This Row],[Total]]+SamplingData[[#This Row],[Winning Candidate]]-SamplingData[[#This Row],[Candidate 7]])/(SamplingData[[#Totals],[Winning Candidate]]-SamplingData[[#Totals],[Candidate 7]]), 0)</f>
        <v>0</v>
      </c>
      <c r="W142" s="99">
        <f>IF(AND(SamplingData[[#This Row],[Total]]&lt;&gt; 0, NOT(ISBLANK(SamplingData[[#This Row],[Candidate 8]]))),(SamplingData[[#This Row],[Total]]+SamplingData[[#This Row],[Winning Candidate]]-SamplingData[[#This Row],[Candidate 8]])/(SamplingData[[#Totals],[Winning Candidate]]-SamplingData[[#Totals],[Candidate 8]]), 0)</f>
        <v>0</v>
      </c>
      <c r="X1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2" s="99">
        <f>MAX(SamplingData[[#This Row],[Error Bound (up) - Max. possible relative overstatement - Losing Candidate]:[Error Bound (up) - Max. possible relative overstatement - Candidate 12]])</f>
        <v>2.3637752503819387E-2</v>
      </c>
      <c r="AC142" s="99">
        <f>IF(SamplingData[[#This Row],[Max Error Bound (up)]] = 0,0,SamplingData[[#This Row],[Max Error Bound (up)]]/SamplingData[[#Totals],[Max Error Bound (up)]])</f>
        <v>1.2655869415058002E-3</v>
      </c>
      <c r="AD142" s="103">
        <f>SUM($AC$5:AC142)</f>
        <v>0.1602864725342642</v>
      </c>
      <c r="AE142" s="99" t="str" cm="1">
        <f t="array" ref="AE142">IF(SamplingData[[#This Row],[up/U Selection Probability]] = 0, "Zero", TEXT(SamplingData[[#This Row],[Lower Range]], REPT("0",LEN('General Info'!$B$42))) &amp; " - " &amp; TEXT(SamplingData[[#This Row],[Upper Range]], REPT("0",LEN('General Info'!$B$42))))</f>
        <v>159021 - 160285</v>
      </c>
      <c r="AF142" s="99">
        <f>SamplingData[[#This Row],[Upper Range]]-SamplingData[[#This Row],[Span]]</f>
        <v>159020.88559275839</v>
      </c>
      <c r="AG142" s="99">
        <f>IF(ISNUMBER('General Info'!$B$42), ((SamplingData[[#This Row],[up/U Selection Probability]]) * 'General Info'!$B$44) - 1, 0)</f>
        <v>1264.5869415058003</v>
      </c>
      <c r="AH142" s="99">
        <f>IF(ISNUMBER('General Info'!$B$42), (SamplingData[[#This Row],[Running (cumulative) sum]] * ('General Info'!$B$42 -'General Info'!$B$43 + 1)) + 'General Info'!$B$43 - 1, 0)</f>
        <v>160285.47253426421</v>
      </c>
      <c r="AI142" s="99" t="str">
        <f>IF(ISERROR(MATCH(SamplingData[[#This Row],[Batch by Type (p)]],SelectedPrecincts[Batch Name], 0)), "", INDEX(SelectedPrecincts[Draw], MATCH(SamplingData[[#This Row],[Batch by Type (p)]],SelectedPrecincts[Batch Name], 0)))</f>
        <v/>
      </c>
      <c r="AJ142" s="100">
        <f>IF(COUNTIF(SelectedPrecincts[Batch Name],SamplingData[[#This Row],[Batch by Type (p)]]) &lt;&gt; 0, COUNTIF(SelectedPrecincts[Batch Name],SamplingData[[#This Row],[Batch by Type (p)]]), 0)</f>
        <v>0</v>
      </c>
    </row>
    <row r="143" spans="1:36" ht="15" customHeight="1" x14ac:dyDescent="0.35">
      <c r="A143" s="97" t="s">
        <v>356</v>
      </c>
      <c r="B143" s="97">
        <v>149</v>
      </c>
      <c r="C143" s="97">
        <v>18</v>
      </c>
      <c r="D143" s="92"/>
      <c r="E143" s="92"/>
      <c r="F143" s="92"/>
      <c r="G143" s="96"/>
      <c r="H143" s="96"/>
      <c r="I143" s="92"/>
      <c r="J143" s="92"/>
      <c r="K143" s="92"/>
      <c r="L143" s="92"/>
      <c r="M143" s="92"/>
      <c r="N143" s="97">
        <v>0</v>
      </c>
      <c r="O143" s="97">
        <v>4</v>
      </c>
      <c r="P143" s="98">
        <f>SUM(SamplingData[[#This Row],[Winning Candidate]:[Under Votes]])</f>
        <v>171</v>
      </c>
      <c r="Q143" s="99">
        <f>IF(AND(SamplingData[[#This Row],[Total]]&lt;&gt; 0, NOT(ISBLANK(SamplingData[[#This Row],[Losing Candidate]]))),(SamplingData[[#This Row],[Total]]+SamplingData[[#This Row],[Winning Candidate]]-SamplingData[[#This Row],[Losing Candidate]])/(SamplingData[[#Totals],[Winning Candidate]]-SamplingData[[#Totals],[Losing Candidate]]), 0)</f>
        <v>1.2816160244440673E-2</v>
      </c>
      <c r="R143" s="99">
        <f>IF(AND(SamplingData[[#This Row],[Total]]&lt;&gt; 0, NOT(ISBLANK(SamplingData[[#This Row],[Candidate 3]]))),(SamplingData[[#This Row],[Total]]+SamplingData[[#This Row],[Winning Candidate]]-SamplingData[[#This Row],[Candidate 3]])/(SamplingData[[#Totals],[Winning Candidate]]-SamplingData[[#Totals],[Candidate 3]]), 0)</f>
        <v>0</v>
      </c>
      <c r="S143" s="99">
        <f>IF(AND(SamplingData[[#This Row],[Total]]&lt;&gt; 0, NOT(ISBLANK(SamplingData[[#This Row],[Candidate 4]]))),(SamplingData[[#This Row],[Total]]+SamplingData[[#This Row],[Winning Candidate]]-SamplingData[[#This Row],[Candidate 4]])/(SamplingData[[#Totals],[Winning Candidate]]-SamplingData[[#Totals],[Candidate 4]]), 0)</f>
        <v>0</v>
      </c>
      <c r="T143" s="99">
        <f>IF(AND(SamplingData[[#This Row],[Total]]&lt;&gt; 0, NOT(ISBLANK(SamplingData[[#This Row],[Candidate 5]]))),(SamplingData[[#This Row],[Total]]+SamplingData[[#This Row],[Winning Candidate]]-SamplingData[[#This Row],[Candidate 5]])/(SamplingData[[#Totals],[Winning Candidate]]-SamplingData[[#Totals],[Candidate 5]]), 0)</f>
        <v>0</v>
      </c>
      <c r="U143" s="99">
        <f>IF(AND(SamplingData[[#This Row],[Total]]&lt;&gt; 0, NOT(ISBLANK(SamplingData[[#This Row],[Candidate 6]]))),(SamplingData[[#This Row],[Total]]+SamplingData[[#This Row],[Losing Candidate]]-SamplingData[[#This Row],[Candidate 6]])/(SamplingData[[#Totals],[Winning Candidate]]-SamplingData[[#Totals],[Candidate 6]]), 0)</f>
        <v>0</v>
      </c>
      <c r="V143" s="99">
        <f>IF(AND(SamplingData[[#This Row],[Total]]&lt;&gt; 0, NOT(ISBLANK(SamplingData[[#This Row],[Candidate 7]]))),(SamplingData[[#This Row],[Total]]+SamplingData[[#This Row],[Winning Candidate]]-SamplingData[[#This Row],[Candidate 7]])/(SamplingData[[#Totals],[Winning Candidate]]-SamplingData[[#Totals],[Candidate 7]]), 0)</f>
        <v>0</v>
      </c>
      <c r="W143" s="99">
        <f>IF(AND(SamplingData[[#This Row],[Total]]&lt;&gt; 0, NOT(ISBLANK(SamplingData[[#This Row],[Candidate 8]]))),(SamplingData[[#This Row],[Total]]+SamplingData[[#This Row],[Winning Candidate]]-SamplingData[[#This Row],[Candidate 8]])/(SamplingData[[#Totals],[Winning Candidate]]-SamplingData[[#Totals],[Candidate 8]]), 0)</f>
        <v>0</v>
      </c>
      <c r="X1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3" s="99">
        <f>MAX(SamplingData[[#This Row],[Error Bound (up) - Max. possible relative overstatement - Losing Candidate]:[Error Bound (up) - Max. possible relative overstatement - Candidate 12]])</f>
        <v>1.2816160244440673E-2</v>
      </c>
      <c r="AC143" s="99">
        <f>IF(SamplingData[[#This Row],[Max Error Bound (up)]] = 0,0,SamplingData[[#This Row],[Max Error Bound (up)]]/SamplingData[[#Totals],[Max Error Bound (up)]])</f>
        <v>6.8618897008034408E-4</v>
      </c>
      <c r="AD143" s="103">
        <f>SUM($AC$5:AC143)</f>
        <v>0.16097266150434456</v>
      </c>
      <c r="AE143" s="99" t="str" cm="1">
        <f t="array" ref="AE143">IF(SamplingData[[#This Row],[up/U Selection Probability]] = 0, "Zero", TEXT(SamplingData[[#This Row],[Lower Range]], REPT("0",LEN('General Info'!$B$42))) &amp; " - " &amp; TEXT(SamplingData[[#This Row],[Upper Range]], REPT("0",LEN('General Info'!$B$42))))</f>
        <v>160286 - 160972</v>
      </c>
      <c r="AF143" s="99">
        <f>SamplingData[[#This Row],[Upper Range]]-SamplingData[[#This Row],[Span]]</f>
        <v>160286.47253426421</v>
      </c>
      <c r="AG143" s="99">
        <f>IF(ISNUMBER('General Info'!$B$42), ((SamplingData[[#This Row],[up/U Selection Probability]]) * 'General Info'!$B$44) - 1, 0)</f>
        <v>685.18897008034412</v>
      </c>
      <c r="AH143" s="99">
        <f>IF(ISNUMBER('General Info'!$B$42), (SamplingData[[#This Row],[Running (cumulative) sum]] * ('General Info'!$B$42 -'General Info'!$B$43 + 1)) + 'General Info'!$B$43 - 1, 0)</f>
        <v>160971.66150434455</v>
      </c>
      <c r="AI143" s="99" t="str">
        <f>IF(ISERROR(MATCH(SamplingData[[#This Row],[Batch by Type (p)]],SelectedPrecincts[Batch Name], 0)), "", INDEX(SelectedPrecincts[Draw], MATCH(SamplingData[[#This Row],[Batch by Type (p)]],SelectedPrecincts[Batch Name], 0)))</f>
        <v/>
      </c>
      <c r="AJ143" s="100">
        <f>IF(COUNTIF(SelectedPrecincts[Batch Name],SamplingData[[#This Row],[Batch by Type (p)]]) &lt;&gt; 0, COUNTIF(SelectedPrecincts[Batch Name],SamplingData[[#This Row],[Batch by Type (p)]]), 0)</f>
        <v>0</v>
      </c>
    </row>
    <row r="144" spans="1:36" ht="15" customHeight="1" x14ac:dyDescent="0.35">
      <c r="A144" s="97" t="s">
        <v>357</v>
      </c>
      <c r="B144" s="97">
        <v>330</v>
      </c>
      <c r="C144" s="97">
        <v>104</v>
      </c>
      <c r="D144" s="92"/>
      <c r="E144" s="92"/>
      <c r="F144" s="92"/>
      <c r="G144" s="96"/>
      <c r="H144" s="96"/>
      <c r="I144" s="92"/>
      <c r="J144" s="92"/>
      <c r="K144" s="92"/>
      <c r="L144" s="92"/>
      <c r="M144" s="92"/>
      <c r="N144" s="97">
        <v>0</v>
      </c>
      <c r="O144" s="97">
        <v>24</v>
      </c>
      <c r="P144" s="98">
        <f>SUM(SamplingData[[#This Row],[Winning Candidate]:[Under Votes]])</f>
        <v>458</v>
      </c>
      <c r="Q144" s="99">
        <f>IF(AND(SamplingData[[#This Row],[Total]]&lt;&gt; 0, NOT(ISBLANK(SamplingData[[#This Row],[Losing Candidate]]))),(SamplingData[[#This Row],[Total]]+SamplingData[[#This Row],[Winning Candidate]]-SamplingData[[#This Row],[Losing Candidate]])/(SamplingData[[#Totals],[Winning Candidate]]-SamplingData[[#Totals],[Losing Candidate]]), 0)</f>
        <v>2.902732982515702E-2</v>
      </c>
      <c r="R144" s="99">
        <f>IF(AND(SamplingData[[#This Row],[Total]]&lt;&gt; 0, NOT(ISBLANK(SamplingData[[#This Row],[Candidate 3]]))),(SamplingData[[#This Row],[Total]]+SamplingData[[#This Row],[Winning Candidate]]-SamplingData[[#This Row],[Candidate 3]])/(SamplingData[[#Totals],[Winning Candidate]]-SamplingData[[#Totals],[Candidate 3]]), 0)</f>
        <v>0</v>
      </c>
      <c r="S144" s="99">
        <f>IF(AND(SamplingData[[#This Row],[Total]]&lt;&gt; 0, NOT(ISBLANK(SamplingData[[#This Row],[Candidate 4]]))),(SamplingData[[#This Row],[Total]]+SamplingData[[#This Row],[Winning Candidate]]-SamplingData[[#This Row],[Candidate 4]])/(SamplingData[[#Totals],[Winning Candidate]]-SamplingData[[#Totals],[Candidate 4]]), 0)</f>
        <v>0</v>
      </c>
      <c r="T144" s="99">
        <f>IF(AND(SamplingData[[#This Row],[Total]]&lt;&gt; 0, NOT(ISBLANK(SamplingData[[#This Row],[Candidate 5]]))),(SamplingData[[#This Row],[Total]]+SamplingData[[#This Row],[Winning Candidate]]-SamplingData[[#This Row],[Candidate 5]])/(SamplingData[[#Totals],[Winning Candidate]]-SamplingData[[#Totals],[Candidate 5]]), 0)</f>
        <v>0</v>
      </c>
      <c r="U144" s="99">
        <f>IF(AND(SamplingData[[#This Row],[Total]]&lt;&gt; 0, NOT(ISBLANK(SamplingData[[#This Row],[Candidate 6]]))),(SamplingData[[#This Row],[Total]]+SamplingData[[#This Row],[Losing Candidate]]-SamplingData[[#This Row],[Candidate 6]])/(SamplingData[[#Totals],[Winning Candidate]]-SamplingData[[#Totals],[Candidate 6]]), 0)</f>
        <v>0</v>
      </c>
      <c r="V144" s="99">
        <f>IF(AND(SamplingData[[#This Row],[Total]]&lt;&gt; 0, NOT(ISBLANK(SamplingData[[#This Row],[Candidate 7]]))),(SamplingData[[#This Row],[Total]]+SamplingData[[#This Row],[Winning Candidate]]-SamplingData[[#This Row],[Candidate 7]])/(SamplingData[[#Totals],[Winning Candidate]]-SamplingData[[#Totals],[Candidate 7]]), 0)</f>
        <v>0</v>
      </c>
      <c r="W144" s="99">
        <f>IF(AND(SamplingData[[#This Row],[Total]]&lt;&gt; 0, NOT(ISBLANK(SamplingData[[#This Row],[Candidate 8]]))),(SamplingData[[#This Row],[Total]]+SamplingData[[#This Row],[Winning Candidate]]-SamplingData[[#This Row],[Candidate 8]])/(SamplingData[[#Totals],[Winning Candidate]]-SamplingData[[#Totals],[Candidate 8]]), 0)</f>
        <v>0</v>
      </c>
      <c r="X1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4" s="99">
        <f>MAX(SamplingData[[#This Row],[Error Bound (up) - Max. possible relative overstatement - Losing Candidate]:[Error Bound (up) - Max. possible relative overstatement - Candidate 12]])</f>
        <v>2.902732982515702E-2</v>
      </c>
      <c r="AC144" s="99">
        <f>IF(SamplingData[[#This Row],[Max Error Bound (up)]] = 0,0,SamplingData[[#This Row],[Max Error Bound (up)]]/SamplingData[[#Totals],[Max Error Bound (up)]])</f>
        <v>1.5541498527647528E-3</v>
      </c>
      <c r="AD144" s="103">
        <f>SUM($AC$5:AC144)</f>
        <v>0.16252681135710931</v>
      </c>
      <c r="AE144" s="99" t="str" cm="1">
        <f t="array" ref="AE144">IF(SamplingData[[#This Row],[up/U Selection Probability]] = 0, "Zero", TEXT(SamplingData[[#This Row],[Lower Range]], REPT("0",LEN('General Info'!$B$42))) &amp; " - " &amp; TEXT(SamplingData[[#This Row],[Upper Range]], REPT("0",LEN('General Info'!$B$42))))</f>
        <v>160973 - 162526</v>
      </c>
      <c r="AF144" s="99">
        <f>SamplingData[[#This Row],[Upper Range]]-SamplingData[[#This Row],[Span]]</f>
        <v>160972.66150434455</v>
      </c>
      <c r="AG144" s="99">
        <f>IF(ISNUMBER('General Info'!$B$42), ((SamplingData[[#This Row],[up/U Selection Probability]]) * 'General Info'!$B$44) - 1, 0)</f>
        <v>1553.1498527647527</v>
      </c>
      <c r="AH144" s="99">
        <f>IF(ISNUMBER('General Info'!$B$42), (SamplingData[[#This Row],[Running (cumulative) sum]] * ('General Info'!$B$42 -'General Info'!$B$43 + 1)) + 'General Info'!$B$43 - 1, 0)</f>
        <v>162525.81135710931</v>
      </c>
      <c r="AI144" s="99">
        <f>IF(ISERROR(MATCH(SamplingData[[#This Row],[Batch by Type (p)]],SelectedPrecincts[Batch Name], 0)), "", INDEX(SelectedPrecincts[Draw], MATCH(SamplingData[[#This Row],[Batch by Type (p)]],SelectedPrecincts[Batch Name], 0)))</f>
        <v>30</v>
      </c>
      <c r="AJ144" s="100">
        <f>IF(COUNTIF(SelectedPrecincts[Batch Name],SamplingData[[#This Row],[Batch by Type (p)]]) &lt;&gt; 0, COUNTIF(SelectedPrecincts[Batch Name],SamplingData[[#This Row],[Batch by Type (p)]]), 0)</f>
        <v>1</v>
      </c>
    </row>
    <row r="145" spans="1:36" ht="15" customHeight="1" x14ac:dyDescent="0.35">
      <c r="A145" s="97" t="s">
        <v>358</v>
      </c>
      <c r="B145" s="97">
        <v>253</v>
      </c>
      <c r="C145" s="97">
        <v>86</v>
      </c>
      <c r="D145" s="92"/>
      <c r="E145" s="92"/>
      <c r="F145" s="92"/>
      <c r="G145" s="96"/>
      <c r="H145" s="96"/>
      <c r="I145" s="92"/>
      <c r="J145" s="92"/>
      <c r="K145" s="92"/>
      <c r="L145" s="92"/>
      <c r="M145" s="92"/>
      <c r="N145" s="97">
        <v>1</v>
      </c>
      <c r="O145" s="97">
        <v>18</v>
      </c>
      <c r="P145" s="98">
        <f>SUM(SamplingData[[#This Row],[Winning Candidate]:[Under Votes]])</f>
        <v>358</v>
      </c>
      <c r="Q145" s="99">
        <f>IF(AND(SamplingData[[#This Row],[Total]]&lt;&gt; 0, NOT(ISBLANK(SamplingData[[#This Row],[Losing Candidate]]))),(SamplingData[[#This Row],[Total]]+SamplingData[[#This Row],[Winning Candidate]]-SamplingData[[#This Row],[Losing Candidate]])/(SamplingData[[#Totals],[Winning Candidate]]-SamplingData[[#Totals],[Losing Candidate]]), 0)</f>
        <v>2.2279748769309115E-2</v>
      </c>
      <c r="R145" s="99">
        <f>IF(AND(SamplingData[[#This Row],[Total]]&lt;&gt; 0, NOT(ISBLANK(SamplingData[[#This Row],[Candidate 3]]))),(SamplingData[[#This Row],[Total]]+SamplingData[[#This Row],[Winning Candidate]]-SamplingData[[#This Row],[Candidate 3]])/(SamplingData[[#Totals],[Winning Candidate]]-SamplingData[[#Totals],[Candidate 3]]), 0)</f>
        <v>0</v>
      </c>
      <c r="S145" s="99">
        <f>IF(AND(SamplingData[[#This Row],[Total]]&lt;&gt; 0, NOT(ISBLANK(SamplingData[[#This Row],[Candidate 4]]))),(SamplingData[[#This Row],[Total]]+SamplingData[[#This Row],[Winning Candidate]]-SamplingData[[#This Row],[Candidate 4]])/(SamplingData[[#Totals],[Winning Candidate]]-SamplingData[[#Totals],[Candidate 4]]), 0)</f>
        <v>0</v>
      </c>
      <c r="T145" s="99">
        <f>IF(AND(SamplingData[[#This Row],[Total]]&lt;&gt; 0, NOT(ISBLANK(SamplingData[[#This Row],[Candidate 5]]))),(SamplingData[[#This Row],[Total]]+SamplingData[[#This Row],[Winning Candidate]]-SamplingData[[#This Row],[Candidate 5]])/(SamplingData[[#Totals],[Winning Candidate]]-SamplingData[[#Totals],[Candidate 5]]), 0)</f>
        <v>0</v>
      </c>
      <c r="U145" s="99">
        <f>IF(AND(SamplingData[[#This Row],[Total]]&lt;&gt; 0, NOT(ISBLANK(SamplingData[[#This Row],[Candidate 6]]))),(SamplingData[[#This Row],[Total]]+SamplingData[[#This Row],[Losing Candidate]]-SamplingData[[#This Row],[Candidate 6]])/(SamplingData[[#Totals],[Winning Candidate]]-SamplingData[[#Totals],[Candidate 6]]), 0)</f>
        <v>0</v>
      </c>
      <c r="V145" s="99">
        <f>IF(AND(SamplingData[[#This Row],[Total]]&lt;&gt; 0, NOT(ISBLANK(SamplingData[[#This Row],[Candidate 7]]))),(SamplingData[[#This Row],[Total]]+SamplingData[[#This Row],[Winning Candidate]]-SamplingData[[#This Row],[Candidate 7]])/(SamplingData[[#Totals],[Winning Candidate]]-SamplingData[[#Totals],[Candidate 7]]), 0)</f>
        <v>0</v>
      </c>
      <c r="W145" s="99">
        <f>IF(AND(SamplingData[[#This Row],[Total]]&lt;&gt; 0, NOT(ISBLANK(SamplingData[[#This Row],[Candidate 8]]))),(SamplingData[[#This Row],[Total]]+SamplingData[[#This Row],[Winning Candidate]]-SamplingData[[#This Row],[Candidate 8]])/(SamplingData[[#Totals],[Winning Candidate]]-SamplingData[[#Totals],[Candidate 8]]), 0)</f>
        <v>0</v>
      </c>
      <c r="X1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5" s="99">
        <f>MAX(SamplingData[[#This Row],[Error Bound (up) - Max. possible relative overstatement - Losing Candidate]:[Error Bound (up) - Max. possible relative overstatement - Candidate 12]])</f>
        <v>2.2279748769309115E-2</v>
      </c>
      <c r="AC145" s="99">
        <f>IF(SamplingData[[#This Row],[Max Error Bound (up)]] = 0,0,SamplingData[[#This Row],[Max Error Bound (up)]]/SamplingData[[#Totals],[Max Error Bound (up)]])</f>
        <v>1.1928781764641743E-3</v>
      </c>
      <c r="AD145" s="103">
        <f>SUM($AC$5:AC145)</f>
        <v>0.16371968953357349</v>
      </c>
      <c r="AE145" s="99" t="str" cm="1">
        <f t="array" ref="AE145">IF(SamplingData[[#This Row],[up/U Selection Probability]] = 0, "Zero", TEXT(SamplingData[[#This Row],[Lower Range]], REPT("0",LEN('General Info'!$B$42))) &amp; " - " &amp; TEXT(SamplingData[[#This Row],[Upper Range]], REPT("0",LEN('General Info'!$B$42))))</f>
        <v>162527 - 163719</v>
      </c>
      <c r="AF145" s="99">
        <f>SamplingData[[#This Row],[Upper Range]]-SamplingData[[#This Row],[Span]]</f>
        <v>162526.81135710931</v>
      </c>
      <c r="AG145" s="99">
        <f>IF(ISNUMBER('General Info'!$B$42), ((SamplingData[[#This Row],[up/U Selection Probability]]) * 'General Info'!$B$44) - 1, 0)</f>
        <v>1191.8781764641742</v>
      </c>
      <c r="AH145" s="99">
        <f>IF(ISNUMBER('General Info'!$B$42), (SamplingData[[#This Row],[Running (cumulative) sum]] * ('General Info'!$B$42 -'General Info'!$B$43 + 1)) + 'General Info'!$B$43 - 1, 0)</f>
        <v>163718.68953357349</v>
      </c>
      <c r="AI145" s="99" t="str">
        <f>IF(ISERROR(MATCH(SamplingData[[#This Row],[Batch by Type (p)]],SelectedPrecincts[Batch Name], 0)), "", INDEX(SelectedPrecincts[Draw], MATCH(SamplingData[[#This Row],[Batch by Type (p)]],SelectedPrecincts[Batch Name], 0)))</f>
        <v/>
      </c>
      <c r="AJ145" s="100">
        <f>IF(COUNTIF(SelectedPrecincts[Batch Name],SamplingData[[#This Row],[Batch by Type (p)]]) &lt;&gt; 0, COUNTIF(SelectedPrecincts[Batch Name],SamplingData[[#This Row],[Batch by Type (p)]]), 0)</f>
        <v>0</v>
      </c>
    </row>
    <row r="146" spans="1:36" ht="15" customHeight="1" x14ac:dyDescent="0.35">
      <c r="A146" s="97" t="s">
        <v>359</v>
      </c>
      <c r="B146" s="97">
        <v>247</v>
      </c>
      <c r="C146" s="97">
        <v>90</v>
      </c>
      <c r="D146" s="92"/>
      <c r="E146" s="92"/>
      <c r="F146" s="92"/>
      <c r="G146" s="96"/>
      <c r="H146" s="96"/>
      <c r="I146" s="92"/>
      <c r="J146" s="92"/>
      <c r="K146" s="92"/>
      <c r="L146" s="92"/>
      <c r="M146" s="92"/>
      <c r="N146" s="97">
        <v>0</v>
      </c>
      <c r="O146" s="97">
        <v>7</v>
      </c>
      <c r="P146" s="98">
        <f>SUM(SamplingData[[#This Row],[Winning Candidate]:[Under Votes]])</f>
        <v>344</v>
      </c>
      <c r="Q146" s="99">
        <f>IF(AND(SamplingData[[#This Row],[Total]]&lt;&gt; 0, NOT(ISBLANK(SamplingData[[#This Row],[Losing Candidate]]))),(SamplingData[[#This Row],[Total]]+SamplingData[[#This Row],[Winning Candidate]]-SamplingData[[#This Row],[Losing Candidate]])/(SamplingData[[#Totals],[Winning Candidate]]-SamplingData[[#Totals],[Losing Candidate]]), 0)</f>
        <v>2.1261245968426414E-2</v>
      </c>
      <c r="R146" s="99">
        <f>IF(AND(SamplingData[[#This Row],[Total]]&lt;&gt; 0, NOT(ISBLANK(SamplingData[[#This Row],[Candidate 3]]))),(SamplingData[[#This Row],[Total]]+SamplingData[[#This Row],[Winning Candidate]]-SamplingData[[#This Row],[Candidate 3]])/(SamplingData[[#Totals],[Winning Candidate]]-SamplingData[[#Totals],[Candidate 3]]), 0)</f>
        <v>0</v>
      </c>
      <c r="S146" s="99">
        <f>IF(AND(SamplingData[[#This Row],[Total]]&lt;&gt; 0, NOT(ISBLANK(SamplingData[[#This Row],[Candidate 4]]))),(SamplingData[[#This Row],[Total]]+SamplingData[[#This Row],[Winning Candidate]]-SamplingData[[#This Row],[Candidate 4]])/(SamplingData[[#Totals],[Winning Candidate]]-SamplingData[[#Totals],[Candidate 4]]), 0)</f>
        <v>0</v>
      </c>
      <c r="T146" s="99">
        <f>IF(AND(SamplingData[[#This Row],[Total]]&lt;&gt; 0, NOT(ISBLANK(SamplingData[[#This Row],[Candidate 5]]))),(SamplingData[[#This Row],[Total]]+SamplingData[[#This Row],[Winning Candidate]]-SamplingData[[#This Row],[Candidate 5]])/(SamplingData[[#Totals],[Winning Candidate]]-SamplingData[[#Totals],[Candidate 5]]), 0)</f>
        <v>0</v>
      </c>
      <c r="U146" s="99">
        <f>IF(AND(SamplingData[[#This Row],[Total]]&lt;&gt; 0, NOT(ISBLANK(SamplingData[[#This Row],[Candidate 6]]))),(SamplingData[[#This Row],[Total]]+SamplingData[[#This Row],[Losing Candidate]]-SamplingData[[#This Row],[Candidate 6]])/(SamplingData[[#Totals],[Winning Candidate]]-SamplingData[[#Totals],[Candidate 6]]), 0)</f>
        <v>0</v>
      </c>
      <c r="V146" s="99">
        <f>IF(AND(SamplingData[[#This Row],[Total]]&lt;&gt; 0, NOT(ISBLANK(SamplingData[[#This Row],[Candidate 7]]))),(SamplingData[[#This Row],[Total]]+SamplingData[[#This Row],[Winning Candidate]]-SamplingData[[#This Row],[Candidate 7]])/(SamplingData[[#Totals],[Winning Candidate]]-SamplingData[[#Totals],[Candidate 7]]), 0)</f>
        <v>0</v>
      </c>
      <c r="W146" s="99">
        <f>IF(AND(SamplingData[[#This Row],[Total]]&lt;&gt; 0, NOT(ISBLANK(SamplingData[[#This Row],[Candidate 8]]))),(SamplingData[[#This Row],[Total]]+SamplingData[[#This Row],[Winning Candidate]]-SamplingData[[#This Row],[Candidate 8]])/(SamplingData[[#Totals],[Winning Candidate]]-SamplingData[[#Totals],[Candidate 8]]), 0)</f>
        <v>0</v>
      </c>
      <c r="X1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6" s="99">
        <f>MAX(SamplingData[[#This Row],[Error Bound (up) - Max. possible relative overstatement - Losing Candidate]:[Error Bound (up) - Max. possible relative overstatement - Candidate 12]])</f>
        <v>2.1261245968426414E-2</v>
      </c>
      <c r="AC146" s="99">
        <f>IF(SamplingData[[#This Row],[Max Error Bound (up)]] = 0,0,SamplingData[[#This Row],[Max Error Bound (up)]]/SamplingData[[#Totals],[Max Error Bound (up)]])</f>
        <v>1.1383466026829549E-3</v>
      </c>
      <c r="AD146" s="103">
        <f>SUM($AC$5:AC146)</f>
        <v>0.16485803613625644</v>
      </c>
      <c r="AE146" s="99" t="str" cm="1">
        <f t="array" ref="AE146">IF(SamplingData[[#This Row],[up/U Selection Probability]] = 0, "Zero", TEXT(SamplingData[[#This Row],[Lower Range]], REPT("0",LEN('General Info'!$B$42))) &amp; " - " &amp; TEXT(SamplingData[[#This Row],[Upper Range]], REPT("0",LEN('General Info'!$B$42))))</f>
        <v>163720 - 164857</v>
      </c>
      <c r="AF146" s="99">
        <f>SamplingData[[#This Row],[Upper Range]]-SamplingData[[#This Row],[Span]]</f>
        <v>163719.68953357349</v>
      </c>
      <c r="AG146" s="99">
        <f>IF(ISNUMBER('General Info'!$B$42), ((SamplingData[[#This Row],[up/U Selection Probability]]) * 'General Info'!$B$44) - 1, 0)</f>
        <v>1137.3466026829549</v>
      </c>
      <c r="AH146" s="99">
        <f>IF(ISNUMBER('General Info'!$B$42), (SamplingData[[#This Row],[Running (cumulative) sum]] * ('General Info'!$B$42 -'General Info'!$B$43 + 1)) + 'General Info'!$B$43 - 1, 0)</f>
        <v>164857.03613625644</v>
      </c>
      <c r="AI146" s="99" t="str">
        <f>IF(ISERROR(MATCH(SamplingData[[#This Row],[Batch by Type (p)]],SelectedPrecincts[Batch Name], 0)), "", INDEX(SelectedPrecincts[Draw], MATCH(SamplingData[[#This Row],[Batch by Type (p)]],SelectedPrecincts[Batch Name], 0)))</f>
        <v/>
      </c>
      <c r="AJ146" s="100">
        <f>IF(COUNTIF(SelectedPrecincts[Batch Name],SamplingData[[#This Row],[Batch by Type (p)]]) &lt;&gt; 0, COUNTIF(SelectedPrecincts[Batch Name],SamplingData[[#This Row],[Batch by Type (p)]]), 0)</f>
        <v>0</v>
      </c>
    </row>
    <row r="147" spans="1:36" ht="15" customHeight="1" x14ac:dyDescent="0.35">
      <c r="A147" s="97" t="s">
        <v>360</v>
      </c>
      <c r="B147" s="97">
        <v>329</v>
      </c>
      <c r="C147" s="97">
        <v>76</v>
      </c>
      <c r="D147" s="92"/>
      <c r="E147" s="92"/>
      <c r="F147" s="92"/>
      <c r="G147" s="96"/>
      <c r="H147" s="96"/>
      <c r="I147" s="92"/>
      <c r="J147" s="92"/>
      <c r="K147" s="92"/>
      <c r="L147" s="92"/>
      <c r="M147" s="92"/>
      <c r="N147" s="97">
        <v>0</v>
      </c>
      <c r="O147" s="97">
        <v>15</v>
      </c>
      <c r="P147" s="98">
        <f>SUM(SamplingData[[#This Row],[Winning Candidate]:[Under Votes]])</f>
        <v>420</v>
      </c>
      <c r="Q147" s="99">
        <f>IF(AND(SamplingData[[#This Row],[Total]]&lt;&gt; 0, NOT(ISBLANK(SamplingData[[#This Row],[Losing Candidate]]))),(SamplingData[[#This Row],[Total]]+SamplingData[[#This Row],[Winning Candidate]]-SamplingData[[#This Row],[Losing Candidate]])/(SamplingData[[#Totals],[Winning Candidate]]-SamplingData[[#Totals],[Losing Candidate]]), 0)</f>
        <v>2.8560516041419112E-2</v>
      </c>
      <c r="R147" s="99">
        <f>IF(AND(SamplingData[[#This Row],[Total]]&lt;&gt; 0, NOT(ISBLANK(SamplingData[[#This Row],[Candidate 3]]))),(SamplingData[[#This Row],[Total]]+SamplingData[[#This Row],[Winning Candidate]]-SamplingData[[#This Row],[Candidate 3]])/(SamplingData[[#Totals],[Winning Candidate]]-SamplingData[[#Totals],[Candidate 3]]), 0)</f>
        <v>0</v>
      </c>
      <c r="S147" s="99">
        <f>IF(AND(SamplingData[[#This Row],[Total]]&lt;&gt; 0, NOT(ISBLANK(SamplingData[[#This Row],[Candidate 4]]))),(SamplingData[[#This Row],[Total]]+SamplingData[[#This Row],[Winning Candidate]]-SamplingData[[#This Row],[Candidate 4]])/(SamplingData[[#Totals],[Winning Candidate]]-SamplingData[[#Totals],[Candidate 4]]), 0)</f>
        <v>0</v>
      </c>
      <c r="T147" s="99">
        <f>IF(AND(SamplingData[[#This Row],[Total]]&lt;&gt; 0, NOT(ISBLANK(SamplingData[[#This Row],[Candidate 5]]))),(SamplingData[[#This Row],[Total]]+SamplingData[[#This Row],[Winning Candidate]]-SamplingData[[#This Row],[Candidate 5]])/(SamplingData[[#Totals],[Winning Candidate]]-SamplingData[[#Totals],[Candidate 5]]), 0)</f>
        <v>0</v>
      </c>
      <c r="U147" s="99">
        <f>IF(AND(SamplingData[[#This Row],[Total]]&lt;&gt; 0, NOT(ISBLANK(SamplingData[[#This Row],[Candidate 6]]))),(SamplingData[[#This Row],[Total]]+SamplingData[[#This Row],[Losing Candidate]]-SamplingData[[#This Row],[Candidate 6]])/(SamplingData[[#Totals],[Winning Candidate]]-SamplingData[[#Totals],[Candidate 6]]), 0)</f>
        <v>0</v>
      </c>
      <c r="V147" s="99">
        <f>IF(AND(SamplingData[[#This Row],[Total]]&lt;&gt; 0, NOT(ISBLANK(SamplingData[[#This Row],[Candidate 7]]))),(SamplingData[[#This Row],[Total]]+SamplingData[[#This Row],[Winning Candidate]]-SamplingData[[#This Row],[Candidate 7]])/(SamplingData[[#Totals],[Winning Candidate]]-SamplingData[[#Totals],[Candidate 7]]), 0)</f>
        <v>0</v>
      </c>
      <c r="W147" s="99">
        <f>IF(AND(SamplingData[[#This Row],[Total]]&lt;&gt; 0, NOT(ISBLANK(SamplingData[[#This Row],[Candidate 8]]))),(SamplingData[[#This Row],[Total]]+SamplingData[[#This Row],[Winning Candidate]]-SamplingData[[#This Row],[Candidate 8]])/(SamplingData[[#Totals],[Winning Candidate]]-SamplingData[[#Totals],[Candidate 8]]), 0)</f>
        <v>0</v>
      </c>
      <c r="X1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7" s="99">
        <f>MAX(SamplingData[[#This Row],[Error Bound (up) - Max. possible relative overstatement - Losing Candidate]:[Error Bound (up) - Max. possible relative overstatement - Candidate 12]])</f>
        <v>2.8560516041419112E-2</v>
      </c>
      <c r="AC147" s="99">
        <f>IF(SamplingData[[#This Row],[Max Error Bound (up)]] = 0,0,SamplingData[[#This Row],[Max Error Bound (up)]]/SamplingData[[#Totals],[Max Error Bound (up)]])</f>
        <v>1.5291562147816938E-3</v>
      </c>
      <c r="AD147" s="103">
        <f>SUM($AC$5:AC147)</f>
        <v>0.16638719235103813</v>
      </c>
      <c r="AE147" s="99" t="str" cm="1">
        <f t="array" ref="AE147">IF(SamplingData[[#This Row],[up/U Selection Probability]] = 0, "Zero", TEXT(SamplingData[[#This Row],[Lower Range]], REPT("0",LEN('General Info'!$B$42))) &amp; " - " &amp; TEXT(SamplingData[[#This Row],[Upper Range]], REPT("0",LEN('General Info'!$B$42))))</f>
        <v>164858 - 166386</v>
      </c>
      <c r="AF147" s="99">
        <f>SamplingData[[#This Row],[Upper Range]]-SamplingData[[#This Row],[Span]]</f>
        <v>164858.03613625644</v>
      </c>
      <c r="AG147" s="99">
        <f>IF(ISNUMBER('General Info'!$B$42), ((SamplingData[[#This Row],[up/U Selection Probability]]) * 'General Info'!$B$44) - 1, 0)</f>
        <v>1528.1562147816937</v>
      </c>
      <c r="AH147" s="99">
        <f>IF(ISNUMBER('General Info'!$B$42), (SamplingData[[#This Row],[Running (cumulative) sum]] * ('General Info'!$B$42 -'General Info'!$B$43 + 1)) + 'General Info'!$B$43 - 1, 0)</f>
        <v>166386.19235103813</v>
      </c>
      <c r="AI147" s="99" t="str">
        <f>IF(ISERROR(MATCH(SamplingData[[#This Row],[Batch by Type (p)]],SelectedPrecincts[Batch Name], 0)), "", INDEX(SelectedPrecincts[Draw], MATCH(SamplingData[[#This Row],[Batch by Type (p)]],SelectedPrecincts[Batch Name], 0)))</f>
        <v/>
      </c>
      <c r="AJ147" s="100">
        <f>IF(COUNTIF(SelectedPrecincts[Batch Name],SamplingData[[#This Row],[Batch by Type (p)]]) &lt;&gt; 0, COUNTIF(SelectedPrecincts[Batch Name],SamplingData[[#This Row],[Batch by Type (p)]]), 0)</f>
        <v>0</v>
      </c>
    </row>
    <row r="148" spans="1:36" ht="15" customHeight="1" x14ac:dyDescent="0.35">
      <c r="A148" s="97" t="s">
        <v>361</v>
      </c>
      <c r="B148" s="97">
        <v>103</v>
      </c>
      <c r="C148" s="97">
        <v>31</v>
      </c>
      <c r="D148" s="92"/>
      <c r="E148" s="92"/>
      <c r="F148" s="92"/>
      <c r="G148" s="96"/>
      <c r="H148" s="96"/>
      <c r="I148" s="92"/>
      <c r="J148" s="92"/>
      <c r="K148" s="92"/>
      <c r="L148" s="92"/>
      <c r="M148" s="92"/>
      <c r="N148" s="97">
        <v>0</v>
      </c>
      <c r="O148" s="97">
        <v>1</v>
      </c>
      <c r="P148" s="98">
        <f>SUM(SamplingData[[#This Row],[Winning Candidate]:[Under Votes]])</f>
        <v>135</v>
      </c>
      <c r="Q148" s="99">
        <f>IF(AND(SamplingData[[#This Row],[Total]]&lt;&gt; 0, NOT(ISBLANK(SamplingData[[#This Row],[Losing Candidate]]))),(SamplingData[[#This Row],[Total]]+SamplingData[[#This Row],[Winning Candidate]]-SamplingData[[#This Row],[Losing Candidate]])/(SamplingData[[#Totals],[Winning Candidate]]-SamplingData[[#Totals],[Losing Candidate]]), 0)</f>
        <v>8.784586657613308E-3</v>
      </c>
      <c r="R148" s="99">
        <f>IF(AND(SamplingData[[#This Row],[Total]]&lt;&gt; 0, NOT(ISBLANK(SamplingData[[#This Row],[Candidate 3]]))),(SamplingData[[#This Row],[Total]]+SamplingData[[#This Row],[Winning Candidate]]-SamplingData[[#This Row],[Candidate 3]])/(SamplingData[[#Totals],[Winning Candidate]]-SamplingData[[#Totals],[Candidate 3]]), 0)</f>
        <v>0</v>
      </c>
      <c r="S148" s="99">
        <f>IF(AND(SamplingData[[#This Row],[Total]]&lt;&gt; 0, NOT(ISBLANK(SamplingData[[#This Row],[Candidate 4]]))),(SamplingData[[#This Row],[Total]]+SamplingData[[#This Row],[Winning Candidate]]-SamplingData[[#This Row],[Candidate 4]])/(SamplingData[[#Totals],[Winning Candidate]]-SamplingData[[#Totals],[Candidate 4]]), 0)</f>
        <v>0</v>
      </c>
      <c r="T148" s="99">
        <f>IF(AND(SamplingData[[#This Row],[Total]]&lt;&gt; 0, NOT(ISBLANK(SamplingData[[#This Row],[Candidate 5]]))),(SamplingData[[#This Row],[Total]]+SamplingData[[#This Row],[Winning Candidate]]-SamplingData[[#This Row],[Candidate 5]])/(SamplingData[[#Totals],[Winning Candidate]]-SamplingData[[#Totals],[Candidate 5]]), 0)</f>
        <v>0</v>
      </c>
      <c r="U148" s="99">
        <f>IF(AND(SamplingData[[#This Row],[Total]]&lt;&gt; 0, NOT(ISBLANK(SamplingData[[#This Row],[Candidate 6]]))),(SamplingData[[#This Row],[Total]]+SamplingData[[#This Row],[Losing Candidate]]-SamplingData[[#This Row],[Candidate 6]])/(SamplingData[[#Totals],[Winning Candidate]]-SamplingData[[#Totals],[Candidate 6]]), 0)</f>
        <v>0</v>
      </c>
      <c r="V148" s="99">
        <f>IF(AND(SamplingData[[#This Row],[Total]]&lt;&gt; 0, NOT(ISBLANK(SamplingData[[#This Row],[Candidate 7]]))),(SamplingData[[#This Row],[Total]]+SamplingData[[#This Row],[Winning Candidate]]-SamplingData[[#This Row],[Candidate 7]])/(SamplingData[[#Totals],[Winning Candidate]]-SamplingData[[#Totals],[Candidate 7]]), 0)</f>
        <v>0</v>
      </c>
      <c r="W148" s="99">
        <f>IF(AND(SamplingData[[#This Row],[Total]]&lt;&gt; 0, NOT(ISBLANK(SamplingData[[#This Row],[Candidate 8]]))),(SamplingData[[#This Row],[Total]]+SamplingData[[#This Row],[Winning Candidate]]-SamplingData[[#This Row],[Candidate 8]])/(SamplingData[[#Totals],[Winning Candidate]]-SamplingData[[#Totals],[Candidate 8]]), 0)</f>
        <v>0</v>
      </c>
      <c r="X1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8" s="99">
        <f>MAX(SamplingData[[#This Row],[Error Bound (up) - Max. possible relative overstatement - Losing Candidate]:[Error Bound (up) - Max. possible relative overstatement - Candidate 12]])</f>
        <v>8.784586657613308E-3</v>
      </c>
      <c r="AC148" s="99">
        <f>IF(SamplingData[[#This Row],[Max Error Bound (up)]] = 0,0,SamplingData[[#This Row],[Max Error Bound (up)]]/SamplingData[[#Totals],[Max Error Bound (up)]])</f>
        <v>4.7033482386301729E-4</v>
      </c>
      <c r="AD148" s="103">
        <f>SUM($AC$5:AC148)</f>
        <v>0.16685752717490115</v>
      </c>
      <c r="AE148" s="99" t="str" cm="1">
        <f t="array" ref="AE148">IF(SamplingData[[#This Row],[up/U Selection Probability]] = 0, "Zero", TEXT(SamplingData[[#This Row],[Lower Range]], REPT("0",LEN('General Info'!$B$42))) &amp; " - " &amp; TEXT(SamplingData[[#This Row],[Upper Range]], REPT("0",LEN('General Info'!$B$42))))</f>
        <v>166387 - 166857</v>
      </c>
      <c r="AF148" s="99">
        <f>SamplingData[[#This Row],[Upper Range]]-SamplingData[[#This Row],[Span]]</f>
        <v>166387.19235103813</v>
      </c>
      <c r="AG148" s="99">
        <f>IF(ISNUMBER('General Info'!$B$42), ((SamplingData[[#This Row],[up/U Selection Probability]]) * 'General Info'!$B$44) - 1, 0)</f>
        <v>469.33482386301728</v>
      </c>
      <c r="AH148" s="99">
        <f>IF(ISNUMBER('General Info'!$B$42), (SamplingData[[#This Row],[Running (cumulative) sum]] * ('General Info'!$B$42 -'General Info'!$B$43 + 1)) + 'General Info'!$B$43 - 1, 0)</f>
        <v>166856.52717490116</v>
      </c>
      <c r="AI148" s="99" t="str">
        <f>IF(ISERROR(MATCH(SamplingData[[#This Row],[Batch by Type (p)]],SelectedPrecincts[Batch Name], 0)), "", INDEX(SelectedPrecincts[Draw], MATCH(SamplingData[[#This Row],[Batch by Type (p)]],SelectedPrecincts[Batch Name], 0)))</f>
        <v/>
      </c>
      <c r="AJ148" s="100">
        <f>IF(COUNTIF(SelectedPrecincts[Batch Name],SamplingData[[#This Row],[Batch by Type (p)]]) &lt;&gt; 0, COUNTIF(SelectedPrecincts[Batch Name],SamplingData[[#This Row],[Batch by Type (p)]]), 0)</f>
        <v>0</v>
      </c>
    </row>
    <row r="149" spans="1:36" ht="15" customHeight="1" x14ac:dyDescent="0.35">
      <c r="A149" s="97" t="s">
        <v>362</v>
      </c>
      <c r="B149" s="97">
        <v>247</v>
      </c>
      <c r="C149" s="97">
        <v>66</v>
      </c>
      <c r="D149" s="92"/>
      <c r="E149" s="92"/>
      <c r="F149" s="92"/>
      <c r="G149" s="96"/>
      <c r="H149" s="96"/>
      <c r="I149" s="92"/>
      <c r="J149" s="92"/>
      <c r="K149" s="92"/>
      <c r="L149" s="92"/>
      <c r="M149" s="92"/>
      <c r="N149" s="97">
        <v>0</v>
      </c>
      <c r="O149" s="97">
        <v>19</v>
      </c>
      <c r="P149" s="98">
        <f>SUM(SamplingData[[#This Row],[Winning Candidate]:[Under Votes]])</f>
        <v>332</v>
      </c>
      <c r="Q149" s="99">
        <f>IF(AND(SamplingData[[#This Row],[Total]]&lt;&gt; 0, NOT(ISBLANK(SamplingData[[#This Row],[Losing Candidate]]))),(SamplingData[[#This Row],[Total]]+SamplingData[[#This Row],[Winning Candidate]]-SamplingData[[#This Row],[Losing Candidate]])/(SamplingData[[#Totals],[Winning Candidate]]-SamplingData[[#Totals],[Losing Candidate]]), 0)</f>
        <v>2.1770497368867766E-2</v>
      </c>
      <c r="R149" s="99">
        <f>IF(AND(SamplingData[[#This Row],[Total]]&lt;&gt; 0, NOT(ISBLANK(SamplingData[[#This Row],[Candidate 3]]))),(SamplingData[[#This Row],[Total]]+SamplingData[[#This Row],[Winning Candidate]]-SamplingData[[#This Row],[Candidate 3]])/(SamplingData[[#Totals],[Winning Candidate]]-SamplingData[[#Totals],[Candidate 3]]), 0)</f>
        <v>0</v>
      </c>
      <c r="S149" s="99">
        <f>IF(AND(SamplingData[[#This Row],[Total]]&lt;&gt; 0, NOT(ISBLANK(SamplingData[[#This Row],[Candidate 4]]))),(SamplingData[[#This Row],[Total]]+SamplingData[[#This Row],[Winning Candidate]]-SamplingData[[#This Row],[Candidate 4]])/(SamplingData[[#Totals],[Winning Candidate]]-SamplingData[[#Totals],[Candidate 4]]), 0)</f>
        <v>0</v>
      </c>
      <c r="T149" s="99">
        <f>IF(AND(SamplingData[[#This Row],[Total]]&lt;&gt; 0, NOT(ISBLANK(SamplingData[[#This Row],[Candidate 5]]))),(SamplingData[[#This Row],[Total]]+SamplingData[[#This Row],[Winning Candidate]]-SamplingData[[#This Row],[Candidate 5]])/(SamplingData[[#Totals],[Winning Candidate]]-SamplingData[[#Totals],[Candidate 5]]), 0)</f>
        <v>0</v>
      </c>
      <c r="U149" s="99">
        <f>IF(AND(SamplingData[[#This Row],[Total]]&lt;&gt; 0, NOT(ISBLANK(SamplingData[[#This Row],[Candidate 6]]))),(SamplingData[[#This Row],[Total]]+SamplingData[[#This Row],[Losing Candidate]]-SamplingData[[#This Row],[Candidate 6]])/(SamplingData[[#Totals],[Winning Candidate]]-SamplingData[[#Totals],[Candidate 6]]), 0)</f>
        <v>0</v>
      </c>
      <c r="V149" s="99">
        <f>IF(AND(SamplingData[[#This Row],[Total]]&lt;&gt; 0, NOT(ISBLANK(SamplingData[[#This Row],[Candidate 7]]))),(SamplingData[[#This Row],[Total]]+SamplingData[[#This Row],[Winning Candidate]]-SamplingData[[#This Row],[Candidate 7]])/(SamplingData[[#Totals],[Winning Candidate]]-SamplingData[[#Totals],[Candidate 7]]), 0)</f>
        <v>0</v>
      </c>
      <c r="W149" s="99">
        <f>IF(AND(SamplingData[[#This Row],[Total]]&lt;&gt; 0, NOT(ISBLANK(SamplingData[[#This Row],[Candidate 8]]))),(SamplingData[[#This Row],[Total]]+SamplingData[[#This Row],[Winning Candidate]]-SamplingData[[#This Row],[Candidate 8]])/(SamplingData[[#Totals],[Winning Candidate]]-SamplingData[[#Totals],[Candidate 8]]), 0)</f>
        <v>0</v>
      </c>
      <c r="X1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9" s="99">
        <f>MAX(SamplingData[[#This Row],[Error Bound (up) - Max. possible relative overstatement - Losing Candidate]:[Error Bound (up) - Max. possible relative overstatement - Candidate 12]])</f>
        <v>2.1770497368867766E-2</v>
      </c>
      <c r="AC149" s="99">
        <f>IF(SamplingData[[#This Row],[Max Error Bound (up)]] = 0,0,SamplingData[[#This Row],[Max Error Bound (up)]]/SamplingData[[#Totals],[Max Error Bound (up)]])</f>
        <v>1.1656123895735647E-3</v>
      </c>
      <c r="AD149" s="103">
        <f>SUM($AC$5:AC149)</f>
        <v>0.16802313956447473</v>
      </c>
      <c r="AE149" s="99" t="str" cm="1">
        <f t="array" ref="AE149">IF(SamplingData[[#This Row],[up/U Selection Probability]] = 0, "Zero", TEXT(SamplingData[[#This Row],[Lower Range]], REPT("0",LEN('General Info'!$B$42))) &amp; " - " &amp; TEXT(SamplingData[[#This Row],[Upper Range]], REPT("0",LEN('General Info'!$B$42))))</f>
        <v>166858 - 168022</v>
      </c>
      <c r="AF149" s="99">
        <f>SamplingData[[#This Row],[Upper Range]]-SamplingData[[#This Row],[Span]]</f>
        <v>166857.52717490116</v>
      </c>
      <c r="AG149" s="99">
        <f>IF(ISNUMBER('General Info'!$B$42), ((SamplingData[[#This Row],[up/U Selection Probability]]) * 'General Info'!$B$44) - 1, 0)</f>
        <v>1164.6123895735648</v>
      </c>
      <c r="AH149" s="99">
        <f>IF(ISNUMBER('General Info'!$B$42), (SamplingData[[#This Row],[Running (cumulative) sum]] * ('General Info'!$B$42 -'General Info'!$B$43 + 1)) + 'General Info'!$B$43 - 1, 0)</f>
        <v>168022.13956447472</v>
      </c>
      <c r="AI149" s="99" t="str">
        <f>IF(ISERROR(MATCH(SamplingData[[#This Row],[Batch by Type (p)]],SelectedPrecincts[Batch Name], 0)), "", INDEX(SelectedPrecincts[Draw], MATCH(SamplingData[[#This Row],[Batch by Type (p)]],SelectedPrecincts[Batch Name], 0)))</f>
        <v/>
      </c>
      <c r="AJ149" s="100">
        <f>IF(COUNTIF(SelectedPrecincts[Batch Name],SamplingData[[#This Row],[Batch by Type (p)]]) &lt;&gt; 0, COUNTIF(SelectedPrecincts[Batch Name],SamplingData[[#This Row],[Batch by Type (p)]]), 0)</f>
        <v>0</v>
      </c>
    </row>
    <row r="150" spans="1:36" ht="15" customHeight="1" x14ac:dyDescent="0.35">
      <c r="A150" s="97" t="s">
        <v>363</v>
      </c>
      <c r="B150" s="97">
        <v>307</v>
      </c>
      <c r="C150" s="97">
        <v>79</v>
      </c>
      <c r="D150" s="92"/>
      <c r="E150" s="92"/>
      <c r="F150" s="92"/>
      <c r="G150" s="96"/>
      <c r="H150" s="96"/>
      <c r="I150" s="92"/>
      <c r="J150" s="92"/>
      <c r="K150" s="92"/>
      <c r="L150" s="92"/>
      <c r="M150" s="92"/>
      <c r="N150" s="97">
        <v>0</v>
      </c>
      <c r="O150" s="97">
        <v>14</v>
      </c>
      <c r="P150" s="98">
        <f>SUM(SamplingData[[#This Row],[Winning Candidate]:[Under Votes]])</f>
        <v>400</v>
      </c>
      <c r="Q150" s="99">
        <f>IF(AND(SamplingData[[#This Row],[Total]]&lt;&gt; 0, NOT(ISBLANK(SamplingData[[#This Row],[Losing Candidate]]))),(SamplingData[[#This Row],[Total]]+SamplingData[[#This Row],[Winning Candidate]]-SamplingData[[#This Row],[Losing Candidate]])/(SamplingData[[#Totals],[Winning Candidate]]-SamplingData[[#Totals],[Losing Candidate]]), 0)</f>
        <v>2.6650823289764047E-2</v>
      </c>
      <c r="R150" s="99">
        <f>IF(AND(SamplingData[[#This Row],[Total]]&lt;&gt; 0, NOT(ISBLANK(SamplingData[[#This Row],[Candidate 3]]))),(SamplingData[[#This Row],[Total]]+SamplingData[[#This Row],[Winning Candidate]]-SamplingData[[#This Row],[Candidate 3]])/(SamplingData[[#Totals],[Winning Candidate]]-SamplingData[[#Totals],[Candidate 3]]), 0)</f>
        <v>0</v>
      </c>
      <c r="S150" s="99">
        <f>IF(AND(SamplingData[[#This Row],[Total]]&lt;&gt; 0, NOT(ISBLANK(SamplingData[[#This Row],[Candidate 4]]))),(SamplingData[[#This Row],[Total]]+SamplingData[[#This Row],[Winning Candidate]]-SamplingData[[#This Row],[Candidate 4]])/(SamplingData[[#Totals],[Winning Candidate]]-SamplingData[[#Totals],[Candidate 4]]), 0)</f>
        <v>0</v>
      </c>
      <c r="T150" s="99">
        <f>IF(AND(SamplingData[[#This Row],[Total]]&lt;&gt; 0, NOT(ISBLANK(SamplingData[[#This Row],[Candidate 5]]))),(SamplingData[[#This Row],[Total]]+SamplingData[[#This Row],[Winning Candidate]]-SamplingData[[#This Row],[Candidate 5]])/(SamplingData[[#Totals],[Winning Candidate]]-SamplingData[[#Totals],[Candidate 5]]), 0)</f>
        <v>0</v>
      </c>
      <c r="U150" s="99">
        <f>IF(AND(SamplingData[[#This Row],[Total]]&lt;&gt; 0, NOT(ISBLANK(SamplingData[[#This Row],[Candidate 6]]))),(SamplingData[[#This Row],[Total]]+SamplingData[[#This Row],[Losing Candidate]]-SamplingData[[#This Row],[Candidate 6]])/(SamplingData[[#Totals],[Winning Candidate]]-SamplingData[[#Totals],[Candidate 6]]), 0)</f>
        <v>0</v>
      </c>
      <c r="V150" s="99">
        <f>IF(AND(SamplingData[[#This Row],[Total]]&lt;&gt; 0, NOT(ISBLANK(SamplingData[[#This Row],[Candidate 7]]))),(SamplingData[[#This Row],[Total]]+SamplingData[[#This Row],[Winning Candidate]]-SamplingData[[#This Row],[Candidate 7]])/(SamplingData[[#Totals],[Winning Candidate]]-SamplingData[[#Totals],[Candidate 7]]), 0)</f>
        <v>0</v>
      </c>
      <c r="W150" s="99">
        <f>IF(AND(SamplingData[[#This Row],[Total]]&lt;&gt; 0, NOT(ISBLANK(SamplingData[[#This Row],[Candidate 8]]))),(SamplingData[[#This Row],[Total]]+SamplingData[[#This Row],[Winning Candidate]]-SamplingData[[#This Row],[Candidate 8]])/(SamplingData[[#Totals],[Winning Candidate]]-SamplingData[[#Totals],[Candidate 8]]), 0)</f>
        <v>0</v>
      </c>
      <c r="X1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0" s="99">
        <f>MAX(SamplingData[[#This Row],[Error Bound (up) - Max. possible relative overstatement - Losing Candidate]:[Error Bound (up) - Max. possible relative overstatement - Candidate 12]])</f>
        <v>2.6650823289764047E-2</v>
      </c>
      <c r="AC150" s="99">
        <f>IF(SamplingData[[#This Row],[Max Error Bound (up)]] = 0,0,SamplingData[[#This Row],[Max Error Bound (up)]]/SamplingData[[#Totals],[Max Error Bound (up)]])</f>
        <v>1.4269095139419076E-3</v>
      </c>
      <c r="AD150" s="103">
        <f>SUM($AC$5:AC150)</f>
        <v>0.16945004907841665</v>
      </c>
      <c r="AE150" s="99" t="str" cm="1">
        <f t="array" ref="AE150">IF(SamplingData[[#This Row],[up/U Selection Probability]] = 0, "Zero", TEXT(SamplingData[[#This Row],[Lower Range]], REPT("0",LEN('General Info'!$B$42))) &amp; " - " &amp; TEXT(SamplingData[[#This Row],[Upper Range]], REPT("0",LEN('General Info'!$B$42))))</f>
        <v>168023 - 169449</v>
      </c>
      <c r="AF150" s="99">
        <f>SamplingData[[#This Row],[Upper Range]]-SamplingData[[#This Row],[Span]]</f>
        <v>168023.13956447475</v>
      </c>
      <c r="AG150" s="99">
        <f>IF(ISNUMBER('General Info'!$B$42), ((SamplingData[[#This Row],[up/U Selection Probability]]) * 'General Info'!$B$44) - 1, 0)</f>
        <v>1425.9095139419076</v>
      </c>
      <c r="AH150" s="99">
        <f>IF(ISNUMBER('General Info'!$B$42), (SamplingData[[#This Row],[Running (cumulative) sum]] * ('General Info'!$B$42 -'General Info'!$B$43 + 1)) + 'General Info'!$B$43 - 1, 0)</f>
        <v>169449.04907841666</v>
      </c>
      <c r="AI150" s="99" t="str">
        <f>IF(ISERROR(MATCH(SamplingData[[#This Row],[Batch by Type (p)]],SelectedPrecincts[Batch Name], 0)), "", INDEX(SelectedPrecincts[Draw], MATCH(SamplingData[[#This Row],[Batch by Type (p)]],SelectedPrecincts[Batch Name], 0)))</f>
        <v/>
      </c>
      <c r="AJ150" s="100">
        <f>IF(COUNTIF(SelectedPrecincts[Batch Name],SamplingData[[#This Row],[Batch by Type (p)]]) &lt;&gt; 0, COUNTIF(SelectedPrecincts[Batch Name],SamplingData[[#This Row],[Batch by Type (p)]]), 0)</f>
        <v>0</v>
      </c>
    </row>
    <row r="151" spans="1:36" ht="15" customHeight="1" x14ac:dyDescent="0.35">
      <c r="A151" s="97" t="s">
        <v>364</v>
      </c>
      <c r="B151" s="97">
        <v>325</v>
      </c>
      <c r="C151" s="97">
        <v>79</v>
      </c>
      <c r="D151" s="92"/>
      <c r="E151" s="92"/>
      <c r="F151" s="92"/>
      <c r="G151" s="96"/>
      <c r="H151" s="96"/>
      <c r="I151" s="92"/>
      <c r="J151" s="92"/>
      <c r="K151" s="92"/>
      <c r="L151" s="92"/>
      <c r="M151" s="92"/>
      <c r="N151" s="97">
        <v>0</v>
      </c>
      <c r="O151" s="97">
        <v>12</v>
      </c>
      <c r="P151" s="98">
        <f>SUM(SamplingData[[#This Row],[Winning Candidate]:[Under Votes]])</f>
        <v>416</v>
      </c>
      <c r="Q151" s="99">
        <f>IF(AND(SamplingData[[#This Row],[Total]]&lt;&gt; 0, NOT(ISBLANK(SamplingData[[#This Row],[Losing Candidate]]))),(SamplingData[[#This Row],[Total]]+SamplingData[[#This Row],[Winning Candidate]]-SamplingData[[#This Row],[Losing Candidate]])/(SamplingData[[#Totals],[Winning Candidate]]-SamplingData[[#Totals],[Losing Candidate]]), 0)</f>
        <v>2.8093702257681208E-2</v>
      </c>
      <c r="R151" s="99">
        <f>IF(AND(SamplingData[[#This Row],[Total]]&lt;&gt; 0, NOT(ISBLANK(SamplingData[[#This Row],[Candidate 3]]))),(SamplingData[[#This Row],[Total]]+SamplingData[[#This Row],[Winning Candidate]]-SamplingData[[#This Row],[Candidate 3]])/(SamplingData[[#Totals],[Winning Candidate]]-SamplingData[[#Totals],[Candidate 3]]), 0)</f>
        <v>0</v>
      </c>
      <c r="S151" s="99">
        <f>IF(AND(SamplingData[[#This Row],[Total]]&lt;&gt; 0, NOT(ISBLANK(SamplingData[[#This Row],[Candidate 4]]))),(SamplingData[[#This Row],[Total]]+SamplingData[[#This Row],[Winning Candidate]]-SamplingData[[#This Row],[Candidate 4]])/(SamplingData[[#Totals],[Winning Candidate]]-SamplingData[[#Totals],[Candidate 4]]), 0)</f>
        <v>0</v>
      </c>
      <c r="T151" s="99">
        <f>IF(AND(SamplingData[[#This Row],[Total]]&lt;&gt; 0, NOT(ISBLANK(SamplingData[[#This Row],[Candidate 5]]))),(SamplingData[[#This Row],[Total]]+SamplingData[[#This Row],[Winning Candidate]]-SamplingData[[#This Row],[Candidate 5]])/(SamplingData[[#Totals],[Winning Candidate]]-SamplingData[[#Totals],[Candidate 5]]), 0)</f>
        <v>0</v>
      </c>
      <c r="U151" s="99">
        <f>IF(AND(SamplingData[[#This Row],[Total]]&lt;&gt; 0, NOT(ISBLANK(SamplingData[[#This Row],[Candidate 6]]))),(SamplingData[[#This Row],[Total]]+SamplingData[[#This Row],[Losing Candidate]]-SamplingData[[#This Row],[Candidate 6]])/(SamplingData[[#Totals],[Winning Candidate]]-SamplingData[[#Totals],[Candidate 6]]), 0)</f>
        <v>0</v>
      </c>
      <c r="V151" s="99">
        <f>IF(AND(SamplingData[[#This Row],[Total]]&lt;&gt; 0, NOT(ISBLANK(SamplingData[[#This Row],[Candidate 7]]))),(SamplingData[[#This Row],[Total]]+SamplingData[[#This Row],[Winning Candidate]]-SamplingData[[#This Row],[Candidate 7]])/(SamplingData[[#Totals],[Winning Candidate]]-SamplingData[[#Totals],[Candidate 7]]), 0)</f>
        <v>0</v>
      </c>
      <c r="W151" s="99">
        <f>IF(AND(SamplingData[[#This Row],[Total]]&lt;&gt; 0, NOT(ISBLANK(SamplingData[[#This Row],[Candidate 8]]))),(SamplingData[[#This Row],[Total]]+SamplingData[[#This Row],[Winning Candidate]]-SamplingData[[#This Row],[Candidate 8]])/(SamplingData[[#Totals],[Winning Candidate]]-SamplingData[[#Totals],[Candidate 8]]), 0)</f>
        <v>0</v>
      </c>
      <c r="X1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1" s="99">
        <f>MAX(SamplingData[[#This Row],[Error Bound (up) - Max. possible relative overstatement - Losing Candidate]:[Error Bound (up) - Max. possible relative overstatement - Candidate 12]])</f>
        <v>2.8093702257681208E-2</v>
      </c>
      <c r="AC151" s="99">
        <f>IF(SamplingData[[#This Row],[Max Error Bound (up)]] = 0,0,SamplingData[[#This Row],[Max Error Bound (up)]]/SamplingData[[#Totals],[Max Error Bound (up)]])</f>
        <v>1.504162576798635E-3</v>
      </c>
      <c r="AD151" s="103">
        <f>SUM($AC$5:AC151)</f>
        <v>0.17095421165521529</v>
      </c>
      <c r="AE151" s="99" t="str" cm="1">
        <f t="array" ref="AE151">IF(SamplingData[[#This Row],[up/U Selection Probability]] = 0, "Zero", TEXT(SamplingData[[#This Row],[Lower Range]], REPT("0",LEN('General Info'!$B$42))) &amp; " - " &amp; TEXT(SamplingData[[#This Row],[Upper Range]], REPT("0",LEN('General Info'!$B$42))))</f>
        <v>169450 - 170953</v>
      </c>
      <c r="AF151" s="99">
        <f>SamplingData[[#This Row],[Upper Range]]-SamplingData[[#This Row],[Span]]</f>
        <v>169450.04907841666</v>
      </c>
      <c r="AG151" s="99">
        <f>IF(ISNUMBER('General Info'!$B$42), ((SamplingData[[#This Row],[up/U Selection Probability]]) * 'General Info'!$B$44) - 1, 0)</f>
        <v>1503.162576798635</v>
      </c>
      <c r="AH151" s="99">
        <f>IF(ISNUMBER('General Info'!$B$42), (SamplingData[[#This Row],[Running (cumulative) sum]] * ('General Info'!$B$42 -'General Info'!$B$43 + 1)) + 'General Info'!$B$43 - 1, 0)</f>
        <v>170953.2116552153</v>
      </c>
      <c r="AI151" s="99" t="str">
        <f>IF(ISERROR(MATCH(SamplingData[[#This Row],[Batch by Type (p)]],SelectedPrecincts[Batch Name], 0)), "", INDEX(SelectedPrecincts[Draw], MATCH(SamplingData[[#This Row],[Batch by Type (p)]],SelectedPrecincts[Batch Name], 0)))</f>
        <v/>
      </c>
      <c r="AJ151" s="100">
        <f>IF(COUNTIF(SelectedPrecincts[Batch Name],SamplingData[[#This Row],[Batch by Type (p)]]) &lt;&gt; 0, COUNTIF(SelectedPrecincts[Batch Name],SamplingData[[#This Row],[Batch by Type (p)]]), 0)</f>
        <v>0</v>
      </c>
    </row>
    <row r="152" spans="1:36" ht="15" customHeight="1" x14ac:dyDescent="0.35">
      <c r="A152" s="97" t="s">
        <v>365</v>
      </c>
      <c r="B152" s="97">
        <v>307</v>
      </c>
      <c r="C152" s="97">
        <v>92</v>
      </c>
      <c r="D152" s="92"/>
      <c r="E152" s="92"/>
      <c r="F152" s="92"/>
      <c r="G152" s="96"/>
      <c r="H152" s="96"/>
      <c r="I152" s="92"/>
      <c r="J152" s="92"/>
      <c r="K152" s="92"/>
      <c r="L152" s="92"/>
      <c r="M152" s="92"/>
      <c r="N152" s="97">
        <v>0</v>
      </c>
      <c r="O152" s="97">
        <v>16</v>
      </c>
      <c r="P152" s="98">
        <f>SUM(SamplingData[[#This Row],[Winning Candidate]:[Under Votes]])</f>
        <v>415</v>
      </c>
      <c r="Q152" s="99">
        <f>IF(AND(SamplingData[[#This Row],[Total]]&lt;&gt; 0, NOT(ISBLANK(SamplingData[[#This Row],[Losing Candidate]]))),(SamplingData[[#This Row],[Total]]+SamplingData[[#This Row],[Winning Candidate]]-SamplingData[[#This Row],[Losing Candidate]])/(SamplingData[[#Totals],[Winning Candidate]]-SamplingData[[#Totals],[Losing Candidate]]), 0)</f>
        <v>2.6735698523170939E-2</v>
      </c>
      <c r="R152" s="99">
        <f>IF(AND(SamplingData[[#This Row],[Total]]&lt;&gt; 0, NOT(ISBLANK(SamplingData[[#This Row],[Candidate 3]]))),(SamplingData[[#This Row],[Total]]+SamplingData[[#This Row],[Winning Candidate]]-SamplingData[[#This Row],[Candidate 3]])/(SamplingData[[#Totals],[Winning Candidate]]-SamplingData[[#Totals],[Candidate 3]]), 0)</f>
        <v>0</v>
      </c>
      <c r="S152" s="99">
        <f>IF(AND(SamplingData[[#This Row],[Total]]&lt;&gt; 0, NOT(ISBLANK(SamplingData[[#This Row],[Candidate 4]]))),(SamplingData[[#This Row],[Total]]+SamplingData[[#This Row],[Winning Candidate]]-SamplingData[[#This Row],[Candidate 4]])/(SamplingData[[#Totals],[Winning Candidate]]-SamplingData[[#Totals],[Candidate 4]]), 0)</f>
        <v>0</v>
      </c>
      <c r="T152" s="99">
        <f>IF(AND(SamplingData[[#This Row],[Total]]&lt;&gt; 0, NOT(ISBLANK(SamplingData[[#This Row],[Candidate 5]]))),(SamplingData[[#This Row],[Total]]+SamplingData[[#This Row],[Winning Candidate]]-SamplingData[[#This Row],[Candidate 5]])/(SamplingData[[#Totals],[Winning Candidate]]-SamplingData[[#Totals],[Candidate 5]]), 0)</f>
        <v>0</v>
      </c>
      <c r="U152" s="99">
        <f>IF(AND(SamplingData[[#This Row],[Total]]&lt;&gt; 0, NOT(ISBLANK(SamplingData[[#This Row],[Candidate 6]]))),(SamplingData[[#This Row],[Total]]+SamplingData[[#This Row],[Losing Candidate]]-SamplingData[[#This Row],[Candidate 6]])/(SamplingData[[#Totals],[Winning Candidate]]-SamplingData[[#Totals],[Candidate 6]]), 0)</f>
        <v>0</v>
      </c>
      <c r="V152" s="99">
        <f>IF(AND(SamplingData[[#This Row],[Total]]&lt;&gt; 0, NOT(ISBLANK(SamplingData[[#This Row],[Candidate 7]]))),(SamplingData[[#This Row],[Total]]+SamplingData[[#This Row],[Winning Candidate]]-SamplingData[[#This Row],[Candidate 7]])/(SamplingData[[#Totals],[Winning Candidate]]-SamplingData[[#Totals],[Candidate 7]]), 0)</f>
        <v>0</v>
      </c>
      <c r="W152" s="99">
        <f>IF(AND(SamplingData[[#This Row],[Total]]&lt;&gt; 0, NOT(ISBLANK(SamplingData[[#This Row],[Candidate 8]]))),(SamplingData[[#This Row],[Total]]+SamplingData[[#This Row],[Winning Candidate]]-SamplingData[[#This Row],[Candidate 8]])/(SamplingData[[#Totals],[Winning Candidate]]-SamplingData[[#Totals],[Candidate 8]]), 0)</f>
        <v>0</v>
      </c>
      <c r="X1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2" s="99">
        <f>MAX(SamplingData[[#This Row],[Error Bound (up) - Max. possible relative overstatement - Losing Candidate]:[Error Bound (up) - Max. possible relative overstatement - Candidate 12]])</f>
        <v>2.6735698523170939E-2</v>
      </c>
      <c r="AC152" s="99">
        <f>IF(SamplingData[[#This Row],[Max Error Bound (up)]] = 0,0,SamplingData[[#This Row],[Max Error Bound (up)]]/SamplingData[[#Totals],[Max Error Bound (up)]])</f>
        <v>1.4314538117570091E-3</v>
      </c>
      <c r="AD152" s="103">
        <f>SUM($AC$5:AC152)</f>
        <v>0.17238566546697232</v>
      </c>
      <c r="AE152" s="99" t="str" cm="1">
        <f t="array" ref="AE152">IF(SamplingData[[#This Row],[up/U Selection Probability]] = 0, "Zero", TEXT(SamplingData[[#This Row],[Lower Range]], REPT("0",LEN('General Info'!$B$42))) &amp; " - " &amp; TEXT(SamplingData[[#This Row],[Upper Range]], REPT("0",LEN('General Info'!$B$42))))</f>
        <v>170954 - 172385</v>
      </c>
      <c r="AF152" s="99">
        <f>SamplingData[[#This Row],[Upper Range]]-SamplingData[[#This Row],[Span]]</f>
        <v>170954.2116552153</v>
      </c>
      <c r="AG152" s="99">
        <f>IF(ISNUMBER('General Info'!$B$42), ((SamplingData[[#This Row],[up/U Selection Probability]]) * 'General Info'!$B$44) - 1, 0)</f>
        <v>1430.4538117570091</v>
      </c>
      <c r="AH152" s="99">
        <f>IF(ISNUMBER('General Info'!$B$42), (SamplingData[[#This Row],[Running (cumulative) sum]] * ('General Info'!$B$42 -'General Info'!$B$43 + 1)) + 'General Info'!$B$43 - 1, 0)</f>
        <v>172384.66546697231</v>
      </c>
      <c r="AI152" s="99" t="str">
        <f>IF(ISERROR(MATCH(SamplingData[[#This Row],[Batch by Type (p)]],SelectedPrecincts[Batch Name], 0)), "", INDEX(SelectedPrecincts[Draw], MATCH(SamplingData[[#This Row],[Batch by Type (p)]],SelectedPrecincts[Batch Name], 0)))</f>
        <v/>
      </c>
      <c r="AJ152" s="100">
        <f>IF(COUNTIF(SelectedPrecincts[Batch Name],SamplingData[[#This Row],[Batch by Type (p)]]) &lt;&gt; 0, COUNTIF(SelectedPrecincts[Batch Name],SamplingData[[#This Row],[Batch by Type (p)]]), 0)</f>
        <v>0</v>
      </c>
    </row>
    <row r="153" spans="1:36" ht="15" customHeight="1" x14ac:dyDescent="0.35">
      <c r="A153" s="97" t="s">
        <v>366</v>
      </c>
      <c r="B153" s="97">
        <v>170</v>
      </c>
      <c r="C153" s="97">
        <v>115</v>
      </c>
      <c r="D153" s="92"/>
      <c r="E153" s="92"/>
      <c r="F153" s="92"/>
      <c r="G153" s="96"/>
      <c r="H153" s="96"/>
      <c r="I153" s="92"/>
      <c r="J153" s="92"/>
      <c r="K153" s="92"/>
      <c r="L153" s="92"/>
      <c r="M153" s="92"/>
      <c r="N153" s="97">
        <v>0</v>
      </c>
      <c r="O153" s="97">
        <v>25</v>
      </c>
      <c r="P153" s="98">
        <f>SUM(SamplingData[[#This Row],[Winning Candidate]:[Under Votes]])</f>
        <v>310</v>
      </c>
      <c r="Q153" s="99">
        <f>IF(AND(SamplingData[[#This Row],[Total]]&lt;&gt; 0, NOT(ISBLANK(SamplingData[[#This Row],[Losing Candidate]]))),(SamplingData[[#This Row],[Total]]+SamplingData[[#This Row],[Winning Candidate]]-SamplingData[[#This Row],[Losing Candidate]])/(SamplingData[[#Totals],[Winning Candidate]]-SamplingData[[#Totals],[Losing Candidate]]), 0)</f>
        <v>1.5489730096757767E-2</v>
      </c>
      <c r="R153" s="99">
        <f>IF(AND(SamplingData[[#This Row],[Total]]&lt;&gt; 0, NOT(ISBLANK(SamplingData[[#This Row],[Candidate 3]]))),(SamplingData[[#This Row],[Total]]+SamplingData[[#This Row],[Winning Candidate]]-SamplingData[[#This Row],[Candidate 3]])/(SamplingData[[#Totals],[Winning Candidate]]-SamplingData[[#Totals],[Candidate 3]]), 0)</f>
        <v>0</v>
      </c>
      <c r="S153" s="99">
        <f>IF(AND(SamplingData[[#This Row],[Total]]&lt;&gt; 0, NOT(ISBLANK(SamplingData[[#This Row],[Candidate 4]]))),(SamplingData[[#This Row],[Total]]+SamplingData[[#This Row],[Winning Candidate]]-SamplingData[[#This Row],[Candidate 4]])/(SamplingData[[#Totals],[Winning Candidate]]-SamplingData[[#Totals],[Candidate 4]]), 0)</f>
        <v>0</v>
      </c>
      <c r="T153" s="99">
        <f>IF(AND(SamplingData[[#This Row],[Total]]&lt;&gt; 0, NOT(ISBLANK(SamplingData[[#This Row],[Candidate 5]]))),(SamplingData[[#This Row],[Total]]+SamplingData[[#This Row],[Winning Candidate]]-SamplingData[[#This Row],[Candidate 5]])/(SamplingData[[#Totals],[Winning Candidate]]-SamplingData[[#Totals],[Candidate 5]]), 0)</f>
        <v>0</v>
      </c>
      <c r="U153" s="99">
        <f>IF(AND(SamplingData[[#This Row],[Total]]&lt;&gt; 0, NOT(ISBLANK(SamplingData[[#This Row],[Candidate 6]]))),(SamplingData[[#This Row],[Total]]+SamplingData[[#This Row],[Losing Candidate]]-SamplingData[[#This Row],[Candidate 6]])/(SamplingData[[#Totals],[Winning Candidate]]-SamplingData[[#Totals],[Candidate 6]]), 0)</f>
        <v>0</v>
      </c>
      <c r="V153" s="99">
        <f>IF(AND(SamplingData[[#This Row],[Total]]&lt;&gt; 0, NOT(ISBLANK(SamplingData[[#This Row],[Candidate 7]]))),(SamplingData[[#This Row],[Total]]+SamplingData[[#This Row],[Winning Candidate]]-SamplingData[[#This Row],[Candidate 7]])/(SamplingData[[#Totals],[Winning Candidate]]-SamplingData[[#Totals],[Candidate 7]]), 0)</f>
        <v>0</v>
      </c>
      <c r="W153" s="99">
        <f>IF(AND(SamplingData[[#This Row],[Total]]&lt;&gt; 0, NOT(ISBLANK(SamplingData[[#This Row],[Candidate 8]]))),(SamplingData[[#This Row],[Total]]+SamplingData[[#This Row],[Winning Candidate]]-SamplingData[[#This Row],[Candidate 8]])/(SamplingData[[#Totals],[Winning Candidate]]-SamplingData[[#Totals],[Candidate 8]]), 0)</f>
        <v>0</v>
      </c>
      <c r="X1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3" s="99">
        <f>MAX(SamplingData[[#This Row],[Error Bound (up) - Max. possible relative overstatement - Losing Candidate]:[Error Bound (up) - Max. possible relative overstatement - Candidate 12]])</f>
        <v>1.5489730096757767E-2</v>
      </c>
      <c r="AC153" s="99">
        <f>IF(SamplingData[[#This Row],[Max Error Bound (up)]] = 0,0,SamplingData[[#This Row],[Max Error Bound (up)]]/SamplingData[[#Totals],[Max Error Bound (up)]])</f>
        <v>8.2933435125604501E-4</v>
      </c>
      <c r="AD153" s="103">
        <f>SUM($AC$5:AC153)</f>
        <v>0.17321499981822835</v>
      </c>
      <c r="AE153" s="99" t="str" cm="1">
        <f t="array" ref="AE153">IF(SamplingData[[#This Row],[up/U Selection Probability]] = 0, "Zero", TEXT(SamplingData[[#This Row],[Lower Range]], REPT("0",LEN('General Info'!$B$42))) &amp; " - " &amp; TEXT(SamplingData[[#This Row],[Upper Range]], REPT("0",LEN('General Info'!$B$42))))</f>
        <v>172386 - 173214</v>
      </c>
      <c r="AF153" s="99">
        <f>SamplingData[[#This Row],[Upper Range]]-SamplingData[[#This Row],[Span]]</f>
        <v>172385.66546697231</v>
      </c>
      <c r="AG153" s="99">
        <f>IF(ISNUMBER('General Info'!$B$42), ((SamplingData[[#This Row],[up/U Selection Probability]]) * 'General Info'!$B$44) - 1, 0)</f>
        <v>828.33435125604501</v>
      </c>
      <c r="AH153" s="99">
        <f>IF(ISNUMBER('General Info'!$B$42), (SamplingData[[#This Row],[Running (cumulative) sum]] * ('General Info'!$B$42 -'General Info'!$B$43 + 1)) + 'General Info'!$B$43 - 1, 0)</f>
        <v>173213.99981822836</v>
      </c>
      <c r="AI153" s="99" t="str">
        <f>IF(ISERROR(MATCH(SamplingData[[#This Row],[Batch by Type (p)]],SelectedPrecincts[Batch Name], 0)), "", INDEX(SelectedPrecincts[Draw], MATCH(SamplingData[[#This Row],[Batch by Type (p)]],SelectedPrecincts[Batch Name], 0)))</f>
        <v/>
      </c>
      <c r="AJ153" s="100">
        <f>IF(COUNTIF(SelectedPrecincts[Batch Name],SamplingData[[#This Row],[Batch by Type (p)]]) &lt;&gt; 0, COUNTIF(SelectedPrecincts[Batch Name],SamplingData[[#This Row],[Batch by Type (p)]]), 0)</f>
        <v>0</v>
      </c>
    </row>
    <row r="154" spans="1:36" ht="15" customHeight="1" x14ac:dyDescent="0.35">
      <c r="A154" s="97" t="s">
        <v>367</v>
      </c>
      <c r="B154" s="97">
        <v>136</v>
      </c>
      <c r="C154" s="97">
        <v>26</v>
      </c>
      <c r="D154" s="92"/>
      <c r="E154" s="92"/>
      <c r="F154" s="92"/>
      <c r="G154" s="96"/>
      <c r="H154" s="96"/>
      <c r="I154" s="92"/>
      <c r="J154" s="92"/>
      <c r="K154" s="92"/>
      <c r="L154" s="92"/>
      <c r="M154" s="92"/>
      <c r="N154" s="97">
        <v>0</v>
      </c>
      <c r="O154" s="97">
        <v>12</v>
      </c>
      <c r="P154" s="98">
        <f>SUM(SamplingData[[#This Row],[Winning Candidate]:[Under Votes]])</f>
        <v>174</v>
      </c>
      <c r="Q154" s="99">
        <f>IF(AND(SamplingData[[#This Row],[Total]]&lt;&gt; 0, NOT(ISBLANK(SamplingData[[#This Row],[Losing Candidate]]))),(SamplingData[[#This Row],[Total]]+SamplingData[[#This Row],[Winning Candidate]]-SamplingData[[#This Row],[Losing Candidate]])/(SamplingData[[#Totals],[Winning Candidate]]-SamplingData[[#Totals],[Losing Candidate]]), 0)</f>
        <v>1.2052283143778646E-2</v>
      </c>
      <c r="R154" s="99">
        <f>IF(AND(SamplingData[[#This Row],[Total]]&lt;&gt; 0, NOT(ISBLANK(SamplingData[[#This Row],[Candidate 3]]))),(SamplingData[[#This Row],[Total]]+SamplingData[[#This Row],[Winning Candidate]]-SamplingData[[#This Row],[Candidate 3]])/(SamplingData[[#Totals],[Winning Candidate]]-SamplingData[[#Totals],[Candidate 3]]), 0)</f>
        <v>0</v>
      </c>
      <c r="S154" s="99">
        <f>IF(AND(SamplingData[[#This Row],[Total]]&lt;&gt; 0, NOT(ISBLANK(SamplingData[[#This Row],[Candidate 4]]))),(SamplingData[[#This Row],[Total]]+SamplingData[[#This Row],[Winning Candidate]]-SamplingData[[#This Row],[Candidate 4]])/(SamplingData[[#Totals],[Winning Candidate]]-SamplingData[[#Totals],[Candidate 4]]), 0)</f>
        <v>0</v>
      </c>
      <c r="T154" s="99">
        <f>IF(AND(SamplingData[[#This Row],[Total]]&lt;&gt; 0, NOT(ISBLANK(SamplingData[[#This Row],[Candidate 5]]))),(SamplingData[[#This Row],[Total]]+SamplingData[[#This Row],[Winning Candidate]]-SamplingData[[#This Row],[Candidate 5]])/(SamplingData[[#Totals],[Winning Candidate]]-SamplingData[[#Totals],[Candidate 5]]), 0)</f>
        <v>0</v>
      </c>
      <c r="U154" s="99">
        <f>IF(AND(SamplingData[[#This Row],[Total]]&lt;&gt; 0, NOT(ISBLANK(SamplingData[[#This Row],[Candidate 6]]))),(SamplingData[[#This Row],[Total]]+SamplingData[[#This Row],[Losing Candidate]]-SamplingData[[#This Row],[Candidate 6]])/(SamplingData[[#Totals],[Winning Candidate]]-SamplingData[[#Totals],[Candidate 6]]), 0)</f>
        <v>0</v>
      </c>
      <c r="V154" s="99">
        <f>IF(AND(SamplingData[[#This Row],[Total]]&lt;&gt; 0, NOT(ISBLANK(SamplingData[[#This Row],[Candidate 7]]))),(SamplingData[[#This Row],[Total]]+SamplingData[[#This Row],[Winning Candidate]]-SamplingData[[#This Row],[Candidate 7]])/(SamplingData[[#Totals],[Winning Candidate]]-SamplingData[[#Totals],[Candidate 7]]), 0)</f>
        <v>0</v>
      </c>
      <c r="W154" s="99">
        <f>IF(AND(SamplingData[[#This Row],[Total]]&lt;&gt; 0, NOT(ISBLANK(SamplingData[[#This Row],[Candidate 8]]))),(SamplingData[[#This Row],[Total]]+SamplingData[[#This Row],[Winning Candidate]]-SamplingData[[#This Row],[Candidate 8]])/(SamplingData[[#Totals],[Winning Candidate]]-SamplingData[[#Totals],[Candidate 8]]), 0)</f>
        <v>0</v>
      </c>
      <c r="X1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4" s="99">
        <f>MAX(SamplingData[[#This Row],[Error Bound (up) - Max. possible relative overstatement - Losing Candidate]:[Error Bound (up) - Max. possible relative overstatement - Candidate 12]])</f>
        <v>1.2052283143778646E-2</v>
      </c>
      <c r="AC154" s="99">
        <f>IF(SamplingData[[#This Row],[Max Error Bound (up)]] = 0,0,SamplingData[[#This Row],[Max Error Bound (up)]]/SamplingData[[#Totals],[Max Error Bound (up)]])</f>
        <v>6.4529028974442948E-4</v>
      </c>
      <c r="AD154" s="103">
        <f>SUM($AC$5:AC154)</f>
        <v>0.17386029010797277</v>
      </c>
      <c r="AE154" s="99" t="str" cm="1">
        <f t="array" ref="AE154">IF(SamplingData[[#This Row],[up/U Selection Probability]] = 0, "Zero", TEXT(SamplingData[[#This Row],[Lower Range]], REPT("0",LEN('General Info'!$B$42))) &amp; " - " &amp; TEXT(SamplingData[[#This Row],[Upper Range]], REPT("0",LEN('General Info'!$B$42))))</f>
        <v>173215 - 173859</v>
      </c>
      <c r="AF154" s="99">
        <f>SamplingData[[#This Row],[Upper Range]]-SamplingData[[#This Row],[Span]]</f>
        <v>173214.99981822833</v>
      </c>
      <c r="AG154" s="99">
        <f>IF(ISNUMBER('General Info'!$B$42), ((SamplingData[[#This Row],[up/U Selection Probability]]) * 'General Info'!$B$44) - 1, 0)</f>
        <v>644.29028974442951</v>
      </c>
      <c r="AH154" s="99">
        <f>IF(ISNUMBER('General Info'!$B$42), (SamplingData[[#This Row],[Running (cumulative) sum]] * ('General Info'!$B$42 -'General Info'!$B$43 + 1)) + 'General Info'!$B$43 - 1, 0)</f>
        <v>173859.29010797277</v>
      </c>
      <c r="AI154" s="99" t="str">
        <f>IF(ISERROR(MATCH(SamplingData[[#This Row],[Batch by Type (p)]],SelectedPrecincts[Batch Name], 0)), "", INDEX(SelectedPrecincts[Draw], MATCH(SamplingData[[#This Row],[Batch by Type (p)]],SelectedPrecincts[Batch Name], 0)))</f>
        <v/>
      </c>
      <c r="AJ154" s="100">
        <f>IF(COUNTIF(SelectedPrecincts[Batch Name],SamplingData[[#This Row],[Batch by Type (p)]]) &lt;&gt; 0, COUNTIF(SelectedPrecincts[Batch Name],SamplingData[[#This Row],[Batch by Type (p)]]), 0)</f>
        <v>0</v>
      </c>
    </row>
    <row r="155" spans="1:36" ht="15" customHeight="1" x14ac:dyDescent="0.35">
      <c r="A155" s="97" t="s">
        <v>368</v>
      </c>
      <c r="B155" s="97">
        <v>402</v>
      </c>
      <c r="C155" s="97">
        <v>38</v>
      </c>
      <c r="D155" s="92"/>
      <c r="E155" s="92"/>
      <c r="F155" s="92"/>
      <c r="G155" s="96"/>
      <c r="H155" s="96"/>
      <c r="I155" s="92"/>
      <c r="J155" s="92"/>
      <c r="K155" s="92"/>
      <c r="L155" s="92"/>
      <c r="M155" s="92"/>
      <c r="N155" s="97">
        <v>0</v>
      </c>
      <c r="O155" s="97">
        <v>15</v>
      </c>
      <c r="P155" s="98">
        <f>SUM(SamplingData[[#This Row],[Winning Candidate]:[Under Votes]])</f>
        <v>455</v>
      </c>
      <c r="Q155" s="99">
        <f>IF(AND(SamplingData[[#This Row],[Total]]&lt;&gt; 0, NOT(ISBLANK(SamplingData[[#This Row],[Losing Candidate]]))),(SamplingData[[#This Row],[Total]]+SamplingData[[#This Row],[Winning Candidate]]-SamplingData[[#This Row],[Losing Candidate]])/(SamplingData[[#Totals],[Winning Candidate]]-SamplingData[[#Totals],[Losing Candidate]]), 0)</f>
        <v>3.4756408080122217E-2</v>
      </c>
      <c r="R155" s="99">
        <f>IF(AND(SamplingData[[#This Row],[Total]]&lt;&gt; 0, NOT(ISBLANK(SamplingData[[#This Row],[Candidate 3]]))),(SamplingData[[#This Row],[Total]]+SamplingData[[#This Row],[Winning Candidate]]-SamplingData[[#This Row],[Candidate 3]])/(SamplingData[[#Totals],[Winning Candidate]]-SamplingData[[#Totals],[Candidate 3]]), 0)</f>
        <v>0</v>
      </c>
      <c r="S155" s="99">
        <f>IF(AND(SamplingData[[#This Row],[Total]]&lt;&gt; 0, NOT(ISBLANK(SamplingData[[#This Row],[Candidate 4]]))),(SamplingData[[#This Row],[Total]]+SamplingData[[#This Row],[Winning Candidate]]-SamplingData[[#This Row],[Candidate 4]])/(SamplingData[[#Totals],[Winning Candidate]]-SamplingData[[#Totals],[Candidate 4]]), 0)</f>
        <v>0</v>
      </c>
      <c r="T155" s="99">
        <f>IF(AND(SamplingData[[#This Row],[Total]]&lt;&gt; 0, NOT(ISBLANK(SamplingData[[#This Row],[Candidate 5]]))),(SamplingData[[#This Row],[Total]]+SamplingData[[#This Row],[Winning Candidate]]-SamplingData[[#This Row],[Candidate 5]])/(SamplingData[[#Totals],[Winning Candidate]]-SamplingData[[#Totals],[Candidate 5]]), 0)</f>
        <v>0</v>
      </c>
      <c r="U155" s="99">
        <f>IF(AND(SamplingData[[#This Row],[Total]]&lt;&gt; 0, NOT(ISBLANK(SamplingData[[#This Row],[Candidate 6]]))),(SamplingData[[#This Row],[Total]]+SamplingData[[#This Row],[Losing Candidate]]-SamplingData[[#This Row],[Candidate 6]])/(SamplingData[[#Totals],[Winning Candidate]]-SamplingData[[#Totals],[Candidate 6]]), 0)</f>
        <v>0</v>
      </c>
      <c r="V155" s="99">
        <f>IF(AND(SamplingData[[#This Row],[Total]]&lt;&gt; 0, NOT(ISBLANK(SamplingData[[#This Row],[Candidate 7]]))),(SamplingData[[#This Row],[Total]]+SamplingData[[#This Row],[Winning Candidate]]-SamplingData[[#This Row],[Candidate 7]])/(SamplingData[[#Totals],[Winning Candidate]]-SamplingData[[#Totals],[Candidate 7]]), 0)</f>
        <v>0</v>
      </c>
      <c r="W155" s="99">
        <f>IF(AND(SamplingData[[#This Row],[Total]]&lt;&gt; 0, NOT(ISBLANK(SamplingData[[#This Row],[Candidate 8]]))),(SamplingData[[#This Row],[Total]]+SamplingData[[#This Row],[Winning Candidate]]-SamplingData[[#This Row],[Candidate 8]])/(SamplingData[[#Totals],[Winning Candidate]]-SamplingData[[#Totals],[Candidate 8]]), 0)</f>
        <v>0</v>
      </c>
      <c r="X1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5" s="99">
        <f>MAX(SamplingData[[#This Row],[Error Bound (up) - Max. possible relative overstatement - Losing Candidate]:[Error Bound (up) - Max. possible relative overstatement - Candidate 12]])</f>
        <v>3.4756408080122217E-2</v>
      </c>
      <c r="AC155" s="99">
        <f>IF(SamplingData[[#This Row],[Max Error Bound (up)]] = 0,0,SamplingData[[#This Row],[Max Error Bound (up)]]/SamplingData[[#Totals],[Max Error Bound (up)]])</f>
        <v>1.8608899552841117E-3</v>
      </c>
      <c r="AD155" s="103">
        <f>SUM($AC$5:AC155)</f>
        <v>0.17572118006325688</v>
      </c>
      <c r="AE155" s="99" t="str" cm="1">
        <f t="array" ref="AE155">IF(SamplingData[[#This Row],[up/U Selection Probability]] = 0, "Zero", TEXT(SamplingData[[#This Row],[Lower Range]], REPT("0",LEN('General Info'!$B$42))) &amp; " - " &amp; TEXT(SamplingData[[#This Row],[Upper Range]], REPT("0",LEN('General Info'!$B$42))))</f>
        <v>173860 - 175720</v>
      </c>
      <c r="AF155" s="99">
        <f>SamplingData[[#This Row],[Upper Range]]-SamplingData[[#This Row],[Span]]</f>
        <v>173860.29010797277</v>
      </c>
      <c r="AG155" s="99">
        <f>IF(ISNUMBER('General Info'!$B$42), ((SamplingData[[#This Row],[up/U Selection Probability]]) * 'General Info'!$B$44) - 1, 0)</f>
        <v>1859.8899552841117</v>
      </c>
      <c r="AH155" s="99">
        <f>IF(ISNUMBER('General Info'!$B$42), (SamplingData[[#This Row],[Running (cumulative) sum]] * ('General Info'!$B$42 -'General Info'!$B$43 + 1)) + 'General Info'!$B$43 - 1, 0)</f>
        <v>175720.18006325688</v>
      </c>
      <c r="AI155" s="99" t="str">
        <f>IF(ISERROR(MATCH(SamplingData[[#This Row],[Batch by Type (p)]],SelectedPrecincts[Batch Name], 0)), "", INDEX(SelectedPrecincts[Draw], MATCH(SamplingData[[#This Row],[Batch by Type (p)]],SelectedPrecincts[Batch Name], 0)))</f>
        <v/>
      </c>
      <c r="AJ155" s="100">
        <f>IF(COUNTIF(SelectedPrecincts[Batch Name],SamplingData[[#This Row],[Batch by Type (p)]]) &lt;&gt; 0, COUNTIF(SelectedPrecincts[Batch Name],SamplingData[[#This Row],[Batch by Type (p)]]), 0)</f>
        <v>0</v>
      </c>
    </row>
    <row r="156" spans="1:36" ht="15" customHeight="1" x14ac:dyDescent="0.35">
      <c r="A156" s="97" t="s">
        <v>369</v>
      </c>
      <c r="B156" s="97">
        <v>257</v>
      </c>
      <c r="C156" s="97">
        <v>39</v>
      </c>
      <c r="D156" s="92"/>
      <c r="E156" s="92"/>
      <c r="F156" s="92"/>
      <c r="G156" s="96"/>
      <c r="H156" s="96"/>
      <c r="I156" s="92"/>
      <c r="J156" s="92"/>
      <c r="K156" s="92"/>
      <c r="L156" s="92"/>
      <c r="M156" s="92"/>
      <c r="N156" s="97">
        <v>1</v>
      </c>
      <c r="O156" s="97">
        <v>11</v>
      </c>
      <c r="P156" s="98">
        <f>SUM(SamplingData[[#This Row],[Winning Candidate]:[Under Votes]])</f>
        <v>308</v>
      </c>
      <c r="Q156" s="99">
        <f>IF(AND(SamplingData[[#This Row],[Total]]&lt;&gt; 0, NOT(ISBLANK(SamplingData[[#This Row],[Losing Candidate]]))),(SamplingData[[#This Row],[Total]]+SamplingData[[#This Row],[Winning Candidate]]-SamplingData[[#This Row],[Losing Candidate]])/(SamplingData[[#Totals],[Winning Candidate]]-SamplingData[[#Totals],[Losing Candidate]]), 0)</f>
        <v>2.2322186386012563E-2</v>
      </c>
      <c r="R156" s="99">
        <f>IF(AND(SamplingData[[#This Row],[Total]]&lt;&gt; 0, NOT(ISBLANK(SamplingData[[#This Row],[Candidate 3]]))),(SamplingData[[#This Row],[Total]]+SamplingData[[#This Row],[Winning Candidate]]-SamplingData[[#This Row],[Candidate 3]])/(SamplingData[[#Totals],[Winning Candidate]]-SamplingData[[#Totals],[Candidate 3]]), 0)</f>
        <v>0</v>
      </c>
      <c r="S156" s="99">
        <f>IF(AND(SamplingData[[#This Row],[Total]]&lt;&gt; 0, NOT(ISBLANK(SamplingData[[#This Row],[Candidate 4]]))),(SamplingData[[#This Row],[Total]]+SamplingData[[#This Row],[Winning Candidate]]-SamplingData[[#This Row],[Candidate 4]])/(SamplingData[[#Totals],[Winning Candidate]]-SamplingData[[#Totals],[Candidate 4]]), 0)</f>
        <v>0</v>
      </c>
      <c r="T156" s="99">
        <f>IF(AND(SamplingData[[#This Row],[Total]]&lt;&gt; 0, NOT(ISBLANK(SamplingData[[#This Row],[Candidate 5]]))),(SamplingData[[#This Row],[Total]]+SamplingData[[#This Row],[Winning Candidate]]-SamplingData[[#This Row],[Candidate 5]])/(SamplingData[[#Totals],[Winning Candidate]]-SamplingData[[#Totals],[Candidate 5]]), 0)</f>
        <v>0</v>
      </c>
      <c r="U156" s="99">
        <f>IF(AND(SamplingData[[#This Row],[Total]]&lt;&gt; 0, NOT(ISBLANK(SamplingData[[#This Row],[Candidate 6]]))),(SamplingData[[#This Row],[Total]]+SamplingData[[#This Row],[Losing Candidate]]-SamplingData[[#This Row],[Candidate 6]])/(SamplingData[[#Totals],[Winning Candidate]]-SamplingData[[#Totals],[Candidate 6]]), 0)</f>
        <v>0</v>
      </c>
      <c r="V156" s="99">
        <f>IF(AND(SamplingData[[#This Row],[Total]]&lt;&gt; 0, NOT(ISBLANK(SamplingData[[#This Row],[Candidate 7]]))),(SamplingData[[#This Row],[Total]]+SamplingData[[#This Row],[Winning Candidate]]-SamplingData[[#This Row],[Candidate 7]])/(SamplingData[[#Totals],[Winning Candidate]]-SamplingData[[#Totals],[Candidate 7]]), 0)</f>
        <v>0</v>
      </c>
      <c r="W156" s="99">
        <f>IF(AND(SamplingData[[#This Row],[Total]]&lt;&gt; 0, NOT(ISBLANK(SamplingData[[#This Row],[Candidate 8]]))),(SamplingData[[#This Row],[Total]]+SamplingData[[#This Row],[Winning Candidate]]-SamplingData[[#This Row],[Candidate 8]])/(SamplingData[[#Totals],[Winning Candidate]]-SamplingData[[#Totals],[Candidate 8]]), 0)</f>
        <v>0</v>
      </c>
      <c r="X1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6" s="99">
        <f>MAX(SamplingData[[#This Row],[Error Bound (up) - Max. possible relative overstatement - Losing Candidate]:[Error Bound (up) - Max. possible relative overstatement - Candidate 12]])</f>
        <v>2.2322186386012563E-2</v>
      </c>
      <c r="AC156" s="99">
        <f>IF(SamplingData[[#This Row],[Max Error Bound (up)]] = 0,0,SamplingData[[#This Row],[Max Error Bound (up)]]/SamplingData[[#Totals],[Max Error Bound (up)]])</f>
        <v>1.1951503253717251E-3</v>
      </c>
      <c r="AD156" s="103">
        <f>SUM($AC$5:AC156)</f>
        <v>0.17691633038862861</v>
      </c>
      <c r="AE156" s="99" t="str" cm="1">
        <f t="array" ref="AE156">IF(SamplingData[[#This Row],[up/U Selection Probability]] = 0, "Zero", TEXT(SamplingData[[#This Row],[Lower Range]], REPT("0",LEN('General Info'!$B$42))) &amp; " - " &amp; TEXT(SamplingData[[#This Row],[Upper Range]], REPT("0",LEN('General Info'!$B$42))))</f>
        <v>175721 - 176915</v>
      </c>
      <c r="AF156" s="99">
        <f>SamplingData[[#This Row],[Upper Range]]-SamplingData[[#This Row],[Span]]</f>
        <v>175721.18006325688</v>
      </c>
      <c r="AG156" s="99">
        <f>IF(ISNUMBER('General Info'!$B$42), ((SamplingData[[#This Row],[up/U Selection Probability]]) * 'General Info'!$B$44) - 1, 0)</f>
        <v>1194.1503253717251</v>
      </c>
      <c r="AH156" s="99">
        <f>IF(ISNUMBER('General Info'!$B$42), (SamplingData[[#This Row],[Running (cumulative) sum]] * ('General Info'!$B$42 -'General Info'!$B$43 + 1)) + 'General Info'!$B$43 - 1, 0)</f>
        <v>176915.33038862862</v>
      </c>
      <c r="AI156" s="99" t="str">
        <f>IF(ISERROR(MATCH(SamplingData[[#This Row],[Batch by Type (p)]],SelectedPrecincts[Batch Name], 0)), "", INDEX(SelectedPrecincts[Draw], MATCH(SamplingData[[#This Row],[Batch by Type (p)]],SelectedPrecincts[Batch Name], 0)))</f>
        <v/>
      </c>
      <c r="AJ156" s="100">
        <f>IF(COUNTIF(SelectedPrecincts[Batch Name],SamplingData[[#This Row],[Batch by Type (p)]]) &lt;&gt; 0, COUNTIF(SelectedPrecincts[Batch Name],SamplingData[[#This Row],[Batch by Type (p)]]), 0)</f>
        <v>0</v>
      </c>
    </row>
    <row r="157" spans="1:36" ht="15" customHeight="1" x14ac:dyDescent="0.35">
      <c r="A157" s="97" t="s">
        <v>370</v>
      </c>
      <c r="B157" s="97">
        <v>194</v>
      </c>
      <c r="C157" s="97">
        <v>88</v>
      </c>
      <c r="D157" s="92"/>
      <c r="E157" s="92"/>
      <c r="F157" s="92"/>
      <c r="G157" s="96"/>
      <c r="H157" s="96"/>
      <c r="I157" s="92"/>
      <c r="J157" s="92"/>
      <c r="K157" s="92"/>
      <c r="L157" s="92"/>
      <c r="M157" s="92"/>
      <c r="N157" s="97">
        <v>0</v>
      </c>
      <c r="O157" s="97">
        <v>16</v>
      </c>
      <c r="P157" s="98">
        <f>SUM(SamplingData[[#This Row],[Winning Candidate]:[Under Votes]])</f>
        <v>298</v>
      </c>
      <c r="Q157" s="99">
        <f>IF(AND(SamplingData[[#This Row],[Total]]&lt;&gt; 0, NOT(ISBLANK(SamplingData[[#This Row],[Losing Candidate]]))),(SamplingData[[#This Row],[Total]]+SamplingData[[#This Row],[Winning Candidate]]-SamplingData[[#This Row],[Losing Candidate]])/(SamplingData[[#Totals],[Winning Candidate]]-SamplingData[[#Totals],[Losing Candidate]]), 0)</f>
        <v>1.7144797148192156E-2</v>
      </c>
      <c r="R157" s="99">
        <f>IF(AND(SamplingData[[#This Row],[Total]]&lt;&gt; 0, NOT(ISBLANK(SamplingData[[#This Row],[Candidate 3]]))),(SamplingData[[#This Row],[Total]]+SamplingData[[#This Row],[Winning Candidate]]-SamplingData[[#This Row],[Candidate 3]])/(SamplingData[[#Totals],[Winning Candidate]]-SamplingData[[#Totals],[Candidate 3]]), 0)</f>
        <v>0</v>
      </c>
      <c r="S157" s="99">
        <f>IF(AND(SamplingData[[#This Row],[Total]]&lt;&gt; 0, NOT(ISBLANK(SamplingData[[#This Row],[Candidate 4]]))),(SamplingData[[#This Row],[Total]]+SamplingData[[#This Row],[Winning Candidate]]-SamplingData[[#This Row],[Candidate 4]])/(SamplingData[[#Totals],[Winning Candidate]]-SamplingData[[#Totals],[Candidate 4]]), 0)</f>
        <v>0</v>
      </c>
      <c r="T157" s="99">
        <f>IF(AND(SamplingData[[#This Row],[Total]]&lt;&gt; 0, NOT(ISBLANK(SamplingData[[#This Row],[Candidate 5]]))),(SamplingData[[#This Row],[Total]]+SamplingData[[#This Row],[Winning Candidate]]-SamplingData[[#This Row],[Candidate 5]])/(SamplingData[[#Totals],[Winning Candidate]]-SamplingData[[#Totals],[Candidate 5]]), 0)</f>
        <v>0</v>
      </c>
      <c r="U157" s="99">
        <f>IF(AND(SamplingData[[#This Row],[Total]]&lt;&gt; 0, NOT(ISBLANK(SamplingData[[#This Row],[Candidate 6]]))),(SamplingData[[#This Row],[Total]]+SamplingData[[#This Row],[Losing Candidate]]-SamplingData[[#This Row],[Candidate 6]])/(SamplingData[[#Totals],[Winning Candidate]]-SamplingData[[#Totals],[Candidate 6]]), 0)</f>
        <v>0</v>
      </c>
      <c r="V157" s="99">
        <f>IF(AND(SamplingData[[#This Row],[Total]]&lt;&gt; 0, NOT(ISBLANK(SamplingData[[#This Row],[Candidate 7]]))),(SamplingData[[#This Row],[Total]]+SamplingData[[#This Row],[Winning Candidate]]-SamplingData[[#This Row],[Candidate 7]])/(SamplingData[[#Totals],[Winning Candidate]]-SamplingData[[#Totals],[Candidate 7]]), 0)</f>
        <v>0</v>
      </c>
      <c r="W157" s="99">
        <f>IF(AND(SamplingData[[#This Row],[Total]]&lt;&gt; 0, NOT(ISBLANK(SamplingData[[#This Row],[Candidate 8]]))),(SamplingData[[#This Row],[Total]]+SamplingData[[#This Row],[Winning Candidate]]-SamplingData[[#This Row],[Candidate 8]])/(SamplingData[[#Totals],[Winning Candidate]]-SamplingData[[#Totals],[Candidate 8]]), 0)</f>
        <v>0</v>
      </c>
      <c r="X1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7" s="99">
        <f>MAX(SamplingData[[#This Row],[Error Bound (up) - Max. possible relative overstatement - Losing Candidate]:[Error Bound (up) - Max. possible relative overstatement - Candidate 12]])</f>
        <v>1.7144797148192156E-2</v>
      </c>
      <c r="AC157" s="99">
        <f>IF(SamplingData[[#This Row],[Max Error Bound (up)]] = 0,0,SamplingData[[#This Row],[Max Error Bound (up)]]/SamplingData[[#Totals],[Max Error Bound (up)]])</f>
        <v>9.1794815865052645E-4</v>
      </c>
      <c r="AD157" s="103">
        <f>SUM($AC$5:AC157)</f>
        <v>0.17783427854727915</v>
      </c>
      <c r="AE157" s="99" t="str" cm="1">
        <f t="array" ref="AE157">IF(SamplingData[[#This Row],[up/U Selection Probability]] = 0, "Zero", TEXT(SamplingData[[#This Row],[Lower Range]], REPT("0",LEN('General Info'!$B$42))) &amp; " - " &amp; TEXT(SamplingData[[#This Row],[Upper Range]], REPT("0",LEN('General Info'!$B$42))))</f>
        <v>176916 - 177833</v>
      </c>
      <c r="AF157" s="99">
        <f>SamplingData[[#This Row],[Upper Range]]-SamplingData[[#This Row],[Span]]</f>
        <v>176916.33038862864</v>
      </c>
      <c r="AG157" s="99">
        <f>IF(ISNUMBER('General Info'!$B$42), ((SamplingData[[#This Row],[up/U Selection Probability]]) * 'General Info'!$B$44) - 1, 0)</f>
        <v>916.94815865052647</v>
      </c>
      <c r="AH157" s="99">
        <f>IF(ISNUMBER('General Info'!$B$42), (SamplingData[[#This Row],[Running (cumulative) sum]] * ('General Info'!$B$42 -'General Info'!$B$43 + 1)) + 'General Info'!$B$43 - 1, 0)</f>
        <v>177833.27854727916</v>
      </c>
      <c r="AI157" s="99" t="str">
        <f>IF(ISERROR(MATCH(SamplingData[[#This Row],[Batch by Type (p)]],SelectedPrecincts[Batch Name], 0)), "", INDEX(SelectedPrecincts[Draw], MATCH(SamplingData[[#This Row],[Batch by Type (p)]],SelectedPrecincts[Batch Name], 0)))</f>
        <v/>
      </c>
      <c r="AJ157" s="100">
        <f>IF(COUNTIF(SelectedPrecincts[Batch Name],SamplingData[[#This Row],[Batch by Type (p)]]) &lt;&gt; 0, COUNTIF(SelectedPrecincts[Batch Name],SamplingData[[#This Row],[Batch by Type (p)]]), 0)</f>
        <v>0</v>
      </c>
    </row>
    <row r="158" spans="1:36" ht="15" customHeight="1" x14ac:dyDescent="0.35">
      <c r="A158" s="97" t="s">
        <v>371</v>
      </c>
      <c r="B158" s="97">
        <v>205</v>
      </c>
      <c r="C158" s="97">
        <v>96</v>
      </c>
      <c r="D158" s="92"/>
      <c r="E158" s="92"/>
      <c r="F158" s="92"/>
      <c r="G158" s="96"/>
      <c r="H158" s="96"/>
      <c r="I158" s="92"/>
      <c r="J158" s="92"/>
      <c r="K158" s="92"/>
      <c r="L158" s="92"/>
      <c r="M158" s="92"/>
      <c r="N158" s="97">
        <v>0</v>
      </c>
      <c r="O158" s="97">
        <v>8</v>
      </c>
      <c r="P158" s="98">
        <f>SUM(SamplingData[[#This Row],[Winning Candidate]:[Under Votes]])</f>
        <v>309</v>
      </c>
      <c r="Q158" s="99">
        <f>IF(AND(SamplingData[[#This Row],[Total]]&lt;&gt; 0, NOT(ISBLANK(SamplingData[[#This Row],[Losing Candidate]]))),(SamplingData[[#This Row],[Total]]+SamplingData[[#This Row],[Winning Candidate]]-SamplingData[[#This Row],[Losing Candidate]])/(SamplingData[[#Totals],[Winning Candidate]]-SamplingData[[#Totals],[Losing Candidate]]), 0)</f>
        <v>1.7738923782040401E-2</v>
      </c>
      <c r="R158" s="99">
        <f>IF(AND(SamplingData[[#This Row],[Total]]&lt;&gt; 0, NOT(ISBLANK(SamplingData[[#This Row],[Candidate 3]]))),(SamplingData[[#This Row],[Total]]+SamplingData[[#This Row],[Winning Candidate]]-SamplingData[[#This Row],[Candidate 3]])/(SamplingData[[#Totals],[Winning Candidate]]-SamplingData[[#Totals],[Candidate 3]]), 0)</f>
        <v>0</v>
      </c>
      <c r="S158" s="99">
        <f>IF(AND(SamplingData[[#This Row],[Total]]&lt;&gt; 0, NOT(ISBLANK(SamplingData[[#This Row],[Candidate 4]]))),(SamplingData[[#This Row],[Total]]+SamplingData[[#This Row],[Winning Candidate]]-SamplingData[[#This Row],[Candidate 4]])/(SamplingData[[#Totals],[Winning Candidate]]-SamplingData[[#Totals],[Candidate 4]]), 0)</f>
        <v>0</v>
      </c>
      <c r="T158" s="99">
        <f>IF(AND(SamplingData[[#This Row],[Total]]&lt;&gt; 0, NOT(ISBLANK(SamplingData[[#This Row],[Candidate 5]]))),(SamplingData[[#This Row],[Total]]+SamplingData[[#This Row],[Winning Candidate]]-SamplingData[[#This Row],[Candidate 5]])/(SamplingData[[#Totals],[Winning Candidate]]-SamplingData[[#Totals],[Candidate 5]]), 0)</f>
        <v>0</v>
      </c>
      <c r="U158" s="99">
        <f>IF(AND(SamplingData[[#This Row],[Total]]&lt;&gt; 0, NOT(ISBLANK(SamplingData[[#This Row],[Candidate 6]]))),(SamplingData[[#This Row],[Total]]+SamplingData[[#This Row],[Losing Candidate]]-SamplingData[[#This Row],[Candidate 6]])/(SamplingData[[#Totals],[Winning Candidate]]-SamplingData[[#Totals],[Candidate 6]]), 0)</f>
        <v>0</v>
      </c>
      <c r="V158" s="99">
        <f>IF(AND(SamplingData[[#This Row],[Total]]&lt;&gt; 0, NOT(ISBLANK(SamplingData[[#This Row],[Candidate 7]]))),(SamplingData[[#This Row],[Total]]+SamplingData[[#This Row],[Winning Candidate]]-SamplingData[[#This Row],[Candidate 7]])/(SamplingData[[#Totals],[Winning Candidate]]-SamplingData[[#Totals],[Candidate 7]]), 0)</f>
        <v>0</v>
      </c>
      <c r="W158" s="99">
        <f>IF(AND(SamplingData[[#This Row],[Total]]&lt;&gt; 0, NOT(ISBLANK(SamplingData[[#This Row],[Candidate 8]]))),(SamplingData[[#This Row],[Total]]+SamplingData[[#This Row],[Winning Candidate]]-SamplingData[[#This Row],[Candidate 8]])/(SamplingData[[#Totals],[Winning Candidate]]-SamplingData[[#Totals],[Candidate 8]]), 0)</f>
        <v>0</v>
      </c>
      <c r="X1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8" s="99">
        <f>MAX(SamplingData[[#This Row],[Error Bound (up) - Max. possible relative overstatement - Losing Candidate]:[Error Bound (up) - Max. possible relative overstatement - Candidate 12]])</f>
        <v>1.7738923782040401E-2</v>
      </c>
      <c r="AC158" s="99">
        <f>IF(SamplingData[[#This Row],[Max Error Bound (up)]] = 0,0,SamplingData[[#This Row],[Max Error Bound (up)]]/SamplingData[[#Totals],[Max Error Bound (up)]])</f>
        <v>9.4975824335623781E-4</v>
      </c>
      <c r="AD158" s="103">
        <f>SUM($AC$5:AC158)</f>
        <v>0.1787840367906354</v>
      </c>
      <c r="AE158" s="99" t="str" cm="1">
        <f t="array" ref="AE158">IF(SamplingData[[#This Row],[up/U Selection Probability]] = 0, "Zero", TEXT(SamplingData[[#This Row],[Lower Range]], REPT("0",LEN('General Info'!$B$42))) &amp; " - " &amp; TEXT(SamplingData[[#This Row],[Upper Range]], REPT("0",LEN('General Info'!$B$42))))</f>
        <v>177834 - 178783</v>
      </c>
      <c r="AF158" s="99">
        <f>SamplingData[[#This Row],[Upper Range]]-SamplingData[[#This Row],[Span]]</f>
        <v>177834.27854727916</v>
      </c>
      <c r="AG158" s="99">
        <f>IF(ISNUMBER('General Info'!$B$42), ((SamplingData[[#This Row],[up/U Selection Probability]]) * 'General Info'!$B$44) - 1, 0)</f>
        <v>948.75824335623781</v>
      </c>
      <c r="AH158" s="99">
        <f>IF(ISNUMBER('General Info'!$B$42), (SamplingData[[#This Row],[Running (cumulative) sum]] * ('General Info'!$B$42 -'General Info'!$B$43 + 1)) + 'General Info'!$B$43 - 1, 0)</f>
        <v>178783.03679063541</v>
      </c>
      <c r="AI158" s="99" t="str">
        <f>IF(ISERROR(MATCH(SamplingData[[#This Row],[Batch by Type (p)]],SelectedPrecincts[Batch Name], 0)), "", INDEX(SelectedPrecincts[Draw], MATCH(SamplingData[[#This Row],[Batch by Type (p)]],SelectedPrecincts[Batch Name], 0)))</f>
        <v/>
      </c>
      <c r="AJ158" s="100">
        <f>IF(COUNTIF(SelectedPrecincts[Batch Name],SamplingData[[#This Row],[Batch by Type (p)]]) &lt;&gt; 0, COUNTIF(SelectedPrecincts[Batch Name],SamplingData[[#This Row],[Batch by Type (p)]]), 0)</f>
        <v>0</v>
      </c>
    </row>
    <row r="159" spans="1:36" ht="15" customHeight="1" x14ac:dyDescent="0.35">
      <c r="A159" s="97" t="s">
        <v>372</v>
      </c>
      <c r="B159" s="97">
        <v>37</v>
      </c>
      <c r="C159" s="97">
        <v>7</v>
      </c>
      <c r="D159" s="92"/>
      <c r="E159" s="92"/>
      <c r="F159" s="92"/>
      <c r="G159" s="96"/>
      <c r="H159" s="96"/>
      <c r="I159" s="92"/>
      <c r="J159" s="92"/>
      <c r="K159" s="92"/>
      <c r="L159" s="92"/>
      <c r="M159" s="92"/>
      <c r="N159" s="97">
        <v>1</v>
      </c>
      <c r="O159" s="97">
        <v>3</v>
      </c>
      <c r="P159" s="98">
        <f>SUM(SamplingData[[#This Row],[Winning Candidate]:[Under Votes]])</f>
        <v>48</v>
      </c>
      <c r="Q159" s="99">
        <f>IF(AND(SamplingData[[#This Row],[Total]]&lt;&gt; 0, NOT(ISBLANK(SamplingData[[#This Row],[Losing Candidate]]))),(SamplingData[[#This Row],[Total]]+SamplingData[[#This Row],[Winning Candidate]]-SamplingData[[#This Row],[Losing Candidate]])/(SamplingData[[#Totals],[Winning Candidate]]-SamplingData[[#Totals],[Losing Candidate]]), 0)</f>
        <v>3.3101341028687831E-3</v>
      </c>
      <c r="R159" s="99">
        <f>IF(AND(SamplingData[[#This Row],[Total]]&lt;&gt; 0, NOT(ISBLANK(SamplingData[[#This Row],[Candidate 3]]))),(SamplingData[[#This Row],[Total]]+SamplingData[[#This Row],[Winning Candidate]]-SamplingData[[#This Row],[Candidate 3]])/(SamplingData[[#Totals],[Winning Candidate]]-SamplingData[[#Totals],[Candidate 3]]), 0)</f>
        <v>0</v>
      </c>
      <c r="S159" s="99">
        <f>IF(AND(SamplingData[[#This Row],[Total]]&lt;&gt; 0, NOT(ISBLANK(SamplingData[[#This Row],[Candidate 4]]))),(SamplingData[[#This Row],[Total]]+SamplingData[[#This Row],[Winning Candidate]]-SamplingData[[#This Row],[Candidate 4]])/(SamplingData[[#Totals],[Winning Candidate]]-SamplingData[[#Totals],[Candidate 4]]), 0)</f>
        <v>0</v>
      </c>
      <c r="T159" s="99">
        <f>IF(AND(SamplingData[[#This Row],[Total]]&lt;&gt; 0, NOT(ISBLANK(SamplingData[[#This Row],[Candidate 5]]))),(SamplingData[[#This Row],[Total]]+SamplingData[[#This Row],[Winning Candidate]]-SamplingData[[#This Row],[Candidate 5]])/(SamplingData[[#Totals],[Winning Candidate]]-SamplingData[[#Totals],[Candidate 5]]), 0)</f>
        <v>0</v>
      </c>
      <c r="U159" s="99">
        <f>IF(AND(SamplingData[[#This Row],[Total]]&lt;&gt; 0, NOT(ISBLANK(SamplingData[[#This Row],[Candidate 6]]))),(SamplingData[[#This Row],[Total]]+SamplingData[[#This Row],[Losing Candidate]]-SamplingData[[#This Row],[Candidate 6]])/(SamplingData[[#Totals],[Winning Candidate]]-SamplingData[[#Totals],[Candidate 6]]), 0)</f>
        <v>0</v>
      </c>
      <c r="V159" s="99">
        <f>IF(AND(SamplingData[[#This Row],[Total]]&lt;&gt; 0, NOT(ISBLANK(SamplingData[[#This Row],[Candidate 7]]))),(SamplingData[[#This Row],[Total]]+SamplingData[[#This Row],[Winning Candidate]]-SamplingData[[#This Row],[Candidate 7]])/(SamplingData[[#Totals],[Winning Candidate]]-SamplingData[[#Totals],[Candidate 7]]), 0)</f>
        <v>0</v>
      </c>
      <c r="W159" s="99">
        <f>IF(AND(SamplingData[[#This Row],[Total]]&lt;&gt; 0, NOT(ISBLANK(SamplingData[[#This Row],[Candidate 8]]))),(SamplingData[[#This Row],[Total]]+SamplingData[[#This Row],[Winning Candidate]]-SamplingData[[#This Row],[Candidate 8]])/(SamplingData[[#Totals],[Winning Candidate]]-SamplingData[[#Totals],[Candidate 8]]), 0)</f>
        <v>0</v>
      </c>
      <c r="X1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9" s="99">
        <f>MAX(SamplingData[[#This Row],[Error Bound (up) - Max. possible relative overstatement - Losing Candidate]:[Error Bound (up) - Max. possible relative overstatement - Candidate 12]])</f>
        <v>3.3101341028687831E-3</v>
      </c>
      <c r="AC159" s="99">
        <f>IF(SamplingData[[#This Row],[Max Error Bound (up)]] = 0,0,SamplingData[[#This Row],[Max Error Bound (up)]]/SamplingData[[#Totals],[Max Error Bound (up)]])</f>
        <v>1.7722761478896305E-4</v>
      </c>
      <c r="AD159" s="103">
        <f>SUM($AC$5:AC159)</f>
        <v>0.17896126440542437</v>
      </c>
      <c r="AE159" s="99" t="str" cm="1">
        <f t="array" ref="AE159">IF(SamplingData[[#This Row],[up/U Selection Probability]] = 0, "Zero", TEXT(SamplingData[[#This Row],[Lower Range]], REPT("0",LEN('General Info'!$B$42))) &amp; " - " &amp; TEXT(SamplingData[[#This Row],[Upper Range]], REPT("0",LEN('General Info'!$B$42))))</f>
        <v>178784 - 178960</v>
      </c>
      <c r="AF159" s="99">
        <f>SamplingData[[#This Row],[Upper Range]]-SamplingData[[#This Row],[Span]]</f>
        <v>178784.03679063541</v>
      </c>
      <c r="AG159" s="99">
        <f>IF(ISNUMBER('General Info'!$B$42), ((SamplingData[[#This Row],[up/U Selection Probability]]) * 'General Info'!$B$44) - 1, 0)</f>
        <v>176.22761478896305</v>
      </c>
      <c r="AH159" s="99">
        <f>IF(ISNUMBER('General Info'!$B$42), (SamplingData[[#This Row],[Running (cumulative) sum]] * ('General Info'!$B$42 -'General Info'!$B$43 + 1)) + 'General Info'!$B$43 - 1, 0)</f>
        <v>178960.26440542436</v>
      </c>
      <c r="AI159" s="99" t="str">
        <f>IF(ISERROR(MATCH(SamplingData[[#This Row],[Batch by Type (p)]],SelectedPrecincts[Batch Name], 0)), "", INDEX(SelectedPrecincts[Draw], MATCH(SamplingData[[#This Row],[Batch by Type (p)]],SelectedPrecincts[Batch Name], 0)))</f>
        <v/>
      </c>
      <c r="AJ159" s="100">
        <f>IF(COUNTIF(SelectedPrecincts[Batch Name],SamplingData[[#This Row],[Batch by Type (p)]]) &lt;&gt; 0, COUNTIF(SelectedPrecincts[Batch Name],SamplingData[[#This Row],[Batch by Type (p)]]), 0)</f>
        <v>0</v>
      </c>
    </row>
    <row r="160" spans="1:36" ht="15" customHeight="1" x14ac:dyDescent="0.35">
      <c r="A160" s="97" t="s">
        <v>373</v>
      </c>
      <c r="B160" s="97">
        <v>236</v>
      </c>
      <c r="C160" s="97">
        <v>35</v>
      </c>
      <c r="D160" s="92"/>
      <c r="E160" s="92"/>
      <c r="F160" s="92"/>
      <c r="G160" s="96"/>
      <c r="H160" s="96"/>
      <c r="I160" s="92"/>
      <c r="J160" s="92"/>
      <c r="K160" s="92"/>
      <c r="L160" s="92"/>
      <c r="M160" s="92"/>
      <c r="N160" s="97">
        <v>1</v>
      </c>
      <c r="O160" s="97">
        <v>19</v>
      </c>
      <c r="P160" s="98">
        <f>SUM(SamplingData[[#This Row],[Winning Candidate]:[Under Votes]])</f>
        <v>291</v>
      </c>
      <c r="Q160" s="99">
        <f>IF(AND(SamplingData[[#This Row],[Total]]&lt;&gt; 0, NOT(ISBLANK(SamplingData[[#This Row],[Losing Candidate]]))),(SamplingData[[#This Row],[Total]]+SamplingData[[#This Row],[Winning Candidate]]-SamplingData[[#This Row],[Losing Candidate]])/(SamplingData[[#Totals],[Winning Candidate]]-SamplingData[[#Totals],[Losing Candidate]]), 0)</f>
        <v>2.0879307418095398E-2</v>
      </c>
      <c r="R160" s="99">
        <f>IF(AND(SamplingData[[#This Row],[Total]]&lt;&gt; 0, NOT(ISBLANK(SamplingData[[#This Row],[Candidate 3]]))),(SamplingData[[#This Row],[Total]]+SamplingData[[#This Row],[Winning Candidate]]-SamplingData[[#This Row],[Candidate 3]])/(SamplingData[[#Totals],[Winning Candidate]]-SamplingData[[#Totals],[Candidate 3]]), 0)</f>
        <v>0</v>
      </c>
      <c r="S160" s="99">
        <f>IF(AND(SamplingData[[#This Row],[Total]]&lt;&gt; 0, NOT(ISBLANK(SamplingData[[#This Row],[Candidate 4]]))),(SamplingData[[#This Row],[Total]]+SamplingData[[#This Row],[Winning Candidate]]-SamplingData[[#This Row],[Candidate 4]])/(SamplingData[[#Totals],[Winning Candidate]]-SamplingData[[#Totals],[Candidate 4]]), 0)</f>
        <v>0</v>
      </c>
      <c r="T160" s="99">
        <f>IF(AND(SamplingData[[#This Row],[Total]]&lt;&gt; 0, NOT(ISBLANK(SamplingData[[#This Row],[Candidate 5]]))),(SamplingData[[#This Row],[Total]]+SamplingData[[#This Row],[Winning Candidate]]-SamplingData[[#This Row],[Candidate 5]])/(SamplingData[[#Totals],[Winning Candidate]]-SamplingData[[#Totals],[Candidate 5]]), 0)</f>
        <v>0</v>
      </c>
      <c r="U160" s="99">
        <f>IF(AND(SamplingData[[#This Row],[Total]]&lt;&gt; 0, NOT(ISBLANK(SamplingData[[#This Row],[Candidate 6]]))),(SamplingData[[#This Row],[Total]]+SamplingData[[#This Row],[Losing Candidate]]-SamplingData[[#This Row],[Candidate 6]])/(SamplingData[[#Totals],[Winning Candidate]]-SamplingData[[#Totals],[Candidate 6]]), 0)</f>
        <v>0</v>
      </c>
      <c r="V160" s="99">
        <f>IF(AND(SamplingData[[#This Row],[Total]]&lt;&gt; 0, NOT(ISBLANK(SamplingData[[#This Row],[Candidate 7]]))),(SamplingData[[#This Row],[Total]]+SamplingData[[#This Row],[Winning Candidate]]-SamplingData[[#This Row],[Candidate 7]])/(SamplingData[[#Totals],[Winning Candidate]]-SamplingData[[#Totals],[Candidate 7]]), 0)</f>
        <v>0</v>
      </c>
      <c r="W160" s="99">
        <f>IF(AND(SamplingData[[#This Row],[Total]]&lt;&gt; 0, NOT(ISBLANK(SamplingData[[#This Row],[Candidate 8]]))),(SamplingData[[#This Row],[Total]]+SamplingData[[#This Row],[Winning Candidate]]-SamplingData[[#This Row],[Candidate 8]])/(SamplingData[[#Totals],[Winning Candidate]]-SamplingData[[#Totals],[Candidate 8]]), 0)</f>
        <v>0</v>
      </c>
      <c r="X1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0" s="99">
        <f>MAX(SamplingData[[#This Row],[Error Bound (up) - Max. possible relative overstatement - Losing Candidate]:[Error Bound (up) - Max. possible relative overstatement - Candidate 12]])</f>
        <v>2.0879307418095398E-2</v>
      </c>
      <c r="AC160" s="99">
        <f>IF(SamplingData[[#This Row],[Max Error Bound (up)]] = 0,0,SamplingData[[#This Row],[Max Error Bound (up)]]/SamplingData[[#Totals],[Max Error Bound (up)]])</f>
        <v>1.1178972625149974E-3</v>
      </c>
      <c r="AD160" s="103">
        <f>SUM($AC$5:AC160)</f>
        <v>0.18007916166793936</v>
      </c>
      <c r="AE160" s="99" t="str" cm="1">
        <f t="array" ref="AE160">IF(SamplingData[[#This Row],[up/U Selection Probability]] = 0, "Zero", TEXT(SamplingData[[#This Row],[Lower Range]], REPT("0",LEN('General Info'!$B$42))) &amp; " - " &amp; TEXT(SamplingData[[#This Row],[Upper Range]], REPT("0",LEN('General Info'!$B$42))))</f>
        <v>178961 - 180078</v>
      </c>
      <c r="AF160" s="99">
        <f>SamplingData[[#This Row],[Upper Range]]-SamplingData[[#This Row],[Span]]</f>
        <v>178961.26440542436</v>
      </c>
      <c r="AG160" s="99">
        <f>IF(ISNUMBER('General Info'!$B$42), ((SamplingData[[#This Row],[up/U Selection Probability]]) * 'General Info'!$B$44) - 1, 0)</f>
        <v>1116.8972625149975</v>
      </c>
      <c r="AH160" s="99">
        <f>IF(ISNUMBER('General Info'!$B$42), (SamplingData[[#This Row],[Running (cumulative) sum]] * ('General Info'!$B$42 -'General Info'!$B$43 + 1)) + 'General Info'!$B$43 - 1, 0)</f>
        <v>180078.16166793936</v>
      </c>
      <c r="AI160" s="99" t="str">
        <f>IF(ISERROR(MATCH(SamplingData[[#This Row],[Batch by Type (p)]],SelectedPrecincts[Batch Name], 0)), "", INDEX(SelectedPrecincts[Draw], MATCH(SamplingData[[#This Row],[Batch by Type (p)]],SelectedPrecincts[Batch Name], 0)))</f>
        <v/>
      </c>
      <c r="AJ160" s="100">
        <f>IF(COUNTIF(SelectedPrecincts[Batch Name],SamplingData[[#This Row],[Batch by Type (p)]]) &lt;&gt; 0, COUNTIF(SelectedPrecincts[Batch Name],SamplingData[[#This Row],[Batch by Type (p)]]), 0)</f>
        <v>0</v>
      </c>
    </row>
    <row r="161" spans="1:36" ht="15" customHeight="1" x14ac:dyDescent="0.35">
      <c r="A161" s="97" t="s">
        <v>374</v>
      </c>
      <c r="B161" s="97">
        <v>189</v>
      </c>
      <c r="C161" s="97">
        <v>111</v>
      </c>
      <c r="D161" s="92"/>
      <c r="E161" s="92"/>
      <c r="F161" s="92"/>
      <c r="G161" s="96"/>
      <c r="H161" s="96"/>
      <c r="I161" s="92"/>
      <c r="J161" s="92"/>
      <c r="K161" s="92"/>
      <c r="L161" s="92"/>
      <c r="M161" s="92"/>
      <c r="N161" s="97">
        <v>1</v>
      </c>
      <c r="O161" s="97">
        <v>18</v>
      </c>
      <c r="P161" s="98">
        <f>SUM(SamplingData[[#This Row],[Winning Candidate]:[Under Votes]])</f>
        <v>319</v>
      </c>
      <c r="Q161" s="99">
        <f>IF(AND(SamplingData[[#This Row],[Total]]&lt;&gt; 0, NOT(ISBLANK(SamplingData[[#This Row],[Losing Candidate]]))),(SamplingData[[#This Row],[Total]]+SamplingData[[#This Row],[Winning Candidate]]-SamplingData[[#This Row],[Losing Candidate]])/(SamplingData[[#Totals],[Winning Candidate]]-SamplingData[[#Totals],[Losing Candidate]]), 0)</f>
        <v>1.6847733831268037E-2</v>
      </c>
      <c r="R161" s="99">
        <f>IF(AND(SamplingData[[#This Row],[Total]]&lt;&gt; 0, NOT(ISBLANK(SamplingData[[#This Row],[Candidate 3]]))),(SamplingData[[#This Row],[Total]]+SamplingData[[#This Row],[Winning Candidate]]-SamplingData[[#This Row],[Candidate 3]])/(SamplingData[[#Totals],[Winning Candidate]]-SamplingData[[#Totals],[Candidate 3]]), 0)</f>
        <v>0</v>
      </c>
      <c r="S161" s="99">
        <f>IF(AND(SamplingData[[#This Row],[Total]]&lt;&gt; 0, NOT(ISBLANK(SamplingData[[#This Row],[Candidate 4]]))),(SamplingData[[#This Row],[Total]]+SamplingData[[#This Row],[Winning Candidate]]-SamplingData[[#This Row],[Candidate 4]])/(SamplingData[[#Totals],[Winning Candidate]]-SamplingData[[#Totals],[Candidate 4]]), 0)</f>
        <v>0</v>
      </c>
      <c r="T161" s="99">
        <f>IF(AND(SamplingData[[#This Row],[Total]]&lt;&gt; 0, NOT(ISBLANK(SamplingData[[#This Row],[Candidate 5]]))),(SamplingData[[#This Row],[Total]]+SamplingData[[#This Row],[Winning Candidate]]-SamplingData[[#This Row],[Candidate 5]])/(SamplingData[[#Totals],[Winning Candidate]]-SamplingData[[#Totals],[Candidate 5]]), 0)</f>
        <v>0</v>
      </c>
      <c r="U161" s="99">
        <f>IF(AND(SamplingData[[#This Row],[Total]]&lt;&gt; 0, NOT(ISBLANK(SamplingData[[#This Row],[Candidate 6]]))),(SamplingData[[#This Row],[Total]]+SamplingData[[#This Row],[Losing Candidate]]-SamplingData[[#This Row],[Candidate 6]])/(SamplingData[[#Totals],[Winning Candidate]]-SamplingData[[#Totals],[Candidate 6]]), 0)</f>
        <v>0</v>
      </c>
      <c r="V161" s="99">
        <f>IF(AND(SamplingData[[#This Row],[Total]]&lt;&gt; 0, NOT(ISBLANK(SamplingData[[#This Row],[Candidate 7]]))),(SamplingData[[#This Row],[Total]]+SamplingData[[#This Row],[Winning Candidate]]-SamplingData[[#This Row],[Candidate 7]])/(SamplingData[[#Totals],[Winning Candidate]]-SamplingData[[#Totals],[Candidate 7]]), 0)</f>
        <v>0</v>
      </c>
      <c r="W161" s="99">
        <f>IF(AND(SamplingData[[#This Row],[Total]]&lt;&gt; 0, NOT(ISBLANK(SamplingData[[#This Row],[Candidate 8]]))),(SamplingData[[#This Row],[Total]]+SamplingData[[#This Row],[Winning Candidate]]-SamplingData[[#This Row],[Candidate 8]])/(SamplingData[[#Totals],[Winning Candidate]]-SamplingData[[#Totals],[Candidate 8]]), 0)</f>
        <v>0</v>
      </c>
      <c r="X1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1" s="99">
        <f>MAX(SamplingData[[#This Row],[Error Bound (up) - Max. possible relative overstatement - Losing Candidate]:[Error Bound (up) - Max. possible relative overstatement - Candidate 12]])</f>
        <v>1.6847733831268037E-2</v>
      </c>
      <c r="AC161" s="99">
        <f>IF(SamplingData[[#This Row],[Max Error Bound (up)]] = 0,0,SamplingData[[#This Row],[Max Error Bound (up)]]/SamplingData[[#Totals],[Max Error Bound (up)]])</f>
        <v>9.0204311629767087E-4</v>
      </c>
      <c r="AD161" s="103">
        <f>SUM($AC$5:AC161)</f>
        <v>0.18098120478423702</v>
      </c>
      <c r="AE161" s="99" t="str" cm="1">
        <f t="array" ref="AE161">IF(SamplingData[[#This Row],[up/U Selection Probability]] = 0, "Zero", TEXT(SamplingData[[#This Row],[Lower Range]], REPT("0",LEN('General Info'!$B$42))) &amp; " - " &amp; TEXT(SamplingData[[#This Row],[Upper Range]], REPT("0",LEN('General Info'!$B$42))))</f>
        <v>180079 - 180980</v>
      </c>
      <c r="AF161" s="99">
        <f>SamplingData[[#This Row],[Upper Range]]-SamplingData[[#This Row],[Span]]</f>
        <v>180079.16166793936</v>
      </c>
      <c r="AG161" s="99">
        <f>IF(ISNUMBER('General Info'!$B$42), ((SamplingData[[#This Row],[up/U Selection Probability]]) * 'General Info'!$B$44) - 1, 0)</f>
        <v>901.04311629767085</v>
      </c>
      <c r="AH161" s="99">
        <f>IF(ISNUMBER('General Info'!$B$42), (SamplingData[[#This Row],[Running (cumulative) sum]] * ('General Info'!$B$42 -'General Info'!$B$43 + 1)) + 'General Info'!$B$43 - 1, 0)</f>
        <v>180980.20478423702</v>
      </c>
      <c r="AI161" s="99" t="str">
        <f>IF(ISERROR(MATCH(SamplingData[[#This Row],[Batch by Type (p)]],SelectedPrecincts[Batch Name], 0)), "", INDEX(SelectedPrecincts[Draw], MATCH(SamplingData[[#This Row],[Batch by Type (p)]],SelectedPrecincts[Batch Name], 0)))</f>
        <v/>
      </c>
      <c r="AJ161" s="100">
        <f>IF(COUNTIF(SelectedPrecincts[Batch Name],SamplingData[[#This Row],[Batch by Type (p)]]) &lt;&gt; 0, COUNTIF(SelectedPrecincts[Batch Name],SamplingData[[#This Row],[Batch by Type (p)]]), 0)</f>
        <v>0</v>
      </c>
    </row>
    <row r="162" spans="1:36" ht="15" customHeight="1" x14ac:dyDescent="0.35">
      <c r="A162" s="97" t="s">
        <v>375</v>
      </c>
      <c r="B162" s="97">
        <v>18</v>
      </c>
      <c r="C162" s="97">
        <v>3</v>
      </c>
      <c r="D162" s="92"/>
      <c r="E162" s="92"/>
      <c r="F162" s="92"/>
      <c r="G162" s="96"/>
      <c r="H162" s="96"/>
      <c r="I162" s="92"/>
      <c r="J162" s="92"/>
      <c r="K162" s="92"/>
      <c r="L162" s="92"/>
      <c r="M162" s="92"/>
      <c r="N162" s="97">
        <v>0</v>
      </c>
      <c r="O162" s="97">
        <v>0</v>
      </c>
      <c r="P162" s="98">
        <f>SUM(SamplingData[[#This Row],[Winning Candidate]:[Under Votes]])</f>
        <v>21</v>
      </c>
      <c r="Q162" s="99">
        <f>IF(AND(SamplingData[[#This Row],[Total]]&lt;&gt; 0, NOT(ISBLANK(SamplingData[[#This Row],[Losing Candidate]]))),(SamplingData[[#This Row],[Total]]+SamplingData[[#This Row],[Winning Candidate]]-SamplingData[[#This Row],[Losing Candidate]])/(SamplingData[[#Totals],[Winning Candidate]]-SamplingData[[#Totals],[Losing Candidate]]), 0)</f>
        <v>1.5277542013240537E-3</v>
      </c>
      <c r="R162" s="99">
        <f>IF(AND(SamplingData[[#This Row],[Total]]&lt;&gt; 0, NOT(ISBLANK(SamplingData[[#This Row],[Candidate 3]]))),(SamplingData[[#This Row],[Total]]+SamplingData[[#This Row],[Winning Candidate]]-SamplingData[[#This Row],[Candidate 3]])/(SamplingData[[#Totals],[Winning Candidate]]-SamplingData[[#Totals],[Candidate 3]]), 0)</f>
        <v>0</v>
      </c>
      <c r="S162" s="99">
        <f>IF(AND(SamplingData[[#This Row],[Total]]&lt;&gt; 0, NOT(ISBLANK(SamplingData[[#This Row],[Candidate 4]]))),(SamplingData[[#This Row],[Total]]+SamplingData[[#This Row],[Winning Candidate]]-SamplingData[[#This Row],[Candidate 4]])/(SamplingData[[#Totals],[Winning Candidate]]-SamplingData[[#Totals],[Candidate 4]]), 0)</f>
        <v>0</v>
      </c>
      <c r="T162" s="99">
        <f>IF(AND(SamplingData[[#This Row],[Total]]&lt;&gt; 0, NOT(ISBLANK(SamplingData[[#This Row],[Candidate 5]]))),(SamplingData[[#This Row],[Total]]+SamplingData[[#This Row],[Winning Candidate]]-SamplingData[[#This Row],[Candidate 5]])/(SamplingData[[#Totals],[Winning Candidate]]-SamplingData[[#Totals],[Candidate 5]]), 0)</f>
        <v>0</v>
      </c>
      <c r="U162" s="99">
        <f>IF(AND(SamplingData[[#This Row],[Total]]&lt;&gt; 0, NOT(ISBLANK(SamplingData[[#This Row],[Candidate 6]]))),(SamplingData[[#This Row],[Total]]+SamplingData[[#This Row],[Losing Candidate]]-SamplingData[[#This Row],[Candidate 6]])/(SamplingData[[#Totals],[Winning Candidate]]-SamplingData[[#Totals],[Candidate 6]]), 0)</f>
        <v>0</v>
      </c>
      <c r="V162" s="99">
        <f>IF(AND(SamplingData[[#This Row],[Total]]&lt;&gt; 0, NOT(ISBLANK(SamplingData[[#This Row],[Candidate 7]]))),(SamplingData[[#This Row],[Total]]+SamplingData[[#This Row],[Winning Candidate]]-SamplingData[[#This Row],[Candidate 7]])/(SamplingData[[#Totals],[Winning Candidate]]-SamplingData[[#Totals],[Candidate 7]]), 0)</f>
        <v>0</v>
      </c>
      <c r="W162" s="99">
        <f>IF(AND(SamplingData[[#This Row],[Total]]&lt;&gt; 0, NOT(ISBLANK(SamplingData[[#This Row],[Candidate 8]]))),(SamplingData[[#This Row],[Total]]+SamplingData[[#This Row],[Winning Candidate]]-SamplingData[[#This Row],[Candidate 8]])/(SamplingData[[#Totals],[Winning Candidate]]-SamplingData[[#Totals],[Candidate 8]]), 0)</f>
        <v>0</v>
      </c>
      <c r="X1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2" s="99">
        <f>MAX(SamplingData[[#This Row],[Error Bound (up) - Max. possible relative overstatement - Losing Candidate]:[Error Bound (up) - Max. possible relative overstatement - Candidate 12]])</f>
        <v>1.5277542013240537E-3</v>
      </c>
      <c r="AC162" s="99">
        <f>IF(SamplingData[[#This Row],[Max Error Bound (up)]] = 0,0,SamplingData[[#This Row],[Max Error Bound (up)]]/SamplingData[[#Totals],[Max Error Bound (up)]])</f>
        <v>8.1797360671829089E-5</v>
      </c>
      <c r="AD162" s="103">
        <f>SUM($AC$5:AC162)</f>
        <v>0.18106300214490884</v>
      </c>
      <c r="AE162" s="99" t="str" cm="1">
        <f t="array" ref="AE162">IF(SamplingData[[#This Row],[up/U Selection Probability]] = 0, "Zero", TEXT(SamplingData[[#This Row],[Lower Range]], REPT("0",LEN('General Info'!$B$42))) &amp; " - " &amp; TEXT(SamplingData[[#This Row],[Upper Range]], REPT("0",LEN('General Info'!$B$42))))</f>
        <v>180981 - 181062</v>
      </c>
      <c r="AF162" s="99">
        <f>SamplingData[[#This Row],[Upper Range]]-SamplingData[[#This Row],[Span]]</f>
        <v>180981.20478423699</v>
      </c>
      <c r="AG162" s="99">
        <f>IF(ISNUMBER('General Info'!$B$42), ((SamplingData[[#This Row],[up/U Selection Probability]]) * 'General Info'!$B$44) - 1, 0)</f>
        <v>80.797360671829082</v>
      </c>
      <c r="AH162" s="99">
        <f>IF(ISNUMBER('General Info'!$B$42), (SamplingData[[#This Row],[Running (cumulative) sum]] * ('General Info'!$B$42 -'General Info'!$B$43 + 1)) + 'General Info'!$B$43 - 1, 0)</f>
        <v>181062.00214490882</v>
      </c>
      <c r="AI162" s="99" t="str">
        <f>IF(ISERROR(MATCH(SamplingData[[#This Row],[Batch by Type (p)]],SelectedPrecincts[Batch Name], 0)), "", INDEX(SelectedPrecincts[Draw], MATCH(SamplingData[[#This Row],[Batch by Type (p)]],SelectedPrecincts[Batch Name], 0)))</f>
        <v/>
      </c>
      <c r="AJ162" s="100">
        <f>IF(COUNTIF(SelectedPrecincts[Batch Name],SamplingData[[#This Row],[Batch by Type (p)]]) &lt;&gt; 0, COUNTIF(SelectedPrecincts[Batch Name],SamplingData[[#This Row],[Batch by Type (p)]]), 0)</f>
        <v>0</v>
      </c>
    </row>
    <row r="163" spans="1:36" ht="15" customHeight="1" x14ac:dyDescent="0.35">
      <c r="A163" s="97" t="s">
        <v>376</v>
      </c>
      <c r="B163" s="97">
        <v>32</v>
      </c>
      <c r="C163" s="97">
        <v>5</v>
      </c>
      <c r="D163" s="92"/>
      <c r="E163" s="92"/>
      <c r="F163" s="92"/>
      <c r="G163" s="96"/>
      <c r="H163" s="96"/>
      <c r="I163" s="92"/>
      <c r="J163" s="92"/>
      <c r="K163" s="92"/>
      <c r="L163" s="92"/>
      <c r="M163" s="92"/>
      <c r="N163" s="97">
        <v>0</v>
      </c>
      <c r="O163" s="97">
        <v>5</v>
      </c>
      <c r="P163" s="98">
        <f>SUM(SamplingData[[#This Row],[Winning Candidate]:[Under Votes]])</f>
        <v>42</v>
      </c>
      <c r="Q163" s="99">
        <f>IF(AND(SamplingData[[#This Row],[Total]]&lt;&gt; 0, NOT(ISBLANK(SamplingData[[#This Row],[Losing Candidate]]))),(SamplingData[[#This Row],[Total]]+SamplingData[[#This Row],[Winning Candidate]]-SamplingData[[#This Row],[Losing Candidate]])/(SamplingData[[#Totals],[Winning Candidate]]-SamplingData[[#Totals],[Losing Candidate]]), 0)</f>
        <v>2.9281955525377696E-3</v>
      </c>
      <c r="R163" s="99">
        <f>IF(AND(SamplingData[[#This Row],[Total]]&lt;&gt; 0, NOT(ISBLANK(SamplingData[[#This Row],[Candidate 3]]))),(SamplingData[[#This Row],[Total]]+SamplingData[[#This Row],[Winning Candidate]]-SamplingData[[#This Row],[Candidate 3]])/(SamplingData[[#Totals],[Winning Candidate]]-SamplingData[[#Totals],[Candidate 3]]), 0)</f>
        <v>0</v>
      </c>
      <c r="S163" s="99">
        <f>IF(AND(SamplingData[[#This Row],[Total]]&lt;&gt; 0, NOT(ISBLANK(SamplingData[[#This Row],[Candidate 4]]))),(SamplingData[[#This Row],[Total]]+SamplingData[[#This Row],[Winning Candidate]]-SamplingData[[#This Row],[Candidate 4]])/(SamplingData[[#Totals],[Winning Candidate]]-SamplingData[[#Totals],[Candidate 4]]), 0)</f>
        <v>0</v>
      </c>
      <c r="T163" s="99">
        <f>IF(AND(SamplingData[[#This Row],[Total]]&lt;&gt; 0, NOT(ISBLANK(SamplingData[[#This Row],[Candidate 5]]))),(SamplingData[[#This Row],[Total]]+SamplingData[[#This Row],[Winning Candidate]]-SamplingData[[#This Row],[Candidate 5]])/(SamplingData[[#Totals],[Winning Candidate]]-SamplingData[[#Totals],[Candidate 5]]), 0)</f>
        <v>0</v>
      </c>
      <c r="U163" s="99">
        <f>IF(AND(SamplingData[[#This Row],[Total]]&lt;&gt; 0, NOT(ISBLANK(SamplingData[[#This Row],[Candidate 6]]))),(SamplingData[[#This Row],[Total]]+SamplingData[[#This Row],[Losing Candidate]]-SamplingData[[#This Row],[Candidate 6]])/(SamplingData[[#Totals],[Winning Candidate]]-SamplingData[[#Totals],[Candidate 6]]), 0)</f>
        <v>0</v>
      </c>
      <c r="V163" s="99">
        <f>IF(AND(SamplingData[[#This Row],[Total]]&lt;&gt; 0, NOT(ISBLANK(SamplingData[[#This Row],[Candidate 7]]))),(SamplingData[[#This Row],[Total]]+SamplingData[[#This Row],[Winning Candidate]]-SamplingData[[#This Row],[Candidate 7]])/(SamplingData[[#Totals],[Winning Candidate]]-SamplingData[[#Totals],[Candidate 7]]), 0)</f>
        <v>0</v>
      </c>
      <c r="W163" s="99">
        <f>IF(AND(SamplingData[[#This Row],[Total]]&lt;&gt; 0, NOT(ISBLANK(SamplingData[[#This Row],[Candidate 8]]))),(SamplingData[[#This Row],[Total]]+SamplingData[[#This Row],[Winning Candidate]]-SamplingData[[#This Row],[Candidate 8]])/(SamplingData[[#Totals],[Winning Candidate]]-SamplingData[[#Totals],[Candidate 8]]), 0)</f>
        <v>0</v>
      </c>
      <c r="X1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3" s="99">
        <f>MAX(SamplingData[[#This Row],[Error Bound (up) - Max. possible relative overstatement - Losing Candidate]:[Error Bound (up) - Max. possible relative overstatement - Candidate 12]])</f>
        <v>2.9281955525377696E-3</v>
      </c>
      <c r="AC163" s="99">
        <f>IF(SamplingData[[#This Row],[Max Error Bound (up)]] = 0,0,SamplingData[[#This Row],[Max Error Bound (up)]]/SamplingData[[#Totals],[Max Error Bound (up)]])</f>
        <v>1.5677827462100578E-4</v>
      </c>
      <c r="AD163" s="103">
        <f>SUM($AC$5:AC163)</f>
        <v>0.18121978041952985</v>
      </c>
      <c r="AE163" s="99" t="str" cm="1">
        <f t="array" ref="AE163">IF(SamplingData[[#This Row],[up/U Selection Probability]] = 0, "Zero", TEXT(SamplingData[[#This Row],[Lower Range]], REPT("0",LEN('General Info'!$B$42))) &amp; " - " &amp; TEXT(SamplingData[[#This Row],[Upper Range]], REPT("0",LEN('General Info'!$B$42))))</f>
        <v>181063 - 181219</v>
      </c>
      <c r="AF163" s="99">
        <f>SamplingData[[#This Row],[Upper Range]]-SamplingData[[#This Row],[Span]]</f>
        <v>181063.00214490885</v>
      </c>
      <c r="AG163" s="99">
        <f>IF(ISNUMBER('General Info'!$B$42), ((SamplingData[[#This Row],[up/U Selection Probability]]) * 'General Info'!$B$44) - 1, 0)</f>
        <v>155.77827462100578</v>
      </c>
      <c r="AH163" s="99">
        <f>IF(ISNUMBER('General Info'!$B$42), (SamplingData[[#This Row],[Running (cumulative) sum]] * ('General Info'!$B$42 -'General Info'!$B$43 + 1)) + 'General Info'!$B$43 - 1, 0)</f>
        <v>181218.78041952985</v>
      </c>
      <c r="AI163" s="99" t="str">
        <f>IF(ISERROR(MATCH(SamplingData[[#This Row],[Batch by Type (p)]],SelectedPrecincts[Batch Name], 0)), "", INDEX(SelectedPrecincts[Draw], MATCH(SamplingData[[#This Row],[Batch by Type (p)]],SelectedPrecincts[Batch Name], 0)))</f>
        <v/>
      </c>
      <c r="AJ163" s="100">
        <f>IF(COUNTIF(SelectedPrecincts[Batch Name],SamplingData[[#This Row],[Batch by Type (p)]]) &lt;&gt; 0, COUNTIF(SelectedPrecincts[Batch Name],SamplingData[[#This Row],[Batch by Type (p)]]), 0)</f>
        <v>0</v>
      </c>
    </row>
    <row r="164" spans="1:36" ht="15" customHeight="1" x14ac:dyDescent="0.35">
      <c r="A164" s="97" t="s">
        <v>377</v>
      </c>
      <c r="B164" s="97">
        <v>180</v>
      </c>
      <c r="C164" s="97">
        <v>25</v>
      </c>
      <c r="D164" s="92"/>
      <c r="E164" s="92"/>
      <c r="F164" s="92"/>
      <c r="G164" s="96"/>
      <c r="H164" s="96"/>
      <c r="I164" s="92"/>
      <c r="J164" s="92"/>
      <c r="K164" s="92"/>
      <c r="L164" s="92"/>
      <c r="M164" s="92"/>
      <c r="N164" s="97">
        <v>0</v>
      </c>
      <c r="O164" s="97">
        <v>9</v>
      </c>
      <c r="P164" s="98">
        <f>SUM(SamplingData[[#This Row],[Winning Candidate]:[Under Votes]])</f>
        <v>214</v>
      </c>
      <c r="Q164" s="99">
        <f>IF(AND(SamplingData[[#This Row],[Total]]&lt;&gt; 0, NOT(ISBLANK(SamplingData[[#This Row],[Losing Candidate]]))),(SamplingData[[#This Row],[Total]]+SamplingData[[#This Row],[Winning Candidate]]-SamplingData[[#This Row],[Losing Candidate]])/(SamplingData[[#Totals],[Winning Candidate]]-SamplingData[[#Totals],[Losing Candidate]]), 0)</f>
        <v>1.565948056357155E-2</v>
      </c>
      <c r="R164" s="99">
        <f>IF(AND(SamplingData[[#This Row],[Total]]&lt;&gt; 0, NOT(ISBLANK(SamplingData[[#This Row],[Candidate 3]]))),(SamplingData[[#This Row],[Total]]+SamplingData[[#This Row],[Winning Candidate]]-SamplingData[[#This Row],[Candidate 3]])/(SamplingData[[#Totals],[Winning Candidate]]-SamplingData[[#Totals],[Candidate 3]]), 0)</f>
        <v>0</v>
      </c>
      <c r="S164" s="99">
        <f>IF(AND(SamplingData[[#This Row],[Total]]&lt;&gt; 0, NOT(ISBLANK(SamplingData[[#This Row],[Candidate 4]]))),(SamplingData[[#This Row],[Total]]+SamplingData[[#This Row],[Winning Candidate]]-SamplingData[[#This Row],[Candidate 4]])/(SamplingData[[#Totals],[Winning Candidate]]-SamplingData[[#Totals],[Candidate 4]]), 0)</f>
        <v>0</v>
      </c>
      <c r="T164" s="99">
        <f>IF(AND(SamplingData[[#This Row],[Total]]&lt;&gt; 0, NOT(ISBLANK(SamplingData[[#This Row],[Candidate 5]]))),(SamplingData[[#This Row],[Total]]+SamplingData[[#This Row],[Winning Candidate]]-SamplingData[[#This Row],[Candidate 5]])/(SamplingData[[#Totals],[Winning Candidate]]-SamplingData[[#Totals],[Candidate 5]]), 0)</f>
        <v>0</v>
      </c>
      <c r="U164" s="99">
        <f>IF(AND(SamplingData[[#This Row],[Total]]&lt;&gt; 0, NOT(ISBLANK(SamplingData[[#This Row],[Candidate 6]]))),(SamplingData[[#This Row],[Total]]+SamplingData[[#This Row],[Losing Candidate]]-SamplingData[[#This Row],[Candidate 6]])/(SamplingData[[#Totals],[Winning Candidate]]-SamplingData[[#Totals],[Candidate 6]]), 0)</f>
        <v>0</v>
      </c>
      <c r="V164" s="99">
        <f>IF(AND(SamplingData[[#This Row],[Total]]&lt;&gt; 0, NOT(ISBLANK(SamplingData[[#This Row],[Candidate 7]]))),(SamplingData[[#This Row],[Total]]+SamplingData[[#This Row],[Winning Candidate]]-SamplingData[[#This Row],[Candidate 7]])/(SamplingData[[#Totals],[Winning Candidate]]-SamplingData[[#Totals],[Candidate 7]]), 0)</f>
        <v>0</v>
      </c>
      <c r="W164" s="99">
        <f>IF(AND(SamplingData[[#This Row],[Total]]&lt;&gt; 0, NOT(ISBLANK(SamplingData[[#This Row],[Candidate 8]]))),(SamplingData[[#This Row],[Total]]+SamplingData[[#This Row],[Winning Candidate]]-SamplingData[[#This Row],[Candidate 8]])/(SamplingData[[#Totals],[Winning Candidate]]-SamplingData[[#Totals],[Candidate 8]]), 0)</f>
        <v>0</v>
      </c>
      <c r="X1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4" s="99">
        <f>MAX(SamplingData[[#This Row],[Error Bound (up) - Max. possible relative overstatement - Losing Candidate]:[Error Bound (up) - Max. possible relative overstatement - Candidate 12]])</f>
        <v>1.565948056357155E-2</v>
      </c>
      <c r="AC164" s="99">
        <f>IF(SamplingData[[#This Row],[Max Error Bound (up)]] = 0,0,SamplingData[[#This Row],[Max Error Bound (up)]]/SamplingData[[#Totals],[Max Error Bound (up)]])</f>
        <v>8.3842294688624825E-4</v>
      </c>
      <c r="AD164" s="103">
        <f>SUM($AC$5:AC164)</f>
        <v>0.18205820336641609</v>
      </c>
      <c r="AE164" s="99" t="str" cm="1">
        <f t="array" ref="AE164">IF(SamplingData[[#This Row],[up/U Selection Probability]] = 0, "Zero", TEXT(SamplingData[[#This Row],[Lower Range]], REPT("0",LEN('General Info'!$B$42))) &amp; " - " &amp; TEXT(SamplingData[[#This Row],[Upper Range]], REPT("0",LEN('General Info'!$B$42))))</f>
        <v>181220 - 182057</v>
      </c>
      <c r="AF164" s="99">
        <f>SamplingData[[#This Row],[Upper Range]]-SamplingData[[#This Row],[Span]]</f>
        <v>181219.78041952985</v>
      </c>
      <c r="AG164" s="99">
        <f>IF(ISNUMBER('General Info'!$B$42), ((SamplingData[[#This Row],[up/U Selection Probability]]) * 'General Info'!$B$44) - 1, 0)</f>
        <v>837.42294688624827</v>
      </c>
      <c r="AH164" s="99">
        <f>IF(ISNUMBER('General Info'!$B$42), (SamplingData[[#This Row],[Running (cumulative) sum]] * ('General Info'!$B$42 -'General Info'!$B$43 + 1)) + 'General Info'!$B$43 - 1, 0)</f>
        <v>182057.2033664161</v>
      </c>
      <c r="AI164" s="99" t="str">
        <f>IF(ISERROR(MATCH(SamplingData[[#This Row],[Batch by Type (p)]],SelectedPrecincts[Batch Name], 0)), "", INDEX(SelectedPrecincts[Draw], MATCH(SamplingData[[#This Row],[Batch by Type (p)]],SelectedPrecincts[Batch Name], 0)))</f>
        <v/>
      </c>
      <c r="AJ164" s="100">
        <f>IF(COUNTIF(SelectedPrecincts[Batch Name],SamplingData[[#This Row],[Batch by Type (p)]]) &lt;&gt; 0, COUNTIF(SelectedPrecincts[Batch Name],SamplingData[[#This Row],[Batch by Type (p)]]), 0)</f>
        <v>0</v>
      </c>
    </row>
    <row r="165" spans="1:36" ht="15" customHeight="1" x14ac:dyDescent="0.35">
      <c r="A165" s="97" t="s">
        <v>378</v>
      </c>
      <c r="B165" s="97">
        <v>72</v>
      </c>
      <c r="C165" s="97">
        <v>47</v>
      </c>
      <c r="D165" s="92"/>
      <c r="E165" s="92"/>
      <c r="F165" s="92"/>
      <c r="G165" s="96"/>
      <c r="H165" s="96"/>
      <c r="I165" s="92"/>
      <c r="J165" s="92"/>
      <c r="K165" s="92"/>
      <c r="L165" s="92"/>
      <c r="M165" s="92"/>
      <c r="N165" s="97">
        <v>0</v>
      </c>
      <c r="O165" s="97">
        <v>9</v>
      </c>
      <c r="P165" s="98">
        <f>SUM(SamplingData[[#This Row],[Winning Candidate]:[Under Votes]])</f>
        <v>128</v>
      </c>
      <c r="Q165" s="99">
        <f>IF(AND(SamplingData[[#This Row],[Total]]&lt;&gt; 0, NOT(ISBLANK(SamplingData[[#This Row],[Losing Candidate]]))),(SamplingData[[#This Row],[Total]]+SamplingData[[#This Row],[Winning Candidate]]-SamplingData[[#This Row],[Losing Candidate]])/(SamplingData[[#Totals],[Winning Candidate]]-SamplingData[[#Totals],[Losing Candidate]]), 0)</f>
        <v>6.4929553556272281E-3</v>
      </c>
      <c r="R165" s="99">
        <f>IF(AND(SamplingData[[#This Row],[Total]]&lt;&gt; 0, NOT(ISBLANK(SamplingData[[#This Row],[Candidate 3]]))),(SamplingData[[#This Row],[Total]]+SamplingData[[#This Row],[Winning Candidate]]-SamplingData[[#This Row],[Candidate 3]])/(SamplingData[[#Totals],[Winning Candidate]]-SamplingData[[#Totals],[Candidate 3]]), 0)</f>
        <v>0</v>
      </c>
      <c r="S165" s="99">
        <f>IF(AND(SamplingData[[#This Row],[Total]]&lt;&gt; 0, NOT(ISBLANK(SamplingData[[#This Row],[Candidate 4]]))),(SamplingData[[#This Row],[Total]]+SamplingData[[#This Row],[Winning Candidate]]-SamplingData[[#This Row],[Candidate 4]])/(SamplingData[[#Totals],[Winning Candidate]]-SamplingData[[#Totals],[Candidate 4]]), 0)</f>
        <v>0</v>
      </c>
      <c r="T165" s="99">
        <f>IF(AND(SamplingData[[#This Row],[Total]]&lt;&gt; 0, NOT(ISBLANK(SamplingData[[#This Row],[Candidate 5]]))),(SamplingData[[#This Row],[Total]]+SamplingData[[#This Row],[Winning Candidate]]-SamplingData[[#This Row],[Candidate 5]])/(SamplingData[[#Totals],[Winning Candidate]]-SamplingData[[#Totals],[Candidate 5]]), 0)</f>
        <v>0</v>
      </c>
      <c r="U165" s="99">
        <f>IF(AND(SamplingData[[#This Row],[Total]]&lt;&gt; 0, NOT(ISBLANK(SamplingData[[#This Row],[Candidate 6]]))),(SamplingData[[#This Row],[Total]]+SamplingData[[#This Row],[Losing Candidate]]-SamplingData[[#This Row],[Candidate 6]])/(SamplingData[[#Totals],[Winning Candidate]]-SamplingData[[#Totals],[Candidate 6]]), 0)</f>
        <v>0</v>
      </c>
      <c r="V165" s="99">
        <f>IF(AND(SamplingData[[#This Row],[Total]]&lt;&gt; 0, NOT(ISBLANK(SamplingData[[#This Row],[Candidate 7]]))),(SamplingData[[#This Row],[Total]]+SamplingData[[#This Row],[Winning Candidate]]-SamplingData[[#This Row],[Candidate 7]])/(SamplingData[[#Totals],[Winning Candidate]]-SamplingData[[#Totals],[Candidate 7]]), 0)</f>
        <v>0</v>
      </c>
      <c r="W165" s="99">
        <f>IF(AND(SamplingData[[#This Row],[Total]]&lt;&gt; 0, NOT(ISBLANK(SamplingData[[#This Row],[Candidate 8]]))),(SamplingData[[#This Row],[Total]]+SamplingData[[#This Row],[Winning Candidate]]-SamplingData[[#This Row],[Candidate 8]])/(SamplingData[[#Totals],[Winning Candidate]]-SamplingData[[#Totals],[Candidate 8]]), 0)</f>
        <v>0</v>
      </c>
      <c r="X1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5" s="99">
        <f>MAX(SamplingData[[#This Row],[Error Bound (up) - Max. possible relative overstatement - Losing Candidate]:[Error Bound (up) - Max. possible relative overstatement - Candidate 12]])</f>
        <v>6.4929553556272281E-3</v>
      </c>
      <c r="AC165" s="99">
        <f>IF(SamplingData[[#This Row],[Max Error Bound (up)]] = 0,0,SamplingData[[#This Row],[Max Error Bound (up)]]/SamplingData[[#Totals],[Max Error Bound (up)]])</f>
        <v>3.4763878285527366E-4</v>
      </c>
      <c r="AD165" s="103">
        <f>SUM($AC$5:AC165)</f>
        <v>0.18240584214927136</v>
      </c>
      <c r="AE165" s="99" t="str" cm="1">
        <f t="array" ref="AE165">IF(SamplingData[[#This Row],[up/U Selection Probability]] = 0, "Zero", TEXT(SamplingData[[#This Row],[Lower Range]], REPT("0",LEN('General Info'!$B$42))) &amp; " - " &amp; TEXT(SamplingData[[#This Row],[Upper Range]], REPT("0",LEN('General Info'!$B$42))))</f>
        <v>182058 - 182405</v>
      </c>
      <c r="AF165" s="99">
        <f>SamplingData[[#This Row],[Upper Range]]-SamplingData[[#This Row],[Span]]</f>
        <v>182058.2033664161</v>
      </c>
      <c r="AG165" s="99">
        <f>IF(ISNUMBER('General Info'!$B$42), ((SamplingData[[#This Row],[up/U Selection Probability]]) * 'General Info'!$B$44) - 1, 0)</f>
        <v>346.63878285527363</v>
      </c>
      <c r="AH165" s="99">
        <f>IF(ISNUMBER('General Info'!$B$42), (SamplingData[[#This Row],[Running (cumulative) sum]] * ('General Info'!$B$42 -'General Info'!$B$43 + 1)) + 'General Info'!$B$43 - 1, 0)</f>
        <v>182404.84214927137</v>
      </c>
      <c r="AI165" s="99" t="str">
        <f>IF(ISERROR(MATCH(SamplingData[[#This Row],[Batch by Type (p)]],SelectedPrecincts[Batch Name], 0)), "", INDEX(SelectedPrecincts[Draw], MATCH(SamplingData[[#This Row],[Batch by Type (p)]],SelectedPrecincts[Batch Name], 0)))</f>
        <v/>
      </c>
      <c r="AJ165" s="100">
        <f>IF(COUNTIF(SelectedPrecincts[Batch Name],SamplingData[[#This Row],[Batch by Type (p)]]) &lt;&gt; 0, COUNTIF(SelectedPrecincts[Batch Name],SamplingData[[#This Row],[Batch by Type (p)]]), 0)</f>
        <v>0</v>
      </c>
    </row>
    <row r="166" spans="1:36" ht="15" customHeight="1" x14ac:dyDescent="0.35">
      <c r="A166" s="97" t="s">
        <v>379</v>
      </c>
      <c r="B166" s="97">
        <v>140</v>
      </c>
      <c r="C166" s="97">
        <v>101</v>
      </c>
      <c r="D166" s="92"/>
      <c r="E166" s="92"/>
      <c r="F166" s="92"/>
      <c r="G166" s="96"/>
      <c r="H166" s="96"/>
      <c r="I166" s="92"/>
      <c r="J166" s="92"/>
      <c r="K166" s="92"/>
      <c r="L166" s="92"/>
      <c r="M166" s="92"/>
      <c r="N166" s="97">
        <v>0</v>
      </c>
      <c r="O166" s="97">
        <v>12</v>
      </c>
      <c r="P166" s="98">
        <f>SUM(SamplingData[[#This Row],[Winning Candidate]:[Under Votes]])</f>
        <v>253</v>
      </c>
      <c r="Q166" s="99">
        <f>IF(AND(SamplingData[[#This Row],[Total]]&lt;&gt; 0, NOT(ISBLANK(SamplingData[[#This Row],[Losing Candidate]]))),(SamplingData[[#This Row],[Total]]+SamplingData[[#This Row],[Winning Candidate]]-SamplingData[[#This Row],[Losing Candidate]])/(SamplingData[[#Totals],[Winning Candidate]]-SamplingData[[#Totals],[Losing Candidate]]), 0)</f>
        <v>1.2391784077406213E-2</v>
      </c>
      <c r="R166" s="99">
        <f>IF(AND(SamplingData[[#This Row],[Total]]&lt;&gt; 0, NOT(ISBLANK(SamplingData[[#This Row],[Candidate 3]]))),(SamplingData[[#This Row],[Total]]+SamplingData[[#This Row],[Winning Candidate]]-SamplingData[[#This Row],[Candidate 3]])/(SamplingData[[#Totals],[Winning Candidate]]-SamplingData[[#Totals],[Candidate 3]]), 0)</f>
        <v>0</v>
      </c>
      <c r="S166" s="99">
        <f>IF(AND(SamplingData[[#This Row],[Total]]&lt;&gt; 0, NOT(ISBLANK(SamplingData[[#This Row],[Candidate 4]]))),(SamplingData[[#This Row],[Total]]+SamplingData[[#This Row],[Winning Candidate]]-SamplingData[[#This Row],[Candidate 4]])/(SamplingData[[#Totals],[Winning Candidate]]-SamplingData[[#Totals],[Candidate 4]]), 0)</f>
        <v>0</v>
      </c>
      <c r="T166" s="99">
        <f>IF(AND(SamplingData[[#This Row],[Total]]&lt;&gt; 0, NOT(ISBLANK(SamplingData[[#This Row],[Candidate 5]]))),(SamplingData[[#This Row],[Total]]+SamplingData[[#This Row],[Winning Candidate]]-SamplingData[[#This Row],[Candidate 5]])/(SamplingData[[#Totals],[Winning Candidate]]-SamplingData[[#Totals],[Candidate 5]]), 0)</f>
        <v>0</v>
      </c>
      <c r="U166" s="99">
        <f>IF(AND(SamplingData[[#This Row],[Total]]&lt;&gt; 0, NOT(ISBLANK(SamplingData[[#This Row],[Candidate 6]]))),(SamplingData[[#This Row],[Total]]+SamplingData[[#This Row],[Losing Candidate]]-SamplingData[[#This Row],[Candidate 6]])/(SamplingData[[#Totals],[Winning Candidate]]-SamplingData[[#Totals],[Candidate 6]]), 0)</f>
        <v>0</v>
      </c>
      <c r="V166" s="99">
        <f>IF(AND(SamplingData[[#This Row],[Total]]&lt;&gt; 0, NOT(ISBLANK(SamplingData[[#This Row],[Candidate 7]]))),(SamplingData[[#This Row],[Total]]+SamplingData[[#This Row],[Winning Candidate]]-SamplingData[[#This Row],[Candidate 7]])/(SamplingData[[#Totals],[Winning Candidate]]-SamplingData[[#Totals],[Candidate 7]]), 0)</f>
        <v>0</v>
      </c>
      <c r="W166" s="99">
        <f>IF(AND(SamplingData[[#This Row],[Total]]&lt;&gt; 0, NOT(ISBLANK(SamplingData[[#This Row],[Candidate 8]]))),(SamplingData[[#This Row],[Total]]+SamplingData[[#This Row],[Winning Candidate]]-SamplingData[[#This Row],[Candidate 8]])/(SamplingData[[#Totals],[Winning Candidate]]-SamplingData[[#Totals],[Candidate 8]]), 0)</f>
        <v>0</v>
      </c>
      <c r="X1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6" s="99">
        <f>MAX(SamplingData[[#This Row],[Error Bound (up) - Max. possible relative overstatement - Losing Candidate]:[Error Bound (up) - Max. possible relative overstatement - Candidate 12]])</f>
        <v>1.2391784077406213E-2</v>
      </c>
      <c r="AC166" s="99">
        <f>IF(SamplingData[[#This Row],[Max Error Bound (up)]] = 0,0,SamplingData[[#This Row],[Max Error Bound (up)]]/SamplingData[[#Totals],[Max Error Bound (up)]])</f>
        <v>6.6346748100483595E-4</v>
      </c>
      <c r="AD166" s="103">
        <f>SUM($AC$5:AC166)</f>
        <v>0.18306930963027621</v>
      </c>
      <c r="AE166" s="99" t="str" cm="1">
        <f t="array" ref="AE166">IF(SamplingData[[#This Row],[up/U Selection Probability]] = 0, "Zero", TEXT(SamplingData[[#This Row],[Lower Range]], REPT("0",LEN('General Info'!$B$42))) &amp; " - " &amp; TEXT(SamplingData[[#This Row],[Upper Range]], REPT("0",LEN('General Info'!$B$42))))</f>
        <v>182406 - 183068</v>
      </c>
      <c r="AF166" s="99">
        <f>SamplingData[[#This Row],[Upper Range]]-SamplingData[[#This Row],[Span]]</f>
        <v>182405.84214927137</v>
      </c>
      <c r="AG166" s="99">
        <f>IF(ISNUMBER('General Info'!$B$42), ((SamplingData[[#This Row],[up/U Selection Probability]]) * 'General Info'!$B$44) - 1, 0)</f>
        <v>662.46748100483592</v>
      </c>
      <c r="AH166" s="99">
        <f>IF(ISNUMBER('General Info'!$B$42), (SamplingData[[#This Row],[Running (cumulative) sum]] * ('General Info'!$B$42 -'General Info'!$B$43 + 1)) + 'General Info'!$B$43 - 1, 0)</f>
        <v>183068.3096302762</v>
      </c>
      <c r="AI166" s="99" t="str">
        <f>IF(ISERROR(MATCH(SamplingData[[#This Row],[Batch by Type (p)]],SelectedPrecincts[Batch Name], 0)), "", INDEX(SelectedPrecincts[Draw], MATCH(SamplingData[[#This Row],[Batch by Type (p)]],SelectedPrecincts[Batch Name], 0)))</f>
        <v/>
      </c>
      <c r="AJ166" s="100">
        <f>IF(COUNTIF(SelectedPrecincts[Batch Name],SamplingData[[#This Row],[Batch by Type (p)]]) &lt;&gt; 0, COUNTIF(SelectedPrecincts[Batch Name],SamplingData[[#This Row],[Batch by Type (p)]]), 0)</f>
        <v>0</v>
      </c>
    </row>
    <row r="167" spans="1:36" ht="15" customHeight="1" x14ac:dyDescent="0.35">
      <c r="A167" s="97" t="s">
        <v>380</v>
      </c>
      <c r="B167" s="97">
        <v>97</v>
      </c>
      <c r="C167" s="97">
        <v>108</v>
      </c>
      <c r="D167" s="92"/>
      <c r="E167" s="92"/>
      <c r="F167" s="92"/>
      <c r="G167" s="96"/>
      <c r="H167" s="96"/>
      <c r="I167" s="92"/>
      <c r="J167" s="92"/>
      <c r="K167" s="92"/>
      <c r="L167" s="92"/>
      <c r="M167" s="92"/>
      <c r="N167" s="97">
        <v>0</v>
      </c>
      <c r="O167" s="97">
        <v>7</v>
      </c>
      <c r="P167" s="98">
        <f>SUM(SamplingData[[#This Row],[Winning Candidate]:[Under Votes]])</f>
        <v>212</v>
      </c>
      <c r="Q167" s="99">
        <f>IF(AND(SamplingData[[#This Row],[Total]]&lt;&gt; 0, NOT(ISBLANK(SamplingData[[#This Row],[Losing Candidate]]))),(SamplingData[[#This Row],[Total]]+SamplingData[[#This Row],[Winning Candidate]]-SamplingData[[#This Row],[Losing Candidate]])/(SamplingData[[#Totals],[Winning Candidate]]-SamplingData[[#Totals],[Losing Candidate]]), 0)</f>
        <v>8.5299609573926335E-3</v>
      </c>
      <c r="R167" s="99">
        <f>IF(AND(SamplingData[[#This Row],[Total]]&lt;&gt; 0, NOT(ISBLANK(SamplingData[[#This Row],[Candidate 3]]))),(SamplingData[[#This Row],[Total]]+SamplingData[[#This Row],[Winning Candidate]]-SamplingData[[#This Row],[Candidate 3]])/(SamplingData[[#Totals],[Winning Candidate]]-SamplingData[[#Totals],[Candidate 3]]), 0)</f>
        <v>0</v>
      </c>
      <c r="S167" s="99">
        <f>IF(AND(SamplingData[[#This Row],[Total]]&lt;&gt; 0, NOT(ISBLANK(SamplingData[[#This Row],[Candidate 4]]))),(SamplingData[[#This Row],[Total]]+SamplingData[[#This Row],[Winning Candidate]]-SamplingData[[#This Row],[Candidate 4]])/(SamplingData[[#Totals],[Winning Candidate]]-SamplingData[[#Totals],[Candidate 4]]), 0)</f>
        <v>0</v>
      </c>
      <c r="T167" s="99">
        <f>IF(AND(SamplingData[[#This Row],[Total]]&lt;&gt; 0, NOT(ISBLANK(SamplingData[[#This Row],[Candidate 5]]))),(SamplingData[[#This Row],[Total]]+SamplingData[[#This Row],[Winning Candidate]]-SamplingData[[#This Row],[Candidate 5]])/(SamplingData[[#Totals],[Winning Candidate]]-SamplingData[[#Totals],[Candidate 5]]), 0)</f>
        <v>0</v>
      </c>
      <c r="U167" s="99">
        <f>IF(AND(SamplingData[[#This Row],[Total]]&lt;&gt; 0, NOT(ISBLANK(SamplingData[[#This Row],[Candidate 6]]))),(SamplingData[[#This Row],[Total]]+SamplingData[[#This Row],[Losing Candidate]]-SamplingData[[#This Row],[Candidate 6]])/(SamplingData[[#Totals],[Winning Candidate]]-SamplingData[[#Totals],[Candidate 6]]), 0)</f>
        <v>0</v>
      </c>
      <c r="V167" s="99">
        <f>IF(AND(SamplingData[[#This Row],[Total]]&lt;&gt; 0, NOT(ISBLANK(SamplingData[[#This Row],[Candidate 7]]))),(SamplingData[[#This Row],[Total]]+SamplingData[[#This Row],[Winning Candidate]]-SamplingData[[#This Row],[Candidate 7]])/(SamplingData[[#Totals],[Winning Candidate]]-SamplingData[[#Totals],[Candidate 7]]), 0)</f>
        <v>0</v>
      </c>
      <c r="W167" s="99">
        <f>IF(AND(SamplingData[[#This Row],[Total]]&lt;&gt; 0, NOT(ISBLANK(SamplingData[[#This Row],[Candidate 8]]))),(SamplingData[[#This Row],[Total]]+SamplingData[[#This Row],[Winning Candidate]]-SamplingData[[#This Row],[Candidate 8]])/(SamplingData[[#Totals],[Winning Candidate]]-SamplingData[[#Totals],[Candidate 8]]), 0)</f>
        <v>0</v>
      </c>
      <c r="X1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7" s="99">
        <f>MAX(SamplingData[[#This Row],[Error Bound (up) - Max. possible relative overstatement - Losing Candidate]:[Error Bound (up) - Max. possible relative overstatement - Candidate 12]])</f>
        <v>8.5299609573926335E-3</v>
      </c>
      <c r="AC167" s="99">
        <f>IF(SamplingData[[#This Row],[Max Error Bound (up)]] = 0,0,SamplingData[[#This Row],[Max Error Bound (up)]]/SamplingData[[#Totals],[Max Error Bound (up)]])</f>
        <v>4.567019304177125E-4</v>
      </c>
      <c r="AD167" s="103">
        <f>SUM($AC$5:AC167)</f>
        <v>0.18352601156069392</v>
      </c>
      <c r="AE167" s="99" t="str" cm="1">
        <f t="array" ref="AE167">IF(SamplingData[[#This Row],[up/U Selection Probability]] = 0, "Zero", TEXT(SamplingData[[#This Row],[Lower Range]], REPT("0",LEN('General Info'!$B$42))) &amp; " - " &amp; TEXT(SamplingData[[#This Row],[Upper Range]], REPT("0",LEN('General Info'!$B$42))))</f>
        <v>183069 - 183525</v>
      </c>
      <c r="AF167" s="99">
        <f>SamplingData[[#This Row],[Upper Range]]-SamplingData[[#This Row],[Span]]</f>
        <v>183069.30963027623</v>
      </c>
      <c r="AG167" s="99">
        <f>IF(ISNUMBER('General Info'!$B$42), ((SamplingData[[#This Row],[up/U Selection Probability]]) * 'General Info'!$B$44) - 1, 0)</f>
        <v>455.7019304177125</v>
      </c>
      <c r="AH167" s="99">
        <f>IF(ISNUMBER('General Info'!$B$42), (SamplingData[[#This Row],[Running (cumulative) sum]] * ('General Info'!$B$42 -'General Info'!$B$43 + 1)) + 'General Info'!$B$43 - 1, 0)</f>
        <v>183525.01156069394</v>
      </c>
      <c r="AI167" s="99" t="str">
        <f>IF(ISERROR(MATCH(SamplingData[[#This Row],[Batch by Type (p)]],SelectedPrecincts[Batch Name], 0)), "", INDEX(SelectedPrecincts[Draw], MATCH(SamplingData[[#This Row],[Batch by Type (p)]],SelectedPrecincts[Batch Name], 0)))</f>
        <v/>
      </c>
      <c r="AJ167" s="100">
        <f>IF(COUNTIF(SelectedPrecincts[Batch Name],SamplingData[[#This Row],[Batch by Type (p)]]) &lt;&gt; 0, COUNTIF(SelectedPrecincts[Batch Name],SamplingData[[#This Row],[Batch by Type (p)]]), 0)</f>
        <v>0</v>
      </c>
    </row>
    <row r="168" spans="1:36" ht="15" customHeight="1" x14ac:dyDescent="0.35">
      <c r="A168" s="97" t="s">
        <v>381</v>
      </c>
      <c r="B168" s="97">
        <v>139</v>
      </c>
      <c r="C168" s="97">
        <v>121</v>
      </c>
      <c r="D168" s="92"/>
      <c r="E168" s="92"/>
      <c r="F168" s="92"/>
      <c r="G168" s="96"/>
      <c r="H168" s="96"/>
      <c r="I168" s="92"/>
      <c r="J168" s="92"/>
      <c r="K168" s="92"/>
      <c r="L168" s="92"/>
      <c r="M168" s="92"/>
      <c r="N168" s="97">
        <v>1</v>
      </c>
      <c r="O168" s="97">
        <v>10</v>
      </c>
      <c r="P168" s="98">
        <f>SUM(SamplingData[[#This Row],[Winning Candidate]:[Under Votes]])</f>
        <v>271</v>
      </c>
      <c r="Q168" s="99">
        <f>IF(AND(SamplingData[[#This Row],[Total]]&lt;&gt; 0, NOT(ISBLANK(SamplingData[[#This Row],[Losing Candidate]]))),(SamplingData[[#This Row],[Total]]+SamplingData[[#This Row],[Winning Candidate]]-SamplingData[[#This Row],[Losing Candidate]])/(SamplingData[[#Totals],[Winning Candidate]]-SamplingData[[#Totals],[Losing Candidate]]), 0)</f>
        <v>1.2264471227295876E-2</v>
      </c>
      <c r="R168" s="99">
        <f>IF(AND(SamplingData[[#This Row],[Total]]&lt;&gt; 0, NOT(ISBLANK(SamplingData[[#This Row],[Candidate 3]]))),(SamplingData[[#This Row],[Total]]+SamplingData[[#This Row],[Winning Candidate]]-SamplingData[[#This Row],[Candidate 3]])/(SamplingData[[#Totals],[Winning Candidate]]-SamplingData[[#Totals],[Candidate 3]]), 0)</f>
        <v>0</v>
      </c>
      <c r="S168" s="99">
        <f>IF(AND(SamplingData[[#This Row],[Total]]&lt;&gt; 0, NOT(ISBLANK(SamplingData[[#This Row],[Candidate 4]]))),(SamplingData[[#This Row],[Total]]+SamplingData[[#This Row],[Winning Candidate]]-SamplingData[[#This Row],[Candidate 4]])/(SamplingData[[#Totals],[Winning Candidate]]-SamplingData[[#Totals],[Candidate 4]]), 0)</f>
        <v>0</v>
      </c>
      <c r="T168" s="99">
        <f>IF(AND(SamplingData[[#This Row],[Total]]&lt;&gt; 0, NOT(ISBLANK(SamplingData[[#This Row],[Candidate 5]]))),(SamplingData[[#This Row],[Total]]+SamplingData[[#This Row],[Winning Candidate]]-SamplingData[[#This Row],[Candidate 5]])/(SamplingData[[#Totals],[Winning Candidate]]-SamplingData[[#Totals],[Candidate 5]]), 0)</f>
        <v>0</v>
      </c>
      <c r="U168" s="99">
        <f>IF(AND(SamplingData[[#This Row],[Total]]&lt;&gt; 0, NOT(ISBLANK(SamplingData[[#This Row],[Candidate 6]]))),(SamplingData[[#This Row],[Total]]+SamplingData[[#This Row],[Losing Candidate]]-SamplingData[[#This Row],[Candidate 6]])/(SamplingData[[#Totals],[Winning Candidate]]-SamplingData[[#Totals],[Candidate 6]]), 0)</f>
        <v>0</v>
      </c>
      <c r="V168" s="99">
        <f>IF(AND(SamplingData[[#This Row],[Total]]&lt;&gt; 0, NOT(ISBLANK(SamplingData[[#This Row],[Candidate 7]]))),(SamplingData[[#This Row],[Total]]+SamplingData[[#This Row],[Winning Candidate]]-SamplingData[[#This Row],[Candidate 7]])/(SamplingData[[#Totals],[Winning Candidate]]-SamplingData[[#Totals],[Candidate 7]]), 0)</f>
        <v>0</v>
      </c>
      <c r="W168" s="99">
        <f>IF(AND(SamplingData[[#This Row],[Total]]&lt;&gt; 0, NOT(ISBLANK(SamplingData[[#This Row],[Candidate 8]]))),(SamplingData[[#This Row],[Total]]+SamplingData[[#This Row],[Winning Candidate]]-SamplingData[[#This Row],[Candidate 8]])/(SamplingData[[#Totals],[Winning Candidate]]-SamplingData[[#Totals],[Candidate 8]]), 0)</f>
        <v>0</v>
      </c>
      <c r="X1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8" s="99">
        <f>MAX(SamplingData[[#This Row],[Error Bound (up) - Max. possible relative overstatement - Losing Candidate]:[Error Bound (up) - Max. possible relative overstatement - Candidate 12]])</f>
        <v>1.2264471227295876E-2</v>
      </c>
      <c r="AC168" s="99">
        <f>IF(SamplingData[[#This Row],[Max Error Bound (up)]] = 0,0,SamplingData[[#This Row],[Max Error Bound (up)]]/SamplingData[[#Totals],[Max Error Bound (up)]])</f>
        <v>6.566510342821836E-4</v>
      </c>
      <c r="AD168" s="103">
        <f>SUM($AC$5:AC168)</f>
        <v>0.18418266259497612</v>
      </c>
      <c r="AE168" s="99" t="str" cm="1">
        <f t="array" ref="AE168">IF(SamplingData[[#This Row],[up/U Selection Probability]] = 0, "Zero", TEXT(SamplingData[[#This Row],[Lower Range]], REPT("0",LEN('General Info'!$B$42))) &amp; " - " &amp; TEXT(SamplingData[[#This Row],[Upper Range]], REPT("0",LEN('General Info'!$B$42))))</f>
        <v>183526 - 184182</v>
      </c>
      <c r="AF168" s="99">
        <f>SamplingData[[#This Row],[Upper Range]]-SamplingData[[#This Row],[Span]]</f>
        <v>183526.01156069394</v>
      </c>
      <c r="AG168" s="99">
        <f>IF(ISNUMBER('General Info'!$B$42), ((SamplingData[[#This Row],[up/U Selection Probability]]) * 'General Info'!$B$44) - 1, 0)</f>
        <v>655.65103428218356</v>
      </c>
      <c r="AH168" s="99">
        <f>IF(ISNUMBER('General Info'!$B$42), (SamplingData[[#This Row],[Running (cumulative) sum]] * ('General Info'!$B$42 -'General Info'!$B$43 + 1)) + 'General Info'!$B$43 - 1, 0)</f>
        <v>184181.66259497611</v>
      </c>
      <c r="AI168" s="99" t="str">
        <f>IF(ISERROR(MATCH(SamplingData[[#This Row],[Batch by Type (p)]],SelectedPrecincts[Batch Name], 0)), "", INDEX(SelectedPrecincts[Draw], MATCH(SamplingData[[#This Row],[Batch by Type (p)]],SelectedPrecincts[Batch Name], 0)))</f>
        <v/>
      </c>
      <c r="AJ168" s="100">
        <f>IF(COUNTIF(SelectedPrecincts[Batch Name],SamplingData[[#This Row],[Batch by Type (p)]]) &lt;&gt; 0, COUNTIF(SelectedPrecincts[Batch Name],SamplingData[[#This Row],[Batch by Type (p)]]), 0)</f>
        <v>0</v>
      </c>
    </row>
    <row r="169" spans="1:36" ht="15" customHeight="1" x14ac:dyDescent="0.35">
      <c r="A169" s="97" t="s">
        <v>382</v>
      </c>
      <c r="B169" s="97">
        <v>122</v>
      </c>
      <c r="C169" s="97">
        <v>83</v>
      </c>
      <c r="D169" s="92"/>
      <c r="E169" s="92"/>
      <c r="F169" s="92"/>
      <c r="G169" s="96"/>
      <c r="H169" s="96"/>
      <c r="I169" s="92"/>
      <c r="J169" s="92"/>
      <c r="K169" s="92"/>
      <c r="L169" s="92"/>
      <c r="M169" s="92"/>
      <c r="N169" s="97">
        <v>0</v>
      </c>
      <c r="O169" s="97">
        <v>16</v>
      </c>
      <c r="P169" s="98">
        <f>SUM(SamplingData[[#This Row],[Winning Candidate]:[Under Votes]])</f>
        <v>221</v>
      </c>
      <c r="Q169" s="99">
        <f>IF(AND(SamplingData[[#This Row],[Total]]&lt;&gt; 0, NOT(ISBLANK(SamplingData[[#This Row],[Losing Candidate]]))),(SamplingData[[#This Row],[Total]]+SamplingData[[#This Row],[Winning Candidate]]-SamplingData[[#This Row],[Losing Candidate]])/(SamplingData[[#Totals],[Winning Candidate]]-SamplingData[[#Totals],[Losing Candidate]]), 0)</f>
        <v>1.1033780342895943E-2</v>
      </c>
      <c r="R169" s="99">
        <f>IF(AND(SamplingData[[#This Row],[Total]]&lt;&gt; 0, NOT(ISBLANK(SamplingData[[#This Row],[Candidate 3]]))),(SamplingData[[#This Row],[Total]]+SamplingData[[#This Row],[Winning Candidate]]-SamplingData[[#This Row],[Candidate 3]])/(SamplingData[[#Totals],[Winning Candidate]]-SamplingData[[#Totals],[Candidate 3]]), 0)</f>
        <v>0</v>
      </c>
      <c r="S169" s="99">
        <f>IF(AND(SamplingData[[#This Row],[Total]]&lt;&gt; 0, NOT(ISBLANK(SamplingData[[#This Row],[Candidate 4]]))),(SamplingData[[#This Row],[Total]]+SamplingData[[#This Row],[Winning Candidate]]-SamplingData[[#This Row],[Candidate 4]])/(SamplingData[[#Totals],[Winning Candidate]]-SamplingData[[#Totals],[Candidate 4]]), 0)</f>
        <v>0</v>
      </c>
      <c r="T169" s="99">
        <f>IF(AND(SamplingData[[#This Row],[Total]]&lt;&gt; 0, NOT(ISBLANK(SamplingData[[#This Row],[Candidate 5]]))),(SamplingData[[#This Row],[Total]]+SamplingData[[#This Row],[Winning Candidate]]-SamplingData[[#This Row],[Candidate 5]])/(SamplingData[[#Totals],[Winning Candidate]]-SamplingData[[#Totals],[Candidate 5]]), 0)</f>
        <v>0</v>
      </c>
      <c r="U169" s="99">
        <f>IF(AND(SamplingData[[#This Row],[Total]]&lt;&gt; 0, NOT(ISBLANK(SamplingData[[#This Row],[Candidate 6]]))),(SamplingData[[#This Row],[Total]]+SamplingData[[#This Row],[Losing Candidate]]-SamplingData[[#This Row],[Candidate 6]])/(SamplingData[[#Totals],[Winning Candidate]]-SamplingData[[#Totals],[Candidate 6]]), 0)</f>
        <v>0</v>
      </c>
      <c r="V169" s="99">
        <f>IF(AND(SamplingData[[#This Row],[Total]]&lt;&gt; 0, NOT(ISBLANK(SamplingData[[#This Row],[Candidate 7]]))),(SamplingData[[#This Row],[Total]]+SamplingData[[#This Row],[Winning Candidate]]-SamplingData[[#This Row],[Candidate 7]])/(SamplingData[[#Totals],[Winning Candidate]]-SamplingData[[#Totals],[Candidate 7]]), 0)</f>
        <v>0</v>
      </c>
      <c r="W169" s="99">
        <f>IF(AND(SamplingData[[#This Row],[Total]]&lt;&gt; 0, NOT(ISBLANK(SamplingData[[#This Row],[Candidate 8]]))),(SamplingData[[#This Row],[Total]]+SamplingData[[#This Row],[Winning Candidate]]-SamplingData[[#This Row],[Candidate 8]])/(SamplingData[[#Totals],[Winning Candidate]]-SamplingData[[#Totals],[Candidate 8]]), 0)</f>
        <v>0</v>
      </c>
      <c r="X1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9" s="99">
        <f>MAX(SamplingData[[#This Row],[Error Bound (up) - Max. possible relative overstatement - Losing Candidate]:[Error Bound (up) - Max. possible relative overstatement - Candidate 12]])</f>
        <v>1.1033780342895943E-2</v>
      </c>
      <c r="AC169" s="99">
        <f>IF(SamplingData[[#This Row],[Max Error Bound (up)]] = 0,0,SamplingData[[#This Row],[Max Error Bound (up)]]/SamplingData[[#Totals],[Max Error Bound (up)]])</f>
        <v>5.9075871596321009E-4</v>
      </c>
      <c r="AD169" s="103">
        <f>SUM($AC$5:AC169)</f>
        <v>0.18477342131093932</v>
      </c>
      <c r="AE169" s="99" t="str" cm="1">
        <f t="array" ref="AE169">IF(SamplingData[[#This Row],[up/U Selection Probability]] = 0, "Zero", TEXT(SamplingData[[#This Row],[Lower Range]], REPT("0",LEN('General Info'!$B$42))) &amp; " - " &amp; TEXT(SamplingData[[#This Row],[Upper Range]], REPT("0",LEN('General Info'!$B$42))))</f>
        <v>184183 - 184772</v>
      </c>
      <c r="AF169" s="99">
        <f>SamplingData[[#This Row],[Upper Range]]-SamplingData[[#This Row],[Span]]</f>
        <v>184182.66259497611</v>
      </c>
      <c r="AG169" s="99">
        <f>IF(ISNUMBER('General Info'!$B$42), ((SamplingData[[#This Row],[up/U Selection Probability]]) * 'General Info'!$B$44) - 1, 0)</f>
        <v>589.75871596321008</v>
      </c>
      <c r="AH169" s="99">
        <f>IF(ISNUMBER('General Info'!$B$42), (SamplingData[[#This Row],[Running (cumulative) sum]] * ('General Info'!$B$42 -'General Info'!$B$43 + 1)) + 'General Info'!$B$43 - 1, 0)</f>
        <v>184772.42131093933</v>
      </c>
      <c r="AI169" s="99" t="str">
        <f>IF(ISERROR(MATCH(SamplingData[[#This Row],[Batch by Type (p)]],SelectedPrecincts[Batch Name], 0)), "", INDEX(SelectedPrecincts[Draw], MATCH(SamplingData[[#This Row],[Batch by Type (p)]],SelectedPrecincts[Batch Name], 0)))</f>
        <v/>
      </c>
      <c r="AJ169" s="100">
        <f>IF(COUNTIF(SelectedPrecincts[Batch Name],SamplingData[[#This Row],[Batch by Type (p)]]) &lt;&gt; 0, COUNTIF(SelectedPrecincts[Batch Name],SamplingData[[#This Row],[Batch by Type (p)]]), 0)</f>
        <v>0</v>
      </c>
    </row>
    <row r="170" spans="1:36" ht="15" customHeight="1" x14ac:dyDescent="0.35">
      <c r="A170" s="97" t="s">
        <v>383</v>
      </c>
      <c r="B170" s="97">
        <v>76</v>
      </c>
      <c r="C170" s="97">
        <v>39</v>
      </c>
      <c r="D170" s="92"/>
      <c r="E170" s="92"/>
      <c r="F170" s="92"/>
      <c r="G170" s="96"/>
      <c r="H170" s="96"/>
      <c r="I170" s="92"/>
      <c r="J170" s="92"/>
      <c r="K170" s="92"/>
      <c r="L170" s="92"/>
      <c r="M170" s="92"/>
      <c r="N170" s="97">
        <v>0</v>
      </c>
      <c r="O170" s="97">
        <v>3</v>
      </c>
      <c r="P170" s="98">
        <f>SUM(SamplingData[[#This Row],[Winning Candidate]:[Under Votes]])</f>
        <v>118</v>
      </c>
      <c r="Q170" s="99">
        <f>IF(AND(SamplingData[[#This Row],[Total]]&lt;&gt; 0, NOT(ISBLANK(SamplingData[[#This Row],[Losing Candidate]]))),(SamplingData[[#This Row],[Total]]+SamplingData[[#This Row],[Winning Candidate]]-SamplingData[[#This Row],[Losing Candidate]])/(SamplingData[[#Totals],[Winning Candidate]]-SamplingData[[#Totals],[Losing Candidate]]), 0)</f>
        <v>6.5778305890341199E-3</v>
      </c>
      <c r="R170" s="99">
        <f>IF(AND(SamplingData[[#This Row],[Total]]&lt;&gt; 0, NOT(ISBLANK(SamplingData[[#This Row],[Candidate 3]]))),(SamplingData[[#This Row],[Total]]+SamplingData[[#This Row],[Winning Candidate]]-SamplingData[[#This Row],[Candidate 3]])/(SamplingData[[#Totals],[Winning Candidate]]-SamplingData[[#Totals],[Candidate 3]]), 0)</f>
        <v>0</v>
      </c>
      <c r="S170" s="99">
        <f>IF(AND(SamplingData[[#This Row],[Total]]&lt;&gt; 0, NOT(ISBLANK(SamplingData[[#This Row],[Candidate 4]]))),(SamplingData[[#This Row],[Total]]+SamplingData[[#This Row],[Winning Candidate]]-SamplingData[[#This Row],[Candidate 4]])/(SamplingData[[#Totals],[Winning Candidate]]-SamplingData[[#Totals],[Candidate 4]]), 0)</f>
        <v>0</v>
      </c>
      <c r="T170" s="99">
        <f>IF(AND(SamplingData[[#This Row],[Total]]&lt;&gt; 0, NOT(ISBLANK(SamplingData[[#This Row],[Candidate 5]]))),(SamplingData[[#This Row],[Total]]+SamplingData[[#This Row],[Winning Candidate]]-SamplingData[[#This Row],[Candidate 5]])/(SamplingData[[#Totals],[Winning Candidate]]-SamplingData[[#Totals],[Candidate 5]]), 0)</f>
        <v>0</v>
      </c>
      <c r="U170" s="99">
        <f>IF(AND(SamplingData[[#This Row],[Total]]&lt;&gt; 0, NOT(ISBLANK(SamplingData[[#This Row],[Candidate 6]]))),(SamplingData[[#This Row],[Total]]+SamplingData[[#This Row],[Losing Candidate]]-SamplingData[[#This Row],[Candidate 6]])/(SamplingData[[#Totals],[Winning Candidate]]-SamplingData[[#Totals],[Candidate 6]]), 0)</f>
        <v>0</v>
      </c>
      <c r="V170" s="99">
        <f>IF(AND(SamplingData[[#This Row],[Total]]&lt;&gt; 0, NOT(ISBLANK(SamplingData[[#This Row],[Candidate 7]]))),(SamplingData[[#This Row],[Total]]+SamplingData[[#This Row],[Winning Candidate]]-SamplingData[[#This Row],[Candidate 7]])/(SamplingData[[#Totals],[Winning Candidate]]-SamplingData[[#Totals],[Candidate 7]]), 0)</f>
        <v>0</v>
      </c>
      <c r="W170" s="99">
        <f>IF(AND(SamplingData[[#This Row],[Total]]&lt;&gt; 0, NOT(ISBLANK(SamplingData[[#This Row],[Candidate 8]]))),(SamplingData[[#This Row],[Total]]+SamplingData[[#This Row],[Winning Candidate]]-SamplingData[[#This Row],[Candidate 8]])/(SamplingData[[#Totals],[Winning Candidate]]-SamplingData[[#Totals],[Candidate 8]]), 0)</f>
        <v>0</v>
      </c>
      <c r="X1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0" s="99">
        <f>MAX(SamplingData[[#This Row],[Error Bound (up) - Max. possible relative overstatement - Losing Candidate]:[Error Bound (up) - Max. possible relative overstatement - Candidate 12]])</f>
        <v>6.5778305890341199E-3</v>
      </c>
      <c r="AC170" s="99">
        <f>IF(SamplingData[[#This Row],[Max Error Bound (up)]] = 0,0,SamplingData[[#This Row],[Max Error Bound (up)]]/SamplingData[[#Totals],[Max Error Bound (up)]])</f>
        <v>3.5218308067037527E-4</v>
      </c>
      <c r="AD170" s="103">
        <f>SUM($AC$5:AC170)</f>
        <v>0.18512560439160969</v>
      </c>
      <c r="AE170" s="99" t="str" cm="1">
        <f t="array" ref="AE170">IF(SamplingData[[#This Row],[up/U Selection Probability]] = 0, "Zero", TEXT(SamplingData[[#This Row],[Lower Range]], REPT("0",LEN('General Info'!$B$42))) &amp; " - " &amp; TEXT(SamplingData[[#This Row],[Upper Range]], REPT("0",LEN('General Info'!$B$42))))</f>
        <v>184773 - 185125</v>
      </c>
      <c r="AF170" s="99">
        <f>SamplingData[[#This Row],[Upper Range]]-SamplingData[[#This Row],[Span]]</f>
        <v>184773.42131093933</v>
      </c>
      <c r="AG170" s="99">
        <f>IF(ISNUMBER('General Info'!$B$42), ((SamplingData[[#This Row],[up/U Selection Probability]]) * 'General Info'!$B$44) - 1, 0)</f>
        <v>351.18308067037526</v>
      </c>
      <c r="AH170" s="99">
        <f>IF(ISNUMBER('General Info'!$B$42), (SamplingData[[#This Row],[Running (cumulative) sum]] * ('General Info'!$B$42 -'General Info'!$B$43 + 1)) + 'General Info'!$B$43 - 1, 0)</f>
        <v>185124.6043916097</v>
      </c>
      <c r="AI170" s="99" t="str">
        <f>IF(ISERROR(MATCH(SamplingData[[#This Row],[Batch by Type (p)]],SelectedPrecincts[Batch Name], 0)), "", INDEX(SelectedPrecincts[Draw], MATCH(SamplingData[[#This Row],[Batch by Type (p)]],SelectedPrecincts[Batch Name], 0)))</f>
        <v/>
      </c>
      <c r="AJ170" s="100">
        <f>IF(COUNTIF(SelectedPrecincts[Batch Name],SamplingData[[#This Row],[Batch by Type (p)]]) &lt;&gt; 0, COUNTIF(SelectedPrecincts[Batch Name],SamplingData[[#This Row],[Batch by Type (p)]]), 0)</f>
        <v>0</v>
      </c>
    </row>
    <row r="171" spans="1:36" ht="15" customHeight="1" x14ac:dyDescent="0.35">
      <c r="A171" s="97" t="s">
        <v>384</v>
      </c>
      <c r="B171" s="97">
        <v>161</v>
      </c>
      <c r="C171" s="97">
        <v>86</v>
      </c>
      <c r="D171" s="92"/>
      <c r="E171" s="92"/>
      <c r="F171" s="92"/>
      <c r="G171" s="96"/>
      <c r="H171" s="96"/>
      <c r="I171" s="92"/>
      <c r="J171" s="92"/>
      <c r="K171" s="92"/>
      <c r="L171" s="92"/>
      <c r="M171" s="92"/>
      <c r="N171" s="97">
        <v>0</v>
      </c>
      <c r="O171" s="97">
        <v>7</v>
      </c>
      <c r="P171" s="98">
        <f>SUM(SamplingData[[#This Row],[Winning Candidate]:[Under Votes]])</f>
        <v>254</v>
      </c>
      <c r="Q171" s="99">
        <f>IF(AND(SamplingData[[#This Row],[Total]]&lt;&gt; 0, NOT(ISBLANK(SamplingData[[#This Row],[Losing Candidate]]))),(SamplingData[[#This Row],[Total]]+SamplingData[[#This Row],[Winning Candidate]]-SamplingData[[#This Row],[Losing Candidate]])/(SamplingData[[#Totals],[Winning Candidate]]-SamplingData[[#Totals],[Losing Candidate]]), 0)</f>
        <v>1.3961975895433713E-2</v>
      </c>
      <c r="R171" s="99">
        <f>IF(AND(SamplingData[[#This Row],[Total]]&lt;&gt; 0, NOT(ISBLANK(SamplingData[[#This Row],[Candidate 3]]))),(SamplingData[[#This Row],[Total]]+SamplingData[[#This Row],[Winning Candidate]]-SamplingData[[#This Row],[Candidate 3]])/(SamplingData[[#Totals],[Winning Candidate]]-SamplingData[[#Totals],[Candidate 3]]), 0)</f>
        <v>0</v>
      </c>
      <c r="S171" s="99">
        <f>IF(AND(SamplingData[[#This Row],[Total]]&lt;&gt; 0, NOT(ISBLANK(SamplingData[[#This Row],[Candidate 4]]))),(SamplingData[[#This Row],[Total]]+SamplingData[[#This Row],[Winning Candidate]]-SamplingData[[#This Row],[Candidate 4]])/(SamplingData[[#Totals],[Winning Candidate]]-SamplingData[[#Totals],[Candidate 4]]), 0)</f>
        <v>0</v>
      </c>
      <c r="T171" s="99">
        <f>IF(AND(SamplingData[[#This Row],[Total]]&lt;&gt; 0, NOT(ISBLANK(SamplingData[[#This Row],[Candidate 5]]))),(SamplingData[[#This Row],[Total]]+SamplingData[[#This Row],[Winning Candidate]]-SamplingData[[#This Row],[Candidate 5]])/(SamplingData[[#Totals],[Winning Candidate]]-SamplingData[[#Totals],[Candidate 5]]), 0)</f>
        <v>0</v>
      </c>
      <c r="U171" s="99">
        <f>IF(AND(SamplingData[[#This Row],[Total]]&lt;&gt; 0, NOT(ISBLANK(SamplingData[[#This Row],[Candidate 6]]))),(SamplingData[[#This Row],[Total]]+SamplingData[[#This Row],[Losing Candidate]]-SamplingData[[#This Row],[Candidate 6]])/(SamplingData[[#Totals],[Winning Candidate]]-SamplingData[[#Totals],[Candidate 6]]), 0)</f>
        <v>0</v>
      </c>
      <c r="V171" s="99">
        <f>IF(AND(SamplingData[[#This Row],[Total]]&lt;&gt; 0, NOT(ISBLANK(SamplingData[[#This Row],[Candidate 7]]))),(SamplingData[[#This Row],[Total]]+SamplingData[[#This Row],[Winning Candidate]]-SamplingData[[#This Row],[Candidate 7]])/(SamplingData[[#Totals],[Winning Candidate]]-SamplingData[[#Totals],[Candidate 7]]), 0)</f>
        <v>0</v>
      </c>
      <c r="W171" s="99">
        <f>IF(AND(SamplingData[[#This Row],[Total]]&lt;&gt; 0, NOT(ISBLANK(SamplingData[[#This Row],[Candidate 8]]))),(SamplingData[[#This Row],[Total]]+SamplingData[[#This Row],[Winning Candidate]]-SamplingData[[#This Row],[Candidate 8]])/(SamplingData[[#Totals],[Winning Candidate]]-SamplingData[[#Totals],[Candidate 8]]), 0)</f>
        <v>0</v>
      </c>
      <c r="X1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1" s="99">
        <f>MAX(SamplingData[[#This Row],[Error Bound (up) - Max. possible relative overstatement - Losing Candidate]:[Error Bound (up) - Max. possible relative overstatement - Candidate 12]])</f>
        <v>1.3961975895433713E-2</v>
      </c>
      <c r="AC171" s="99">
        <f>IF(SamplingData[[#This Row],[Max Error Bound (up)]] = 0,0,SamplingData[[#This Row],[Max Error Bound (up)]]/SamplingData[[#Totals],[Max Error Bound (up)]])</f>
        <v>7.4753699058421592E-4</v>
      </c>
      <c r="AD171" s="103">
        <f>SUM($AC$5:AC171)</f>
        <v>0.18587314138219391</v>
      </c>
      <c r="AE171" s="99" t="str" cm="1">
        <f t="array" ref="AE171">IF(SamplingData[[#This Row],[up/U Selection Probability]] = 0, "Zero", TEXT(SamplingData[[#This Row],[Lower Range]], REPT("0",LEN('General Info'!$B$42))) &amp; " - " &amp; TEXT(SamplingData[[#This Row],[Upper Range]], REPT("0",LEN('General Info'!$B$42))))</f>
        <v>185126 - 185872</v>
      </c>
      <c r="AF171" s="99">
        <f>SamplingData[[#This Row],[Upper Range]]-SamplingData[[#This Row],[Span]]</f>
        <v>185125.6043916097</v>
      </c>
      <c r="AG171" s="99">
        <f>IF(ISNUMBER('General Info'!$B$42), ((SamplingData[[#This Row],[up/U Selection Probability]]) * 'General Info'!$B$44) - 1, 0)</f>
        <v>746.53699058421591</v>
      </c>
      <c r="AH171" s="99">
        <f>IF(ISNUMBER('General Info'!$B$42), (SamplingData[[#This Row],[Running (cumulative) sum]] * ('General Info'!$B$42 -'General Info'!$B$43 + 1)) + 'General Info'!$B$43 - 1, 0)</f>
        <v>185872.14138219392</v>
      </c>
      <c r="AI171" s="99" t="str">
        <f>IF(ISERROR(MATCH(SamplingData[[#This Row],[Batch by Type (p)]],SelectedPrecincts[Batch Name], 0)), "", INDEX(SelectedPrecincts[Draw], MATCH(SamplingData[[#This Row],[Batch by Type (p)]],SelectedPrecincts[Batch Name], 0)))</f>
        <v/>
      </c>
      <c r="AJ171" s="100">
        <f>IF(COUNTIF(SelectedPrecincts[Batch Name],SamplingData[[#This Row],[Batch by Type (p)]]) &lt;&gt; 0, COUNTIF(SelectedPrecincts[Batch Name],SamplingData[[#This Row],[Batch by Type (p)]]), 0)</f>
        <v>0</v>
      </c>
    </row>
    <row r="172" spans="1:36" ht="15" customHeight="1" x14ac:dyDescent="0.35">
      <c r="A172" s="97" t="s">
        <v>385</v>
      </c>
      <c r="B172" s="97">
        <v>106</v>
      </c>
      <c r="C172" s="97">
        <v>80</v>
      </c>
      <c r="D172" s="92"/>
      <c r="E172" s="92"/>
      <c r="F172" s="92"/>
      <c r="G172" s="96"/>
      <c r="H172" s="96"/>
      <c r="I172" s="92"/>
      <c r="J172" s="92"/>
      <c r="K172" s="92"/>
      <c r="L172" s="92"/>
      <c r="M172" s="92"/>
      <c r="N172" s="97">
        <v>0</v>
      </c>
      <c r="O172" s="97">
        <v>12</v>
      </c>
      <c r="P172" s="98">
        <f>SUM(SamplingData[[#This Row],[Winning Candidate]:[Under Votes]])</f>
        <v>198</v>
      </c>
      <c r="Q172" s="99">
        <f>IF(AND(SamplingData[[#This Row],[Total]]&lt;&gt; 0, NOT(ISBLANK(SamplingData[[#This Row],[Losing Candidate]]))),(SamplingData[[#This Row],[Total]]+SamplingData[[#This Row],[Winning Candidate]]-SamplingData[[#This Row],[Losing Candidate]])/(SamplingData[[#Totals],[Winning Candidate]]-SamplingData[[#Totals],[Losing Candidate]]), 0)</f>
        <v>9.5060261415718886E-3</v>
      </c>
      <c r="R172" s="99">
        <f>IF(AND(SamplingData[[#This Row],[Total]]&lt;&gt; 0, NOT(ISBLANK(SamplingData[[#This Row],[Candidate 3]]))),(SamplingData[[#This Row],[Total]]+SamplingData[[#This Row],[Winning Candidate]]-SamplingData[[#This Row],[Candidate 3]])/(SamplingData[[#Totals],[Winning Candidate]]-SamplingData[[#Totals],[Candidate 3]]), 0)</f>
        <v>0</v>
      </c>
      <c r="S172" s="99">
        <f>IF(AND(SamplingData[[#This Row],[Total]]&lt;&gt; 0, NOT(ISBLANK(SamplingData[[#This Row],[Candidate 4]]))),(SamplingData[[#This Row],[Total]]+SamplingData[[#This Row],[Winning Candidate]]-SamplingData[[#This Row],[Candidate 4]])/(SamplingData[[#Totals],[Winning Candidate]]-SamplingData[[#Totals],[Candidate 4]]), 0)</f>
        <v>0</v>
      </c>
      <c r="T172" s="99">
        <f>IF(AND(SamplingData[[#This Row],[Total]]&lt;&gt; 0, NOT(ISBLANK(SamplingData[[#This Row],[Candidate 5]]))),(SamplingData[[#This Row],[Total]]+SamplingData[[#This Row],[Winning Candidate]]-SamplingData[[#This Row],[Candidate 5]])/(SamplingData[[#Totals],[Winning Candidate]]-SamplingData[[#Totals],[Candidate 5]]), 0)</f>
        <v>0</v>
      </c>
      <c r="U172" s="99">
        <f>IF(AND(SamplingData[[#This Row],[Total]]&lt;&gt; 0, NOT(ISBLANK(SamplingData[[#This Row],[Candidate 6]]))),(SamplingData[[#This Row],[Total]]+SamplingData[[#This Row],[Losing Candidate]]-SamplingData[[#This Row],[Candidate 6]])/(SamplingData[[#Totals],[Winning Candidate]]-SamplingData[[#Totals],[Candidate 6]]), 0)</f>
        <v>0</v>
      </c>
      <c r="V172" s="99">
        <f>IF(AND(SamplingData[[#This Row],[Total]]&lt;&gt; 0, NOT(ISBLANK(SamplingData[[#This Row],[Candidate 7]]))),(SamplingData[[#This Row],[Total]]+SamplingData[[#This Row],[Winning Candidate]]-SamplingData[[#This Row],[Candidate 7]])/(SamplingData[[#Totals],[Winning Candidate]]-SamplingData[[#Totals],[Candidate 7]]), 0)</f>
        <v>0</v>
      </c>
      <c r="W172" s="99">
        <f>IF(AND(SamplingData[[#This Row],[Total]]&lt;&gt; 0, NOT(ISBLANK(SamplingData[[#This Row],[Candidate 8]]))),(SamplingData[[#This Row],[Total]]+SamplingData[[#This Row],[Winning Candidate]]-SamplingData[[#This Row],[Candidate 8]])/(SamplingData[[#Totals],[Winning Candidate]]-SamplingData[[#Totals],[Candidate 8]]), 0)</f>
        <v>0</v>
      </c>
      <c r="X1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2" s="99">
        <f>MAX(SamplingData[[#This Row],[Error Bound (up) - Max. possible relative overstatement - Losing Candidate]:[Error Bound (up) - Max. possible relative overstatement - Candidate 12]])</f>
        <v>9.5060261415718886E-3</v>
      </c>
      <c r="AC172" s="99">
        <f>IF(SamplingData[[#This Row],[Max Error Bound (up)]] = 0,0,SamplingData[[#This Row],[Max Error Bound (up)]]/SamplingData[[#Totals],[Max Error Bound (up)]])</f>
        <v>5.08961355291381E-4</v>
      </c>
      <c r="AD172" s="103">
        <f>SUM($AC$5:AC172)</f>
        <v>0.18638210273748529</v>
      </c>
      <c r="AE172" s="99" t="str" cm="1">
        <f t="array" ref="AE172">IF(SamplingData[[#This Row],[up/U Selection Probability]] = 0, "Zero", TEXT(SamplingData[[#This Row],[Lower Range]], REPT("0",LEN('General Info'!$B$42))) &amp; " - " &amp; TEXT(SamplingData[[#This Row],[Upper Range]], REPT("0",LEN('General Info'!$B$42))))</f>
        <v>185873 - 186381</v>
      </c>
      <c r="AF172" s="99">
        <f>SamplingData[[#This Row],[Upper Range]]-SamplingData[[#This Row],[Span]]</f>
        <v>185873.14138219389</v>
      </c>
      <c r="AG172" s="99">
        <f>IF(ISNUMBER('General Info'!$B$42), ((SamplingData[[#This Row],[up/U Selection Probability]]) * 'General Info'!$B$44) - 1, 0)</f>
        <v>507.96135529138098</v>
      </c>
      <c r="AH172" s="99">
        <f>IF(ISNUMBER('General Info'!$B$42), (SamplingData[[#This Row],[Running (cumulative) sum]] * ('General Info'!$B$42 -'General Info'!$B$43 + 1)) + 'General Info'!$B$43 - 1, 0)</f>
        <v>186381.10273748529</v>
      </c>
      <c r="AI172" s="99" t="str">
        <f>IF(ISERROR(MATCH(SamplingData[[#This Row],[Batch by Type (p)]],SelectedPrecincts[Batch Name], 0)), "", INDEX(SelectedPrecincts[Draw], MATCH(SamplingData[[#This Row],[Batch by Type (p)]],SelectedPrecincts[Batch Name], 0)))</f>
        <v/>
      </c>
      <c r="AJ172" s="100">
        <f>IF(COUNTIF(SelectedPrecincts[Batch Name],SamplingData[[#This Row],[Batch by Type (p)]]) &lt;&gt; 0, COUNTIF(SelectedPrecincts[Batch Name],SamplingData[[#This Row],[Batch by Type (p)]]), 0)</f>
        <v>0</v>
      </c>
    </row>
    <row r="173" spans="1:36" ht="15" customHeight="1" x14ac:dyDescent="0.35">
      <c r="A173" s="97" t="s">
        <v>386</v>
      </c>
      <c r="B173" s="97">
        <v>168</v>
      </c>
      <c r="C173" s="97">
        <v>67</v>
      </c>
      <c r="D173" s="92"/>
      <c r="E173" s="92"/>
      <c r="F173" s="92"/>
      <c r="G173" s="96"/>
      <c r="H173" s="96"/>
      <c r="I173" s="92"/>
      <c r="J173" s="92"/>
      <c r="K173" s="92"/>
      <c r="L173" s="92"/>
      <c r="M173" s="92"/>
      <c r="N173" s="97">
        <v>1</v>
      </c>
      <c r="O173" s="97">
        <v>10</v>
      </c>
      <c r="P173" s="98">
        <f>SUM(SamplingData[[#This Row],[Winning Candidate]:[Under Votes]])</f>
        <v>246</v>
      </c>
      <c r="Q173" s="99">
        <f>IF(AND(SamplingData[[#This Row],[Total]]&lt;&gt; 0, NOT(ISBLANK(SamplingData[[#This Row],[Losing Candidate]]))),(SamplingData[[#This Row],[Total]]+SamplingData[[#This Row],[Winning Candidate]]-SamplingData[[#This Row],[Losing Candidate]])/(SamplingData[[#Totals],[Winning Candidate]]-SamplingData[[#Totals],[Losing Candidate]]), 0)</f>
        <v>1.472585299609574E-2</v>
      </c>
      <c r="R173" s="99">
        <f>IF(AND(SamplingData[[#This Row],[Total]]&lt;&gt; 0, NOT(ISBLANK(SamplingData[[#This Row],[Candidate 3]]))),(SamplingData[[#This Row],[Total]]+SamplingData[[#This Row],[Winning Candidate]]-SamplingData[[#This Row],[Candidate 3]])/(SamplingData[[#Totals],[Winning Candidate]]-SamplingData[[#Totals],[Candidate 3]]), 0)</f>
        <v>0</v>
      </c>
      <c r="S173" s="99">
        <f>IF(AND(SamplingData[[#This Row],[Total]]&lt;&gt; 0, NOT(ISBLANK(SamplingData[[#This Row],[Candidate 4]]))),(SamplingData[[#This Row],[Total]]+SamplingData[[#This Row],[Winning Candidate]]-SamplingData[[#This Row],[Candidate 4]])/(SamplingData[[#Totals],[Winning Candidate]]-SamplingData[[#Totals],[Candidate 4]]), 0)</f>
        <v>0</v>
      </c>
      <c r="T173" s="99">
        <f>IF(AND(SamplingData[[#This Row],[Total]]&lt;&gt; 0, NOT(ISBLANK(SamplingData[[#This Row],[Candidate 5]]))),(SamplingData[[#This Row],[Total]]+SamplingData[[#This Row],[Winning Candidate]]-SamplingData[[#This Row],[Candidate 5]])/(SamplingData[[#Totals],[Winning Candidate]]-SamplingData[[#Totals],[Candidate 5]]), 0)</f>
        <v>0</v>
      </c>
      <c r="U173" s="99">
        <f>IF(AND(SamplingData[[#This Row],[Total]]&lt;&gt; 0, NOT(ISBLANK(SamplingData[[#This Row],[Candidate 6]]))),(SamplingData[[#This Row],[Total]]+SamplingData[[#This Row],[Losing Candidate]]-SamplingData[[#This Row],[Candidate 6]])/(SamplingData[[#Totals],[Winning Candidate]]-SamplingData[[#Totals],[Candidate 6]]), 0)</f>
        <v>0</v>
      </c>
      <c r="V173" s="99">
        <f>IF(AND(SamplingData[[#This Row],[Total]]&lt;&gt; 0, NOT(ISBLANK(SamplingData[[#This Row],[Candidate 7]]))),(SamplingData[[#This Row],[Total]]+SamplingData[[#This Row],[Winning Candidate]]-SamplingData[[#This Row],[Candidate 7]])/(SamplingData[[#Totals],[Winning Candidate]]-SamplingData[[#Totals],[Candidate 7]]), 0)</f>
        <v>0</v>
      </c>
      <c r="W173" s="99">
        <f>IF(AND(SamplingData[[#This Row],[Total]]&lt;&gt; 0, NOT(ISBLANK(SamplingData[[#This Row],[Candidate 8]]))),(SamplingData[[#This Row],[Total]]+SamplingData[[#This Row],[Winning Candidate]]-SamplingData[[#This Row],[Candidate 8]])/(SamplingData[[#Totals],[Winning Candidate]]-SamplingData[[#Totals],[Candidate 8]]), 0)</f>
        <v>0</v>
      </c>
      <c r="X1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3" s="99">
        <f>MAX(SamplingData[[#This Row],[Error Bound (up) - Max. possible relative overstatement - Losing Candidate]:[Error Bound (up) - Max. possible relative overstatement - Candidate 12]])</f>
        <v>1.472585299609574E-2</v>
      </c>
      <c r="AC173" s="99">
        <f>IF(SamplingData[[#This Row],[Max Error Bound (up)]] = 0,0,SamplingData[[#This Row],[Max Error Bound (up)]]/SamplingData[[#Totals],[Max Error Bound (up)]])</f>
        <v>7.8843567092013042E-4</v>
      </c>
      <c r="AD173" s="103">
        <f>SUM($AC$5:AC173)</f>
        <v>0.18717053840840542</v>
      </c>
      <c r="AE173" s="99" t="str" cm="1">
        <f t="array" ref="AE173">IF(SamplingData[[#This Row],[up/U Selection Probability]] = 0, "Zero", TEXT(SamplingData[[#This Row],[Lower Range]], REPT("0",LEN('General Info'!$B$42))) &amp; " - " &amp; TEXT(SamplingData[[#This Row],[Upper Range]], REPT("0",LEN('General Info'!$B$42))))</f>
        <v>186382 - 187170</v>
      </c>
      <c r="AF173" s="99">
        <f>SamplingData[[#This Row],[Upper Range]]-SamplingData[[#This Row],[Span]]</f>
        <v>186382.10273748529</v>
      </c>
      <c r="AG173" s="99">
        <f>IF(ISNUMBER('General Info'!$B$42), ((SamplingData[[#This Row],[up/U Selection Probability]]) * 'General Info'!$B$44) - 1, 0)</f>
        <v>787.43567092013041</v>
      </c>
      <c r="AH173" s="99">
        <f>IF(ISNUMBER('General Info'!$B$42), (SamplingData[[#This Row],[Running (cumulative) sum]] * ('General Info'!$B$42 -'General Info'!$B$43 + 1)) + 'General Info'!$B$43 - 1, 0)</f>
        <v>187169.53840840541</v>
      </c>
      <c r="AI173" s="99" t="str">
        <f>IF(ISERROR(MATCH(SamplingData[[#This Row],[Batch by Type (p)]],SelectedPrecincts[Batch Name], 0)), "", INDEX(SelectedPrecincts[Draw], MATCH(SamplingData[[#This Row],[Batch by Type (p)]],SelectedPrecincts[Batch Name], 0)))</f>
        <v/>
      </c>
      <c r="AJ173" s="100">
        <f>IF(COUNTIF(SelectedPrecincts[Batch Name],SamplingData[[#This Row],[Batch by Type (p)]]) &lt;&gt; 0, COUNTIF(SelectedPrecincts[Batch Name],SamplingData[[#This Row],[Batch by Type (p)]]), 0)</f>
        <v>0</v>
      </c>
    </row>
    <row r="174" spans="1:36" ht="15" customHeight="1" x14ac:dyDescent="0.35">
      <c r="A174" s="97" t="s">
        <v>387</v>
      </c>
      <c r="B174" s="97">
        <v>132</v>
      </c>
      <c r="C174" s="97">
        <v>58</v>
      </c>
      <c r="D174" s="92"/>
      <c r="E174" s="92"/>
      <c r="F174" s="92"/>
      <c r="G174" s="96"/>
      <c r="H174" s="96"/>
      <c r="I174" s="92"/>
      <c r="J174" s="92"/>
      <c r="K174" s="92"/>
      <c r="L174" s="92"/>
      <c r="M174" s="92"/>
      <c r="N174" s="97">
        <v>1</v>
      </c>
      <c r="O174" s="97">
        <v>14</v>
      </c>
      <c r="P174" s="98">
        <f>SUM(SamplingData[[#This Row],[Winning Candidate]:[Under Votes]])</f>
        <v>205</v>
      </c>
      <c r="Q174" s="99">
        <f>IF(AND(SamplingData[[#This Row],[Total]]&lt;&gt; 0, NOT(ISBLANK(SamplingData[[#This Row],[Losing Candidate]]))),(SamplingData[[#This Row],[Total]]+SamplingData[[#This Row],[Winning Candidate]]-SamplingData[[#This Row],[Losing Candidate]])/(SamplingData[[#Totals],[Winning Candidate]]-SamplingData[[#Totals],[Losing Candidate]]), 0)</f>
        <v>1.1840095060261416E-2</v>
      </c>
      <c r="R174" s="99">
        <f>IF(AND(SamplingData[[#This Row],[Total]]&lt;&gt; 0, NOT(ISBLANK(SamplingData[[#This Row],[Candidate 3]]))),(SamplingData[[#This Row],[Total]]+SamplingData[[#This Row],[Winning Candidate]]-SamplingData[[#This Row],[Candidate 3]])/(SamplingData[[#Totals],[Winning Candidate]]-SamplingData[[#Totals],[Candidate 3]]), 0)</f>
        <v>0</v>
      </c>
      <c r="S174" s="99">
        <f>IF(AND(SamplingData[[#This Row],[Total]]&lt;&gt; 0, NOT(ISBLANK(SamplingData[[#This Row],[Candidate 4]]))),(SamplingData[[#This Row],[Total]]+SamplingData[[#This Row],[Winning Candidate]]-SamplingData[[#This Row],[Candidate 4]])/(SamplingData[[#Totals],[Winning Candidate]]-SamplingData[[#Totals],[Candidate 4]]), 0)</f>
        <v>0</v>
      </c>
      <c r="T174" s="99">
        <f>IF(AND(SamplingData[[#This Row],[Total]]&lt;&gt; 0, NOT(ISBLANK(SamplingData[[#This Row],[Candidate 5]]))),(SamplingData[[#This Row],[Total]]+SamplingData[[#This Row],[Winning Candidate]]-SamplingData[[#This Row],[Candidate 5]])/(SamplingData[[#Totals],[Winning Candidate]]-SamplingData[[#Totals],[Candidate 5]]), 0)</f>
        <v>0</v>
      </c>
      <c r="U174" s="99">
        <f>IF(AND(SamplingData[[#This Row],[Total]]&lt;&gt; 0, NOT(ISBLANK(SamplingData[[#This Row],[Candidate 6]]))),(SamplingData[[#This Row],[Total]]+SamplingData[[#This Row],[Losing Candidate]]-SamplingData[[#This Row],[Candidate 6]])/(SamplingData[[#Totals],[Winning Candidate]]-SamplingData[[#Totals],[Candidate 6]]), 0)</f>
        <v>0</v>
      </c>
      <c r="V174" s="99">
        <f>IF(AND(SamplingData[[#This Row],[Total]]&lt;&gt; 0, NOT(ISBLANK(SamplingData[[#This Row],[Candidate 7]]))),(SamplingData[[#This Row],[Total]]+SamplingData[[#This Row],[Winning Candidate]]-SamplingData[[#This Row],[Candidate 7]])/(SamplingData[[#Totals],[Winning Candidate]]-SamplingData[[#Totals],[Candidate 7]]), 0)</f>
        <v>0</v>
      </c>
      <c r="W174" s="99">
        <f>IF(AND(SamplingData[[#This Row],[Total]]&lt;&gt; 0, NOT(ISBLANK(SamplingData[[#This Row],[Candidate 8]]))),(SamplingData[[#This Row],[Total]]+SamplingData[[#This Row],[Winning Candidate]]-SamplingData[[#This Row],[Candidate 8]])/(SamplingData[[#Totals],[Winning Candidate]]-SamplingData[[#Totals],[Candidate 8]]), 0)</f>
        <v>0</v>
      </c>
      <c r="X1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4" s="99">
        <f>MAX(SamplingData[[#This Row],[Error Bound (up) - Max. possible relative overstatement - Losing Candidate]:[Error Bound (up) - Max. possible relative overstatement - Candidate 12]])</f>
        <v>1.1840095060261416E-2</v>
      </c>
      <c r="AC174" s="99">
        <f>IF(SamplingData[[#This Row],[Max Error Bound (up)]] = 0,0,SamplingData[[#This Row],[Max Error Bound (up)]]/SamplingData[[#Totals],[Max Error Bound (up)]])</f>
        <v>6.3392954520667547E-4</v>
      </c>
      <c r="AD174" s="103">
        <f>SUM($AC$5:AC174)</f>
        <v>0.18780446795361208</v>
      </c>
      <c r="AE174" s="99" t="str" cm="1">
        <f t="array" ref="AE174">IF(SamplingData[[#This Row],[up/U Selection Probability]] = 0, "Zero", TEXT(SamplingData[[#This Row],[Lower Range]], REPT("0",LEN('General Info'!$B$42))) &amp; " - " &amp; TEXT(SamplingData[[#This Row],[Upper Range]], REPT("0",LEN('General Info'!$B$42))))</f>
        <v>187171 - 187803</v>
      </c>
      <c r="AF174" s="99">
        <f>SamplingData[[#This Row],[Upper Range]]-SamplingData[[#This Row],[Span]]</f>
        <v>187170.53840840538</v>
      </c>
      <c r="AG174" s="99">
        <f>IF(ISNUMBER('General Info'!$B$42), ((SamplingData[[#This Row],[up/U Selection Probability]]) * 'General Info'!$B$44) - 1, 0)</f>
        <v>632.92954520667547</v>
      </c>
      <c r="AH174" s="99">
        <f>IF(ISNUMBER('General Info'!$B$42), (SamplingData[[#This Row],[Running (cumulative) sum]] * ('General Info'!$B$42 -'General Info'!$B$43 + 1)) + 'General Info'!$B$43 - 1, 0)</f>
        <v>187803.46795361207</v>
      </c>
      <c r="AI174" s="99" t="str">
        <f>IF(ISERROR(MATCH(SamplingData[[#This Row],[Batch by Type (p)]],SelectedPrecincts[Batch Name], 0)), "", INDEX(SelectedPrecincts[Draw], MATCH(SamplingData[[#This Row],[Batch by Type (p)]],SelectedPrecincts[Batch Name], 0)))</f>
        <v/>
      </c>
      <c r="AJ174" s="100">
        <f>IF(COUNTIF(SelectedPrecincts[Batch Name],SamplingData[[#This Row],[Batch by Type (p)]]) &lt;&gt; 0, COUNTIF(SelectedPrecincts[Batch Name],SamplingData[[#This Row],[Batch by Type (p)]]), 0)</f>
        <v>0</v>
      </c>
    </row>
    <row r="175" spans="1:36" ht="15" customHeight="1" x14ac:dyDescent="0.35">
      <c r="A175" s="97" t="s">
        <v>388</v>
      </c>
      <c r="B175" s="97">
        <v>82</v>
      </c>
      <c r="C175" s="97">
        <v>26</v>
      </c>
      <c r="D175" s="92"/>
      <c r="E175" s="92"/>
      <c r="F175" s="92"/>
      <c r="G175" s="96"/>
      <c r="H175" s="96"/>
      <c r="I175" s="92"/>
      <c r="J175" s="92"/>
      <c r="K175" s="92"/>
      <c r="L175" s="92"/>
      <c r="M175" s="92"/>
      <c r="N175" s="97">
        <v>0</v>
      </c>
      <c r="O175" s="97">
        <v>4</v>
      </c>
      <c r="P175" s="98">
        <f>SUM(SamplingData[[#This Row],[Winning Candidate]:[Under Votes]])</f>
        <v>112</v>
      </c>
      <c r="Q175" s="99">
        <f>IF(AND(SamplingData[[#This Row],[Total]]&lt;&gt; 0, NOT(ISBLANK(SamplingData[[#This Row],[Losing Candidate]]))),(SamplingData[[#This Row],[Total]]+SamplingData[[#This Row],[Winning Candidate]]-SamplingData[[#This Row],[Losing Candidate]])/(SamplingData[[#Totals],[Winning Candidate]]-SamplingData[[#Totals],[Losing Candidate]]), 0)</f>
        <v>7.1295196061789169E-3</v>
      </c>
      <c r="R175" s="99">
        <f>IF(AND(SamplingData[[#This Row],[Total]]&lt;&gt; 0, NOT(ISBLANK(SamplingData[[#This Row],[Candidate 3]]))),(SamplingData[[#This Row],[Total]]+SamplingData[[#This Row],[Winning Candidate]]-SamplingData[[#This Row],[Candidate 3]])/(SamplingData[[#Totals],[Winning Candidate]]-SamplingData[[#Totals],[Candidate 3]]), 0)</f>
        <v>0</v>
      </c>
      <c r="S175" s="99">
        <f>IF(AND(SamplingData[[#This Row],[Total]]&lt;&gt; 0, NOT(ISBLANK(SamplingData[[#This Row],[Candidate 4]]))),(SamplingData[[#This Row],[Total]]+SamplingData[[#This Row],[Winning Candidate]]-SamplingData[[#This Row],[Candidate 4]])/(SamplingData[[#Totals],[Winning Candidate]]-SamplingData[[#Totals],[Candidate 4]]), 0)</f>
        <v>0</v>
      </c>
      <c r="T175" s="99">
        <f>IF(AND(SamplingData[[#This Row],[Total]]&lt;&gt; 0, NOT(ISBLANK(SamplingData[[#This Row],[Candidate 5]]))),(SamplingData[[#This Row],[Total]]+SamplingData[[#This Row],[Winning Candidate]]-SamplingData[[#This Row],[Candidate 5]])/(SamplingData[[#Totals],[Winning Candidate]]-SamplingData[[#Totals],[Candidate 5]]), 0)</f>
        <v>0</v>
      </c>
      <c r="U175" s="99">
        <f>IF(AND(SamplingData[[#This Row],[Total]]&lt;&gt; 0, NOT(ISBLANK(SamplingData[[#This Row],[Candidate 6]]))),(SamplingData[[#This Row],[Total]]+SamplingData[[#This Row],[Losing Candidate]]-SamplingData[[#This Row],[Candidate 6]])/(SamplingData[[#Totals],[Winning Candidate]]-SamplingData[[#Totals],[Candidate 6]]), 0)</f>
        <v>0</v>
      </c>
      <c r="V175" s="99">
        <f>IF(AND(SamplingData[[#This Row],[Total]]&lt;&gt; 0, NOT(ISBLANK(SamplingData[[#This Row],[Candidate 7]]))),(SamplingData[[#This Row],[Total]]+SamplingData[[#This Row],[Winning Candidate]]-SamplingData[[#This Row],[Candidate 7]])/(SamplingData[[#Totals],[Winning Candidate]]-SamplingData[[#Totals],[Candidate 7]]), 0)</f>
        <v>0</v>
      </c>
      <c r="W175" s="99">
        <f>IF(AND(SamplingData[[#This Row],[Total]]&lt;&gt; 0, NOT(ISBLANK(SamplingData[[#This Row],[Candidate 8]]))),(SamplingData[[#This Row],[Total]]+SamplingData[[#This Row],[Winning Candidate]]-SamplingData[[#This Row],[Candidate 8]])/(SamplingData[[#Totals],[Winning Candidate]]-SamplingData[[#Totals],[Candidate 8]]), 0)</f>
        <v>0</v>
      </c>
      <c r="X1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5" s="99">
        <f>MAX(SamplingData[[#This Row],[Error Bound (up) - Max. possible relative overstatement - Losing Candidate]:[Error Bound (up) - Max. possible relative overstatement - Candidate 12]])</f>
        <v>7.1295196061789169E-3</v>
      </c>
      <c r="AC175" s="99">
        <f>IF(SamplingData[[#This Row],[Max Error Bound (up)]] = 0,0,SamplingData[[#This Row],[Max Error Bound (up)]]/SamplingData[[#Totals],[Max Error Bound (up)]])</f>
        <v>3.8172101646853575E-4</v>
      </c>
      <c r="AD175" s="103">
        <f>SUM($AC$5:AC175)</f>
        <v>0.1881861889700806</v>
      </c>
      <c r="AE175" s="99" t="str" cm="1">
        <f t="array" ref="AE175">IF(SamplingData[[#This Row],[up/U Selection Probability]] = 0, "Zero", TEXT(SamplingData[[#This Row],[Lower Range]], REPT("0",LEN('General Info'!$B$42))) &amp; " - " &amp; TEXT(SamplingData[[#This Row],[Upper Range]], REPT("0",LEN('General Info'!$B$42))))</f>
        <v>187804 - 188185</v>
      </c>
      <c r="AF175" s="99">
        <f>SamplingData[[#This Row],[Upper Range]]-SamplingData[[#This Row],[Span]]</f>
        <v>187804.46795361207</v>
      </c>
      <c r="AG175" s="99">
        <f>IF(ISNUMBER('General Info'!$B$42), ((SamplingData[[#This Row],[up/U Selection Probability]]) * 'General Info'!$B$44) - 1, 0)</f>
        <v>380.72101646853577</v>
      </c>
      <c r="AH175" s="99">
        <f>IF(ISNUMBER('General Info'!$B$42), (SamplingData[[#This Row],[Running (cumulative) sum]] * ('General Info'!$B$42 -'General Info'!$B$43 + 1)) + 'General Info'!$B$43 - 1, 0)</f>
        <v>188185.18897008061</v>
      </c>
      <c r="AI175" s="99" t="str">
        <f>IF(ISERROR(MATCH(SamplingData[[#This Row],[Batch by Type (p)]],SelectedPrecincts[Batch Name], 0)), "", INDEX(SelectedPrecincts[Draw], MATCH(SamplingData[[#This Row],[Batch by Type (p)]],SelectedPrecincts[Batch Name], 0)))</f>
        <v/>
      </c>
      <c r="AJ175" s="100">
        <f>IF(COUNTIF(SelectedPrecincts[Batch Name],SamplingData[[#This Row],[Batch by Type (p)]]) &lt;&gt; 0, COUNTIF(SelectedPrecincts[Batch Name],SamplingData[[#This Row],[Batch by Type (p)]]), 0)</f>
        <v>0</v>
      </c>
    </row>
    <row r="176" spans="1:36" ht="15" customHeight="1" x14ac:dyDescent="0.35">
      <c r="A176" s="97" t="s">
        <v>389</v>
      </c>
      <c r="B176" s="97">
        <v>199</v>
      </c>
      <c r="C176" s="97">
        <v>126</v>
      </c>
      <c r="D176" s="92"/>
      <c r="E176" s="92"/>
      <c r="F176" s="92"/>
      <c r="G176" s="96"/>
      <c r="H176" s="96"/>
      <c r="I176" s="92"/>
      <c r="J176" s="92"/>
      <c r="K176" s="92"/>
      <c r="L176" s="92"/>
      <c r="M176" s="92"/>
      <c r="N176" s="97">
        <v>0</v>
      </c>
      <c r="O176" s="97">
        <v>22</v>
      </c>
      <c r="P176" s="98">
        <f>SUM(SamplingData[[#This Row],[Winning Candidate]:[Under Votes]])</f>
        <v>347</v>
      </c>
      <c r="Q176" s="99">
        <f>IF(AND(SamplingData[[#This Row],[Total]]&lt;&gt; 0, NOT(ISBLANK(SamplingData[[#This Row],[Losing Candidate]]))),(SamplingData[[#This Row],[Total]]+SamplingData[[#This Row],[Winning Candidate]]-SamplingData[[#This Row],[Losing Candidate]])/(SamplingData[[#Totals],[Winning Candidate]]-SamplingData[[#Totals],[Losing Candidate]]), 0)</f>
        <v>1.7823799015447294E-2</v>
      </c>
      <c r="R176" s="99">
        <f>IF(AND(SamplingData[[#This Row],[Total]]&lt;&gt; 0, NOT(ISBLANK(SamplingData[[#This Row],[Candidate 3]]))),(SamplingData[[#This Row],[Total]]+SamplingData[[#This Row],[Winning Candidate]]-SamplingData[[#This Row],[Candidate 3]])/(SamplingData[[#Totals],[Winning Candidate]]-SamplingData[[#Totals],[Candidate 3]]), 0)</f>
        <v>0</v>
      </c>
      <c r="S176" s="99">
        <f>IF(AND(SamplingData[[#This Row],[Total]]&lt;&gt; 0, NOT(ISBLANK(SamplingData[[#This Row],[Candidate 4]]))),(SamplingData[[#This Row],[Total]]+SamplingData[[#This Row],[Winning Candidate]]-SamplingData[[#This Row],[Candidate 4]])/(SamplingData[[#Totals],[Winning Candidate]]-SamplingData[[#Totals],[Candidate 4]]), 0)</f>
        <v>0</v>
      </c>
      <c r="T176" s="99">
        <f>IF(AND(SamplingData[[#This Row],[Total]]&lt;&gt; 0, NOT(ISBLANK(SamplingData[[#This Row],[Candidate 5]]))),(SamplingData[[#This Row],[Total]]+SamplingData[[#This Row],[Winning Candidate]]-SamplingData[[#This Row],[Candidate 5]])/(SamplingData[[#Totals],[Winning Candidate]]-SamplingData[[#Totals],[Candidate 5]]), 0)</f>
        <v>0</v>
      </c>
      <c r="U176" s="99">
        <f>IF(AND(SamplingData[[#This Row],[Total]]&lt;&gt; 0, NOT(ISBLANK(SamplingData[[#This Row],[Candidate 6]]))),(SamplingData[[#This Row],[Total]]+SamplingData[[#This Row],[Losing Candidate]]-SamplingData[[#This Row],[Candidate 6]])/(SamplingData[[#Totals],[Winning Candidate]]-SamplingData[[#Totals],[Candidate 6]]), 0)</f>
        <v>0</v>
      </c>
      <c r="V176" s="99">
        <f>IF(AND(SamplingData[[#This Row],[Total]]&lt;&gt; 0, NOT(ISBLANK(SamplingData[[#This Row],[Candidate 7]]))),(SamplingData[[#This Row],[Total]]+SamplingData[[#This Row],[Winning Candidate]]-SamplingData[[#This Row],[Candidate 7]])/(SamplingData[[#Totals],[Winning Candidate]]-SamplingData[[#Totals],[Candidate 7]]), 0)</f>
        <v>0</v>
      </c>
      <c r="W176" s="99">
        <f>IF(AND(SamplingData[[#This Row],[Total]]&lt;&gt; 0, NOT(ISBLANK(SamplingData[[#This Row],[Candidate 8]]))),(SamplingData[[#This Row],[Total]]+SamplingData[[#This Row],[Winning Candidate]]-SamplingData[[#This Row],[Candidate 8]])/(SamplingData[[#Totals],[Winning Candidate]]-SamplingData[[#Totals],[Candidate 8]]), 0)</f>
        <v>0</v>
      </c>
      <c r="X1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6" s="99">
        <f>MAX(SamplingData[[#This Row],[Error Bound (up) - Max. possible relative overstatement - Losing Candidate]:[Error Bound (up) - Max. possible relative overstatement - Candidate 12]])</f>
        <v>1.7823799015447294E-2</v>
      </c>
      <c r="AC176" s="99">
        <f>IF(SamplingData[[#This Row],[Max Error Bound (up)]] = 0,0,SamplingData[[#This Row],[Max Error Bound (up)]]/SamplingData[[#Totals],[Max Error Bound (up)]])</f>
        <v>9.5430254117133948E-4</v>
      </c>
      <c r="AD176" s="103">
        <f>SUM($AC$5:AC176)</f>
        <v>0.18914049151125195</v>
      </c>
      <c r="AE176" s="99" t="str" cm="1">
        <f t="array" ref="AE176">IF(SamplingData[[#This Row],[up/U Selection Probability]] = 0, "Zero", TEXT(SamplingData[[#This Row],[Lower Range]], REPT("0",LEN('General Info'!$B$42))) &amp; " - " &amp; TEXT(SamplingData[[#This Row],[Upper Range]], REPT("0",LEN('General Info'!$B$42))))</f>
        <v>188186 - 189139</v>
      </c>
      <c r="AF176" s="99">
        <f>SamplingData[[#This Row],[Upper Range]]-SamplingData[[#This Row],[Span]]</f>
        <v>188186.18897008061</v>
      </c>
      <c r="AG176" s="99">
        <f>IF(ISNUMBER('General Info'!$B$42), ((SamplingData[[#This Row],[up/U Selection Probability]]) * 'General Info'!$B$44) - 1, 0)</f>
        <v>953.3025411713395</v>
      </c>
      <c r="AH176" s="99">
        <f>IF(ISNUMBER('General Info'!$B$42), (SamplingData[[#This Row],[Running (cumulative) sum]] * ('General Info'!$B$42 -'General Info'!$B$43 + 1)) + 'General Info'!$B$43 - 1, 0)</f>
        <v>189139.49151125195</v>
      </c>
      <c r="AI176" s="99" t="str">
        <f>IF(ISERROR(MATCH(SamplingData[[#This Row],[Batch by Type (p)]],SelectedPrecincts[Batch Name], 0)), "", INDEX(SelectedPrecincts[Draw], MATCH(SamplingData[[#This Row],[Batch by Type (p)]],SelectedPrecincts[Batch Name], 0)))</f>
        <v/>
      </c>
      <c r="AJ176" s="100">
        <f>IF(COUNTIF(SelectedPrecincts[Batch Name],SamplingData[[#This Row],[Batch by Type (p)]]) &lt;&gt; 0, COUNTIF(SelectedPrecincts[Batch Name],SamplingData[[#This Row],[Batch by Type (p)]]), 0)</f>
        <v>0</v>
      </c>
    </row>
    <row r="177" spans="1:36" ht="15" customHeight="1" x14ac:dyDescent="0.35">
      <c r="A177" s="97" t="s">
        <v>390</v>
      </c>
      <c r="B177" s="97">
        <v>204</v>
      </c>
      <c r="C177" s="97">
        <v>54</v>
      </c>
      <c r="D177" s="92"/>
      <c r="E177" s="92"/>
      <c r="F177" s="92"/>
      <c r="G177" s="96"/>
      <c r="H177" s="96"/>
      <c r="I177" s="92"/>
      <c r="J177" s="92"/>
      <c r="K177" s="92"/>
      <c r="L177" s="92"/>
      <c r="M177" s="92"/>
      <c r="N177" s="97">
        <v>1</v>
      </c>
      <c r="O177" s="97">
        <v>16</v>
      </c>
      <c r="P177" s="98">
        <f>SUM(SamplingData[[#This Row],[Winning Candidate]:[Under Votes]])</f>
        <v>275</v>
      </c>
      <c r="Q177" s="99">
        <f>IF(AND(SamplingData[[#This Row],[Total]]&lt;&gt; 0, NOT(ISBLANK(SamplingData[[#This Row],[Losing Candidate]]))),(SamplingData[[#This Row],[Total]]+SamplingData[[#This Row],[Winning Candidate]]-SamplingData[[#This Row],[Losing Candidate]])/(SamplingData[[#Totals],[Winning Candidate]]-SamplingData[[#Totals],[Losing Candidate]]), 0)</f>
        <v>1.803598709896452E-2</v>
      </c>
      <c r="R177" s="99">
        <f>IF(AND(SamplingData[[#This Row],[Total]]&lt;&gt; 0, NOT(ISBLANK(SamplingData[[#This Row],[Candidate 3]]))),(SamplingData[[#This Row],[Total]]+SamplingData[[#This Row],[Winning Candidate]]-SamplingData[[#This Row],[Candidate 3]])/(SamplingData[[#Totals],[Winning Candidate]]-SamplingData[[#Totals],[Candidate 3]]), 0)</f>
        <v>0</v>
      </c>
      <c r="S177" s="99">
        <f>IF(AND(SamplingData[[#This Row],[Total]]&lt;&gt; 0, NOT(ISBLANK(SamplingData[[#This Row],[Candidate 4]]))),(SamplingData[[#This Row],[Total]]+SamplingData[[#This Row],[Winning Candidate]]-SamplingData[[#This Row],[Candidate 4]])/(SamplingData[[#Totals],[Winning Candidate]]-SamplingData[[#Totals],[Candidate 4]]), 0)</f>
        <v>0</v>
      </c>
      <c r="T177" s="99">
        <f>IF(AND(SamplingData[[#This Row],[Total]]&lt;&gt; 0, NOT(ISBLANK(SamplingData[[#This Row],[Candidate 5]]))),(SamplingData[[#This Row],[Total]]+SamplingData[[#This Row],[Winning Candidate]]-SamplingData[[#This Row],[Candidate 5]])/(SamplingData[[#Totals],[Winning Candidate]]-SamplingData[[#Totals],[Candidate 5]]), 0)</f>
        <v>0</v>
      </c>
      <c r="U177" s="99">
        <f>IF(AND(SamplingData[[#This Row],[Total]]&lt;&gt; 0, NOT(ISBLANK(SamplingData[[#This Row],[Candidate 6]]))),(SamplingData[[#This Row],[Total]]+SamplingData[[#This Row],[Losing Candidate]]-SamplingData[[#This Row],[Candidate 6]])/(SamplingData[[#Totals],[Winning Candidate]]-SamplingData[[#Totals],[Candidate 6]]), 0)</f>
        <v>0</v>
      </c>
      <c r="V177" s="99">
        <f>IF(AND(SamplingData[[#This Row],[Total]]&lt;&gt; 0, NOT(ISBLANK(SamplingData[[#This Row],[Candidate 7]]))),(SamplingData[[#This Row],[Total]]+SamplingData[[#This Row],[Winning Candidate]]-SamplingData[[#This Row],[Candidate 7]])/(SamplingData[[#Totals],[Winning Candidate]]-SamplingData[[#Totals],[Candidate 7]]), 0)</f>
        <v>0</v>
      </c>
      <c r="W177" s="99">
        <f>IF(AND(SamplingData[[#This Row],[Total]]&lt;&gt; 0, NOT(ISBLANK(SamplingData[[#This Row],[Candidate 8]]))),(SamplingData[[#This Row],[Total]]+SamplingData[[#This Row],[Winning Candidate]]-SamplingData[[#This Row],[Candidate 8]])/(SamplingData[[#Totals],[Winning Candidate]]-SamplingData[[#Totals],[Candidate 8]]), 0)</f>
        <v>0</v>
      </c>
      <c r="X1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7" s="99">
        <f>MAX(SamplingData[[#This Row],[Error Bound (up) - Max. possible relative overstatement - Losing Candidate]:[Error Bound (up) - Max. possible relative overstatement - Candidate 12]])</f>
        <v>1.803598709896452E-2</v>
      </c>
      <c r="AC177" s="99">
        <f>IF(SamplingData[[#This Row],[Max Error Bound (up)]] = 0,0,SamplingData[[#This Row],[Max Error Bound (up)]]/SamplingData[[#Totals],[Max Error Bound (up)]])</f>
        <v>9.6566328570909339E-4</v>
      </c>
      <c r="AD177" s="103">
        <f>SUM($AC$5:AC177)</f>
        <v>0.19010615479696105</v>
      </c>
      <c r="AE177" s="99" t="str" cm="1">
        <f t="array" ref="AE177">IF(SamplingData[[#This Row],[up/U Selection Probability]] = 0, "Zero", TEXT(SamplingData[[#This Row],[Lower Range]], REPT("0",LEN('General Info'!$B$42))) &amp; " - " &amp; TEXT(SamplingData[[#This Row],[Upper Range]], REPT("0",LEN('General Info'!$B$42))))</f>
        <v>189140 - 190105</v>
      </c>
      <c r="AF177" s="99">
        <f>SamplingData[[#This Row],[Upper Range]]-SamplingData[[#This Row],[Span]]</f>
        <v>189140.49151125195</v>
      </c>
      <c r="AG177" s="99">
        <f>IF(ISNUMBER('General Info'!$B$42), ((SamplingData[[#This Row],[up/U Selection Probability]]) * 'General Info'!$B$44) - 1, 0)</f>
        <v>964.66328570909343</v>
      </c>
      <c r="AH177" s="99">
        <f>IF(ISNUMBER('General Info'!$B$42), (SamplingData[[#This Row],[Running (cumulative) sum]] * ('General Info'!$B$42 -'General Info'!$B$43 + 1)) + 'General Info'!$B$43 - 1, 0)</f>
        <v>190105.15479696105</v>
      </c>
      <c r="AI177" s="99" t="str">
        <f>IF(ISERROR(MATCH(SamplingData[[#This Row],[Batch by Type (p)]],SelectedPrecincts[Batch Name], 0)), "", INDEX(SelectedPrecincts[Draw], MATCH(SamplingData[[#This Row],[Batch by Type (p)]],SelectedPrecincts[Batch Name], 0)))</f>
        <v/>
      </c>
      <c r="AJ177" s="100">
        <f>IF(COUNTIF(SelectedPrecincts[Batch Name],SamplingData[[#This Row],[Batch by Type (p)]]) &lt;&gt; 0, COUNTIF(SelectedPrecincts[Batch Name],SamplingData[[#This Row],[Batch by Type (p)]]), 0)</f>
        <v>0</v>
      </c>
    </row>
    <row r="178" spans="1:36" ht="15" customHeight="1" x14ac:dyDescent="0.35">
      <c r="A178" s="97" t="s">
        <v>391</v>
      </c>
      <c r="B178" s="97">
        <v>99</v>
      </c>
      <c r="C178" s="97">
        <v>31</v>
      </c>
      <c r="D178" s="92"/>
      <c r="E178" s="92"/>
      <c r="F178" s="92"/>
      <c r="G178" s="96"/>
      <c r="H178" s="96"/>
      <c r="I178" s="92"/>
      <c r="J178" s="92"/>
      <c r="K178" s="92"/>
      <c r="L178" s="92"/>
      <c r="M178" s="92"/>
      <c r="N178" s="97">
        <v>0</v>
      </c>
      <c r="O178" s="97">
        <v>5</v>
      </c>
      <c r="P178" s="98">
        <f>SUM(SamplingData[[#This Row],[Winning Candidate]:[Under Votes]])</f>
        <v>135</v>
      </c>
      <c r="Q178" s="99">
        <f>IF(AND(SamplingData[[#This Row],[Total]]&lt;&gt; 0, NOT(ISBLANK(SamplingData[[#This Row],[Losing Candidate]]))),(SamplingData[[#This Row],[Total]]+SamplingData[[#This Row],[Winning Candidate]]-SamplingData[[#This Row],[Losing Candidate]])/(SamplingData[[#Totals],[Winning Candidate]]-SamplingData[[#Totals],[Losing Candidate]]), 0)</f>
        <v>8.6148361907995245E-3</v>
      </c>
      <c r="R178" s="99">
        <f>IF(AND(SamplingData[[#This Row],[Total]]&lt;&gt; 0, NOT(ISBLANK(SamplingData[[#This Row],[Candidate 3]]))),(SamplingData[[#This Row],[Total]]+SamplingData[[#This Row],[Winning Candidate]]-SamplingData[[#This Row],[Candidate 3]])/(SamplingData[[#Totals],[Winning Candidate]]-SamplingData[[#Totals],[Candidate 3]]), 0)</f>
        <v>0</v>
      </c>
      <c r="S178" s="99">
        <f>IF(AND(SamplingData[[#This Row],[Total]]&lt;&gt; 0, NOT(ISBLANK(SamplingData[[#This Row],[Candidate 4]]))),(SamplingData[[#This Row],[Total]]+SamplingData[[#This Row],[Winning Candidate]]-SamplingData[[#This Row],[Candidate 4]])/(SamplingData[[#Totals],[Winning Candidate]]-SamplingData[[#Totals],[Candidate 4]]), 0)</f>
        <v>0</v>
      </c>
      <c r="T178" s="99">
        <f>IF(AND(SamplingData[[#This Row],[Total]]&lt;&gt; 0, NOT(ISBLANK(SamplingData[[#This Row],[Candidate 5]]))),(SamplingData[[#This Row],[Total]]+SamplingData[[#This Row],[Winning Candidate]]-SamplingData[[#This Row],[Candidate 5]])/(SamplingData[[#Totals],[Winning Candidate]]-SamplingData[[#Totals],[Candidate 5]]), 0)</f>
        <v>0</v>
      </c>
      <c r="U178" s="99">
        <f>IF(AND(SamplingData[[#This Row],[Total]]&lt;&gt; 0, NOT(ISBLANK(SamplingData[[#This Row],[Candidate 6]]))),(SamplingData[[#This Row],[Total]]+SamplingData[[#This Row],[Losing Candidate]]-SamplingData[[#This Row],[Candidate 6]])/(SamplingData[[#Totals],[Winning Candidate]]-SamplingData[[#Totals],[Candidate 6]]), 0)</f>
        <v>0</v>
      </c>
      <c r="V178" s="99">
        <f>IF(AND(SamplingData[[#This Row],[Total]]&lt;&gt; 0, NOT(ISBLANK(SamplingData[[#This Row],[Candidate 7]]))),(SamplingData[[#This Row],[Total]]+SamplingData[[#This Row],[Winning Candidate]]-SamplingData[[#This Row],[Candidate 7]])/(SamplingData[[#Totals],[Winning Candidate]]-SamplingData[[#Totals],[Candidate 7]]), 0)</f>
        <v>0</v>
      </c>
      <c r="W178" s="99">
        <f>IF(AND(SamplingData[[#This Row],[Total]]&lt;&gt; 0, NOT(ISBLANK(SamplingData[[#This Row],[Candidate 8]]))),(SamplingData[[#This Row],[Total]]+SamplingData[[#This Row],[Winning Candidate]]-SamplingData[[#This Row],[Candidate 8]])/(SamplingData[[#Totals],[Winning Candidate]]-SamplingData[[#Totals],[Candidate 8]]), 0)</f>
        <v>0</v>
      </c>
      <c r="X1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8" s="99">
        <f>MAX(SamplingData[[#This Row],[Error Bound (up) - Max. possible relative overstatement - Losing Candidate]:[Error Bound (up) - Max. possible relative overstatement - Candidate 12]])</f>
        <v>8.6148361907995245E-3</v>
      </c>
      <c r="AC178" s="99">
        <f>IF(SamplingData[[#This Row],[Max Error Bound (up)]] = 0,0,SamplingData[[#This Row],[Max Error Bound (up)]]/SamplingData[[#Totals],[Max Error Bound (up)]])</f>
        <v>4.6124622823281406E-4</v>
      </c>
      <c r="AD178" s="103">
        <f>SUM($AC$5:AC178)</f>
        <v>0.19056740102519387</v>
      </c>
      <c r="AE178" s="99" t="str" cm="1">
        <f t="array" ref="AE178">IF(SamplingData[[#This Row],[up/U Selection Probability]] = 0, "Zero", TEXT(SamplingData[[#This Row],[Lower Range]], REPT("0",LEN('General Info'!$B$42))) &amp; " - " &amp; TEXT(SamplingData[[#This Row],[Upper Range]], REPT("0",LEN('General Info'!$B$42))))</f>
        <v>190106 - 190566</v>
      </c>
      <c r="AF178" s="99">
        <f>SamplingData[[#This Row],[Upper Range]]-SamplingData[[#This Row],[Span]]</f>
        <v>190106.15479696105</v>
      </c>
      <c r="AG178" s="99">
        <f>IF(ISNUMBER('General Info'!$B$42), ((SamplingData[[#This Row],[up/U Selection Probability]]) * 'General Info'!$B$44) - 1, 0)</f>
        <v>460.24622823281408</v>
      </c>
      <c r="AH178" s="99">
        <f>IF(ISNUMBER('General Info'!$B$42), (SamplingData[[#This Row],[Running (cumulative) sum]] * ('General Info'!$B$42 -'General Info'!$B$43 + 1)) + 'General Info'!$B$43 - 1, 0)</f>
        <v>190566.40102519386</v>
      </c>
      <c r="AI178" s="99" t="str">
        <f>IF(ISERROR(MATCH(SamplingData[[#This Row],[Batch by Type (p)]],SelectedPrecincts[Batch Name], 0)), "", INDEX(SelectedPrecincts[Draw], MATCH(SamplingData[[#This Row],[Batch by Type (p)]],SelectedPrecincts[Batch Name], 0)))</f>
        <v/>
      </c>
      <c r="AJ178" s="100">
        <f>IF(COUNTIF(SelectedPrecincts[Batch Name],SamplingData[[#This Row],[Batch by Type (p)]]) &lt;&gt; 0, COUNTIF(SelectedPrecincts[Batch Name],SamplingData[[#This Row],[Batch by Type (p)]]), 0)</f>
        <v>0</v>
      </c>
    </row>
    <row r="179" spans="1:36" ht="15" customHeight="1" x14ac:dyDescent="0.35">
      <c r="A179" s="97" t="s">
        <v>392</v>
      </c>
      <c r="B179" s="97">
        <v>130</v>
      </c>
      <c r="C179" s="97">
        <v>27</v>
      </c>
      <c r="D179" s="92"/>
      <c r="E179" s="92"/>
      <c r="F179" s="92"/>
      <c r="G179" s="96"/>
      <c r="H179" s="96"/>
      <c r="I179" s="92"/>
      <c r="J179" s="92"/>
      <c r="K179" s="92"/>
      <c r="L179" s="92"/>
      <c r="M179" s="92"/>
      <c r="N179" s="97">
        <v>0</v>
      </c>
      <c r="O179" s="97">
        <v>12</v>
      </c>
      <c r="P179" s="98">
        <f>SUM(SamplingData[[#This Row],[Winning Candidate]:[Under Votes]])</f>
        <v>169</v>
      </c>
      <c r="Q179" s="99">
        <f>IF(AND(SamplingData[[#This Row],[Total]]&lt;&gt; 0, NOT(ISBLANK(SamplingData[[#This Row],[Losing Candidate]]))),(SamplingData[[#This Row],[Total]]+SamplingData[[#This Row],[Winning Candidate]]-SamplingData[[#This Row],[Losing Candidate]])/(SamplingData[[#Totals],[Winning Candidate]]-SamplingData[[#Totals],[Losing Candidate]]), 0)</f>
        <v>1.1543031743337295E-2</v>
      </c>
      <c r="R179" s="99">
        <f>IF(AND(SamplingData[[#This Row],[Total]]&lt;&gt; 0, NOT(ISBLANK(SamplingData[[#This Row],[Candidate 3]]))),(SamplingData[[#This Row],[Total]]+SamplingData[[#This Row],[Winning Candidate]]-SamplingData[[#This Row],[Candidate 3]])/(SamplingData[[#Totals],[Winning Candidate]]-SamplingData[[#Totals],[Candidate 3]]), 0)</f>
        <v>0</v>
      </c>
      <c r="S179" s="99">
        <f>IF(AND(SamplingData[[#This Row],[Total]]&lt;&gt; 0, NOT(ISBLANK(SamplingData[[#This Row],[Candidate 4]]))),(SamplingData[[#This Row],[Total]]+SamplingData[[#This Row],[Winning Candidate]]-SamplingData[[#This Row],[Candidate 4]])/(SamplingData[[#Totals],[Winning Candidate]]-SamplingData[[#Totals],[Candidate 4]]), 0)</f>
        <v>0</v>
      </c>
      <c r="T179" s="99">
        <f>IF(AND(SamplingData[[#This Row],[Total]]&lt;&gt; 0, NOT(ISBLANK(SamplingData[[#This Row],[Candidate 5]]))),(SamplingData[[#This Row],[Total]]+SamplingData[[#This Row],[Winning Candidate]]-SamplingData[[#This Row],[Candidate 5]])/(SamplingData[[#Totals],[Winning Candidate]]-SamplingData[[#Totals],[Candidate 5]]), 0)</f>
        <v>0</v>
      </c>
      <c r="U179" s="99">
        <f>IF(AND(SamplingData[[#This Row],[Total]]&lt;&gt; 0, NOT(ISBLANK(SamplingData[[#This Row],[Candidate 6]]))),(SamplingData[[#This Row],[Total]]+SamplingData[[#This Row],[Losing Candidate]]-SamplingData[[#This Row],[Candidate 6]])/(SamplingData[[#Totals],[Winning Candidate]]-SamplingData[[#Totals],[Candidate 6]]), 0)</f>
        <v>0</v>
      </c>
      <c r="V179" s="99">
        <f>IF(AND(SamplingData[[#This Row],[Total]]&lt;&gt; 0, NOT(ISBLANK(SamplingData[[#This Row],[Candidate 7]]))),(SamplingData[[#This Row],[Total]]+SamplingData[[#This Row],[Winning Candidate]]-SamplingData[[#This Row],[Candidate 7]])/(SamplingData[[#Totals],[Winning Candidate]]-SamplingData[[#Totals],[Candidate 7]]), 0)</f>
        <v>0</v>
      </c>
      <c r="W179" s="99">
        <f>IF(AND(SamplingData[[#This Row],[Total]]&lt;&gt; 0, NOT(ISBLANK(SamplingData[[#This Row],[Candidate 8]]))),(SamplingData[[#This Row],[Total]]+SamplingData[[#This Row],[Winning Candidate]]-SamplingData[[#This Row],[Candidate 8]])/(SamplingData[[#Totals],[Winning Candidate]]-SamplingData[[#Totals],[Candidate 8]]), 0)</f>
        <v>0</v>
      </c>
      <c r="X1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9" s="99">
        <f>MAX(SamplingData[[#This Row],[Error Bound (up) - Max. possible relative overstatement - Losing Candidate]:[Error Bound (up) - Max. possible relative overstatement - Candidate 12]])</f>
        <v>1.1543031743337295E-2</v>
      </c>
      <c r="AC179" s="99">
        <f>IF(SamplingData[[#This Row],[Max Error Bound (up)]] = 0,0,SamplingData[[#This Row],[Max Error Bound (up)]]/SamplingData[[#Totals],[Max Error Bound (up)]])</f>
        <v>6.1802450285381989E-4</v>
      </c>
      <c r="AD179" s="103">
        <f>SUM($AC$5:AC179)</f>
        <v>0.19118542552804768</v>
      </c>
      <c r="AE179" s="99" t="str" cm="1">
        <f t="array" ref="AE179">IF(SamplingData[[#This Row],[up/U Selection Probability]] = 0, "Zero", TEXT(SamplingData[[#This Row],[Lower Range]], REPT("0",LEN('General Info'!$B$42))) &amp; " - " &amp; TEXT(SamplingData[[#This Row],[Upper Range]], REPT("0",LEN('General Info'!$B$42))))</f>
        <v>190567 - 191184</v>
      </c>
      <c r="AF179" s="99">
        <f>SamplingData[[#This Row],[Upper Range]]-SamplingData[[#This Row],[Span]]</f>
        <v>190567.40102519386</v>
      </c>
      <c r="AG179" s="99">
        <f>IF(ISNUMBER('General Info'!$B$42), ((SamplingData[[#This Row],[up/U Selection Probability]]) * 'General Info'!$B$44) - 1, 0)</f>
        <v>617.02450285381985</v>
      </c>
      <c r="AH179" s="99">
        <f>IF(ISNUMBER('General Info'!$B$42), (SamplingData[[#This Row],[Running (cumulative) sum]] * ('General Info'!$B$42 -'General Info'!$B$43 + 1)) + 'General Info'!$B$43 - 1, 0)</f>
        <v>191184.42552804769</v>
      </c>
      <c r="AI179" s="99" t="str">
        <f>IF(ISERROR(MATCH(SamplingData[[#This Row],[Batch by Type (p)]],SelectedPrecincts[Batch Name], 0)), "", INDEX(SelectedPrecincts[Draw], MATCH(SamplingData[[#This Row],[Batch by Type (p)]],SelectedPrecincts[Batch Name], 0)))</f>
        <v/>
      </c>
      <c r="AJ179" s="100">
        <f>IF(COUNTIF(SelectedPrecincts[Batch Name],SamplingData[[#This Row],[Batch by Type (p)]]) &lt;&gt; 0, COUNTIF(SelectedPrecincts[Batch Name],SamplingData[[#This Row],[Batch by Type (p)]]), 0)</f>
        <v>0</v>
      </c>
    </row>
    <row r="180" spans="1:36" ht="15" customHeight="1" x14ac:dyDescent="0.35">
      <c r="A180" s="97" t="s">
        <v>393</v>
      </c>
      <c r="B180" s="97">
        <v>163</v>
      </c>
      <c r="C180" s="97">
        <v>29</v>
      </c>
      <c r="D180" s="92"/>
      <c r="E180" s="92"/>
      <c r="F180" s="92"/>
      <c r="G180" s="96"/>
      <c r="H180" s="96"/>
      <c r="I180" s="92"/>
      <c r="J180" s="92"/>
      <c r="K180" s="92"/>
      <c r="L180" s="92"/>
      <c r="M180" s="92"/>
      <c r="N180" s="97">
        <v>0</v>
      </c>
      <c r="O180" s="97">
        <v>16</v>
      </c>
      <c r="P180" s="98">
        <f>SUM(SamplingData[[#This Row],[Winning Candidate]:[Under Votes]])</f>
        <v>208</v>
      </c>
      <c r="Q180" s="99">
        <f>IF(AND(SamplingData[[#This Row],[Total]]&lt;&gt; 0, NOT(ISBLANK(SamplingData[[#This Row],[Losing Candidate]]))),(SamplingData[[#This Row],[Total]]+SamplingData[[#This Row],[Winning Candidate]]-SamplingData[[#This Row],[Losing Candidate]])/(SamplingData[[#Totals],[Winning Candidate]]-SamplingData[[#Totals],[Losing Candidate]]), 0)</f>
        <v>1.451366491257851E-2</v>
      </c>
      <c r="R180" s="99">
        <f>IF(AND(SamplingData[[#This Row],[Total]]&lt;&gt; 0, NOT(ISBLANK(SamplingData[[#This Row],[Candidate 3]]))),(SamplingData[[#This Row],[Total]]+SamplingData[[#This Row],[Winning Candidate]]-SamplingData[[#This Row],[Candidate 3]])/(SamplingData[[#Totals],[Winning Candidate]]-SamplingData[[#Totals],[Candidate 3]]), 0)</f>
        <v>0</v>
      </c>
      <c r="S180" s="99">
        <f>IF(AND(SamplingData[[#This Row],[Total]]&lt;&gt; 0, NOT(ISBLANK(SamplingData[[#This Row],[Candidate 4]]))),(SamplingData[[#This Row],[Total]]+SamplingData[[#This Row],[Winning Candidate]]-SamplingData[[#This Row],[Candidate 4]])/(SamplingData[[#Totals],[Winning Candidate]]-SamplingData[[#Totals],[Candidate 4]]), 0)</f>
        <v>0</v>
      </c>
      <c r="T180" s="99">
        <f>IF(AND(SamplingData[[#This Row],[Total]]&lt;&gt; 0, NOT(ISBLANK(SamplingData[[#This Row],[Candidate 5]]))),(SamplingData[[#This Row],[Total]]+SamplingData[[#This Row],[Winning Candidate]]-SamplingData[[#This Row],[Candidate 5]])/(SamplingData[[#Totals],[Winning Candidate]]-SamplingData[[#Totals],[Candidate 5]]), 0)</f>
        <v>0</v>
      </c>
      <c r="U180" s="99">
        <f>IF(AND(SamplingData[[#This Row],[Total]]&lt;&gt; 0, NOT(ISBLANK(SamplingData[[#This Row],[Candidate 6]]))),(SamplingData[[#This Row],[Total]]+SamplingData[[#This Row],[Losing Candidate]]-SamplingData[[#This Row],[Candidate 6]])/(SamplingData[[#Totals],[Winning Candidate]]-SamplingData[[#Totals],[Candidate 6]]), 0)</f>
        <v>0</v>
      </c>
      <c r="V180" s="99">
        <f>IF(AND(SamplingData[[#This Row],[Total]]&lt;&gt; 0, NOT(ISBLANK(SamplingData[[#This Row],[Candidate 7]]))),(SamplingData[[#This Row],[Total]]+SamplingData[[#This Row],[Winning Candidate]]-SamplingData[[#This Row],[Candidate 7]])/(SamplingData[[#Totals],[Winning Candidate]]-SamplingData[[#Totals],[Candidate 7]]), 0)</f>
        <v>0</v>
      </c>
      <c r="W180" s="99">
        <f>IF(AND(SamplingData[[#This Row],[Total]]&lt;&gt; 0, NOT(ISBLANK(SamplingData[[#This Row],[Candidate 8]]))),(SamplingData[[#This Row],[Total]]+SamplingData[[#This Row],[Winning Candidate]]-SamplingData[[#This Row],[Candidate 8]])/(SamplingData[[#Totals],[Winning Candidate]]-SamplingData[[#Totals],[Candidate 8]]), 0)</f>
        <v>0</v>
      </c>
      <c r="X1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0" s="99">
        <f>MAX(SamplingData[[#This Row],[Error Bound (up) - Max. possible relative overstatement - Losing Candidate]:[Error Bound (up) - Max. possible relative overstatement - Candidate 12]])</f>
        <v>1.451366491257851E-2</v>
      </c>
      <c r="AC180" s="99">
        <f>IF(SamplingData[[#This Row],[Max Error Bound (up)]] = 0,0,SamplingData[[#This Row],[Max Error Bound (up)]]/SamplingData[[#Totals],[Max Error Bound (up)]])</f>
        <v>7.770749263823764E-4</v>
      </c>
      <c r="AD180" s="103">
        <f>SUM($AC$5:AC180)</f>
        <v>0.19196250045443006</v>
      </c>
      <c r="AE180" s="99" t="str" cm="1">
        <f t="array" ref="AE180">IF(SamplingData[[#This Row],[up/U Selection Probability]] = 0, "Zero", TEXT(SamplingData[[#This Row],[Lower Range]], REPT("0",LEN('General Info'!$B$42))) &amp; " - " &amp; TEXT(SamplingData[[#This Row],[Upper Range]], REPT("0",LEN('General Info'!$B$42))))</f>
        <v>191185 - 191962</v>
      </c>
      <c r="AF180" s="99">
        <f>SamplingData[[#This Row],[Upper Range]]-SamplingData[[#This Row],[Span]]</f>
        <v>191185.42552804769</v>
      </c>
      <c r="AG180" s="99">
        <f>IF(ISNUMBER('General Info'!$B$42), ((SamplingData[[#This Row],[up/U Selection Probability]]) * 'General Info'!$B$44) - 1, 0)</f>
        <v>776.07492638237636</v>
      </c>
      <c r="AH180" s="99">
        <f>IF(ISNUMBER('General Info'!$B$42), (SamplingData[[#This Row],[Running (cumulative) sum]] * ('General Info'!$B$42 -'General Info'!$B$43 + 1)) + 'General Info'!$B$43 - 1, 0)</f>
        <v>191961.50045443006</v>
      </c>
      <c r="AI180" s="99" t="str">
        <f>IF(ISERROR(MATCH(SamplingData[[#This Row],[Batch by Type (p)]],SelectedPrecincts[Batch Name], 0)), "", INDEX(SelectedPrecincts[Draw], MATCH(SamplingData[[#This Row],[Batch by Type (p)]],SelectedPrecincts[Batch Name], 0)))</f>
        <v/>
      </c>
      <c r="AJ180" s="100">
        <f>IF(COUNTIF(SelectedPrecincts[Batch Name],SamplingData[[#This Row],[Batch by Type (p)]]) &lt;&gt; 0, COUNTIF(SelectedPrecincts[Batch Name],SamplingData[[#This Row],[Batch by Type (p)]]), 0)</f>
        <v>0</v>
      </c>
    </row>
    <row r="181" spans="1:36" ht="15" customHeight="1" x14ac:dyDescent="0.35">
      <c r="A181" s="97" t="s">
        <v>394</v>
      </c>
      <c r="B181" s="97">
        <v>124</v>
      </c>
      <c r="C181" s="97">
        <v>35</v>
      </c>
      <c r="D181" s="92"/>
      <c r="E181" s="92"/>
      <c r="F181" s="92"/>
      <c r="G181" s="96"/>
      <c r="H181" s="96"/>
      <c r="I181" s="92"/>
      <c r="J181" s="92"/>
      <c r="K181" s="92"/>
      <c r="L181" s="92"/>
      <c r="M181" s="92"/>
      <c r="N181" s="97">
        <v>0</v>
      </c>
      <c r="O181" s="97">
        <v>4</v>
      </c>
      <c r="P181" s="98">
        <f>SUM(SamplingData[[#This Row],[Winning Candidate]:[Under Votes]])</f>
        <v>163</v>
      </c>
      <c r="Q181" s="99">
        <f>IF(AND(SamplingData[[#This Row],[Total]]&lt;&gt; 0, NOT(ISBLANK(SamplingData[[#This Row],[Losing Candidate]]))),(SamplingData[[#This Row],[Total]]+SamplingData[[#This Row],[Winning Candidate]]-SamplingData[[#This Row],[Losing Candidate]])/(SamplingData[[#Totals],[Winning Candidate]]-SamplingData[[#Totals],[Losing Candidate]]), 0)</f>
        <v>1.0694279409268375E-2</v>
      </c>
      <c r="R181" s="99">
        <f>IF(AND(SamplingData[[#This Row],[Total]]&lt;&gt; 0, NOT(ISBLANK(SamplingData[[#This Row],[Candidate 3]]))),(SamplingData[[#This Row],[Total]]+SamplingData[[#This Row],[Winning Candidate]]-SamplingData[[#This Row],[Candidate 3]])/(SamplingData[[#Totals],[Winning Candidate]]-SamplingData[[#Totals],[Candidate 3]]), 0)</f>
        <v>0</v>
      </c>
      <c r="S181" s="99">
        <f>IF(AND(SamplingData[[#This Row],[Total]]&lt;&gt; 0, NOT(ISBLANK(SamplingData[[#This Row],[Candidate 4]]))),(SamplingData[[#This Row],[Total]]+SamplingData[[#This Row],[Winning Candidate]]-SamplingData[[#This Row],[Candidate 4]])/(SamplingData[[#Totals],[Winning Candidate]]-SamplingData[[#Totals],[Candidate 4]]), 0)</f>
        <v>0</v>
      </c>
      <c r="T181" s="99">
        <f>IF(AND(SamplingData[[#This Row],[Total]]&lt;&gt; 0, NOT(ISBLANK(SamplingData[[#This Row],[Candidate 5]]))),(SamplingData[[#This Row],[Total]]+SamplingData[[#This Row],[Winning Candidate]]-SamplingData[[#This Row],[Candidate 5]])/(SamplingData[[#Totals],[Winning Candidate]]-SamplingData[[#Totals],[Candidate 5]]), 0)</f>
        <v>0</v>
      </c>
      <c r="U181" s="99">
        <f>IF(AND(SamplingData[[#This Row],[Total]]&lt;&gt; 0, NOT(ISBLANK(SamplingData[[#This Row],[Candidate 6]]))),(SamplingData[[#This Row],[Total]]+SamplingData[[#This Row],[Losing Candidate]]-SamplingData[[#This Row],[Candidate 6]])/(SamplingData[[#Totals],[Winning Candidate]]-SamplingData[[#Totals],[Candidate 6]]), 0)</f>
        <v>0</v>
      </c>
      <c r="V181" s="99">
        <f>IF(AND(SamplingData[[#This Row],[Total]]&lt;&gt; 0, NOT(ISBLANK(SamplingData[[#This Row],[Candidate 7]]))),(SamplingData[[#This Row],[Total]]+SamplingData[[#This Row],[Winning Candidate]]-SamplingData[[#This Row],[Candidate 7]])/(SamplingData[[#Totals],[Winning Candidate]]-SamplingData[[#Totals],[Candidate 7]]), 0)</f>
        <v>0</v>
      </c>
      <c r="W181" s="99">
        <f>IF(AND(SamplingData[[#This Row],[Total]]&lt;&gt; 0, NOT(ISBLANK(SamplingData[[#This Row],[Candidate 8]]))),(SamplingData[[#This Row],[Total]]+SamplingData[[#This Row],[Winning Candidate]]-SamplingData[[#This Row],[Candidate 8]])/(SamplingData[[#Totals],[Winning Candidate]]-SamplingData[[#Totals],[Candidate 8]]), 0)</f>
        <v>0</v>
      </c>
      <c r="X1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1" s="99">
        <f>MAX(SamplingData[[#This Row],[Error Bound (up) - Max. possible relative overstatement - Losing Candidate]:[Error Bound (up) - Max. possible relative overstatement - Candidate 12]])</f>
        <v>1.0694279409268375E-2</v>
      </c>
      <c r="AC181" s="99">
        <f>IF(SamplingData[[#This Row],[Max Error Bound (up)]] = 0,0,SamplingData[[#This Row],[Max Error Bound (up)]]/SamplingData[[#Totals],[Max Error Bound (up)]])</f>
        <v>5.7258152470280362E-4</v>
      </c>
      <c r="AD181" s="103">
        <f>SUM($AC$5:AC181)</f>
        <v>0.19253508197913285</v>
      </c>
      <c r="AE181" s="99" t="str" cm="1">
        <f t="array" ref="AE181">IF(SamplingData[[#This Row],[up/U Selection Probability]] = 0, "Zero", TEXT(SamplingData[[#This Row],[Lower Range]], REPT("0",LEN('General Info'!$B$42))) &amp; " - " &amp; TEXT(SamplingData[[#This Row],[Upper Range]], REPT("0",LEN('General Info'!$B$42))))</f>
        <v>191963 - 192534</v>
      </c>
      <c r="AF181" s="99">
        <f>SamplingData[[#This Row],[Upper Range]]-SamplingData[[#This Row],[Span]]</f>
        <v>191962.50045443006</v>
      </c>
      <c r="AG181" s="99">
        <f>IF(ISNUMBER('General Info'!$B$42), ((SamplingData[[#This Row],[up/U Selection Probability]]) * 'General Info'!$B$44) - 1, 0)</f>
        <v>571.58152470280368</v>
      </c>
      <c r="AH181" s="99">
        <f>IF(ISNUMBER('General Info'!$B$42), (SamplingData[[#This Row],[Running (cumulative) sum]] * ('General Info'!$B$42 -'General Info'!$B$43 + 1)) + 'General Info'!$B$43 - 1, 0)</f>
        <v>192534.08197913287</v>
      </c>
      <c r="AI181" s="99" t="str">
        <f>IF(ISERROR(MATCH(SamplingData[[#This Row],[Batch by Type (p)]],SelectedPrecincts[Batch Name], 0)), "", INDEX(SelectedPrecincts[Draw], MATCH(SamplingData[[#This Row],[Batch by Type (p)]],SelectedPrecincts[Batch Name], 0)))</f>
        <v/>
      </c>
      <c r="AJ181" s="100">
        <f>IF(COUNTIF(SelectedPrecincts[Batch Name],SamplingData[[#This Row],[Batch by Type (p)]]) &lt;&gt; 0, COUNTIF(SelectedPrecincts[Batch Name],SamplingData[[#This Row],[Batch by Type (p)]]), 0)</f>
        <v>0</v>
      </c>
    </row>
    <row r="182" spans="1:36" ht="15" customHeight="1" x14ac:dyDescent="0.35">
      <c r="A182" s="97" t="s">
        <v>395</v>
      </c>
      <c r="B182" s="97">
        <v>121</v>
      </c>
      <c r="C182" s="97">
        <v>64</v>
      </c>
      <c r="D182" s="92"/>
      <c r="E182" s="92"/>
      <c r="F182" s="92"/>
      <c r="G182" s="96"/>
      <c r="H182" s="96"/>
      <c r="I182" s="92"/>
      <c r="J182" s="92"/>
      <c r="K182" s="92"/>
      <c r="L182" s="92"/>
      <c r="M182" s="92"/>
      <c r="N182" s="97">
        <v>0</v>
      </c>
      <c r="O182" s="97">
        <v>14</v>
      </c>
      <c r="P182" s="98">
        <f>SUM(SamplingData[[#This Row],[Winning Candidate]:[Under Votes]])</f>
        <v>199</v>
      </c>
      <c r="Q182" s="99">
        <f>IF(AND(SamplingData[[#This Row],[Total]]&lt;&gt; 0, NOT(ISBLANK(SamplingData[[#This Row],[Losing Candidate]]))),(SamplingData[[#This Row],[Total]]+SamplingData[[#This Row],[Winning Candidate]]-SamplingData[[#This Row],[Losing Candidate]])/(SamplingData[[#Totals],[Winning Candidate]]-SamplingData[[#Totals],[Losing Candidate]]), 0)</f>
        <v>1.0864029876082159E-2</v>
      </c>
      <c r="R182" s="99">
        <f>IF(AND(SamplingData[[#This Row],[Total]]&lt;&gt; 0, NOT(ISBLANK(SamplingData[[#This Row],[Candidate 3]]))),(SamplingData[[#This Row],[Total]]+SamplingData[[#This Row],[Winning Candidate]]-SamplingData[[#This Row],[Candidate 3]])/(SamplingData[[#Totals],[Winning Candidate]]-SamplingData[[#Totals],[Candidate 3]]), 0)</f>
        <v>0</v>
      </c>
      <c r="S182" s="99">
        <f>IF(AND(SamplingData[[#This Row],[Total]]&lt;&gt; 0, NOT(ISBLANK(SamplingData[[#This Row],[Candidate 4]]))),(SamplingData[[#This Row],[Total]]+SamplingData[[#This Row],[Winning Candidate]]-SamplingData[[#This Row],[Candidate 4]])/(SamplingData[[#Totals],[Winning Candidate]]-SamplingData[[#Totals],[Candidate 4]]), 0)</f>
        <v>0</v>
      </c>
      <c r="T182" s="99">
        <f>IF(AND(SamplingData[[#This Row],[Total]]&lt;&gt; 0, NOT(ISBLANK(SamplingData[[#This Row],[Candidate 5]]))),(SamplingData[[#This Row],[Total]]+SamplingData[[#This Row],[Winning Candidate]]-SamplingData[[#This Row],[Candidate 5]])/(SamplingData[[#Totals],[Winning Candidate]]-SamplingData[[#Totals],[Candidate 5]]), 0)</f>
        <v>0</v>
      </c>
      <c r="U182" s="99">
        <f>IF(AND(SamplingData[[#This Row],[Total]]&lt;&gt; 0, NOT(ISBLANK(SamplingData[[#This Row],[Candidate 6]]))),(SamplingData[[#This Row],[Total]]+SamplingData[[#This Row],[Losing Candidate]]-SamplingData[[#This Row],[Candidate 6]])/(SamplingData[[#Totals],[Winning Candidate]]-SamplingData[[#Totals],[Candidate 6]]), 0)</f>
        <v>0</v>
      </c>
      <c r="V182" s="99">
        <f>IF(AND(SamplingData[[#This Row],[Total]]&lt;&gt; 0, NOT(ISBLANK(SamplingData[[#This Row],[Candidate 7]]))),(SamplingData[[#This Row],[Total]]+SamplingData[[#This Row],[Winning Candidate]]-SamplingData[[#This Row],[Candidate 7]])/(SamplingData[[#Totals],[Winning Candidate]]-SamplingData[[#Totals],[Candidate 7]]), 0)</f>
        <v>0</v>
      </c>
      <c r="W182" s="99">
        <f>IF(AND(SamplingData[[#This Row],[Total]]&lt;&gt; 0, NOT(ISBLANK(SamplingData[[#This Row],[Candidate 8]]))),(SamplingData[[#This Row],[Total]]+SamplingData[[#This Row],[Winning Candidate]]-SamplingData[[#This Row],[Candidate 8]])/(SamplingData[[#Totals],[Winning Candidate]]-SamplingData[[#Totals],[Candidate 8]]), 0)</f>
        <v>0</v>
      </c>
      <c r="X1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2" s="99">
        <f>MAX(SamplingData[[#This Row],[Error Bound (up) - Max. possible relative overstatement - Losing Candidate]:[Error Bound (up) - Max. possible relative overstatement - Candidate 12]])</f>
        <v>1.0864029876082159E-2</v>
      </c>
      <c r="AC182" s="99">
        <f>IF(SamplingData[[#This Row],[Max Error Bound (up)]] = 0,0,SamplingData[[#This Row],[Max Error Bound (up)]]/SamplingData[[#Totals],[Max Error Bound (up)]])</f>
        <v>5.8167012033300686E-4</v>
      </c>
      <c r="AD182" s="103">
        <f>SUM($AC$5:AC182)</f>
        <v>0.19311675209946585</v>
      </c>
      <c r="AE182" s="99" t="str" cm="1">
        <f t="array" ref="AE182">IF(SamplingData[[#This Row],[up/U Selection Probability]] = 0, "Zero", TEXT(SamplingData[[#This Row],[Lower Range]], REPT("0",LEN('General Info'!$B$42))) &amp; " - " &amp; TEXT(SamplingData[[#This Row],[Upper Range]], REPT("0",LEN('General Info'!$B$42))))</f>
        <v>192535 - 193116</v>
      </c>
      <c r="AF182" s="99">
        <f>SamplingData[[#This Row],[Upper Range]]-SamplingData[[#This Row],[Span]]</f>
        <v>192535.08197913284</v>
      </c>
      <c r="AG182" s="99">
        <f>IF(ISNUMBER('General Info'!$B$42), ((SamplingData[[#This Row],[up/U Selection Probability]]) * 'General Info'!$B$44) - 1, 0)</f>
        <v>580.67012033300682</v>
      </c>
      <c r="AH182" s="99">
        <f>IF(ISNUMBER('General Info'!$B$42), (SamplingData[[#This Row],[Running (cumulative) sum]] * ('General Info'!$B$42 -'General Info'!$B$43 + 1)) + 'General Info'!$B$43 - 1, 0)</f>
        <v>193115.75209946584</v>
      </c>
      <c r="AI182" s="99" t="str">
        <f>IF(ISERROR(MATCH(SamplingData[[#This Row],[Batch by Type (p)]],SelectedPrecincts[Batch Name], 0)), "", INDEX(SelectedPrecincts[Draw], MATCH(SamplingData[[#This Row],[Batch by Type (p)]],SelectedPrecincts[Batch Name], 0)))</f>
        <v/>
      </c>
      <c r="AJ182" s="100">
        <f>IF(COUNTIF(SelectedPrecincts[Batch Name],SamplingData[[#This Row],[Batch by Type (p)]]) &lt;&gt; 0, COUNTIF(SelectedPrecincts[Batch Name],SamplingData[[#This Row],[Batch by Type (p)]]), 0)</f>
        <v>0</v>
      </c>
    </row>
    <row r="183" spans="1:36" ht="15" customHeight="1" x14ac:dyDescent="0.35">
      <c r="A183" s="97" t="s">
        <v>396</v>
      </c>
      <c r="B183" s="97">
        <v>26</v>
      </c>
      <c r="C183" s="97">
        <v>7</v>
      </c>
      <c r="D183" s="92"/>
      <c r="E183" s="92"/>
      <c r="F183" s="92"/>
      <c r="G183" s="96"/>
      <c r="H183" s="96"/>
      <c r="I183" s="92"/>
      <c r="J183" s="92"/>
      <c r="K183" s="92"/>
      <c r="L183" s="92"/>
      <c r="M183" s="92"/>
      <c r="N183" s="97">
        <v>0</v>
      </c>
      <c r="O183" s="97">
        <v>2</v>
      </c>
      <c r="P183" s="98">
        <f>SUM(SamplingData[[#This Row],[Winning Candidate]:[Under Votes]])</f>
        <v>35</v>
      </c>
      <c r="Q183" s="99">
        <f>IF(AND(SamplingData[[#This Row],[Total]]&lt;&gt; 0, NOT(ISBLANK(SamplingData[[#This Row],[Losing Candidate]]))),(SamplingData[[#This Row],[Total]]+SamplingData[[#This Row],[Winning Candidate]]-SamplingData[[#This Row],[Losing Candidate]])/(SamplingData[[#Totals],[Winning Candidate]]-SamplingData[[#Totals],[Losing Candidate]]), 0)</f>
        <v>2.2916313019860804E-3</v>
      </c>
      <c r="R183" s="99">
        <f>IF(AND(SamplingData[[#This Row],[Total]]&lt;&gt; 0, NOT(ISBLANK(SamplingData[[#This Row],[Candidate 3]]))),(SamplingData[[#This Row],[Total]]+SamplingData[[#This Row],[Winning Candidate]]-SamplingData[[#This Row],[Candidate 3]])/(SamplingData[[#Totals],[Winning Candidate]]-SamplingData[[#Totals],[Candidate 3]]), 0)</f>
        <v>0</v>
      </c>
      <c r="S183" s="99">
        <f>IF(AND(SamplingData[[#This Row],[Total]]&lt;&gt; 0, NOT(ISBLANK(SamplingData[[#This Row],[Candidate 4]]))),(SamplingData[[#This Row],[Total]]+SamplingData[[#This Row],[Winning Candidate]]-SamplingData[[#This Row],[Candidate 4]])/(SamplingData[[#Totals],[Winning Candidate]]-SamplingData[[#Totals],[Candidate 4]]), 0)</f>
        <v>0</v>
      </c>
      <c r="T183" s="99">
        <f>IF(AND(SamplingData[[#This Row],[Total]]&lt;&gt; 0, NOT(ISBLANK(SamplingData[[#This Row],[Candidate 5]]))),(SamplingData[[#This Row],[Total]]+SamplingData[[#This Row],[Winning Candidate]]-SamplingData[[#This Row],[Candidate 5]])/(SamplingData[[#Totals],[Winning Candidate]]-SamplingData[[#Totals],[Candidate 5]]), 0)</f>
        <v>0</v>
      </c>
      <c r="U183" s="99">
        <f>IF(AND(SamplingData[[#This Row],[Total]]&lt;&gt; 0, NOT(ISBLANK(SamplingData[[#This Row],[Candidate 6]]))),(SamplingData[[#This Row],[Total]]+SamplingData[[#This Row],[Losing Candidate]]-SamplingData[[#This Row],[Candidate 6]])/(SamplingData[[#Totals],[Winning Candidate]]-SamplingData[[#Totals],[Candidate 6]]), 0)</f>
        <v>0</v>
      </c>
      <c r="V183" s="99">
        <f>IF(AND(SamplingData[[#This Row],[Total]]&lt;&gt; 0, NOT(ISBLANK(SamplingData[[#This Row],[Candidate 7]]))),(SamplingData[[#This Row],[Total]]+SamplingData[[#This Row],[Winning Candidate]]-SamplingData[[#This Row],[Candidate 7]])/(SamplingData[[#Totals],[Winning Candidate]]-SamplingData[[#Totals],[Candidate 7]]), 0)</f>
        <v>0</v>
      </c>
      <c r="W183" s="99">
        <f>IF(AND(SamplingData[[#This Row],[Total]]&lt;&gt; 0, NOT(ISBLANK(SamplingData[[#This Row],[Candidate 8]]))),(SamplingData[[#This Row],[Total]]+SamplingData[[#This Row],[Winning Candidate]]-SamplingData[[#This Row],[Candidate 8]])/(SamplingData[[#Totals],[Winning Candidate]]-SamplingData[[#Totals],[Candidate 8]]), 0)</f>
        <v>0</v>
      </c>
      <c r="X1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3" s="99">
        <f>MAX(SamplingData[[#This Row],[Error Bound (up) - Max. possible relative overstatement - Losing Candidate]:[Error Bound (up) - Max. possible relative overstatement - Candidate 12]])</f>
        <v>2.2916313019860804E-3</v>
      </c>
      <c r="AC183" s="99">
        <f>IF(SamplingData[[#This Row],[Max Error Bound (up)]] = 0,0,SamplingData[[#This Row],[Max Error Bound (up)]]/SamplingData[[#Totals],[Max Error Bound (up)]])</f>
        <v>1.2269604100774363E-4</v>
      </c>
      <c r="AD183" s="103">
        <f>SUM($AC$5:AC183)</f>
        <v>0.19323944814047359</v>
      </c>
      <c r="AE183" s="99" t="str" cm="1">
        <f t="array" ref="AE183">IF(SamplingData[[#This Row],[up/U Selection Probability]] = 0, "Zero", TEXT(SamplingData[[#This Row],[Lower Range]], REPT("0",LEN('General Info'!$B$42))) &amp; " - " &amp; TEXT(SamplingData[[#This Row],[Upper Range]], REPT("0",LEN('General Info'!$B$42))))</f>
        <v>193117 - 193238</v>
      </c>
      <c r="AF183" s="99">
        <f>SamplingData[[#This Row],[Upper Range]]-SamplingData[[#This Row],[Span]]</f>
        <v>193116.75209946587</v>
      </c>
      <c r="AG183" s="99">
        <f>IF(ISNUMBER('General Info'!$B$42), ((SamplingData[[#This Row],[up/U Selection Probability]]) * 'General Info'!$B$44) - 1, 0)</f>
        <v>121.69604100774363</v>
      </c>
      <c r="AH183" s="99">
        <f>IF(ISNUMBER('General Info'!$B$42), (SamplingData[[#This Row],[Running (cumulative) sum]] * ('General Info'!$B$42 -'General Info'!$B$43 + 1)) + 'General Info'!$B$43 - 1, 0)</f>
        <v>193238.4481404736</v>
      </c>
      <c r="AI183" s="99" t="str">
        <f>IF(ISERROR(MATCH(SamplingData[[#This Row],[Batch by Type (p)]],SelectedPrecincts[Batch Name], 0)), "", INDEX(SelectedPrecincts[Draw], MATCH(SamplingData[[#This Row],[Batch by Type (p)]],SelectedPrecincts[Batch Name], 0)))</f>
        <v/>
      </c>
      <c r="AJ183" s="100">
        <f>IF(COUNTIF(SelectedPrecincts[Batch Name],SamplingData[[#This Row],[Batch by Type (p)]]) &lt;&gt; 0, COUNTIF(SelectedPrecincts[Batch Name],SamplingData[[#This Row],[Batch by Type (p)]]), 0)</f>
        <v>0</v>
      </c>
    </row>
    <row r="184" spans="1:36" ht="15" customHeight="1" x14ac:dyDescent="0.35">
      <c r="A184" s="97" t="s">
        <v>397</v>
      </c>
      <c r="B184" s="97">
        <v>149</v>
      </c>
      <c r="C184" s="97">
        <v>112</v>
      </c>
      <c r="D184" s="92"/>
      <c r="E184" s="92"/>
      <c r="F184" s="92"/>
      <c r="G184" s="96"/>
      <c r="H184" s="96"/>
      <c r="I184" s="92"/>
      <c r="J184" s="92"/>
      <c r="K184" s="92"/>
      <c r="L184" s="92"/>
      <c r="M184" s="92"/>
      <c r="N184" s="97">
        <v>0</v>
      </c>
      <c r="O184" s="97">
        <v>12</v>
      </c>
      <c r="P184" s="98">
        <f>SUM(SamplingData[[#This Row],[Winning Candidate]:[Under Votes]])</f>
        <v>273</v>
      </c>
      <c r="Q184" s="99">
        <f>IF(AND(SamplingData[[#This Row],[Total]]&lt;&gt; 0, NOT(ISBLANK(SamplingData[[#This Row],[Losing Candidate]]))),(SamplingData[[#This Row],[Total]]+SamplingData[[#This Row],[Winning Candidate]]-SamplingData[[#This Row],[Losing Candidate]])/(SamplingData[[#Totals],[Winning Candidate]]-SamplingData[[#Totals],[Losing Candidate]]), 0)</f>
        <v>1.315566117806824E-2</v>
      </c>
      <c r="R184" s="99">
        <f>IF(AND(SamplingData[[#This Row],[Total]]&lt;&gt; 0, NOT(ISBLANK(SamplingData[[#This Row],[Candidate 3]]))),(SamplingData[[#This Row],[Total]]+SamplingData[[#This Row],[Winning Candidate]]-SamplingData[[#This Row],[Candidate 3]])/(SamplingData[[#Totals],[Winning Candidate]]-SamplingData[[#Totals],[Candidate 3]]), 0)</f>
        <v>0</v>
      </c>
      <c r="S184" s="99">
        <f>IF(AND(SamplingData[[#This Row],[Total]]&lt;&gt; 0, NOT(ISBLANK(SamplingData[[#This Row],[Candidate 4]]))),(SamplingData[[#This Row],[Total]]+SamplingData[[#This Row],[Winning Candidate]]-SamplingData[[#This Row],[Candidate 4]])/(SamplingData[[#Totals],[Winning Candidate]]-SamplingData[[#Totals],[Candidate 4]]), 0)</f>
        <v>0</v>
      </c>
      <c r="T184" s="99">
        <f>IF(AND(SamplingData[[#This Row],[Total]]&lt;&gt; 0, NOT(ISBLANK(SamplingData[[#This Row],[Candidate 5]]))),(SamplingData[[#This Row],[Total]]+SamplingData[[#This Row],[Winning Candidate]]-SamplingData[[#This Row],[Candidate 5]])/(SamplingData[[#Totals],[Winning Candidate]]-SamplingData[[#Totals],[Candidate 5]]), 0)</f>
        <v>0</v>
      </c>
      <c r="U184" s="99">
        <f>IF(AND(SamplingData[[#This Row],[Total]]&lt;&gt; 0, NOT(ISBLANK(SamplingData[[#This Row],[Candidate 6]]))),(SamplingData[[#This Row],[Total]]+SamplingData[[#This Row],[Losing Candidate]]-SamplingData[[#This Row],[Candidate 6]])/(SamplingData[[#Totals],[Winning Candidate]]-SamplingData[[#Totals],[Candidate 6]]), 0)</f>
        <v>0</v>
      </c>
      <c r="V184" s="99">
        <f>IF(AND(SamplingData[[#This Row],[Total]]&lt;&gt; 0, NOT(ISBLANK(SamplingData[[#This Row],[Candidate 7]]))),(SamplingData[[#This Row],[Total]]+SamplingData[[#This Row],[Winning Candidate]]-SamplingData[[#This Row],[Candidate 7]])/(SamplingData[[#Totals],[Winning Candidate]]-SamplingData[[#Totals],[Candidate 7]]), 0)</f>
        <v>0</v>
      </c>
      <c r="W184" s="99">
        <f>IF(AND(SamplingData[[#This Row],[Total]]&lt;&gt; 0, NOT(ISBLANK(SamplingData[[#This Row],[Candidate 8]]))),(SamplingData[[#This Row],[Total]]+SamplingData[[#This Row],[Winning Candidate]]-SamplingData[[#This Row],[Candidate 8]])/(SamplingData[[#Totals],[Winning Candidate]]-SamplingData[[#Totals],[Candidate 8]]), 0)</f>
        <v>0</v>
      </c>
      <c r="X1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4" s="99">
        <f>MAX(SamplingData[[#This Row],[Error Bound (up) - Max. possible relative overstatement - Losing Candidate]:[Error Bound (up) - Max. possible relative overstatement - Candidate 12]])</f>
        <v>1.315566117806824E-2</v>
      </c>
      <c r="AC184" s="99">
        <f>IF(SamplingData[[#This Row],[Max Error Bound (up)]] = 0,0,SamplingData[[#This Row],[Max Error Bound (up)]]/SamplingData[[#Totals],[Max Error Bound (up)]])</f>
        <v>7.0436616134075055E-4</v>
      </c>
      <c r="AD184" s="103">
        <f>SUM($AC$5:AC184)</f>
        <v>0.19394381430181434</v>
      </c>
      <c r="AE184" s="99" t="str" cm="1">
        <f t="array" ref="AE184">IF(SamplingData[[#This Row],[up/U Selection Probability]] = 0, "Zero", TEXT(SamplingData[[#This Row],[Lower Range]], REPT("0",LEN('General Info'!$B$42))) &amp; " - " &amp; TEXT(SamplingData[[#This Row],[Upper Range]], REPT("0",LEN('General Info'!$B$42))))</f>
        <v>193239 - 193943</v>
      </c>
      <c r="AF184" s="99">
        <f>SamplingData[[#This Row],[Upper Range]]-SamplingData[[#This Row],[Span]]</f>
        <v>193239.44814047357</v>
      </c>
      <c r="AG184" s="99">
        <f>IF(ISNUMBER('General Info'!$B$42), ((SamplingData[[#This Row],[up/U Selection Probability]]) * 'General Info'!$B$44) - 1, 0)</f>
        <v>703.36616134075052</v>
      </c>
      <c r="AH184" s="99">
        <f>IF(ISNUMBER('General Info'!$B$42), (SamplingData[[#This Row],[Running (cumulative) sum]] * ('General Info'!$B$42 -'General Info'!$B$43 + 1)) + 'General Info'!$B$43 - 1, 0)</f>
        <v>193942.81430181433</v>
      </c>
      <c r="AI184" s="99" t="str">
        <f>IF(ISERROR(MATCH(SamplingData[[#This Row],[Batch by Type (p)]],SelectedPrecincts[Batch Name], 0)), "", INDEX(SelectedPrecincts[Draw], MATCH(SamplingData[[#This Row],[Batch by Type (p)]],SelectedPrecincts[Batch Name], 0)))</f>
        <v/>
      </c>
      <c r="AJ184" s="100">
        <f>IF(COUNTIF(SelectedPrecincts[Batch Name],SamplingData[[#This Row],[Batch by Type (p)]]) &lt;&gt; 0, COUNTIF(SelectedPrecincts[Batch Name],SamplingData[[#This Row],[Batch by Type (p)]]), 0)</f>
        <v>0</v>
      </c>
    </row>
    <row r="185" spans="1:36" ht="15" customHeight="1" x14ac:dyDescent="0.35">
      <c r="A185" s="97" t="s">
        <v>398</v>
      </c>
      <c r="B185" s="97">
        <v>233</v>
      </c>
      <c r="C185" s="97">
        <v>44</v>
      </c>
      <c r="D185" s="92"/>
      <c r="E185" s="92"/>
      <c r="F185" s="92"/>
      <c r="G185" s="96"/>
      <c r="H185" s="96"/>
      <c r="I185" s="92"/>
      <c r="J185" s="92"/>
      <c r="K185" s="92"/>
      <c r="L185" s="92"/>
      <c r="M185" s="92"/>
      <c r="N185" s="97">
        <v>0</v>
      </c>
      <c r="O185" s="97">
        <v>20</v>
      </c>
      <c r="P185" s="98">
        <f>SUM(SamplingData[[#This Row],[Winning Candidate]:[Under Votes]])</f>
        <v>297</v>
      </c>
      <c r="Q185" s="99">
        <f>IF(AND(SamplingData[[#This Row],[Total]]&lt;&gt; 0, NOT(ISBLANK(SamplingData[[#This Row],[Losing Candidate]]))),(SamplingData[[#This Row],[Total]]+SamplingData[[#This Row],[Winning Candidate]]-SamplingData[[#This Row],[Losing Candidate]])/(SamplingData[[#Totals],[Winning Candidate]]-SamplingData[[#Totals],[Losing Candidate]]), 0)</f>
        <v>2.0624681717874724E-2</v>
      </c>
      <c r="R185" s="99">
        <f>IF(AND(SamplingData[[#This Row],[Total]]&lt;&gt; 0, NOT(ISBLANK(SamplingData[[#This Row],[Candidate 3]]))),(SamplingData[[#This Row],[Total]]+SamplingData[[#This Row],[Winning Candidate]]-SamplingData[[#This Row],[Candidate 3]])/(SamplingData[[#Totals],[Winning Candidate]]-SamplingData[[#Totals],[Candidate 3]]), 0)</f>
        <v>0</v>
      </c>
      <c r="S185" s="99">
        <f>IF(AND(SamplingData[[#This Row],[Total]]&lt;&gt; 0, NOT(ISBLANK(SamplingData[[#This Row],[Candidate 4]]))),(SamplingData[[#This Row],[Total]]+SamplingData[[#This Row],[Winning Candidate]]-SamplingData[[#This Row],[Candidate 4]])/(SamplingData[[#Totals],[Winning Candidate]]-SamplingData[[#Totals],[Candidate 4]]), 0)</f>
        <v>0</v>
      </c>
      <c r="T185" s="99">
        <f>IF(AND(SamplingData[[#This Row],[Total]]&lt;&gt; 0, NOT(ISBLANK(SamplingData[[#This Row],[Candidate 5]]))),(SamplingData[[#This Row],[Total]]+SamplingData[[#This Row],[Winning Candidate]]-SamplingData[[#This Row],[Candidate 5]])/(SamplingData[[#Totals],[Winning Candidate]]-SamplingData[[#Totals],[Candidate 5]]), 0)</f>
        <v>0</v>
      </c>
      <c r="U185" s="99">
        <f>IF(AND(SamplingData[[#This Row],[Total]]&lt;&gt; 0, NOT(ISBLANK(SamplingData[[#This Row],[Candidate 6]]))),(SamplingData[[#This Row],[Total]]+SamplingData[[#This Row],[Losing Candidate]]-SamplingData[[#This Row],[Candidate 6]])/(SamplingData[[#Totals],[Winning Candidate]]-SamplingData[[#Totals],[Candidate 6]]), 0)</f>
        <v>0</v>
      </c>
      <c r="V185" s="99">
        <f>IF(AND(SamplingData[[#This Row],[Total]]&lt;&gt; 0, NOT(ISBLANK(SamplingData[[#This Row],[Candidate 7]]))),(SamplingData[[#This Row],[Total]]+SamplingData[[#This Row],[Winning Candidate]]-SamplingData[[#This Row],[Candidate 7]])/(SamplingData[[#Totals],[Winning Candidate]]-SamplingData[[#Totals],[Candidate 7]]), 0)</f>
        <v>0</v>
      </c>
      <c r="W185" s="99">
        <f>IF(AND(SamplingData[[#This Row],[Total]]&lt;&gt; 0, NOT(ISBLANK(SamplingData[[#This Row],[Candidate 8]]))),(SamplingData[[#This Row],[Total]]+SamplingData[[#This Row],[Winning Candidate]]-SamplingData[[#This Row],[Candidate 8]])/(SamplingData[[#Totals],[Winning Candidate]]-SamplingData[[#Totals],[Candidate 8]]), 0)</f>
        <v>0</v>
      </c>
      <c r="X1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5" s="99">
        <f>MAX(SamplingData[[#This Row],[Error Bound (up) - Max. possible relative overstatement - Losing Candidate]:[Error Bound (up) - Max. possible relative overstatement - Candidate 12]])</f>
        <v>2.0624681717874724E-2</v>
      </c>
      <c r="AC185" s="99">
        <f>IF(SamplingData[[#This Row],[Max Error Bound (up)]] = 0,0,SamplingData[[#This Row],[Max Error Bound (up)]]/SamplingData[[#Totals],[Max Error Bound (up)]])</f>
        <v>1.1042643690696928E-3</v>
      </c>
      <c r="AD185" s="103">
        <f>SUM($AC$5:AC185)</f>
        <v>0.19504807867088403</v>
      </c>
      <c r="AE185" s="99" t="str" cm="1">
        <f t="array" ref="AE185">IF(SamplingData[[#This Row],[up/U Selection Probability]] = 0, "Zero", TEXT(SamplingData[[#This Row],[Lower Range]], REPT("0",LEN('General Info'!$B$42))) &amp; " - " &amp; TEXT(SamplingData[[#This Row],[Upper Range]], REPT("0",LEN('General Info'!$B$42))))</f>
        <v>193944 - 195047</v>
      </c>
      <c r="AF185" s="99">
        <f>SamplingData[[#This Row],[Upper Range]]-SamplingData[[#This Row],[Span]]</f>
        <v>193943.81430181433</v>
      </c>
      <c r="AG185" s="99">
        <f>IF(ISNUMBER('General Info'!$B$42), ((SamplingData[[#This Row],[up/U Selection Probability]]) * 'General Info'!$B$44) - 1, 0)</f>
        <v>1103.2643690696927</v>
      </c>
      <c r="AH185" s="99">
        <f>IF(ISNUMBER('General Info'!$B$42), (SamplingData[[#This Row],[Running (cumulative) sum]] * ('General Info'!$B$42 -'General Info'!$B$43 + 1)) + 'General Info'!$B$43 - 1, 0)</f>
        <v>195047.07867088402</v>
      </c>
      <c r="AI185" s="99" t="str">
        <f>IF(ISERROR(MATCH(SamplingData[[#This Row],[Batch by Type (p)]],SelectedPrecincts[Batch Name], 0)), "", INDEX(SelectedPrecincts[Draw], MATCH(SamplingData[[#This Row],[Batch by Type (p)]],SelectedPrecincts[Batch Name], 0)))</f>
        <v/>
      </c>
      <c r="AJ185" s="100">
        <f>IF(COUNTIF(SelectedPrecincts[Batch Name],SamplingData[[#This Row],[Batch by Type (p)]]) &lt;&gt; 0, COUNTIF(SelectedPrecincts[Batch Name],SamplingData[[#This Row],[Batch by Type (p)]]), 0)</f>
        <v>0</v>
      </c>
    </row>
    <row r="186" spans="1:36" ht="15" customHeight="1" x14ac:dyDescent="0.35">
      <c r="A186" s="97" t="s">
        <v>399</v>
      </c>
      <c r="B186" s="97">
        <v>168</v>
      </c>
      <c r="C186" s="97">
        <v>88</v>
      </c>
      <c r="D186" s="92"/>
      <c r="E186" s="92"/>
      <c r="F186" s="92"/>
      <c r="G186" s="96"/>
      <c r="H186" s="96"/>
      <c r="I186" s="92"/>
      <c r="J186" s="92"/>
      <c r="K186" s="92"/>
      <c r="L186" s="92"/>
      <c r="M186" s="92"/>
      <c r="N186" s="97">
        <v>2</v>
      </c>
      <c r="O186" s="97">
        <v>14</v>
      </c>
      <c r="P186" s="98">
        <f>SUM(SamplingData[[#This Row],[Winning Candidate]:[Under Votes]])</f>
        <v>272</v>
      </c>
      <c r="Q186" s="99">
        <f>IF(AND(SamplingData[[#This Row],[Total]]&lt;&gt; 0, NOT(ISBLANK(SamplingData[[#This Row],[Losing Candidate]]))),(SamplingData[[#This Row],[Total]]+SamplingData[[#This Row],[Winning Candidate]]-SamplingData[[#This Row],[Losing Candidate]])/(SamplingData[[#Totals],[Winning Candidate]]-SamplingData[[#Totals],[Losing Candidate]]), 0)</f>
        <v>1.4938041079612968E-2</v>
      </c>
      <c r="R186" s="99">
        <f>IF(AND(SamplingData[[#This Row],[Total]]&lt;&gt; 0, NOT(ISBLANK(SamplingData[[#This Row],[Candidate 3]]))),(SamplingData[[#This Row],[Total]]+SamplingData[[#This Row],[Winning Candidate]]-SamplingData[[#This Row],[Candidate 3]])/(SamplingData[[#Totals],[Winning Candidate]]-SamplingData[[#Totals],[Candidate 3]]), 0)</f>
        <v>0</v>
      </c>
      <c r="S186" s="99">
        <f>IF(AND(SamplingData[[#This Row],[Total]]&lt;&gt; 0, NOT(ISBLANK(SamplingData[[#This Row],[Candidate 4]]))),(SamplingData[[#This Row],[Total]]+SamplingData[[#This Row],[Winning Candidate]]-SamplingData[[#This Row],[Candidate 4]])/(SamplingData[[#Totals],[Winning Candidate]]-SamplingData[[#Totals],[Candidate 4]]), 0)</f>
        <v>0</v>
      </c>
      <c r="T186" s="99">
        <f>IF(AND(SamplingData[[#This Row],[Total]]&lt;&gt; 0, NOT(ISBLANK(SamplingData[[#This Row],[Candidate 5]]))),(SamplingData[[#This Row],[Total]]+SamplingData[[#This Row],[Winning Candidate]]-SamplingData[[#This Row],[Candidate 5]])/(SamplingData[[#Totals],[Winning Candidate]]-SamplingData[[#Totals],[Candidate 5]]), 0)</f>
        <v>0</v>
      </c>
      <c r="U186" s="99">
        <f>IF(AND(SamplingData[[#This Row],[Total]]&lt;&gt; 0, NOT(ISBLANK(SamplingData[[#This Row],[Candidate 6]]))),(SamplingData[[#This Row],[Total]]+SamplingData[[#This Row],[Losing Candidate]]-SamplingData[[#This Row],[Candidate 6]])/(SamplingData[[#Totals],[Winning Candidate]]-SamplingData[[#Totals],[Candidate 6]]), 0)</f>
        <v>0</v>
      </c>
      <c r="V186" s="99">
        <f>IF(AND(SamplingData[[#This Row],[Total]]&lt;&gt; 0, NOT(ISBLANK(SamplingData[[#This Row],[Candidate 7]]))),(SamplingData[[#This Row],[Total]]+SamplingData[[#This Row],[Winning Candidate]]-SamplingData[[#This Row],[Candidate 7]])/(SamplingData[[#Totals],[Winning Candidate]]-SamplingData[[#Totals],[Candidate 7]]), 0)</f>
        <v>0</v>
      </c>
      <c r="W186" s="99">
        <f>IF(AND(SamplingData[[#This Row],[Total]]&lt;&gt; 0, NOT(ISBLANK(SamplingData[[#This Row],[Candidate 8]]))),(SamplingData[[#This Row],[Total]]+SamplingData[[#This Row],[Winning Candidate]]-SamplingData[[#This Row],[Candidate 8]])/(SamplingData[[#Totals],[Winning Candidate]]-SamplingData[[#Totals],[Candidate 8]]), 0)</f>
        <v>0</v>
      </c>
      <c r="X1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6" s="99">
        <f>MAX(SamplingData[[#This Row],[Error Bound (up) - Max. possible relative overstatement - Losing Candidate]:[Error Bound (up) - Max. possible relative overstatement - Candidate 12]])</f>
        <v>1.4938041079612968E-2</v>
      </c>
      <c r="AC186" s="99">
        <f>IF(SamplingData[[#This Row],[Max Error Bound (up)]] = 0,0,SamplingData[[#This Row],[Max Error Bound (up)]]/SamplingData[[#Totals],[Max Error Bound (up)]])</f>
        <v>7.9979641545788443E-4</v>
      </c>
      <c r="AD186" s="103">
        <f>SUM($AC$5:AC186)</f>
        <v>0.19584787508634191</v>
      </c>
      <c r="AE186" s="99" t="str" cm="1">
        <f t="array" ref="AE186">IF(SamplingData[[#This Row],[up/U Selection Probability]] = 0, "Zero", TEXT(SamplingData[[#This Row],[Lower Range]], REPT("0",LEN('General Info'!$B$42))) &amp; " - " &amp; TEXT(SamplingData[[#This Row],[Upper Range]], REPT("0",LEN('General Info'!$B$42))))</f>
        <v>195048 - 195847</v>
      </c>
      <c r="AF186" s="99">
        <f>SamplingData[[#This Row],[Upper Range]]-SamplingData[[#This Row],[Span]]</f>
        <v>195048.07867088402</v>
      </c>
      <c r="AG186" s="99">
        <f>IF(ISNUMBER('General Info'!$B$42), ((SamplingData[[#This Row],[up/U Selection Probability]]) * 'General Info'!$B$44) - 1, 0)</f>
        <v>798.79641545788445</v>
      </c>
      <c r="AH186" s="99">
        <f>IF(ISNUMBER('General Info'!$B$42), (SamplingData[[#This Row],[Running (cumulative) sum]] * ('General Info'!$B$42 -'General Info'!$B$43 + 1)) + 'General Info'!$B$43 - 1, 0)</f>
        <v>195846.8750863419</v>
      </c>
      <c r="AI186" s="99" t="str">
        <f>IF(ISERROR(MATCH(SamplingData[[#This Row],[Batch by Type (p)]],SelectedPrecincts[Batch Name], 0)), "", INDEX(SelectedPrecincts[Draw], MATCH(SamplingData[[#This Row],[Batch by Type (p)]],SelectedPrecincts[Batch Name], 0)))</f>
        <v/>
      </c>
      <c r="AJ186" s="100">
        <f>IF(COUNTIF(SelectedPrecincts[Batch Name],SamplingData[[#This Row],[Batch by Type (p)]]) &lt;&gt; 0, COUNTIF(SelectedPrecincts[Batch Name],SamplingData[[#This Row],[Batch by Type (p)]]), 0)</f>
        <v>0</v>
      </c>
    </row>
    <row r="187" spans="1:36" ht="15" customHeight="1" x14ac:dyDescent="0.35">
      <c r="A187" s="97" t="s">
        <v>400</v>
      </c>
      <c r="B187" s="97">
        <v>112</v>
      </c>
      <c r="C187" s="97">
        <v>58</v>
      </c>
      <c r="D187" s="92"/>
      <c r="E187" s="92"/>
      <c r="F187" s="92"/>
      <c r="G187" s="96"/>
      <c r="H187" s="96"/>
      <c r="I187" s="92"/>
      <c r="J187" s="92"/>
      <c r="K187" s="92"/>
      <c r="L187" s="92"/>
      <c r="M187" s="92"/>
      <c r="N187" s="97">
        <v>0</v>
      </c>
      <c r="O187" s="97">
        <v>9</v>
      </c>
      <c r="P187" s="98">
        <f>SUM(SamplingData[[#This Row],[Winning Candidate]:[Under Votes]])</f>
        <v>179</v>
      </c>
      <c r="Q187" s="99">
        <f>IF(AND(SamplingData[[#This Row],[Total]]&lt;&gt; 0, NOT(ISBLANK(SamplingData[[#This Row],[Losing Candidate]]))),(SamplingData[[#This Row],[Total]]+SamplingData[[#This Row],[Winning Candidate]]-SamplingData[[#This Row],[Losing Candidate]])/(SamplingData[[#Totals],[Winning Candidate]]-SamplingData[[#Totals],[Losing Candidate]]), 0)</f>
        <v>9.8879646919029021E-3</v>
      </c>
      <c r="R187" s="99">
        <f>IF(AND(SamplingData[[#This Row],[Total]]&lt;&gt; 0, NOT(ISBLANK(SamplingData[[#This Row],[Candidate 3]]))),(SamplingData[[#This Row],[Total]]+SamplingData[[#This Row],[Winning Candidate]]-SamplingData[[#This Row],[Candidate 3]])/(SamplingData[[#Totals],[Winning Candidate]]-SamplingData[[#Totals],[Candidate 3]]), 0)</f>
        <v>0</v>
      </c>
      <c r="S187" s="99">
        <f>IF(AND(SamplingData[[#This Row],[Total]]&lt;&gt; 0, NOT(ISBLANK(SamplingData[[#This Row],[Candidate 4]]))),(SamplingData[[#This Row],[Total]]+SamplingData[[#This Row],[Winning Candidate]]-SamplingData[[#This Row],[Candidate 4]])/(SamplingData[[#Totals],[Winning Candidate]]-SamplingData[[#Totals],[Candidate 4]]), 0)</f>
        <v>0</v>
      </c>
      <c r="T187" s="99">
        <f>IF(AND(SamplingData[[#This Row],[Total]]&lt;&gt; 0, NOT(ISBLANK(SamplingData[[#This Row],[Candidate 5]]))),(SamplingData[[#This Row],[Total]]+SamplingData[[#This Row],[Winning Candidate]]-SamplingData[[#This Row],[Candidate 5]])/(SamplingData[[#Totals],[Winning Candidate]]-SamplingData[[#Totals],[Candidate 5]]), 0)</f>
        <v>0</v>
      </c>
      <c r="U187" s="99">
        <f>IF(AND(SamplingData[[#This Row],[Total]]&lt;&gt; 0, NOT(ISBLANK(SamplingData[[#This Row],[Candidate 6]]))),(SamplingData[[#This Row],[Total]]+SamplingData[[#This Row],[Losing Candidate]]-SamplingData[[#This Row],[Candidate 6]])/(SamplingData[[#Totals],[Winning Candidate]]-SamplingData[[#Totals],[Candidate 6]]), 0)</f>
        <v>0</v>
      </c>
      <c r="V187" s="99">
        <f>IF(AND(SamplingData[[#This Row],[Total]]&lt;&gt; 0, NOT(ISBLANK(SamplingData[[#This Row],[Candidate 7]]))),(SamplingData[[#This Row],[Total]]+SamplingData[[#This Row],[Winning Candidate]]-SamplingData[[#This Row],[Candidate 7]])/(SamplingData[[#Totals],[Winning Candidate]]-SamplingData[[#Totals],[Candidate 7]]), 0)</f>
        <v>0</v>
      </c>
      <c r="W187" s="99">
        <f>IF(AND(SamplingData[[#This Row],[Total]]&lt;&gt; 0, NOT(ISBLANK(SamplingData[[#This Row],[Candidate 8]]))),(SamplingData[[#This Row],[Total]]+SamplingData[[#This Row],[Winning Candidate]]-SamplingData[[#This Row],[Candidate 8]])/(SamplingData[[#Totals],[Winning Candidate]]-SamplingData[[#Totals],[Candidate 8]]), 0)</f>
        <v>0</v>
      </c>
      <c r="X1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7" s="99">
        <f>MAX(SamplingData[[#This Row],[Error Bound (up) - Max. possible relative overstatement - Losing Candidate]:[Error Bound (up) - Max. possible relative overstatement - Candidate 12]])</f>
        <v>9.8879646919029021E-3</v>
      </c>
      <c r="AC187" s="99">
        <f>IF(SamplingData[[#This Row],[Max Error Bound (up)]] = 0,0,SamplingData[[#This Row],[Max Error Bound (up)]]/SamplingData[[#Totals],[Max Error Bound (up)]])</f>
        <v>5.2941069545933825E-4</v>
      </c>
      <c r="AD187" s="103">
        <f>SUM($AC$5:AC187)</f>
        <v>0.19637728578180125</v>
      </c>
      <c r="AE187" s="99" t="str" cm="1">
        <f t="array" ref="AE187">IF(SamplingData[[#This Row],[up/U Selection Probability]] = 0, "Zero", TEXT(SamplingData[[#This Row],[Lower Range]], REPT("0",LEN('General Info'!$B$42))) &amp; " - " &amp; TEXT(SamplingData[[#This Row],[Upper Range]], REPT("0",LEN('General Info'!$B$42))))</f>
        <v>195848 - 196376</v>
      </c>
      <c r="AF187" s="99">
        <f>SamplingData[[#This Row],[Upper Range]]-SamplingData[[#This Row],[Span]]</f>
        <v>195847.8750863419</v>
      </c>
      <c r="AG187" s="99">
        <f>IF(ISNUMBER('General Info'!$B$42), ((SamplingData[[#This Row],[up/U Selection Probability]]) * 'General Info'!$B$44) - 1, 0)</f>
        <v>528.41069545933829</v>
      </c>
      <c r="AH187" s="99">
        <f>IF(ISNUMBER('General Info'!$B$42), (SamplingData[[#This Row],[Running (cumulative) sum]] * ('General Info'!$B$42 -'General Info'!$B$43 + 1)) + 'General Info'!$B$43 - 1, 0)</f>
        <v>196376.28578180124</v>
      </c>
      <c r="AI187" s="99" t="str">
        <f>IF(ISERROR(MATCH(SamplingData[[#This Row],[Batch by Type (p)]],SelectedPrecincts[Batch Name], 0)), "", INDEX(SelectedPrecincts[Draw], MATCH(SamplingData[[#This Row],[Batch by Type (p)]],SelectedPrecincts[Batch Name], 0)))</f>
        <v/>
      </c>
      <c r="AJ187" s="100">
        <f>IF(COUNTIF(SelectedPrecincts[Batch Name],SamplingData[[#This Row],[Batch by Type (p)]]) &lt;&gt; 0, COUNTIF(SelectedPrecincts[Batch Name],SamplingData[[#This Row],[Batch by Type (p)]]), 0)</f>
        <v>0</v>
      </c>
    </row>
    <row r="188" spans="1:36" ht="15" customHeight="1" x14ac:dyDescent="0.35">
      <c r="A188" s="97" t="s">
        <v>401</v>
      </c>
      <c r="B188" s="97">
        <v>84</v>
      </c>
      <c r="C188" s="97">
        <v>22</v>
      </c>
      <c r="D188" s="92"/>
      <c r="E188" s="92"/>
      <c r="F188" s="92"/>
      <c r="G188" s="96"/>
      <c r="H188" s="96"/>
      <c r="I188" s="92"/>
      <c r="J188" s="92"/>
      <c r="K188" s="92"/>
      <c r="L188" s="92"/>
      <c r="M188" s="92"/>
      <c r="N188" s="97">
        <v>0</v>
      </c>
      <c r="O188" s="97">
        <v>1</v>
      </c>
      <c r="P188" s="98">
        <f>SUM(SamplingData[[#This Row],[Winning Candidate]:[Under Votes]])</f>
        <v>107</v>
      </c>
      <c r="Q188" s="99">
        <f>IF(AND(SamplingData[[#This Row],[Total]]&lt;&gt; 0, NOT(ISBLANK(SamplingData[[#This Row],[Losing Candidate]]))),(SamplingData[[#This Row],[Total]]+SamplingData[[#This Row],[Winning Candidate]]-SamplingData[[#This Row],[Losing Candidate]])/(SamplingData[[#Totals],[Winning Candidate]]-SamplingData[[#Totals],[Losing Candidate]]), 0)</f>
        <v>7.1719572228823632E-3</v>
      </c>
      <c r="R188" s="99">
        <f>IF(AND(SamplingData[[#This Row],[Total]]&lt;&gt; 0, NOT(ISBLANK(SamplingData[[#This Row],[Candidate 3]]))),(SamplingData[[#This Row],[Total]]+SamplingData[[#This Row],[Winning Candidate]]-SamplingData[[#This Row],[Candidate 3]])/(SamplingData[[#Totals],[Winning Candidate]]-SamplingData[[#Totals],[Candidate 3]]), 0)</f>
        <v>0</v>
      </c>
      <c r="S188" s="99">
        <f>IF(AND(SamplingData[[#This Row],[Total]]&lt;&gt; 0, NOT(ISBLANK(SamplingData[[#This Row],[Candidate 4]]))),(SamplingData[[#This Row],[Total]]+SamplingData[[#This Row],[Winning Candidate]]-SamplingData[[#This Row],[Candidate 4]])/(SamplingData[[#Totals],[Winning Candidate]]-SamplingData[[#Totals],[Candidate 4]]), 0)</f>
        <v>0</v>
      </c>
      <c r="T188" s="99">
        <f>IF(AND(SamplingData[[#This Row],[Total]]&lt;&gt; 0, NOT(ISBLANK(SamplingData[[#This Row],[Candidate 5]]))),(SamplingData[[#This Row],[Total]]+SamplingData[[#This Row],[Winning Candidate]]-SamplingData[[#This Row],[Candidate 5]])/(SamplingData[[#Totals],[Winning Candidate]]-SamplingData[[#Totals],[Candidate 5]]), 0)</f>
        <v>0</v>
      </c>
      <c r="U188" s="99">
        <f>IF(AND(SamplingData[[#This Row],[Total]]&lt;&gt; 0, NOT(ISBLANK(SamplingData[[#This Row],[Candidate 6]]))),(SamplingData[[#This Row],[Total]]+SamplingData[[#This Row],[Losing Candidate]]-SamplingData[[#This Row],[Candidate 6]])/(SamplingData[[#Totals],[Winning Candidate]]-SamplingData[[#Totals],[Candidate 6]]), 0)</f>
        <v>0</v>
      </c>
      <c r="V188" s="99">
        <f>IF(AND(SamplingData[[#This Row],[Total]]&lt;&gt; 0, NOT(ISBLANK(SamplingData[[#This Row],[Candidate 7]]))),(SamplingData[[#This Row],[Total]]+SamplingData[[#This Row],[Winning Candidate]]-SamplingData[[#This Row],[Candidate 7]])/(SamplingData[[#Totals],[Winning Candidate]]-SamplingData[[#Totals],[Candidate 7]]), 0)</f>
        <v>0</v>
      </c>
      <c r="W188" s="99">
        <f>IF(AND(SamplingData[[#This Row],[Total]]&lt;&gt; 0, NOT(ISBLANK(SamplingData[[#This Row],[Candidate 8]]))),(SamplingData[[#This Row],[Total]]+SamplingData[[#This Row],[Winning Candidate]]-SamplingData[[#This Row],[Candidate 8]])/(SamplingData[[#Totals],[Winning Candidate]]-SamplingData[[#Totals],[Candidate 8]]), 0)</f>
        <v>0</v>
      </c>
      <c r="X1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8" s="99">
        <f>MAX(SamplingData[[#This Row],[Error Bound (up) - Max. possible relative overstatement - Losing Candidate]:[Error Bound (up) - Max. possible relative overstatement - Candidate 12]])</f>
        <v>7.1719572228823632E-3</v>
      </c>
      <c r="AC188" s="99">
        <f>IF(SamplingData[[#This Row],[Max Error Bound (up)]] = 0,0,SamplingData[[#This Row],[Max Error Bound (up)]]/SamplingData[[#Totals],[Max Error Bound (up)]])</f>
        <v>3.8399316537608659E-4</v>
      </c>
      <c r="AD188" s="103">
        <f>SUM($AC$5:AC188)</f>
        <v>0.19676127894717732</v>
      </c>
      <c r="AE188" s="99" t="str" cm="1">
        <f t="array" ref="AE188">IF(SamplingData[[#This Row],[up/U Selection Probability]] = 0, "Zero", TEXT(SamplingData[[#This Row],[Lower Range]], REPT("0",LEN('General Info'!$B$42))) &amp; " - " &amp; TEXT(SamplingData[[#This Row],[Upper Range]], REPT("0",LEN('General Info'!$B$42))))</f>
        <v>196377 - 196760</v>
      </c>
      <c r="AF188" s="99">
        <f>SamplingData[[#This Row],[Upper Range]]-SamplingData[[#This Row],[Span]]</f>
        <v>196377.28578180124</v>
      </c>
      <c r="AG188" s="99">
        <f>IF(ISNUMBER('General Info'!$B$42), ((SamplingData[[#This Row],[up/U Selection Probability]]) * 'General Info'!$B$44) - 1, 0)</f>
        <v>382.99316537608661</v>
      </c>
      <c r="AH188" s="99">
        <f>IF(ISNUMBER('General Info'!$B$42), (SamplingData[[#This Row],[Running (cumulative) sum]] * ('General Info'!$B$42 -'General Info'!$B$43 + 1)) + 'General Info'!$B$43 - 1, 0)</f>
        <v>196760.27894717731</v>
      </c>
      <c r="AI188" s="99" t="str">
        <f>IF(ISERROR(MATCH(SamplingData[[#This Row],[Batch by Type (p)]],SelectedPrecincts[Batch Name], 0)), "", INDEX(SelectedPrecincts[Draw], MATCH(SamplingData[[#This Row],[Batch by Type (p)]],SelectedPrecincts[Batch Name], 0)))</f>
        <v/>
      </c>
      <c r="AJ188" s="100">
        <f>IF(COUNTIF(SelectedPrecincts[Batch Name],SamplingData[[#This Row],[Batch by Type (p)]]) &lt;&gt; 0, COUNTIF(SelectedPrecincts[Batch Name],SamplingData[[#This Row],[Batch by Type (p)]]), 0)</f>
        <v>0</v>
      </c>
    </row>
    <row r="189" spans="1:36" ht="15" customHeight="1" x14ac:dyDescent="0.35">
      <c r="A189" s="97" t="s">
        <v>402</v>
      </c>
      <c r="B189" s="97">
        <v>168</v>
      </c>
      <c r="C189" s="97">
        <v>60</v>
      </c>
      <c r="D189" s="92"/>
      <c r="E189" s="92"/>
      <c r="F189" s="92"/>
      <c r="G189" s="96"/>
      <c r="H189" s="96"/>
      <c r="I189" s="92"/>
      <c r="J189" s="92"/>
      <c r="K189" s="92"/>
      <c r="L189" s="92"/>
      <c r="M189" s="92"/>
      <c r="N189" s="97">
        <v>0</v>
      </c>
      <c r="O189" s="97">
        <v>9</v>
      </c>
      <c r="P189" s="98">
        <f>SUM(SamplingData[[#This Row],[Winning Candidate]:[Under Votes]])</f>
        <v>237</v>
      </c>
      <c r="Q189" s="99">
        <f>IF(AND(SamplingData[[#This Row],[Total]]&lt;&gt; 0, NOT(ISBLANK(SamplingData[[#This Row],[Losing Candidate]]))),(SamplingData[[#This Row],[Total]]+SamplingData[[#This Row],[Winning Candidate]]-SamplingData[[#This Row],[Losing Candidate]])/(SamplingData[[#Totals],[Winning Candidate]]-SamplingData[[#Totals],[Losing Candidate]]), 0)</f>
        <v>1.4640977762688847E-2</v>
      </c>
      <c r="R189" s="99">
        <f>IF(AND(SamplingData[[#This Row],[Total]]&lt;&gt; 0, NOT(ISBLANK(SamplingData[[#This Row],[Candidate 3]]))),(SamplingData[[#This Row],[Total]]+SamplingData[[#This Row],[Winning Candidate]]-SamplingData[[#This Row],[Candidate 3]])/(SamplingData[[#Totals],[Winning Candidate]]-SamplingData[[#Totals],[Candidate 3]]), 0)</f>
        <v>0</v>
      </c>
      <c r="S189" s="99">
        <f>IF(AND(SamplingData[[#This Row],[Total]]&lt;&gt; 0, NOT(ISBLANK(SamplingData[[#This Row],[Candidate 4]]))),(SamplingData[[#This Row],[Total]]+SamplingData[[#This Row],[Winning Candidate]]-SamplingData[[#This Row],[Candidate 4]])/(SamplingData[[#Totals],[Winning Candidate]]-SamplingData[[#Totals],[Candidate 4]]), 0)</f>
        <v>0</v>
      </c>
      <c r="T189" s="99">
        <f>IF(AND(SamplingData[[#This Row],[Total]]&lt;&gt; 0, NOT(ISBLANK(SamplingData[[#This Row],[Candidate 5]]))),(SamplingData[[#This Row],[Total]]+SamplingData[[#This Row],[Winning Candidate]]-SamplingData[[#This Row],[Candidate 5]])/(SamplingData[[#Totals],[Winning Candidate]]-SamplingData[[#Totals],[Candidate 5]]), 0)</f>
        <v>0</v>
      </c>
      <c r="U189" s="99">
        <f>IF(AND(SamplingData[[#This Row],[Total]]&lt;&gt; 0, NOT(ISBLANK(SamplingData[[#This Row],[Candidate 6]]))),(SamplingData[[#This Row],[Total]]+SamplingData[[#This Row],[Losing Candidate]]-SamplingData[[#This Row],[Candidate 6]])/(SamplingData[[#Totals],[Winning Candidate]]-SamplingData[[#Totals],[Candidate 6]]), 0)</f>
        <v>0</v>
      </c>
      <c r="V189" s="99">
        <f>IF(AND(SamplingData[[#This Row],[Total]]&lt;&gt; 0, NOT(ISBLANK(SamplingData[[#This Row],[Candidate 7]]))),(SamplingData[[#This Row],[Total]]+SamplingData[[#This Row],[Winning Candidate]]-SamplingData[[#This Row],[Candidate 7]])/(SamplingData[[#Totals],[Winning Candidate]]-SamplingData[[#Totals],[Candidate 7]]), 0)</f>
        <v>0</v>
      </c>
      <c r="W189" s="99">
        <f>IF(AND(SamplingData[[#This Row],[Total]]&lt;&gt; 0, NOT(ISBLANK(SamplingData[[#This Row],[Candidate 8]]))),(SamplingData[[#This Row],[Total]]+SamplingData[[#This Row],[Winning Candidate]]-SamplingData[[#This Row],[Candidate 8]])/(SamplingData[[#Totals],[Winning Candidate]]-SamplingData[[#Totals],[Candidate 8]]), 0)</f>
        <v>0</v>
      </c>
      <c r="X1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9" s="99">
        <f>MAX(SamplingData[[#This Row],[Error Bound (up) - Max. possible relative overstatement - Losing Candidate]:[Error Bound (up) - Max. possible relative overstatement - Candidate 12]])</f>
        <v>1.4640977762688847E-2</v>
      </c>
      <c r="AC189" s="99">
        <f>IF(SamplingData[[#This Row],[Max Error Bound (up)]] = 0,0,SamplingData[[#This Row],[Max Error Bound (up)]]/SamplingData[[#Totals],[Max Error Bound (up)]])</f>
        <v>7.8389137310502885E-4</v>
      </c>
      <c r="AD189" s="103">
        <f>SUM($AC$5:AC189)</f>
        <v>0.19754517032028235</v>
      </c>
      <c r="AE189" s="99" t="str" cm="1">
        <f t="array" ref="AE189">IF(SamplingData[[#This Row],[up/U Selection Probability]] = 0, "Zero", TEXT(SamplingData[[#This Row],[Lower Range]], REPT("0",LEN('General Info'!$B$42))) &amp; " - " &amp; TEXT(SamplingData[[#This Row],[Upper Range]], REPT("0",LEN('General Info'!$B$42))))</f>
        <v>196761 - 197544</v>
      </c>
      <c r="AF189" s="99">
        <f>SamplingData[[#This Row],[Upper Range]]-SamplingData[[#This Row],[Span]]</f>
        <v>196761.27894717731</v>
      </c>
      <c r="AG189" s="99">
        <f>IF(ISNUMBER('General Info'!$B$42), ((SamplingData[[#This Row],[up/U Selection Probability]]) * 'General Info'!$B$44) - 1, 0)</f>
        <v>782.89137310502883</v>
      </c>
      <c r="AH189" s="99">
        <f>IF(ISNUMBER('General Info'!$B$42), (SamplingData[[#This Row],[Running (cumulative) sum]] * ('General Info'!$B$42 -'General Info'!$B$43 + 1)) + 'General Info'!$B$43 - 1, 0)</f>
        <v>197544.17032028234</v>
      </c>
      <c r="AI189" s="99" t="str">
        <f>IF(ISERROR(MATCH(SamplingData[[#This Row],[Batch by Type (p)]],SelectedPrecincts[Batch Name], 0)), "", INDEX(SelectedPrecincts[Draw], MATCH(SamplingData[[#This Row],[Batch by Type (p)]],SelectedPrecincts[Batch Name], 0)))</f>
        <v/>
      </c>
      <c r="AJ189" s="100">
        <f>IF(COUNTIF(SelectedPrecincts[Batch Name],SamplingData[[#This Row],[Batch by Type (p)]]) &lt;&gt; 0, COUNTIF(SelectedPrecincts[Batch Name],SamplingData[[#This Row],[Batch by Type (p)]]), 0)</f>
        <v>0</v>
      </c>
    </row>
    <row r="190" spans="1:36" ht="15" customHeight="1" x14ac:dyDescent="0.35">
      <c r="A190" s="97" t="s">
        <v>403</v>
      </c>
      <c r="B190" s="97">
        <v>173</v>
      </c>
      <c r="C190" s="97">
        <v>63</v>
      </c>
      <c r="D190" s="92"/>
      <c r="E190" s="92"/>
      <c r="F190" s="92"/>
      <c r="G190" s="96"/>
      <c r="H190" s="96"/>
      <c r="I190" s="92"/>
      <c r="J190" s="92"/>
      <c r="K190" s="92"/>
      <c r="L190" s="92"/>
      <c r="M190" s="92"/>
      <c r="N190" s="97">
        <v>0</v>
      </c>
      <c r="O190" s="97">
        <v>14</v>
      </c>
      <c r="P190" s="98">
        <f>SUM(SamplingData[[#This Row],[Winning Candidate]:[Under Votes]])</f>
        <v>250</v>
      </c>
      <c r="Q190" s="99">
        <f>IF(AND(SamplingData[[#This Row],[Total]]&lt;&gt; 0, NOT(ISBLANK(SamplingData[[#This Row],[Losing Candidate]]))),(SamplingData[[#This Row],[Total]]+SamplingData[[#This Row],[Winning Candidate]]-SamplingData[[#This Row],[Losing Candidate]])/(SamplingData[[#Totals],[Winning Candidate]]-SamplingData[[#Totals],[Losing Candidate]]), 0)</f>
        <v>1.5277542013240537E-2</v>
      </c>
      <c r="R190" s="99">
        <f>IF(AND(SamplingData[[#This Row],[Total]]&lt;&gt; 0, NOT(ISBLANK(SamplingData[[#This Row],[Candidate 3]]))),(SamplingData[[#This Row],[Total]]+SamplingData[[#This Row],[Winning Candidate]]-SamplingData[[#This Row],[Candidate 3]])/(SamplingData[[#Totals],[Winning Candidate]]-SamplingData[[#Totals],[Candidate 3]]), 0)</f>
        <v>0</v>
      </c>
      <c r="S190" s="99">
        <f>IF(AND(SamplingData[[#This Row],[Total]]&lt;&gt; 0, NOT(ISBLANK(SamplingData[[#This Row],[Candidate 4]]))),(SamplingData[[#This Row],[Total]]+SamplingData[[#This Row],[Winning Candidate]]-SamplingData[[#This Row],[Candidate 4]])/(SamplingData[[#Totals],[Winning Candidate]]-SamplingData[[#Totals],[Candidate 4]]), 0)</f>
        <v>0</v>
      </c>
      <c r="T190" s="99">
        <f>IF(AND(SamplingData[[#This Row],[Total]]&lt;&gt; 0, NOT(ISBLANK(SamplingData[[#This Row],[Candidate 5]]))),(SamplingData[[#This Row],[Total]]+SamplingData[[#This Row],[Winning Candidate]]-SamplingData[[#This Row],[Candidate 5]])/(SamplingData[[#Totals],[Winning Candidate]]-SamplingData[[#Totals],[Candidate 5]]), 0)</f>
        <v>0</v>
      </c>
      <c r="U190" s="99">
        <f>IF(AND(SamplingData[[#This Row],[Total]]&lt;&gt; 0, NOT(ISBLANK(SamplingData[[#This Row],[Candidate 6]]))),(SamplingData[[#This Row],[Total]]+SamplingData[[#This Row],[Losing Candidate]]-SamplingData[[#This Row],[Candidate 6]])/(SamplingData[[#Totals],[Winning Candidate]]-SamplingData[[#Totals],[Candidate 6]]), 0)</f>
        <v>0</v>
      </c>
      <c r="V190" s="99">
        <f>IF(AND(SamplingData[[#This Row],[Total]]&lt;&gt; 0, NOT(ISBLANK(SamplingData[[#This Row],[Candidate 7]]))),(SamplingData[[#This Row],[Total]]+SamplingData[[#This Row],[Winning Candidate]]-SamplingData[[#This Row],[Candidate 7]])/(SamplingData[[#Totals],[Winning Candidate]]-SamplingData[[#Totals],[Candidate 7]]), 0)</f>
        <v>0</v>
      </c>
      <c r="W190" s="99">
        <f>IF(AND(SamplingData[[#This Row],[Total]]&lt;&gt; 0, NOT(ISBLANK(SamplingData[[#This Row],[Candidate 8]]))),(SamplingData[[#This Row],[Total]]+SamplingData[[#This Row],[Winning Candidate]]-SamplingData[[#This Row],[Candidate 8]])/(SamplingData[[#Totals],[Winning Candidate]]-SamplingData[[#Totals],[Candidate 8]]), 0)</f>
        <v>0</v>
      </c>
      <c r="X1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0" s="99">
        <f>MAX(SamplingData[[#This Row],[Error Bound (up) - Max. possible relative overstatement - Losing Candidate]:[Error Bound (up) - Max. possible relative overstatement - Candidate 12]])</f>
        <v>1.5277542013240537E-2</v>
      </c>
      <c r="AC190" s="99">
        <f>IF(SamplingData[[#This Row],[Max Error Bound (up)]] = 0,0,SamplingData[[#This Row],[Max Error Bound (up)]]/SamplingData[[#Totals],[Max Error Bound (up)]])</f>
        <v>8.17973606718291E-4</v>
      </c>
      <c r="AD190" s="103">
        <f>SUM($AC$5:AC190)</f>
        <v>0.19836314392700063</v>
      </c>
      <c r="AE190" s="99" t="str" cm="1">
        <f t="array" ref="AE190">IF(SamplingData[[#This Row],[up/U Selection Probability]] = 0, "Zero", TEXT(SamplingData[[#This Row],[Lower Range]], REPT("0",LEN('General Info'!$B$42))) &amp; " - " &amp; TEXT(SamplingData[[#This Row],[Upper Range]], REPT("0",LEN('General Info'!$B$42))))</f>
        <v>197545 - 198362</v>
      </c>
      <c r="AF190" s="99">
        <f>SamplingData[[#This Row],[Upper Range]]-SamplingData[[#This Row],[Span]]</f>
        <v>197545.17032028234</v>
      </c>
      <c r="AG190" s="99">
        <f>IF(ISNUMBER('General Info'!$B$42), ((SamplingData[[#This Row],[up/U Selection Probability]]) * 'General Info'!$B$44) - 1, 0)</f>
        <v>816.97360671829097</v>
      </c>
      <c r="AH190" s="99">
        <f>IF(ISNUMBER('General Info'!$B$42), (SamplingData[[#This Row],[Running (cumulative) sum]] * ('General Info'!$B$42 -'General Info'!$B$43 + 1)) + 'General Info'!$B$43 - 1, 0)</f>
        <v>198362.14392700064</v>
      </c>
      <c r="AI190" s="99" t="str">
        <f>IF(ISERROR(MATCH(SamplingData[[#This Row],[Batch by Type (p)]],SelectedPrecincts[Batch Name], 0)), "", INDEX(SelectedPrecincts[Draw], MATCH(SamplingData[[#This Row],[Batch by Type (p)]],SelectedPrecincts[Batch Name], 0)))</f>
        <v/>
      </c>
      <c r="AJ190" s="100">
        <f>IF(COUNTIF(SelectedPrecincts[Batch Name],SamplingData[[#This Row],[Batch by Type (p)]]) &lt;&gt; 0, COUNTIF(SelectedPrecincts[Batch Name],SamplingData[[#This Row],[Batch by Type (p)]]), 0)</f>
        <v>0</v>
      </c>
    </row>
    <row r="191" spans="1:36" ht="15" customHeight="1" x14ac:dyDescent="0.35">
      <c r="A191" s="97" t="s">
        <v>404</v>
      </c>
      <c r="B191" s="97">
        <v>278</v>
      </c>
      <c r="C191" s="97">
        <v>75</v>
      </c>
      <c r="D191" s="92"/>
      <c r="E191" s="92"/>
      <c r="F191" s="92"/>
      <c r="G191" s="96"/>
      <c r="H191" s="96"/>
      <c r="I191" s="92"/>
      <c r="J191" s="92"/>
      <c r="K191" s="92"/>
      <c r="L191" s="92"/>
      <c r="M191" s="92"/>
      <c r="N191" s="97">
        <v>0</v>
      </c>
      <c r="O191" s="97">
        <v>19</v>
      </c>
      <c r="P191" s="98">
        <f>SUM(SamplingData[[#This Row],[Winning Candidate]:[Under Votes]])</f>
        <v>372</v>
      </c>
      <c r="Q191" s="99">
        <f>IF(AND(SamplingData[[#This Row],[Total]]&lt;&gt; 0, NOT(ISBLANK(SamplingData[[#This Row],[Losing Candidate]]))),(SamplingData[[#This Row],[Total]]+SamplingData[[#This Row],[Winning Candidate]]-SamplingData[[#This Row],[Losing Candidate]])/(SamplingData[[#Totals],[Winning Candidate]]-SamplingData[[#Totals],[Losing Candidate]]), 0)</f>
        <v>2.4401629604481414E-2</v>
      </c>
      <c r="R191" s="99">
        <f>IF(AND(SamplingData[[#This Row],[Total]]&lt;&gt; 0, NOT(ISBLANK(SamplingData[[#This Row],[Candidate 3]]))),(SamplingData[[#This Row],[Total]]+SamplingData[[#This Row],[Winning Candidate]]-SamplingData[[#This Row],[Candidate 3]])/(SamplingData[[#Totals],[Winning Candidate]]-SamplingData[[#Totals],[Candidate 3]]), 0)</f>
        <v>0</v>
      </c>
      <c r="S191" s="99">
        <f>IF(AND(SamplingData[[#This Row],[Total]]&lt;&gt; 0, NOT(ISBLANK(SamplingData[[#This Row],[Candidate 4]]))),(SamplingData[[#This Row],[Total]]+SamplingData[[#This Row],[Winning Candidate]]-SamplingData[[#This Row],[Candidate 4]])/(SamplingData[[#Totals],[Winning Candidate]]-SamplingData[[#Totals],[Candidate 4]]), 0)</f>
        <v>0</v>
      </c>
      <c r="T191" s="99">
        <f>IF(AND(SamplingData[[#This Row],[Total]]&lt;&gt; 0, NOT(ISBLANK(SamplingData[[#This Row],[Candidate 5]]))),(SamplingData[[#This Row],[Total]]+SamplingData[[#This Row],[Winning Candidate]]-SamplingData[[#This Row],[Candidate 5]])/(SamplingData[[#Totals],[Winning Candidate]]-SamplingData[[#Totals],[Candidate 5]]), 0)</f>
        <v>0</v>
      </c>
      <c r="U191" s="99">
        <f>IF(AND(SamplingData[[#This Row],[Total]]&lt;&gt; 0, NOT(ISBLANK(SamplingData[[#This Row],[Candidate 6]]))),(SamplingData[[#This Row],[Total]]+SamplingData[[#This Row],[Losing Candidate]]-SamplingData[[#This Row],[Candidate 6]])/(SamplingData[[#Totals],[Winning Candidate]]-SamplingData[[#Totals],[Candidate 6]]), 0)</f>
        <v>0</v>
      </c>
      <c r="V191" s="99">
        <f>IF(AND(SamplingData[[#This Row],[Total]]&lt;&gt; 0, NOT(ISBLANK(SamplingData[[#This Row],[Candidate 7]]))),(SamplingData[[#This Row],[Total]]+SamplingData[[#This Row],[Winning Candidate]]-SamplingData[[#This Row],[Candidate 7]])/(SamplingData[[#Totals],[Winning Candidate]]-SamplingData[[#Totals],[Candidate 7]]), 0)</f>
        <v>0</v>
      </c>
      <c r="W191" s="99">
        <f>IF(AND(SamplingData[[#This Row],[Total]]&lt;&gt; 0, NOT(ISBLANK(SamplingData[[#This Row],[Candidate 8]]))),(SamplingData[[#This Row],[Total]]+SamplingData[[#This Row],[Winning Candidate]]-SamplingData[[#This Row],[Candidate 8]])/(SamplingData[[#Totals],[Winning Candidate]]-SamplingData[[#Totals],[Candidate 8]]), 0)</f>
        <v>0</v>
      </c>
      <c r="X1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1" s="99">
        <f>MAX(SamplingData[[#This Row],[Error Bound (up) - Max. possible relative overstatement - Losing Candidate]:[Error Bound (up) - Max. possible relative overstatement - Candidate 12]])</f>
        <v>2.4401629604481414E-2</v>
      </c>
      <c r="AC191" s="99">
        <f>IF(SamplingData[[#This Row],[Max Error Bound (up)]] = 0,0,SamplingData[[#This Row],[Max Error Bound (up)]]/SamplingData[[#Totals],[Max Error Bound (up)]])</f>
        <v>1.3064856218417149E-3</v>
      </c>
      <c r="AD191" s="103">
        <f>SUM($AC$5:AC191)</f>
        <v>0.19966962954884235</v>
      </c>
      <c r="AE191" s="99" t="str" cm="1">
        <f t="array" ref="AE191">IF(SamplingData[[#This Row],[up/U Selection Probability]] = 0, "Zero", TEXT(SamplingData[[#This Row],[Lower Range]], REPT("0",LEN('General Info'!$B$42))) &amp; " - " &amp; TEXT(SamplingData[[#This Row],[Upper Range]], REPT("0",LEN('General Info'!$B$42))))</f>
        <v>198363 - 199669</v>
      </c>
      <c r="AF191" s="99">
        <f>SamplingData[[#This Row],[Upper Range]]-SamplingData[[#This Row],[Span]]</f>
        <v>198363.14392700064</v>
      </c>
      <c r="AG191" s="99">
        <f>IF(ISNUMBER('General Info'!$B$42), ((SamplingData[[#This Row],[up/U Selection Probability]]) * 'General Info'!$B$44) - 1, 0)</f>
        <v>1305.4856218417149</v>
      </c>
      <c r="AH191" s="99">
        <f>IF(ISNUMBER('General Info'!$B$42), (SamplingData[[#This Row],[Running (cumulative) sum]] * ('General Info'!$B$42 -'General Info'!$B$43 + 1)) + 'General Info'!$B$43 - 1, 0)</f>
        <v>199668.62954884235</v>
      </c>
      <c r="AI191" s="99" t="str">
        <f>IF(ISERROR(MATCH(SamplingData[[#This Row],[Batch by Type (p)]],SelectedPrecincts[Batch Name], 0)), "", INDEX(SelectedPrecincts[Draw], MATCH(SamplingData[[#This Row],[Batch by Type (p)]],SelectedPrecincts[Batch Name], 0)))</f>
        <v/>
      </c>
      <c r="AJ191" s="100">
        <f>IF(COUNTIF(SelectedPrecincts[Batch Name],SamplingData[[#This Row],[Batch by Type (p)]]) &lt;&gt; 0, COUNTIF(SelectedPrecincts[Batch Name],SamplingData[[#This Row],[Batch by Type (p)]]), 0)</f>
        <v>0</v>
      </c>
    </row>
    <row r="192" spans="1:36" ht="15" customHeight="1" x14ac:dyDescent="0.35">
      <c r="A192" s="97" t="s">
        <v>405</v>
      </c>
      <c r="B192" s="97">
        <v>108</v>
      </c>
      <c r="C192" s="97">
        <v>24</v>
      </c>
      <c r="D192" s="92"/>
      <c r="E192" s="92"/>
      <c r="F192" s="92"/>
      <c r="G192" s="96"/>
      <c r="H192" s="96"/>
      <c r="I192" s="92"/>
      <c r="J192" s="92"/>
      <c r="K192" s="92"/>
      <c r="L192" s="92"/>
      <c r="M192" s="92"/>
      <c r="N192" s="97">
        <v>0</v>
      </c>
      <c r="O192" s="97">
        <v>12</v>
      </c>
      <c r="P192" s="98">
        <f>SUM(SamplingData[[#This Row],[Winning Candidate]:[Under Votes]])</f>
        <v>144</v>
      </c>
      <c r="Q192" s="99">
        <f>IF(AND(SamplingData[[#This Row],[Total]]&lt;&gt; 0, NOT(ISBLANK(SamplingData[[#This Row],[Losing Candidate]]))),(SamplingData[[#This Row],[Total]]+SamplingData[[#This Row],[Winning Candidate]]-SamplingData[[#This Row],[Losing Candidate]])/(SamplingData[[#Totals],[Winning Candidate]]-SamplingData[[#Totals],[Losing Candidate]]), 0)</f>
        <v>9.6757766083856722E-3</v>
      </c>
      <c r="R192" s="99">
        <f>IF(AND(SamplingData[[#This Row],[Total]]&lt;&gt; 0, NOT(ISBLANK(SamplingData[[#This Row],[Candidate 3]]))),(SamplingData[[#This Row],[Total]]+SamplingData[[#This Row],[Winning Candidate]]-SamplingData[[#This Row],[Candidate 3]])/(SamplingData[[#Totals],[Winning Candidate]]-SamplingData[[#Totals],[Candidate 3]]), 0)</f>
        <v>0</v>
      </c>
      <c r="S192" s="99">
        <f>IF(AND(SamplingData[[#This Row],[Total]]&lt;&gt; 0, NOT(ISBLANK(SamplingData[[#This Row],[Candidate 4]]))),(SamplingData[[#This Row],[Total]]+SamplingData[[#This Row],[Winning Candidate]]-SamplingData[[#This Row],[Candidate 4]])/(SamplingData[[#Totals],[Winning Candidate]]-SamplingData[[#Totals],[Candidate 4]]), 0)</f>
        <v>0</v>
      </c>
      <c r="T192" s="99">
        <f>IF(AND(SamplingData[[#This Row],[Total]]&lt;&gt; 0, NOT(ISBLANK(SamplingData[[#This Row],[Candidate 5]]))),(SamplingData[[#This Row],[Total]]+SamplingData[[#This Row],[Winning Candidate]]-SamplingData[[#This Row],[Candidate 5]])/(SamplingData[[#Totals],[Winning Candidate]]-SamplingData[[#Totals],[Candidate 5]]), 0)</f>
        <v>0</v>
      </c>
      <c r="U192" s="99">
        <f>IF(AND(SamplingData[[#This Row],[Total]]&lt;&gt; 0, NOT(ISBLANK(SamplingData[[#This Row],[Candidate 6]]))),(SamplingData[[#This Row],[Total]]+SamplingData[[#This Row],[Losing Candidate]]-SamplingData[[#This Row],[Candidate 6]])/(SamplingData[[#Totals],[Winning Candidate]]-SamplingData[[#Totals],[Candidate 6]]), 0)</f>
        <v>0</v>
      </c>
      <c r="V192" s="99">
        <f>IF(AND(SamplingData[[#This Row],[Total]]&lt;&gt; 0, NOT(ISBLANK(SamplingData[[#This Row],[Candidate 7]]))),(SamplingData[[#This Row],[Total]]+SamplingData[[#This Row],[Winning Candidate]]-SamplingData[[#This Row],[Candidate 7]])/(SamplingData[[#Totals],[Winning Candidate]]-SamplingData[[#Totals],[Candidate 7]]), 0)</f>
        <v>0</v>
      </c>
      <c r="W192" s="99">
        <f>IF(AND(SamplingData[[#This Row],[Total]]&lt;&gt; 0, NOT(ISBLANK(SamplingData[[#This Row],[Candidate 8]]))),(SamplingData[[#This Row],[Total]]+SamplingData[[#This Row],[Winning Candidate]]-SamplingData[[#This Row],[Candidate 8]])/(SamplingData[[#Totals],[Winning Candidate]]-SamplingData[[#Totals],[Candidate 8]]), 0)</f>
        <v>0</v>
      </c>
      <c r="X1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2" s="99">
        <f>MAX(SamplingData[[#This Row],[Error Bound (up) - Max. possible relative overstatement - Losing Candidate]:[Error Bound (up) - Max. possible relative overstatement - Candidate 12]])</f>
        <v>9.6757766083856722E-3</v>
      </c>
      <c r="AC192" s="99">
        <f>IF(SamplingData[[#This Row],[Max Error Bound (up)]] = 0,0,SamplingData[[#This Row],[Max Error Bound (up)]]/SamplingData[[#Totals],[Max Error Bound (up)]])</f>
        <v>5.1804995092158423E-4</v>
      </c>
      <c r="AD192" s="103">
        <f>SUM($AC$5:AC192)</f>
        <v>0.20018767949976393</v>
      </c>
      <c r="AE192" s="99" t="str" cm="1">
        <f t="array" ref="AE192">IF(SamplingData[[#This Row],[up/U Selection Probability]] = 0, "Zero", TEXT(SamplingData[[#This Row],[Lower Range]], REPT("0",LEN('General Info'!$B$42))) &amp; " - " &amp; TEXT(SamplingData[[#This Row],[Upper Range]], REPT("0",LEN('General Info'!$B$42))))</f>
        <v>199670 - 200187</v>
      </c>
      <c r="AF192" s="99">
        <f>SamplingData[[#This Row],[Upper Range]]-SamplingData[[#This Row],[Span]]</f>
        <v>199669.62954884235</v>
      </c>
      <c r="AG192" s="99">
        <f>IF(ISNUMBER('General Info'!$B$42), ((SamplingData[[#This Row],[up/U Selection Probability]]) * 'General Info'!$B$44) - 1, 0)</f>
        <v>517.04995092158424</v>
      </c>
      <c r="AH192" s="99">
        <f>IF(ISNUMBER('General Info'!$B$42), (SamplingData[[#This Row],[Running (cumulative) sum]] * ('General Info'!$B$42 -'General Info'!$B$43 + 1)) + 'General Info'!$B$43 - 1, 0)</f>
        <v>200186.67949976394</v>
      </c>
      <c r="AI192" s="99" t="str">
        <f>IF(ISERROR(MATCH(SamplingData[[#This Row],[Batch by Type (p)]],SelectedPrecincts[Batch Name], 0)), "", INDEX(SelectedPrecincts[Draw], MATCH(SamplingData[[#This Row],[Batch by Type (p)]],SelectedPrecincts[Batch Name], 0)))</f>
        <v/>
      </c>
      <c r="AJ192" s="100">
        <f>IF(COUNTIF(SelectedPrecincts[Batch Name],SamplingData[[#This Row],[Batch by Type (p)]]) &lt;&gt; 0, COUNTIF(SelectedPrecincts[Batch Name],SamplingData[[#This Row],[Batch by Type (p)]]), 0)</f>
        <v>0</v>
      </c>
    </row>
    <row r="193" spans="1:36" ht="15" customHeight="1" x14ac:dyDescent="0.35">
      <c r="A193" s="97" t="s">
        <v>406</v>
      </c>
      <c r="B193" s="97">
        <v>116</v>
      </c>
      <c r="C193" s="97">
        <v>21</v>
      </c>
      <c r="D193" s="92"/>
      <c r="E193" s="92"/>
      <c r="F193" s="92"/>
      <c r="G193" s="96"/>
      <c r="H193" s="96"/>
      <c r="I193" s="92"/>
      <c r="J193" s="92"/>
      <c r="K193" s="92"/>
      <c r="L193" s="92"/>
      <c r="M193" s="92"/>
      <c r="N193" s="97">
        <v>1</v>
      </c>
      <c r="O193" s="97">
        <v>8</v>
      </c>
      <c r="P193" s="98">
        <f>SUM(SamplingData[[#This Row],[Winning Candidate]:[Under Votes]])</f>
        <v>146</v>
      </c>
      <c r="Q193" s="99">
        <f>IF(AND(SamplingData[[#This Row],[Total]]&lt;&gt; 0, NOT(ISBLANK(SamplingData[[#This Row],[Losing Candidate]]))),(SamplingData[[#This Row],[Total]]+SamplingData[[#This Row],[Winning Candidate]]-SamplingData[[#This Row],[Losing Candidate]])/(SamplingData[[#Totals],[Winning Candidate]]-SamplingData[[#Totals],[Losing Candidate]]), 0)</f>
        <v>1.0227465625530471E-2</v>
      </c>
      <c r="R193" s="99">
        <f>IF(AND(SamplingData[[#This Row],[Total]]&lt;&gt; 0, NOT(ISBLANK(SamplingData[[#This Row],[Candidate 3]]))),(SamplingData[[#This Row],[Total]]+SamplingData[[#This Row],[Winning Candidate]]-SamplingData[[#This Row],[Candidate 3]])/(SamplingData[[#Totals],[Winning Candidate]]-SamplingData[[#Totals],[Candidate 3]]), 0)</f>
        <v>0</v>
      </c>
      <c r="S193" s="99">
        <f>IF(AND(SamplingData[[#This Row],[Total]]&lt;&gt; 0, NOT(ISBLANK(SamplingData[[#This Row],[Candidate 4]]))),(SamplingData[[#This Row],[Total]]+SamplingData[[#This Row],[Winning Candidate]]-SamplingData[[#This Row],[Candidate 4]])/(SamplingData[[#Totals],[Winning Candidate]]-SamplingData[[#Totals],[Candidate 4]]), 0)</f>
        <v>0</v>
      </c>
      <c r="T193" s="99">
        <f>IF(AND(SamplingData[[#This Row],[Total]]&lt;&gt; 0, NOT(ISBLANK(SamplingData[[#This Row],[Candidate 5]]))),(SamplingData[[#This Row],[Total]]+SamplingData[[#This Row],[Winning Candidate]]-SamplingData[[#This Row],[Candidate 5]])/(SamplingData[[#Totals],[Winning Candidate]]-SamplingData[[#Totals],[Candidate 5]]), 0)</f>
        <v>0</v>
      </c>
      <c r="U193" s="99">
        <f>IF(AND(SamplingData[[#This Row],[Total]]&lt;&gt; 0, NOT(ISBLANK(SamplingData[[#This Row],[Candidate 6]]))),(SamplingData[[#This Row],[Total]]+SamplingData[[#This Row],[Losing Candidate]]-SamplingData[[#This Row],[Candidate 6]])/(SamplingData[[#Totals],[Winning Candidate]]-SamplingData[[#Totals],[Candidate 6]]), 0)</f>
        <v>0</v>
      </c>
      <c r="V193" s="99">
        <f>IF(AND(SamplingData[[#This Row],[Total]]&lt;&gt; 0, NOT(ISBLANK(SamplingData[[#This Row],[Candidate 7]]))),(SamplingData[[#This Row],[Total]]+SamplingData[[#This Row],[Winning Candidate]]-SamplingData[[#This Row],[Candidate 7]])/(SamplingData[[#Totals],[Winning Candidate]]-SamplingData[[#Totals],[Candidate 7]]), 0)</f>
        <v>0</v>
      </c>
      <c r="W193" s="99">
        <f>IF(AND(SamplingData[[#This Row],[Total]]&lt;&gt; 0, NOT(ISBLANK(SamplingData[[#This Row],[Candidate 8]]))),(SamplingData[[#This Row],[Total]]+SamplingData[[#This Row],[Winning Candidate]]-SamplingData[[#This Row],[Candidate 8]])/(SamplingData[[#Totals],[Winning Candidate]]-SamplingData[[#Totals],[Candidate 8]]), 0)</f>
        <v>0</v>
      </c>
      <c r="X1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3" s="99">
        <f>MAX(SamplingData[[#This Row],[Error Bound (up) - Max. possible relative overstatement - Losing Candidate]:[Error Bound (up) - Max. possible relative overstatement - Candidate 12]])</f>
        <v>1.0227465625530471E-2</v>
      </c>
      <c r="AC193" s="99">
        <f>IF(SamplingData[[#This Row],[Max Error Bound (up)]] = 0,0,SamplingData[[#This Row],[Max Error Bound (up)]]/SamplingData[[#Totals],[Max Error Bound (up)]])</f>
        <v>5.4758788671974482E-4</v>
      </c>
      <c r="AD193" s="103">
        <f>SUM($AC$5:AC193)</f>
        <v>0.20073526738648367</v>
      </c>
      <c r="AE193" s="99" t="str" cm="1">
        <f t="array" ref="AE193">IF(SamplingData[[#This Row],[up/U Selection Probability]] = 0, "Zero", TEXT(SamplingData[[#This Row],[Lower Range]], REPT("0",LEN('General Info'!$B$42))) &amp; " - " &amp; TEXT(SamplingData[[#This Row],[Upper Range]], REPT("0",LEN('General Info'!$B$42))))</f>
        <v>200188 - 200734</v>
      </c>
      <c r="AF193" s="99">
        <f>SamplingData[[#This Row],[Upper Range]]-SamplingData[[#This Row],[Span]]</f>
        <v>200187.67949976394</v>
      </c>
      <c r="AG193" s="99">
        <f>IF(ISNUMBER('General Info'!$B$42), ((SamplingData[[#This Row],[up/U Selection Probability]]) * 'General Info'!$B$44) - 1, 0)</f>
        <v>546.5878867197448</v>
      </c>
      <c r="AH193" s="99">
        <f>IF(ISNUMBER('General Info'!$B$42), (SamplingData[[#This Row],[Running (cumulative) sum]] * ('General Info'!$B$42 -'General Info'!$B$43 + 1)) + 'General Info'!$B$43 - 1, 0)</f>
        <v>200734.26738648367</v>
      </c>
      <c r="AI193" s="99" t="str">
        <f>IF(ISERROR(MATCH(SamplingData[[#This Row],[Batch by Type (p)]],SelectedPrecincts[Batch Name], 0)), "", INDEX(SelectedPrecincts[Draw], MATCH(SamplingData[[#This Row],[Batch by Type (p)]],SelectedPrecincts[Batch Name], 0)))</f>
        <v/>
      </c>
      <c r="AJ193" s="100">
        <f>IF(COUNTIF(SelectedPrecincts[Batch Name],SamplingData[[#This Row],[Batch by Type (p)]]) &lt;&gt; 0, COUNTIF(SelectedPrecincts[Batch Name],SamplingData[[#This Row],[Batch by Type (p)]]), 0)</f>
        <v>0</v>
      </c>
    </row>
    <row r="194" spans="1:36" ht="15" customHeight="1" x14ac:dyDescent="0.35">
      <c r="A194" s="97" t="s">
        <v>407</v>
      </c>
      <c r="B194" s="97">
        <v>115</v>
      </c>
      <c r="C194" s="97">
        <v>66</v>
      </c>
      <c r="D194" s="92"/>
      <c r="E194" s="92"/>
      <c r="F194" s="92"/>
      <c r="G194" s="96"/>
      <c r="H194" s="96"/>
      <c r="I194" s="92"/>
      <c r="J194" s="92"/>
      <c r="K194" s="92"/>
      <c r="L194" s="92"/>
      <c r="M194" s="92"/>
      <c r="N194" s="97">
        <v>1</v>
      </c>
      <c r="O194" s="97">
        <v>11</v>
      </c>
      <c r="P194" s="98">
        <f>SUM(SamplingData[[#This Row],[Winning Candidate]:[Under Votes]])</f>
        <v>193</v>
      </c>
      <c r="Q194" s="99">
        <f>IF(AND(SamplingData[[#This Row],[Total]]&lt;&gt; 0, NOT(ISBLANK(SamplingData[[#This Row],[Losing Candidate]]))),(SamplingData[[#This Row],[Total]]+SamplingData[[#This Row],[Winning Candidate]]-SamplingData[[#This Row],[Losing Candidate]])/(SamplingData[[#Totals],[Winning Candidate]]-SamplingData[[#Totals],[Losing Candidate]]), 0)</f>
        <v>1.0269903242233916E-2</v>
      </c>
      <c r="R194" s="99">
        <f>IF(AND(SamplingData[[#This Row],[Total]]&lt;&gt; 0, NOT(ISBLANK(SamplingData[[#This Row],[Candidate 3]]))),(SamplingData[[#This Row],[Total]]+SamplingData[[#This Row],[Winning Candidate]]-SamplingData[[#This Row],[Candidate 3]])/(SamplingData[[#Totals],[Winning Candidate]]-SamplingData[[#Totals],[Candidate 3]]), 0)</f>
        <v>0</v>
      </c>
      <c r="S194" s="99">
        <f>IF(AND(SamplingData[[#This Row],[Total]]&lt;&gt; 0, NOT(ISBLANK(SamplingData[[#This Row],[Candidate 4]]))),(SamplingData[[#This Row],[Total]]+SamplingData[[#This Row],[Winning Candidate]]-SamplingData[[#This Row],[Candidate 4]])/(SamplingData[[#Totals],[Winning Candidate]]-SamplingData[[#Totals],[Candidate 4]]), 0)</f>
        <v>0</v>
      </c>
      <c r="T194" s="99">
        <f>IF(AND(SamplingData[[#This Row],[Total]]&lt;&gt; 0, NOT(ISBLANK(SamplingData[[#This Row],[Candidate 5]]))),(SamplingData[[#This Row],[Total]]+SamplingData[[#This Row],[Winning Candidate]]-SamplingData[[#This Row],[Candidate 5]])/(SamplingData[[#Totals],[Winning Candidate]]-SamplingData[[#Totals],[Candidate 5]]), 0)</f>
        <v>0</v>
      </c>
      <c r="U194" s="99">
        <f>IF(AND(SamplingData[[#This Row],[Total]]&lt;&gt; 0, NOT(ISBLANK(SamplingData[[#This Row],[Candidate 6]]))),(SamplingData[[#This Row],[Total]]+SamplingData[[#This Row],[Losing Candidate]]-SamplingData[[#This Row],[Candidate 6]])/(SamplingData[[#Totals],[Winning Candidate]]-SamplingData[[#Totals],[Candidate 6]]), 0)</f>
        <v>0</v>
      </c>
      <c r="V194" s="99">
        <f>IF(AND(SamplingData[[#This Row],[Total]]&lt;&gt; 0, NOT(ISBLANK(SamplingData[[#This Row],[Candidate 7]]))),(SamplingData[[#This Row],[Total]]+SamplingData[[#This Row],[Winning Candidate]]-SamplingData[[#This Row],[Candidate 7]])/(SamplingData[[#Totals],[Winning Candidate]]-SamplingData[[#Totals],[Candidate 7]]), 0)</f>
        <v>0</v>
      </c>
      <c r="W194" s="99">
        <f>IF(AND(SamplingData[[#This Row],[Total]]&lt;&gt; 0, NOT(ISBLANK(SamplingData[[#This Row],[Candidate 8]]))),(SamplingData[[#This Row],[Total]]+SamplingData[[#This Row],[Winning Candidate]]-SamplingData[[#This Row],[Candidate 8]])/(SamplingData[[#Totals],[Winning Candidate]]-SamplingData[[#Totals],[Candidate 8]]), 0)</f>
        <v>0</v>
      </c>
      <c r="X1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4" s="99">
        <f>MAX(SamplingData[[#This Row],[Error Bound (up) - Max. possible relative overstatement - Losing Candidate]:[Error Bound (up) - Max. possible relative overstatement - Candidate 12]])</f>
        <v>1.0269903242233916E-2</v>
      </c>
      <c r="AC194" s="99">
        <f>IF(SamplingData[[#This Row],[Max Error Bound (up)]] = 0,0,SamplingData[[#This Row],[Max Error Bound (up)]]/SamplingData[[#Totals],[Max Error Bound (up)]])</f>
        <v>5.4986003562729549E-4</v>
      </c>
      <c r="AD194" s="103">
        <f>SUM($AC$5:AC194)</f>
        <v>0.20128512742211097</v>
      </c>
      <c r="AE194" s="99" t="str" cm="1">
        <f t="array" ref="AE194">IF(SamplingData[[#This Row],[up/U Selection Probability]] = 0, "Zero", TEXT(SamplingData[[#This Row],[Lower Range]], REPT("0",LEN('General Info'!$B$42))) &amp; " - " &amp; TEXT(SamplingData[[#This Row],[Upper Range]], REPT("0",LEN('General Info'!$B$42))))</f>
        <v>200735 - 201284</v>
      </c>
      <c r="AF194" s="99">
        <f>SamplingData[[#This Row],[Upper Range]]-SamplingData[[#This Row],[Span]]</f>
        <v>200735.26738648367</v>
      </c>
      <c r="AG194" s="99">
        <f>IF(ISNUMBER('General Info'!$B$42), ((SamplingData[[#This Row],[up/U Selection Probability]]) * 'General Info'!$B$44) - 1, 0)</f>
        <v>548.86003562729547</v>
      </c>
      <c r="AH194" s="99">
        <f>IF(ISNUMBER('General Info'!$B$42), (SamplingData[[#This Row],[Running (cumulative) sum]] * ('General Info'!$B$42 -'General Info'!$B$43 + 1)) + 'General Info'!$B$43 - 1, 0)</f>
        <v>201284.12742211096</v>
      </c>
      <c r="AI194" s="99" t="str">
        <f>IF(ISERROR(MATCH(SamplingData[[#This Row],[Batch by Type (p)]],SelectedPrecincts[Batch Name], 0)), "", INDEX(SelectedPrecincts[Draw], MATCH(SamplingData[[#This Row],[Batch by Type (p)]],SelectedPrecincts[Batch Name], 0)))</f>
        <v/>
      </c>
      <c r="AJ194" s="100">
        <f>IF(COUNTIF(SelectedPrecincts[Batch Name],SamplingData[[#This Row],[Batch by Type (p)]]) &lt;&gt; 0, COUNTIF(SelectedPrecincts[Batch Name],SamplingData[[#This Row],[Batch by Type (p)]]), 0)</f>
        <v>0</v>
      </c>
    </row>
    <row r="195" spans="1:36" ht="15" customHeight="1" x14ac:dyDescent="0.35">
      <c r="A195" s="97" t="s">
        <v>408</v>
      </c>
      <c r="B195" s="97">
        <v>152</v>
      </c>
      <c r="C195" s="97">
        <v>136</v>
      </c>
      <c r="D195" s="92"/>
      <c r="E195" s="92"/>
      <c r="F195" s="92"/>
      <c r="G195" s="96"/>
      <c r="H195" s="96"/>
      <c r="I195" s="92"/>
      <c r="J195" s="92"/>
      <c r="K195" s="92"/>
      <c r="L195" s="92"/>
      <c r="M195" s="92"/>
      <c r="N195" s="97">
        <v>0</v>
      </c>
      <c r="O195" s="97">
        <v>20</v>
      </c>
      <c r="P195" s="98">
        <f>SUM(SamplingData[[#This Row],[Winning Candidate]:[Under Votes]])</f>
        <v>308</v>
      </c>
      <c r="Q195" s="99">
        <f>IF(AND(SamplingData[[#This Row],[Total]]&lt;&gt; 0, NOT(ISBLANK(SamplingData[[#This Row],[Losing Candidate]]))),(SamplingData[[#This Row],[Total]]+SamplingData[[#This Row],[Winning Candidate]]-SamplingData[[#This Row],[Losing Candidate]])/(SamplingData[[#Totals],[Winning Candidate]]-SamplingData[[#Totals],[Losing Candidate]]), 0)</f>
        <v>1.3749787811916483E-2</v>
      </c>
      <c r="R195" s="99">
        <f>IF(AND(SamplingData[[#This Row],[Total]]&lt;&gt; 0, NOT(ISBLANK(SamplingData[[#This Row],[Candidate 3]]))),(SamplingData[[#This Row],[Total]]+SamplingData[[#This Row],[Winning Candidate]]-SamplingData[[#This Row],[Candidate 3]])/(SamplingData[[#Totals],[Winning Candidate]]-SamplingData[[#Totals],[Candidate 3]]), 0)</f>
        <v>0</v>
      </c>
      <c r="S195" s="99">
        <f>IF(AND(SamplingData[[#This Row],[Total]]&lt;&gt; 0, NOT(ISBLANK(SamplingData[[#This Row],[Candidate 4]]))),(SamplingData[[#This Row],[Total]]+SamplingData[[#This Row],[Winning Candidate]]-SamplingData[[#This Row],[Candidate 4]])/(SamplingData[[#Totals],[Winning Candidate]]-SamplingData[[#Totals],[Candidate 4]]), 0)</f>
        <v>0</v>
      </c>
      <c r="T195" s="99">
        <f>IF(AND(SamplingData[[#This Row],[Total]]&lt;&gt; 0, NOT(ISBLANK(SamplingData[[#This Row],[Candidate 5]]))),(SamplingData[[#This Row],[Total]]+SamplingData[[#This Row],[Winning Candidate]]-SamplingData[[#This Row],[Candidate 5]])/(SamplingData[[#Totals],[Winning Candidate]]-SamplingData[[#Totals],[Candidate 5]]), 0)</f>
        <v>0</v>
      </c>
      <c r="U195" s="99">
        <f>IF(AND(SamplingData[[#This Row],[Total]]&lt;&gt; 0, NOT(ISBLANK(SamplingData[[#This Row],[Candidate 6]]))),(SamplingData[[#This Row],[Total]]+SamplingData[[#This Row],[Losing Candidate]]-SamplingData[[#This Row],[Candidate 6]])/(SamplingData[[#Totals],[Winning Candidate]]-SamplingData[[#Totals],[Candidate 6]]), 0)</f>
        <v>0</v>
      </c>
      <c r="V195" s="99">
        <f>IF(AND(SamplingData[[#This Row],[Total]]&lt;&gt; 0, NOT(ISBLANK(SamplingData[[#This Row],[Candidate 7]]))),(SamplingData[[#This Row],[Total]]+SamplingData[[#This Row],[Winning Candidate]]-SamplingData[[#This Row],[Candidate 7]])/(SamplingData[[#Totals],[Winning Candidate]]-SamplingData[[#Totals],[Candidate 7]]), 0)</f>
        <v>0</v>
      </c>
      <c r="W195" s="99">
        <f>IF(AND(SamplingData[[#This Row],[Total]]&lt;&gt; 0, NOT(ISBLANK(SamplingData[[#This Row],[Candidate 8]]))),(SamplingData[[#This Row],[Total]]+SamplingData[[#This Row],[Winning Candidate]]-SamplingData[[#This Row],[Candidate 8]])/(SamplingData[[#Totals],[Winning Candidate]]-SamplingData[[#Totals],[Candidate 8]]), 0)</f>
        <v>0</v>
      </c>
      <c r="X1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5" s="99">
        <f>MAX(SamplingData[[#This Row],[Error Bound (up) - Max. possible relative overstatement - Losing Candidate]:[Error Bound (up) - Max. possible relative overstatement - Candidate 12]])</f>
        <v>1.3749787811916483E-2</v>
      </c>
      <c r="AC195" s="99">
        <f>IF(SamplingData[[#This Row],[Max Error Bound (up)]] = 0,0,SamplingData[[#This Row],[Max Error Bound (up)]]/SamplingData[[#Totals],[Max Error Bound (up)]])</f>
        <v>7.3617624604646191E-4</v>
      </c>
      <c r="AD195" s="103">
        <f>SUM($AC$5:AC195)</f>
        <v>0.20202130366815743</v>
      </c>
      <c r="AE195" s="99" t="str" cm="1">
        <f t="array" ref="AE195">IF(SamplingData[[#This Row],[up/U Selection Probability]] = 0, "Zero", TEXT(SamplingData[[#This Row],[Lower Range]], REPT("0",LEN('General Info'!$B$42))) &amp; " - " &amp; TEXT(SamplingData[[#This Row],[Upper Range]], REPT("0",LEN('General Info'!$B$42))))</f>
        <v>201285 - 202020</v>
      </c>
      <c r="AF195" s="99">
        <f>SamplingData[[#This Row],[Upper Range]]-SamplingData[[#This Row],[Span]]</f>
        <v>201285.12742211096</v>
      </c>
      <c r="AG195" s="99">
        <f>IF(ISNUMBER('General Info'!$B$42), ((SamplingData[[#This Row],[up/U Selection Probability]]) * 'General Info'!$B$44) - 1, 0)</f>
        <v>735.17624604646187</v>
      </c>
      <c r="AH195" s="99">
        <f>IF(ISNUMBER('General Info'!$B$42), (SamplingData[[#This Row],[Running (cumulative) sum]] * ('General Info'!$B$42 -'General Info'!$B$43 + 1)) + 'General Info'!$B$43 - 1, 0)</f>
        <v>202020.30366815743</v>
      </c>
      <c r="AI195" s="99" t="str">
        <f>IF(ISERROR(MATCH(SamplingData[[#This Row],[Batch by Type (p)]],SelectedPrecincts[Batch Name], 0)), "", INDEX(SelectedPrecincts[Draw], MATCH(SamplingData[[#This Row],[Batch by Type (p)]],SelectedPrecincts[Batch Name], 0)))</f>
        <v/>
      </c>
      <c r="AJ195" s="100">
        <f>IF(COUNTIF(SelectedPrecincts[Batch Name],SamplingData[[#This Row],[Batch by Type (p)]]) &lt;&gt; 0, COUNTIF(SelectedPrecincts[Batch Name],SamplingData[[#This Row],[Batch by Type (p)]]), 0)</f>
        <v>0</v>
      </c>
    </row>
    <row r="196" spans="1:36" ht="15" customHeight="1" x14ac:dyDescent="0.35">
      <c r="A196" s="97" t="s">
        <v>409</v>
      </c>
      <c r="B196" s="97">
        <v>167</v>
      </c>
      <c r="C196" s="97">
        <v>132</v>
      </c>
      <c r="D196" s="92"/>
      <c r="E196" s="92"/>
      <c r="F196" s="92"/>
      <c r="G196" s="96"/>
      <c r="H196" s="96"/>
      <c r="I196" s="92"/>
      <c r="J196" s="92"/>
      <c r="K196" s="92"/>
      <c r="L196" s="92"/>
      <c r="M196" s="92"/>
      <c r="N196" s="97">
        <v>0</v>
      </c>
      <c r="O196" s="97">
        <v>27</v>
      </c>
      <c r="P196" s="98">
        <f>SUM(SamplingData[[#This Row],[Winning Candidate]:[Under Votes]])</f>
        <v>326</v>
      </c>
      <c r="Q196" s="99">
        <f>IF(AND(SamplingData[[#This Row],[Total]]&lt;&gt; 0, NOT(ISBLANK(SamplingData[[#This Row],[Losing Candidate]]))),(SamplingData[[#This Row],[Total]]+SamplingData[[#This Row],[Winning Candidate]]-SamplingData[[#This Row],[Losing Candidate]])/(SamplingData[[#Totals],[Winning Candidate]]-SamplingData[[#Totals],[Losing Candidate]]), 0)</f>
        <v>1.5319979629943982E-2</v>
      </c>
      <c r="R196" s="99">
        <f>IF(AND(SamplingData[[#This Row],[Total]]&lt;&gt; 0, NOT(ISBLANK(SamplingData[[#This Row],[Candidate 3]]))),(SamplingData[[#This Row],[Total]]+SamplingData[[#This Row],[Winning Candidate]]-SamplingData[[#This Row],[Candidate 3]])/(SamplingData[[#Totals],[Winning Candidate]]-SamplingData[[#Totals],[Candidate 3]]), 0)</f>
        <v>0</v>
      </c>
      <c r="S196" s="99">
        <f>IF(AND(SamplingData[[#This Row],[Total]]&lt;&gt; 0, NOT(ISBLANK(SamplingData[[#This Row],[Candidate 4]]))),(SamplingData[[#This Row],[Total]]+SamplingData[[#This Row],[Winning Candidate]]-SamplingData[[#This Row],[Candidate 4]])/(SamplingData[[#Totals],[Winning Candidate]]-SamplingData[[#Totals],[Candidate 4]]), 0)</f>
        <v>0</v>
      </c>
      <c r="T196" s="99">
        <f>IF(AND(SamplingData[[#This Row],[Total]]&lt;&gt; 0, NOT(ISBLANK(SamplingData[[#This Row],[Candidate 5]]))),(SamplingData[[#This Row],[Total]]+SamplingData[[#This Row],[Winning Candidate]]-SamplingData[[#This Row],[Candidate 5]])/(SamplingData[[#Totals],[Winning Candidate]]-SamplingData[[#Totals],[Candidate 5]]), 0)</f>
        <v>0</v>
      </c>
      <c r="U196" s="99">
        <f>IF(AND(SamplingData[[#This Row],[Total]]&lt;&gt; 0, NOT(ISBLANK(SamplingData[[#This Row],[Candidate 6]]))),(SamplingData[[#This Row],[Total]]+SamplingData[[#This Row],[Losing Candidate]]-SamplingData[[#This Row],[Candidate 6]])/(SamplingData[[#Totals],[Winning Candidate]]-SamplingData[[#Totals],[Candidate 6]]), 0)</f>
        <v>0</v>
      </c>
      <c r="V196" s="99">
        <f>IF(AND(SamplingData[[#This Row],[Total]]&lt;&gt; 0, NOT(ISBLANK(SamplingData[[#This Row],[Candidate 7]]))),(SamplingData[[#This Row],[Total]]+SamplingData[[#This Row],[Winning Candidate]]-SamplingData[[#This Row],[Candidate 7]])/(SamplingData[[#Totals],[Winning Candidate]]-SamplingData[[#Totals],[Candidate 7]]), 0)</f>
        <v>0</v>
      </c>
      <c r="W196" s="99">
        <f>IF(AND(SamplingData[[#This Row],[Total]]&lt;&gt; 0, NOT(ISBLANK(SamplingData[[#This Row],[Candidate 8]]))),(SamplingData[[#This Row],[Total]]+SamplingData[[#This Row],[Winning Candidate]]-SamplingData[[#This Row],[Candidate 8]])/(SamplingData[[#Totals],[Winning Candidate]]-SamplingData[[#Totals],[Candidate 8]]), 0)</f>
        <v>0</v>
      </c>
      <c r="X1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6" s="99">
        <f>MAX(SamplingData[[#This Row],[Error Bound (up) - Max. possible relative overstatement - Losing Candidate]:[Error Bound (up) - Max. possible relative overstatement - Candidate 12]])</f>
        <v>1.5319979629943982E-2</v>
      </c>
      <c r="AC196" s="99">
        <f>IF(SamplingData[[#This Row],[Max Error Bound (up)]] = 0,0,SamplingData[[#This Row],[Max Error Bound (up)]]/SamplingData[[#Totals],[Max Error Bound (up)]])</f>
        <v>8.2024575562584167E-4</v>
      </c>
      <c r="AD196" s="103">
        <f>SUM($AC$5:AC196)</f>
        <v>0.20284154942378327</v>
      </c>
      <c r="AE196" s="99" t="str" cm="1">
        <f t="array" ref="AE196">IF(SamplingData[[#This Row],[up/U Selection Probability]] = 0, "Zero", TEXT(SamplingData[[#This Row],[Lower Range]], REPT("0",LEN('General Info'!$B$42))) &amp; " - " &amp; TEXT(SamplingData[[#This Row],[Upper Range]], REPT("0",LEN('General Info'!$B$42))))</f>
        <v>202021 - 202841</v>
      </c>
      <c r="AF196" s="99">
        <f>SamplingData[[#This Row],[Upper Range]]-SamplingData[[#This Row],[Span]]</f>
        <v>202021.30366815743</v>
      </c>
      <c r="AG196" s="99">
        <f>IF(ISNUMBER('General Info'!$B$42), ((SamplingData[[#This Row],[up/U Selection Probability]]) * 'General Info'!$B$44) - 1, 0)</f>
        <v>819.24575562584164</v>
      </c>
      <c r="AH196" s="99">
        <f>IF(ISNUMBER('General Info'!$B$42), (SamplingData[[#This Row],[Running (cumulative) sum]] * ('General Info'!$B$42 -'General Info'!$B$43 + 1)) + 'General Info'!$B$43 - 1, 0)</f>
        <v>202840.54942378326</v>
      </c>
      <c r="AI196" s="99" t="str">
        <f>IF(ISERROR(MATCH(SamplingData[[#This Row],[Batch by Type (p)]],SelectedPrecincts[Batch Name], 0)), "", INDEX(SelectedPrecincts[Draw], MATCH(SamplingData[[#This Row],[Batch by Type (p)]],SelectedPrecincts[Batch Name], 0)))</f>
        <v/>
      </c>
      <c r="AJ196" s="100">
        <f>IF(COUNTIF(SelectedPrecincts[Batch Name],SamplingData[[#This Row],[Batch by Type (p)]]) &lt;&gt; 0, COUNTIF(SelectedPrecincts[Batch Name],SamplingData[[#This Row],[Batch by Type (p)]]), 0)</f>
        <v>0</v>
      </c>
    </row>
    <row r="197" spans="1:36" ht="15" customHeight="1" x14ac:dyDescent="0.35">
      <c r="A197" s="97" t="s">
        <v>410</v>
      </c>
      <c r="B197" s="97">
        <v>121</v>
      </c>
      <c r="C197" s="97">
        <v>128</v>
      </c>
      <c r="D197" s="92"/>
      <c r="E197" s="92"/>
      <c r="F197" s="92"/>
      <c r="G197" s="96"/>
      <c r="H197" s="96"/>
      <c r="I197" s="92"/>
      <c r="J197" s="92"/>
      <c r="K197" s="92"/>
      <c r="L197" s="92"/>
      <c r="M197" s="92"/>
      <c r="N197" s="97">
        <v>1</v>
      </c>
      <c r="O197" s="97">
        <v>11</v>
      </c>
      <c r="P197" s="98">
        <f>SUM(SamplingData[[#This Row],[Winning Candidate]:[Under Votes]])</f>
        <v>261</v>
      </c>
      <c r="Q197" s="99">
        <f>IF(AND(SamplingData[[#This Row],[Total]]&lt;&gt; 0, NOT(ISBLANK(SamplingData[[#This Row],[Losing Candidate]]))),(SamplingData[[#This Row],[Total]]+SamplingData[[#This Row],[Winning Candidate]]-SamplingData[[#This Row],[Losing Candidate]])/(SamplingData[[#Totals],[Winning Candidate]]-SamplingData[[#Totals],[Losing Candidate]]), 0)</f>
        <v>1.0779154642675268E-2</v>
      </c>
      <c r="R197" s="99">
        <f>IF(AND(SamplingData[[#This Row],[Total]]&lt;&gt; 0, NOT(ISBLANK(SamplingData[[#This Row],[Candidate 3]]))),(SamplingData[[#This Row],[Total]]+SamplingData[[#This Row],[Winning Candidate]]-SamplingData[[#This Row],[Candidate 3]])/(SamplingData[[#Totals],[Winning Candidate]]-SamplingData[[#Totals],[Candidate 3]]), 0)</f>
        <v>0</v>
      </c>
      <c r="S197" s="99">
        <f>IF(AND(SamplingData[[#This Row],[Total]]&lt;&gt; 0, NOT(ISBLANK(SamplingData[[#This Row],[Candidate 4]]))),(SamplingData[[#This Row],[Total]]+SamplingData[[#This Row],[Winning Candidate]]-SamplingData[[#This Row],[Candidate 4]])/(SamplingData[[#Totals],[Winning Candidate]]-SamplingData[[#Totals],[Candidate 4]]), 0)</f>
        <v>0</v>
      </c>
      <c r="T197" s="99">
        <f>IF(AND(SamplingData[[#This Row],[Total]]&lt;&gt; 0, NOT(ISBLANK(SamplingData[[#This Row],[Candidate 5]]))),(SamplingData[[#This Row],[Total]]+SamplingData[[#This Row],[Winning Candidate]]-SamplingData[[#This Row],[Candidate 5]])/(SamplingData[[#Totals],[Winning Candidate]]-SamplingData[[#Totals],[Candidate 5]]), 0)</f>
        <v>0</v>
      </c>
      <c r="U197" s="99">
        <f>IF(AND(SamplingData[[#This Row],[Total]]&lt;&gt; 0, NOT(ISBLANK(SamplingData[[#This Row],[Candidate 6]]))),(SamplingData[[#This Row],[Total]]+SamplingData[[#This Row],[Losing Candidate]]-SamplingData[[#This Row],[Candidate 6]])/(SamplingData[[#Totals],[Winning Candidate]]-SamplingData[[#Totals],[Candidate 6]]), 0)</f>
        <v>0</v>
      </c>
      <c r="V197" s="99">
        <f>IF(AND(SamplingData[[#This Row],[Total]]&lt;&gt; 0, NOT(ISBLANK(SamplingData[[#This Row],[Candidate 7]]))),(SamplingData[[#This Row],[Total]]+SamplingData[[#This Row],[Winning Candidate]]-SamplingData[[#This Row],[Candidate 7]])/(SamplingData[[#Totals],[Winning Candidate]]-SamplingData[[#Totals],[Candidate 7]]), 0)</f>
        <v>0</v>
      </c>
      <c r="W197" s="99">
        <f>IF(AND(SamplingData[[#This Row],[Total]]&lt;&gt; 0, NOT(ISBLANK(SamplingData[[#This Row],[Candidate 8]]))),(SamplingData[[#This Row],[Total]]+SamplingData[[#This Row],[Winning Candidate]]-SamplingData[[#This Row],[Candidate 8]])/(SamplingData[[#Totals],[Winning Candidate]]-SamplingData[[#Totals],[Candidate 8]]), 0)</f>
        <v>0</v>
      </c>
      <c r="X1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7" s="99">
        <f>MAX(SamplingData[[#This Row],[Error Bound (up) - Max. possible relative overstatement - Losing Candidate]:[Error Bound (up) - Max. possible relative overstatement - Candidate 12]])</f>
        <v>1.0779154642675268E-2</v>
      </c>
      <c r="AC197" s="99">
        <f>IF(SamplingData[[#This Row],[Max Error Bound (up)]] = 0,0,SamplingData[[#This Row],[Max Error Bound (up)]]/SamplingData[[#Totals],[Max Error Bound (up)]])</f>
        <v>5.771258225179053E-4</v>
      </c>
      <c r="AD197" s="103">
        <f>SUM($AC$5:AC197)</f>
        <v>0.20341867524630117</v>
      </c>
      <c r="AE197" s="99" t="str" cm="1">
        <f t="array" ref="AE197">IF(SamplingData[[#This Row],[up/U Selection Probability]] = 0, "Zero", TEXT(SamplingData[[#This Row],[Lower Range]], REPT("0",LEN('General Info'!$B$42))) &amp; " - " &amp; TEXT(SamplingData[[#This Row],[Upper Range]], REPT("0",LEN('General Info'!$B$42))))</f>
        <v>202842 - 203418</v>
      </c>
      <c r="AF197" s="99">
        <f>SamplingData[[#This Row],[Upper Range]]-SamplingData[[#This Row],[Span]]</f>
        <v>202841.54942378326</v>
      </c>
      <c r="AG197" s="99">
        <f>IF(ISNUMBER('General Info'!$B$42), ((SamplingData[[#This Row],[up/U Selection Probability]]) * 'General Info'!$B$44) - 1, 0)</f>
        <v>576.12582251790525</v>
      </c>
      <c r="AH197" s="99">
        <f>IF(ISNUMBER('General Info'!$B$42), (SamplingData[[#This Row],[Running (cumulative) sum]] * ('General Info'!$B$42 -'General Info'!$B$43 + 1)) + 'General Info'!$B$43 - 1, 0)</f>
        <v>203417.67524630117</v>
      </c>
      <c r="AI197" s="99" t="str">
        <f>IF(ISERROR(MATCH(SamplingData[[#This Row],[Batch by Type (p)]],SelectedPrecincts[Batch Name], 0)), "", INDEX(SelectedPrecincts[Draw], MATCH(SamplingData[[#This Row],[Batch by Type (p)]],SelectedPrecincts[Batch Name], 0)))</f>
        <v/>
      </c>
      <c r="AJ197" s="100">
        <f>IF(COUNTIF(SelectedPrecincts[Batch Name],SamplingData[[#This Row],[Batch by Type (p)]]) &lt;&gt; 0, COUNTIF(SelectedPrecincts[Batch Name],SamplingData[[#This Row],[Batch by Type (p)]]), 0)</f>
        <v>0</v>
      </c>
    </row>
    <row r="198" spans="1:36" ht="15" customHeight="1" x14ac:dyDescent="0.35">
      <c r="A198" s="97" t="s">
        <v>411</v>
      </c>
      <c r="B198" s="97">
        <v>127</v>
      </c>
      <c r="C198" s="97">
        <v>103</v>
      </c>
      <c r="D198" s="92"/>
      <c r="E198" s="92"/>
      <c r="F198" s="92"/>
      <c r="G198" s="96"/>
      <c r="H198" s="96"/>
      <c r="I198" s="92"/>
      <c r="J198" s="92"/>
      <c r="K198" s="92"/>
      <c r="L198" s="92"/>
      <c r="M198" s="92"/>
      <c r="N198" s="97">
        <v>0</v>
      </c>
      <c r="O198" s="97">
        <v>17</v>
      </c>
      <c r="P198" s="98">
        <f>SUM(SamplingData[[#This Row],[Winning Candidate]:[Under Votes]])</f>
        <v>247</v>
      </c>
      <c r="Q198" s="99">
        <f>IF(AND(SamplingData[[#This Row],[Total]]&lt;&gt; 0, NOT(ISBLANK(SamplingData[[#This Row],[Losing Candidate]]))),(SamplingData[[#This Row],[Total]]+SamplingData[[#This Row],[Winning Candidate]]-SamplingData[[#This Row],[Losing Candidate]])/(SamplingData[[#Totals],[Winning Candidate]]-SamplingData[[#Totals],[Losing Candidate]]), 0)</f>
        <v>1.1500594126633849E-2</v>
      </c>
      <c r="R198" s="99">
        <f>IF(AND(SamplingData[[#This Row],[Total]]&lt;&gt; 0, NOT(ISBLANK(SamplingData[[#This Row],[Candidate 3]]))),(SamplingData[[#This Row],[Total]]+SamplingData[[#This Row],[Winning Candidate]]-SamplingData[[#This Row],[Candidate 3]])/(SamplingData[[#Totals],[Winning Candidate]]-SamplingData[[#Totals],[Candidate 3]]), 0)</f>
        <v>0</v>
      </c>
      <c r="S198" s="99">
        <f>IF(AND(SamplingData[[#This Row],[Total]]&lt;&gt; 0, NOT(ISBLANK(SamplingData[[#This Row],[Candidate 4]]))),(SamplingData[[#This Row],[Total]]+SamplingData[[#This Row],[Winning Candidate]]-SamplingData[[#This Row],[Candidate 4]])/(SamplingData[[#Totals],[Winning Candidate]]-SamplingData[[#Totals],[Candidate 4]]), 0)</f>
        <v>0</v>
      </c>
      <c r="T198" s="99">
        <f>IF(AND(SamplingData[[#This Row],[Total]]&lt;&gt; 0, NOT(ISBLANK(SamplingData[[#This Row],[Candidate 5]]))),(SamplingData[[#This Row],[Total]]+SamplingData[[#This Row],[Winning Candidate]]-SamplingData[[#This Row],[Candidate 5]])/(SamplingData[[#Totals],[Winning Candidate]]-SamplingData[[#Totals],[Candidate 5]]), 0)</f>
        <v>0</v>
      </c>
      <c r="U198" s="99">
        <f>IF(AND(SamplingData[[#This Row],[Total]]&lt;&gt; 0, NOT(ISBLANK(SamplingData[[#This Row],[Candidate 6]]))),(SamplingData[[#This Row],[Total]]+SamplingData[[#This Row],[Losing Candidate]]-SamplingData[[#This Row],[Candidate 6]])/(SamplingData[[#Totals],[Winning Candidate]]-SamplingData[[#Totals],[Candidate 6]]), 0)</f>
        <v>0</v>
      </c>
      <c r="V198" s="99">
        <f>IF(AND(SamplingData[[#This Row],[Total]]&lt;&gt; 0, NOT(ISBLANK(SamplingData[[#This Row],[Candidate 7]]))),(SamplingData[[#This Row],[Total]]+SamplingData[[#This Row],[Winning Candidate]]-SamplingData[[#This Row],[Candidate 7]])/(SamplingData[[#Totals],[Winning Candidate]]-SamplingData[[#Totals],[Candidate 7]]), 0)</f>
        <v>0</v>
      </c>
      <c r="W198" s="99">
        <f>IF(AND(SamplingData[[#This Row],[Total]]&lt;&gt; 0, NOT(ISBLANK(SamplingData[[#This Row],[Candidate 8]]))),(SamplingData[[#This Row],[Total]]+SamplingData[[#This Row],[Winning Candidate]]-SamplingData[[#This Row],[Candidate 8]])/(SamplingData[[#Totals],[Winning Candidate]]-SamplingData[[#Totals],[Candidate 8]]), 0)</f>
        <v>0</v>
      </c>
      <c r="X1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8" s="99">
        <f>MAX(SamplingData[[#This Row],[Error Bound (up) - Max. possible relative overstatement - Losing Candidate]:[Error Bound (up) - Max. possible relative overstatement - Candidate 12]])</f>
        <v>1.1500594126633849E-2</v>
      </c>
      <c r="AC198" s="99">
        <f>IF(SamplingData[[#This Row],[Max Error Bound (up)]] = 0,0,SamplingData[[#This Row],[Max Error Bound (up)]]/SamplingData[[#Totals],[Max Error Bound (up)]])</f>
        <v>6.15752353946269E-4</v>
      </c>
      <c r="AD198" s="103">
        <f>SUM($AC$5:AC198)</f>
        <v>0.20403442760024743</v>
      </c>
      <c r="AE198" s="99" t="str" cm="1">
        <f t="array" ref="AE198">IF(SamplingData[[#This Row],[up/U Selection Probability]] = 0, "Zero", TEXT(SamplingData[[#This Row],[Lower Range]], REPT("0",LEN('General Info'!$B$42))) &amp; " - " &amp; TEXT(SamplingData[[#This Row],[Upper Range]], REPT("0",LEN('General Info'!$B$42))))</f>
        <v>203419 - 204033</v>
      </c>
      <c r="AF198" s="99">
        <f>SamplingData[[#This Row],[Upper Range]]-SamplingData[[#This Row],[Span]]</f>
        <v>203418.67524630117</v>
      </c>
      <c r="AG198" s="99">
        <f>IF(ISNUMBER('General Info'!$B$42), ((SamplingData[[#This Row],[up/U Selection Probability]]) * 'General Info'!$B$44) - 1, 0)</f>
        <v>614.75235394626895</v>
      </c>
      <c r="AH198" s="99">
        <f>IF(ISNUMBER('General Info'!$B$42), (SamplingData[[#This Row],[Running (cumulative) sum]] * ('General Info'!$B$42 -'General Info'!$B$43 + 1)) + 'General Info'!$B$43 - 1, 0)</f>
        <v>204033.42760024744</v>
      </c>
      <c r="AI198" s="99" t="str">
        <f>IF(ISERROR(MATCH(SamplingData[[#This Row],[Batch by Type (p)]],SelectedPrecincts[Batch Name], 0)), "", INDEX(SelectedPrecincts[Draw], MATCH(SamplingData[[#This Row],[Batch by Type (p)]],SelectedPrecincts[Batch Name], 0)))</f>
        <v/>
      </c>
      <c r="AJ198" s="100">
        <f>IF(COUNTIF(SelectedPrecincts[Batch Name],SamplingData[[#This Row],[Batch by Type (p)]]) &lt;&gt; 0, COUNTIF(SelectedPrecincts[Batch Name],SamplingData[[#This Row],[Batch by Type (p)]]), 0)</f>
        <v>0</v>
      </c>
    </row>
    <row r="199" spans="1:36" ht="15" customHeight="1" x14ac:dyDescent="0.35">
      <c r="A199" s="97" t="s">
        <v>412</v>
      </c>
      <c r="B199" s="97">
        <v>271</v>
      </c>
      <c r="C199" s="97">
        <v>170</v>
      </c>
      <c r="D199" s="92"/>
      <c r="E199" s="92"/>
      <c r="F199" s="92"/>
      <c r="G199" s="96"/>
      <c r="H199" s="96"/>
      <c r="I199" s="92"/>
      <c r="J199" s="92"/>
      <c r="K199" s="92"/>
      <c r="L199" s="92"/>
      <c r="M199" s="92"/>
      <c r="N199" s="97">
        <v>0</v>
      </c>
      <c r="O199" s="97">
        <v>16</v>
      </c>
      <c r="P199" s="98">
        <f>SUM(SamplingData[[#This Row],[Winning Candidate]:[Under Votes]])</f>
        <v>457</v>
      </c>
      <c r="Q199" s="99">
        <f>IF(AND(SamplingData[[#This Row],[Total]]&lt;&gt; 0, NOT(ISBLANK(SamplingData[[#This Row],[Losing Candidate]]))),(SamplingData[[#This Row],[Total]]+SamplingData[[#This Row],[Winning Candidate]]-SamplingData[[#This Row],[Losing Candidate]])/(SamplingData[[#Totals],[Winning Candidate]]-SamplingData[[#Totals],[Losing Candidate]]), 0)</f>
        <v>2.3680190120522832E-2</v>
      </c>
      <c r="R199" s="99">
        <f>IF(AND(SamplingData[[#This Row],[Total]]&lt;&gt; 0, NOT(ISBLANK(SamplingData[[#This Row],[Candidate 3]]))),(SamplingData[[#This Row],[Total]]+SamplingData[[#This Row],[Winning Candidate]]-SamplingData[[#This Row],[Candidate 3]])/(SamplingData[[#Totals],[Winning Candidate]]-SamplingData[[#Totals],[Candidate 3]]), 0)</f>
        <v>0</v>
      </c>
      <c r="S199" s="99">
        <f>IF(AND(SamplingData[[#This Row],[Total]]&lt;&gt; 0, NOT(ISBLANK(SamplingData[[#This Row],[Candidate 4]]))),(SamplingData[[#This Row],[Total]]+SamplingData[[#This Row],[Winning Candidate]]-SamplingData[[#This Row],[Candidate 4]])/(SamplingData[[#Totals],[Winning Candidate]]-SamplingData[[#Totals],[Candidate 4]]), 0)</f>
        <v>0</v>
      </c>
      <c r="T199" s="99">
        <f>IF(AND(SamplingData[[#This Row],[Total]]&lt;&gt; 0, NOT(ISBLANK(SamplingData[[#This Row],[Candidate 5]]))),(SamplingData[[#This Row],[Total]]+SamplingData[[#This Row],[Winning Candidate]]-SamplingData[[#This Row],[Candidate 5]])/(SamplingData[[#Totals],[Winning Candidate]]-SamplingData[[#Totals],[Candidate 5]]), 0)</f>
        <v>0</v>
      </c>
      <c r="U199" s="99">
        <f>IF(AND(SamplingData[[#This Row],[Total]]&lt;&gt; 0, NOT(ISBLANK(SamplingData[[#This Row],[Candidate 6]]))),(SamplingData[[#This Row],[Total]]+SamplingData[[#This Row],[Losing Candidate]]-SamplingData[[#This Row],[Candidate 6]])/(SamplingData[[#Totals],[Winning Candidate]]-SamplingData[[#Totals],[Candidate 6]]), 0)</f>
        <v>0</v>
      </c>
      <c r="V199" s="99">
        <f>IF(AND(SamplingData[[#This Row],[Total]]&lt;&gt; 0, NOT(ISBLANK(SamplingData[[#This Row],[Candidate 7]]))),(SamplingData[[#This Row],[Total]]+SamplingData[[#This Row],[Winning Candidate]]-SamplingData[[#This Row],[Candidate 7]])/(SamplingData[[#Totals],[Winning Candidate]]-SamplingData[[#Totals],[Candidate 7]]), 0)</f>
        <v>0</v>
      </c>
      <c r="W199" s="99">
        <f>IF(AND(SamplingData[[#This Row],[Total]]&lt;&gt; 0, NOT(ISBLANK(SamplingData[[#This Row],[Candidate 8]]))),(SamplingData[[#This Row],[Total]]+SamplingData[[#This Row],[Winning Candidate]]-SamplingData[[#This Row],[Candidate 8]])/(SamplingData[[#Totals],[Winning Candidate]]-SamplingData[[#Totals],[Candidate 8]]), 0)</f>
        <v>0</v>
      </c>
      <c r="X1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9" s="99">
        <f>MAX(SamplingData[[#This Row],[Error Bound (up) - Max. possible relative overstatement - Losing Candidate]:[Error Bound (up) - Max. possible relative overstatement - Candidate 12]])</f>
        <v>2.3680190120522832E-2</v>
      </c>
      <c r="AC199" s="99">
        <f>IF(SamplingData[[#This Row],[Max Error Bound (up)]] = 0,0,SamplingData[[#This Row],[Max Error Bound (up)]]/SamplingData[[#Totals],[Max Error Bound (up)]])</f>
        <v>1.2678590904133509E-3</v>
      </c>
      <c r="AD199" s="103">
        <f>SUM($AC$5:AC199)</f>
        <v>0.20530228669066078</v>
      </c>
      <c r="AE199" s="99" t="str" cm="1">
        <f t="array" ref="AE199">IF(SamplingData[[#This Row],[up/U Selection Probability]] = 0, "Zero", TEXT(SamplingData[[#This Row],[Lower Range]], REPT("0",LEN('General Info'!$B$42))) &amp; " - " &amp; TEXT(SamplingData[[#This Row],[Upper Range]], REPT("0",LEN('General Info'!$B$42))))</f>
        <v>204034 - 205301</v>
      </c>
      <c r="AF199" s="99">
        <f>SamplingData[[#This Row],[Upper Range]]-SamplingData[[#This Row],[Span]]</f>
        <v>204034.42760024744</v>
      </c>
      <c r="AG199" s="99">
        <f>IF(ISNUMBER('General Info'!$B$42), ((SamplingData[[#This Row],[up/U Selection Probability]]) * 'General Info'!$B$44) - 1, 0)</f>
        <v>1266.8590904133509</v>
      </c>
      <c r="AH199" s="99">
        <f>IF(ISNUMBER('General Info'!$B$42), (SamplingData[[#This Row],[Running (cumulative) sum]] * ('General Info'!$B$42 -'General Info'!$B$43 + 1)) + 'General Info'!$B$43 - 1, 0)</f>
        <v>205301.28669066078</v>
      </c>
      <c r="AI199" s="99">
        <f>IF(ISERROR(MATCH(SamplingData[[#This Row],[Batch by Type (p)]],SelectedPrecincts[Batch Name], 0)), "", INDEX(SelectedPrecincts[Draw], MATCH(SamplingData[[#This Row],[Batch by Type (p)]],SelectedPrecincts[Batch Name], 0)))</f>
        <v>41</v>
      </c>
      <c r="AJ199" s="100">
        <f>IF(COUNTIF(SelectedPrecincts[Batch Name],SamplingData[[#This Row],[Batch by Type (p)]]) &lt;&gt; 0, COUNTIF(SelectedPrecincts[Batch Name],SamplingData[[#This Row],[Batch by Type (p)]]), 0)</f>
        <v>1</v>
      </c>
    </row>
    <row r="200" spans="1:36" ht="15" customHeight="1" x14ac:dyDescent="0.35">
      <c r="A200" s="97" t="s">
        <v>413</v>
      </c>
      <c r="B200" s="97">
        <v>238</v>
      </c>
      <c r="C200" s="97">
        <v>161</v>
      </c>
      <c r="D200" s="92"/>
      <c r="E200" s="92"/>
      <c r="F200" s="92"/>
      <c r="G200" s="96"/>
      <c r="H200" s="96"/>
      <c r="I200" s="92"/>
      <c r="J200" s="92"/>
      <c r="K200" s="92"/>
      <c r="L200" s="92"/>
      <c r="M200" s="92"/>
      <c r="N200" s="97">
        <v>0</v>
      </c>
      <c r="O200" s="97">
        <v>22</v>
      </c>
      <c r="P200" s="98">
        <f>SUM(SamplingData[[#This Row],[Winning Candidate]:[Under Votes]])</f>
        <v>421</v>
      </c>
      <c r="Q200" s="99">
        <f>IF(AND(SamplingData[[#This Row],[Total]]&lt;&gt; 0, NOT(ISBLANK(SamplingData[[#This Row],[Losing Candidate]]))),(SamplingData[[#This Row],[Total]]+SamplingData[[#This Row],[Winning Candidate]]-SamplingData[[#This Row],[Losing Candidate]])/(SamplingData[[#Totals],[Winning Candidate]]-SamplingData[[#Totals],[Losing Candidate]]), 0)</f>
        <v>2.1133933118316076E-2</v>
      </c>
      <c r="R200" s="99">
        <f>IF(AND(SamplingData[[#This Row],[Total]]&lt;&gt; 0, NOT(ISBLANK(SamplingData[[#This Row],[Candidate 3]]))),(SamplingData[[#This Row],[Total]]+SamplingData[[#This Row],[Winning Candidate]]-SamplingData[[#This Row],[Candidate 3]])/(SamplingData[[#Totals],[Winning Candidate]]-SamplingData[[#Totals],[Candidate 3]]), 0)</f>
        <v>0</v>
      </c>
      <c r="S200" s="99">
        <f>IF(AND(SamplingData[[#This Row],[Total]]&lt;&gt; 0, NOT(ISBLANK(SamplingData[[#This Row],[Candidate 4]]))),(SamplingData[[#This Row],[Total]]+SamplingData[[#This Row],[Winning Candidate]]-SamplingData[[#This Row],[Candidate 4]])/(SamplingData[[#Totals],[Winning Candidate]]-SamplingData[[#Totals],[Candidate 4]]), 0)</f>
        <v>0</v>
      </c>
      <c r="T200" s="99">
        <f>IF(AND(SamplingData[[#This Row],[Total]]&lt;&gt; 0, NOT(ISBLANK(SamplingData[[#This Row],[Candidate 5]]))),(SamplingData[[#This Row],[Total]]+SamplingData[[#This Row],[Winning Candidate]]-SamplingData[[#This Row],[Candidate 5]])/(SamplingData[[#Totals],[Winning Candidate]]-SamplingData[[#Totals],[Candidate 5]]), 0)</f>
        <v>0</v>
      </c>
      <c r="U200" s="99">
        <f>IF(AND(SamplingData[[#This Row],[Total]]&lt;&gt; 0, NOT(ISBLANK(SamplingData[[#This Row],[Candidate 6]]))),(SamplingData[[#This Row],[Total]]+SamplingData[[#This Row],[Losing Candidate]]-SamplingData[[#This Row],[Candidate 6]])/(SamplingData[[#Totals],[Winning Candidate]]-SamplingData[[#Totals],[Candidate 6]]), 0)</f>
        <v>0</v>
      </c>
      <c r="V200" s="99">
        <f>IF(AND(SamplingData[[#This Row],[Total]]&lt;&gt; 0, NOT(ISBLANK(SamplingData[[#This Row],[Candidate 7]]))),(SamplingData[[#This Row],[Total]]+SamplingData[[#This Row],[Winning Candidate]]-SamplingData[[#This Row],[Candidate 7]])/(SamplingData[[#Totals],[Winning Candidate]]-SamplingData[[#Totals],[Candidate 7]]), 0)</f>
        <v>0</v>
      </c>
      <c r="W200" s="99">
        <f>IF(AND(SamplingData[[#This Row],[Total]]&lt;&gt; 0, NOT(ISBLANK(SamplingData[[#This Row],[Candidate 8]]))),(SamplingData[[#This Row],[Total]]+SamplingData[[#This Row],[Winning Candidate]]-SamplingData[[#This Row],[Candidate 8]])/(SamplingData[[#Totals],[Winning Candidate]]-SamplingData[[#Totals],[Candidate 8]]), 0)</f>
        <v>0</v>
      </c>
      <c r="X2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0" s="99">
        <f>MAX(SamplingData[[#This Row],[Error Bound (up) - Max. possible relative overstatement - Losing Candidate]:[Error Bound (up) - Max. possible relative overstatement - Candidate 12]])</f>
        <v>2.1133933118316076E-2</v>
      </c>
      <c r="AC200" s="99">
        <f>IF(SamplingData[[#This Row],[Max Error Bound (up)]] = 0,0,SamplingData[[#This Row],[Max Error Bound (up)]]/SamplingData[[#Totals],[Max Error Bound (up)]])</f>
        <v>1.1315301559603026E-3</v>
      </c>
      <c r="AD200" s="103">
        <f>SUM($AC$5:AC200)</f>
        <v>0.20643381684662107</v>
      </c>
      <c r="AE200" s="99" t="str" cm="1">
        <f t="array" ref="AE200">IF(SamplingData[[#This Row],[up/U Selection Probability]] = 0, "Zero", TEXT(SamplingData[[#This Row],[Lower Range]], REPT("0",LEN('General Info'!$B$42))) &amp; " - " &amp; TEXT(SamplingData[[#This Row],[Upper Range]], REPT("0",LEN('General Info'!$B$42))))</f>
        <v>205302 - 206433</v>
      </c>
      <c r="AF200" s="99">
        <f>SamplingData[[#This Row],[Upper Range]]-SamplingData[[#This Row],[Span]]</f>
        <v>205302.28669066078</v>
      </c>
      <c r="AG200" s="99">
        <f>IF(ISNUMBER('General Info'!$B$42), ((SamplingData[[#This Row],[up/U Selection Probability]]) * 'General Info'!$B$44) - 1, 0)</f>
        <v>1130.5301559603026</v>
      </c>
      <c r="AH200" s="99">
        <f>IF(ISNUMBER('General Info'!$B$42), (SamplingData[[#This Row],[Running (cumulative) sum]] * ('General Info'!$B$42 -'General Info'!$B$43 + 1)) + 'General Info'!$B$43 - 1, 0)</f>
        <v>206432.81684662108</v>
      </c>
      <c r="AI200" s="99" t="str">
        <f>IF(ISERROR(MATCH(SamplingData[[#This Row],[Batch by Type (p)]],SelectedPrecincts[Batch Name], 0)), "", INDEX(SelectedPrecincts[Draw], MATCH(SamplingData[[#This Row],[Batch by Type (p)]],SelectedPrecincts[Batch Name], 0)))</f>
        <v/>
      </c>
      <c r="AJ200" s="100">
        <f>IF(COUNTIF(SelectedPrecincts[Batch Name],SamplingData[[#This Row],[Batch by Type (p)]]) &lt;&gt; 0, COUNTIF(SelectedPrecincts[Batch Name],SamplingData[[#This Row],[Batch by Type (p)]]), 0)</f>
        <v>0</v>
      </c>
    </row>
    <row r="201" spans="1:36" ht="15" customHeight="1" x14ac:dyDescent="0.35">
      <c r="A201" s="97" t="s">
        <v>414</v>
      </c>
      <c r="B201" s="97">
        <v>169</v>
      </c>
      <c r="C201" s="97">
        <v>110</v>
      </c>
      <c r="D201" s="92"/>
      <c r="E201" s="92"/>
      <c r="F201" s="92"/>
      <c r="G201" s="96"/>
      <c r="H201" s="96"/>
      <c r="I201" s="92"/>
      <c r="J201" s="92"/>
      <c r="K201" s="92"/>
      <c r="L201" s="92"/>
      <c r="M201" s="92"/>
      <c r="N201" s="97">
        <v>1</v>
      </c>
      <c r="O201" s="97">
        <v>9</v>
      </c>
      <c r="P201" s="98">
        <f>SUM(SamplingData[[#This Row],[Winning Candidate]:[Under Votes]])</f>
        <v>289</v>
      </c>
      <c r="Q201" s="99">
        <f>IF(AND(SamplingData[[#This Row],[Total]]&lt;&gt; 0, NOT(ISBLANK(SamplingData[[#This Row],[Losing Candidate]]))),(SamplingData[[#This Row],[Total]]+SamplingData[[#This Row],[Winning Candidate]]-SamplingData[[#This Row],[Losing Candidate]])/(SamplingData[[#Totals],[Winning Candidate]]-SamplingData[[#Totals],[Losing Candidate]]), 0)</f>
        <v>1.4768290612799185E-2</v>
      </c>
      <c r="R201" s="99">
        <f>IF(AND(SamplingData[[#This Row],[Total]]&lt;&gt; 0, NOT(ISBLANK(SamplingData[[#This Row],[Candidate 3]]))),(SamplingData[[#This Row],[Total]]+SamplingData[[#This Row],[Winning Candidate]]-SamplingData[[#This Row],[Candidate 3]])/(SamplingData[[#Totals],[Winning Candidate]]-SamplingData[[#Totals],[Candidate 3]]), 0)</f>
        <v>0</v>
      </c>
      <c r="S201" s="99">
        <f>IF(AND(SamplingData[[#This Row],[Total]]&lt;&gt; 0, NOT(ISBLANK(SamplingData[[#This Row],[Candidate 4]]))),(SamplingData[[#This Row],[Total]]+SamplingData[[#This Row],[Winning Candidate]]-SamplingData[[#This Row],[Candidate 4]])/(SamplingData[[#Totals],[Winning Candidate]]-SamplingData[[#Totals],[Candidate 4]]), 0)</f>
        <v>0</v>
      </c>
      <c r="T201" s="99">
        <f>IF(AND(SamplingData[[#This Row],[Total]]&lt;&gt; 0, NOT(ISBLANK(SamplingData[[#This Row],[Candidate 5]]))),(SamplingData[[#This Row],[Total]]+SamplingData[[#This Row],[Winning Candidate]]-SamplingData[[#This Row],[Candidate 5]])/(SamplingData[[#Totals],[Winning Candidate]]-SamplingData[[#Totals],[Candidate 5]]), 0)</f>
        <v>0</v>
      </c>
      <c r="U201" s="99">
        <f>IF(AND(SamplingData[[#This Row],[Total]]&lt;&gt; 0, NOT(ISBLANK(SamplingData[[#This Row],[Candidate 6]]))),(SamplingData[[#This Row],[Total]]+SamplingData[[#This Row],[Losing Candidate]]-SamplingData[[#This Row],[Candidate 6]])/(SamplingData[[#Totals],[Winning Candidate]]-SamplingData[[#Totals],[Candidate 6]]), 0)</f>
        <v>0</v>
      </c>
      <c r="V201" s="99">
        <f>IF(AND(SamplingData[[#This Row],[Total]]&lt;&gt; 0, NOT(ISBLANK(SamplingData[[#This Row],[Candidate 7]]))),(SamplingData[[#This Row],[Total]]+SamplingData[[#This Row],[Winning Candidate]]-SamplingData[[#This Row],[Candidate 7]])/(SamplingData[[#Totals],[Winning Candidate]]-SamplingData[[#Totals],[Candidate 7]]), 0)</f>
        <v>0</v>
      </c>
      <c r="W201" s="99">
        <f>IF(AND(SamplingData[[#This Row],[Total]]&lt;&gt; 0, NOT(ISBLANK(SamplingData[[#This Row],[Candidate 8]]))),(SamplingData[[#This Row],[Total]]+SamplingData[[#This Row],[Winning Candidate]]-SamplingData[[#This Row],[Candidate 8]])/(SamplingData[[#Totals],[Winning Candidate]]-SamplingData[[#Totals],[Candidate 8]]), 0)</f>
        <v>0</v>
      </c>
      <c r="X2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1" s="99">
        <f>MAX(SamplingData[[#This Row],[Error Bound (up) - Max. possible relative overstatement - Losing Candidate]:[Error Bound (up) - Max. possible relative overstatement - Candidate 12]])</f>
        <v>1.4768290612799185E-2</v>
      </c>
      <c r="AC201" s="99">
        <f>IF(SamplingData[[#This Row],[Max Error Bound (up)]] = 0,0,SamplingData[[#This Row],[Max Error Bound (up)]]/SamplingData[[#Totals],[Max Error Bound (up)]])</f>
        <v>7.907078198276812E-4</v>
      </c>
      <c r="AD201" s="103">
        <f>SUM($AC$5:AC201)</f>
        <v>0.20722452466644875</v>
      </c>
      <c r="AE201" s="99" t="str" cm="1">
        <f t="array" ref="AE201">IF(SamplingData[[#This Row],[up/U Selection Probability]] = 0, "Zero", TEXT(SamplingData[[#This Row],[Lower Range]], REPT("0",LEN('General Info'!$B$42))) &amp; " - " &amp; TEXT(SamplingData[[#This Row],[Upper Range]], REPT("0",LEN('General Info'!$B$42))))</f>
        <v>206434 - 207224</v>
      </c>
      <c r="AF201" s="99">
        <f>SamplingData[[#This Row],[Upper Range]]-SamplingData[[#This Row],[Span]]</f>
        <v>206433.81684662108</v>
      </c>
      <c r="AG201" s="99">
        <f>IF(ISNUMBER('General Info'!$B$42), ((SamplingData[[#This Row],[up/U Selection Probability]]) * 'General Info'!$B$44) - 1, 0)</f>
        <v>789.70781982768119</v>
      </c>
      <c r="AH201" s="99">
        <f>IF(ISNUMBER('General Info'!$B$42), (SamplingData[[#This Row],[Running (cumulative) sum]] * ('General Info'!$B$42 -'General Info'!$B$43 + 1)) + 'General Info'!$B$43 - 1, 0)</f>
        <v>207223.52466644876</v>
      </c>
      <c r="AI201" s="99" t="str">
        <f>IF(ISERROR(MATCH(SamplingData[[#This Row],[Batch by Type (p)]],SelectedPrecincts[Batch Name], 0)), "", INDEX(SelectedPrecincts[Draw], MATCH(SamplingData[[#This Row],[Batch by Type (p)]],SelectedPrecincts[Batch Name], 0)))</f>
        <v/>
      </c>
      <c r="AJ201" s="100">
        <f>IF(COUNTIF(SelectedPrecincts[Batch Name],SamplingData[[#This Row],[Batch by Type (p)]]) &lt;&gt; 0, COUNTIF(SelectedPrecincts[Batch Name],SamplingData[[#This Row],[Batch by Type (p)]]), 0)</f>
        <v>0</v>
      </c>
    </row>
    <row r="202" spans="1:36" ht="15" customHeight="1" x14ac:dyDescent="0.35">
      <c r="A202" s="97" t="s">
        <v>415</v>
      </c>
      <c r="B202" s="97">
        <v>152</v>
      </c>
      <c r="C202" s="97">
        <v>84</v>
      </c>
      <c r="D202" s="92"/>
      <c r="E202" s="92"/>
      <c r="F202" s="92"/>
      <c r="G202" s="96"/>
      <c r="H202" s="96"/>
      <c r="I202" s="92"/>
      <c r="J202" s="92"/>
      <c r="K202" s="92"/>
      <c r="L202" s="92"/>
      <c r="M202" s="92"/>
      <c r="N202" s="97">
        <v>0</v>
      </c>
      <c r="O202" s="97">
        <v>14</v>
      </c>
      <c r="P202" s="98">
        <f>SUM(SamplingData[[#This Row],[Winning Candidate]:[Under Votes]])</f>
        <v>250</v>
      </c>
      <c r="Q202" s="99">
        <f>IF(AND(SamplingData[[#This Row],[Total]]&lt;&gt; 0, NOT(ISBLANK(SamplingData[[#This Row],[Losing Candidate]]))),(SamplingData[[#This Row],[Total]]+SamplingData[[#This Row],[Winning Candidate]]-SamplingData[[#This Row],[Losing Candidate]])/(SamplingData[[#Totals],[Winning Candidate]]-SamplingData[[#Totals],[Losing Candidate]]), 0)</f>
        <v>1.3495162111695807E-2</v>
      </c>
      <c r="R202" s="99">
        <f>IF(AND(SamplingData[[#This Row],[Total]]&lt;&gt; 0, NOT(ISBLANK(SamplingData[[#This Row],[Candidate 3]]))),(SamplingData[[#This Row],[Total]]+SamplingData[[#This Row],[Winning Candidate]]-SamplingData[[#This Row],[Candidate 3]])/(SamplingData[[#Totals],[Winning Candidate]]-SamplingData[[#Totals],[Candidate 3]]), 0)</f>
        <v>0</v>
      </c>
      <c r="S202" s="99">
        <f>IF(AND(SamplingData[[#This Row],[Total]]&lt;&gt; 0, NOT(ISBLANK(SamplingData[[#This Row],[Candidate 4]]))),(SamplingData[[#This Row],[Total]]+SamplingData[[#This Row],[Winning Candidate]]-SamplingData[[#This Row],[Candidate 4]])/(SamplingData[[#Totals],[Winning Candidate]]-SamplingData[[#Totals],[Candidate 4]]), 0)</f>
        <v>0</v>
      </c>
      <c r="T202" s="99">
        <f>IF(AND(SamplingData[[#This Row],[Total]]&lt;&gt; 0, NOT(ISBLANK(SamplingData[[#This Row],[Candidate 5]]))),(SamplingData[[#This Row],[Total]]+SamplingData[[#This Row],[Winning Candidate]]-SamplingData[[#This Row],[Candidate 5]])/(SamplingData[[#Totals],[Winning Candidate]]-SamplingData[[#Totals],[Candidate 5]]), 0)</f>
        <v>0</v>
      </c>
      <c r="U202" s="99">
        <f>IF(AND(SamplingData[[#This Row],[Total]]&lt;&gt; 0, NOT(ISBLANK(SamplingData[[#This Row],[Candidate 6]]))),(SamplingData[[#This Row],[Total]]+SamplingData[[#This Row],[Losing Candidate]]-SamplingData[[#This Row],[Candidate 6]])/(SamplingData[[#Totals],[Winning Candidate]]-SamplingData[[#Totals],[Candidate 6]]), 0)</f>
        <v>0</v>
      </c>
      <c r="V202" s="99">
        <f>IF(AND(SamplingData[[#This Row],[Total]]&lt;&gt; 0, NOT(ISBLANK(SamplingData[[#This Row],[Candidate 7]]))),(SamplingData[[#This Row],[Total]]+SamplingData[[#This Row],[Winning Candidate]]-SamplingData[[#This Row],[Candidate 7]])/(SamplingData[[#Totals],[Winning Candidate]]-SamplingData[[#Totals],[Candidate 7]]), 0)</f>
        <v>0</v>
      </c>
      <c r="W202" s="99">
        <f>IF(AND(SamplingData[[#This Row],[Total]]&lt;&gt; 0, NOT(ISBLANK(SamplingData[[#This Row],[Candidate 8]]))),(SamplingData[[#This Row],[Total]]+SamplingData[[#This Row],[Winning Candidate]]-SamplingData[[#This Row],[Candidate 8]])/(SamplingData[[#Totals],[Winning Candidate]]-SamplingData[[#Totals],[Candidate 8]]), 0)</f>
        <v>0</v>
      </c>
      <c r="X2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2" s="99">
        <f>MAX(SamplingData[[#This Row],[Error Bound (up) - Max. possible relative overstatement - Losing Candidate]:[Error Bound (up) - Max. possible relative overstatement - Candidate 12]])</f>
        <v>1.3495162111695807E-2</v>
      </c>
      <c r="AC202" s="99">
        <f>IF(SamplingData[[#This Row],[Max Error Bound (up)]] = 0,0,SamplingData[[#This Row],[Max Error Bound (up)]]/SamplingData[[#Totals],[Max Error Bound (up)]])</f>
        <v>7.2254335260115701E-4</v>
      </c>
      <c r="AD202" s="103">
        <f>SUM($AC$5:AC202)</f>
        <v>0.20794706801904991</v>
      </c>
      <c r="AE202" s="99" t="str" cm="1">
        <f t="array" ref="AE202">IF(SamplingData[[#This Row],[up/U Selection Probability]] = 0, "Zero", TEXT(SamplingData[[#This Row],[Lower Range]], REPT("0",LEN('General Info'!$B$42))) &amp; " - " &amp; TEXT(SamplingData[[#This Row],[Upper Range]], REPT("0",LEN('General Info'!$B$42))))</f>
        <v>207225 - 207946</v>
      </c>
      <c r="AF202" s="99">
        <f>SamplingData[[#This Row],[Upper Range]]-SamplingData[[#This Row],[Span]]</f>
        <v>207224.52466644876</v>
      </c>
      <c r="AG202" s="99">
        <f>IF(ISNUMBER('General Info'!$B$42), ((SamplingData[[#This Row],[up/U Selection Probability]]) * 'General Info'!$B$44) - 1, 0)</f>
        <v>721.54335260115704</v>
      </c>
      <c r="AH202" s="99">
        <f>IF(ISNUMBER('General Info'!$B$42), (SamplingData[[#This Row],[Running (cumulative) sum]] * ('General Info'!$B$42 -'General Info'!$B$43 + 1)) + 'General Info'!$B$43 - 1, 0)</f>
        <v>207946.06801904991</v>
      </c>
      <c r="AI202" s="99" t="str">
        <f>IF(ISERROR(MATCH(SamplingData[[#This Row],[Batch by Type (p)]],SelectedPrecincts[Batch Name], 0)), "", INDEX(SelectedPrecincts[Draw], MATCH(SamplingData[[#This Row],[Batch by Type (p)]],SelectedPrecincts[Batch Name], 0)))</f>
        <v/>
      </c>
      <c r="AJ202" s="100">
        <f>IF(COUNTIF(SelectedPrecincts[Batch Name],SamplingData[[#This Row],[Batch by Type (p)]]) &lt;&gt; 0, COUNTIF(SelectedPrecincts[Batch Name],SamplingData[[#This Row],[Batch by Type (p)]]), 0)</f>
        <v>0</v>
      </c>
    </row>
    <row r="203" spans="1:36" ht="15" customHeight="1" x14ac:dyDescent="0.35">
      <c r="A203" s="97" t="s">
        <v>416</v>
      </c>
      <c r="B203" s="97">
        <v>164</v>
      </c>
      <c r="C203" s="97">
        <v>139</v>
      </c>
      <c r="D203" s="92"/>
      <c r="E203" s="92"/>
      <c r="F203" s="92"/>
      <c r="G203" s="96"/>
      <c r="H203" s="96"/>
      <c r="I203" s="92"/>
      <c r="J203" s="92"/>
      <c r="K203" s="92"/>
      <c r="L203" s="92"/>
      <c r="M203" s="92"/>
      <c r="N203" s="97">
        <v>0</v>
      </c>
      <c r="O203" s="97">
        <v>19</v>
      </c>
      <c r="P203" s="98">
        <f>SUM(SamplingData[[#This Row],[Winning Candidate]:[Under Votes]])</f>
        <v>322</v>
      </c>
      <c r="Q203" s="99">
        <f>IF(AND(SamplingData[[#This Row],[Total]]&lt;&gt; 0, NOT(ISBLANK(SamplingData[[#This Row],[Losing Candidate]]))),(SamplingData[[#This Row],[Total]]+SamplingData[[#This Row],[Winning Candidate]]-SamplingData[[#This Row],[Losing Candidate]])/(SamplingData[[#Totals],[Winning Candidate]]-SamplingData[[#Totals],[Losing Candidate]]), 0)</f>
        <v>1.472585299609574E-2</v>
      </c>
      <c r="R203" s="99">
        <f>IF(AND(SamplingData[[#This Row],[Total]]&lt;&gt; 0, NOT(ISBLANK(SamplingData[[#This Row],[Candidate 3]]))),(SamplingData[[#This Row],[Total]]+SamplingData[[#This Row],[Winning Candidate]]-SamplingData[[#This Row],[Candidate 3]])/(SamplingData[[#Totals],[Winning Candidate]]-SamplingData[[#Totals],[Candidate 3]]), 0)</f>
        <v>0</v>
      </c>
      <c r="S203" s="99">
        <f>IF(AND(SamplingData[[#This Row],[Total]]&lt;&gt; 0, NOT(ISBLANK(SamplingData[[#This Row],[Candidate 4]]))),(SamplingData[[#This Row],[Total]]+SamplingData[[#This Row],[Winning Candidate]]-SamplingData[[#This Row],[Candidate 4]])/(SamplingData[[#Totals],[Winning Candidate]]-SamplingData[[#Totals],[Candidate 4]]), 0)</f>
        <v>0</v>
      </c>
      <c r="T203" s="99">
        <f>IF(AND(SamplingData[[#This Row],[Total]]&lt;&gt; 0, NOT(ISBLANK(SamplingData[[#This Row],[Candidate 5]]))),(SamplingData[[#This Row],[Total]]+SamplingData[[#This Row],[Winning Candidate]]-SamplingData[[#This Row],[Candidate 5]])/(SamplingData[[#Totals],[Winning Candidate]]-SamplingData[[#Totals],[Candidate 5]]), 0)</f>
        <v>0</v>
      </c>
      <c r="U203" s="99">
        <f>IF(AND(SamplingData[[#This Row],[Total]]&lt;&gt; 0, NOT(ISBLANK(SamplingData[[#This Row],[Candidate 6]]))),(SamplingData[[#This Row],[Total]]+SamplingData[[#This Row],[Losing Candidate]]-SamplingData[[#This Row],[Candidate 6]])/(SamplingData[[#Totals],[Winning Candidate]]-SamplingData[[#Totals],[Candidate 6]]), 0)</f>
        <v>0</v>
      </c>
      <c r="V203" s="99">
        <f>IF(AND(SamplingData[[#This Row],[Total]]&lt;&gt; 0, NOT(ISBLANK(SamplingData[[#This Row],[Candidate 7]]))),(SamplingData[[#This Row],[Total]]+SamplingData[[#This Row],[Winning Candidate]]-SamplingData[[#This Row],[Candidate 7]])/(SamplingData[[#Totals],[Winning Candidate]]-SamplingData[[#Totals],[Candidate 7]]), 0)</f>
        <v>0</v>
      </c>
      <c r="W203" s="99">
        <f>IF(AND(SamplingData[[#This Row],[Total]]&lt;&gt; 0, NOT(ISBLANK(SamplingData[[#This Row],[Candidate 8]]))),(SamplingData[[#This Row],[Total]]+SamplingData[[#This Row],[Winning Candidate]]-SamplingData[[#This Row],[Candidate 8]])/(SamplingData[[#Totals],[Winning Candidate]]-SamplingData[[#Totals],[Candidate 8]]), 0)</f>
        <v>0</v>
      </c>
      <c r="X2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3" s="99">
        <f>MAX(SamplingData[[#This Row],[Error Bound (up) - Max. possible relative overstatement - Losing Candidate]:[Error Bound (up) - Max. possible relative overstatement - Candidate 12]])</f>
        <v>1.472585299609574E-2</v>
      </c>
      <c r="AC203" s="99">
        <f>IF(SamplingData[[#This Row],[Max Error Bound (up)]] = 0,0,SamplingData[[#This Row],[Max Error Bound (up)]]/SamplingData[[#Totals],[Max Error Bound (up)]])</f>
        <v>7.8843567092013042E-4</v>
      </c>
      <c r="AD203" s="103">
        <f>SUM($AC$5:AC203)</f>
        <v>0.20873550368997004</v>
      </c>
      <c r="AE203" s="99" t="str" cm="1">
        <f t="array" ref="AE203">IF(SamplingData[[#This Row],[up/U Selection Probability]] = 0, "Zero", TEXT(SamplingData[[#This Row],[Lower Range]], REPT("0",LEN('General Info'!$B$42))) &amp; " - " &amp; TEXT(SamplingData[[#This Row],[Upper Range]], REPT("0",LEN('General Info'!$B$42))))</f>
        <v>207947 - 208735</v>
      </c>
      <c r="AF203" s="99">
        <f>SamplingData[[#This Row],[Upper Range]]-SamplingData[[#This Row],[Span]]</f>
        <v>207947.06801904991</v>
      </c>
      <c r="AG203" s="99">
        <f>IF(ISNUMBER('General Info'!$B$42), ((SamplingData[[#This Row],[up/U Selection Probability]]) * 'General Info'!$B$44) - 1, 0)</f>
        <v>787.43567092013041</v>
      </c>
      <c r="AH203" s="99">
        <f>IF(ISNUMBER('General Info'!$B$42), (SamplingData[[#This Row],[Running (cumulative) sum]] * ('General Info'!$B$42 -'General Info'!$B$43 + 1)) + 'General Info'!$B$43 - 1, 0)</f>
        <v>208734.50368997004</v>
      </c>
      <c r="AI203" s="99" t="str">
        <f>IF(ISERROR(MATCH(SamplingData[[#This Row],[Batch by Type (p)]],SelectedPrecincts[Batch Name], 0)), "", INDEX(SelectedPrecincts[Draw], MATCH(SamplingData[[#This Row],[Batch by Type (p)]],SelectedPrecincts[Batch Name], 0)))</f>
        <v/>
      </c>
      <c r="AJ203" s="100">
        <f>IF(COUNTIF(SelectedPrecincts[Batch Name],SamplingData[[#This Row],[Batch by Type (p)]]) &lt;&gt; 0, COUNTIF(SelectedPrecincts[Batch Name],SamplingData[[#This Row],[Batch by Type (p)]]), 0)</f>
        <v>0</v>
      </c>
    </row>
    <row r="204" spans="1:36" ht="15" customHeight="1" x14ac:dyDescent="0.35">
      <c r="A204" s="97" t="s">
        <v>417</v>
      </c>
      <c r="B204" s="97">
        <v>283</v>
      </c>
      <c r="C204" s="97">
        <v>206</v>
      </c>
      <c r="D204" s="92"/>
      <c r="E204" s="92"/>
      <c r="F204" s="92"/>
      <c r="G204" s="96"/>
      <c r="H204" s="96"/>
      <c r="I204" s="92"/>
      <c r="J204" s="92"/>
      <c r="K204" s="92"/>
      <c r="L204" s="92"/>
      <c r="M204" s="92"/>
      <c r="N204" s="97">
        <v>0</v>
      </c>
      <c r="O204" s="97">
        <v>26</v>
      </c>
      <c r="P204" s="98">
        <f>SUM(SamplingData[[#This Row],[Winning Candidate]:[Under Votes]])</f>
        <v>515</v>
      </c>
      <c r="Q204" s="99">
        <f>IF(AND(SamplingData[[#This Row],[Total]]&lt;&gt; 0, NOT(ISBLANK(SamplingData[[#This Row],[Losing Candidate]]))),(SamplingData[[#This Row],[Total]]+SamplingData[[#This Row],[Winning Candidate]]-SamplingData[[#This Row],[Losing Candidate]])/(SamplingData[[#Totals],[Winning Candidate]]-SamplingData[[#Totals],[Losing Candidate]]), 0)</f>
        <v>2.5123069088439993E-2</v>
      </c>
      <c r="R204" s="99">
        <f>IF(AND(SamplingData[[#This Row],[Total]]&lt;&gt; 0, NOT(ISBLANK(SamplingData[[#This Row],[Candidate 3]]))),(SamplingData[[#This Row],[Total]]+SamplingData[[#This Row],[Winning Candidate]]-SamplingData[[#This Row],[Candidate 3]])/(SamplingData[[#Totals],[Winning Candidate]]-SamplingData[[#Totals],[Candidate 3]]), 0)</f>
        <v>0</v>
      </c>
      <c r="S204" s="99">
        <f>IF(AND(SamplingData[[#This Row],[Total]]&lt;&gt; 0, NOT(ISBLANK(SamplingData[[#This Row],[Candidate 4]]))),(SamplingData[[#This Row],[Total]]+SamplingData[[#This Row],[Winning Candidate]]-SamplingData[[#This Row],[Candidate 4]])/(SamplingData[[#Totals],[Winning Candidate]]-SamplingData[[#Totals],[Candidate 4]]), 0)</f>
        <v>0</v>
      </c>
      <c r="T204" s="99">
        <f>IF(AND(SamplingData[[#This Row],[Total]]&lt;&gt; 0, NOT(ISBLANK(SamplingData[[#This Row],[Candidate 5]]))),(SamplingData[[#This Row],[Total]]+SamplingData[[#This Row],[Winning Candidate]]-SamplingData[[#This Row],[Candidate 5]])/(SamplingData[[#Totals],[Winning Candidate]]-SamplingData[[#Totals],[Candidate 5]]), 0)</f>
        <v>0</v>
      </c>
      <c r="U204" s="99">
        <f>IF(AND(SamplingData[[#This Row],[Total]]&lt;&gt; 0, NOT(ISBLANK(SamplingData[[#This Row],[Candidate 6]]))),(SamplingData[[#This Row],[Total]]+SamplingData[[#This Row],[Losing Candidate]]-SamplingData[[#This Row],[Candidate 6]])/(SamplingData[[#Totals],[Winning Candidate]]-SamplingData[[#Totals],[Candidate 6]]), 0)</f>
        <v>0</v>
      </c>
      <c r="V204" s="99">
        <f>IF(AND(SamplingData[[#This Row],[Total]]&lt;&gt; 0, NOT(ISBLANK(SamplingData[[#This Row],[Candidate 7]]))),(SamplingData[[#This Row],[Total]]+SamplingData[[#This Row],[Winning Candidate]]-SamplingData[[#This Row],[Candidate 7]])/(SamplingData[[#Totals],[Winning Candidate]]-SamplingData[[#Totals],[Candidate 7]]), 0)</f>
        <v>0</v>
      </c>
      <c r="W204" s="99">
        <f>IF(AND(SamplingData[[#This Row],[Total]]&lt;&gt; 0, NOT(ISBLANK(SamplingData[[#This Row],[Candidate 8]]))),(SamplingData[[#This Row],[Total]]+SamplingData[[#This Row],[Winning Candidate]]-SamplingData[[#This Row],[Candidate 8]])/(SamplingData[[#Totals],[Winning Candidate]]-SamplingData[[#Totals],[Candidate 8]]), 0)</f>
        <v>0</v>
      </c>
      <c r="X2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4" s="99">
        <f>MAX(SamplingData[[#This Row],[Error Bound (up) - Max. possible relative overstatement - Losing Candidate]:[Error Bound (up) - Max. possible relative overstatement - Candidate 12]])</f>
        <v>2.5123069088439993E-2</v>
      </c>
      <c r="AC204" s="99">
        <f>IF(SamplingData[[#This Row],[Max Error Bound (up)]] = 0,0,SamplingData[[#This Row],[Max Error Bound (up)]]/SamplingData[[#Totals],[Max Error Bound (up)]])</f>
        <v>1.3451121532700784E-3</v>
      </c>
      <c r="AD204" s="103">
        <f>SUM($AC$5:AC204)</f>
        <v>0.21008061584324011</v>
      </c>
      <c r="AE204" s="99" t="str" cm="1">
        <f t="array" ref="AE204">IF(SamplingData[[#This Row],[up/U Selection Probability]] = 0, "Zero", TEXT(SamplingData[[#This Row],[Lower Range]], REPT("0",LEN('General Info'!$B$42))) &amp; " - " &amp; TEXT(SamplingData[[#This Row],[Upper Range]], REPT("0",LEN('General Info'!$B$42))))</f>
        <v>208736 - 210080</v>
      </c>
      <c r="AF204" s="99">
        <f>SamplingData[[#This Row],[Upper Range]]-SamplingData[[#This Row],[Span]]</f>
        <v>208735.50368997004</v>
      </c>
      <c r="AG204" s="99">
        <f>IF(ISNUMBER('General Info'!$B$42), ((SamplingData[[#This Row],[up/U Selection Probability]]) * 'General Info'!$B$44) - 1, 0)</f>
        <v>1344.1121532700784</v>
      </c>
      <c r="AH204" s="99">
        <f>IF(ISNUMBER('General Info'!$B$42), (SamplingData[[#This Row],[Running (cumulative) sum]] * ('General Info'!$B$42 -'General Info'!$B$43 + 1)) + 'General Info'!$B$43 - 1, 0)</f>
        <v>210079.61584324011</v>
      </c>
      <c r="AI204" s="99" t="str">
        <f>IF(ISERROR(MATCH(SamplingData[[#This Row],[Batch by Type (p)]],SelectedPrecincts[Batch Name], 0)), "", INDEX(SelectedPrecincts[Draw], MATCH(SamplingData[[#This Row],[Batch by Type (p)]],SelectedPrecincts[Batch Name], 0)))</f>
        <v/>
      </c>
      <c r="AJ204" s="100">
        <f>IF(COUNTIF(SelectedPrecincts[Batch Name],SamplingData[[#This Row],[Batch by Type (p)]]) &lt;&gt; 0, COUNTIF(SelectedPrecincts[Batch Name],SamplingData[[#This Row],[Batch by Type (p)]]), 0)</f>
        <v>0</v>
      </c>
    </row>
    <row r="205" spans="1:36" ht="15" customHeight="1" x14ac:dyDescent="0.35">
      <c r="A205" s="97" t="s">
        <v>418</v>
      </c>
      <c r="B205" s="97">
        <v>192</v>
      </c>
      <c r="C205" s="97">
        <v>129</v>
      </c>
      <c r="D205" s="92"/>
      <c r="E205" s="92"/>
      <c r="F205" s="92"/>
      <c r="G205" s="96"/>
      <c r="H205" s="96"/>
      <c r="I205" s="92"/>
      <c r="J205" s="92"/>
      <c r="K205" s="92"/>
      <c r="L205" s="92"/>
      <c r="M205" s="92"/>
      <c r="N205" s="97">
        <v>0</v>
      </c>
      <c r="O205" s="97">
        <v>15</v>
      </c>
      <c r="P205" s="98">
        <f>SUM(SamplingData[[#This Row],[Winning Candidate]:[Under Votes]])</f>
        <v>336</v>
      </c>
      <c r="Q205" s="99">
        <f>IF(AND(SamplingData[[#This Row],[Total]]&lt;&gt; 0, NOT(ISBLANK(SamplingData[[#This Row],[Losing Candidate]]))),(SamplingData[[#This Row],[Total]]+SamplingData[[#This Row],[Winning Candidate]]-SamplingData[[#This Row],[Losing Candidate]])/(SamplingData[[#Totals],[Winning Candidate]]-SamplingData[[#Totals],[Losing Candidate]]), 0)</f>
        <v>1.6932609064674926E-2</v>
      </c>
      <c r="R205" s="99">
        <f>IF(AND(SamplingData[[#This Row],[Total]]&lt;&gt; 0, NOT(ISBLANK(SamplingData[[#This Row],[Candidate 3]]))),(SamplingData[[#This Row],[Total]]+SamplingData[[#This Row],[Winning Candidate]]-SamplingData[[#This Row],[Candidate 3]])/(SamplingData[[#Totals],[Winning Candidate]]-SamplingData[[#Totals],[Candidate 3]]), 0)</f>
        <v>0</v>
      </c>
      <c r="S205" s="99">
        <f>IF(AND(SamplingData[[#This Row],[Total]]&lt;&gt; 0, NOT(ISBLANK(SamplingData[[#This Row],[Candidate 4]]))),(SamplingData[[#This Row],[Total]]+SamplingData[[#This Row],[Winning Candidate]]-SamplingData[[#This Row],[Candidate 4]])/(SamplingData[[#Totals],[Winning Candidate]]-SamplingData[[#Totals],[Candidate 4]]), 0)</f>
        <v>0</v>
      </c>
      <c r="T205" s="99">
        <f>IF(AND(SamplingData[[#This Row],[Total]]&lt;&gt; 0, NOT(ISBLANK(SamplingData[[#This Row],[Candidate 5]]))),(SamplingData[[#This Row],[Total]]+SamplingData[[#This Row],[Winning Candidate]]-SamplingData[[#This Row],[Candidate 5]])/(SamplingData[[#Totals],[Winning Candidate]]-SamplingData[[#Totals],[Candidate 5]]), 0)</f>
        <v>0</v>
      </c>
      <c r="U205" s="99">
        <f>IF(AND(SamplingData[[#This Row],[Total]]&lt;&gt; 0, NOT(ISBLANK(SamplingData[[#This Row],[Candidate 6]]))),(SamplingData[[#This Row],[Total]]+SamplingData[[#This Row],[Losing Candidate]]-SamplingData[[#This Row],[Candidate 6]])/(SamplingData[[#Totals],[Winning Candidate]]-SamplingData[[#Totals],[Candidate 6]]), 0)</f>
        <v>0</v>
      </c>
      <c r="V205" s="99">
        <f>IF(AND(SamplingData[[#This Row],[Total]]&lt;&gt; 0, NOT(ISBLANK(SamplingData[[#This Row],[Candidate 7]]))),(SamplingData[[#This Row],[Total]]+SamplingData[[#This Row],[Winning Candidate]]-SamplingData[[#This Row],[Candidate 7]])/(SamplingData[[#Totals],[Winning Candidate]]-SamplingData[[#Totals],[Candidate 7]]), 0)</f>
        <v>0</v>
      </c>
      <c r="W205" s="99">
        <f>IF(AND(SamplingData[[#This Row],[Total]]&lt;&gt; 0, NOT(ISBLANK(SamplingData[[#This Row],[Candidate 8]]))),(SamplingData[[#This Row],[Total]]+SamplingData[[#This Row],[Winning Candidate]]-SamplingData[[#This Row],[Candidate 8]])/(SamplingData[[#Totals],[Winning Candidate]]-SamplingData[[#Totals],[Candidate 8]]), 0)</f>
        <v>0</v>
      </c>
      <c r="X2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5" s="99">
        <f>MAX(SamplingData[[#This Row],[Error Bound (up) - Max. possible relative overstatement - Losing Candidate]:[Error Bound (up) - Max. possible relative overstatement - Candidate 12]])</f>
        <v>1.6932609064674926E-2</v>
      </c>
      <c r="AC205" s="99">
        <f>IF(SamplingData[[#This Row],[Max Error Bound (up)]] = 0,0,SamplingData[[#This Row],[Max Error Bound (up)]]/SamplingData[[#Totals],[Max Error Bound (up)]])</f>
        <v>9.0658741411277232E-4</v>
      </c>
      <c r="AD205" s="103">
        <f>SUM($AC$5:AC205)</f>
        <v>0.2109872032573529</v>
      </c>
      <c r="AE205" s="99" t="str" cm="1">
        <f t="array" ref="AE205">IF(SamplingData[[#This Row],[up/U Selection Probability]] = 0, "Zero", TEXT(SamplingData[[#This Row],[Lower Range]], REPT("0",LEN('General Info'!$B$42))) &amp; " - " &amp; TEXT(SamplingData[[#This Row],[Upper Range]], REPT("0",LEN('General Info'!$B$42))))</f>
        <v>210081 - 210986</v>
      </c>
      <c r="AF205" s="99">
        <f>SamplingData[[#This Row],[Upper Range]]-SamplingData[[#This Row],[Span]]</f>
        <v>210080.61584324011</v>
      </c>
      <c r="AG205" s="99">
        <f>IF(ISNUMBER('General Info'!$B$42), ((SamplingData[[#This Row],[up/U Selection Probability]]) * 'General Info'!$B$44) - 1, 0)</f>
        <v>905.58741411277231</v>
      </c>
      <c r="AH205" s="99">
        <f>IF(ISNUMBER('General Info'!$B$42), (SamplingData[[#This Row],[Running (cumulative) sum]] * ('General Info'!$B$42 -'General Info'!$B$43 + 1)) + 'General Info'!$B$43 - 1, 0)</f>
        <v>210986.2032573529</v>
      </c>
      <c r="AI205" s="99" t="str">
        <f>IF(ISERROR(MATCH(SamplingData[[#This Row],[Batch by Type (p)]],SelectedPrecincts[Batch Name], 0)), "", INDEX(SelectedPrecincts[Draw], MATCH(SamplingData[[#This Row],[Batch by Type (p)]],SelectedPrecincts[Batch Name], 0)))</f>
        <v/>
      </c>
      <c r="AJ205" s="100">
        <f>IF(COUNTIF(SelectedPrecincts[Batch Name],SamplingData[[#This Row],[Batch by Type (p)]]) &lt;&gt; 0, COUNTIF(SelectedPrecincts[Batch Name],SamplingData[[#This Row],[Batch by Type (p)]]), 0)</f>
        <v>0</v>
      </c>
    </row>
    <row r="206" spans="1:36" ht="15" customHeight="1" x14ac:dyDescent="0.35">
      <c r="A206" s="97" t="s">
        <v>419</v>
      </c>
      <c r="B206" s="97">
        <v>140</v>
      </c>
      <c r="C206" s="97">
        <v>127</v>
      </c>
      <c r="D206" s="92"/>
      <c r="E206" s="92"/>
      <c r="F206" s="92"/>
      <c r="G206" s="96"/>
      <c r="H206" s="96"/>
      <c r="I206" s="92"/>
      <c r="J206" s="92"/>
      <c r="K206" s="92"/>
      <c r="L206" s="92"/>
      <c r="M206" s="92"/>
      <c r="N206" s="97">
        <v>0</v>
      </c>
      <c r="O206" s="97">
        <v>21</v>
      </c>
      <c r="P206" s="98">
        <f>SUM(SamplingData[[#This Row],[Winning Candidate]:[Under Votes]])</f>
        <v>288</v>
      </c>
      <c r="Q206" s="99">
        <f>IF(AND(SamplingData[[#This Row],[Total]]&lt;&gt; 0, NOT(ISBLANK(SamplingData[[#This Row],[Losing Candidate]]))),(SamplingData[[#This Row],[Total]]+SamplingData[[#This Row],[Winning Candidate]]-SamplingData[[#This Row],[Losing Candidate]])/(SamplingData[[#Totals],[Winning Candidate]]-SamplingData[[#Totals],[Losing Candidate]]), 0)</f>
        <v>1.2773722627737226E-2</v>
      </c>
      <c r="R206" s="99">
        <f>IF(AND(SamplingData[[#This Row],[Total]]&lt;&gt; 0, NOT(ISBLANK(SamplingData[[#This Row],[Candidate 3]]))),(SamplingData[[#This Row],[Total]]+SamplingData[[#This Row],[Winning Candidate]]-SamplingData[[#This Row],[Candidate 3]])/(SamplingData[[#Totals],[Winning Candidate]]-SamplingData[[#Totals],[Candidate 3]]), 0)</f>
        <v>0</v>
      </c>
      <c r="S206" s="99">
        <f>IF(AND(SamplingData[[#This Row],[Total]]&lt;&gt; 0, NOT(ISBLANK(SamplingData[[#This Row],[Candidate 4]]))),(SamplingData[[#This Row],[Total]]+SamplingData[[#This Row],[Winning Candidate]]-SamplingData[[#This Row],[Candidate 4]])/(SamplingData[[#Totals],[Winning Candidate]]-SamplingData[[#Totals],[Candidate 4]]), 0)</f>
        <v>0</v>
      </c>
      <c r="T206" s="99">
        <f>IF(AND(SamplingData[[#This Row],[Total]]&lt;&gt; 0, NOT(ISBLANK(SamplingData[[#This Row],[Candidate 5]]))),(SamplingData[[#This Row],[Total]]+SamplingData[[#This Row],[Winning Candidate]]-SamplingData[[#This Row],[Candidate 5]])/(SamplingData[[#Totals],[Winning Candidate]]-SamplingData[[#Totals],[Candidate 5]]), 0)</f>
        <v>0</v>
      </c>
      <c r="U206" s="99">
        <f>IF(AND(SamplingData[[#This Row],[Total]]&lt;&gt; 0, NOT(ISBLANK(SamplingData[[#This Row],[Candidate 6]]))),(SamplingData[[#This Row],[Total]]+SamplingData[[#This Row],[Losing Candidate]]-SamplingData[[#This Row],[Candidate 6]])/(SamplingData[[#Totals],[Winning Candidate]]-SamplingData[[#Totals],[Candidate 6]]), 0)</f>
        <v>0</v>
      </c>
      <c r="V206" s="99">
        <f>IF(AND(SamplingData[[#This Row],[Total]]&lt;&gt; 0, NOT(ISBLANK(SamplingData[[#This Row],[Candidate 7]]))),(SamplingData[[#This Row],[Total]]+SamplingData[[#This Row],[Winning Candidate]]-SamplingData[[#This Row],[Candidate 7]])/(SamplingData[[#Totals],[Winning Candidate]]-SamplingData[[#Totals],[Candidate 7]]), 0)</f>
        <v>0</v>
      </c>
      <c r="W206" s="99">
        <f>IF(AND(SamplingData[[#This Row],[Total]]&lt;&gt; 0, NOT(ISBLANK(SamplingData[[#This Row],[Candidate 8]]))),(SamplingData[[#This Row],[Total]]+SamplingData[[#This Row],[Winning Candidate]]-SamplingData[[#This Row],[Candidate 8]])/(SamplingData[[#Totals],[Winning Candidate]]-SamplingData[[#Totals],[Candidate 8]]), 0)</f>
        <v>0</v>
      </c>
      <c r="X2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6" s="99">
        <f>MAX(SamplingData[[#This Row],[Error Bound (up) - Max. possible relative overstatement - Losing Candidate]:[Error Bound (up) - Max. possible relative overstatement - Candidate 12]])</f>
        <v>1.2773722627737226E-2</v>
      </c>
      <c r="AC206" s="99">
        <f>IF(SamplingData[[#This Row],[Max Error Bound (up)]] = 0,0,SamplingData[[#This Row],[Max Error Bound (up)]]/SamplingData[[#Totals],[Max Error Bound (up)]])</f>
        <v>6.839168211727933E-4</v>
      </c>
      <c r="AD206" s="103">
        <f>SUM($AC$5:AC206)</f>
        <v>0.2116711200785257</v>
      </c>
      <c r="AE206" s="99" t="str" cm="1">
        <f t="array" ref="AE206">IF(SamplingData[[#This Row],[up/U Selection Probability]] = 0, "Zero", TEXT(SamplingData[[#This Row],[Lower Range]], REPT("0",LEN('General Info'!$B$42))) &amp; " - " &amp; TEXT(SamplingData[[#This Row],[Upper Range]], REPT("0",LEN('General Info'!$B$42))))</f>
        <v>210987 - 211670</v>
      </c>
      <c r="AF206" s="99">
        <f>SamplingData[[#This Row],[Upper Range]]-SamplingData[[#This Row],[Span]]</f>
        <v>210987.20325735293</v>
      </c>
      <c r="AG206" s="99">
        <f>IF(ISNUMBER('General Info'!$B$42), ((SamplingData[[#This Row],[up/U Selection Probability]]) * 'General Info'!$B$44) - 1, 0)</f>
        <v>682.91682117279333</v>
      </c>
      <c r="AH206" s="99">
        <f>IF(ISNUMBER('General Info'!$B$42), (SamplingData[[#This Row],[Running (cumulative) sum]] * ('General Info'!$B$42 -'General Info'!$B$43 + 1)) + 'General Info'!$B$43 - 1, 0)</f>
        <v>211670.12007852571</v>
      </c>
      <c r="AI206" s="99" t="str">
        <f>IF(ISERROR(MATCH(SamplingData[[#This Row],[Batch by Type (p)]],SelectedPrecincts[Batch Name], 0)), "", INDEX(SelectedPrecincts[Draw], MATCH(SamplingData[[#This Row],[Batch by Type (p)]],SelectedPrecincts[Batch Name], 0)))</f>
        <v/>
      </c>
      <c r="AJ206" s="100">
        <f>IF(COUNTIF(SelectedPrecincts[Batch Name],SamplingData[[#This Row],[Batch by Type (p)]]) &lt;&gt; 0, COUNTIF(SelectedPrecincts[Batch Name],SamplingData[[#This Row],[Batch by Type (p)]]), 0)</f>
        <v>0</v>
      </c>
    </row>
    <row r="207" spans="1:36" ht="15" customHeight="1" x14ac:dyDescent="0.35">
      <c r="A207" s="97" t="s">
        <v>420</v>
      </c>
      <c r="B207" s="97">
        <v>145</v>
      </c>
      <c r="C207" s="97">
        <v>126</v>
      </c>
      <c r="D207" s="92"/>
      <c r="E207" s="92"/>
      <c r="F207" s="92"/>
      <c r="G207" s="96"/>
      <c r="H207" s="96"/>
      <c r="I207" s="92"/>
      <c r="J207" s="92"/>
      <c r="K207" s="92"/>
      <c r="L207" s="92"/>
      <c r="M207" s="92"/>
      <c r="N207" s="97">
        <v>0</v>
      </c>
      <c r="O207" s="97">
        <v>3</v>
      </c>
      <c r="P207" s="98">
        <f>SUM(SamplingData[[#This Row],[Winning Candidate]:[Under Votes]])</f>
        <v>274</v>
      </c>
      <c r="Q207" s="99">
        <f>IF(AND(SamplingData[[#This Row],[Total]]&lt;&gt; 0, NOT(ISBLANK(SamplingData[[#This Row],[Losing Candidate]]))),(SamplingData[[#This Row],[Total]]+SamplingData[[#This Row],[Winning Candidate]]-SamplingData[[#This Row],[Losing Candidate]])/(SamplingData[[#Totals],[Winning Candidate]]-SamplingData[[#Totals],[Losing Candidate]]), 0)</f>
        <v>1.2434221694109659E-2</v>
      </c>
      <c r="R207" s="99">
        <f>IF(AND(SamplingData[[#This Row],[Total]]&lt;&gt; 0, NOT(ISBLANK(SamplingData[[#This Row],[Candidate 3]]))),(SamplingData[[#This Row],[Total]]+SamplingData[[#This Row],[Winning Candidate]]-SamplingData[[#This Row],[Candidate 3]])/(SamplingData[[#Totals],[Winning Candidate]]-SamplingData[[#Totals],[Candidate 3]]), 0)</f>
        <v>0</v>
      </c>
      <c r="S207" s="99">
        <f>IF(AND(SamplingData[[#This Row],[Total]]&lt;&gt; 0, NOT(ISBLANK(SamplingData[[#This Row],[Candidate 4]]))),(SamplingData[[#This Row],[Total]]+SamplingData[[#This Row],[Winning Candidate]]-SamplingData[[#This Row],[Candidate 4]])/(SamplingData[[#Totals],[Winning Candidate]]-SamplingData[[#Totals],[Candidate 4]]), 0)</f>
        <v>0</v>
      </c>
      <c r="T207" s="99">
        <f>IF(AND(SamplingData[[#This Row],[Total]]&lt;&gt; 0, NOT(ISBLANK(SamplingData[[#This Row],[Candidate 5]]))),(SamplingData[[#This Row],[Total]]+SamplingData[[#This Row],[Winning Candidate]]-SamplingData[[#This Row],[Candidate 5]])/(SamplingData[[#Totals],[Winning Candidate]]-SamplingData[[#Totals],[Candidate 5]]), 0)</f>
        <v>0</v>
      </c>
      <c r="U207" s="99">
        <f>IF(AND(SamplingData[[#This Row],[Total]]&lt;&gt; 0, NOT(ISBLANK(SamplingData[[#This Row],[Candidate 6]]))),(SamplingData[[#This Row],[Total]]+SamplingData[[#This Row],[Losing Candidate]]-SamplingData[[#This Row],[Candidate 6]])/(SamplingData[[#Totals],[Winning Candidate]]-SamplingData[[#Totals],[Candidate 6]]), 0)</f>
        <v>0</v>
      </c>
      <c r="V207" s="99">
        <f>IF(AND(SamplingData[[#This Row],[Total]]&lt;&gt; 0, NOT(ISBLANK(SamplingData[[#This Row],[Candidate 7]]))),(SamplingData[[#This Row],[Total]]+SamplingData[[#This Row],[Winning Candidate]]-SamplingData[[#This Row],[Candidate 7]])/(SamplingData[[#Totals],[Winning Candidate]]-SamplingData[[#Totals],[Candidate 7]]), 0)</f>
        <v>0</v>
      </c>
      <c r="W207" s="99">
        <f>IF(AND(SamplingData[[#This Row],[Total]]&lt;&gt; 0, NOT(ISBLANK(SamplingData[[#This Row],[Candidate 8]]))),(SamplingData[[#This Row],[Total]]+SamplingData[[#This Row],[Winning Candidate]]-SamplingData[[#This Row],[Candidate 8]])/(SamplingData[[#Totals],[Winning Candidate]]-SamplingData[[#Totals],[Candidate 8]]), 0)</f>
        <v>0</v>
      </c>
      <c r="X2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7" s="99">
        <f>MAX(SamplingData[[#This Row],[Error Bound (up) - Max. possible relative overstatement - Losing Candidate]:[Error Bound (up) - Max. possible relative overstatement - Candidate 12]])</f>
        <v>1.2434221694109659E-2</v>
      </c>
      <c r="AC207" s="99">
        <f>IF(SamplingData[[#This Row],[Max Error Bound (up)]] = 0,0,SamplingData[[#This Row],[Max Error Bound (up)]]/SamplingData[[#Totals],[Max Error Bound (up)]])</f>
        <v>6.6573962991238684E-4</v>
      </c>
      <c r="AD207" s="103">
        <f>SUM($AC$5:AC207)</f>
        <v>0.2123368597084381</v>
      </c>
      <c r="AE207" s="99" t="str" cm="1">
        <f t="array" ref="AE207">IF(SamplingData[[#This Row],[up/U Selection Probability]] = 0, "Zero", TEXT(SamplingData[[#This Row],[Lower Range]], REPT("0",LEN('General Info'!$B$42))) &amp; " - " &amp; TEXT(SamplingData[[#This Row],[Upper Range]], REPT("0",LEN('General Info'!$B$42))))</f>
        <v>211671 - 212336</v>
      </c>
      <c r="AF207" s="99">
        <f>SamplingData[[#This Row],[Upper Range]]-SamplingData[[#This Row],[Span]]</f>
        <v>211671.12007852571</v>
      </c>
      <c r="AG207" s="99">
        <f>IF(ISNUMBER('General Info'!$B$42), ((SamplingData[[#This Row],[up/U Selection Probability]]) * 'General Info'!$B$44) - 1, 0)</f>
        <v>664.73962991238682</v>
      </c>
      <c r="AH207" s="99">
        <f>IF(ISNUMBER('General Info'!$B$42), (SamplingData[[#This Row],[Running (cumulative) sum]] * ('General Info'!$B$42 -'General Info'!$B$43 + 1)) + 'General Info'!$B$43 - 1, 0)</f>
        <v>212335.8597084381</v>
      </c>
      <c r="AI207" s="99" t="str">
        <f>IF(ISERROR(MATCH(SamplingData[[#This Row],[Batch by Type (p)]],SelectedPrecincts[Batch Name], 0)), "", INDEX(SelectedPrecincts[Draw], MATCH(SamplingData[[#This Row],[Batch by Type (p)]],SelectedPrecincts[Batch Name], 0)))</f>
        <v/>
      </c>
      <c r="AJ207" s="100">
        <f>IF(COUNTIF(SelectedPrecincts[Batch Name],SamplingData[[#This Row],[Batch by Type (p)]]) &lt;&gt; 0, COUNTIF(SelectedPrecincts[Batch Name],SamplingData[[#This Row],[Batch by Type (p)]]), 0)</f>
        <v>0</v>
      </c>
    </row>
    <row r="208" spans="1:36" ht="15" customHeight="1" x14ac:dyDescent="0.35">
      <c r="A208" s="97" t="s">
        <v>421</v>
      </c>
      <c r="B208" s="97">
        <v>134</v>
      </c>
      <c r="C208" s="97">
        <v>78</v>
      </c>
      <c r="D208" s="92"/>
      <c r="E208" s="92"/>
      <c r="F208" s="92"/>
      <c r="G208" s="96"/>
      <c r="H208" s="96"/>
      <c r="I208" s="92"/>
      <c r="J208" s="92"/>
      <c r="K208" s="92"/>
      <c r="L208" s="92"/>
      <c r="M208" s="92"/>
      <c r="N208" s="97">
        <v>0</v>
      </c>
      <c r="O208" s="97">
        <v>8</v>
      </c>
      <c r="P208" s="98">
        <f>SUM(SamplingData[[#This Row],[Winning Candidate]:[Under Votes]])</f>
        <v>220</v>
      </c>
      <c r="Q208" s="99">
        <f>IF(AND(SamplingData[[#This Row],[Total]]&lt;&gt; 0, NOT(ISBLANK(SamplingData[[#This Row],[Losing Candidate]]))),(SamplingData[[#This Row],[Total]]+SamplingData[[#This Row],[Winning Candidate]]-SamplingData[[#This Row],[Losing Candidate]])/(SamplingData[[#Totals],[Winning Candidate]]-SamplingData[[#Totals],[Losing Candidate]]), 0)</f>
        <v>1.1712782210151079E-2</v>
      </c>
      <c r="R208" s="99">
        <f>IF(AND(SamplingData[[#This Row],[Total]]&lt;&gt; 0, NOT(ISBLANK(SamplingData[[#This Row],[Candidate 3]]))),(SamplingData[[#This Row],[Total]]+SamplingData[[#This Row],[Winning Candidate]]-SamplingData[[#This Row],[Candidate 3]])/(SamplingData[[#Totals],[Winning Candidate]]-SamplingData[[#Totals],[Candidate 3]]), 0)</f>
        <v>0</v>
      </c>
      <c r="S208" s="99">
        <f>IF(AND(SamplingData[[#This Row],[Total]]&lt;&gt; 0, NOT(ISBLANK(SamplingData[[#This Row],[Candidate 4]]))),(SamplingData[[#This Row],[Total]]+SamplingData[[#This Row],[Winning Candidate]]-SamplingData[[#This Row],[Candidate 4]])/(SamplingData[[#Totals],[Winning Candidate]]-SamplingData[[#Totals],[Candidate 4]]), 0)</f>
        <v>0</v>
      </c>
      <c r="T208" s="99">
        <f>IF(AND(SamplingData[[#This Row],[Total]]&lt;&gt; 0, NOT(ISBLANK(SamplingData[[#This Row],[Candidate 5]]))),(SamplingData[[#This Row],[Total]]+SamplingData[[#This Row],[Winning Candidate]]-SamplingData[[#This Row],[Candidate 5]])/(SamplingData[[#Totals],[Winning Candidate]]-SamplingData[[#Totals],[Candidate 5]]), 0)</f>
        <v>0</v>
      </c>
      <c r="U208" s="99">
        <f>IF(AND(SamplingData[[#This Row],[Total]]&lt;&gt; 0, NOT(ISBLANK(SamplingData[[#This Row],[Candidate 6]]))),(SamplingData[[#This Row],[Total]]+SamplingData[[#This Row],[Losing Candidate]]-SamplingData[[#This Row],[Candidate 6]])/(SamplingData[[#Totals],[Winning Candidate]]-SamplingData[[#Totals],[Candidate 6]]), 0)</f>
        <v>0</v>
      </c>
      <c r="V208" s="99">
        <f>IF(AND(SamplingData[[#This Row],[Total]]&lt;&gt; 0, NOT(ISBLANK(SamplingData[[#This Row],[Candidate 7]]))),(SamplingData[[#This Row],[Total]]+SamplingData[[#This Row],[Winning Candidate]]-SamplingData[[#This Row],[Candidate 7]])/(SamplingData[[#Totals],[Winning Candidate]]-SamplingData[[#Totals],[Candidate 7]]), 0)</f>
        <v>0</v>
      </c>
      <c r="W208" s="99">
        <f>IF(AND(SamplingData[[#This Row],[Total]]&lt;&gt; 0, NOT(ISBLANK(SamplingData[[#This Row],[Candidate 8]]))),(SamplingData[[#This Row],[Total]]+SamplingData[[#This Row],[Winning Candidate]]-SamplingData[[#This Row],[Candidate 8]])/(SamplingData[[#Totals],[Winning Candidate]]-SamplingData[[#Totals],[Candidate 8]]), 0)</f>
        <v>0</v>
      </c>
      <c r="X2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8" s="99">
        <f>MAX(SamplingData[[#This Row],[Error Bound (up) - Max. possible relative overstatement - Losing Candidate]:[Error Bound (up) - Max. possible relative overstatement - Candidate 12]])</f>
        <v>1.1712782210151079E-2</v>
      </c>
      <c r="AC208" s="99">
        <f>IF(SamplingData[[#This Row],[Max Error Bound (up)]] = 0,0,SamplingData[[#This Row],[Max Error Bound (up)]]/SamplingData[[#Totals],[Max Error Bound (up)]])</f>
        <v>6.2711309848402313E-4</v>
      </c>
      <c r="AD208" s="103">
        <f>SUM($AC$5:AC208)</f>
        <v>0.21296397280692211</v>
      </c>
      <c r="AE208" s="99" t="str" cm="1">
        <f t="array" ref="AE208">IF(SamplingData[[#This Row],[up/U Selection Probability]] = 0, "Zero", TEXT(SamplingData[[#This Row],[Lower Range]], REPT("0",LEN('General Info'!$B$42))) &amp; " - " &amp; TEXT(SamplingData[[#This Row],[Upper Range]], REPT("0",LEN('General Info'!$B$42))))</f>
        <v>212337 - 212963</v>
      </c>
      <c r="AF208" s="99">
        <f>SamplingData[[#This Row],[Upper Range]]-SamplingData[[#This Row],[Span]]</f>
        <v>212336.85970843807</v>
      </c>
      <c r="AG208" s="99">
        <f>IF(ISNUMBER('General Info'!$B$42), ((SamplingData[[#This Row],[up/U Selection Probability]]) * 'General Info'!$B$44) - 1, 0)</f>
        <v>626.11309848402311</v>
      </c>
      <c r="AH208" s="99">
        <f>IF(ISNUMBER('General Info'!$B$42), (SamplingData[[#This Row],[Running (cumulative) sum]] * ('General Info'!$B$42 -'General Info'!$B$43 + 1)) + 'General Info'!$B$43 - 1, 0)</f>
        <v>212962.9728069221</v>
      </c>
      <c r="AI208" s="99" t="str">
        <f>IF(ISERROR(MATCH(SamplingData[[#This Row],[Batch by Type (p)]],SelectedPrecincts[Batch Name], 0)), "", INDEX(SelectedPrecincts[Draw], MATCH(SamplingData[[#This Row],[Batch by Type (p)]],SelectedPrecincts[Batch Name], 0)))</f>
        <v/>
      </c>
      <c r="AJ208" s="100">
        <f>IF(COUNTIF(SelectedPrecincts[Batch Name],SamplingData[[#This Row],[Batch by Type (p)]]) &lt;&gt; 0, COUNTIF(SelectedPrecincts[Batch Name],SamplingData[[#This Row],[Batch by Type (p)]]), 0)</f>
        <v>0</v>
      </c>
    </row>
    <row r="209" spans="1:36" ht="15" customHeight="1" x14ac:dyDescent="0.35">
      <c r="A209" s="97" t="s">
        <v>422</v>
      </c>
      <c r="B209" s="97">
        <v>175</v>
      </c>
      <c r="C209" s="97">
        <v>116</v>
      </c>
      <c r="D209" s="92"/>
      <c r="E209" s="92"/>
      <c r="F209" s="92"/>
      <c r="G209" s="96"/>
      <c r="H209" s="96"/>
      <c r="I209" s="92"/>
      <c r="J209" s="92"/>
      <c r="K209" s="92"/>
      <c r="L209" s="92"/>
      <c r="M209" s="92"/>
      <c r="N209" s="97">
        <v>0</v>
      </c>
      <c r="O209" s="97">
        <v>11</v>
      </c>
      <c r="P209" s="98">
        <f>SUM(SamplingData[[#This Row],[Winning Candidate]:[Under Votes]])</f>
        <v>302</v>
      </c>
      <c r="Q209" s="99">
        <f>IF(AND(SamplingData[[#This Row],[Total]]&lt;&gt; 0, NOT(ISBLANK(SamplingData[[#This Row],[Losing Candidate]]))),(SamplingData[[#This Row],[Total]]+SamplingData[[#This Row],[Winning Candidate]]-SamplingData[[#This Row],[Losing Candidate]])/(SamplingData[[#Totals],[Winning Candidate]]-SamplingData[[#Totals],[Losing Candidate]]), 0)</f>
        <v>1.5319979629943982E-2</v>
      </c>
      <c r="R209" s="99">
        <f>IF(AND(SamplingData[[#This Row],[Total]]&lt;&gt; 0, NOT(ISBLANK(SamplingData[[#This Row],[Candidate 3]]))),(SamplingData[[#This Row],[Total]]+SamplingData[[#This Row],[Winning Candidate]]-SamplingData[[#This Row],[Candidate 3]])/(SamplingData[[#Totals],[Winning Candidate]]-SamplingData[[#Totals],[Candidate 3]]), 0)</f>
        <v>0</v>
      </c>
      <c r="S209" s="99">
        <f>IF(AND(SamplingData[[#This Row],[Total]]&lt;&gt; 0, NOT(ISBLANK(SamplingData[[#This Row],[Candidate 4]]))),(SamplingData[[#This Row],[Total]]+SamplingData[[#This Row],[Winning Candidate]]-SamplingData[[#This Row],[Candidate 4]])/(SamplingData[[#Totals],[Winning Candidate]]-SamplingData[[#Totals],[Candidate 4]]), 0)</f>
        <v>0</v>
      </c>
      <c r="T209" s="99">
        <f>IF(AND(SamplingData[[#This Row],[Total]]&lt;&gt; 0, NOT(ISBLANK(SamplingData[[#This Row],[Candidate 5]]))),(SamplingData[[#This Row],[Total]]+SamplingData[[#This Row],[Winning Candidate]]-SamplingData[[#This Row],[Candidate 5]])/(SamplingData[[#Totals],[Winning Candidate]]-SamplingData[[#Totals],[Candidate 5]]), 0)</f>
        <v>0</v>
      </c>
      <c r="U209" s="99">
        <f>IF(AND(SamplingData[[#This Row],[Total]]&lt;&gt; 0, NOT(ISBLANK(SamplingData[[#This Row],[Candidate 6]]))),(SamplingData[[#This Row],[Total]]+SamplingData[[#This Row],[Losing Candidate]]-SamplingData[[#This Row],[Candidate 6]])/(SamplingData[[#Totals],[Winning Candidate]]-SamplingData[[#Totals],[Candidate 6]]), 0)</f>
        <v>0</v>
      </c>
      <c r="V209" s="99">
        <f>IF(AND(SamplingData[[#This Row],[Total]]&lt;&gt; 0, NOT(ISBLANK(SamplingData[[#This Row],[Candidate 7]]))),(SamplingData[[#This Row],[Total]]+SamplingData[[#This Row],[Winning Candidate]]-SamplingData[[#This Row],[Candidate 7]])/(SamplingData[[#Totals],[Winning Candidate]]-SamplingData[[#Totals],[Candidate 7]]), 0)</f>
        <v>0</v>
      </c>
      <c r="W209" s="99">
        <f>IF(AND(SamplingData[[#This Row],[Total]]&lt;&gt; 0, NOT(ISBLANK(SamplingData[[#This Row],[Candidate 8]]))),(SamplingData[[#This Row],[Total]]+SamplingData[[#This Row],[Winning Candidate]]-SamplingData[[#This Row],[Candidate 8]])/(SamplingData[[#Totals],[Winning Candidate]]-SamplingData[[#Totals],[Candidate 8]]), 0)</f>
        <v>0</v>
      </c>
      <c r="X2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9" s="99">
        <f>MAX(SamplingData[[#This Row],[Error Bound (up) - Max. possible relative overstatement - Losing Candidate]:[Error Bound (up) - Max. possible relative overstatement - Candidate 12]])</f>
        <v>1.5319979629943982E-2</v>
      </c>
      <c r="AC209" s="99">
        <f>IF(SamplingData[[#This Row],[Max Error Bound (up)]] = 0,0,SamplingData[[#This Row],[Max Error Bound (up)]]/SamplingData[[#Totals],[Max Error Bound (up)]])</f>
        <v>8.2024575562584167E-4</v>
      </c>
      <c r="AD209" s="103">
        <f>SUM($AC$5:AC209)</f>
        <v>0.21378421856254795</v>
      </c>
      <c r="AE209" s="99" t="str" cm="1">
        <f t="array" ref="AE209">IF(SamplingData[[#This Row],[up/U Selection Probability]] = 0, "Zero", TEXT(SamplingData[[#This Row],[Lower Range]], REPT("0",LEN('General Info'!$B$42))) &amp; " - " &amp; TEXT(SamplingData[[#This Row],[Upper Range]], REPT("0",LEN('General Info'!$B$42))))</f>
        <v>212964 - 213783</v>
      </c>
      <c r="AF209" s="99">
        <f>SamplingData[[#This Row],[Upper Range]]-SamplingData[[#This Row],[Span]]</f>
        <v>212963.97280692213</v>
      </c>
      <c r="AG209" s="99">
        <f>IF(ISNUMBER('General Info'!$B$42), ((SamplingData[[#This Row],[up/U Selection Probability]]) * 'General Info'!$B$44) - 1, 0)</f>
        <v>819.24575562584164</v>
      </c>
      <c r="AH209" s="99">
        <f>IF(ISNUMBER('General Info'!$B$42), (SamplingData[[#This Row],[Running (cumulative) sum]] * ('General Info'!$B$42 -'General Info'!$B$43 + 1)) + 'General Info'!$B$43 - 1, 0)</f>
        <v>213783.21856254796</v>
      </c>
      <c r="AI209" s="99" t="str">
        <f>IF(ISERROR(MATCH(SamplingData[[#This Row],[Batch by Type (p)]],SelectedPrecincts[Batch Name], 0)), "", INDEX(SelectedPrecincts[Draw], MATCH(SamplingData[[#This Row],[Batch by Type (p)]],SelectedPrecincts[Batch Name], 0)))</f>
        <v/>
      </c>
      <c r="AJ209" s="100">
        <f>IF(COUNTIF(SelectedPrecincts[Batch Name],SamplingData[[#This Row],[Batch by Type (p)]]) &lt;&gt; 0, COUNTIF(SelectedPrecincts[Batch Name],SamplingData[[#This Row],[Batch by Type (p)]]), 0)</f>
        <v>0</v>
      </c>
    </row>
    <row r="210" spans="1:36" ht="15" customHeight="1" x14ac:dyDescent="0.35">
      <c r="A210" s="97" t="s">
        <v>423</v>
      </c>
      <c r="B210" s="97">
        <v>169</v>
      </c>
      <c r="C210" s="97">
        <v>96</v>
      </c>
      <c r="D210" s="92"/>
      <c r="E210" s="92"/>
      <c r="F210" s="92"/>
      <c r="G210" s="96"/>
      <c r="H210" s="96"/>
      <c r="I210" s="92"/>
      <c r="J210" s="92"/>
      <c r="K210" s="92"/>
      <c r="L210" s="92"/>
      <c r="M210" s="92"/>
      <c r="N210" s="97">
        <v>0</v>
      </c>
      <c r="O210" s="97">
        <v>11</v>
      </c>
      <c r="P210" s="98">
        <f>SUM(SamplingData[[#This Row],[Winning Candidate]:[Under Votes]])</f>
        <v>276</v>
      </c>
      <c r="Q210" s="99">
        <f>IF(AND(SamplingData[[#This Row],[Total]]&lt;&gt; 0, NOT(ISBLANK(SamplingData[[#This Row],[Losing Candidate]]))),(SamplingData[[#This Row],[Total]]+SamplingData[[#This Row],[Winning Candidate]]-SamplingData[[#This Row],[Losing Candidate]])/(SamplingData[[#Totals],[Winning Candidate]]-SamplingData[[#Totals],[Losing Candidate]]), 0)</f>
        <v>1.4810728229502631E-2</v>
      </c>
      <c r="R210" s="99">
        <f>IF(AND(SamplingData[[#This Row],[Total]]&lt;&gt; 0, NOT(ISBLANK(SamplingData[[#This Row],[Candidate 3]]))),(SamplingData[[#This Row],[Total]]+SamplingData[[#This Row],[Winning Candidate]]-SamplingData[[#This Row],[Candidate 3]])/(SamplingData[[#Totals],[Winning Candidate]]-SamplingData[[#Totals],[Candidate 3]]), 0)</f>
        <v>0</v>
      </c>
      <c r="S210" s="99">
        <f>IF(AND(SamplingData[[#This Row],[Total]]&lt;&gt; 0, NOT(ISBLANK(SamplingData[[#This Row],[Candidate 4]]))),(SamplingData[[#This Row],[Total]]+SamplingData[[#This Row],[Winning Candidate]]-SamplingData[[#This Row],[Candidate 4]])/(SamplingData[[#Totals],[Winning Candidate]]-SamplingData[[#Totals],[Candidate 4]]), 0)</f>
        <v>0</v>
      </c>
      <c r="T210" s="99">
        <f>IF(AND(SamplingData[[#This Row],[Total]]&lt;&gt; 0, NOT(ISBLANK(SamplingData[[#This Row],[Candidate 5]]))),(SamplingData[[#This Row],[Total]]+SamplingData[[#This Row],[Winning Candidate]]-SamplingData[[#This Row],[Candidate 5]])/(SamplingData[[#Totals],[Winning Candidate]]-SamplingData[[#Totals],[Candidate 5]]), 0)</f>
        <v>0</v>
      </c>
      <c r="U210" s="99">
        <f>IF(AND(SamplingData[[#This Row],[Total]]&lt;&gt; 0, NOT(ISBLANK(SamplingData[[#This Row],[Candidate 6]]))),(SamplingData[[#This Row],[Total]]+SamplingData[[#This Row],[Losing Candidate]]-SamplingData[[#This Row],[Candidate 6]])/(SamplingData[[#Totals],[Winning Candidate]]-SamplingData[[#Totals],[Candidate 6]]), 0)</f>
        <v>0</v>
      </c>
      <c r="V210" s="99">
        <f>IF(AND(SamplingData[[#This Row],[Total]]&lt;&gt; 0, NOT(ISBLANK(SamplingData[[#This Row],[Candidate 7]]))),(SamplingData[[#This Row],[Total]]+SamplingData[[#This Row],[Winning Candidate]]-SamplingData[[#This Row],[Candidate 7]])/(SamplingData[[#Totals],[Winning Candidate]]-SamplingData[[#Totals],[Candidate 7]]), 0)</f>
        <v>0</v>
      </c>
      <c r="W210" s="99">
        <f>IF(AND(SamplingData[[#This Row],[Total]]&lt;&gt; 0, NOT(ISBLANK(SamplingData[[#This Row],[Candidate 8]]))),(SamplingData[[#This Row],[Total]]+SamplingData[[#This Row],[Winning Candidate]]-SamplingData[[#This Row],[Candidate 8]])/(SamplingData[[#Totals],[Winning Candidate]]-SamplingData[[#Totals],[Candidate 8]]), 0)</f>
        <v>0</v>
      </c>
      <c r="X2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0" s="99">
        <f>MAX(SamplingData[[#This Row],[Error Bound (up) - Max. possible relative overstatement - Losing Candidate]:[Error Bound (up) - Max. possible relative overstatement - Candidate 12]])</f>
        <v>1.4810728229502631E-2</v>
      </c>
      <c r="AC210" s="99">
        <f>IF(SamplingData[[#This Row],[Max Error Bound (up)]] = 0,0,SamplingData[[#This Row],[Max Error Bound (up)]]/SamplingData[[#Totals],[Max Error Bound (up)]])</f>
        <v>7.9297996873523209E-4</v>
      </c>
      <c r="AD210" s="103">
        <f>SUM($AC$5:AC210)</f>
        <v>0.21457719853128318</v>
      </c>
      <c r="AE210" s="99" t="str" cm="1">
        <f t="array" ref="AE210">IF(SamplingData[[#This Row],[up/U Selection Probability]] = 0, "Zero", TEXT(SamplingData[[#This Row],[Lower Range]], REPT("0",LEN('General Info'!$B$42))) &amp; " - " &amp; TEXT(SamplingData[[#This Row],[Upper Range]], REPT("0",LEN('General Info'!$B$42))))</f>
        <v>213784 - 214576</v>
      </c>
      <c r="AF210" s="99">
        <f>SamplingData[[#This Row],[Upper Range]]-SamplingData[[#This Row],[Span]]</f>
        <v>213784.21856254796</v>
      </c>
      <c r="AG210" s="99">
        <f>IF(ISNUMBER('General Info'!$B$42), ((SamplingData[[#This Row],[up/U Selection Probability]]) * 'General Info'!$B$44) - 1, 0)</f>
        <v>791.97996873523209</v>
      </c>
      <c r="AH210" s="99">
        <f>IF(ISNUMBER('General Info'!$B$42), (SamplingData[[#This Row],[Running (cumulative) sum]] * ('General Info'!$B$42 -'General Info'!$B$43 + 1)) + 'General Info'!$B$43 - 1, 0)</f>
        <v>214576.19853128318</v>
      </c>
      <c r="AI210" s="99" t="str">
        <f>IF(ISERROR(MATCH(SamplingData[[#This Row],[Batch by Type (p)]],SelectedPrecincts[Batch Name], 0)), "", INDEX(SelectedPrecincts[Draw], MATCH(SamplingData[[#This Row],[Batch by Type (p)]],SelectedPrecincts[Batch Name], 0)))</f>
        <v/>
      </c>
      <c r="AJ210" s="100">
        <f>IF(COUNTIF(SelectedPrecincts[Batch Name],SamplingData[[#This Row],[Batch by Type (p)]]) &lt;&gt; 0, COUNTIF(SelectedPrecincts[Batch Name],SamplingData[[#This Row],[Batch by Type (p)]]), 0)</f>
        <v>0</v>
      </c>
    </row>
    <row r="211" spans="1:36" ht="15" customHeight="1" x14ac:dyDescent="0.35">
      <c r="A211" s="97" t="s">
        <v>424</v>
      </c>
      <c r="B211" s="97">
        <v>130</v>
      </c>
      <c r="C211" s="97">
        <v>127</v>
      </c>
      <c r="D211" s="92"/>
      <c r="E211" s="92"/>
      <c r="F211" s="92"/>
      <c r="G211" s="96"/>
      <c r="H211" s="96"/>
      <c r="I211" s="92"/>
      <c r="J211" s="92"/>
      <c r="K211" s="92"/>
      <c r="L211" s="92"/>
      <c r="M211" s="92"/>
      <c r="N211" s="97">
        <v>0</v>
      </c>
      <c r="O211" s="97">
        <v>17</v>
      </c>
      <c r="P211" s="98">
        <f>SUM(SamplingData[[#This Row],[Winning Candidate]:[Under Votes]])</f>
        <v>274</v>
      </c>
      <c r="Q211" s="99">
        <f>IF(AND(SamplingData[[#This Row],[Total]]&lt;&gt; 0, NOT(ISBLANK(SamplingData[[#This Row],[Losing Candidate]]))),(SamplingData[[#This Row],[Total]]+SamplingData[[#This Row],[Winning Candidate]]-SamplingData[[#This Row],[Losing Candidate]])/(SamplingData[[#Totals],[Winning Candidate]]-SamplingData[[#Totals],[Losing Candidate]]), 0)</f>
        <v>1.1755219826854523E-2</v>
      </c>
      <c r="R211" s="99">
        <f>IF(AND(SamplingData[[#This Row],[Total]]&lt;&gt; 0, NOT(ISBLANK(SamplingData[[#This Row],[Candidate 3]]))),(SamplingData[[#This Row],[Total]]+SamplingData[[#This Row],[Winning Candidate]]-SamplingData[[#This Row],[Candidate 3]])/(SamplingData[[#Totals],[Winning Candidate]]-SamplingData[[#Totals],[Candidate 3]]), 0)</f>
        <v>0</v>
      </c>
      <c r="S211" s="99">
        <f>IF(AND(SamplingData[[#This Row],[Total]]&lt;&gt; 0, NOT(ISBLANK(SamplingData[[#This Row],[Candidate 4]]))),(SamplingData[[#This Row],[Total]]+SamplingData[[#This Row],[Winning Candidate]]-SamplingData[[#This Row],[Candidate 4]])/(SamplingData[[#Totals],[Winning Candidate]]-SamplingData[[#Totals],[Candidate 4]]), 0)</f>
        <v>0</v>
      </c>
      <c r="T211" s="99">
        <f>IF(AND(SamplingData[[#This Row],[Total]]&lt;&gt; 0, NOT(ISBLANK(SamplingData[[#This Row],[Candidate 5]]))),(SamplingData[[#This Row],[Total]]+SamplingData[[#This Row],[Winning Candidate]]-SamplingData[[#This Row],[Candidate 5]])/(SamplingData[[#Totals],[Winning Candidate]]-SamplingData[[#Totals],[Candidate 5]]), 0)</f>
        <v>0</v>
      </c>
      <c r="U211" s="99">
        <f>IF(AND(SamplingData[[#This Row],[Total]]&lt;&gt; 0, NOT(ISBLANK(SamplingData[[#This Row],[Candidate 6]]))),(SamplingData[[#This Row],[Total]]+SamplingData[[#This Row],[Losing Candidate]]-SamplingData[[#This Row],[Candidate 6]])/(SamplingData[[#Totals],[Winning Candidate]]-SamplingData[[#Totals],[Candidate 6]]), 0)</f>
        <v>0</v>
      </c>
      <c r="V211" s="99">
        <f>IF(AND(SamplingData[[#This Row],[Total]]&lt;&gt; 0, NOT(ISBLANK(SamplingData[[#This Row],[Candidate 7]]))),(SamplingData[[#This Row],[Total]]+SamplingData[[#This Row],[Winning Candidate]]-SamplingData[[#This Row],[Candidate 7]])/(SamplingData[[#Totals],[Winning Candidate]]-SamplingData[[#Totals],[Candidate 7]]), 0)</f>
        <v>0</v>
      </c>
      <c r="W211" s="99">
        <f>IF(AND(SamplingData[[#This Row],[Total]]&lt;&gt; 0, NOT(ISBLANK(SamplingData[[#This Row],[Candidate 8]]))),(SamplingData[[#This Row],[Total]]+SamplingData[[#This Row],[Winning Candidate]]-SamplingData[[#This Row],[Candidate 8]])/(SamplingData[[#Totals],[Winning Candidate]]-SamplingData[[#Totals],[Candidate 8]]), 0)</f>
        <v>0</v>
      </c>
      <c r="X2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1" s="99">
        <f>MAX(SamplingData[[#This Row],[Error Bound (up) - Max. possible relative overstatement - Losing Candidate]:[Error Bound (up) - Max. possible relative overstatement - Candidate 12]])</f>
        <v>1.1755219826854523E-2</v>
      </c>
      <c r="AC211" s="99">
        <f>IF(SamplingData[[#This Row],[Max Error Bound (up)]] = 0,0,SamplingData[[#This Row],[Max Error Bound (up)]]/SamplingData[[#Totals],[Max Error Bound (up)]])</f>
        <v>6.293852473915738E-4</v>
      </c>
      <c r="AD211" s="103">
        <f>SUM($AC$5:AC211)</f>
        <v>0.21520658377867474</v>
      </c>
      <c r="AE211" s="99" t="str" cm="1">
        <f t="array" ref="AE211">IF(SamplingData[[#This Row],[up/U Selection Probability]] = 0, "Zero", TEXT(SamplingData[[#This Row],[Lower Range]], REPT("0",LEN('General Info'!$B$42))) &amp; " - " &amp; TEXT(SamplingData[[#This Row],[Upper Range]], REPT("0",LEN('General Info'!$B$42))))</f>
        <v>214577 - 215206</v>
      </c>
      <c r="AF211" s="99">
        <f>SamplingData[[#This Row],[Upper Range]]-SamplingData[[#This Row],[Span]]</f>
        <v>214577.19853128318</v>
      </c>
      <c r="AG211" s="99">
        <f>IF(ISNUMBER('General Info'!$B$42), ((SamplingData[[#This Row],[up/U Selection Probability]]) * 'General Info'!$B$44) - 1, 0)</f>
        <v>628.38524739157378</v>
      </c>
      <c r="AH211" s="99">
        <f>IF(ISNUMBER('General Info'!$B$42), (SamplingData[[#This Row],[Running (cumulative) sum]] * ('General Info'!$B$42 -'General Info'!$B$43 + 1)) + 'General Info'!$B$43 - 1, 0)</f>
        <v>215205.58377867474</v>
      </c>
      <c r="AI211" s="99" t="str">
        <f>IF(ISERROR(MATCH(SamplingData[[#This Row],[Batch by Type (p)]],SelectedPrecincts[Batch Name], 0)), "", INDEX(SelectedPrecincts[Draw], MATCH(SamplingData[[#This Row],[Batch by Type (p)]],SelectedPrecincts[Batch Name], 0)))</f>
        <v/>
      </c>
      <c r="AJ211" s="100">
        <f>IF(COUNTIF(SelectedPrecincts[Batch Name],SamplingData[[#This Row],[Batch by Type (p)]]) &lt;&gt; 0, COUNTIF(SelectedPrecincts[Batch Name],SamplingData[[#This Row],[Batch by Type (p)]]), 0)</f>
        <v>0</v>
      </c>
    </row>
    <row r="212" spans="1:36" ht="15" customHeight="1" x14ac:dyDescent="0.35">
      <c r="A212" s="97" t="s">
        <v>425</v>
      </c>
      <c r="B212" s="97">
        <v>135</v>
      </c>
      <c r="C212" s="97">
        <v>96</v>
      </c>
      <c r="D212" s="92"/>
      <c r="E212" s="92"/>
      <c r="F212" s="92"/>
      <c r="G212" s="96"/>
      <c r="H212" s="96"/>
      <c r="I212" s="92"/>
      <c r="J212" s="92"/>
      <c r="K212" s="92"/>
      <c r="L212" s="92"/>
      <c r="M212" s="92"/>
      <c r="N212" s="97">
        <v>0</v>
      </c>
      <c r="O212" s="97">
        <v>16</v>
      </c>
      <c r="P212" s="98">
        <f>SUM(SamplingData[[#This Row],[Winning Candidate]:[Under Votes]])</f>
        <v>247</v>
      </c>
      <c r="Q212" s="99">
        <f>IF(AND(SamplingData[[#This Row],[Total]]&lt;&gt; 0, NOT(ISBLANK(SamplingData[[#This Row],[Losing Candidate]]))),(SamplingData[[#This Row],[Total]]+SamplingData[[#This Row],[Winning Candidate]]-SamplingData[[#This Row],[Losing Candidate]])/(SamplingData[[#Totals],[Winning Candidate]]-SamplingData[[#Totals],[Losing Candidate]]), 0)</f>
        <v>1.2137158377185537E-2</v>
      </c>
      <c r="R212" s="99">
        <f>IF(AND(SamplingData[[#This Row],[Total]]&lt;&gt; 0, NOT(ISBLANK(SamplingData[[#This Row],[Candidate 3]]))),(SamplingData[[#This Row],[Total]]+SamplingData[[#This Row],[Winning Candidate]]-SamplingData[[#This Row],[Candidate 3]])/(SamplingData[[#Totals],[Winning Candidate]]-SamplingData[[#Totals],[Candidate 3]]), 0)</f>
        <v>0</v>
      </c>
      <c r="S212" s="99">
        <f>IF(AND(SamplingData[[#This Row],[Total]]&lt;&gt; 0, NOT(ISBLANK(SamplingData[[#This Row],[Candidate 4]]))),(SamplingData[[#This Row],[Total]]+SamplingData[[#This Row],[Winning Candidate]]-SamplingData[[#This Row],[Candidate 4]])/(SamplingData[[#Totals],[Winning Candidate]]-SamplingData[[#Totals],[Candidate 4]]), 0)</f>
        <v>0</v>
      </c>
      <c r="T212" s="99">
        <f>IF(AND(SamplingData[[#This Row],[Total]]&lt;&gt; 0, NOT(ISBLANK(SamplingData[[#This Row],[Candidate 5]]))),(SamplingData[[#This Row],[Total]]+SamplingData[[#This Row],[Winning Candidate]]-SamplingData[[#This Row],[Candidate 5]])/(SamplingData[[#Totals],[Winning Candidate]]-SamplingData[[#Totals],[Candidate 5]]), 0)</f>
        <v>0</v>
      </c>
      <c r="U212" s="99">
        <f>IF(AND(SamplingData[[#This Row],[Total]]&lt;&gt; 0, NOT(ISBLANK(SamplingData[[#This Row],[Candidate 6]]))),(SamplingData[[#This Row],[Total]]+SamplingData[[#This Row],[Losing Candidate]]-SamplingData[[#This Row],[Candidate 6]])/(SamplingData[[#Totals],[Winning Candidate]]-SamplingData[[#Totals],[Candidate 6]]), 0)</f>
        <v>0</v>
      </c>
      <c r="V212" s="99">
        <f>IF(AND(SamplingData[[#This Row],[Total]]&lt;&gt; 0, NOT(ISBLANK(SamplingData[[#This Row],[Candidate 7]]))),(SamplingData[[#This Row],[Total]]+SamplingData[[#This Row],[Winning Candidate]]-SamplingData[[#This Row],[Candidate 7]])/(SamplingData[[#Totals],[Winning Candidate]]-SamplingData[[#Totals],[Candidate 7]]), 0)</f>
        <v>0</v>
      </c>
      <c r="W212" s="99">
        <f>IF(AND(SamplingData[[#This Row],[Total]]&lt;&gt; 0, NOT(ISBLANK(SamplingData[[#This Row],[Candidate 8]]))),(SamplingData[[#This Row],[Total]]+SamplingData[[#This Row],[Winning Candidate]]-SamplingData[[#This Row],[Candidate 8]])/(SamplingData[[#Totals],[Winning Candidate]]-SamplingData[[#Totals],[Candidate 8]]), 0)</f>
        <v>0</v>
      </c>
      <c r="X2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2" s="99">
        <f>MAX(SamplingData[[#This Row],[Error Bound (up) - Max. possible relative overstatement - Losing Candidate]:[Error Bound (up) - Max. possible relative overstatement - Candidate 12]])</f>
        <v>1.2137158377185537E-2</v>
      </c>
      <c r="AC212" s="99">
        <f>IF(SamplingData[[#This Row],[Max Error Bound (up)]] = 0,0,SamplingData[[#This Row],[Max Error Bound (up)]]/SamplingData[[#Totals],[Max Error Bound (up)]])</f>
        <v>6.4983458755953104E-4</v>
      </c>
      <c r="AD212" s="103">
        <f>SUM($AC$5:AC212)</f>
        <v>0.21585641836623429</v>
      </c>
      <c r="AE212" s="99" t="str" cm="1">
        <f t="array" ref="AE212">IF(SamplingData[[#This Row],[up/U Selection Probability]] = 0, "Zero", TEXT(SamplingData[[#This Row],[Lower Range]], REPT("0",LEN('General Info'!$B$42))) &amp; " - " &amp; TEXT(SamplingData[[#This Row],[Upper Range]], REPT("0",LEN('General Info'!$B$42))))</f>
        <v>215207 - 215855</v>
      </c>
      <c r="AF212" s="99">
        <f>SamplingData[[#This Row],[Upper Range]]-SamplingData[[#This Row],[Span]]</f>
        <v>215206.58377867474</v>
      </c>
      <c r="AG212" s="99">
        <f>IF(ISNUMBER('General Info'!$B$42), ((SamplingData[[#This Row],[up/U Selection Probability]]) * 'General Info'!$B$44) - 1, 0)</f>
        <v>648.83458755953109</v>
      </c>
      <c r="AH212" s="99">
        <f>IF(ISNUMBER('General Info'!$B$42), (SamplingData[[#This Row],[Running (cumulative) sum]] * ('General Info'!$B$42 -'General Info'!$B$43 + 1)) + 'General Info'!$B$43 - 1, 0)</f>
        <v>215855.41836623428</v>
      </c>
      <c r="AI212" s="99" t="str">
        <f>IF(ISERROR(MATCH(SamplingData[[#This Row],[Batch by Type (p)]],SelectedPrecincts[Batch Name], 0)), "", INDEX(SelectedPrecincts[Draw], MATCH(SamplingData[[#This Row],[Batch by Type (p)]],SelectedPrecincts[Batch Name], 0)))</f>
        <v/>
      </c>
      <c r="AJ212" s="100">
        <f>IF(COUNTIF(SelectedPrecincts[Batch Name],SamplingData[[#This Row],[Batch by Type (p)]]) &lt;&gt; 0, COUNTIF(SelectedPrecincts[Batch Name],SamplingData[[#This Row],[Batch by Type (p)]]), 0)</f>
        <v>0</v>
      </c>
    </row>
    <row r="213" spans="1:36" ht="15" customHeight="1" x14ac:dyDescent="0.35">
      <c r="A213" s="97" t="s">
        <v>426</v>
      </c>
      <c r="B213" s="97">
        <v>171</v>
      </c>
      <c r="C213" s="97">
        <v>162</v>
      </c>
      <c r="D213" s="92"/>
      <c r="E213" s="92"/>
      <c r="F213" s="92"/>
      <c r="G213" s="96"/>
      <c r="H213" s="96"/>
      <c r="I213" s="92"/>
      <c r="J213" s="92"/>
      <c r="K213" s="92"/>
      <c r="L213" s="92"/>
      <c r="M213" s="92"/>
      <c r="N213" s="97">
        <v>0</v>
      </c>
      <c r="O213" s="97">
        <v>18</v>
      </c>
      <c r="P213" s="98">
        <f>SUM(SamplingData[[#This Row],[Winning Candidate]:[Under Votes]])</f>
        <v>351</v>
      </c>
      <c r="Q213" s="99">
        <f>IF(AND(SamplingData[[#This Row],[Total]]&lt;&gt; 0, NOT(ISBLANK(SamplingData[[#This Row],[Losing Candidate]]))),(SamplingData[[#This Row],[Total]]+SamplingData[[#This Row],[Winning Candidate]]-SamplingData[[#This Row],[Losing Candidate]])/(SamplingData[[#Totals],[Winning Candidate]]-SamplingData[[#Totals],[Losing Candidate]]), 0)</f>
        <v>1.5277542013240537E-2</v>
      </c>
      <c r="R213" s="99">
        <f>IF(AND(SamplingData[[#This Row],[Total]]&lt;&gt; 0, NOT(ISBLANK(SamplingData[[#This Row],[Candidate 3]]))),(SamplingData[[#This Row],[Total]]+SamplingData[[#This Row],[Winning Candidate]]-SamplingData[[#This Row],[Candidate 3]])/(SamplingData[[#Totals],[Winning Candidate]]-SamplingData[[#Totals],[Candidate 3]]), 0)</f>
        <v>0</v>
      </c>
      <c r="S213" s="99">
        <f>IF(AND(SamplingData[[#This Row],[Total]]&lt;&gt; 0, NOT(ISBLANK(SamplingData[[#This Row],[Candidate 4]]))),(SamplingData[[#This Row],[Total]]+SamplingData[[#This Row],[Winning Candidate]]-SamplingData[[#This Row],[Candidate 4]])/(SamplingData[[#Totals],[Winning Candidate]]-SamplingData[[#Totals],[Candidate 4]]), 0)</f>
        <v>0</v>
      </c>
      <c r="T213" s="99">
        <f>IF(AND(SamplingData[[#This Row],[Total]]&lt;&gt; 0, NOT(ISBLANK(SamplingData[[#This Row],[Candidate 5]]))),(SamplingData[[#This Row],[Total]]+SamplingData[[#This Row],[Winning Candidate]]-SamplingData[[#This Row],[Candidate 5]])/(SamplingData[[#Totals],[Winning Candidate]]-SamplingData[[#Totals],[Candidate 5]]), 0)</f>
        <v>0</v>
      </c>
      <c r="U213" s="99">
        <f>IF(AND(SamplingData[[#This Row],[Total]]&lt;&gt; 0, NOT(ISBLANK(SamplingData[[#This Row],[Candidate 6]]))),(SamplingData[[#This Row],[Total]]+SamplingData[[#This Row],[Losing Candidate]]-SamplingData[[#This Row],[Candidate 6]])/(SamplingData[[#Totals],[Winning Candidate]]-SamplingData[[#Totals],[Candidate 6]]), 0)</f>
        <v>0</v>
      </c>
      <c r="V213" s="99">
        <f>IF(AND(SamplingData[[#This Row],[Total]]&lt;&gt; 0, NOT(ISBLANK(SamplingData[[#This Row],[Candidate 7]]))),(SamplingData[[#This Row],[Total]]+SamplingData[[#This Row],[Winning Candidate]]-SamplingData[[#This Row],[Candidate 7]])/(SamplingData[[#Totals],[Winning Candidate]]-SamplingData[[#Totals],[Candidate 7]]), 0)</f>
        <v>0</v>
      </c>
      <c r="W213" s="99">
        <f>IF(AND(SamplingData[[#This Row],[Total]]&lt;&gt; 0, NOT(ISBLANK(SamplingData[[#This Row],[Candidate 8]]))),(SamplingData[[#This Row],[Total]]+SamplingData[[#This Row],[Winning Candidate]]-SamplingData[[#This Row],[Candidate 8]])/(SamplingData[[#Totals],[Winning Candidate]]-SamplingData[[#Totals],[Candidate 8]]), 0)</f>
        <v>0</v>
      </c>
      <c r="X2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3" s="99">
        <f>MAX(SamplingData[[#This Row],[Error Bound (up) - Max. possible relative overstatement - Losing Candidate]:[Error Bound (up) - Max. possible relative overstatement - Candidate 12]])</f>
        <v>1.5277542013240537E-2</v>
      </c>
      <c r="AC213" s="99">
        <f>IF(SamplingData[[#This Row],[Max Error Bound (up)]] = 0,0,SamplingData[[#This Row],[Max Error Bound (up)]]/SamplingData[[#Totals],[Max Error Bound (up)]])</f>
        <v>8.17973606718291E-4</v>
      </c>
      <c r="AD213" s="103">
        <f>SUM($AC$5:AC213)</f>
        <v>0.21667439197295257</v>
      </c>
      <c r="AE213" s="99" t="str" cm="1">
        <f t="array" ref="AE213">IF(SamplingData[[#This Row],[up/U Selection Probability]] = 0, "Zero", TEXT(SamplingData[[#This Row],[Lower Range]], REPT("0",LEN('General Info'!$B$42))) &amp; " - " &amp; TEXT(SamplingData[[#This Row],[Upper Range]], REPT("0",LEN('General Info'!$B$42))))</f>
        <v>215856 - 216673</v>
      </c>
      <c r="AF213" s="99">
        <f>SamplingData[[#This Row],[Upper Range]]-SamplingData[[#This Row],[Span]]</f>
        <v>215856.41836623428</v>
      </c>
      <c r="AG213" s="99">
        <f>IF(ISNUMBER('General Info'!$B$42), ((SamplingData[[#This Row],[up/U Selection Probability]]) * 'General Info'!$B$44) - 1, 0)</f>
        <v>816.97360671829097</v>
      </c>
      <c r="AH213" s="99">
        <f>IF(ISNUMBER('General Info'!$B$42), (SamplingData[[#This Row],[Running (cumulative) sum]] * ('General Info'!$B$42 -'General Info'!$B$43 + 1)) + 'General Info'!$B$43 - 1, 0)</f>
        <v>216673.39197295258</v>
      </c>
      <c r="AI213" s="99" t="str">
        <f>IF(ISERROR(MATCH(SamplingData[[#This Row],[Batch by Type (p)]],SelectedPrecincts[Batch Name], 0)), "", INDEX(SelectedPrecincts[Draw], MATCH(SamplingData[[#This Row],[Batch by Type (p)]],SelectedPrecincts[Batch Name], 0)))</f>
        <v/>
      </c>
      <c r="AJ213" s="100">
        <f>IF(COUNTIF(SelectedPrecincts[Batch Name],SamplingData[[#This Row],[Batch by Type (p)]]) &lt;&gt; 0, COUNTIF(SelectedPrecincts[Batch Name],SamplingData[[#This Row],[Batch by Type (p)]]), 0)</f>
        <v>0</v>
      </c>
    </row>
    <row r="214" spans="1:36" ht="15" customHeight="1" x14ac:dyDescent="0.35">
      <c r="A214" s="97" t="s">
        <v>427</v>
      </c>
      <c r="B214" s="97">
        <v>150</v>
      </c>
      <c r="C214" s="97">
        <v>18</v>
      </c>
      <c r="D214" s="92"/>
      <c r="E214" s="92"/>
      <c r="F214" s="92"/>
      <c r="G214" s="96"/>
      <c r="H214" s="96"/>
      <c r="I214" s="92"/>
      <c r="J214" s="92"/>
      <c r="K214" s="92"/>
      <c r="L214" s="92"/>
      <c r="M214" s="92"/>
      <c r="N214" s="97">
        <v>0</v>
      </c>
      <c r="O214" s="97">
        <v>13</v>
      </c>
      <c r="P214" s="98">
        <f>SUM(SamplingData[[#This Row],[Winning Candidate]:[Under Votes]])</f>
        <v>181</v>
      </c>
      <c r="Q214" s="99">
        <f>IF(AND(SamplingData[[#This Row],[Total]]&lt;&gt; 0, NOT(ISBLANK(SamplingData[[#This Row],[Losing Candidate]]))),(SamplingData[[#This Row],[Total]]+SamplingData[[#This Row],[Winning Candidate]]-SamplingData[[#This Row],[Losing Candidate]])/(SamplingData[[#Totals],[Winning Candidate]]-SamplingData[[#Totals],[Losing Candidate]]), 0)</f>
        <v>1.3282974028178577E-2</v>
      </c>
      <c r="R214" s="99">
        <f>IF(AND(SamplingData[[#This Row],[Total]]&lt;&gt; 0, NOT(ISBLANK(SamplingData[[#This Row],[Candidate 3]]))),(SamplingData[[#This Row],[Total]]+SamplingData[[#This Row],[Winning Candidate]]-SamplingData[[#This Row],[Candidate 3]])/(SamplingData[[#Totals],[Winning Candidate]]-SamplingData[[#Totals],[Candidate 3]]), 0)</f>
        <v>0</v>
      </c>
      <c r="S214" s="99">
        <f>IF(AND(SamplingData[[#This Row],[Total]]&lt;&gt; 0, NOT(ISBLANK(SamplingData[[#This Row],[Candidate 4]]))),(SamplingData[[#This Row],[Total]]+SamplingData[[#This Row],[Winning Candidate]]-SamplingData[[#This Row],[Candidate 4]])/(SamplingData[[#Totals],[Winning Candidate]]-SamplingData[[#Totals],[Candidate 4]]), 0)</f>
        <v>0</v>
      </c>
      <c r="T214" s="99">
        <f>IF(AND(SamplingData[[#This Row],[Total]]&lt;&gt; 0, NOT(ISBLANK(SamplingData[[#This Row],[Candidate 5]]))),(SamplingData[[#This Row],[Total]]+SamplingData[[#This Row],[Winning Candidate]]-SamplingData[[#This Row],[Candidate 5]])/(SamplingData[[#Totals],[Winning Candidate]]-SamplingData[[#Totals],[Candidate 5]]), 0)</f>
        <v>0</v>
      </c>
      <c r="U214" s="99">
        <f>IF(AND(SamplingData[[#This Row],[Total]]&lt;&gt; 0, NOT(ISBLANK(SamplingData[[#This Row],[Candidate 6]]))),(SamplingData[[#This Row],[Total]]+SamplingData[[#This Row],[Losing Candidate]]-SamplingData[[#This Row],[Candidate 6]])/(SamplingData[[#Totals],[Winning Candidate]]-SamplingData[[#Totals],[Candidate 6]]), 0)</f>
        <v>0</v>
      </c>
      <c r="V214" s="99">
        <f>IF(AND(SamplingData[[#This Row],[Total]]&lt;&gt; 0, NOT(ISBLANK(SamplingData[[#This Row],[Candidate 7]]))),(SamplingData[[#This Row],[Total]]+SamplingData[[#This Row],[Winning Candidate]]-SamplingData[[#This Row],[Candidate 7]])/(SamplingData[[#Totals],[Winning Candidate]]-SamplingData[[#Totals],[Candidate 7]]), 0)</f>
        <v>0</v>
      </c>
      <c r="W214" s="99">
        <f>IF(AND(SamplingData[[#This Row],[Total]]&lt;&gt; 0, NOT(ISBLANK(SamplingData[[#This Row],[Candidate 8]]))),(SamplingData[[#This Row],[Total]]+SamplingData[[#This Row],[Winning Candidate]]-SamplingData[[#This Row],[Candidate 8]])/(SamplingData[[#Totals],[Winning Candidate]]-SamplingData[[#Totals],[Candidate 8]]), 0)</f>
        <v>0</v>
      </c>
      <c r="X2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4" s="99">
        <f>MAX(SamplingData[[#This Row],[Error Bound (up) - Max. possible relative overstatement - Losing Candidate]:[Error Bound (up) - Max. possible relative overstatement - Candidate 12]])</f>
        <v>1.3282974028178577E-2</v>
      </c>
      <c r="AC214" s="99">
        <f>IF(SamplingData[[#This Row],[Max Error Bound (up)]] = 0,0,SamplingData[[#This Row],[Max Error Bound (up)]]/SamplingData[[#Totals],[Max Error Bound (up)]])</f>
        <v>7.1118260806340289E-4</v>
      </c>
      <c r="AD214" s="103">
        <f>SUM($AC$5:AC214)</f>
        <v>0.21738557458101598</v>
      </c>
      <c r="AE214" s="99" t="str" cm="1">
        <f t="array" ref="AE214">IF(SamplingData[[#This Row],[up/U Selection Probability]] = 0, "Zero", TEXT(SamplingData[[#This Row],[Lower Range]], REPT("0",LEN('General Info'!$B$42))) &amp; " - " &amp; TEXT(SamplingData[[#This Row],[Upper Range]], REPT("0",LEN('General Info'!$B$42))))</f>
        <v>216674 - 217385</v>
      </c>
      <c r="AF214" s="99">
        <f>SamplingData[[#This Row],[Upper Range]]-SamplingData[[#This Row],[Span]]</f>
        <v>216674.39197295258</v>
      </c>
      <c r="AG214" s="99">
        <f>IF(ISNUMBER('General Info'!$B$42), ((SamplingData[[#This Row],[up/U Selection Probability]]) * 'General Info'!$B$44) - 1, 0)</f>
        <v>710.18260806340288</v>
      </c>
      <c r="AH214" s="99">
        <f>IF(ISNUMBER('General Info'!$B$42), (SamplingData[[#This Row],[Running (cumulative) sum]] * ('General Info'!$B$42 -'General Info'!$B$43 + 1)) + 'General Info'!$B$43 - 1, 0)</f>
        <v>217384.57458101597</v>
      </c>
      <c r="AI214" s="99" t="str">
        <f>IF(ISERROR(MATCH(SamplingData[[#This Row],[Batch by Type (p)]],SelectedPrecincts[Batch Name], 0)), "", INDEX(SelectedPrecincts[Draw], MATCH(SamplingData[[#This Row],[Batch by Type (p)]],SelectedPrecincts[Batch Name], 0)))</f>
        <v/>
      </c>
      <c r="AJ214" s="100">
        <f>IF(COUNTIF(SelectedPrecincts[Batch Name],SamplingData[[#This Row],[Batch by Type (p)]]) &lt;&gt; 0, COUNTIF(SelectedPrecincts[Batch Name],SamplingData[[#This Row],[Batch by Type (p)]]), 0)</f>
        <v>0</v>
      </c>
    </row>
    <row r="215" spans="1:36" ht="15" customHeight="1" x14ac:dyDescent="0.35">
      <c r="A215" s="97" t="s">
        <v>428</v>
      </c>
      <c r="B215" s="97">
        <v>186</v>
      </c>
      <c r="C215" s="97">
        <v>61</v>
      </c>
      <c r="D215" s="92"/>
      <c r="E215" s="92"/>
      <c r="F215" s="92"/>
      <c r="G215" s="96"/>
      <c r="H215" s="96"/>
      <c r="I215" s="92"/>
      <c r="J215" s="92"/>
      <c r="K215" s="92"/>
      <c r="L215" s="92"/>
      <c r="M215" s="92"/>
      <c r="N215" s="97">
        <v>0</v>
      </c>
      <c r="O215" s="97">
        <v>6</v>
      </c>
      <c r="P215" s="98">
        <f>SUM(SamplingData[[#This Row],[Winning Candidate]:[Under Votes]])</f>
        <v>253</v>
      </c>
      <c r="Q215" s="99">
        <f>IF(AND(SamplingData[[#This Row],[Total]]&lt;&gt; 0, NOT(ISBLANK(SamplingData[[#This Row],[Losing Candidate]]))),(SamplingData[[#This Row],[Total]]+SamplingData[[#This Row],[Winning Candidate]]-SamplingData[[#This Row],[Losing Candidate]])/(SamplingData[[#Totals],[Winning Candidate]]-SamplingData[[#Totals],[Losing Candidate]]), 0)</f>
        <v>1.6041419113902562E-2</v>
      </c>
      <c r="R215" s="99">
        <f>IF(AND(SamplingData[[#This Row],[Total]]&lt;&gt; 0, NOT(ISBLANK(SamplingData[[#This Row],[Candidate 3]]))),(SamplingData[[#This Row],[Total]]+SamplingData[[#This Row],[Winning Candidate]]-SamplingData[[#This Row],[Candidate 3]])/(SamplingData[[#Totals],[Winning Candidate]]-SamplingData[[#Totals],[Candidate 3]]), 0)</f>
        <v>0</v>
      </c>
      <c r="S215" s="99">
        <f>IF(AND(SamplingData[[#This Row],[Total]]&lt;&gt; 0, NOT(ISBLANK(SamplingData[[#This Row],[Candidate 4]]))),(SamplingData[[#This Row],[Total]]+SamplingData[[#This Row],[Winning Candidate]]-SamplingData[[#This Row],[Candidate 4]])/(SamplingData[[#Totals],[Winning Candidate]]-SamplingData[[#Totals],[Candidate 4]]), 0)</f>
        <v>0</v>
      </c>
      <c r="T215" s="99">
        <f>IF(AND(SamplingData[[#This Row],[Total]]&lt;&gt; 0, NOT(ISBLANK(SamplingData[[#This Row],[Candidate 5]]))),(SamplingData[[#This Row],[Total]]+SamplingData[[#This Row],[Winning Candidate]]-SamplingData[[#This Row],[Candidate 5]])/(SamplingData[[#Totals],[Winning Candidate]]-SamplingData[[#Totals],[Candidate 5]]), 0)</f>
        <v>0</v>
      </c>
      <c r="U215" s="99">
        <f>IF(AND(SamplingData[[#This Row],[Total]]&lt;&gt; 0, NOT(ISBLANK(SamplingData[[#This Row],[Candidate 6]]))),(SamplingData[[#This Row],[Total]]+SamplingData[[#This Row],[Losing Candidate]]-SamplingData[[#This Row],[Candidate 6]])/(SamplingData[[#Totals],[Winning Candidate]]-SamplingData[[#Totals],[Candidate 6]]), 0)</f>
        <v>0</v>
      </c>
      <c r="V215" s="99">
        <f>IF(AND(SamplingData[[#This Row],[Total]]&lt;&gt; 0, NOT(ISBLANK(SamplingData[[#This Row],[Candidate 7]]))),(SamplingData[[#This Row],[Total]]+SamplingData[[#This Row],[Winning Candidate]]-SamplingData[[#This Row],[Candidate 7]])/(SamplingData[[#Totals],[Winning Candidate]]-SamplingData[[#Totals],[Candidate 7]]), 0)</f>
        <v>0</v>
      </c>
      <c r="W215" s="99">
        <f>IF(AND(SamplingData[[#This Row],[Total]]&lt;&gt; 0, NOT(ISBLANK(SamplingData[[#This Row],[Candidate 8]]))),(SamplingData[[#This Row],[Total]]+SamplingData[[#This Row],[Winning Candidate]]-SamplingData[[#This Row],[Candidate 8]])/(SamplingData[[#Totals],[Winning Candidate]]-SamplingData[[#Totals],[Candidate 8]]), 0)</f>
        <v>0</v>
      </c>
      <c r="X2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5" s="99">
        <f>MAX(SamplingData[[#This Row],[Error Bound (up) - Max. possible relative overstatement - Losing Candidate]:[Error Bound (up) - Max. possible relative overstatement - Candidate 12]])</f>
        <v>1.6041419113902562E-2</v>
      </c>
      <c r="AC215" s="99">
        <f>IF(SamplingData[[#This Row],[Max Error Bound (up)]] = 0,0,SamplingData[[#This Row],[Max Error Bound (up)]]/SamplingData[[#Totals],[Max Error Bound (up)]])</f>
        <v>8.5887228705420538E-4</v>
      </c>
      <c r="AD215" s="103">
        <f>SUM($AC$5:AC215)</f>
        <v>0.21824444686807018</v>
      </c>
      <c r="AE215" s="99" t="str" cm="1">
        <f t="array" ref="AE215">IF(SamplingData[[#This Row],[up/U Selection Probability]] = 0, "Zero", TEXT(SamplingData[[#This Row],[Lower Range]], REPT("0",LEN('General Info'!$B$42))) &amp; " - " &amp; TEXT(SamplingData[[#This Row],[Upper Range]], REPT("0",LEN('General Info'!$B$42))))</f>
        <v>217386 - 218243</v>
      </c>
      <c r="AF215" s="99">
        <f>SamplingData[[#This Row],[Upper Range]]-SamplingData[[#This Row],[Span]]</f>
        <v>217385.57458101597</v>
      </c>
      <c r="AG215" s="99">
        <f>IF(ISNUMBER('General Info'!$B$42), ((SamplingData[[#This Row],[up/U Selection Probability]]) * 'General Info'!$B$44) - 1, 0)</f>
        <v>857.87228705420534</v>
      </c>
      <c r="AH215" s="99">
        <f>IF(ISNUMBER('General Info'!$B$42), (SamplingData[[#This Row],[Running (cumulative) sum]] * ('General Info'!$B$42 -'General Info'!$B$43 + 1)) + 'General Info'!$B$43 - 1, 0)</f>
        <v>218243.44686807017</v>
      </c>
      <c r="AI215" s="99" t="str">
        <f>IF(ISERROR(MATCH(SamplingData[[#This Row],[Batch by Type (p)]],SelectedPrecincts[Batch Name], 0)), "", INDEX(SelectedPrecincts[Draw], MATCH(SamplingData[[#This Row],[Batch by Type (p)]],SelectedPrecincts[Batch Name], 0)))</f>
        <v/>
      </c>
      <c r="AJ215" s="100">
        <f>IF(COUNTIF(SelectedPrecincts[Batch Name],SamplingData[[#This Row],[Batch by Type (p)]]) &lt;&gt; 0, COUNTIF(SelectedPrecincts[Batch Name],SamplingData[[#This Row],[Batch by Type (p)]]), 0)</f>
        <v>0</v>
      </c>
    </row>
    <row r="216" spans="1:36" ht="15" customHeight="1" x14ac:dyDescent="0.35">
      <c r="A216" s="97" t="s">
        <v>429</v>
      </c>
      <c r="B216" s="97">
        <v>223</v>
      </c>
      <c r="C216" s="97">
        <v>30</v>
      </c>
      <c r="D216" s="92"/>
      <c r="E216" s="92"/>
      <c r="F216" s="92"/>
      <c r="G216" s="96"/>
      <c r="H216" s="96"/>
      <c r="I216" s="92"/>
      <c r="J216" s="92"/>
      <c r="K216" s="92"/>
      <c r="L216" s="92"/>
      <c r="M216" s="92"/>
      <c r="N216" s="97">
        <v>0</v>
      </c>
      <c r="O216" s="97">
        <v>8</v>
      </c>
      <c r="P216" s="98">
        <f>SUM(SamplingData[[#This Row],[Winning Candidate]:[Under Votes]])</f>
        <v>261</v>
      </c>
      <c r="Q216" s="99">
        <f>IF(AND(SamplingData[[#This Row],[Total]]&lt;&gt; 0, NOT(ISBLANK(SamplingData[[#This Row],[Losing Candidate]]))),(SamplingData[[#This Row],[Total]]+SamplingData[[#This Row],[Winning Candidate]]-SamplingData[[#This Row],[Losing Candidate]])/(SamplingData[[#Totals],[Winning Candidate]]-SamplingData[[#Totals],[Losing Candidate]]), 0)</f>
        <v>1.9266677983364455E-2</v>
      </c>
      <c r="R216" s="99">
        <f>IF(AND(SamplingData[[#This Row],[Total]]&lt;&gt; 0, NOT(ISBLANK(SamplingData[[#This Row],[Candidate 3]]))),(SamplingData[[#This Row],[Total]]+SamplingData[[#This Row],[Winning Candidate]]-SamplingData[[#This Row],[Candidate 3]])/(SamplingData[[#Totals],[Winning Candidate]]-SamplingData[[#Totals],[Candidate 3]]), 0)</f>
        <v>0</v>
      </c>
      <c r="S216" s="99">
        <f>IF(AND(SamplingData[[#This Row],[Total]]&lt;&gt; 0, NOT(ISBLANK(SamplingData[[#This Row],[Candidate 4]]))),(SamplingData[[#This Row],[Total]]+SamplingData[[#This Row],[Winning Candidate]]-SamplingData[[#This Row],[Candidate 4]])/(SamplingData[[#Totals],[Winning Candidate]]-SamplingData[[#Totals],[Candidate 4]]), 0)</f>
        <v>0</v>
      </c>
      <c r="T216" s="99">
        <f>IF(AND(SamplingData[[#This Row],[Total]]&lt;&gt; 0, NOT(ISBLANK(SamplingData[[#This Row],[Candidate 5]]))),(SamplingData[[#This Row],[Total]]+SamplingData[[#This Row],[Winning Candidate]]-SamplingData[[#This Row],[Candidate 5]])/(SamplingData[[#Totals],[Winning Candidate]]-SamplingData[[#Totals],[Candidate 5]]), 0)</f>
        <v>0</v>
      </c>
      <c r="U216" s="99">
        <f>IF(AND(SamplingData[[#This Row],[Total]]&lt;&gt; 0, NOT(ISBLANK(SamplingData[[#This Row],[Candidate 6]]))),(SamplingData[[#This Row],[Total]]+SamplingData[[#This Row],[Losing Candidate]]-SamplingData[[#This Row],[Candidate 6]])/(SamplingData[[#Totals],[Winning Candidate]]-SamplingData[[#Totals],[Candidate 6]]), 0)</f>
        <v>0</v>
      </c>
      <c r="V216" s="99">
        <f>IF(AND(SamplingData[[#This Row],[Total]]&lt;&gt; 0, NOT(ISBLANK(SamplingData[[#This Row],[Candidate 7]]))),(SamplingData[[#This Row],[Total]]+SamplingData[[#This Row],[Winning Candidate]]-SamplingData[[#This Row],[Candidate 7]])/(SamplingData[[#Totals],[Winning Candidate]]-SamplingData[[#Totals],[Candidate 7]]), 0)</f>
        <v>0</v>
      </c>
      <c r="W216" s="99">
        <f>IF(AND(SamplingData[[#This Row],[Total]]&lt;&gt; 0, NOT(ISBLANK(SamplingData[[#This Row],[Candidate 8]]))),(SamplingData[[#This Row],[Total]]+SamplingData[[#This Row],[Winning Candidate]]-SamplingData[[#This Row],[Candidate 8]])/(SamplingData[[#Totals],[Winning Candidate]]-SamplingData[[#Totals],[Candidate 8]]), 0)</f>
        <v>0</v>
      </c>
      <c r="X2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6" s="99">
        <f>MAX(SamplingData[[#This Row],[Error Bound (up) - Max. possible relative overstatement - Losing Candidate]:[Error Bound (up) - Max. possible relative overstatement - Candidate 12]])</f>
        <v>1.9266677983364455E-2</v>
      </c>
      <c r="AC216" s="99">
        <f>IF(SamplingData[[#This Row],[Max Error Bound (up)]] = 0,0,SamplingData[[#This Row],[Max Error Bound (up)]]/SamplingData[[#Totals],[Max Error Bound (up)]])</f>
        <v>1.0315556040280669E-3</v>
      </c>
      <c r="AD216" s="103">
        <f>SUM($AC$5:AC216)</f>
        <v>0.21927600247209825</v>
      </c>
      <c r="AE216" s="99" t="str" cm="1">
        <f t="array" ref="AE216">IF(SamplingData[[#This Row],[up/U Selection Probability]] = 0, "Zero", TEXT(SamplingData[[#This Row],[Lower Range]], REPT("0",LEN('General Info'!$B$42))) &amp; " - " &amp; TEXT(SamplingData[[#This Row],[Upper Range]], REPT("0",LEN('General Info'!$B$42))))</f>
        <v>218244 - 219275</v>
      </c>
      <c r="AF216" s="99">
        <f>SamplingData[[#This Row],[Upper Range]]-SamplingData[[#This Row],[Span]]</f>
        <v>218244.44686807017</v>
      </c>
      <c r="AG216" s="99">
        <f>IF(ISNUMBER('General Info'!$B$42), ((SamplingData[[#This Row],[up/U Selection Probability]]) * 'General Info'!$B$44) - 1, 0)</f>
        <v>1030.5556040280669</v>
      </c>
      <c r="AH216" s="99">
        <f>IF(ISNUMBER('General Info'!$B$42), (SamplingData[[#This Row],[Running (cumulative) sum]] * ('General Info'!$B$42 -'General Info'!$B$43 + 1)) + 'General Info'!$B$43 - 1, 0)</f>
        <v>219275.00247209825</v>
      </c>
      <c r="AI216" s="99" t="str">
        <f>IF(ISERROR(MATCH(SamplingData[[#This Row],[Batch by Type (p)]],SelectedPrecincts[Batch Name], 0)), "", INDEX(SelectedPrecincts[Draw], MATCH(SamplingData[[#This Row],[Batch by Type (p)]],SelectedPrecincts[Batch Name], 0)))</f>
        <v/>
      </c>
      <c r="AJ216" s="100">
        <f>IF(COUNTIF(SelectedPrecincts[Batch Name],SamplingData[[#This Row],[Batch by Type (p)]]) &lt;&gt; 0, COUNTIF(SelectedPrecincts[Batch Name],SamplingData[[#This Row],[Batch by Type (p)]]), 0)</f>
        <v>0</v>
      </c>
    </row>
    <row r="217" spans="1:36" ht="15" customHeight="1" x14ac:dyDescent="0.35">
      <c r="A217" s="97" t="s">
        <v>430</v>
      </c>
      <c r="B217" s="97">
        <v>178</v>
      </c>
      <c r="C217" s="97">
        <v>26</v>
      </c>
      <c r="D217" s="92"/>
      <c r="E217" s="92"/>
      <c r="F217" s="92"/>
      <c r="G217" s="96"/>
      <c r="H217" s="96"/>
      <c r="I217" s="92"/>
      <c r="J217" s="92"/>
      <c r="K217" s="92"/>
      <c r="L217" s="92"/>
      <c r="M217" s="92"/>
      <c r="N217" s="97">
        <v>0</v>
      </c>
      <c r="O217" s="97">
        <v>6</v>
      </c>
      <c r="P217" s="98">
        <f>SUM(SamplingData[[#This Row],[Winning Candidate]:[Under Votes]])</f>
        <v>210</v>
      </c>
      <c r="Q217" s="99">
        <f>IF(AND(SamplingData[[#This Row],[Total]]&lt;&gt; 0, NOT(ISBLANK(SamplingData[[#This Row],[Losing Candidate]]))),(SamplingData[[#This Row],[Total]]+SamplingData[[#This Row],[Winning Candidate]]-SamplingData[[#This Row],[Losing Candidate]])/(SamplingData[[#Totals],[Winning Candidate]]-SamplingData[[#Totals],[Losing Candidate]]), 0)</f>
        <v>1.5362417246647428E-2</v>
      </c>
      <c r="R217" s="99">
        <f>IF(AND(SamplingData[[#This Row],[Total]]&lt;&gt; 0, NOT(ISBLANK(SamplingData[[#This Row],[Candidate 3]]))),(SamplingData[[#This Row],[Total]]+SamplingData[[#This Row],[Winning Candidate]]-SamplingData[[#This Row],[Candidate 3]])/(SamplingData[[#Totals],[Winning Candidate]]-SamplingData[[#Totals],[Candidate 3]]), 0)</f>
        <v>0</v>
      </c>
      <c r="S217" s="99">
        <f>IF(AND(SamplingData[[#This Row],[Total]]&lt;&gt; 0, NOT(ISBLANK(SamplingData[[#This Row],[Candidate 4]]))),(SamplingData[[#This Row],[Total]]+SamplingData[[#This Row],[Winning Candidate]]-SamplingData[[#This Row],[Candidate 4]])/(SamplingData[[#Totals],[Winning Candidate]]-SamplingData[[#Totals],[Candidate 4]]), 0)</f>
        <v>0</v>
      </c>
      <c r="T217" s="99">
        <f>IF(AND(SamplingData[[#This Row],[Total]]&lt;&gt; 0, NOT(ISBLANK(SamplingData[[#This Row],[Candidate 5]]))),(SamplingData[[#This Row],[Total]]+SamplingData[[#This Row],[Winning Candidate]]-SamplingData[[#This Row],[Candidate 5]])/(SamplingData[[#Totals],[Winning Candidate]]-SamplingData[[#Totals],[Candidate 5]]), 0)</f>
        <v>0</v>
      </c>
      <c r="U217" s="99">
        <f>IF(AND(SamplingData[[#This Row],[Total]]&lt;&gt; 0, NOT(ISBLANK(SamplingData[[#This Row],[Candidate 6]]))),(SamplingData[[#This Row],[Total]]+SamplingData[[#This Row],[Losing Candidate]]-SamplingData[[#This Row],[Candidate 6]])/(SamplingData[[#Totals],[Winning Candidate]]-SamplingData[[#Totals],[Candidate 6]]), 0)</f>
        <v>0</v>
      </c>
      <c r="V217" s="99">
        <f>IF(AND(SamplingData[[#This Row],[Total]]&lt;&gt; 0, NOT(ISBLANK(SamplingData[[#This Row],[Candidate 7]]))),(SamplingData[[#This Row],[Total]]+SamplingData[[#This Row],[Winning Candidate]]-SamplingData[[#This Row],[Candidate 7]])/(SamplingData[[#Totals],[Winning Candidate]]-SamplingData[[#Totals],[Candidate 7]]), 0)</f>
        <v>0</v>
      </c>
      <c r="W217" s="99">
        <f>IF(AND(SamplingData[[#This Row],[Total]]&lt;&gt; 0, NOT(ISBLANK(SamplingData[[#This Row],[Candidate 8]]))),(SamplingData[[#This Row],[Total]]+SamplingData[[#This Row],[Winning Candidate]]-SamplingData[[#This Row],[Candidate 8]])/(SamplingData[[#Totals],[Winning Candidate]]-SamplingData[[#Totals],[Candidate 8]]), 0)</f>
        <v>0</v>
      </c>
      <c r="X2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7" s="99">
        <f>MAX(SamplingData[[#This Row],[Error Bound (up) - Max. possible relative overstatement - Losing Candidate]:[Error Bound (up) - Max. possible relative overstatement - Candidate 12]])</f>
        <v>1.5362417246647428E-2</v>
      </c>
      <c r="AC217" s="99">
        <f>IF(SamplingData[[#This Row],[Max Error Bound (up)]] = 0,0,SamplingData[[#This Row],[Max Error Bound (up)]]/SamplingData[[#Totals],[Max Error Bound (up)]])</f>
        <v>8.2251790453339256E-4</v>
      </c>
      <c r="AD217" s="103">
        <f>SUM($AC$5:AC217)</f>
        <v>0.22009852037663163</v>
      </c>
      <c r="AE217" s="99" t="str" cm="1">
        <f t="array" ref="AE217">IF(SamplingData[[#This Row],[up/U Selection Probability]] = 0, "Zero", TEXT(SamplingData[[#This Row],[Lower Range]], REPT("0",LEN('General Info'!$B$42))) &amp; " - " &amp; TEXT(SamplingData[[#This Row],[Upper Range]], REPT("0",LEN('General Info'!$B$42))))</f>
        <v>219276 - 220098</v>
      </c>
      <c r="AF217" s="99">
        <f>SamplingData[[#This Row],[Upper Range]]-SamplingData[[#This Row],[Span]]</f>
        <v>219276.00247209825</v>
      </c>
      <c r="AG217" s="99">
        <f>IF(ISNUMBER('General Info'!$B$42), ((SamplingData[[#This Row],[up/U Selection Probability]]) * 'General Info'!$B$44) - 1, 0)</f>
        <v>821.51790453339254</v>
      </c>
      <c r="AH217" s="99">
        <f>IF(ISNUMBER('General Info'!$B$42), (SamplingData[[#This Row],[Running (cumulative) sum]] * ('General Info'!$B$42 -'General Info'!$B$43 + 1)) + 'General Info'!$B$43 - 1, 0)</f>
        <v>220097.52037663164</v>
      </c>
      <c r="AI217" s="99" t="str">
        <f>IF(ISERROR(MATCH(SamplingData[[#This Row],[Batch by Type (p)]],SelectedPrecincts[Batch Name], 0)), "", INDEX(SelectedPrecincts[Draw], MATCH(SamplingData[[#This Row],[Batch by Type (p)]],SelectedPrecincts[Batch Name], 0)))</f>
        <v/>
      </c>
      <c r="AJ217" s="100">
        <f>IF(COUNTIF(SelectedPrecincts[Batch Name],SamplingData[[#This Row],[Batch by Type (p)]]) &lt;&gt; 0, COUNTIF(SelectedPrecincts[Batch Name],SamplingData[[#This Row],[Batch by Type (p)]]), 0)</f>
        <v>0</v>
      </c>
    </row>
    <row r="218" spans="1:36" ht="15" customHeight="1" x14ac:dyDescent="0.35">
      <c r="A218" s="97" t="s">
        <v>431</v>
      </c>
      <c r="B218" s="97">
        <v>183</v>
      </c>
      <c r="C218" s="97">
        <v>60</v>
      </c>
      <c r="D218" s="92"/>
      <c r="E218" s="92"/>
      <c r="F218" s="92"/>
      <c r="G218" s="96"/>
      <c r="H218" s="96"/>
      <c r="I218" s="92"/>
      <c r="J218" s="92"/>
      <c r="K218" s="92"/>
      <c r="L218" s="92"/>
      <c r="M218" s="92"/>
      <c r="N218" s="97">
        <v>1</v>
      </c>
      <c r="O218" s="97">
        <v>7</v>
      </c>
      <c r="P218" s="98">
        <f>SUM(SamplingData[[#This Row],[Winning Candidate]:[Under Votes]])</f>
        <v>251</v>
      </c>
      <c r="Q218" s="99">
        <f>IF(AND(SamplingData[[#This Row],[Total]]&lt;&gt; 0, NOT(ISBLANK(SamplingData[[#This Row],[Losing Candidate]]))),(SamplingData[[#This Row],[Total]]+SamplingData[[#This Row],[Winning Candidate]]-SamplingData[[#This Row],[Losing Candidate]])/(SamplingData[[#Totals],[Winning Candidate]]-SamplingData[[#Totals],[Losing Candidate]]), 0)</f>
        <v>1.587166864708878E-2</v>
      </c>
      <c r="R218" s="99">
        <f>IF(AND(SamplingData[[#This Row],[Total]]&lt;&gt; 0, NOT(ISBLANK(SamplingData[[#This Row],[Candidate 3]]))),(SamplingData[[#This Row],[Total]]+SamplingData[[#This Row],[Winning Candidate]]-SamplingData[[#This Row],[Candidate 3]])/(SamplingData[[#Totals],[Winning Candidate]]-SamplingData[[#Totals],[Candidate 3]]), 0)</f>
        <v>0</v>
      </c>
      <c r="S218" s="99">
        <f>IF(AND(SamplingData[[#This Row],[Total]]&lt;&gt; 0, NOT(ISBLANK(SamplingData[[#This Row],[Candidate 4]]))),(SamplingData[[#This Row],[Total]]+SamplingData[[#This Row],[Winning Candidate]]-SamplingData[[#This Row],[Candidate 4]])/(SamplingData[[#Totals],[Winning Candidate]]-SamplingData[[#Totals],[Candidate 4]]), 0)</f>
        <v>0</v>
      </c>
      <c r="T218" s="99">
        <f>IF(AND(SamplingData[[#This Row],[Total]]&lt;&gt; 0, NOT(ISBLANK(SamplingData[[#This Row],[Candidate 5]]))),(SamplingData[[#This Row],[Total]]+SamplingData[[#This Row],[Winning Candidate]]-SamplingData[[#This Row],[Candidate 5]])/(SamplingData[[#Totals],[Winning Candidate]]-SamplingData[[#Totals],[Candidate 5]]), 0)</f>
        <v>0</v>
      </c>
      <c r="U218" s="99">
        <f>IF(AND(SamplingData[[#This Row],[Total]]&lt;&gt; 0, NOT(ISBLANK(SamplingData[[#This Row],[Candidate 6]]))),(SamplingData[[#This Row],[Total]]+SamplingData[[#This Row],[Losing Candidate]]-SamplingData[[#This Row],[Candidate 6]])/(SamplingData[[#Totals],[Winning Candidate]]-SamplingData[[#Totals],[Candidate 6]]), 0)</f>
        <v>0</v>
      </c>
      <c r="V218" s="99">
        <f>IF(AND(SamplingData[[#This Row],[Total]]&lt;&gt; 0, NOT(ISBLANK(SamplingData[[#This Row],[Candidate 7]]))),(SamplingData[[#This Row],[Total]]+SamplingData[[#This Row],[Winning Candidate]]-SamplingData[[#This Row],[Candidate 7]])/(SamplingData[[#Totals],[Winning Candidate]]-SamplingData[[#Totals],[Candidate 7]]), 0)</f>
        <v>0</v>
      </c>
      <c r="W218" s="99">
        <f>IF(AND(SamplingData[[#This Row],[Total]]&lt;&gt; 0, NOT(ISBLANK(SamplingData[[#This Row],[Candidate 8]]))),(SamplingData[[#This Row],[Total]]+SamplingData[[#This Row],[Winning Candidate]]-SamplingData[[#This Row],[Candidate 8]])/(SamplingData[[#Totals],[Winning Candidate]]-SamplingData[[#Totals],[Candidate 8]]), 0)</f>
        <v>0</v>
      </c>
      <c r="X2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8" s="99">
        <f>MAX(SamplingData[[#This Row],[Error Bound (up) - Max. possible relative overstatement - Losing Candidate]:[Error Bound (up) - Max. possible relative overstatement - Candidate 12]])</f>
        <v>1.587166864708878E-2</v>
      </c>
      <c r="AC218" s="99">
        <f>IF(SamplingData[[#This Row],[Max Error Bound (up)]] = 0,0,SamplingData[[#This Row],[Max Error Bound (up)]]/SamplingData[[#Totals],[Max Error Bound (up)]])</f>
        <v>8.4978369142400226E-4</v>
      </c>
      <c r="AD218" s="103">
        <f>SUM($AC$5:AC218)</f>
        <v>0.22094830406805563</v>
      </c>
      <c r="AE218" s="99" t="str" cm="1">
        <f t="array" ref="AE218">IF(SamplingData[[#This Row],[up/U Selection Probability]] = 0, "Zero", TEXT(SamplingData[[#This Row],[Lower Range]], REPT("0",LEN('General Info'!$B$42))) &amp; " - " &amp; TEXT(SamplingData[[#This Row],[Upper Range]], REPT("0",LEN('General Info'!$B$42))))</f>
        <v>220099 - 220947</v>
      </c>
      <c r="AF218" s="99">
        <f>SamplingData[[#This Row],[Upper Range]]-SamplingData[[#This Row],[Span]]</f>
        <v>220098.52037663161</v>
      </c>
      <c r="AG218" s="99">
        <f>IF(ISNUMBER('General Info'!$B$42), ((SamplingData[[#This Row],[up/U Selection Probability]]) * 'General Info'!$B$44) - 1, 0)</f>
        <v>848.78369142400231</v>
      </c>
      <c r="AH218" s="99">
        <f>IF(ISNUMBER('General Info'!$B$42), (SamplingData[[#This Row],[Running (cumulative) sum]] * ('General Info'!$B$42 -'General Info'!$B$43 + 1)) + 'General Info'!$B$43 - 1, 0)</f>
        <v>220947.30406805562</v>
      </c>
      <c r="AI218" s="99" t="str">
        <f>IF(ISERROR(MATCH(SamplingData[[#This Row],[Batch by Type (p)]],SelectedPrecincts[Batch Name], 0)), "", INDEX(SelectedPrecincts[Draw], MATCH(SamplingData[[#This Row],[Batch by Type (p)]],SelectedPrecincts[Batch Name], 0)))</f>
        <v/>
      </c>
      <c r="AJ218" s="100">
        <f>IF(COUNTIF(SelectedPrecincts[Batch Name],SamplingData[[#This Row],[Batch by Type (p)]]) &lt;&gt; 0, COUNTIF(SelectedPrecincts[Batch Name],SamplingData[[#This Row],[Batch by Type (p)]]), 0)</f>
        <v>0</v>
      </c>
    </row>
    <row r="219" spans="1:36" ht="15" customHeight="1" x14ac:dyDescent="0.35">
      <c r="A219" s="97" t="s">
        <v>432</v>
      </c>
      <c r="B219" s="97">
        <v>133</v>
      </c>
      <c r="C219" s="97">
        <v>26</v>
      </c>
      <c r="D219" s="92"/>
      <c r="E219" s="92"/>
      <c r="F219" s="92"/>
      <c r="G219" s="96"/>
      <c r="H219" s="96"/>
      <c r="I219" s="92"/>
      <c r="J219" s="92"/>
      <c r="K219" s="92"/>
      <c r="L219" s="92"/>
      <c r="M219" s="92"/>
      <c r="N219" s="97">
        <v>0</v>
      </c>
      <c r="O219" s="97">
        <v>7</v>
      </c>
      <c r="P219" s="98">
        <f>SUM(SamplingData[[#This Row],[Winning Candidate]:[Under Votes]])</f>
        <v>166</v>
      </c>
      <c r="Q219" s="99">
        <f>IF(AND(SamplingData[[#This Row],[Total]]&lt;&gt; 0, NOT(ISBLANK(SamplingData[[#This Row],[Losing Candidate]]))),(SamplingData[[#This Row],[Total]]+SamplingData[[#This Row],[Winning Candidate]]-SamplingData[[#This Row],[Losing Candidate]])/(SamplingData[[#Totals],[Winning Candidate]]-SamplingData[[#Totals],[Losing Candidate]]), 0)</f>
        <v>1.158546936004074E-2</v>
      </c>
      <c r="R219" s="99">
        <f>IF(AND(SamplingData[[#This Row],[Total]]&lt;&gt; 0, NOT(ISBLANK(SamplingData[[#This Row],[Candidate 3]]))),(SamplingData[[#This Row],[Total]]+SamplingData[[#This Row],[Winning Candidate]]-SamplingData[[#This Row],[Candidate 3]])/(SamplingData[[#Totals],[Winning Candidate]]-SamplingData[[#Totals],[Candidate 3]]), 0)</f>
        <v>0</v>
      </c>
      <c r="S219" s="99">
        <f>IF(AND(SamplingData[[#This Row],[Total]]&lt;&gt; 0, NOT(ISBLANK(SamplingData[[#This Row],[Candidate 4]]))),(SamplingData[[#This Row],[Total]]+SamplingData[[#This Row],[Winning Candidate]]-SamplingData[[#This Row],[Candidate 4]])/(SamplingData[[#Totals],[Winning Candidate]]-SamplingData[[#Totals],[Candidate 4]]), 0)</f>
        <v>0</v>
      </c>
      <c r="T219" s="99">
        <f>IF(AND(SamplingData[[#This Row],[Total]]&lt;&gt; 0, NOT(ISBLANK(SamplingData[[#This Row],[Candidate 5]]))),(SamplingData[[#This Row],[Total]]+SamplingData[[#This Row],[Winning Candidate]]-SamplingData[[#This Row],[Candidate 5]])/(SamplingData[[#Totals],[Winning Candidate]]-SamplingData[[#Totals],[Candidate 5]]), 0)</f>
        <v>0</v>
      </c>
      <c r="U219" s="99">
        <f>IF(AND(SamplingData[[#This Row],[Total]]&lt;&gt; 0, NOT(ISBLANK(SamplingData[[#This Row],[Candidate 6]]))),(SamplingData[[#This Row],[Total]]+SamplingData[[#This Row],[Losing Candidate]]-SamplingData[[#This Row],[Candidate 6]])/(SamplingData[[#Totals],[Winning Candidate]]-SamplingData[[#Totals],[Candidate 6]]), 0)</f>
        <v>0</v>
      </c>
      <c r="V219" s="99">
        <f>IF(AND(SamplingData[[#This Row],[Total]]&lt;&gt; 0, NOT(ISBLANK(SamplingData[[#This Row],[Candidate 7]]))),(SamplingData[[#This Row],[Total]]+SamplingData[[#This Row],[Winning Candidate]]-SamplingData[[#This Row],[Candidate 7]])/(SamplingData[[#Totals],[Winning Candidate]]-SamplingData[[#Totals],[Candidate 7]]), 0)</f>
        <v>0</v>
      </c>
      <c r="W219" s="99">
        <f>IF(AND(SamplingData[[#This Row],[Total]]&lt;&gt; 0, NOT(ISBLANK(SamplingData[[#This Row],[Candidate 8]]))),(SamplingData[[#This Row],[Total]]+SamplingData[[#This Row],[Winning Candidate]]-SamplingData[[#This Row],[Candidate 8]])/(SamplingData[[#Totals],[Winning Candidate]]-SamplingData[[#Totals],[Candidate 8]]), 0)</f>
        <v>0</v>
      </c>
      <c r="X2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9" s="99">
        <f>MAX(SamplingData[[#This Row],[Error Bound (up) - Max. possible relative overstatement - Losing Candidate]:[Error Bound (up) - Max. possible relative overstatement - Candidate 12]])</f>
        <v>1.158546936004074E-2</v>
      </c>
      <c r="AC219" s="99">
        <f>IF(SamplingData[[#This Row],[Max Error Bound (up)]] = 0,0,SamplingData[[#This Row],[Max Error Bound (up)]]/SamplingData[[#Totals],[Max Error Bound (up)]])</f>
        <v>6.2029665176137057E-4</v>
      </c>
      <c r="AD219" s="103">
        <f>SUM($AC$5:AC219)</f>
        <v>0.22156860071981699</v>
      </c>
      <c r="AE219" s="99" t="str" cm="1">
        <f t="array" ref="AE219">IF(SamplingData[[#This Row],[up/U Selection Probability]] = 0, "Zero", TEXT(SamplingData[[#This Row],[Lower Range]], REPT("0",LEN('General Info'!$B$42))) &amp; " - " &amp; TEXT(SamplingData[[#This Row],[Upper Range]], REPT("0",LEN('General Info'!$B$42))))</f>
        <v>220948 - 221568</v>
      </c>
      <c r="AF219" s="99">
        <f>SamplingData[[#This Row],[Upper Range]]-SamplingData[[#This Row],[Span]]</f>
        <v>220948.30406805562</v>
      </c>
      <c r="AG219" s="99">
        <f>IF(ISNUMBER('General Info'!$B$42), ((SamplingData[[#This Row],[up/U Selection Probability]]) * 'General Info'!$B$44) - 1, 0)</f>
        <v>619.29665176137053</v>
      </c>
      <c r="AH219" s="99">
        <f>IF(ISNUMBER('General Info'!$B$42), (SamplingData[[#This Row],[Running (cumulative) sum]] * ('General Info'!$B$42 -'General Info'!$B$43 + 1)) + 'General Info'!$B$43 - 1, 0)</f>
        <v>221567.60071981698</v>
      </c>
      <c r="AI219" s="99" t="str">
        <f>IF(ISERROR(MATCH(SamplingData[[#This Row],[Batch by Type (p)]],SelectedPrecincts[Batch Name], 0)), "", INDEX(SelectedPrecincts[Draw], MATCH(SamplingData[[#This Row],[Batch by Type (p)]],SelectedPrecincts[Batch Name], 0)))</f>
        <v/>
      </c>
      <c r="AJ219" s="100">
        <f>IF(COUNTIF(SelectedPrecincts[Batch Name],SamplingData[[#This Row],[Batch by Type (p)]]) &lt;&gt; 0, COUNTIF(SelectedPrecincts[Batch Name],SamplingData[[#This Row],[Batch by Type (p)]]), 0)</f>
        <v>0</v>
      </c>
    </row>
    <row r="220" spans="1:36" ht="15" customHeight="1" x14ac:dyDescent="0.35">
      <c r="A220" s="97" t="s">
        <v>433</v>
      </c>
      <c r="B220" s="97">
        <v>184</v>
      </c>
      <c r="C220" s="97">
        <v>15</v>
      </c>
      <c r="D220" s="92"/>
      <c r="E220" s="92"/>
      <c r="F220" s="92"/>
      <c r="G220" s="96"/>
      <c r="H220" s="96"/>
      <c r="I220" s="92"/>
      <c r="J220" s="92"/>
      <c r="K220" s="92"/>
      <c r="L220" s="92"/>
      <c r="M220" s="92"/>
      <c r="N220" s="97">
        <v>0</v>
      </c>
      <c r="O220" s="97">
        <v>9</v>
      </c>
      <c r="P220" s="98">
        <f>SUM(SamplingData[[#This Row],[Winning Candidate]:[Under Votes]])</f>
        <v>208</v>
      </c>
      <c r="Q220" s="99">
        <f>IF(AND(SamplingData[[#This Row],[Total]]&lt;&gt; 0, NOT(ISBLANK(SamplingData[[#This Row],[Losing Candidate]]))),(SamplingData[[#This Row],[Total]]+SamplingData[[#This Row],[Winning Candidate]]-SamplingData[[#This Row],[Losing Candidate]])/(SamplingData[[#Totals],[Winning Candidate]]-SamplingData[[#Totals],[Losing Candidate]]), 0)</f>
        <v>1.5998981497199118E-2</v>
      </c>
      <c r="R220" s="99">
        <f>IF(AND(SamplingData[[#This Row],[Total]]&lt;&gt; 0, NOT(ISBLANK(SamplingData[[#This Row],[Candidate 3]]))),(SamplingData[[#This Row],[Total]]+SamplingData[[#This Row],[Winning Candidate]]-SamplingData[[#This Row],[Candidate 3]])/(SamplingData[[#Totals],[Winning Candidate]]-SamplingData[[#Totals],[Candidate 3]]), 0)</f>
        <v>0</v>
      </c>
      <c r="S220" s="99">
        <f>IF(AND(SamplingData[[#This Row],[Total]]&lt;&gt; 0, NOT(ISBLANK(SamplingData[[#This Row],[Candidate 4]]))),(SamplingData[[#This Row],[Total]]+SamplingData[[#This Row],[Winning Candidate]]-SamplingData[[#This Row],[Candidate 4]])/(SamplingData[[#Totals],[Winning Candidate]]-SamplingData[[#Totals],[Candidate 4]]), 0)</f>
        <v>0</v>
      </c>
      <c r="T220" s="99">
        <f>IF(AND(SamplingData[[#This Row],[Total]]&lt;&gt; 0, NOT(ISBLANK(SamplingData[[#This Row],[Candidate 5]]))),(SamplingData[[#This Row],[Total]]+SamplingData[[#This Row],[Winning Candidate]]-SamplingData[[#This Row],[Candidate 5]])/(SamplingData[[#Totals],[Winning Candidate]]-SamplingData[[#Totals],[Candidate 5]]), 0)</f>
        <v>0</v>
      </c>
      <c r="U220" s="99">
        <f>IF(AND(SamplingData[[#This Row],[Total]]&lt;&gt; 0, NOT(ISBLANK(SamplingData[[#This Row],[Candidate 6]]))),(SamplingData[[#This Row],[Total]]+SamplingData[[#This Row],[Losing Candidate]]-SamplingData[[#This Row],[Candidate 6]])/(SamplingData[[#Totals],[Winning Candidate]]-SamplingData[[#Totals],[Candidate 6]]), 0)</f>
        <v>0</v>
      </c>
      <c r="V220" s="99">
        <f>IF(AND(SamplingData[[#This Row],[Total]]&lt;&gt; 0, NOT(ISBLANK(SamplingData[[#This Row],[Candidate 7]]))),(SamplingData[[#This Row],[Total]]+SamplingData[[#This Row],[Winning Candidate]]-SamplingData[[#This Row],[Candidate 7]])/(SamplingData[[#Totals],[Winning Candidate]]-SamplingData[[#Totals],[Candidate 7]]), 0)</f>
        <v>0</v>
      </c>
      <c r="W220" s="99">
        <f>IF(AND(SamplingData[[#This Row],[Total]]&lt;&gt; 0, NOT(ISBLANK(SamplingData[[#This Row],[Candidate 8]]))),(SamplingData[[#This Row],[Total]]+SamplingData[[#This Row],[Winning Candidate]]-SamplingData[[#This Row],[Candidate 8]])/(SamplingData[[#Totals],[Winning Candidate]]-SamplingData[[#Totals],[Candidate 8]]), 0)</f>
        <v>0</v>
      </c>
      <c r="X2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0" s="99">
        <f>MAX(SamplingData[[#This Row],[Error Bound (up) - Max. possible relative overstatement - Losing Candidate]:[Error Bound (up) - Max. possible relative overstatement - Candidate 12]])</f>
        <v>1.5998981497199118E-2</v>
      </c>
      <c r="AC220" s="99">
        <f>IF(SamplingData[[#This Row],[Max Error Bound (up)]] = 0,0,SamplingData[[#This Row],[Max Error Bound (up)]]/SamplingData[[#Totals],[Max Error Bound (up)]])</f>
        <v>8.5660013814665471E-4</v>
      </c>
      <c r="AD220" s="103">
        <f>SUM($AC$5:AC220)</f>
        <v>0.22242520085796363</v>
      </c>
      <c r="AE220" s="99" t="str" cm="1">
        <f t="array" ref="AE220">IF(SamplingData[[#This Row],[up/U Selection Probability]] = 0, "Zero", TEXT(SamplingData[[#This Row],[Lower Range]], REPT("0",LEN('General Info'!$B$42))) &amp; " - " &amp; TEXT(SamplingData[[#This Row],[Upper Range]], REPT("0",LEN('General Info'!$B$42))))</f>
        <v>221569 - 222424</v>
      </c>
      <c r="AF220" s="99">
        <f>SamplingData[[#This Row],[Upper Range]]-SamplingData[[#This Row],[Span]]</f>
        <v>221568.60071981698</v>
      </c>
      <c r="AG220" s="99">
        <f>IF(ISNUMBER('General Info'!$B$42), ((SamplingData[[#This Row],[up/U Selection Probability]]) * 'General Info'!$B$44) - 1, 0)</f>
        <v>855.60013814665467</v>
      </c>
      <c r="AH220" s="99">
        <f>IF(ISNUMBER('General Info'!$B$42), (SamplingData[[#This Row],[Running (cumulative) sum]] * ('General Info'!$B$42 -'General Info'!$B$43 + 1)) + 'General Info'!$B$43 - 1, 0)</f>
        <v>222424.20085796365</v>
      </c>
      <c r="AI220" s="99" t="str">
        <f>IF(ISERROR(MATCH(SamplingData[[#This Row],[Batch by Type (p)]],SelectedPrecincts[Batch Name], 0)), "", INDEX(SelectedPrecincts[Draw], MATCH(SamplingData[[#This Row],[Batch by Type (p)]],SelectedPrecincts[Batch Name], 0)))</f>
        <v/>
      </c>
      <c r="AJ220" s="100">
        <f>IF(COUNTIF(SelectedPrecincts[Batch Name],SamplingData[[#This Row],[Batch by Type (p)]]) &lt;&gt; 0, COUNTIF(SelectedPrecincts[Batch Name],SamplingData[[#This Row],[Batch by Type (p)]]), 0)</f>
        <v>0</v>
      </c>
    </row>
    <row r="221" spans="1:36" ht="15" customHeight="1" x14ac:dyDescent="0.35">
      <c r="A221" s="97" t="s">
        <v>434</v>
      </c>
      <c r="B221" s="97">
        <v>169</v>
      </c>
      <c r="C221" s="97">
        <v>19</v>
      </c>
      <c r="D221" s="92"/>
      <c r="E221" s="92"/>
      <c r="F221" s="92"/>
      <c r="G221" s="96"/>
      <c r="H221" s="96"/>
      <c r="I221" s="92"/>
      <c r="J221" s="92"/>
      <c r="K221" s="92"/>
      <c r="L221" s="92"/>
      <c r="M221" s="92"/>
      <c r="N221" s="97">
        <v>0</v>
      </c>
      <c r="O221" s="97">
        <v>5</v>
      </c>
      <c r="P221" s="98">
        <f>SUM(SamplingData[[#This Row],[Winning Candidate]:[Under Votes]])</f>
        <v>193</v>
      </c>
      <c r="Q221" s="99">
        <f>IF(AND(SamplingData[[#This Row],[Total]]&lt;&gt; 0, NOT(ISBLANK(SamplingData[[#This Row],[Losing Candidate]]))),(SamplingData[[#This Row],[Total]]+SamplingData[[#This Row],[Winning Candidate]]-SamplingData[[#This Row],[Losing Candidate]])/(SamplingData[[#Totals],[Winning Candidate]]-SamplingData[[#Totals],[Losing Candidate]]), 0)</f>
        <v>1.4556102529281956E-2</v>
      </c>
      <c r="R221" s="99">
        <f>IF(AND(SamplingData[[#This Row],[Total]]&lt;&gt; 0, NOT(ISBLANK(SamplingData[[#This Row],[Candidate 3]]))),(SamplingData[[#This Row],[Total]]+SamplingData[[#This Row],[Winning Candidate]]-SamplingData[[#This Row],[Candidate 3]])/(SamplingData[[#Totals],[Winning Candidate]]-SamplingData[[#Totals],[Candidate 3]]), 0)</f>
        <v>0</v>
      </c>
      <c r="S221" s="99">
        <f>IF(AND(SamplingData[[#This Row],[Total]]&lt;&gt; 0, NOT(ISBLANK(SamplingData[[#This Row],[Candidate 4]]))),(SamplingData[[#This Row],[Total]]+SamplingData[[#This Row],[Winning Candidate]]-SamplingData[[#This Row],[Candidate 4]])/(SamplingData[[#Totals],[Winning Candidate]]-SamplingData[[#Totals],[Candidate 4]]), 0)</f>
        <v>0</v>
      </c>
      <c r="T221" s="99">
        <f>IF(AND(SamplingData[[#This Row],[Total]]&lt;&gt; 0, NOT(ISBLANK(SamplingData[[#This Row],[Candidate 5]]))),(SamplingData[[#This Row],[Total]]+SamplingData[[#This Row],[Winning Candidate]]-SamplingData[[#This Row],[Candidate 5]])/(SamplingData[[#Totals],[Winning Candidate]]-SamplingData[[#Totals],[Candidate 5]]), 0)</f>
        <v>0</v>
      </c>
      <c r="U221" s="99">
        <f>IF(AND(SamplingData[[#This Row],[Total]]&lt;&gt; 0, NOT(ISBLANK(SamplingData[[#This Row],[Candidate 6]]))),(SamplingData[[#This Row],[Total]]+SamplingData[[#This Row],[Losing Candidate]]-SamplingData[[#This Row],[Candidate 6]])/(SamplingData[[#Totals],[Winning Candidate]]-SamplingData[[#Totals],[Candidate 6]]), 0)</f>
        <v>0</v>
      </c>
      <c r="V221" s="99">
        <f>IF(AND(SamplingData[[#This Row],[Total]]&lt;&gt; 0, NOT(ISBLANK(SamplingData[[#This Row],[Candidate 7]]))),(SamplingData[[#This Row],[Total]]+SamplingData[[#This Row],[Winning Candidate]]-SamplingData[[#This Row],[Candidate 7]])/(SamplingData[[#Totals],[Winning Candidate]]-SamplingData[[#Totals],[Candidate 7]]), 0)</f>
        <v>0</v>
      </c>
      <c r="W221" s="99">
        <f>IF(AND(SamplingData[[#This Row],[Total]]&lt;&gt; 0, NOT(ISBLANK(SamplingData[[#This Row],[Candidate 8]]))),(SamplingData[[#This Row],[Total]]+SamplingData[[#This Row],[Winning Candidate]]-SamplingData[[#This Row],[Candidate 8]])/(SamplingData[[#Totals],[Winning Candidate]]-SamplingData[[#Totals],[Candidate 8]]), 0)</f>
        <v>0</v>
      </c>
      <c r="X2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1" s="99">
        <f>MAX(SamplingData[[#This Row],[Error Bound (up) - Max. possible relative overstatement - Losing Candidate]:[Error Bound (up) - Max. possible relative overstatement - Candidate 12]])</f>
        <v>1.4556102529281956E-2</v>
      </c>
      <c r="AC221" s="99">
        <f>IF(SamplingData[[#This Row],[Max Error Bound (up)]] = 0,0,SamplingData[[#This Row],[Max Error Bound (up)]]/SamplingData[[#Totals],[Max Error Bound (up)]])</f>
        <v>7.7934707528992729E-4</v>
      </c>
      <c r="AD221" s="103">
        <f>SUM($AC$5:AC221)</f>
        <v>0.22320454793325356</v>
      </c>
      <c r="AE221" s="99" t="str" cm="1">
        <f t="array" ref="AE221">IF(SamplingData[[#This Row],[up/U Selection Probability]] = 0, "Zero", TEXT(SamplingData[[#This Row],[Lower Range]], REPT("0",LEN('General Info'!$B$42))) &amp; " - " &amp; TEXT(SamplingData[[#This Row],[Upper Range]], REPT("0",LEN('General Info'!$B$42))))</f>
        <v>222425 - 223204</v>
      </c>
      <c r="AF221" s="99">
        <f>SamplingData[[#This Row],[Upper Range]]-SamplingData[[#This Row],[Span]]</f>
        <v>222425.20085796362</v>
      </c>
      <c r="AG221" s="99">
        <f>IF(ISNUMBER('General Info'!$B$42), ((SamplingData[[#This Row],[up/U Selection Probability]]) * 'General Info'!$B$44) - 1, 0)</f>
        <v>778.34707528992726</v>
      </c>
      <c r="AH221" s="99">
        <f>IF(ISNUMBER('General Info'!$B$42), (SamplingData[[#This Row],[Running (cumulative) sum]] * ('General Info'!$B$42 -'General Info'!$B$43 + 1)) + 'General Info'!$B$43 - 1, 0)</f>
        <v>223203.54793325355</v>
      </c>
      <c r="AI221" s="99" t="str">
        <f>IF(ISERROR(MATCH(SamplingData[[#This Row],[Batch by Type (p)]],SelectedPrecincts[Batch Name], 0)), "", INDEX(SelectedPrecincts[Draw], MATCH(SamplingData[[#This Row],[Batch by Type (p)]],SelectedPrecincts[Batch Name], 0)))</f>
        <v/>
      </c>
      <c r="AJ221" s="100">
        <f>IF(COUNTIF(SelectedPrecincts[Batch Name],SamplingData[[#This Row],[Batch by Type (p)]]) &lt;&gt; 0, COUNTIF(SelectedPrecincts[Batch Name],SamplingData[[#This Row],[Batch by Type (p)]]), 0)</f>
        <v>0</v>
      </c>
    </row>
    <row r="222" spans="1:36" ht="15" customHeight="1" x14ac:dyDescent="0.35">
      <c r="A222" s="97" t="s">
        <v>435</v>
      </c>
      <c r="B222" s="97">
        <v>297</v>
      </c>
      <c r="C222" s="97">
        <v>76</v>
      </c>
      <c r="D222" s="92"/>
      <c r="E222" s="92"/>
      <c r="F222" s="92"/>
      <c r="G222" s="96"/>
      <c r="H222" s="96"/>
      <c r="I222" s="92"/>
      <c r="J222" s="92"/>
      <c r="K222" s="92"/>
      <c r="L222" s="92"/>
      <c r="M222" s="92"/>
      <c r="N222" s="97">
        <v>0</v>
      </c>
      <c r="O222" s="97">
        <v>14</v>
      </c>
      <c r="P222" s="98">
        <f>SUM(SamplingData[[#This Row],[Winning Candidate]:[Under Votes]])</f>
        <v>387</v>
      </c>
      <c r="Q222" s="99">
        <f>IF(AND(SamplingData[[#This Row],[Total]]&lt;&gt; 0, NOT(ISBLANK(SamplingData[[#This Row],[Losing Candidate]]))),(SamplingData[[#This Row],[Total]]+SamplingData[[#This Row],[Winning Candidate]]-SamplingData[[#This Row],[Losing Candidate]])/(SamplingData[[#Totals],[Winning Candidate]]-SamplingData[[#Totals],[Losing Candidate]]), 0)</f>
        <v>2.5802070955695127E-2</v>
      </c>
      <c r="R222" s="99">
        <f>IF(AND(SamplingData[[#This Row],[Total]]&lt;&gt; 0, NOT(ISBLANK(SamplingData[[#This Row],[Candidate 3]]))),(SamplingData[[#This Row],[Total]]+SamplingData[[#This Row],[Winning Candidate]]-SamplingData[[#This Row],[Candidate 3]])/(SamplingData[[#Totals],[Winning Candidate]]-SamplingData[[#Totals],[Candidate 3]]), 0)</f>
        <v>0</v>
      </c>
      <c r="S222" s="99">
        <f>IF(AND(SamplingData[[#This Row],[Total]]&lt;&gt; 0, NOT(ISBLANK(SamplingData[[#This Row],[Candidate 4]]))),(SamplingData[[#This Row],[Total]]+SamplingData[[#This Row],[Winning Candidate]]-SamplingData[[#This Row],[Candidate 4]])/(SamplingData[[#Totals],[Winning Candidate]]-SamplingData[[#Totals],[Candidate 4]]), 0)</f>
        <v>0</v>
      </c>
      <c r="T222" s="99">
        <f>IF(AND(SamplingData[[#This Row],[Total]]&lt;&gt; 0, NOT(ISBLANK(SamplingData[[#This Row],[Candidate 5]]))),(SamplingData[[#This Row],[Total]]+SamplingData[[#This Row],[Winning Candidate]]-SamplingData[[#This Row],[Candidate 5]])/(SamplingData[[#Totals],[Winning Candidate]]-SamplingData[[#Totals],[Candidate 5]]), 0)</f>
        <v>0</v>
      </c>
      <c r="U222" s="99">
        <f>IF(AND(SamplingData[[#This Row],[Total]]&lt;&gt; 0, NOT(ISBLANK(SamplingData[[#This Row],[Candidate 6]]))),(SamplingData[[#This Row],[Total]]+SamplingData[[#This Row],[Losing Candidate]]-SamplingData[[#This Row],[Candidate 6]])/(SamplingData[[#Totals],[Winning Candidate]]-SamplingData[[#Totals],[Candidate 6]]), 0)</f>
        <v>0</v>
      </c>
      <c r="V222" s="99">
        <f>IF(AND(SamplingData[[#This Row],[Total]]&lt;&gt; 0, NOT(ISBLANK(SamplingData[[#This Row],[Candidate 7]]))),(SamplingData[[#This Row],[Total]]+SamplingData[[#This Row],[Winning Candidate]]-SamplingData[[#This Row],[Candidate 7]])/(SamplingData[[#Totals],[Winning Candidate]]-SamplingData[[#Totals],[Candidate 7]]), 0)</f>
        <v>0</v>
      </c>
      <c r="W222" s="99">
        <f>IF(AND(SamplingData[[#This Row],[Total]]&lt;&gt; 0, NOT(ISBLANK(SamplingData[[#This Row],[Candidate 8]]))),(SamplingData[[#This Row],[Total]]+SamplingData[[#This Row],[Winning Candidate]]-SamplingData[[#This Row],[Candidate 8]])/(SamplingData[[#Totals],[Winning Candidate]]-SamplingData[[#Totals],[Candidate 8]]), 0)</f>
        <v>0</v>
      </c>
      <c r="X2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2" s="99">
        <f>MAX(SamplingData[[#This Row],[Error Bound (up) - Max. possible relative overstatement - Losing Candidate]:[Error Bound (up) - Max. possible relative overstatement - Candidate 12]])</f>
        <v>2.5802070955695127E-2</v>
      </c>
      <c r="AC222" s="99">
        <f>IF(SamplingData[[#This Row],[Max Error Bound (up)]] = 0,0,SamplingData[[#This Row],[Max Error Bound (up)]]/SamplingData[[#Totals],[Max Error Bound (up)]])</f>
        <v>1.3814665357908913E-3</v>
      </c>
      <c r="AD222" s="103">
        <f>SUM($AC$5:AC222)</f>
        <v>0.22458601446904444</v>
      </c>
      <c r="AE222" s="99" t="str" cm="1">
        <f t="array" ref="AE222">IF(SamplingData[[#This Row],[up/U Selection Probability]] = 0, "Zero", TEXT(SamplingData[[#This Row],[Lower Range]], REPT("0",LEN('General Info'!$B$42))) &amp; " - " &amp; TEXT(SamplingData[[#This Row],[Upper Range]], REPT("0",LEN('General Info'!$B$42))))</f>
        <v>223205 - 224585</v>
      </c>
      <c r="AF222" s="99">
        <f>SamplingData[[#This Row],[Upper Range]]-SamplingData[[#This Row],[Span]]</f>
        <v>223204.54793325355</v>
      </c>
      <c r="AG222" s="99">
        <f>IF(ISNUMBER('General Info'!$B$42), ((SamplingData[[#This Row],[up/U Selection Probability]]) * 'General Info'!$B$44) - 1, 0)</f>
        <v>1380.4665357908914</v>
      </c>
      <c r="AH222" s="99">
        <f>IF(ISNUMBER('General Info'!$B$42), (SamplingData[[#This Row],[Running (cumulative) sum]] * ('General Info'!$B$42 -'General Info'!$B$43 + 1)) + 'General Info'!$B$43 - 1, 0)</f>
        <v>224585.01446904443</v>
      </c>
      <c r="AI222" s="99" t="str">
        <f>IF(ISERROR(MATCH(SamplingData[[#This Row],[Batch by Type (p)]],SelectedPrecincts[Batch Name], 0)), "", INDEX(SelectedPrecincts[Draw], MATCH(SamplingData[[#This Row],[Batch by Type (p)]],SelectedPrecincts[Batch Name], 0)))</f>
        <v/>
      </c>
      <c r="AJ222" s="100">
        <f>IF(COUNTIF(SelectedPrecincts[Batch Name],SamplingData[[#This Row],[Batch by Type (p)]]) &lt;&gt; 0, COUNTIF(SelectedPrecincts[Batch Name],SamplingData[[#This Row],[Batch by Type (p)]]), 0)</f>
        <v>0</v>
      </c>
    </row>
    <row r="223" spans="1:36" ht="15" customHeight="1" x14ac:dyDescent="0.35">
      <c r="A223" s="97" t="s">
        <v>436</v>
      </c>
      <c r="B223" s="97">
        <v>206</v>
      </c>
      <c r="C223" s="97">
        <v>21</v>
      </c>
      <c r="D223" s="92"/>
      <c r="E223" s="92"/>
      <c r="F223" s="92"/>
      <c r="G223" s="96"/>
      <c r="H223" s="96"/>
      <c r="I223" s="92"/>
      <c r="J223" s="92"/>
      <c r="K223" s="92"/>
      <c r="L223" s="92"/>
      <c r="M223" s="92"/>
      <c r="N223" s="97">
        <v>0</v>
      </c>
      <c r="O223" s="97">
        <v>8</v>
      </c>
      <c r="P223" s="98">
        <f>SUM(SamplingData[[#This Row],[Winning Candidate]:[Under Votes]])</f>
        <v>235</v>
      </c>
      <c r="Q223" s="99">
        <f>IF(AND(SamplingData[[#This Row],[Total]]&lt;&gt; 0, NOT(ISBLANK(SamplingData[[#This Row],[Losing Candidate]]))),(SamplingData[[#This Row],[Total]]+SamplingData[[#This Row],[Winning Candidate]]-SamplingData[[#This Row],[Losing Candidate]])/(SamplingData[[#Totals],[Winning Candidate]]-SamplingData[[#Totals],[Losing Candidate]]), 0)</f>
        <v>1.7823799015447294E-2</v>
      </c>
      <c r="R223" s="99">
        <f>IF(AND(SamplingData[[#This Row],[Total]]&lt;&gt; 0, NOT(ISBLANK(SamplingData[[#This Row],[Candidate 3]]))),(SamplingData[[#This Row],[Total]]+SamplingData[[#This Row],[Winning Candidate]]-SamplingData[[#This Row],[Candidate 3]])/(SamplingData[[#Totals],[Winning Candidate]]-SamplingData[[#Totals],[Candidate 3]]), 0)</f>
        <v>0</v>
      </c>
      <c r="S223" s="99">
        <f>IF(AND(SamplingData[[#This Row],[Total]]&lt;&gt; 0, NOT(ISBLANK(SamplingData[[#This Row],[Candidate 4]]))),(SamplingData[[#This Row],[Total]]+SamplingData[[#This Row],[Winning Candidate]]-SamplingData[[#This Row],[Candidate 4]])/(SamplingData[[#Totals],[Winning Candidate]]-SamplingData[[#Totals],[Candidate 4]]), 0)</f>
        <v>0</v>
      </c>
      <c r="T223" s="99">
        <f>IF(AND(SamplingData[[#This Row],[Total]]&lt;&gt; 0, NOT(ISBLANK(SamplingData[[#This Row],[Candidate 5]]))),(SamplingData[[#This Row],[Total]]+SamplingData[[#This Row],[Winning Candidate]]-SamplingData[[#This Row],[Candidate 5]])/(SamplingData[[#Totals],[Winning Candidate]]-SamplingData[[#Totals],[Candidate 5]]), 0)</f>
        <v>0</v>
      </c>
      <c r="U223" s="99">
        <f>IF(AND(SamplingData[[#This Row],[Total]]&lt;&gt; 0, NOT(ISBLANK(SamplingData[[#This Row],[Candidate 6]]))),(SamplingData[[#This Row],[Total]]+SamplingData[[#This Row],[Losing Candidate]]-SamplingData[[#This Row],[Candidate 6]])/(SamplingData[[#Totals],[Winning Candidate]]-SamplingData[[#Totals],[Candidate 6]]), 0)</f>
        <v>0</v>
      </c>
      <c r="V223" s="99">
        <f>IF(AND(SamplingData[[#This Row],[Total]]&lt;&gt; 0, NOT(ISBLANK(SamplingData[[#This Row],[Candidate 7]]))),(SamplingData[[#This Row],[Total]]+SamplingData[[#This Row],[Winning Candidate]]-SamplingData[[#This Row],[Candidate 7]])/(SamplingData[[#Totals],[Winning Candidate]]-SamplingData[[#Totals],[Candidate 7]]), 0)</f>
        <v>0</v>
      </c>
      <c r="W223" s="99">
        <f>IF(AND(SamplingData[[#This Row],[Total]]&lt;&gt; 0, NOT(ISBLANK(SamplingData[[#This Row],[Candidate 8]]))),(SamplingData[[#This Row],[Total]]+SamplingData[[#This Row],[Winning Candidate]]-SamplingData[[#This Row],[Candidate 8]])/(SamplingData[[#Totals],[Winning Candidate]]-SamplingData[[#Totals],[Candidate 8]]), 0)</f>
        <v>0</v>
      </c>
      <c r="X2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3" s="99">
        <f>MAX(SamplingData[[#This Row],[Error Bound (up) - Max. possible relative overstatement - Losing Candidate]:[Error Bound (up) - Max. possible relative overstatement - Candidate 12]])</f>
        <v>1.7823799015447294E-2</v>
      </c>
      <c r="AC223" s="99">
        <f>IF(SamplingData[[#This Row],[Max Error Bound (up)]] = 0,0,SamplingData[[#This Row],[Max Error Bound (up)]]/SamplingData[[#Totals],[Max Error Bound (up)]])</f>
        <v>9.5430254117133948E-4</v>
      </c>
      <c r="AD223" s="103">
        <f>SUM($AC$5:AC223)</f>
        <v>0.22554031701021579</v>
      </c>
      <c r="AE223" s="99" t="str" cm="1">
        <f t="array" ref="AE223">IF(SamplingData[[#This Row],[up/U Selection Probability]] = 0, "Zero", TEXT(SamplingData[[#This Row],[Lower Range]], REPT("0",LEN('General Info'!$B$42))) &amp; " - " &amp; TEXT(SamplingData[[#This Row],[Upper Range]], REPT("0",LEN('General Info'!$B$42))))</f>
        <v>224586 - 225539</v>
      </c>
      <c r="AF223" s="99">
        <f>SamplingData[[#This Row],[Upper Range]]-SamplingData[[#This Row],[Span]]</f>
        <v>224586.01446904446</v>
      </c>
      <c r="AG223" s="99">
        <f>IF(ISNUMBER('General Info'!$B$42), ((SamplingData[[#This Row],[up/U Selection Probability]]) * 'General Info'!$B$44) - 1, 0)</f>
        <v>953.3025411713395</v>
      </c>
      <c r="AH223" s="99">
        <f>IF(ISNUMBER('General Info'!$B$42), (SamplingData[[#This Row],[Running (cumulative) sum]] * ('General Info'!$B$42 -'General Info'!$B$43 + 1)) + 'General Info'!$B$43 - 1, 0)</f>
        <v>225539.3170102158</v>
      </c>
      <c r="AI223" s="99" t="str">
        <f>IF(ISERROR(MATCH(SamplingData[[#This Row],[Batch by Type (p)]],SelectedPrecincts[Batch Name], 0)), "", INDEX(SelectedPrecincts[Draw], MATCH(SamplingData[[#This Row],[Batch by Type (p)]],SelectedPrecincts[Batch Name], 0)))</f>
        <v/>
      </c>
      <c r="AJ223" s="100">
        <f>IF(COUNTIF(SelectedPrecincts[Batch Name],SamplingData[[#This Row],[Batch by Type (p)]]) &lt;&gt; 0, COUNTIF(SelectedPrecincts[Batch Name],SamplingData[[#This Row],[Batch by Type (p)]]), 0)</f>
        <v>0</v>
      </c>
    </row>
    <row r="224" spans="1:36" ht="15" customHeight="1" x14ac:dyDescent="0.35">
      <c r="A224" s="97" t="s">
        <v>437</v>
      </c>
      <c r="B224" s="97">
        <v>181</v>
      </c>
      <c r="C224" s="97">
        <v>55</v>
      </c>
      <c r="D224" s="92"/>
      <c r="E224" s="92"/>
      <c r="F224" s="92"/>
      <c r="G224" s="96"/>
      <c r="H224" s="96"/>
      <c r="I224" s="92"/>
      <c r="J224" s="92"/>
      <c r="K224" s="92"/>
      <c r="L224" s="92"/>
      <c r="M224" s="92"/>
      <c r="N224" s="97">
        <v>0</v>
      </c>
      <c r="O224" s="97">
        <v>11</v>
      </c>
      <c r="P224" s="98">
        <f>SUM(SamplingData[[#This Row],[Winning Candidate]:[Under Votes]])</f>
        <v>247</v>
      </c>
      <c r="Q224" s="99">
        <f>IF(AND(SamplingData[[#This Row],[Total]]&lt;&gt; 0, NOT(ISBLANK(SamplingData[[#This Row],[Losing Candidate]]))),(SamplingData[[#This Row],[Total]]+SamplingData[[#This Row],[Winning Candidate]]-SamplingData[[#This Row],[Losing Candidate]])/(SamplingData[[#Totals],[Winning Candidate]]-SamplingData[[#Totals],[Losing Candidate]]), 0)</f>
        <v>1.5829231030385332E-2</v>
      </c>
      <c r="R224" s="99">
        <f>IF(AND(SamplingData[[#This Row],[Total]]&lt;&gt; 0, NOT(ISBLANK(SamplingData[[#This Row],[Candidate 3]]))),(SamplingData[[#This Row],[Total]]+SamplingData[[#This Row],[Winning Candidate]]-SamplingData[[#This Row],[Candidate 3]])/(SamplingData[[#Totals],[Winning Candidate]]-SamplingData[[#Totals],[Candidate 3]]), 0)</f>
        <v>0</v>
      </c>
      <c r="S224" s="99">
        <f>IF(AND(SamplingData[[#This Row],[Total]]&lt;&gt; 0, NOT(ISBLANK(SamplingData[[#This Row],[Candidate 4]]))),(SamplingData[[#This Row],[Total]]+SamplingData[[#This Row],[Winning Candidate]]-SamplingData[[#This Row],[Candidate 4]])/(SamplingData[[#Totals],[Winning Candidate]]-SamplingData[[#Totals],[Candidate 4]]), 0)</f>
        <v>0</v>
      </c>
      <c r="T224" s="99">
        <f>IF(AND(SamplingData[[#This Row],[Total]]&lt;&gt; 0, NOT(ISBLANK(SamplingData[[#This Row],[Candidate 5]]))),(SamplingData[[#This Row],[Total]]+SamplingData[[#This Row],[Winning Candidate]]-SamplingData[[#This Row],[Candidate 5]])/(SamplingData[[#Totals],[Winning Candidate]]-SamplingData[[#Totals],[Candidate 5]]), 0)</f>
        <v>0</v>
      </c>
      <c r="U224" s="99">
        <f>IF(AND(SamplingData[[#This Row],[Total]]&lt;&gt; 0, NOT(ISBLANK(SamplingData[[#This Row],[Candidate 6]]))),(SamplingData[[#This Row],[Total]]+SamplingData[[#This Row],[Losing Candidate]]-SamplingData[[#This Row],[Candidate 6]])/(SamplingData[[#Totals],[Winning Candidate]]-SamplingData[[#Totals],[Candidate 6]]), 0)</f>
        <v>0</v>
      </c>
      <c r="V224" s="99">
        <f>IF(AND(SamplingData[[#This Row],[Total]]&lt;&gt; 0, NOT(ISBLANK(SamplingData[[#This Row],[Candidate 7]]))),(SamplingData[[#This Row],[Total]]+SamplingData[[#This Row],[Winning Candidate]]-SamplingData[[#This Row],[Candidate 7]])/(SamplingData[[#Totals],[Winning Candidate]]-SamplingData[[#Totals],[Candidate 7]]), 0)</f>
        <v>0</v>
      </c>
      <c r="W224" s="99">
        <f>IF(AND(SamplingData[[#This Row],[Total]]&lt;&gt; 0, NOT(ISBLANK(SamplingData[[#This Row],[Candidate 8]]))),(SamplingData[[#This Row],[Total]]+SamplingData[[#This Row],[Winning Candidate]]-SamplingData[[#This Row],[Candidate 8]])/(SamplingData[[#Totals],[Winning Candidate]]-SamplingData[[#Totals],[Candidate 8]]), 0)</f>
        <v>0</v>
      </c>
      <c r="X2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4" s="99">
        <f>MAX(SamplingData[[#This Row],[Error Bound (up) - Max. possible relative overstatement - Losing Candidate]:[Error Bound (up) - Max. possible relative overstatement - Candidate 12]])</f>
        <v>1.5829231030385332E-2</v>
      </c>
      <c r="AC224" s="99">
        <f>IF(SamplingData[[#This Row],[Max Error Bound (up)]] = 0,0,SamplingData[[#This Row],[Max Error Bound (up)]]/SamplingData[[#Totals],[Max Error Bound (up)]])</f>
        <v>8.4751154251645137E-4</v>
      </c>
      <c r="AD224" s="103">
        <f>SUM($AC$5:AC224)</f>
        <v>0.22638782855273223</v>
      </c>
      <c r="AE224" s="99" t="str" cm="1">
        <f t="array" ref="AE224">IF(SamplingData[[#This Row],[up/U Selection Probability]] = 0, "Zero", TEXT(SamplingData[[#This Row],[Lower Range]], REPT("0",LEN('General Info'!$B$42))) &amp; " - " &amp; TEXT(SamplingData[[#This Row],[Upper Range]], REPT("0",LEN('General Info'!$B$42))))</f>
        <v>225540 - 226387</v>
      </c>
      <c r="AF224" s="99">
        <f>SamplingData[[#This Row],[Upper Range]]-SamplingData[[#This Row],[Span]]</f>
        <v>225540.3170102158</v>
      </c>
      <c r="AG224" s="99">
        <f>IF(ISNUMBER('General Info'!$B$42), ((SamplingData[[#This Row],[up/U Selection Probability]]) * 'General Info'!$B$44) - 1, 0)</f>
        <v>846.51154251645141</v>
      </c>
      <c r="AH224" s="99">
        <f>IF(ISNUMBER('General Info'!$B$42), (SamplingData[[#This Row],[Running (cumulative) sum]] * ('General Info'!$B$42 -'General Info'!$B$43 + 1)) + 'General Info'!$B$43 - 1, 0)</f>
        <v>226386.82855273224</v>
      </c>
      <c r="AI224" s="99" t="str">
        <f>IF(ISERROR(MATCH(SamplingData[[#This Row],[Batch by Type (p)]],SelectedPrecincts[Batch Name], 0)), "", INDEX(SelectedPrecincts[Draw], MATCH(SamplingData[[#This Row],[Batch by Type (p)]],SelectedPrecincts[Batch Name], 0)))</f>
        <v/>
      </c>
      <c r="AJ224" s="100">
        <f>IF(COUNTIF(SelectedPrecincts[Batch Name],SamplingData[[#This Row],[Batch by Type (p)]]) &lt;&gt; 0, COUNTIF(SelectedPrecincts[Batch Name],SamplingData[[#This Row],[Batch by Type (p)]]), 0)</f>
        <v>0</v>
      </c>
    </row>
    <row r="225" spans="1:36" ht="15" customHeight="1" x14ac:dyDescent="0.35">
      <c r="A225" s="97" t="s">
        <v>438</v>
      </c>
      <c r="B225" s="97">
        <v>223</v>
      </c>
      <c r="C225" s="97">
        <v>43</v>
      </c>
      <c r="D225" s="92"/>
      <c r="E225" s="92"/>
      <c r="F225" s="92"/>
      <c r="G225" s="96"/>
      <c r="H225" s="96"/>
      <c r="I225" s="92"/>
      <c r="J225" s="92"/>
      <c r="K225" s="92"/>
      <c r="L225" s="92"/>
      <c r="M225" s="92"/>
      <c r="N225" s="97">
        <v>0</v>
      </c>
      <c r="O225" s="97">
        <v>9</v>
      </c>
      <c r="P225" s="98">
        <f>SUM(SamplingData[[#This Row],[Winning Candidate]:[Under Votes]])</f>
        <v>275</v>
      </c>
      <c r="Q225" s="99">
        <f>IF(AND(SamplingData[[#This Row],[Total]]&lt;&gt; 0, NOT(ISBLANK(SamplingData[[#This Row],[Losing Candidate]]))),(SamplingData[[#This Row],[Total]]+SamplingData[[#This Row],[Winning Candidate]]-SamplingData[[#This Row],[Losing Candidate]])/(SamplingData[[#Totals],[Winning Candidate]]-SamplingData[[#Totals],[Losing Candidate]]), 0)</f>
        <v>1.93091156000679E-2</v>
      </c>
      <c r="R225" s="99">
        <f>IF(AND(SamplingData[[#This Row],[Total]]&lt;&gt; 0, NOT(ISBLANK(SamplingData[[#This Row],[Candidate 3]]))),(SamplingData[[#This Row],[Total]]+SamplingData[[#This Row],[Winning Candidate]]-SamplingData[[#This Row],[Candidate 3]])/(SamplingData[[#Totals],[Winning Candidate]]-SamplingData[[#Totals],[Candidate 3]]), 0)</f>
        <v>0</v>
      </c>
      <c r="S225" s="99">
        <f>IF(AND(SamplingData[[#This Row],[Total]]&lt;&gt; 0, NOT(ISBLANK(SamplingData[[#This Row],[Candidate 4]]))),(SamplingData[[#This Row],[Total]]+SamplingData[[#This Row],[Winning Candidate]]-SamplingData[[#This Row],[Candidate 4]])/(SamplingData[[#Totals],[Winning Candidate]]-SamplingData[[#Totals],[Candidate 4]]), 0)</f>
        <v>0</v>
      </c>
      <c r="T225" s="99">
        <f>IF(AND(SamplingData[[#This Row],[Total]]&lt;&gt; 0, NOT(ISBLANK(SamplingData[[#This Row],[Candidate 5]]))),(SamplingData[[#This Row],[Total]]+SamplingData[[#This Row],[Winning Candidate]]-SamplingData[[#This Row],[Candidate 5]])/(SamplingData[[#Totals],[Winning Candidate]]-SamplingData[[#Totals],[Candidate 5]]), 0)</f>
        <v>0</v>
      </c>
      <c r="U225" s="99">
        <f>IF(AND(SamplingData[[#This Row],[Total]]&lt;&gt; 0, NOT(ISBLANK(SamplingData[[#This Row],[Candidate 6]]))),(SamplingData[[#This Row],[Total]]+SamplingData[[#This Row],[Losing Candidate]]-SamplingData[[#This Row],[Candidate 6]])/(SamplingData[[#Totals],[Winning Candidate]]-SamplingData[[#Totals],[Candidate 6]]), 0)</f>
        <v>0</v>
      </c>
      <c r="V225" s="99">
        <f>IF(AND(SamplingData[[#This Row],[Total]]&lt;&gt; 0, NOT(ISBLANK(SamplingData[[#This Row],[Candidate 7]]))),(SamplingData[[#This Row],[Total]]+SamplingData[[#This Row],[Winning Candidate]]-SamplingData[[#This Row],[Candidate 7]])/(SamplingData[[#Totals],[Winning Candidate]]-SamplingData[[#Totals],[Candidate 7]]), 0)</f>
        <v>0</v>
      </c>
      <c r="W225" s="99">
        <f>IF(AND(SamplingData[[#This Row],[Total]]&lt;&gt; 0, NOT(ISBLANK(SamplingData[[#This Row],[Candidate 8]]))),(SamplingData[[#This Row],[Total]]+SamplingData[[#This Row],[Winning Candidate]]-SamplingData[[#This Row],[Candidate 8]])/(SamplingData[[#Totals],[Winning Candidate]]-SamplingData[[#Totals],[Candidate 8]]), 0)</f>
        <v>0</v>
      </c>
      <c r="X2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5" s="99">
        <f>MAX(SamplingData[[#This Row],[Error Bound (up) - Max. possible relative overstatement - Losing Candidate]:[Error Bound (up) - Max. possible relative overstatement - Candidate 12]])</f>
        <v>1.93091156000679E-2</v>
      </c>
      <c r="AC225" s="99">
        <f>IF(SamplingData[[#This Row],[Max Error Bound (up)]] = 0,0,SamplingData[[#This Row],[Max Error Bound (up)]]/SamplingData[[#Totals],[Max Error Bound (up)]])</f>
        <v>1.0338277529356177E-3</v>
      </c>
      <c r="AD225" s="103">
        <f>SUM($AC$5:AC225)</f>
        <v>0.22742165630566785</v>
      </c>
      <c r="AE225" s="99" t="str" cm="1">
        <f t="array" ref="AE225">IF(SamplingData[[#This Row],[up/U Selection Probability]] = 0, "Zero", TEXT(SamplingData[[#This Row],[Lower Range]], REPT("0",LEN('General Info'!$B$42))) &amp; " - " &amp; TEXT(SamplingData[[#This Row],[Upper Range]], REPT("0",LEN('General Info'!$B$42))))</f>
        <v>226388 - 227421</v>
      </c>
      <c r="AF225" s="99">
        <f>SamplingData[[#This Row],[Upper Range]]-SamplingData[[#This Row],[Span]]</f>
        <v>226387.82855273224</v>
      </c>
      <c r="AG225" s="99">
        <f>IF(ISNUMBER('General Info'!$B$42), ((SamplingData[[#This Row],[up/U Selection Probability]]) * 'General Info'!$B$44) - 1, 0)</f>
        <v>1032.8277529356176</v>
      </c>
      <c r="AH225" s="99">
        <f>IF(ISNUMBER('General Info'!$B$42), (SamplingData[[#This Row],[Running (cumulative) sum]] * ('General Info'!$B$42 -'General Info'!$B$43 + 1)) + 'General Info'!$B$43 - 1, 0)</f>
        <v>227420.65630566786</v>
      </c>
      <c r="AI225" s="99" t="str">
        <f>IF(ISERROR(MATCH(SamplingData[[#This Row],[Batch by Type (p)]],SelectedPrecincts[Batch Name], 0)), "", INDEX(SelectedPrecincts[Draw], MATCH(SamplingData[[#This Row],[Batch by Type (p)]],SelectedPrecincts[Batch Name], 0)))</f>
        <v/>
      </c>
      <c r="AJ225" s="100">
        <f>IF(COUNTIF(SelectedPrecincts[Batch Name],SamplingData[[#This Row],[Batch by Type (p)]]) &lt;&gt; 0, COUNTIF(SelectedPrecincts[Batch Name],SamplingData[[#This Row],[Batch by Type (p)]]), 0)</f>
        <v>0</v>
      </c>
    </row>
    <row r="226" spans="1:36" ht="15" customHeight="1" x14ac:dyDescent="0.35">
      <c r="A226" s="97" t="s">
        <v>439</v>
      </c>
      <c r="B226" s="97">
        <v>235</v>
      </c>
      <c r="C226" s="97">
        <v>32</v>
      </c>
      <c r="D226" s="92"/>
      <c r="E226" s="92"/>
      <c r="F226" s="92"/>
      <c r="G226" s="96"/>
      <c r="H226" s="96"/>
      <c r="I226" s="92"/>
      <c r="J226" s="92"/>
      <c r="K226" s="92"/>
      <c r="L226" s="92"/>
      <c r="M226" s="92"/>
      <c r="N226" s="97">
        <v>0</v>
      </c>
      <c r="O226" s="97">
        <v>9</v>
      </c>
      <c r="P226" s="98">
        <f>SUM(SamplingData[[#This Row],[Winning Candidate]:[Under Votes]])</f>
        <v>276</v>
      </c>
      <c r="Q226" s="99">
        <f>IF(AND(SamplingData[[#This Row],[Total]]&lt;&gt; 0, NOT(ISBLANK(SamplingData[[#This Row],[Losing Candidate]]))),(SamplingData[[#This Row],[Total]]+SamplingData[[#This Row],[Winning Candidate]]-SamplingData[[#This Row],[Losing Candidate]])/(SamplingData[[#Totals],[Winning Candidate]]-SamplingData[[#Totals],[Losing Candidate]]), 0)</f>
        <v>2.0327618400950601E-2</v>
      </c>
      <c r="R226" s="99">
        <f>IF(AND(SamplingData[[#This Row],[Total]]&lt;&gt; 0, NOT(ISBLANK(SamplingData[[#This Row],[Candidate 3]]))),(SamplingData[[#This Row],[Total]]+SamplingData[[#This Row],[Winning Candidate]]-SamplingData[[#This Row],[Candidate 3]])/(SamplingData[[#Totals],[Winning Candidate]]-SamplingData[[#Totals],[Candidate 3]]), 0)</f>
        <v>0</v>
      </c>
      <c r="S226" s="99">
        <f>IF(AND(SamplingData[[#This Row],[Total]]&lt;&gt; 0, NOT(ISBLANK(SamplingData[[#This Row],[Candidate 4]]))),(SamplingData[[#This Row],[Total]]+SamplingData[[#This Row],[Winning Candidate]]-SamplingData[[#This Row],[Candidate 4]])/(SamplingData[[#Totals],[Winning Candidate]]-SamplingData[[#Totals],[Candidate 4]]), 0)</f>
        <v>0</v>
      </c>
      <c r="T226" s="99">
        <f>IF(AND(SamplingData[[#This Row],[Total]]&lt;&gt; 0, NOT(ISBLANK(SamplingData[[#This Row],[Candidate 5]]))),(SamplingData[[#This Row],[Total]]+SamplingData[[#This Row],[Winning Candidate]]-SamplingData[[#This Row],[Candidate 5]])/(SamplingData[[#Totals],[Winning Candidate]]-SamplingData[[#Totals],[Candidate 5]]), 0)</f>
        <v>0</v>
      </c>
      <c r="U226" s="99">
        <f>IF(AND(SamplingData[[#This Row],[Total]]&lt;&gt; 0, NOT(ISBLANK(SamplingData[[#This Row],[Candidate 6]]))),(SamplingData[[#This Row],[Total]]+SamplingData[[#This Row],[Losing Candidate]]-SamplingData[[#This Row],[Candidate 6]])/(SamplingData[[#Totals],[Winning Candidate]]-SamplingData[[#Totals],[Candidate 6]]), 0)</f>
        <v>0</v>
      </c>
      <c r="V226" s="99">
        <f>IF(AND(SamplingData[[#This Row],[Total]]&lt;&gt; 0, NOT(ISBLANK(SamplingData[[#This Row],[Candidate 7]]))),(SamplingData[[#This Row],[Total]]+SamplingData[[#This Row],[Winning Candidate]]-SamplingData[[#This Row],[Candidate 7]])/(SamplingData[[#Totals],[Winning Candidate]]-SamplingData[[#Totals],[Candidate 7]]), 0)</f>
        <v>0</v>
      </c>
      <c r="W226" s="99">
        <f>IF(AND(SamplingData[[#This Row],[Total]]&lt;&gt; 0, NOT(ISBLANK(SamplingData[[#This Row],[Candidate 8]]))),(SamplingData[[#This Row],[Total]]+SamplingData[[#This Row],[Winning Candidate]]-SamplingData[[#This Row],[Candidate 8]])/(SamplingData[[#Totals],[Winning Candidate]]-SamplingData[[#Totals],[Candidate 8]]), 0)</f>
        <v>0</v>
      </c>
      <c r="X2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6" s="99">
        <f>MAX(SamplingData[[#This Row],[Error Bound (up) - Max. possible relative overstatement - Losing Candidate]:[Error Bound (up) - Max. possible relative overstatement - Candidate 12]])</f>
        <v>2.0327618400950601E-2</v>
      </c>
      <c r="AC226" s="99">
        <f>IF(SamplingData[[#This Row],[Max Error Bound (up)]] = 0,0,SamplingData[[#This Row],[Max Error Bound (up)]]/SamplingData[[#Totals],[Max Error Bound (up)]])</f>
        <v>1.0883593267168371E-3</v>
      </c>
      <c r="AD226" s="103">
        <f>SUM($AC$5:AC226)</f>
        <v>0.22851001563238468</v>
      </c>
      <c r="AE226" s="99" t="str" cm="1">
        <f t="array" ref="AE226">IF(SamplingData[[#This Row],[up/U Selection Probability]] = 0, "Zero", TEXT(SamplingData[[#This Row],[Lower Range]], REPT("0",LEN('General Info'!$B$42))) &amp; " - " &amp; TEXT(SamplingData[[#This Row],[Upper Range]], REPT("0",LEN('General Info'!$B$42))))</f>
        <v>227422 - 228509</v>
      </c>
      <c r="AF226" s="99">
        <f>SamplingData[[#This Row],[Upper Range]]-SamplingData[[#This Row],[Span]]</f>
        <v>227421.65630566786</v>
      </c>
      <c r="AG226" s="99">
        <f>IF(ISNUMBER('General Info'!$B$42), ((SamplingData[[#This Row],[up/U Selection Probability]]) * 'General Info'!$B$44) - 1, 0)</f>
        <v>1087.3593267168371</v>
      </c>
      <c r="AH226" s="99">
        <f>IF(ISNUMBER('General Info'!$B$42), (SamplingData[[#This Row],[Running (cumulative) sum]] * ('General Info'!$B$42 -'General Info'!$B$43 + 1)) + 'General Info'!$B$43 - 1, 0)</f>
        <v>228509.01563238469</v>
      </c>
      <c r="AI226" s="99" t="str">
        <f>IF(ISERROR(MATCH(SamplingData[[#This Row],[Batch by Type (p)]],SelectedPrecincts[Batch Name], 0)), "", INDEX(SelectedPrecincts[Draw], MATCH(SamplingData[[#This Row],[Batch by Type (p)]],SelectedPrecincts[Batch Name], 0)))</f>
        <v/>
      </c>
      <c r="AJ226" s="100">
        <f>IF(COUNTIF(SelectedPrecincts[Batch Name],SamplingData[[#This Row],[Batch by Type (p)]]) &lt;&gt; 0, COUNTIF(SelectedPrecincts[Batch Name],SamplingData[[#This Row],[Batch by Type (p)]]), 0)</f>
        <v>0</v>
      </c>
    </row>
    <row r="227" spans="1:36" ht="15" customHeight="1" x14ac:dyDescent="0.35">
      <c r="A227" s="97" t="s">
        <v>440</v>
      </c>
      <c r="B227" s="97">
        <v>54</v>
      </c>
      <c r="C227" s="97">
        <v>122</v>
      </c>
      <c r="D227" s="92"/>
      <c r="E227" s="92"/>
      <c r="F227" s="92"/>
      <c r="G227" s="96"/>
      <c r="H227" s="96"/>
      <c r="I227" s="92"/>
      <c r="J227" s="92"/>
      <c r="K227" s="92"/>
      <c r="L227" s="92"/>
      <c r="M227" s="92"/>
      <c r="N227" s="97">
        <v>0</v>
      </c>
      <c r="O227" s="97">
        <v>5</v>
      </c>
      <c r="P227" s="98">
        <f>SUM(SamplingData[[#This Row],[Winning Candidate]:[Under Votes]])</f>
        <v>181</v>
      </c>
      <c r="Q227" s="99">
        <f>IF(AND(SamplingData[[#This Row],[Total]]&lt;&gt; 0, NOT(ISBLANK(SamplingData[[#This Row],[Losing Candidate]]))),(SamplingData[[#This Row],[Total]]+SamplingData[[#This Row],[Winning Candidate]]-SamplingData[[#This Row],[Losing Candidate]])/(SamplingData[[#Totals],[Winning Candidate]]-SamplingData[[#Totals],[Losing Candidate]]), 0)</f>
        <v>4.7954506874893906E-3</v>
      </c>
      <c r="R227" s="99">
        <f>IF(AND(SamplingData[[#This Row],[Total]]&lt;&gt; 0, NOT(ISBLANK(SamplingData[[#This Row],[Candidate 3]]))),(SamplingData[[#This Row],[Total]]+SamplingData[[#This Row],[Winning Candidate]]-SamplingData[[#This Row],[Candidate 3]])/(SamplingData[[#Totals],[Winning Candidate]]-SamplingData[[#Totals],[Candidate 3]]), 0)</f>
        <v>0</v>
      </c>
      <c r="S227" s="99">
        <f>IF(AND(SamplingData[[#This Row],[Total]]&lt;&gt; 0, NOT(ISBLANK(SamplingData[[#This Row],[Candidate 4]]))),(SamplingData[[#This Row],[Total]]+SamplingData[[#This Row],[Winning Candidate]]-SamplingData[[#This Row],[Candidate 4]])/(SamplingData[[#Totals],[Winning Candidate]]-SamplingData[[#Totals],[Candidate 4]]), 0)</f>
        <v>0</v>
      </c>
      <c r="T227" s="99">
        <f>IF(AND(SamplingData[[#This Row],[Total]]&lt;&gt; 0, NOT(ISBLANK(SamplingData[[#This Row],[Candidate 5]]))),(SamplingData[[#This Row],[Total]]+SamplingData[[#This Row],[Winning Candidate]]-SamplingData[[#This Row],[Candidate 5]])/(SamplingData[[#Totals],[Winning Candidate]]-SamplingData[[#Totals],[Candidate 5]]), 0)</f>
        <v>0</v>
      </c>
      <c r="U227" s="99">
        <f>IF(AND(SamplingData[[#This Row],[Total]]&lt;&gt; 0, NOT(ISBLANK(SamplingData[[#This Row],[Candidate 6]]))),(SamplingData[[#This Row],[Total]]+SamplingData[[#This Row],[Losing Candidate]]-SamplingData[[#This Row],[Candidate 6]])/(SamplingData[[#Totals],[Winning Candidate]]-SamplingData[[#Totals],[Candidate 6]]), 0)</f>
        <v>0</v>
      </c>
      <c r="V227" s="99">
        <f>IF(AND(SamplingData[[#This Row],[Total]]&lt;&gt; 0, NOT(ISBLANK(SamplingData[[#This Row],[Candidate 7]]))),(SamplingData[[#This Row],[Total]]+SamplingData[[#This Row],[Winning Candidate]]-SamplingData[[#This Row],[Candidate 7]])/(SamplingData[[#Totals],[Winning Candidate]]-SamplingData[[#Totals],[Candidate 7]]), 0)</f>
        <v>0</v>
      </c>
      <c r="W227" s="99">
        <f>IF(AND(SamplingData[[#This Row],[Total]]&lt;&gt; 0, NOT(ISBLANK(SamplingData[[#This Row],[Candidate 8]]))),(SamplingData[[#This Row],[Total]]+SamplingData[[#This Row],[Winning Candidate]]-SamplingData[[#This Row],[Candidate 8]])/(SamplingData[[#Totals],[Winning Candidate]]-SamplingData[[#Totals],[Candidate 8]]), 0)</f>
        <v>0</v>
      </c>
      <c r="X2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7" s="99">
        <f>MAX(SamplingData[[#This Row],[Error Bound (up) - Max. possible relative overstatement - Losing Candidate]:[Error Bound (up) - Max. possible relative overstatement - Candidate 12]])</f>
        <v>4.7954506874893906E-3</v>
      </c>
      <c r="AC227" s="99">
        <f>IF(SamplingData[[#This Row],[Max Error Bound (up)]] = 0,0,SamplingData[[#This Row],[Max Error Bound (up)]]/SamplingData[[#Totals],[Max Error Bound (up)]])</f>
        <v>2.5675282655324134E-4</v>
      </c>
      <c r="AD227" s="103">
        <f>SUM($AC$5:AC227)</f>
        <v>0.22876676845893792</v>
      </c>
      <c r="AE227" s="99" t="str" cm="1">
        <f t="array" ref="AE227">IF(SamplingData[[#This Row],[up/U Selection Probability]] = 0, "Zero", TEXT(SamplingData[[#This Row],[Lower Range]], REPT("0",LEN('General Info'!$B$42))) &amp; " - " &amp; TEXT(SamplingData[[#This Row],[Upper Range]], REPT("0",LEN('General Info'!$B$42))))</f>
        <v>228510 - 228766</v>
      </c>
      <c r="AF227" s="99">
        <f>SamplingData[[#This Row],[Upper Range]]-SamplingData[[#This Row],[Span]]</f>
        <v>228510.01563238469</v>
      </c>
      <c r="AG227" s="99">
        <f>IF(ISNUMBER('General Info'!$B$42), ((SamplingData[[#This Row],[up/U Selection Probability]]) * 'General Info'!$B$44) - 1, 0)</f>
        <v>255.75282655324133</v>
      </c>
      <c r="AH227" s="99">
        <f>IF(ISNUMBER('General Info'!$B$42), (SamplingData[[#This Row],[Running (cumulative) sum]] * ('General Info'!$B$42 -'General Info'!$B$43 + 1)) + 'General Info'!$B$43 - 1, 0)</f>
        <v>228765.76845893794</v>
      </c>
      <c r="AI227" s="99" t="str">
        <f>IF(ISERROR(MATCH(SamplingData[[#This Row],[Batch by Type (p)]],SelectedPrecincts[Batch Name], 0)), "", INDEX(SelectedPrecincts[Draw], MATCH(SamplingData[[#This Row],[Batch by Type (p)]],SelectedPrecincts[Batch Name], 0)))</f>
        <v/>
      </c>
      <c r="AJ227" s="100">
        <f>IF(COUNTIF(SelectedPrecincts[Batch Name],SamplingData[[#This Row],[Batch by Type (p)]]) &lt;&gt; 0, COUNTIF(SelectedPrecincts[Batch Name],SamplingData[[#This Row],[Batch by Type (p)]]), 0)</f>
        <v>0</v>
      </c>
    </row>
    <row r="228" spans="1:36" ht="15" customHeight="1" x14ac:dyDescent="0.35">
      <c r="A228" s="97" t="s">
        <v>441</v>
      </c>
      <c r="B228" s="97">
        <v>49</v>
      </c>
      <c r="C228" s="97">
        <v>120</v>
      </c>
      <c r="D228" s="92"/>
      <c r="E228" s="92"/>
      <c r="F228" s="92"/>
      <c r="G228" s="96"/>
      <c r="H228" s="96"/>
      <c r="I228" s="92"/>
      <c r="J228" s="92"/>
      <c r="K228" s="92"/>
      <c r="L228" s="92"/>
      <c r="M228" s="92"/>
      <c r="N228" s="97">
        <v>0</v>
      </c>
      <c r="O228" s="97">
        <v>7</v>
      </c>
      <c r="P228" s="98">
        <f>SUM(SamplingData[[#This Row],[Winning Candidate]:[Under Votes]])</f>
        <v>176</v>
      </c>
      <c r="Q228" s="99">
        <f>IF(AND(SamplingData[[#This Row],[Total]]&lt;&gt; 0, NOT(ISBLANK(SamplingData[[#This Row],[Losing Candidate]]))),(SamplingData[[#This Row],[Total]]+SamplingData[[#This Row],[Winning Candidate]]-SamplingData[[#This Row],[Losing Candidate]])/(SamplingData[[#Totals],[Winning Candidate]]-SamplingData[[#Totals],[Losing Candidate]]), 0)</f>
        <v>4.4559497538618235E-3</v>
      </c>
      <c r="R228" s="99">
        <f>IF(AND(SamplingData[[#This Row],[Total]]&lt;&gt; 0, NOT(ISBLANK(SamplingData[[#This Row],[Candidate 3]]))),(SamplingData[[#This Row],[Total]]+SamplingData[[#This Row],[Winning Candidate]]-SamplingData[[#This Row],[Candidate 3]])/(SamplingData[[#Totals],[Winning Candidate]]-SamplingData[[#Totals],[Candidate 3]]), 0)</f>
        <v>0</v>
      </c>
      <c r="S228" s="99">
        <f>IF(AND(SamplingData[[#This Row],[Total]]&lt;&gt; 0, NOT(ISBLANK(SamplingData[[#This Row],[Candidate 4]]))),(SamplingData[[#This Row],[Total]]+SamplingData[[#This Row],[Winning Candidate]]-SamplingData[[#This Row],[Candidate 4]])/(SamplingData[[#Totals],[Winning Candidate]]-SamplingData[[#Totals],[Candidate 4]]), 0)</f>
        <v>0</v>
      </c>
      <c r="T228" s="99">
        <f>IF(AND(SamplingData[[#This Row],[Total]]&lt;&gt; 0, NOT(ISBLANK(SamplingData[[#This Row],[Candidate 5]]))),(SamplingData[[#This Row],[Total]]+SamplingData[[#This Row],[Winning Candidate]]-SamplingData[[#This Row],[Candidate 5]])/(SamplingData[[#Totals],[Winning Candidate]]-SamplingData[[#Totals],[Candidate 5]]), 0)</f>
        <v>0</v>
      </c>
      <c r="U228" s="99">
        <f>IF(AND(SamplingData[[#This Row],[Total]]&lt;&gt; 0, NOT(ISBLANK(SamplingData[[#This Row],[Candidate 6]]))),(SamplingData[[#This Row],[Total]]+SamplingData[[#This Row],[Losing Candidate]]-SamplingData[[#This Row],[Candidate 6]])/(SamplingData[[#Totals],[Winning Candidate]]-SamplingData[[#Totals],[Candidate 6]]), 0)</f>
        <v>0</v>
      </c>
      <c r="V228" s="99">
        <f>IF(AND(SamplingData[[#This Row],[Total]]&lt;&gt; 0, NOT(ISBLANK(SamplingData[[#This Row],[Candidate 7]]))),(SamplingData[[#This Row],[Total]]+SamplingData[[#This Row],[Winning Candidate]]-SamplingData[[#This Row],[Candidate 7]])/(SamplingData[[#Totals],[Winning Candidate]]-SamplingData[[#Totals],[Candidate 7]]), 0)</f>
        <v>0</v>
      </c>
      <c r="W228" s="99">
        <f>IF(AND(SamplingData[[#This Row],[Total]]&lt;&gt; 0, NOT(ISBLANK(SamplingData[[#This Row],[Candidate 8]]))),(SamplingData[[#This Row],[Total]]+SamplingData[[#This Row],[Winning Candidate]]-SamplingData[[#This Row],[Candidate 8]])/(SamplingData[[#Totals],[Winning Candidate]]-SamplingData[[#Totals],[Candidate 8]]), 0)</f>
        <v>0</v>
      </c>
      <c r="X2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8" s="99">
        <f>MAX(SamplingData[[#This Row],[Error Bound (up) - Max. possible relative overstatement - Losing Candidate]:[Error Bound (up) - Max. possible relative overstatement - Candidate 12]])</f>
        <v>4.4559497538618235E-3</v>
      </c>
      <c r="AC228" s="99">
        <f>IF(SamplingData[[#This Row],[Max Error Bound (up)]] = 0,0,SamplingData[[#This Row],[Max Error Bound (up)]]/SamplingData[[#Totals],[Max Error Bound (up)]])</f>
        <v>2.3857563529283487E-4</v>
      </c>
      <c r="AD228" s="103">
        <f>SUM($AC$5:AC228)</f>
        <v>0.22900534409423076</v>
      </c>
      <c r="AE228" s="99" t="str" cm="1">
        <f t="array" ref="AE228">IF(SamplingData[[#This Row],[up/U Selection Probability]] = 0, "Zero", TEXT(SamplingData[[#This Row],[Lower Range]], REPT("0",LEN('General Info'!$B$42))) &amp; " - " &amp; TEXT(SamplingData[[#This Row],[Upper Range]], REPT("0",LEN('General Info'!$B$42))))</f>
        <v>228767 - 229004</v>
      </c>
      <c r="AF228" s="99">
        <f>SamplingData[[#This Row],[Upper Range]]-SamplingData[[#This Row],[Span]]</f>
        <v>228766.76845893794</v>
      </c>
      <c r="AG228" s="99">
        <f>IF(ISNUMBER('General Info'!$B$42), ((SamplingData[[#This Row],[up/U Selection Probability]]) * 'General Info'!$B$44) - 1, 0)</f>
        <v>237.57563529283487</v>
      </c>
      <c r="AH228" s="99">
        <f>IF(ISNUMBER('General Info'!$B$42), (SamplingData[[#This Row],[Running (cumulative) sum]] * ('General Info'!$B$42 -'General Info'!$B$43 + 1)) + 'General Info'!$B$43 - 1, 0)</f>
        <v>229004.34409423076</v>
      </c>
      <c r="AI228" s="99" t="str">
        <f>IF(ISERROR(MATCH(SamplingData[[#This Row],[Batch by Type (p)]],SelectedPrecincts[Batch Name], 0)), "", INDEX(SelectedPrecincts[Draw], MATCH(SamplingData[[#This Row],[Batch by Type (p)]],SelectedPrecincts[Batch Name], 0)))</f>
        <v/>
      </c>
      <c r="AJ228" s="100">
        <f>IF(COUNTIF(SelectedPrecincts[Batch Name],SamplingData[[#This Row],[Batch by Type (p)]]) &lt;&gt; 0, COUNTIF(SelectedPrecincts[Batch Name],SamplingData[[#This Row],[Batch by Type (p)]]), 0)</f>
        <v>0</v>
      </c>
    </row>
    <row r="229" spans="1:36" ht="15" customHeight="1" x14ac:dyDescent="0.35">
      <c r="A229" s="97" t="s">
        <v>442</v>
      </c>
      <c r="B229" s="97">
        <v>82</v>
      </c>
      <c r="C229" s="97">
        <v>209</v>
      </c>
      <c r="D229" s="92"/>
      <c r="E229" s="92"/>
      <c r="F229" s="92"/>
      <c r="G229" s="96"/>
      <c r="H229" s="96"/>
      <c r="I229" s="92"/>
      <c r="J229" s="92"/>
      <c r="K229" s="92"/>
      <c r="L229" s="92"/>
      <c r="M229" s="92"/>
      <c r="N229" s="97">
        <v>0</v>
      </c>
      <c r="O229" s="97">
        <v>17</v>
      </c>
      <c r="P229" s="98">
        <f>SUM(SamplingData[[#This Row],[Winning Candidate]:[Under Votes]])</f>
        <v>308</v>
      </c>
      <c r="Q229" s="99">
        <f>IF(AND(SamplingData[[#This Row],[Total]]&lt;&gt; 0, NOT(ISBLANK(SamplingData[[#This Row],[Losing Candidate]]))),(SamplingData[[#This Row],[Total]]+SamplingData[[#This Row],[Winning Candidate]]-SamplingData[[#This Row],[Losing Candidate]])/(SamplingData[[#Totals],[Winning Candidate]]-SamplingData[[#Totals],[Losing Candidate]]), 0)</f>
        <v>7.681208623323714E-3</v>
      </c>
      <c r="R229" s="99">
        <f>IF(AND(SamplingData[[#This Row],[Total]]&lt;&gt; 0, NOT(ISBLANK(SamplingData[[#This Row],[Candidate 3]]))),(SamplingData[[#This Row],[Total]]+SamplingData[[#This Row],[Winning Candidate]]-SamplingData[[#This Row],[Candidate 3]])/(SamplingData[[#Totals],[Winning Candidate]]-SamplingData[[#Totals],[Candidate 3]]), 0)</f>
        <v>0</v>
      </c>
      <c r="S229" s="99">
        <f>IF(AND(SamplingData[[#This Row],[Total]]&lt;&gt; 0, NOT(ISBLANK(SamplingData[[#This Row],[Candidate 4]]))),(SamplingData[[#This Row],[Total]]+SamplingData[[#This Row],[Winning Candidate]]-SamplingData[[#This Row],[Candidate 4]])/(SamplingData[[#Totals],[Winning Candidate]]-SamplingData[[#Totals],[Candidate 4]]), 0)</f>
        <v>0</v>
      </c>
      <c r="T229" s="99">
        <f>IF(AND(SamplingData[[#This Row],[Total]]&lt;&gt; 0, NOT(ISBLANK(SamplingData[[#This Row],[Candidate 5]]))),(SamplingData[[#This Row],[Total]]+SamplingData[[#This Row],[Winning Candidate]]-SamplingData[[#This Row],[Candidate 5]])/(SamplingData[[#Totals],[Winning Candidate]]-SamplingData[[#Totals],[Candidate 5]]), 0)</f>
        <v>0</v>
      </c>
      <c r="U229" s="99">
        <f>IF(AND(SamplingData[[#This Row],[Total]]&lt;&gt; 0, NOT(ISBLANK(SamplingData[[#This Row],[Candidate 6]]))),(SamplingData[[#This Row],[Total]]+SamplingData[[#This Row],[Losing Candidate]]-SamplingData[[#This Row],[Candidate 6]])/(SamplingData[[#Totals],[Winning Candidate]]-SamplingData[[#Totals],[Candidate 6]]), 0)</f>
        <v>0</v>
      </c>
      <c r="V229" s="99">
        <f>IF(AND(SamplingData[[#This Row],[Total]]&lt;&gt; 0, NOT(ISBLANK(SamplingData[[#This Row],[Candidate 7]]))),(SamplingData[[#This Row],[Total]]+SamplingData[[#This Row],[Winning Candidate]]-SamplingData[[#This Row],[Candidate 7]])/(SamplingData[[#Totals],[Winning Candidate]]-SamplingData[[#Totals],[Candidate 7]]), 0)</f>
        <v>0</v>
      </c>
      <c r="W229" s="99">
        <f>IF(AND(SamplingData[[#This Row],[Total]]&lt;&gt; 0, NOT(ISBLANK(SamplingData[[#This Row],[Candidate 8]]))),(SamplingData[[#This Row],[Total]]+SamplingData[[#This Row],[Winning Candidate]]-SamplingData[[#This Row],[Candidate 8]])/(SamplingData[[#Totals],[Winning Candidate]]-SamplingData[[#Totals],[Candidate 8]]), 0)</f>
        <v>0</v>
      </c>
      <c r="X2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9" s="99">
        <f>MAX(SamplingData[[#This Row],[Error Bound (up) - Max. possible relative overstatement - Losing Candidate]:[Error Bound (up) - Max. possible relative overstatement - Candidate 12]])</f>
        <v>7.681208623323714E-3</v>
      </c>
      <c r="AC229" s="99">
        <f>IF(SamplingData[[#This Row],[Max Error Bound (up)]] = 0,0,SamplingData[[#This Row],[Max Error Bound (up)]]/SamplingData[[#Totals],[Max Error Bound (up)]])</f>
        <v>4.1125895226669628E-4</v>
      </c>
      <c r="AD229" s="103">
        <f>SUM($AC$5:AC229)</f>
        <v>0.22941660304649747</v>
      </c>
      <c r="AE229" s="99" t="str" cm="1">
        <f t="array" ref="AE229">IF(SamplingData[[#This Row],[up/U Selection Probability]] = 0, "Zero", TEXT(SamplingData[[#This Row],[Lower Range]], REPT("0",LEN('General Info'!$B$42))) &amp; " - " &amp; TEXT(SamplingData[[#This Row],[Upper Range]], REPT("0",LEN('General Info'!$B$42))))</f>
        <v>229005 - 229416</v>
      </c>
      <c r="AF229" s="99">
        <f>SamplingData[[#This Row],[Upper Range]]-SamplingData[[#This Row],[Span]]</f>
        <v>229005.34409423079</v>
      </c>
      <c r="AG229" s="99">
        <f>IF(ISNUMBER('General Info'!$B$42), ((SamplingData[[#This Row],[up/U Selection Probability]]) * 'General Info'!$B$44) - 1, 0)</f>
        <v>410.25895226669627</v>
      </c>
      <c r="AH229" s="99">
        <f>IF(ISNUMBER('General Info'!$B$42), (SamplingData[[#This Row],[Running (cumulative) sum]] * ('General Info'!$B$42 -'General Info'!$B$43 + 1)) + 'General Info'!$B$43 - 1, 0)</f>
        <v>229415.60304649748</v>
      </c>
      <c r="AI229" s="99" t="str">
        <f>IF(ISERROR(MATCH(SamplingData[[#This Row],[Batch by Type (p)]],SelectedPrecincts[Batch Name], 0)), "", INDEX(SelectedPrecincts[Draw], MATCH(SamplingData[[#This Row],[Batch by Type (p)]],SelectedPrecincts[Batch Name], 0)))</f>
        <v/>
      </c>
      <c r="AJ229" s="100">
        <f>IF(COUNTIF(SelectedPrecincts[Batch Name],SamplingData[[#This Row],[Batch by Type (p)]]) &lt;&gt; 0, COUNTIF(SelectedPrecincts[Batch Name],SamplingData[[#This Row],[Batch by Type (p)]]), 0)</f>
        <v>0</v>
      </c>
    </row>
    <row r="230" spans="1:36" ht="15" customHeight="1" x14ac:dyDescent="0.35">
      <c r="A230" s="97" t="s">
        <v>443</v>
      </c>
      <c r="B230" s="97">
        <v>76</v>
      </c>
      <c r="C230" s="97">
        <v>176</v>
      </c>
      <c r="D230" s="92"/>
      <c r="E230" s="92"/>
      <c r="F230" s="92"/>
      <c r="G230" s="96"/>
      <c r="H230" s="96"/>
      <c r="I230" s="92"/>
      <c r="J230" s="92"/>
      <c r="K230" s="92"/>
      <c r="L230" s="92"/>
      <c r="M230" s="92"/>
      <c r="N230" s="97">
        <v>0</v>
      </c>
      <c r="O230" s="97">
        <v>17</v>
      </c>
      <c r="P230" s="98">
        <f>SUM(SamplingData[[#This Row],[Winning Candidate]:[Under Votes]])</f>
        <v>269</v>
      </c>
      <c r="Q230" s="99">
        <f>IF(AND(SamplingData[[#This Row],[Total]]&lt;&gt; 0, NOT(ISBLANK(SamplingData[[#This Row],[Losing Candidate]]))),(SamplingData[[#This Row],[Total]]+SamplingData[[#This Row],[Winning Candidate]]-SamplingData[[#This Row],[Losing Candidate]])/(SamplingData[[#Totals],[Winning Candidate]]-SamplingData[[#Totals],[Losing Candidate]]), 0)</f>
        <v>7.1719572228823632E-3</v>
      </c>
      <c r="R230" s="99">
        <f>IF(AND(SamplingData[[#This Row],[Total]]&lt;&gt; 0, NOT(ISBLANK(SamplingData[[#This Row],[Candidate 3]]))),(SamplingData[[#This Row],[Total]]+SamplingData[[#This Row],[Winning Candidate]]-SamplingData[[#This Row],[Candidate 3]])/(SamplingData[[#Totals],[Winning Candidate]]-SamplingData[[#Totals],[Candidate 3]]), 0)</f>
        <v>0</v>
      </c>
      <c r="S230" s="99">
        <f>IF(AND(SamplingData[[#This Row],[Total]]&lt;&gt; 0, NOT(ISBLANK(SamplingData[[#This Row],[Candidate 4]]))),(SamplingData[[#This Row],[Total]]+SamplingData[[#This Row],[Winning Candidate]]-SamplingData[[#This Row],[Candidate 4]])/(SamplingData[[#Totals],[Winning Candidate]]-SamplingData[[#Totals],[Candidate 4]]), 0)</f>
        <v>0</v>
      </c>
      <c r="T230" s="99">
        <f>IF(AND(SamplingData[[#This Row],[Total]]&lt;&gt; 0, NOT(ISBLANK(SamplingData[[#This Row],[Candidate 5]]))),(SamplingData[[#This Row],[Total]]+SamplingData[[#This Row],[Winning Candidate]]-SamplingData[[#This Row],[Candidate 5]])/(SamplingData[[#Totals],[Winning Candidate]]-SamplingData[[#Totals],[Candidate 5]]), 0)</f>
        <v>0</v>
      </c>
      <c r="U230" s="99">
        <f>IF(AND(SamplingData[[#This Row],[Total]]&lt;&gt; 0, NOT(ISBLANK(SamplingData[[#This Row],[Candidate 6]]))),(SamplingData[[#This Row],[Total]]+SamplingData[[#This Row],[Losing Candidate]]-SamplingData[[#This Row],[Candidate 6]])/(SamplingData[[#Totals],[Winning Candidate]]-SamplingData[[#Totals],[Candidate 6]]), 0)</f>
        <v>0</v>
      </c>
      <c r="V230" s="99">
        <f>IF(AND(SamplingData[[#This Row],[Total]]&lt;&gt; 0, NOT(ISBLANK(SamplingData[[#This Row],[Candidate 7]]))),(SamplingData[[#This Row],[Total]]+SamplingData[[#This Row],[Winning Candidate]]-SamplingData[[#This Row],[Candidate 7]])/(SamplingData[[#Totals],[Winning Candidate]]-SamplingData[[#Totals],[Candidate 7]]), 0)</f>
        <v>0</v>
      </c>
      <c r="W230" s="99">
        <f>IF(AND(SamplingData[[#This Row],[Total]]&lt;&gt; 0, NOT(ISBLANK(SamplingData[[#This Row],[Candidate 8]]))),(SamplingData[[#This Row],[Total]]+SamplingData[[#This Row],[Winning Candidate]]-SamplingData[[#This Row],[Candidate 8]])/(SamplingData[[#Totals],[Winning Candidate]]-SamplingData[[#Totals],[Candidate 8]]), 0)</f>
        <v>0</v>
      </c>
      <c r="X2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0" s="99">
        <f>MAX(SamplingData[[#This Row],[Error Bound (up) - Max. possible relative overstatement - Losing Candidate]:[Error Bound (up) - Max. possible relative overstatement - Candidate 12]])</f>
        <v>7.1719572228823632E-3</v>
      </c>
      <c r="AC230" s="99">
        <f>IF(SamplingData[[#This Row],[Max Error Bound (up)]] = 0,0,SamplingData[[#This Row],[Max Error Bound (up)]]/SamplingData[[#Totals],[Max Error Bound (up)]])</f>
        <v>3.8399316537608659E-4</v>
      </c>
      <c r="AD230" s="103">
        <f>SUM($AC$5:AC230)</f>
        <v>0.22980059621187354</v>
      </c>
      <c r="AE230" s="99" t="str" cm="1">
        <f t="array" ref="AE230">IF(SamplingData[[#This Row],[up/U Selection Probability]] = 0, "Zero", TEXT(SamplingData[[#This Row],[Lower Range]], REPT("0",LEN('General Info'!$B$42))) &amp; " - " &amp; TEXT(SamplingData[[#This Row],[Upper Range]], REPT("0",LEN('General Info'!$B$42))))</f>
        <v>229417 - 229800</v>
      </c>
      <c r="AF230" s="99">
        <f>SamplingData[[#This Row],[Upper Range]]-SamplingData[[#This Row],[Span]]</f>
        <v>229416.60304649748</v>
      </c>
      <c r="AG230" s="99">
        <f>IF(ISNUMBER('General Info'!$B$42), ((SamplingData[[#This Row],[up/U Selection Probability]]) * 'General Info'!$B$44) - 1, 0)</f>
        <v>382.99316537608661</v>
      </c>
      <c r="AH230" s="99">
        <f>IF(ISNUMBER('General Info'!$B$42), (SamplingData[[#This Row],[Running (cumulative) sum]] * ('General Info'!$B$42 -'General Info'!$B$43 + 1)) + 'General Info'!$B$43 - 1, 0)</f>
        <v>229799.59621187355</v>
      </c>
      <c r="AI230" s="99" t="str">
        <f>IF(ISERROR(MATCH(SamplingData[[#This Row],[Batch by Type (p)]],SelectedPrecincts[Batch Name], 0)), "", INDEX(SelectedPrecincts[Draw], MATCH(SamplingData[[#This Row],[Batch by Type (p)]],SelectedPrecincts[Batch Name], 0)))</f>
        <v/>
      </c>
      <c r="AJ230" s="100">
        <f>IF(COUNTIF(SelectedPrecincts[Batch Name],SamplingData[[#This Row],[Batch by Type (p)]]) &lt;&gt; 0, COUNTIF(SelectedPrecincts[Batch Name],SamplingData[[#This Row],[Batch by Type (p)]]), 0)</f>
        <v>0</v>
      </c>
    </row>
    <row r="231" spans="1:36" ht="15" customHeight="1" x14ac:dyDescent="0.35">
      <c r="A231" s="97" t="s">
        <v>444</v>
      </c>
      <c r="B231" s="97">
        <v>55</v>
      </c>
      <c r="C231" s="97">
        <v>204</v>
      </c>
      <c r="D231" s="92"/>
      <c r="E231" s="92"/>
      <c r="F231" s="92"/>
      <c r="G231" s="96"/>
      <c r="H231" s="96"/>
      <c r="I231" s="92"/>
      <c r="J231" s="92"/>
      <c r="K231" s="92"/>
      <c r="L231" s="92"/>
      <c r="M231" s="92"/>
      <c r="N231" s="97">
        <v>0</v>
      </c>
      <c r="O231" s="97">
        <v>23</v>
      </c>
      <c r="P231" s="98">
        <f>SUM(SamplingData[[#This Row],[Winning Candidate]:[Under Votes]])</f>
        <v>282</v>
      </c>
      <c r="Q231" s="99">
        <f>IF(AND(SamplingData[[#This Row],[Total]]&lt;&gt; 0, NOT(ISBLANK(SamplingData[[#This Row],[Losing Candidate]]))),(SamplingData[[#This Row],[Total]]+SamplingData[[#This Row],[Winning Candidate]]-SamplingData[[#This Row],[Losing Candidate]])/(SamplingData[[#Totals],[Winning Candidate]]-SamplingData[[#Totals],[Losing Candidate]]), 0)</f>
        <v>5.6442030215583094E-3</v>
      </c>
      <c r="R231" s="99">
        <f>IF(AND(SamplingData[[#This Row],[Total]]&lt;&gt; 0, NOT(ISBLANK(SamplingData[[#This Row],[Candidate 3]]))),(SamplingData[[#This Row],[Total]]+SamplingData[[#This Row],[Winning Candidate]]-SamplingData[[#This Row],[Candidate 3]])/(SamplingData[[#Totals],[Winning Candidate]]-SamplingData[[#Totals],[Candidate 3]]), 0)</f>
        <v>0</v>
      </c>
      <c r="S231" s="99">
        <f>IF(AND(SamplingData[[#This Row],[Total]]&lt;&gt; 0, NOT(ISBLANK(SamplingData[[#This Row],[Candidate 4]]))),(SamplingData[[#This Row],[Total]]+SamplingData[[#This Row],[Winning Candidate]]-SamplingData[[#This Row],[Candidate 4]])/(SamplingData[[#Totals],[Winning Candidate]]-SamplingData[[#Totals],[Candidate 4]]), 0)</f>
        <v>0</v>
      </c>
      <c r="T231" s="99">
        <f>IF(AND(SamplingData[[#This Row],[Total]]&lt;&gt; 0, NOT(ISBLANK(SamplingData[[#This Row],[Candidate 5]]))),(SamplingData[[#This Row],[Total]]+SamplingData[[#This Row],[Winning Candidate]]-SamplingData[[#This Row],[Candidate 5]])/(SamplingData[[#Totals],[Winning Candidate]]-SamplingData[[#Totals],[Candidate 5]]), 0)</f>
        <v>0</v>
      </c>
      <c r="U231" s="99">
        <f>IF(AND(SamplingData[[#This Row],[Total]]&lt;&gt; 0, NOT(ISBLANK(SamplingData[[#This Row],[Candidate 6]]))),(SamplingData[[#This Row],[Total]]+SamplingData[[#This Row],[Losing Candidate]]-SamplingData[[#This Row],[Candidate 6]])/(SamplingData[[#Totals],[Winning Candidate]]-SamplingData[[#Totals],[Candidate 6]]), 0)</f>
        <v>0</v>
      </c>
      <c r="V231" s="99">
        <f>IF(AND(SamplingData[[#This Row],[Total]]&lt;&gt; 0, NOT(ISBLANK(SamplingData[[#This Row],[Candidate 7]]))),(SamplingData[[#This Row],[Total]]+SamplingData[[#This Row],[Winning Candidate]]-SamplingData[[#This Row],[Candidate 7]])/(SamplingData[[#Totals],[Winning Candidate]]-SamplingData[[#Totals],[Candidate 7]]), 0)</f>
        <v>0</v>
      </c>
      <c r="W231" s="99">
        <f>IF(AND(SamplingData[[#This Row],[Total]]&lt;&gt; 0, NOT(ISBLANK(SamplingData[[#This Row],[Candidate 8]]))),(SamplingData[[#This Row],[Total]]+SamplingData[[#This Row],[Winning Candidate]]-SamplingData[[#This Row],[Candidate 8]])/(SamplingData[[#Totals],[Winning Candidate]]-SamplingData[[#Totals],[Candidate 8]]), 0)</f>
        <v>0</v>
      </c>
      <c r="X2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1" s="99">
        <f>MAX(SamplingData[[#This Row],[Error Bound (up) - Max. possible relative overstatement - Losing Candidate]:[Error Bound (up) - Max. possible relative overstatement - Candidate 12]])</f>
        <v>5.6442030215583094E-3</v>
      </c>
      <c r="AC231" s="99">
        <f>IF(SamplingData[[#This Row],[Max Error Bound (up)]] = 0,0,SamplingData[[#This Row],[Max Error Bound (up)]]/SamplingData[[#Totals],[Max Error Bound (up)]])</f>
        <v>3.021958047042575E-4</v>
      </c>
      <c r="AD231" s="103">
        <f>SUM($AC$5:AC231)</f>
        <v>0.2301027920165778</v>
      </c>
      <c r="AE231" s="99" t="str" cm="1">
        <f t="array" ref="AE231">IF(SamplingData[[#This Row],[up/U Selection Probability]] = 0, "Zero", TEXT(SamplingData[[#This Row],[Lower Range]], REPT("0",LEN('General Info'!$B$42))) &amp; " - " &amp; TEXT(SamplingData[[#This Row],[Upper Range]], REPT("0",LEN('General Info'!$B$42))))</f>
        <v>229801 - 230102</v>
      </c>
      <c r="AF231" s="99">
        <f>SamplingData[[#This Row],[Upper Range]]-SamplingData[[#This Row],[Span]]</f>
        <v>229800.59621187352</v>
      </c>
      <c r="AG231" s="99">
        <f>IF(ISNUMBER('General Info'!$B$42), ((SamplingData[[#This Row],[up/U Selection Probability]]) * 'General Info'!$B$44) - 1, 0)</f>
        <v>301.19580470425751</v>
      </c>
      <c r="AH231" s="99">
        <f>IF(ISNUMBER('General Info'!$B$42), (SamplingData[[#This Row],[Running (cumulative) sum]] * ('General Info'!$B$42 -'General Info'!$B$43 + 1)) + 'General Info'!$B$43 - 1, 0)</f>
        <v>230101.79201657779</v>
      </c>
      <c r="AI231" s="99" t="str">
        <f>IF(ISERROR(MATCH(SamplingData[[#This Row],[Batch by Type (p)]],SelectedPrecincts[Batch Name], 0)), "", INDEX(SelectedPrecincts[Draw], MATCH(SamplingData[[#This Row],[Batch by Type (p)]],SelectedPrecincts[Batch Name], 0)))</f>
        <v/>
      </c>
      <c r="AJ231" s="100">
        <f>IF(COUNTIF(SelectedPrecincts[Batch Name],SamplingData[[#This Row],[Batch by Type (p)]]) &lt;&gt; 0, COUNTIF(SelectedPrecincts[Batch Name],SamplingData[[#This Row],[Batch by Type (p)]]), 0)</f>
        <v>0</v>
      </c>
    </row>
    <row r="232" spans="1:36" ht="15" customHeight="1" x14ac:dyDescent="0.35">
      <c r="A232" s="97" t="s">
        <v>445</v>
      </c>
      <c r="B232" s="97">
        <v>99</v>
      </c>
      <c r="C232" s="97">
        <v>262</v>
      </c>
      <c r="D232" s="92"/>
      <c r="E232" s="92"/>
      <c r="F232" s="92"/>
      <c r="G232" s="96"/>
      <c r="H232" s="96"/>
      <c r="I232" s="92"/>
      <c r="J232" s="92"/>
      <c r="K232" s="92"/>
      <c r="L232" s="92"/>
      <c r="M232" s="92"/>
      <c r="N232" s="97">
        <v>0</v>
      </c>
      <c r="O232" s="97">
        <v>16</v>
      </c>
      <c r="P232" s="98">
        <f>SUM(SamplingData[[#This Row],[Winning Candidate]:[Under Votes]])</f>
        <v>377</v>
      </c>
      <c r="Q232" s="99">
        <f>IF(AND(SamplingData[[#This Row],[Total]]&lt;&gt; 0, NOT(ISBLANK(SamplingData[[#This Row],[Losing Candidate]]))),(SamplingData[[#This Row],[Total]]+SamplingData[[#This Row],[Winning Candidate]]-SamplingData[[#This Row],[Losing Candidate]])/(SamplingData[[#Totals],[Winning Candidate]]-SamplingData[[#Totals],[Losing Candidate]]), 0)</f>
        <v>9.0816499745374306E-3</v>
      </c>
      <c r="R232" s="99">
        <f>IF(AND(SamplingData[[#This Row],[Total]]&lt;&gt; 0, NOT(ISBLANK(SamplingData[[#This Row],[Candidate 3]]))),(SamplingData[[#This Row],[Total]]+SamplingData[[#This Row],[Winning Candidate]]-SamplingData[[#This Row],[Candidate 3]])/(SamplingData[[#Totals],[Winning Candidate]]-SamplingData[[#Totals],[Candidate 3]]), 0)</f>
        <v>0</v>
      </c>
      <c r="S232" s="99">
        <f>IF(AND(SamplingData[[#This Row],[Total]]&lt;&gt; 0, NOT(ISBLANK(SamplingData[[#This Row],[Candidate 4]]))),(SamplingData[[#This Row],[Total]]+SamplingData[[#This Row],[Winning Candidate]]-SamplingData[[#This Row],[Candidate 4]])/(SamplingData[[#Totals],[Winning Candidate]]-SamplingData[[#Totals],[Candidate 4]]), 0)</f>
        <v>0</v>
      </c>
      <c r="T232" s="99">
        <f>IF(AND(SamplingData[[#This Row],[Total]]&lt;&gt; 0, NOT(ISBLANK(SamplingData[[#This Row],[Candidate 5]]))),(SamplingData[[#This Row],[Total]]+SamplingData[[#This Row],[Winning Candidate]]-SamplingData[[#This Row],[Candidate 5]])/(SamplingData[[#Totals],[Winning Candidate]]-SamplingData[[#Totals],[Candidate 5]]), 0)</f>
        <v>0</v>
      </c>
      <c r="U232" s="99">
        <f>IF(AND(SamplingData[[#This Row],[Total]]&lt;&gt; 0, NOT(ISBLANK(SamplingData[[#This Row],[Candidate 6]]))),(SamplingData[[#This Row],[Total]]+SamplingData[[#This Row],[Losing Candidate]]-SamplingData[[#This Row],[Candidate 6]])/(SamplingData[[#Totals],[Winning Candidate]]-SamplingData[[#Totals],[Candidate 6]]), 0)</f>
        <v>0</v>
      </c>
      <c r="V232" s="99">
        <f>IF(AND(SamplingData[[#This Row],[Total]]&lt;&gt; 0, NOT(ISBLANK(SamplingData[[#This Row],[Candidate 7]]))),(SamplingData[[#This Row],[Total]]+SamplingData[[#This Row],[Winning Candidate]]-SamplingData[[#This Row],[Candidate 7]])/(SamplingData[[#Totals],[Winning Candidate]]-SamplingData[[#Totals],[Candidate 7]]), 0)</f>
        <v>0</v>
      </c>
      <c r="W232" s="99">
        <f>IF(AND(SamplingData[[#This Row],[Total]]&lt;&gt; 0, NOT(ISBLANK(SamplingData[[#This Row],[Candidate 8]]))),(SamplingData[[#This Row],[Total]]+SamplingData[[#This Row],[Winning Candidate]]-SamplingData[[#This Row],[Candidate 8]])/(SamplingData[[#Totals],[Winning Candidate]]-SamplingData[[#Totals],[Candidate 8]]), 0)</f>
        <v>0</v>
      </c>
      <c r="X2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2" s="99">
        <f>MAX(SamplingData[[#This Row],[Error Bound (up) - Max. possible relative overstatement - Losing Candidate]:[Error Bound (up) - Max. possible relative overstatement - Candidate 12]])</f>
        <v>9.0816499745374306E-3</v>
      </c>
      <c r="AC232" s="99">
        <f>IF(SamplingData[[#This Row],[Max Error Bound (up)]] = 0,0,SamplingData[[#This Row],[Max Error Bound (up)]]/SamplingData[[#Totals],[Max Error Bound (up)]])</f>
        <v>4.8623986621587297E-4</v>
      </c>
      <c r="AD232" s="103">
        <f>SUM($AC$5:AC232)</f>
        <v>0.23058903188279367</v>
      </c>
      <c r="AE232" s="99" t="str" cm="1">
        <f t="array" ref="AE232">IF(SamplingData[[#This Row],[up/U Selection Probability]] = 0, "Zero", TEXT(SamplingData[[#This Row],[Lower Range]], REPT("0",LEN('General Info'!$B$42))) &amp; " - " &amp; TEXT(SamplingData[[#This Row],[Upper Range]], REPT("0",LEN('General Info'!$B$42))))</f>
        <v>230103 - 230588</v>
      </c>
      <c r="AF232" s="99">
        <f>SamplingData[[#This Row],[Upper Range]]-SamplingData[[#This Row],[Span]]</f>
        <v>230102.79201657779</v>
      </c>
      <c r="AG232" s="99">
        <f>IF(ISNUMBER('General Info'!$B$42), ((SamplingData[[#This Row],[up/U Selection Probability]]) * 'General Info'!$B$44) - 1, 0)</f>
        <v>485.23986621587295</v>
      </c>
      <c r="AH232" s="99">
        <f>IF(ISNUMBER('General Info'!$B$42), (SamplingData[[#This Row],[Running (cumulative) sum]] * ('General Info'!$B$42 -'General Info'!$B$43 + 1)) + 'General Info'!$B$43 - 1, 0)</f>
        <v>230588.03188279367</v>
      </c>
      <c r="AI232" s="99" t="str">
        <f>IF(ISERROR(MATCH(SamplingData[[#This Row],[Batch by Type (p)]],SelectedPrecincts[Batch Name], 0)), "", INDEX(SelectedPrecincts[Draw], MATCH(SamplingData[[#This Row],[Batch by Type (p)]],SelectedPrecincts[Batch Name], 0)))</f>
        <v/>
      </c>
      <c r="AJ232" s="100">
        <f>IF(COUNTIF(SelectedPrecincts[Batch Name],SamplingData[[#This Row],[Batch by Type (p)]]) &lt;&gt; 0, COUNTIF(SelectedPrecincts[Batch Name],SamplingData[[#This Row],[Batch by Type (p)]]), 0)</f>
        <v>0</v>
      </c>
    </row>
    <row r="233" spans="1:36" ht="15" customHeight="1" x14ac:dyDescent="0.35">
      <c r="A233" s="97" t="s">
        <v>446</v>
      </c>
      <c r="B233" s="97">
        <v>57</v>
      </c>
      <c r="C233" s="97">
        <v>98</v>
      </c>
      <c r="D233" s="92"/>
      <c r="E233" s="92"/>
      <c r="F233" s="92"/>
      <c r="G233" s="96"/>
      <c r="H233" s="96"/>
      <c r="I233" s="92"/>
      <c r="J233" s="92"/>
      <c r="K233" s="92"/>
      <c r="L233" s="92"/>
      <c r="M233" s="92"/>
      <c r="N233" s="97">
        <v>0</v>
      </c>
      <c r="O233" s="97">
        <v>6</v>
      </c>
      <c r="P233" s="98">
        <f>SUM(SamplingData[[#This Row],[Winning Candidate]:[Under Votes]])</f>
        <v>161</v>
      </c>
      <c r="Q233" s="99">
        <f>IF(AND(SamplingData[[#This Row],[Total]]&lt;&gt; 0, NOT(ISBLANK(SamplingData[[#This Row],[Losing Candidate]]))),(SamplingData[[#This Row],[Total]]+SamplingData[[#This Row],[Winning Candidate]]-SamplingData[[#This Row],[Losing Candidate]])/(SamplingData[[#Totals],[Winning Candidate]]-SamplingData[[#Totals],[Losing Candidate]]), 0)</f>
        <v>5.0925140044135123E-3</v>
      </c>
      <c r="R233" s="99">
        <f>IF(AND(SamplingData[[#This Row],[Total]]&lt;&gt; 0, NOT(ISBLANK(SamplingData[[#This Row],[Candidate 3]]))),(SamplingData[[#This Row],[Total]]+SamplingData[[#This Row],[Winning Candidate]]-SamplingData[[#This Row],[Candidate 3]])/(SamplingData[[#Totals],[Winning Candidate]]-SamplingData[[#Totals],[Candidate 3]]), 0)</f>
        <v>0</v>
      </c>
      <c r="S233" s="99">
        <f>IF(AND(SamplingData[[#This Row],[Total]]&lt;&gt; 0, NOT(ISBLANK(SamplingData[[#This Row],[Candidate 4]]))),(SamplingData[[#This Row],[Total]]+SamplingData[[#This Row],[Winning Candidate]]-SamplingData[[#This Row],[Candidate 4]])/(SamplingData[[#Totals],[Winning Candidate]]-SamplingData[[#Totals],[Candidate 4]]), 0)</f>
        <v>0</v>
      </c>
      <c r="T233" s="99">
        <f>IF(AND(SamplingData[[#This Row],[Total]]&lt;&gt; 0, NOT(ISBLANK(SamplingData[[#This Row],[Candidate 5]]))),(SamplingData[[#This Row],[Total]]+SamplingData[[#This Row],[Winning Candidate]]-SamplingData[[#This Row],[Candidate 5]])/(SamplingData[[#Totals],[Winning Candidate]]-SamplingData[[#Totals],[Candidate 5]]), 0)</f>
        <v>0</v>
      </c>
      <c r="U233" s="99">
        <f>IF(AND(SamplingData[[#This Row],[Total]]&lt;&gt; 0, NOT(ISBLANK(SamplingData[[#This Row],[Candidate 6]]))),(SamplingData[[#This Row],[Total]]+SamplingData[[#This Row],[Losing Candidate]]-SamplingData[[#This Row],[Candidate 6]])/(SamplingData[[#Totals],[Winning Candidate]]-SamplingData[[#Totals],[Candidate 6]]), 0)</f>
        <v>0</v>
      </c>
      <c r="V233" s="99">
        <f>IF(AND(SamplingData[[#This Row],[Total]]&lt;&gt; 0, NOT(ISBLANK(SamplingData[[#This Row],[Candidate 7]]))),(SamplingData[[#This Row],[Total]]+SamplingData[[#This Row],[Winning Candidate]]-SamplingData[[#This Row],[Candidate 7]])/(SamplingData[[#Totals],[Winning Candidate]]-SamplingData[[#Totals],[Candidate 7]]), 0)</f>
        <v>0</v>
      </c>
      <c r="W233" s="99">
        <f>IF(AND(SamplingData[[#This Row],[Total]]&lt;&gt; 0, NOT(ISBLANK(SamplingData[[#This Row],[Candidate 8]]))),(SamplingData[[#This Row],[Total]]+SamplingData[[#This Row],[Winning Candidate]]-SamplingData[[#This Row],[Candidate 8]])/(SamplingData[[#Totals],[Winning Candidate]]-SamplingData[[#Totals],[Candidate 8]]), 0)</f>
        <v>0</v>
      </c>
      <c r="X2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3" s="99">
        <f>MAX(SamplingData[[#This Row],[Error Bound (up) - Max. possible relative overstatement - Losing Candidate]:[Error Bound (up) - Max. possible relative overstatement - Candidate 12]])</f>
        <v>5.0925140044135123E-3</v>
      </c>
      <c r="AC233" s="99">
        <f>IF(SamplingData[[#This Row],[Max Error Bound (up)]] = 0,0,SamplingData[[#This Row],[Max Error Bound (up)]]/SamplingData[[#Totals],[Max Error Bound (up)]])</f>
        <v>2.7265786890609696E-4</v>
      </c>
      <c r="AD233" s="103">
        <f>SUM($AC$5:AC233)</f>
        <v>0.23086168975169977</v>
      </c>
      <c r="AE233" s="99" t="str" cm="1">
        <f t="array" ref="AE233">IF(SamplingData[[#This Row],[up/U Selection Probability]] = 0, "Zero", TEXT(SamplingData[[#This Row],[Lower Range]], REPT("0",LEN('General Info'!$B$42))) &amp; " - " &amp; TEXT(SamplingData[[#This Row],[Upper Range]], REPT("0",LEN('General Info'!$B$42))))</f>
        <v>230589 - 230861</v>
      </c>
      <c r="AF233" s="99">
        <f>SamplingData[[#This Row],[Upper Range]]-SamplingData[[#This Row],[Span]]</f>
        <v>230589.03188279367</v>
      </c>
      <c r="AG233" s="99">
        <f>IF(ISNUMBER('General Info'!$B$42), ((SamplingData[[#This Row],[up/U Selection Probability]]) * 'General Info'!$B$44) - 1, 0)</f>
        <v>271.65786890609695</v>
      </c>
      <c r="AH233" s="99">
        <f>IF(ISNUMBER('General Info'!$B$42), (SamplingData[[#This Row],[Running (cumulative) sum]] * ('General Info'!$B$42 -'General Info'!$B$43 + 1)) + 'General Info'!$B$43 - 1, 0)</f>
        <v>230860.68975169977</v>
      </c>
      <c r="AI233" s="99" t="str">
        <f>IF(ISERROR(MATCH(SamplingData[[#This Row],[Batch by Type (p)]],SelectedPrecincts[Batch Name], 0)), "", INDEX(SelectedPrecincts[Draw], MATCH(SamplingData[[#This Row],[Batch by Type (p)]],SelectedPrecincts[Batch Name], 0)))</f>
        <v/>
      </c>
      <c r="AJ233" s="100">
        <f>IF(COUNTIF(SelectedPrecincts[Batch Name],SamplingData[[#This Row],[Batch by Type (p)]]) &lt;&gt; 0, COUNTIF(SelectedPrecincts[Batch Name],SamplingData[[#This Row],[Batch by Type (p)]]), 0)</f>
        <v>0</v>
      </c>
    </row>
    <row r="234" spans="1:36" ht="15" customHeight="1" x14ac:dyDescent="0.35">
      <c r="A234" s="97" t="s">
        <v>447</v>
      </c>
      <c r="B234" s="97">
        <v>103</v>
      </c>
      <c r="C234" s="97">
        <v>141</v>
      </c>
      <c r="D234" s="92"/>
      <c r="E234" s="92"/>
      <c r="F234" s="92"/>
      <c r="G234" s="96"/>
      <c r="H234" s="96"/>
      <c r="I234" s="92"/>
      <c r="J234" s="92"/>
      <c r="K234" s="92"/>
      <c r="L234" s="92"/>
      <c r="M234" s="92"/>
      <c r="N234" s="97">
        <v>0</v>
      </c>
      <c r="O234" s="97">
        <v>19</v>
      </c>
      <c r="P234" s="98">
        <f>SUM(SamplingData[[#This Row],[Winning Candidate]:[Under Votes]])</f>
        <v>263</v>
      </c>
      <c r="Q234" s="99">
        <f>IF(AND(SamplingData[[#This Row],[Total]]&lt;&gt; 0, NOT(ISBLANK(SamplingData[[#This Row],[Losing Candidate]]))),(SamplingData[[#This Row],[Total]]+SamplingData[[#This Row],[Winning Candidate]]-SamplingData[[#This Row],[Losing Candidate]])/(SamplingData[[#Totals],[Winning Candidate]]-SamplingData[[#Totals],[Losing Candidate]]), 0)</f>
        <v>9.548463758275335E-3</v>
      </c>
      <c r="R234" s="99">
        <f>IF(AND(SamplingData[[#This Row],[Total]]&lt;&gt; 0, NOT(ISBLANK(SamplingData[[#This Row],[Candidate 3]]))),(SamplingData[[#This Row],[Total]]+SamplingData[[#This Row],[Winning Candidate]]-SamplingData[[#This Row],[Candidate 3]])/(SamplingData[[#Totals],[Winning Candidate]]-SamplingData[[#Totals],[Candidate 3]]), 0)</f>
        <v>0</v>
      </c>
      <c r="S234" s="99">
        <f>IF(AND(SamplingData[[#This Row],[Total]]&lt;&gt; 0, NOT(ISBLANK(SamplingData[[#This Row],[Candidate 4]]))),(SamplingData[[#This Row],[Total]]+SamplingData[[#This Row],[Winning Candidate]]-SamplingData[[#This Row],[Candidate 4]])/(SamplingData[[#Totals],[Winning Candidate]]-SamplingData[[#Totals],[Candidate 4]]), 0)</f>
        <v>0</v>
      </c>
      <c r="T234" s="99">
        <f>IF(AND(SamplingData[[#This Row],[Total]]&lt;&gt; 0, NOT(ISBLANK(SamplingData[[#This Row],[Candidate 5]]))),(SamplingData[[#This Row],[Total]]+SamplingData[[#This Row],[Winning Candidate]]-SamplingData[[#This Row],[Candidate 5]])/(SamplingData[[#Totals],[Winning Candidate]]-SamplingData[[#Totals],[Candidate 5]]), 0)</f>
        <v>0</v>
      </c>
      <c r="U234" s="99">
        <f>IF(AND(SamplingData[[#This Row],[Total]]&lt;&gt; 0, NOT(ISBLANK(SamplingData[[#This Row],[Candidate 6]]))),(SamplingData[[#This Row],[Total]]+SamplingData[[#This Row],[Losing Candidate]]-SamplingData[[#This Row],[Candidate 6]])/(SamplingData[[#Totals],[Winning Candidate]]-SamplingData[[#Totals],[Candidate 6]]), 0)</f>
        <v>0</v>
      </c>
      <c r="V234" s="99">
        <f>IF(AND(SamplingData[[#This Row],[Total]]&lt;&gt; 0, NOT(ISBLANK(SamplingData[[#This Row],[Candidate 7]]))),(SamplingData[[#This Row],[Total]]+SamplingData[[#This Row],[Winning Candidate]]-SamplingData[[#This Row],[Candidate 7]])/(SamplingData[[#Totals],[Winning Candidate]]-SamplingData[[#Totals],[Candidate 7]]), 0)</f>
        <v>0</v>
      </c>
      <c r="W234" s="99">
        <f>IF(AND(SamplingData[[#This Row],[Total]]&lt;&gt; 0, NOT(ISBLANK(SamplingData[[#This Row],[Candidate 8]]))),(SamplingData[[#This Row],[Total]]+SamplingData[[#This Row],[Winning Candidate]]-SamplingData[[#This Row],[Candidate 8]])/(SamplingData[[#Totals],[Winning Candidate]]-SamplingData[[#Totals],[Candidate 8]]), 0)</f>
        <v>0</v>
      </c>
      <c r="X2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4" s="99">
        <f>MAX(SamplingData[[#This Row],[Error Bound (up) - Max. possible relative overstatement - Losing Candidate]:[Error Bound (up) - Max. possible relative overstatement - Candidate 12]])</f>
        <v>9.548463758275335E-3</v>
      </c>
      <c r="AC234" s="99">
        <f>IF(SamplingData[[#This Row],[Max Error Bound (up)]] = 0,0,SamplingData[[#This Row],[Max Error Bound (up)]]/SamplingData[[#Totals],[Max Error Bound (up)]])</f>
        <v>5.1123350419893178E-4</v>
      </c>
      <c r="AD234" s="103">
        <f>SUM($AC$5:AC234)</f>
        <v>0.2313729232558987</v>
      </c>
      <c r="AE234" s="99" t="str" cm="1">
        <f t="array" ref="AE234">IF(SamplingData[[#This Row],[up/U Selection Probability]] = 0, "Zero", TEXT(SamplingData[[#This Row],[Lower Range]], REPT("0",LEN('General Info'!$B$42))) &amp; " - " &amp; TEXT(SamplingData[[#This Row],[Upper Range]], REPT("0",LEN('General Info'!$B$42))))</f>
        <v>230862 - 231372</v>
      </c>
      <c r="AF234" s="99">
        <f>SamplingData[[#This Row],[Upper Range]]-SamplingData[[#This Row],[Span]]</f>
        <v>230861.68975169977</v>
      </c>
      <c r="AG234" s="99">
        <f>IF(ISNUMBER('General Info'!$B$42), ((SamplingData[[#This Row],[up/U Selection Probability]]) * 'General Info'!$B$44) - 1, 0)</f>
        <v>510.23350419893177</v>
      </c>
      <c r="AH234" s="99">
        <f>IF(ISNUMBER('General Info'!$B$42), (SamplingData[[#This Row],[Running (cumulative) sum]] * ('General Info'!$B$42 -'General Info'!$B$43 + 1)) + 'General Info'!$B$43 - 1, 0)</f>
        <v>231371.9232558987</v>
      </c>
      <c r="AI234" s="99" t="str">
        <f>IF(ISERROR(MATCH(SamplingData[[#This Row],[Batch by Type (p)]],SelectedPrecincts[Batch Name], 0)), "", INDEX(SelectedPrecincts[Draw], MATCH(SamplingData[[#This Row],[Batch by Type (p)]],SelectedPrecincts[Batch Name], 0)))</f>
        <v/>
      </c>
      <c r="AJ234" s="100">
        <f>IF(COUNTIF(SelectedPrecincts[Batch Name],SamplingData[[#This Row],[Batch by Type (p)]]) &lt;&gt; 0, COUNTIF(SelectedPrecincts[Batch Name],SamplingData[[#This Row],[Batch by Type (p)]]), 0)</f>
        <v>0</v>
      </c>
    </row>
    <row r="235" spans="1:36" ht="15" customHeight="1" x14ac:dyDescent="0.35">
      <c r="A235" s="97" t="s">
        <v>448</v>
      </c>
      <c r="B235" s="97">
        <v>143</v>
      </c>
      <c r="C235" s="97">
        <v>326</v>
      </c>
      <c r="D235" s="92"/>
      <c r="E235" s="92"/>
      <c r="F235" s="92"/>
      <c r="G235" s="96"/>
      <c r="H235" s="96"/>
      <c r="I235" s="92"/>
      <c r="J235" s="92"/>
      <c r="K235" s="92"/>
      <c r="L235" s="92"/>
      <c r="M235" s="92"/>
      <c r="N235" s="97">
        <v>3</v>
      </c>
      <c r="O235" s="97">
        <v>16</v>
      </c>
      <c r="P235" s="98">
        <f>SUM(SamplingData[[#This Row],[Winning Candidate]:[Under Votes]])</f>
        <v>488</v>
      </c>
      <c r="Q235" s="99">
        <f>IF(AND(SamplingData[[#This Row],[Total]]&lt;&gt; 0, NOT(ISBLANK(SamplingData[[#This Row],[Losing Candidate]]))),(SamplingData[[#This Row],[Total]]+SamplingData[[#This Row],[Winning Candidate]]-SamplingData[[#This Row],[Losing Candidate]])/(SamplingData[[#Totals],[Winning Candidate]]-SamplingData[[#Totals],[Losing Candidate]]), 0)</f>
        <v>1.294347309455101E-2</v>
      </c>
      <c r="R235" s="99">
        <f>IF(AND(SamplingData[[#This Row],[Total]]&lt;&gt; 0, NOT(ISBLANK(SamplingData[[#This Row],[Candidate 3]]))),(SamplingData[[#This Row],[Total]]+SamplingData[[#This Row],[Winning Candidate]]-SamplingData[[#This Row],[Candidate 3]])/(SamplingData[[#Totals],[Winning Candidate]]-SamplingData[[#Totals],[Candidate 3]]), 0)</f>
        <v>0</v>
      </c>
      <c r="S235" s="99">
        <f>IF(AND(SamplingData[[#This Row],[Total]]&lt;&gt; 0, NOT(ISBLANK(SamplingData[[#This Row],[Candidate 4]]))),(SamplingData[[#This Row],[Total]]+SamplingData[[#This Row],[Winning Candidate]]-SamplingData[[#This Row],[Candidate 4]])/(SamplingData[[#Totals],[Winning Candidate]]-SamplingData[[#Totals],[Candidate 4]]), 0)</f>
        <v>0</v>
      </c>
      <c r="T235" s="99">
        <f>IF(AND(SamplingData[[#This Row],[Total]]&lt;&gt; 0, NOT(ISBLANK(SamplingData[[#This Row],[Candidate 5]]))),(SamplingData[[#This Row],[Total]]+SamplingData[[#This Row],[Winning Candidate]]-SamplingData[[#This Row],[Candidate 5]])/(SamplingData[[#Totals],[Winning Candidate]]-SamplingData[[#Totals],[Candidate 5]]), 0)</f>
        <v>0</v>
      </c>
      <c r="U235" s="99">
        <f>IF(AND(SamplingData[[#This Row],[Total]]&lt;&gt; 0, NOT(ISBLANK(SamplingData[[#This Row],[Candidate 6]]))),(SamplingData[[#This Row],[Total]]+SamplingData[[#This Row],[Losing Candidate]]-SamplingData[[#This Row],[Candidate 6]])/(SamplingData[[#Totals],[Winning Candidate]]-SamplingData[[#Totals],[Candidate 6]]), 0)</f>
        <v>0</v>
      </c>
      <c r="V235" s="99">
        <f>IF(AND(SamplingData[[#This Row],[Total]]&lt;&gt; 0, NOT(ISBLANK(SamplingData[[#This Row],[Candidate 7]]))),(SamplingData[[#This Row],[Total]]+SamplingData[[#This Row],[Winning Candidate]]-SamplingData[[#This Row],[Candidate 7]])/(SamplingData[[#Totals],[Winning Candidate]]-SamplingData[[#Totals],[Candidate 7]]), 0)</f>
        <v>0</v>
      </c>
      <c r="W235" s="99">
        <f>IF(AND(SamplingData[[#This Row],[Total]]&lt;&gt; 0, NOT(ISBLANK(SamplingData[[#This Row],[Candidate 8]]))),(SamplingData[[#This Row],[Total]]+SamplingData[[#This Row],[Winning Candidate]]-SamplingData[[#This Row],[Candidate 8]])/(SamplingData[[#Totals],[Winning Candidate]]-SamplingData[[#Totals],[Candidate 8]]), 0)</f>
        <v>0</v>
      </c>
      <c r="X2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5" s="99">
        <f>MAX(SamplingData[[#This Row],[Error Bound (up) - Max. possible relative overstatement - Losing Candidate]:[Error Bound (up) - Max. possible relative overstatement - Candidate 12]])</f>
        <v>1.294347309455101E-2</v>
      </c>
      <c r="AC235" s="99">
        <f>IF(SamplingData[[#This Row],[Max Error Bound (up)]] = 0,0,SamplingData[[#This Row],[Max Error Bound (up)]]/SamplingData[[#Totals],[Max Error Bound (up)]])</f>
        <v>6.9300541680299653E-4</v>
      </c>
      <c r="AD235" s="103">
        <f>SUM($AC$5:AC235)</f>
        <v>0.2320659286727017</v>
      </c>
      <c r="AE235" s="99" t="str" cm="1">
        <f t="array" ref="AE235">IF(SamplingData[[#This Row],[up/U Selection Probability]] = 0, "Zero", TEXT(SamplingData[[#This Row],[Lower Range]], REPT("0",LEN('General Info'!$B$42))) &amp; " - " &amp; TEXT(SamplingData[[#This Row],[Upper Range]], REPT("0",LEN('General Info'!$B$42))))</f>
        <v>231373 - 232065</v>
      </c>
      <c r="AF235" s="99">
        <f>SamplingData[[#This Row],[Upper Range]]-SamplingData[[#This Row],[Span]]</f>
        <v>231372.9232558987</v>
      </c>
      <c r="AG235" s="99">
        <f>IF(ISNUMBER('General Info'!$B$42), ((SamplingData[[#This Row],[up/U Selection Probability]]) * 'General Info'!$B$44) - 1, 0)</f>
        <v>692.00541680299648</v>
      </c>
      <c r="AH235" s="99">
        <f>IF(ISNUMBER('General Info'!$B$42), (SamplingData[[#This Row],[Running (cumulative) sum]] * ('General Info'!$B$42 -'General Info'!$B$43 + 1)) + 'General Info'!$B$43 - 1, 0)</f>
        <v>232064.9286727017</v>
      </c>
      <c r="AI235" s="99" t="str">
        <f>IF(ISERROR(MATCH(SamplingData[[#This Row],[Batch by Type (p)]],SelectedPrecincts[Batch Name], 0)), "", INDEX(SelectedPrecincts[Draw], MATCH(SamplingData[[#This Row],[Batch by Type (p)]],SelectedPrecincts[Batch Name], 0)))</f>
        <v/>
      </c>
      <c r="AJ235" s="100">
        <f>IF(COUNTIF(SelectedPrecincts[Batch Name],SamplingData[[#This Row],[Batch by Type (p)]]) &lt;&gt; 0, COUNTIF(SelectedPrecincts[Batch Name],SamplingData[[#This Row],[Batch by Type (p)]]), 0)</f>
        <v>0</v>
      </c>
    </row>
    <row r="236" spans="1:36" ht="15" customHeight="1" x14ac:dyDescent="0.35">
      <c r="A236" s="97" t="s">
        <v>449</v>
      </c>
      <c r="B236" s="97">
        <v>132</v>
      </c>
      <c r="C236" s="97">
        <v>176</v>
      </c>
      <c r="D236" s="92"/>
      <c r="E236" s="92"/>
      <c r="F236" s="92"/>
      <c r="G236" s="96"/>
      <c r="H236" s="96"/>
      <c r="I236" s="92"/>
      <c r="J236" s="92"/>
      <c r="K236" s="92"/>
      <c r="L236" s="92"/>
      <c r="M236" s="92"/>
      <c r="N236" s="97">
        <v>0</v>
      </c>
      <c r="O236" s="97">
        <v>11</v>
      </c>
      <c r="P236" s="98">
        <f>SUM(SamplingData[[#This Row],[Winning Candidate]:[Under Votes]])</f>
        <v>319</v>
      </c>
      <c r="Q236" s="99">
        <f>IF(AND(SamplingData[[#This Row],[Total]]&lt;&gt; 0, NOT(ISBLANK(SamplingData[[#This Row],[Losing Candidate]]))),(SamplingData[[#This Row],[Total]]+SamplingData[[#This Row],[Winning Candidate]]-SamplingData[[#This Row],[Losing Candidate]])/(SamplingData[[#Totals],[Winning Candidate]]-SamplingData[[#Totals],[Losing Candidate]]), 0)</f>
        <v>1.1670344593447632E-2</v>
      </c>
      <c r="R236" s="99">
        <f>IF(AND(SamplingData[[#This Row],[Total]]&lt;&gt; 0, NOT(ISBLANK(SamplingData[[#This Row],[Candidate 3]]))),(SamplingData[[#This Row],[Total]]+SamplingData[[#This Row],[Winning Candidate]]-SamplingData[[#This Row],[Candidate 3]])/(SamplingData[[#Totals],[Winning Candidate]]-SamplingData[[#Totals],[Candidate 3]]), 0)</f>
        <v>0</v>
      </c>
      <c r="S236" s="99">
        <f>IF(AND(SamplingData[[#This Row],[Total]]&lt;&gt; 0, NOT(ISBLANK(SamplingData[[#This Row],[Candidate 4]]))),(SamplingData[[#This Row],[Total]]+SamplingData[[#This Row],[Winning Candidate]]-SamplingData[[#This Row],[Candidate 4]])/(SamplingData[[#Totals],[Winning Candidate]]-SamplingData[[#Totals],[Candidate 4]]), 0)</f>
        <v>0</v>
      </c>
      <c r="T236" s="99">
        <f>IF(AND(SamplingData[[#This Row],[Total]]&lt;&gt; 0, NOT(ISBLANK(SamplingData[[#This Row],[Candidate 5]]))),(SamplingData[[#This Row],[Total]]+SamplingData[[#This Row],[Winning Candidate]]-SamplingData[[#This Row],[Candidate 5]])/(SamplingData[[#Totals],[Winning Candidate]]-SamplingData[[#Totals],[Candidate 5]]), 0)</f>
        <v>0</v>
      </c>
      <c r="U236" s="99">
        <f>IF(AND(SamplingData[[#This Row],[Total]]&lt;&gt; 0, NOT(ISBLANK(SamplingData[[#This Row],[Candidate 6]]))),(SamplingData[[#This Row],[Total]]+SamplingData[[#This Row],[Losing Candidate]]-SamplingData[[#This Row],[Candidate 6]])/(SamplingData[[#Totals],[Winning Candidate]]-SamplingData[[#Totals],[Candidate 6]]), 0)</f>
        <v>0</v>
      </c>
      <c r="V236" s="99">
        <f>IF(AND(SamplingData[[#This Row],[Total]]&lt;&gt; 0, NOT(ISBLANK(SamplingData[[#This Row],[Candidate 7]]))),(SamplingData[[#This Row],[Total]]+SamplingData[[#This Row],[Winning Candidate]]-SamplingData[[#This Row],[Candidate 7]])/(SamplingData[[#Totals],[Winning Candidate]]-SamplingData[[#Totals],[Candidate 7]]), 0)</f>
        <v>0</v>
      </c>
      <c r="W236" s="99">
        <f>IF(AND(SamplingData[[#This Row],[Total]]&lt;&gt; 0, NOT(ISBLANK(SamplingData[[#This Row],[Candidate 8]]))),(SamplingData[[#This Row],[Total]]+SamplingData[[#This Row],[Winning Candidate]]-SamplingData[[#This Row],[Candidate 8]])/(SamplingData[[#Totals],[Winning Candidate]]-SamplingData[[#Totals],[Candidate 8]]), 0)</f>
        <v>0</v>
      </c>
      <c r="X2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6" s="99">
        <f>MAX(SamplingData[[#This Row],[Error Bound (up) - Max. possible relative overstatement - Losing Candidate]:[Error Bound (up) - Max. possible relative overstatement - Candidate 12]])</f>
        <v>1.1670344593447632E-2</v>
      </c>
      <c r="AC236" s="99">
        <f>IF(SamplingData[[#This Row],[Max Error Bound (up)]] = 0,0,SamplingData[[#This Row],[Max Error Bound (up)]]/SamplingData[[#Totals],[Max Error Bound (up)]])</f>
        <v>6.2484094957647224E-4</v>
      </c>
      <c r="AD236" s="103">
        <f>SUM($AC$5:AC236)</f>
        <v>0.23269076962227817</v>
      </c>
      <c r="AE236" s="99" t="str" cm="1">
        <f t="array" ref="AE236">IF(SamplingData[[#This Row],[up/U Selection Probability]] = 0, "Zero", TEXT(SamplingData[[#This Row],[Lower Range]], REPT("0",LEN('General Info'!$B$42))) &amp; " - " &amp; TEXT(SamplingData[[#This Row],[Upper Range]], REPT("0",LEN('General Info'!$B$42))))</f>
        <v>232066 - 232690</v>
      </c>
      <c r="AF236" s="99">
        <f>SamplingData[[#This Row],[Upper Range]]-SamplingData[[#This Row],[Span]]</f>
        <v>232065.9286727017</v>
      </c>
      <c r="AG236" s="99">
        <f>IF(ISNUMBER('General Info'!$B$42), ((SamplingData[[#This Row],[up/U Selection Probability]]) * 'General Info'!$B$44) - 1, 0)</f>
        <v>623.84094957647221</v>
      </c>
      <c r="AH236" s="99">
        <f>IF(ISNUMBER('General Info'!$B$42), (SamplingData[[#This Row],[Running (cumulative) sum]] * ('General Info'!$B$42 -'General Info'!$B$43 + 1)) + 'General Info'!$B$43 - 1, 0)</f>
        <v>232689.76962227817</v>
      </c>
      <c r="AI236" s="99" t="str">
        <f>IF(ISERROR(MATCH(SamplingData[[#This Row],[Batch by Type (p)]],SelectedPrecincts[Batch Name], 0)), "", INDEX(SelectedPrecincts[Draw], MATCH(SamplingData[[#This Row],[Batch by Type (p)]],SelectedPrecincts[Batch Name], 0)))</f>
        <v/>
      </c>
      <c r="AJ236" s="100">
        <f>IF(COUNTIF(SelectedPrecincts[Batch Name],SamplingData[[#This Row],[Batch by Type (p)]]) &lt;&gt; 0, COUNTIF(SelectedPrecincts[Batch Name],SamplingData[[#This Row],[Batch by Type (p)]]), 0)</f>
        <v>0</v>
      </c>
    </row>
    <row r="237" spans="1:36" ht="15" customHeight="1" x14ac:dyDescent="0.35">
      <c r="A237" s="97" t="s">
        <v>450</v>
      </c>
      <c r="B237" s="97">
        <v>76</v>
      </c>
      <c r="C237" s="97">
        <v>168</v>
      </c>
      <c r="D237" s="92"/>
      <c r="E237" s="92"/>
      <c r="F237" s="92"/>
      <c r="G237" s="96"/>
      <c r="H237" s="96"/>
      <c r="I237" s="92"/>
      <c r="J237" s="92"/>
      <c r="K237" s="92"/>
      <c r="L237" s="92"/>
      <c r="M237" s="92"/>
      <c r="N237" s="97">
        <v>0</v>
      </c>
      <c r="O237" s="97">
        <v>9</v>
      </c>
      <c r="P237" s="98">
        <f>SUM(SamplingData[[#This Row],[Winning Candidate]:[Under Votes]])</f>
        <v>253</v>
      </c>
      <c r="Q237" s="99">
        <f>IF(AND(SamplingData[[#This Row],[Total]]&lt;&gt; 0, NOT(ISBLANK(SamplingData[[#This Row],[Losing Candidate]]))),(SamplingData[[#This Row],[Total]]+SamplingData[[#This Row],[Winning Candidate]]-SamplingData[[#This Row],[Losing Candidate]])/(SamplingData[[#Totals],[Winning Candidate]]-SamplingData[[#Totals],[Losing Candidate]]), 0)</f>
        <v>6.8324562892547952E-3</v>
      </c>
      <c r="R237" s="99">
        <f>IF(AND(SamplingData[[#This Row],[Total]]&lt;&gt; 0, NOT(ISBLANK(SamplingData[[#This Row],[Candidate 3]]))),(SamplingData[[#This Row],[Total]]+SamplingData[[#This Row],[Winning Candidate]]-SamplingData[[#This Row],[Candidate 3]])/(SamplingData[[#Totals],[Winning Candidate]]-SamplingData[[#Totals],[Candidate 3]]), 0)</f>
        <v>0</v>
      </c>
      <c r="S237" s="99">
        <f>IF(AND(SamplingData[[#This Row],[Total]]&lt;&gt; 0, NOT(ISBLANK(SamplingData[[#This Row],[Candidate 4]]))),(SamplingData[[#This Row],[Total]]+SamplingData[[#This Row],[Winning Candidate]]-SamplingData[[#This Row],[Candidate 4]])/(SamplingData[[#Totals],[Winning Candidate]]-SamplingData[[#Totals],[Candidate 4]]), 0)</f>
        <v>0</v>
      </c>
      <c r="T237" s="99">
        <f>IF(AND(SamplingData[[#This Row],[Total]]&lt;&gt; 0, NOT(ISBLANK(SamplingData[[#This Row],[Candidate 5]]))),(SamplingData[[#This Row],[Total]]+SamplingData[[#This Row],[Winning Candidate]]-SamplingData[[#This Row],[Candidate 5]])/(SamplingData[[#Totals],[Winning Candidate]]-SamplingData[[#Totals],[Candidate 5]]), 0)</f>
        <v>0</v>
      </c>
      <c r="U237" s="99">
        <f>IF(AND(SamplingData[[#This Row],[Total]]&lt;&gt; 0, NOT(ISBLANK(SamplingData[[#This Row],[Candidate 6]]))),(SamplingData[[#This Row],[Total]]+SamplingData[[#This Row],[Losing Candidate]]-SamplingData[[#This Row],[Candidate 6]])/(SamplingData[[#Totals],[Winning Candidate]]-SamplingData[[#Totals],[Candidate 6]]), 0)</f>
        <v>0</v>
      </c>
      <c r="V237" s="99">
        <f>IF(AND(SamplingData[[#This Row],[Total]]&lt;&gt; 0, NOT(ISBLANK(SamplingData[[#This Row],[Candidate 7]]))),(SamplingData[[#This Row],[Total]]+SamplingData[[#This Row],[Winning Candidate]]-SamplingData[[#This Row],[Candidate 7]])/(SamplingData[[#Totals],[Winning Candidate]]-SamplingData[[#Totals],[Candidate 7]]), 0)</f>
        <v>0</v>
      </c>
      <c r="W237" s="99">
        <f>IF(AND(SamplingData[[#This Row],[Total]]&lt;&gt; 0, NOT(ISBLANK(SamplingData[[#This Row],[Candidate 8]]))),(SamplingData[[#This Row],[Total]]+SamplingData[[#This Row],[Winning Candidate]]-SamplingData[[#This Row],[Candidate 8]])/(SamplingData[[#Totals],[Winning Candidate]]-SamplingData[[#Totals],[Candidate 8]]), 0)</f>
        <v>0</v>
      </c>
      <c r="X2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7" s="99">
        <f>MAX(SamplingData[[#This Row],[Error Bound (up) - Max. possible relative overstatement - Losing Candidate]:[Error Bound (up) - Max. possible relative overstatement - Candidate 12]])</f>
        <v>6.8324562892547952E-3</v>
      </c>
      <c r="AC237" s="99">
        <f>IF(SamplingData[[#This Row],[Max Error Bound (up)]] = 0,0,SamplingData[[#This Row],[Max Error Bound (up)]]/SamplingData[[#Totals],[Max Error Bound (up)]])</f>
        <v>3.6581597411568012E-4</v>
      </c>
      <c r="AD237" s="103">
        <f>SUM($AC$5:AC237)</f>
        <v>0.23305658559639383</v>
      </c>
      <c r="AE237" s="99" t="str" cm="1">
        <f t="array" ref="AE237">IF(SamplingData[[#This Row],[up/U Selection Probability]] = 0, "Zero", TEXT(SamplingData[[#This Row],[Lower Range]], REPT("0",LEN('General Info'!$B$42))) &amp; " - " &amp; TEXT(SamplingData[[#This Row],[Upper Range]], REPT("0",LEN('General Info'!$B$42))))</f>
        <v>232691 - 233056</v>
      </c>
      <c r="AF237" s="99">
        <f>SamplingData[[#This Row],[Upper Range]]-SamplingData[[#This Row],[Span]]</f>
        <v>232690.76962227814</v>
      </c>
      <c r="AG237" s="99">
        <f>IF(ISNUMBER('General Info'!$B$42), ((SamplingData[[#This Row],[up/U Selection Probability]]) * 'General Info'!$B$44) - 1, 0)</f>
        <v>364.81597411568015</v>
      </c>
      <c r="AH237" s="99">
        <f>IF(ISNUMBER('General Info'!$B$42), (SamplingData[[#This Row],[Running (cumulative) sum]] * ('General Info'!$B$42 -'General Info'!$B$43 + 1)) + 'General Info'!$B$43 - 1, 0)</f>
        <v>233055.58559639382</v>
      </c>
      <c r="AI237" s="99">
        <f>IF(ISERROR(MATCH(SamplingData[[#This Row],[Batch by Type (p)]],SelectedPrecincts[Batch Name], 0)), "", INDEX(SelectedPrecincts[Draw], MATCH(SamplingData[[#This Row],[Batch by Type (p)]],SelectedPrecincts[Batch Name], 0)))</f>
        <v>8</v>
      </c>
      <c r="AJ237" s="100">
        <f>IF(COUNTIF(SelectedPrecincts[Batch Name],SamplingData[[#This Row],[Batch by Type (p)]]) &lt;&gt; 0, COUNTIF(SelectedPrecincts[Batch Name],SamplingData[[#This Row],[Batch by Type (p)]]), 0)</f>
        <v>1</v>
      </c>
    </row>
    <row r="238" spans="1:36" ht="15" customHeight="1" x14ac:dyDescent="0.35">
      <c r="A238" s="97" t="s">
        <v>451</v>
      </c>
      <c r="B238" s="97">
        <v>146</v>
      </c>
      <c r="C238" s="97">
        <v>236</v>
      </c>
      <c r="D238" s="92"/>
      <c r="E238" s="92"/>
      <c r="F238" s="92"/>
      <c r="G238" s="96"/>
      <c r="H238" s="96"/>
      <c r="I238" s="92"/>
      <c r="J238" s="92"/>
      <c r="K238" s="92"/>
      <c r="L238" s="92"/>
      <c r="M238" s="92"/>
      <c r="N238" s="97">
        <v>1</v>
      </c>
      <c r="O238" s="97">
        <v>9</v>
      </c>
      <c r="P238" s="98">
        <f>SUM(SamplingData[[#This Row],[Winning Candidate]:[Under Votes]])</f>
        <v>392</v>
      </c>
      <c r="Q238" s="99">
        <f>IF(AND(SamplingData[[#This Row],[Total]]&lt;&gt; 0, NOT(ISBLANK(SamplingData[[#This Row],[Losing Candidate]]))),(SamplingData[[#This Row],[Total]]+SamplingData[[#This Row],[Winning Candidate]]-SamplingData[[#This Row],[Losing Candidate]])/(SamplingData[[#Totals],[Winning Candidate]]-SamplingData[[#Totals],[Losing Candidate]]), 0)</f>
        <v>1.2816160244440673E-2</v>
      </c>
      <c r="R238" s="99">
        <f>IF(AND(SamplingData[[#This Row],[Total]]&lt;&gt; 0, NOT(ISBLANK(SamplingData[[#This Row],[Candidate 3]]))),(SamplingData[[#This Row],[Total]]+SamplingData[[#This Row],[Winning Candidate]]-SamplingData[[#This Row],[Candidate 3]])/(SamplingData[[#Totals],[Winning Candidate]]-SamplingData[[#Totals],[Candidate 3]]), 0)</f>
        <v>0</v>
      </c>
      <c r="S238" s="99">
        <f>IF(AND(SamplingData[[#This Row],[Total]]&lt;&gt; 0, NOT(ISBLANK(SamplingData[[#This Row],[Candidate 4]]))),(SamplingData[[#This Row],[Total]]+SamplingData[[#This Row],[Winning Candidate]]-SamplingData[[#This Row],[Candidate 4]])/(SamplingData[[#Totals],[Winning Candidate]]-SamplingData[[#Totals],[Candidate 4]]), 0)</f>
        <v>0</v>
      </c>
      <c r="T238" s="99">
        <f>IF(AND(SamplingData[[#This Row],[Total]]&lt;&gt; 0, NOT(ISBLANK(SamplingData[[#This Row],[Candidate 5]]))),(SamplingData[[#This Row],[Total]]+SamplingData[[#This Row],[Winning Candidate]]-SamplingData[[#This Row],[Candidate 5]])/(SamplingData[[#Totals],[Winning Candidate]]-SamplingData[[#Totals],[Candidate 5]]), 0)</f>
        <v>0</v>
      </c>
      <c r="U238" s="99">
        <f>IF(AND(SamplingData[[#This Row],[Total]]&lt;&gt; 0, NOT(ISBLANK(SamplingData[[#This Row],[Candidate 6]]))),(SamplingData[[#This Row],[Total]]+SamplingData[[#This Row],[Losing Candidate]]-SamplingData[[#This Row],[Candidate 6]])/(SamplingData[[#Totals],[Winning Candidate]]-SamplingData[[#Totals],[Candidate 6]]), 0)</f>
        <v>0</v>
      </c>
      <c r="V238" s="99">
        <f>IF(AND(SamplingData[[#This Row],[Total]]&lt;&gt; 0, NOT(ISBLANK(SamplingData[[#This Row],[Candidate 7]]))),(SamplingData[[#This Row],[Total]]+SamplingData[[#This Row],[Winning Candidate]]-SamplingData[[#This Row],[Candidate 7]])/(SamplingData[[#Totals],[Winning Candidate]]-SamplingData[[#Totals],[Candidate 7]]), 0)</f>
        <v>0</v>
      </c>
      <c r="W238" s="99">
        <f>IF(AND(SamplingData[[#This Row],[Total]]&lt;&gt; 0, NOT(ISBLANK(SamplingData[[#This Row],[Candidate 8]]))),(SamplingData[[#This Row],[Total]]+SamplingData[[#This Row],[Winning Candidate]]-SamplingData[[#This Row],[Candidate 8]])/(SamplingData[[#Totals],[Winning Candidate]]-SamplingData[[#Totals],[Candidate 8]]), 0)</f>
        <v>0</v>
      </c>
      <c r="X2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8" s="99">
        <f>MAX(SamplingData[[#This Row],[Error Bound (up) - Max. possible relative overstatement - Losing Candidate]:[Error Bound (up) - Max. possible relative overstatement - Candidate 12]])</f>
        <v>1.2816160244440673E-2</v>
      </c>
      <c r="AC238" s="99">
        <f>IF(SamplingData[[#This Row],[Max Error Bound (up)]] = 0,0,SamplingData[[#This Row],[Max Error Bound (up)]]/SamplingData[[#Totals],[Max Error Bound (up)]])</f>
        <v>6.8618897008034408E-4</v>
      </c>
      <c r="AD238" s="103">
        <f>SUM($AC$5:AC238)</f>
        <v>0.23374277456647419</v>
      </c>
      <c r="AE238" s="99" t="str" cm="1">
        <f t="array" ref="AE238">IF(SamplingData[[#This Row],[up/U Selection Probability]] = 0, "Zero", TEXT(SamplingData[[#This Row],[Lower Range]], REPT("0",LEN('General Info'!$B$42))) &amp; " - " &amp; TEXT(SamplingData[[#This Row],[Upper Range]], REPT("0",LEN('General Info'!$B$42))))</f>
        <v>233057 - 233742</v>
      </c>
      <c r="AF238" s="99">
        <f>SamplingData[[#This Row],[Upper Range]]-SamplingData[[#This Row],[Span]]</f>
        <v>233056.58559639385</v>
      </c>
      <c r="AG238" s="99">
        <f>IF(ISNUMBER('General Info'!$B$42), ((SamplingData[[#This Row],[up/U Selection Probability]]) * 'General Info'!$B$44) - 1, 0)</f>
        <v>685.18897008034412</v>
      </c>
      <c r="AH238" s="99">
        <f>IF(ISNUMBER('General Info'!$B$42), (SamplingData[[#This Row],[Running (cumulative) sum]] * ('General Info'!$B$42 -'General Info'!$B$43 + 1)) + 'General Info'!$B$43 - 1, 0)</f>
        <v>233741.7745664742</v>
      </c>
      <c r="AI238" s="99" t="str">
        <f>IF(ISERROR(MATCH(SamplingData[[#This Row],[Batch by Type (p)]],SelectedPrecincts[Batch Name], 0)), "", INDEX(SelectedPrecincts[Draw], MATCH(SamplingData[[#This Row],[Batch by Type (p)]],SelectedPrecincts[Batch Name], 0)))</f>
        <v/>
      </c>
      <c r="AJ238" s="100">
        <f>IF(COUNTIF(SelectedPrecincts[Batch Name],SamplingData[[#This Row],[Batch by Type (p)]]) &lt;&gt; 0, COUNTIF(SelectedPrecincts[Batch Name],SamplingData[[#This Row],[Batch by Type (p)]]), 0)</f>
        <v>0</v>
      </c>
    </row>
    <row r="239" spans="1:36" ht="15" customHeight="1" x14ac:dyDescent="0.35">
      <c r="A239" s="97" t="s">
        <v>452</v>
      </c>
      <c r="B239" s="97">
        <v>105</v>
      </c>
      <c r="C239" s="97">
        <v>171</v>
      </c>
      <c r="D239" s="92"/>
      <c r="E239" s="92"/>
      <c r="F239" s="92"/>
      <c r="G239" s="96"/>
      <c r="H239" s="96"/>
      <c r="I239" s="92"/>
      <c r="J239" s="92"/>
      <c r="K239" s="92"/>
      <c r="L239" s="92"/>
      <c r="M239" s="92"/>
      <c r="N239" s="97">
        <v>0</v>
      </c>
      <c r="O239" s="97">
        <v>12</v>
      </c>
      <c r="P239" s="98">
        <f>SUM(SamplingData[[#This Row],[Winning Candidate]:[Under Votes]])</f>
        <v>288</v>
      </c>
      <c r="Q239" s="99">
        <f>IF(AND(SamplingData[[#This Row],[Total]]&lt;&gt; 0, NOT(ISBLANK(SamplingData[[#This Row],[Losing Candidate]]))),(SamplingData[[#This Row],[Total]]+SamplingData[[#This Row],[Winning Candidate]]-SamplingData[[#This Row],[Losing Candidate]])/(SamplingData[[#Totals],[Winning Candidate]]-SamplingData[[#Totals],[Losing Candidate]]), 0)</f>
        <v>9.4211509081649977E-3</v>
      </c>
      <c r="R239" s="99">
        <f>IF(AND(SamplingData[[#This Row],[Total]]&lt;&gt; 0, NOT(ISBLANK(SamplingData[[#This Row],[Candidate 3]]))),(SamplingData[[#This Row],[Total]]+SamplingData[[#This Row],[Winning Candidate]]-SamplingData[[#This Row],[Candidate 3]])/(SamplingData[[#Totals],[Winning Candidate]]-SamplingData[[#Totals],[Candidate 3]]), 0)</f>
        <v>0</v>
      </c>
      <c r="S239" s="99">
        <f>IF(AND(SamplingData[[#This Row],[Total]]&lt;&gt; 0, NOT(ISBLANK(SamplingData[[#This Row],[Candidate 4]]))),(SamplingData[[#This Row],[Total]]+SamplingData[[#This Row],[Winning Candidate]]-SamplingData[[#This Row],[Candidate 4]])/(SamplingData[[#Totals],[Winning Candidate]]-SamplingData[[#Totals],[Candidate 4]]), 0)</f>
        <v>0</v>
      </c>
      <c r="T239" s="99">
        <f>IF(AND(SamplingData[[#This Row],[Total]]&lt;&gt; 0, NOT(ISBLANK(SamplingData[[#This Row],[Candidate 5]]))),(SamplingData[[#This Row],[Total]]+SamplingData[[#This Row],[Winning Candidate]]-SamplingData[[#This Row],[Candidate 5]])/(SamplingData[[#Totals],[Winning Candidate]]-SamplingData[[#Totals],[Candidate 5]]), 0)</f>
        <v>0</v>
      </c>
      <c r="U239" s="99">
        <f>IF(AND(SamplingData[[#This Row],[Total]]&lt;&gt; 0, NOT(ISBLANK(SamplingData[[#This Row],[Candidate 6]]))),(SamplingData[[#This Row],[Total]]+SamplingData[[#This Row],[Losing Candidate]]-SamplingData[[#This Row],[Candidate 6]])/(SamplingData[[#Totals],[Winning Candidate]]-SamplingData[[#Totals],[Candidate 6]]), 0)</f>
        <v>0</v>
      </c>
      <c r="V239" s="99">
        <f>IF(AND(SamplingData[[#This Row],[Total]]&lt;&gt; 0, NOT(ISBLANK(SamplingData[[#This Row],[Candidate 7]]))),(SamplingData[[#This Row],[Total]]+SamplingData[[#This Row],[Winning Candidate]]-SamplingData[[#This Row],[Candidate 7]])/(SamplingData[[#Totals],[Winning Candidate]]-SamplingData[[#Totals],[Candidate 7]]), 0)</f>
        <v>0</v>
      </c>
      <c r="W239" s="99">
        <f>IF(AND(SamplingData[[#This Row],[Total]]&lt;&gt; 0, NOT(ISBLANK(SamplingData[[#This Row],[Candidate 8]]))),(SamplingData[[#This Row],[Total]]+SamplingData[[#This Row],[Winning Candidate]]-SamplingData[[#This Row],[Candidate 8]])/(SamplingData[[#Totals],[Winning Candidate]]-SamplingData[[#Totals],[Candidate 8]]), 0)</f>
        <v>0</v>
      </c>
      <c r="X2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9" s="99">
        <f>MAX(SamplingData[[#This Row],[Error Bound (up) - Max. possible relative overstatement - Losing Candidate]:[Error Bound (up) - Max. possible relative overstatement - Candidate 12]])</f>
        <v>9.4211509081649977E-3</v>
      </c>
      <c r="AC239" s="99">
        <f>IF(SamplingData[[#This Row],[Max Error Bound (up)]] = 0,0,SamplingData[[#This Row],[Max Error Bound (up)]]/SamplingData[[#Totals],[Max Error Bound (up)]])</f>
        <v>5.0441705747627944E-4</v>
      </c>
      <c r="AD239" s="103">
        <f>SUM($AC$5:AC239)</f>
        <v>0.23424719162395047</v>
      </c>
      <c r="AE239" s="99" t="str" cm="1">
        <f t="array" ref="AE239">IF(SamplingData[[#This Row],[up/U Selection Probability]] = 0, "Zero", TEXT(SamplingData[[#This Row],[Lower Range]], REPT("0",LEN('General Info'!$B$42))) &amp; " - " &amp; TEXT(SamplingData[[#This Row],[Upper Range]], REPT("0",LEN('General Info'!$B$42))))</f>
        <v>233743 - 234246</v>
      </c>
      <c r="AF239" s="99">
        <f>SamplingData[[#This Row],[Upper Range]]-SamplingData[[#This Row],[Span]]</f>
        <v>233742.7745664742</v>
      </c>
      <c r="AG239" s="99">
        <f>IF(ISNUMBER('General Info'!$B$42), ((SamplingData[[#This Row],[up/U Selection Probability]]) * 'General Info'!$B$44) - 1, 0)</f>
        <v>503.41705747627941</v>
      </c>
      <c r="AH239" s="99">
        <f>IF(ISNUMBER('General Info'!$B$42), (SamplingData[[#This Row],[Running (cumulative) sum]] * ('General Info'!$B$42 -'General Info'!$B$43 + 1)) + 'General Info'!$B$43 - 1, 0)</f>
        <v>234246.19162395046</v>
      </c>
      <c r="AI239" s="99" t="str">
        <f>IF(ISERROR(MATCH(SamplingData[[#This Row],[Batch by Type (p)]],SelectedPrecincts[Batch Name], 0)), "", INDEX(SelectedPrecincts[Draw], MATCH(SamplingData[[#This Row],[Batch by Type (p)]],SelectedPrecincts[Batch Name], 0)))</f>
        <v/>
      </c>
      <c r="AJ239" s="100">
        <f>IF(COUNTIF(SelectedPrecincts[Batch Name],SamplingData[[#This Row],[Batch by Type (p)]]) &lt;&gt; 0, COUNTIF(SelectedPrecincts[Batch Name],SamplingData[[#This Row],[Batch by Type (p)]]), 0)</f>
        <v>0</v>
      </c>
    </row>
    <row r="240" spans="1:36" ht="15" customHeight="1" x14ac:dyDescent="0.35">
      <c r="A240" s="97" t="s">
        <v>453</v>
      </c>
      <c r="B240" s="97">
        <v>124</v>
      </c>
      <c r="C240" s="97">
        <v>168</v>
      </c>
      <c r="D240" s="92"/>
      <c r="E240" s="92"/>
      <c r="F240" s="92"/>
      <c r="G240" s="96"/>
      <c r="H240" s="96"/>
      <c r="I240" s="92"/>
      <c r="J240" s="92"/>
      <c r="K240" s="92"/>
      <c r="L240" s="92"/>
      <c r="M240" s="92"/>
      <c r="N240" s="97">
        <v>0</v>
      </c>
      <c r="O240" s="97">
        <v>22</v>
      </c>
      <c r="P240" s="98">
        <f>SUM(SamplingData[[#This Row],[Winning Candidate]:[Under Votes]])</f>
        <v>314</v>
      </c>
      <c r="Q240" s="99">
        <f>IF(AND(SamplingData[[#This Row],[Total]]&lt;&gt; 0, NOT(ISBLANK(SamplingData[[#This Row],[Losing Candidate]]))),(SamplingData[[#This Row],[Total]]+SamplingData[[#This Row],[Winning Candidate]]-SamplingData[[#This Row],[Losing Candidate]])/(SamplingData[[#Totals],[Winning Candidate]]-SamplingData[[#Totals],[Losing Candidate]]), 0)</f>
        <v>1.1458156509930402E-2</v>
      </c>
      <c r="R240" s="99">
        <f>IF(AND(SamplingData[[#This Row],[Total]]&lt;&gt; 0, NOT(ISBLANK(SamplingData[[#This Row],[Candidate 3]]))),(SamplingData[[#This Row],[Total]]+SamplingData[[#This Row],[Winning Candidate]]-SamplingData[[#This Row],[Candidate 3]])/(SamplingData[[#Totals],[Winning Candidate]]-SamplingData[[#Totals],[Candidate 3]]), 0)</f>
        <v>0</v>
      </c>
      <c r="S240" s="99">
        <f>IF(AND(SamplingData[[#This Row],[Total]]&lt;&gt; 0, NOT(ISBLANK(SamplingData[[#This Row],[Candidate 4]]))),(SamplingData[[#This Row],[Total]]+SamplingData[[#This Row],[Winning Candidate]]-SamplingData[[#This Row],[Candidate 4]])/(SamplingData[[#Totals],[Winning Candidate]]-SamplingData[[#Totals],[Candidate 4]]), 0)</f>
        <v>0</v>
      </c>
      <c r="T240" s="99">
        <f>IF(AND(SamplingData[[#This Row],[Total]]&lt;&gt; 0, NOT(ISBLANK(SamplingData[[#This Row],[Candidate 5]]))),(SamplingData[[#This Row],[Total]]+SamplingData[[#This Row],[Winning Candidate]]-SamplingData[[#This Row],[Candidate 5]])/(SamplingData[[#Totals],[Winning Candidate]]-SamplingData[[#Totals],[Candidate 5]]), 0)</f>
        <v>0</v>
      </c>
      <c r="U240" s="99">
        <f>IF(AND(SamplingData[[#This Row],[Total]]&lt;&gt; 0, NOT(ISBLANK(SamplingData[[#This Row],[Candidate 6]]))),(SamplingData[[#This Row],[Total]]+SamplingData[[#This Row],[Losing Candidate]]-SamplingData[[#This Row],[Candidate 6]])/(SamplingData[[#Totals],[Winning Candidate]]-SamplingData[[#Totals],[Candidate 6]]), 0)</f>
        <v>0</v>
      </c>
      <c r="V240" s="99">
        <f>IF(AND(SamplingData[[#This Row],[Total]]&lt;&gt; 0, NOT(ISBLANK(SamplingData[[#This Row],[Candidate 7]]))),(SamplingData[[#This Row],[Total]]+SamplingData[[#This Row],[Winning Candidate]]-SamplingData[[#This Row],[Candidate 7]])/(SamplingData[[#Totals],[Winning Candidate]]-SamplingData[[#Totals],[Candidate 7]]), 0)</f>
        <v>0</v>
      </c>
      <c r="W240" s="99">
        <f>IF(AND(SamplingData[[#This Row],[Total]]&lt;&gt; 0, NOT(ISBLANK(SamplingData[[#This Row],[Candidate 8]]))),(SamplingData[[#This Row],[Total]]+SamplingData[[#This Row],[Winning Candidate]]-SamplingData[[#This Row],[Candidate 8]])/(SamplingData[[#Totals],[Winning Candidate]]-SamplingData[[#Totals],[Candidate 8]]), 0)</f>
        <v>0</v>
      </c>
      <c r="X2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0" s="99">
        <f>MAX(SamplingData[[#This Row],[Error Bound (up) - Max. possible relative overstatement - Losing Candidate]:[Error Bound (up) - Max. possible relative overstatement - Candidate 12]])</f>
        <v>1.1458156509930402E-2</v>
      </c>
      <c r="AC240" s="99">
        <f>IF(SamplingData[[#This Row],[Max Error Bound (up)]] = 0,0,SamplingData[[#This Row],[Max Error Bound (up)]]/SamplingData[[#Totals],[Max Error Bound (up)]])</f>
        <v>6.1348020503871822E-4</v>
      </c>
      <c r="AD240" s="103">
        <f>SUM($AC$5:AC240)</f>
        <v>0.23486067182898918</v>
      </c>
      <c r="AE240" s="99" t="str" cm="1">
        <f t="array" ref="AE240">IF(SamplingData[[#This Row],[up/U Selection Probability]] = 0, "Zero", TEXT(SamplingData[[#This Row],[Lower Range]], REPT("0",LEN('General Info'!$B$42))) &amp; " - " &amp; TEXT(SamplingData[[#This Row],[Upper Range]], REPT("0",LEN('General Info'!$B$42))))</f>
        <v>234247 - 234860</v>
      </c>
      <c r="AF240" s="99">
        <f>SamplingData[[#This Row],[Upper Range]]-SamplingData[[#This Row],[Span]]</f>
        <v>234247.19162395046</v>
      </c>
      <c r="AG240" s="99">
        <f>IF(ISNUMBER('General Info'!$B$42), ((SamplingData[[#This Row],[up/U Selection Probability]]) * 'General Info'!$B$44) - 1, 0)</f>
        <v>612.48020503871817</v>
      </c>
      <c r="AH240" s="99">
        <f>IF(ISNUMBER('General Info'!$B$42), (SamplingData[[#This Row],[Running (cumulative) sum]] * ('General Info'!$B$42 -'General Info'!$B$43 + 1)) + 'General Info'!$B$43 - 1, 0)</f>
        <v>234859.67182898917</v>
      </c>
      <c r="AI240" s="99" t="str">
        <f>IF(ISERROR(MATCH(SamplingData[[#This Row],[Batch by Type (p)]],SelectedPrecincts[Batch Name], 0)), "", INDEX(SelectedPrecincts[Draw], MATCH(SamplingData[[#This Row],[Batch by Type (p)]],SelectedPrecincts[Batch Name], 0)))</f>
        <v/>
      </c>
      <c r="AJ240" s="100">
        <f>IF(COUNTIF(SelectedPrecincts[Batch Name],SamplingData[[#This Row],[Batch by Type (p)]]) &lt;&gt; 0, COUNTIF(SelectedPrecincts[Batch Name],SamplingData[[#This Row],[Batch by Type (p)]]), 0)</f>
        <v>0</v>
      </c>
    </row>
    <row r="241" spans="1:36" ht="15" customHeight="1" x14ac:dyDescent="0.35">
      <c r="A241" s="97" t="s">
        <v>454</v>
      </c>
      <c r="B241" s="97">
        <v>169</v>
      </c>
      <c r="C241" s="97">
        <v>127</v>
      </c>
      <c r="D241" s="92"/>
      <c r="E241" s="92"/>
      <c r="F241" s="92"/>
      <c r="G241" s="96"/>
      <c r="H241" s="96"/>
      <c r="I241" s="92"/>
      <c r="J241" s="92"/>
      <c r="K241" s="92"/>
      <c r="L241" s="92"/>
      <c r="M241" s="92"/>
      <c r="N241" s="97">
        <v>1</v>
      </c>
      <c r="O241" s="97">
        <v>19</v>
      </c>
      <c r="P241" s="98">
        <f>SUM(SamplingData[[#This Row],[Winning Candidate]:[Under Votes]])</f>
        <v>316</v>
      </c>
      <c r="Q241" s="99">
        <f>IF(AND(SamplingData[[#This Row],[Total]]&lt;&gt; 0, NOT(ISBLANK(SamplingData[[#This Row],[Losing Candidate]]))),(SamplingData[[#This Row],[Total]]+SamplingData[[#This Row],[Winning Candidate]]-SamplingData[[#This Row],[Losing Candidate]])/(SamplingData[[#Totals],[Winning Candidate]]-SamplingData[[#Totals],[Losing Candidate]]), 0)</f>
        <v>1.5192666779833644E-2</v>
      </c>
      <c r="R241" s="99">
        <f>IF(AND(SamplingData[[#This Row],[Total]]&lt;&gt; 0, NOT(ISBLANK(SamplingData[[#This Row],[Candidate 3]]))),(SamplingData[[#This Row],[Total]]+SamplingData[[#This Row],[Winning Candidate]]-SamplingData[[#This Row],[Candidate 3]])/(SamplingData[[#Totals],[Winning Candidate]]-SamplingData[[#Totals],[Candidate 3]]), 0)</f>
        <v>0</v>
      </c>
      <c r="S241" s="99">
        <f>IF(AND(SamplingData[[#This Row],[Total]]&lt;&gt; 0, NOT(ISBLANK(SamplingData[[#This Row],[Candidate 4]]))),(SamplingData[[#This Row],[Total]]+SamplingData[[#This Row],[Winning Candidate]]-SamplingData[[#This Row],[Candidate 4]])/(SamplingData[[#Totals],[Winning Candidate]]-SamplingData[[#Totals],[Candidate 4]]), 0)</f>
        <v>0</v>
      </c>
      <c r="T241" s="99">
        <f>IF(AND(SamplingData[[#This Row],[Total]]&lt;&gt; 0, NOT(ISBLANK(SamplingData[[#This Row],[Candidate 5]]))),(SamplingData[[#This Row],[Total]]+SamplingData[[#This Row],[Winning Candidate]]-SamplingData[[#This Row],[Candidate 5]])/(SamplingData[[#Totals],[Winning Candidate]]-SamplingData[[#Totals],[Candidate 5]]), 0)</f>
        <v>0</v>
      </c>
      <c r="U241" s="99">
        <f>IF(AND(SamplingData[[#This Row],[Total]]&lt;&gt; 0, NOT(ISBLANK(SamplingData[[#This Row],[Candidate 6]]))),(SamplingData[[#This Row],[Total]]+SamplingData[[#This Row],[Losing Candidate]]-SamplingData[[#This Row],[Candidate 6]])/(SamplingData[[#Totals],[Winning Candidate]]-SamplingData[[#Totals],[Candidate 6]]), 0)</f>
        <v>0</v>
      </c>
      <c r="V241" s="99">
        <f>IF(AND(SamplingData[[#This Row],[Total]]&lt;&gt; 0, NOT(ISBLANK(SamplingData[[#This Row],[Candidate 7]]))),(SamplingData[[#This Row],[Total]]+SamplingData[[#This Row],[Winning Candidate]]-SamplingData[[#This Row],[Candidate 7]])/(SamplingData[[#Totals],[Winning Candidate]]-SamplingData[[#Totals],[Candidate 7]]), 0)</f>
        <v>0</v>
      </c>
      <c r="W241" s="99">
        <f>IF(AND(SamplingData[[#This Row],[Total]]&lt;&gt; 0, NOT(ISBLANK(SamplingData[[#This Row],[Candidate 8]]))),(SamplingData[[#This Row],[Total]]+SamplingData[[#This Row],[Winning Candidate]]-SamplingData[[#This Row],[Candidate 8]])/(SamplingData[[#Totals],[Winning Candidate]]-SamplingData[[#Totals],[Candidate 8]]), 0)</f>
        <v>0</v>
      </c>
      <c r="X2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1" s="99">
        <f>MAX(SamplingData[[#This Row],[Error Bound (up) - Max. possible relative overstatement - Losing Candidate]:[Error Bound (up) - Max. possible relative overstatement - Candidate 12]])</f>
        <v>1.5192666779833644E-2</v>
      </c>
      <c r="AC241" s="99">
        <f>IF(SamplingData[[#This Row],[Max Error Bound (up)]] = 0,0,SamplingData[[#This Row],[Max Error Bound (up)]]/SamplingData[[#Totals],[Max Error Bound (up)]])</f>
        <v>8.1342930890318933E-4</v>
      </c>
      <c r="AD241" s="103">
        <f>SUM($AC$5:AC241)</f>
        <v>0.23567410113789236</v>
      </c>
      <c r="AE241" s="99" t="str" cm="1">
        <f t="array" ref="AE241">IF(SamplingData[[#This Row],[up/U Selection Probability]] = 0, "Zero", TEXT(SamplingData[[#This Row],[Lower Range]], REPT("0",LEN('General Info'!$B$42))) &amp; " - " &amp; TEXT(SamplingData[[#This Row],[Upper Range]], REPT("0",LEN('General Info'!$B$42))))</f>
        <v>234861 - 235673</v>
      </c>
      <c r="AF241" s="99">
        <f>SamplingData[[#This Row],[Upper Range]]-SamplingData[[#This Row],[Span]]</f>
        <v>234860.67182898917</v>
      </c>
      <c r="AG241" s="99">
        <f>IF(ISNUMBER('General Info'!$B$42), ((SamplingData[[#This Row],[up/U Selection Probability]]) * 'General Info'!$B$44) - 1, 0)</f>
        <v>812.42930890318928</v>
      </c>
      <c r="AH241" s="99">
        <f>IF(ISNUMBER('General Info'!$B$42), (SamplingData[[#This Row],[Running (cumulative) sum]] * ('General Info'!$B$42 -'General Info'!$B$43 + 1)) + 'General Info'!$B$43 - 1, 0)</f>
        <v>235673.10113789237</v>
      </c>
      <c r="AI241" s="99" t="str">
        <f>IF(ISERROR(MATCH(SamplingData[[#This Row],[Batch by Type (p)]],SelectedPrecincts[Batch Name], 0)), "", INDEX(SelectedPrecincts[Draw], MATCH(SamplingData[[#This Row],[Batch by Type (p)]],SelectedPrecincts[Batch Name], 0)))</f>
        <v/>
      </c>
      <c r="AJ241" s="100">
        <f>IF(COUNTIF(SelectedPrecincts[Batch Name],SamplingData[[#This Row],[Batch by Type (p)]]) &lt;&gt; 0, COUNTIF(SelectedPrecincts[Batch Name],SamplingData[[#This Row],[Batch by Type (p)]]), 0)</f>
        <v>0</v>
      </c>
    </row>
    <row r="242" spans="1:36" ht="15" customHeight="1" x14ac:dyDescent="0.35">
      <c r="A242" s="97" t="s">
        <v>455</v>
      </c>
      <c r="B242" s="97">
        <v>207</v>
      </c>
      <c r="C242" s="97">
        <v>201</v>
      </c>
      <c r="D242" s="92"/>
      <c r="E242" s="92"/>
      <c r="F242" s="92"/>
      <c r="G242" s="96"/>
      <c r="H242" s="96"/>
      <c r="I242" s="92"/>
      <c r="J242" s="92"/>
      <c r="K242" s="92"/>
      <c r="L242" s="92"/>
      <c r="M242" s="92"/>
      <c r="N242" s="97">
        <v>0</v>
      </c>
      <c r="O242" s="97">
        <v>22</v>
      </c>
      <c r="P242" s="98">
        <f>SUM(SamplingData[[#This Row],[Winning Candidate]:[Under Votes]])</f>
        <v>430</v>
      </c>
      <c r="Q242" s="99">
        <f>IF(AND(SamplingData[[#This Row],[Total]]&lt;&gt; 0, NOT(ISBLANK(SamplingData[[#This Row],[Losing Candidate]]))),(SamplingData[[#This Row],[Total]]+SamplingData[[#This Row],[Winning Candidate]]-SamplingData[[#This Row],[Losing Candidate]])/(SamplingData[[#Totals],[Winning Candidate]]-SamplingData[[#Totals],[Losing Candidate]]), 0)</f>
        <v>1.8502800882702428E-2</v>
      </c>
      <c r="R242" s="99">
        <f>IF(AND(SamplingData[[#This Row],[Total]]&lt;&gt; 0, NOT(ISBLANK(SamplingData[[#This Row],[Candidate 3]]))),(SamplingData[[#This Row],[Total]]+SamplingData[[#This Row],[Winning Candidate]]-SamplingData[[#This Row],[Candidate 3]])/(SamplingData[[#Totals],[Winning Candidate]]-SamplingData[[#Totals],[Candidate 3]]), 0)</f>
        <v>0</v>
      </c>
      <c r="S242" s="99">
        <f>IF(AND(SamplingData[[#This Row],[Total]]&lt;&gt; 0, NOT(ISBLANK(SamplingData[[#This Row],[Candidate 4]]))),(SamplingData[[#This Row],[Total]]+SamplingData[[#This Row],[Winning Candidate]]-SamplingData[[#This Row],[Candidate 4]])/(SamplingData[[#Totals],[Winning Candidate]]-SamplingData[[#Totals],[Candidate 4]]), 0)</f>
        <v>0</v>
      </c>
      <c r="T242" s="99">
        <f>IF(AND(SamplingData[[#This Row],[Total]]&lt;&gt; 0, NOT(ISBLANK(SamplingData[[#This Row],[Candidate 5]]))),(SamplingData[[#This Row],[Total]]+SamplingData[[#This Row],[Winning Candidate]]-SamplingData[[#This Row],[Candidate 5]])/(SamplingData[[#Totals],[Winning Candidate]]-SamplingData[[#Totals],[Candidate 5]]), 0)</f>
        <v>0</v>
      </c>
      <c r="U242" s="99">
        <f>IF(AND(SamplingData[[#This Row],[Total]]&lt;&gt; 0, NOT(ISBLANK(SamplingData[[#This Row],[Candidate 6]]))),(SamplingData[[#This Row],[Total]]+SamplingData[[#This Row],[Losing Candidate]]-SamplingData[[#This Row],[Candidate 6]])/(SamplingData[[#Totals],[Winning Candidate]]-SamplingData[[#Totals],[Candidate 6]]), 0)</f>
        <v>0</v>
      </c>
      <c r="V242" s="99">
        <f>IF(AND(SamplingData[[#This Row],[Total]]&lt;&gt; 0, NOT(ISBLANK(SamplingData[[#This Row],[Candidate 7]]))),(SamplingData[[#This Row],[Total]]+SamplingData[[#This Row],[Winning Candidate]]-SamplingData[[#This Row],[Candidate 7]])/(SamplingData[[#Totals],[Winning Candidate]]-SamplingData[[#Totals],[Candidate 7]]), 0)</f>
        <v>0</v>
      </c>
      <c r="W242" s="99">
        <f>IF(AND(SamplingData[[#This Row],[Total]]&lt;&gt; 0, NOT(ISBLANK(SamplingData[[#This Row],[Candidate 8]]))),(SamplingData[[#This Row],[Total]]+SamplingData[[#This Row],[Winning Candidate]]-SamplingData[[#This Row],[Candidate 8]])/(SamplingData[[#Totals],[Winning Candidate]]-SamplingData[[#Totals],[Candidate 8]]), 0)</f>
        <v>0</v>
      </c>
      <c r="X2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2" s="99">
        <f>MAX(SamplingData[[#This Row],[Error Bound (up) - Max. possible relative overstatement - Losing Candidate]:[Error Bound (up) - Max. possible relative overstatement - Candidate 12]])</f>
        <v>1.8502800882702428E-2</v>
      </c>
      <c r="AC242" s="99">
        <f>IF(SamplingData[[#This Row],[Max Error Bound (up)]] = 0,0,SamplingData[[#This Row],[Max Error Bound (up)]]/SamplingData[[#Totals],[Max Error Bound (up)]])</f>
        <v>9.9065692369215241E-4</v>
      </c>
      <c r="AD242" s="103">
        <f>SUM($AC$5:AC242)</f>
        <v>0.23666475806158452</v>
      </c>
      <c r="AE242" s="99" t="str" cm="1">
        <f t="array" ref="AE242">IF(SamplingData[[#This Row],[up/U Selection Probability]] = 0, "Zero", TEXT(SamplingData[[#This Row],[Lower Range]], REPT("0",LEN('General Info'!$B$42))) &amp; " - " &amp; TEXT(SamplingData[[#This Row],[Upper Range]], REPT("0",LEN('General Info'!$B$42))))</f>
        <v>235674 - 236664</v>
      </c>
      <c r="AF242" s="99">
        <f>SamplingData[[#This Row],[Upper Range]]-SamplingData[[#This Row],[Span]]</f>
        <v>235674.10113789237</v>
      </c>
      <c r="AG242" s="99">
        <f>IF(ISNUMBER('General Info'!$B$42), ((SamplingData[[#This Row],[up/U Selection Probability]]) * 'General Info'!$B$44) - 1, 0)</f>
        <v>989.65692369215242</v>
      </c>
      <c r="AH242" s="99">
        <f>IF(ISNUMBER('General Info'!$B$42), (SamplingData[[#This Row],[Running (cumulative) sum]] * ('General Info'!$B$42 -'General Info'!$B$43 + 1)) + 'General Info'!$B$43 - 1, 0)</f>
        <v>236663.75806158452</v>
      </c>
      <c r="AI242" s="99" t="str">
        <f>IF(ISERROR(MATCH(SamplingData[[#This Row],[Batch by Type (p)]],SelectedPrecincts[Batch Name], 0)), "", INDEX(SelectedPrecincts[Draw], MATCH(SamplingData[[#This Row],[Batch by Type (p)]],SelectedPrecincts[Batch Name], 0)))</f>
        <v/>
      </c>
      <c r="AJ242" s="100">
        <f>IF(COUNTIF(SelectedPrecincts[Batch Name],SamplingData[[#This Row],[Batch by Type (p)]]) &lt;&gt; 0, COUNTIF(SelectedPrecincts[Batch Name],SamplingData[[#This Row],[Batch by Type (p)]]), 0)</f>
        <v>0</v>
      </c>
    </row>
    <row r="243" spans="1:36" ht="15" customHeight="1" x14ac:dyDescent="0.35">
      <c r="A243" s="97" t="s">
        <v>456</v>
      </c>
      <c r="B243" s="97">
        <v>98</v>
      </c>
      <c r="C243" s="97">
        <v>91</v>
      </c>
      <c r="D243" s="92"/>
      <c r="E243" s="92"/>
      <c r="F243" s="92"/>
      <c r="G243" s="96"/>
      <c r="H243" s="96"/>
      <c r="I243" s="92"/>
      <c r="J243" s="92"/>
      <c r="K243" s="92"/>
      <c r="L243" s="92"/>
      <c r="M243" s="92"/>
      <c r="N243" s="97">
        <v>0</v>
      </c>
      <c r="O243" s="97">
        <v>14</v>
      </c>
      <c r="P243" s="98">
        <f>SUM(SamplingData[[#This Row],[Winning Candidate]:[Under Votes]])</f>
        <v>203</v>
      </c>
      <c r="Q243" s="99">
        <f>IF(AND(SamplingData[[#This Row],[Total]]&lt;&gt; 0, NOT(ISBLANK(SamplingData[[#This Row],[Losing Candidate]]))),(SamplingData[[#This Row],[Total]]+SamplingData[[#This Row],[Winning Candidate]]-SamplingData[[#This Row],[Losing Candidate]])/(SamplingData[[#Totals],[Winning Candidate]]-SamplingData[[#Totals],[Losing Candidate]]), 0)</f>
        <v>8.911899507723647E-3</v>
      </c>
      <c r="R243" s="99">
        <f>IF(AND(SamplingData[[#This Row],[Total]]&lt;&gt; 0, NOT(ISBLANK(SamplingData[[#This Row],[Candidate 3]]))),(SamplingData[[#This Row],[Total]]+SamplingData[[#This Row],[Winning Candidate]]-SamplingData[[#This Row],[Candidate 3]])/(SamplingData[[#Totals],[Winning Candidate]]-SamplingData[[#Totals],[Candidate 3]]), 0)</f>
        <v>0</v>
      </c>
      <c r="S243" s="99">
        <f>IF(AND(SamplingData[[#This Row],[Total]]&lt;&gt; 0, NOT(ISBLANK(SamplingData[[#This Row],[Candidate 4]]))),(SamplingData[[#This Row],[Total]]+SamplingData[[#This Row],[Winning Candidate]]-SamplingData[[#This Row],[Candidate 4]])/(SamplingData[[#Totals],[Winning Candidate]]-SamplingData[[#Totals],[Candidate 4]]), 0)</f>
        <v>0</v>
      </c>
      <c r="T243" s="99">
        <f>IF(AND(SamplingData[[#This Row],[Total]]&lt;&gt; 0, NOT(ISBLANK(SamplingData[[#This Row],[Candidate 5]]))),(SamplingData[[#This Row],[Total]]+SamplingData[[#This Row],[Winning Candidate]]-SamplingData[[#This Row],[Candidate 5]])/(SamplingData[[#Totals],[Winning Candidate]]-SamplingData[[#Totals],[Candidate 5]]), 0)</f>
        <v>0</v>
      </c>
      <c r="U243" s="99">
        <f>IF(AND(SamplingData[[#This Row],[Total]]&lt;&gt; 0, NOT(ISBLANK(SamplingData[[#This Row],[Candidate 6]]))),(SamplingData[[#This Row],[Total]]+SamplingData[[#This Row],[Losing Candidate]]-SamplingData[[#This Row],[Candidate 6]])/(SamplingData[[#Totals],[Winning Candidate]]-SamplingData[[#Totals],[Candidate 6]]), 0)</f>
        <v>0</v>
      </c>
      <c r="V243" s="99">
        <f>IF(AND(SamplingData[[#This Row],[Total]]&lt;&gt; 0, NOT(ISBLANK(SamplingData[[#This Row],[Candidate 7]]))),(SamplingData[[#This Row],[Total]]+SamplingData[[#This Row],[Winning Candidate]]-SamplingData[[#This Row],[Candidate 7]])/(SamplingData[[#Totals],[Winning Candidate]]-SamplingData[[#Totals],[Candidate 7]]), 0)</f>
        <v>0</v>
      </c>
      <c r="W243" s="99">
        <f>IF(AND(SamplingData[[#This Row],[Total]]&lt;&gt; 0, NOT(ISBLANK(SamplingData[[#This Row],[Candidate 8]]))),(SamplingData[[#This Row],[Total]]+SamplingData[[#This Row],[Winning Candidate]]-SamplingData[[#This Row],[Candidate 8]])/(SamplingData[[#Totals],[Winning Candidate]]-SamplingData[[#Totals],[Candidate 8]]), 0)</f>
        <v>0</v>
      </c>
      <c r="X2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3" s="99">
        <f>MAX(SamplingData[[#This Row],[Error Bound (up) - Max. possible relative overstatement - Losing Candidate]:[Error Bound (up) - Max. possible relative overstatement - Candidate 12]])</f>
        <v>8.911899507723647E-3</v>
      </c>
      <c r="AC243" s="99">
        <f>IF(SamplingData[[#This Row],[Max Error Bound (up)]] = 0,0,SamplingData[[#This Row],[Max Error Bound (up)]]/SamplingData[[#Totals],[Max Error Bound (up)]])</f>
        <v>4.7715127058566974E-4</v>
      </c>
      <c r="AD243" s="103">
        <f>SUM($AC$5:AC243)</f>
        <v>0.23714190933217019</v>
      </c>
      <c r="AE243" s="99" t="str" cm="1">
        <f t="array" ref="AE243">IF(SamplingData[[#This Row],[up/U Selection Probability]] = 0, "Zero", TEXT(SamplingData[[#This Row],[Lower Range]], REPT("0",LEN('General Info'!$B$42))) &amp; " - " &amp; TEXT(SamplingData[[#This Row],[Upper Range]], REPT("0",LEN('General Info'!$B$42))))</f>
        <v>236665 - 237141</v>
      </c>
      <c r="AF243" s="99">
        <f>SamplingData[[#This Row],[Upper Range]]-SamplingData[[#This Row],[Span]]</f>
        <v>236664.75806158452</v>
      </c>
      <c r="AG243" s="99">
        <f>IF(ISNUMBER('General Info'!$B$42), ((SamplingData[[#This Row],[up/U Selection Probability]]) * 'General Info'!$B$44) - 1, 0)</f>
        <v>476.15127058566975</v>
      </c>
      <c r="AH243" s="99">
        <f>IF(ISNUMBER('General Info'!$B$42), (SamplingData[[#This Row],[Running (cumulative) sum]] * ('General Info'!$B$42 -'General Info'!$B$43 + 1)) + 'General Info'!$B$43 - 1, 0)</f>
        <v>237140.90933217018</v>
      </c>
      <c r="AI243" s="99" t="str">
        <f>IF(ISERROR(MATCH(SamplingData[[#This Row],[Batch by Type (p)]],SelectedPrecincts[Batch Name], 0)), "", INDEX(SelectedPrecincts[Draw], MATCH(SamplingData[[#This Row],[Batch by Type (p)]],SelectedPrecincts[Batch Name], 0)))</f>
        <v/>
      </c>
      <c r="AJ243" s="100">
        <f>IF(COUNTIF(SelectedPrecincts[Batch Name],SamplingData[[#This Row],[Batch by Type (p)]]) &lt;&gt; 0, COUNTIF(SelectedPrecincts[Batch Name],SamplingData[[#This Row],[Batch by Type (p)]]), 0)</f>
        <v>0</v>
      </c>
    </row>
    <row r="244" spans="1:36" ht="15" customHeight="1" x14ac:dyDescent="0.35">
      <c r="A244" s="97" t="s">
        <v>457</v>
      </c>
      <c r="B244" s="97">
        <v>140</v>
      </c>
      <c r="C244" s="97">
        <v>128</v>
      </c>
      <c r="D244" s="92"/>
      <c r="E244" s="92"/>
      <c r="F244" s="92"/>
      <c r="G244" s="96"/>
      <c r="H244" s="96"/>
      <c r="I244" s="92"/>
      <c r="J244" s="92"/>
      <c r="K244" s="92"/>
      <c r="L244" s="92"/>
      <c r="M244" s="92"/>
      <c r="N244" s="97">
        <v>0</v>
      </c>
      <c r="O244" s="97">
        <v>23</v>
      </c>
      <c r="P244" s="98">
        <f>SUM(SamplingData[[#This Row],[Winning Candidate]:[Under Votes]])</f>
        <v>291</v>
      </c>
      <c r="Q244" s="99">
        <f>IF(AND(SamplingData[[#This Row],[Total]]&lt;&gt; 0, NOT(ISBLANK(SamplingData[[#This Row],[Losing Candidate]]))),(SamplingData[[#This Row],[Total]]+SamplingData[[#This Row],[Winning Candidate]]-SamplingData[[#This Row],[Losing Candidate]])/(SamplingData[[#Totals],[Winning Candidate]]-SamplingData[[#Totals],[Losing Candidate]]), 0)</f>
        <v>1.2858597861144119E-2</v>
      </c>
      <c r="R244" s="99">
        <f>IF(AND(SamplingData[[#This Row],[Total]]&lt;&gt; 0, NOT(ISBLANK(SamplingData[[#This Row],[Candidate 3]]))),(SamplingData[[#This Row],[Total]]+SamplingData[[#This Row],[Winning Candidate]]-SamplingData[[#This Row],[Candidate 3]])/(SamplingData[[#Totals],[Winning Candidate]]-SamplingData[[#Totals],[Candidate 3]]), 0)</f>
        <v>0</v>
      </c>
      <c r="S244" s="99">
        <f>IF(AND(SamplingData[[#This Row],[Total]]&lt;&gt; 0, NOT(ISBLANK(SamplingData[[#This Row],[Candidate 4]]))),(SamplingData[[#This Row],[Total]]+SamplingData[[#This Row],[Winning Candidate]]-SamplingData[[#This Row],[Candidate 4]])/(SamplingData[[#Totals],[Winning Candidate]]-SamplingData[[#Totals],[Candidate 4]]), 0)</f>
        <v>0</v>
      </c>
      <c r="T244" s="99">
        <f>IF(AND(SamplingData[[#This Row],[Total]]&lt;&gt; 0, NOT(ISBLANK(SamplingData[[#This Row],[Candidate 5]]))),(SamplingData[[#This Row],[Total]]+SamplingData[[#This Row],[Winning Candidate]]-SamplingData[[#This Row],[Candidate 5]])/(SamplingData[[#Totals],[Winning Candidate]]-SamplingData[[#Totals],[Candidate 5]]), 0)</f>
        <v>0</v>
      </c>
      <c r="U244" s="99">
        <f>IF(AND(SamplingData[[#This Row],[Total]]&lt;&gt; 0, NOT(ISBLANK(SamplingData[[#This Row],[Candidate 6]]))),(SamplingData[[#This Row],[Total]]+SamplingData[[#This Row],[Losing Candidate]]-SamplingData[[#This Row],[Candidate 6]])/(SamplingData[[#Totals],[Winning Candidate]]-SamplingData[[#Totals],[Candidate 6]]), 0)</f>
        <v>0</v>
      </c>
      <c r="V244" s="99">
        <f>IF(AND(SamplingData[[#This Row],[Total]]&lt;&gt; 0, NOT(ISBLANK(SamplingData[[#This Row],[Candidate 7]]))),(SamplingData[[#This Row],[Total]]+SamplingData[[#This Row],[Winning Candidate]]-SamplingData[[#This Row],[Candidate 7]])/(SamplingData[[#Totals],[Winning Candidate]]-SamplingData[[#Totals],[Candidate 7]]), 0)</f>
        <v>0</v>
      </c>
      <c r="W244" s="99">
        <f>IF(AND(SamplingData[[#This Row],[Total]]&lt;&gt; 0, NOT(ISBLANK(SamplingData[[#This Row],[Candidate 8]]))),(SamplingData[[#This Row],[Total]]+SamplingData[[#This Row],[Winning Candidate]]-SamplingData[[#This Row],[Candidate 8]])/(SamplingData[[#Totals],[Winning Candidate]]-SamplingData[[#Totals],[Candidate 8]]), 0)</f>
        <v>0</v>
      </c>
      <c r="X2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4" s="99">
        <f>MAX(SamplingData[[#This Row],[Error Bound (up) - Max. possible relative overstatement - Losing Candidate]:[Error Bound (up) - Max. possible relative overstatement - Candidate 12]])</f>
        <v>1.2858597861144119E-2</v>
      </c>
      <c r="AC244" s="99">
        <f>IF(SamplingData[[#This Row],[Max Error Bound (up)]] = 0,0,SamplingData[[#This Row],[Max Error Bound (up)]]/SamplingData[[#Totals],[Max Error Bound (up)]])</f>
        <v>6.8846111898789486E-4</v>
      </c>
      <c r="AD244" s="103">
        <f>SUM($AC$5:AC244)</f>
        <v>0.2378303704511581</v>
      </c>
      <c r="AE244" s="99" t="str" cm="1">
        <f t="array" ref="AE244">IF(SamplingData[[#This Row],[up/U Selection Probability]] = 0, "Zero", TEXT(SamplingData[[#This Row],[Lower Range]], REPT("0",LEN('General Info'!$B$42))) &amp; " - " &amp; TEXT(SamplingData[[#This Row],[Upper Range]], REPT("0",LEN('General Info'!$B$42))))</f>
        <v>237142 - 237829</v>
      </c>
      <c r="AF244" s="99">
        <f>SamplingData[[#This Row],[Upper Range]]-SamplingData[[#This Row],[Span]]</f>
        <v>237141.90933217018</v>
      </c>
      <c r="AG244" s="99">
        <f>IF(ISNUMBER('General Info'!$B$42), ((SamplingData[[#This Row],[up/U Selection Probability]]) * 'General Info'!$B$44) - 1, 0)</f>
        <v>687.46111898789491</v>
      </c>
      <c r="AH244" s="99">
        <f>IF(ISNUMBER('General Info'!$B$42), (SamplingData[[#This Row],[Running (cumulative) sum]] * ('General Info'!$B$42 -'General Info'!$B$43 + 1)) + 'General Info'!$B$43 - 1, 0)</f>
        <v>237829.37045115809</v>
      </c>
      <c r="AI244" s="99" t="str">
        <f>IF(ISERROR(MATCH(SamplingData[[#This Row],[Batch by Type (p)]],SelectedPrecincts[Batch Name], 0)), "", INDEX(SelectedPrecincts[Draw], MATCH(SamplingData[[#This Row],[Batch by Type (p)]],SelectedPrecincts[Batch Name], 0)))</f>
        <v/>
      </c>
      <c r="AJ244" s="100">
        <f>IF(COUNTIF(SelectedPrecincts[Batch Name],SamplingData[[#This Row],[Batch by Type (p)]]) &lt;&gt; 0, COUNTIF(SelectedPrecincts[Batch Name],SamplingData[[#This Row],[Batch by Type (p)]]), 0)</f>
        <v>0</v>
      </c>
    </row>
    <row r="245" spans="1:36" ht="15" customHeight="1" x14ac:dyDescent="0.35">
      <c r="A245" s="97" t="s">
        <v>458</v>
      </c>
      <c r="B245" s="97">
        <v>93</v>
      </c>
      <c r="C245" s="97">
        <v>92</v>
      </c>
      <c r="D245" s="92"/>
      <c r="E245" s="92"/>
      <c r="F245" s="92"/>
      <c r="G245" s="96"/>
      <c r="H245" s="96"/>
      <c r="I245" s="92"/>
      <c r="J245" s="92"/>
      <c r="K245" s="92"/>
      <c r="L245" s="92"/>
      <c r="M245" s="92"/>
      <c r="N245" s="97">
        <v>0</v>
      </c>
      <c r="O245" s="97">
        <v>14</v>
      </c>
      <c r="P245" s="98">
        <f>SUM(SamplingData[[#This Row],[Winning Candidate]:[Under Votes]])</f>
        <v>199</v>
      </c>
      <c r="Q245" s="99">
        <f>IF(AND(SamplingData[[#This Row],[Total]]&lt;&gt; 0, NOT(ISBLANK(SamplingData[[#This Row],[Losing Candidate]]))),(SamplingData[[#This Row],[Total]]+SamplingData[[#This Row],[Winning Candidate]]-SamplingData[[#This Row],[Losing Candidate]])/(SamplingData[[#Totals],[Winning Candidate]]-SamplingData[[#Totals],[Losing Candidate]]), 0)</f>
        <v>8.4875233406891872E-3</v>
      </c>
      <c r="R245" s="99">
        <f>IF(AND(SamplingData[[#This Row],[Total]]&lt;&gt; 0, NOT(ISBLANK(SamplingData[[#This Row],[Candidate 3]]))),(SamplingData[[#This Row],[Total]]+SamplingData[[#This Row],[Winning Candidate]]-SamplingData[[#This Row],[Candidate 3]])/(SamplingData[[#Totals],[Winning Candidate]]-SamplingData[[#Totals],[Candidate 3]]), 0)</f>
        <v>0</v>
      </c>
      <c r="S245" s="99">
        <f>IF(AND(SamplingData[[#This Row],[Total]]&lt;&gt; 0, NOT(ISBLANK(SamplingData[[#This Row],[Candidate 4]]))),(SamplingData[[#This Row],[Total]]+SamplingData[[#This Row],[Winning Candidate]]-SamplingData[[#This Row],[Candidate 4]])/(SamplingData[[#Totals],[Winning Candidate]]-SamplingData[[#Totals],[Candidate 4]]), 0)</f>
        <v>0</v>
      </c>
      <c r="T245" s="99">
        <f>IF(AND(SamplingData[[#This Row],[Total]]&lt;&gt; 0, NOT(ISBLANK(SamplingData[[#This Row],[Candidate 5]]))),(SamplingData[[#This Row],[Total]]+SamplingData[[#This Row],[Winning Candidate]]-SamplingData[[#This Row],[Candidate 5]])/(SamplingData[[#Totals],[Winning Candidate]]-SamplingData[[#Totals],[Candidate 5]]), 0)</f>
        <v>0</v>
      </c>
      <c r="U245" s="99">
        <f>IF(AND(SamplingData[[#This Row],[Total]]&lt;&gt; 0, NOT(ISBLANK(SamplingData[[#This Row],[Candidate 6]]))),(SamplingData[[#This Row],[Total]]+SamplingData[[#This Row],[Losing Candidate]]-SamplingData[[#This Row],[Candidate 6]])/(SamplingData[[#Totals],[Winning Candidate]]-SamplingData[[#Totals],[Candidate 6]]), 0)</f>
        <v>0</v>
      </c>
      <c r="V245" s="99">
        <f>IF(AND(SamplingData[[#This Row],[Total]]&lt;&gt; 0, NOT(ISBLANK(SamplingData[[#This Row],[Candidate 7]]))),(SamplingData[[#This Row],[Total]]+SamplingData[[#This Row],[Winning Candidate]]-SamplingData[[#This Row],[Candidate 7]])/(SamplingData[[#Totals],[Winning Candidate]]-SamplingData[[#Totals],[Candidate 7]]), 0)</f>
        <v>0</v>
      </c>
      <c r="W245" s="99">
        <f>IF(AND(SamplingData[[#This Row],[Total]]&lt;&gt; 0, NOT(ISBLANK(SamplingData[[#This Row],[Candidate 8]]))),(SamplingData[[#This Row],[Total]]+SamplingData[[#This Row],[Winning Candidate]]-SamplingData[[#This Row],[Candidate 8]])/(SamplingData[[#Totals],[Winning Candidate]]-SamplingData[[#Totals],[Candidate 8]]), 0)</f>
        <v>0</v>
      </c>
      <c r="X2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5" s="99">
        <f>MAX(SamplingData[[#This Row],[Error Bound (up) - Max. possible relative overstatement - Losing Candidate]:[Error Bound (up) - Max. possible relative overstatement - Candidate 12]])</f>
        <v>8.4875233406891872E-3</v>
      </c>
      <c r="AC245" s="99">
        <f>IF(SamplingData[[#This Row],[Max Error Bound (up)]] = 0,0,SamplingData[[#This Row],[Max Error Bound (up)]]/SamplingData[[#Totals],[Max Error Bound (up)]])</f>
        <v>4.5442978151016166E-4</v>
      </c>
      <c r="AD245" s="103">
        <f>SUM($AC$5:AC245)</f>
        <v>0.23828480023266826</v>
      </c>
      <c r="AE245" s="99" t="str" cm="1">
        <f t="array" ref="AE245">IF(SamplingData[[#This Row],[up/U Selection Probability]] = 0, "Zero", TEXT(SamplingData[[#This Row],[Lower Range]], REPT("0",LEN('General Info'!$B$42))) &amp; " - " &amp; TEXT(SamplingData[[#This Row],[Upper Range]], REPT("0",LEN('General Info'!$B$42))))</f>
        <v>237830 - 238284</v>
      </c>
      <c r="AF245" s="99">
        <f>SamplingData[[#This Row],[Upper Range]]-SamplingData[[#This Row],[Span]]</f>
        <v>237830.37045115809</v>
      </c>
      <c r="AG245" s="99">
        <f>IF(ISNUMBER('General Info'!$B$42), ((SamplingData[[#This Row],[up/U Selection Probability]]) * 'General Info'!$B$44) - 1, 0)</f>
        <v>453.42978151016166</v>
      </c>
      <c r="AH245" s="99">
        <f>IF(ISNUMBER('General Info'!$B$42), (SamplingData[[#This Row],[Running (cumulative) sum]] * ('General Info'!$B$42 -'General Info'!$B$43 + 1)) + 'General Info'!$B$43 - 1, 0)</f>
        <v>238283.80023266826</v>
      </c>
      <c r="AI245" s="99" t="str">
        <f>IF(ISERROR(MATCH(SamplingData[[#This Row],[Batch by Type (p)]],SelectedPrecincts[Batch Name], 0)), "", INDEX(SelectedPrecincts[Draw], MATCH(SamplingData[[#This Row],[Batch by Type (p)]],SelectedPrecincts[Batch Name], 0)))</f>
        <v/>
      </c>
      <c r="AJ245" s="100">
        <f>IF(COUNTIF(SelectedPrecincts[Batch Name],SamplingData[[#This Row],[Batch by Type (p)]]) &lt;&gt; 0, COUNTIF(SelectedPrecincts[Batch Name],SamplingData[[#This Row],[Batch by Type (p)]]), 0)</f>
        <v>0</v>
      </c>
    </row>
    <row r="246" spans="1:36" ht="15" customHeight="1" x14ac:dyDescent="0.35">
      <c r="A246" s="97" t="s">
        <v>459</v>
      </c>
      <c r="B246" s="97">
        <v>98</v>
      </c>
      <c r="C246" s="97">
        <v>113</v>
      </c>
      <c r="D246" s="92"/>
      <c r="E246" s="92"/>
      <c r="F246" s="92"/>
      <c r="G246" s="96"/>
      <c r="H246" s="96"/>
      <c r="I246" s="92"/>
      <c r="J246" s="92"/>
      <c r="K246" s="92"/>
      <c r="L246" s="92"/>
      <c r="M246" s="92"/>
      <c r="N246" s="97">
        <v>0</v>
      </c>
      <c r="O246" s="97">
        <v>15</v>
      </c>
      <c r="P246" s="98">
        <f>SUM(SamplingData[[#This Row],[Winning Candidate]:[Under Votes]])</f>
        <v>226</v>
      </c>
      <c r="Q246" s="99">
        <f>IF(AND(SamplingData[[#This Row],[Total]]&lt;&gt; 0, NOT(ISBLANK(SamplingData[[#This Row],[Losing Candidate]]))),(SamplingData[[#This Row],[Total]]+SamplingData[[#This Row],[Winning Candidate]]-SamplingData[[#This Row],[Losing Candidate]])/(SamplingData[[#Totals],[Winning Candidate]]-SamplingData[[#Totals],[Losing Candidate]]), 0)</f>
        <v>8.9543371244270916E-3</v>
      </c>
      <c r="R246" s="99">
        <f>IF(AND(SamplingData[[#This Row],[Total]]&lt;&gt; 0, NOT(ISBLANK(SamplingData[[#This Row],[Candidate 3]]))),(SamplingData[[#This Row],[Total]]+SamplingData[[#This Row],[Winning Candidate]]-SamplingData[[#This Row],[Candidate 3]])/(SamplingData[[#Totals],[Winning Candidate]]-SamplingData[[#Totals],[Candidate 3]]), 0)</f>
        <v>0</v>
      </c>
      <c r="S246" s="99">
        <f>IF(AND(SamplingData[[#This Row],[Total]]&lt;&gt; 0, NOT(ISBLANK(SamplingData[[#This Row],[Candidate 4]]))),(SamplingData[[#This Row],[Total]]+SamplingData[[#This Row],[Winning Candidate]]-SamplingData[[#This Row],[Candidate 4]])/(SamplingData[[#Totals],[Winning Candidate]]-SamplingData[[#Totals],[Candidate 4]]), 0)</f>
        <v>0</v>
      </c>
      <c r="T246" s="99">
        <f>IF(AND(SamplingData[[#This Row],[Total]]&lt;&gt; 0, NOT(ISBLANK(SamplingData[[#This Row],[Candidate 5]]))),(SamplingData[[#This Row],[Total]]+SamplingData[[#This Row],[Winning Candidate]]-SamplingData[[#This Row],[Candidate 5]])/(SamplingData[[#Totals],[Winning Candidate]]-SamplingData[[#Totals],[Candidate 5]]), 0)</f>
        <v>0</v>
      </c>
      <c r="U246" s="99">
        <f>IF(AND(SamplingData[[#This Row],[Total]]&lt;&gt; 0, NOT(ISBLANK(SamplingData[[#This Row],[Candidate 6]]))),(SamplingData[[#This Row],[Total]]+SamplingData[[#This Row],[Losing Candidate]]-SamplingData[[#This Row],[Candidate 6]])/(SamplingData[[#Totals],[Winning Candidate]]-SamplingData[[#Totals],[Candidate 6]]), 0)</f>
        <v>0</v>
      </c>
      <c r="V246" s="99">
        <f>IF(AND(SamplingData[[#This Row],[Total]]&lt;&gt; 0, NOT(ISBLANK(SamplingData[[#This Row],[Candidate 7]]))),(SamplingData[[#This Row],[Total]]+SamplingData[[#This Row],[Winning Candidate]]-SamplingData[[#This Row],[Candidate 7]])/(SamplingData[[#Totals],[Winning Candidate]]-SamplingData[[#Totals],[Candidate 7]]), 0)</f>
        <v>0</v>
      </c>
      <c r="W246" s="99">
        <f>IF(AND(SamplingData[[#This Row],[Total]]&lt;&gt; 0, NOT(ISBLANK(SamplingData[[#This Row],[Candidate 8]]))),(SamplingData[[#This Row],[Total]]+SamplingData[[#This Row],[Winning Candidate]]-SamplingData[[#This Row],[Candidate 8]])/(SamplingData[[#Totals],[Winning Candidate]]-SamplingData[[#Totals],[Candidate 8]]), 0)</f>
        <v>0</v>
      </c>
      <c r="X2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6" s="99">
        <f>MAX(SamplingData[[#This Row],[Error Bound (up) - Max. possible relative overstatement - Losing Candidate]:[Error Bound (up) - Max. possible relative overstatement - Candidate 12]])</f>
        <v>8.9543371244270916E-3</v>
      </c>
      <c r="AC246" s="99">
        <f>IF(SamplingData[[#This Row],[Max Error Bound (up)]] = 0,0,SamplingData[[#This Row],[Max Error Bound (up)]]/SamplingData[[#Totals],[Max Error Bound (up)]])</f>
        <v>4.7942341949322047E-4</v>
      </c>
      <c r="AD246" s="103">
        <f>SUM($AC$5:AC246)</f>
        <v>0.23876422365216149</v>
      </c>
      <c r="AE246" s="99" t="str" cm="1">
        <f t="array" ref="AE246">IF(SamplingData[[#This Row],[up/U Selection Probability]] = 0, "Zero", TEXT(SamplingData[[#This Row],[Lower Range]], REPT("0",LEN('General Info'!$B$42))) &amp; " - " &amp; TEXT(SamplingData[[#This Row],[Upper Range]], REPT("0",LEN('General Info'!$B$42))))</f>
        <v>238285 - 238763</v>
      </c>
      <c r="AF246" s="99">
        <f>SamplingData[[#This Row],[Upper Range]]-SamplingData[[#This Row],[Span]]</f>
        <v>238284.80023266826</v>
      </c>
      <c r="AG246" s="99">
        <f>IF(ISNUMBER('General Info'!$B$42), ((SamplingData[[#This Row],[up/U Selection Probability]]) * 'General Info'!$B$44) - 1, 0)</f>
        <v>478.42341949322048</v>
      </c>
      <c r="AH246" s="99">
        <f>IF(ISNUMBER('General Info'!$B$42), (SamplingData[[#This Row],[Running (cumulative) sum]] * ('General Info'!$B$42 -'General Info'!$B$43 + 1)) + 'General Info'!$B$43 - 1, 0)</f>
        <v>238763.22365216148</v>
      </c>
      <c r="AI246" s="99" t="str">
        <f>IF(ISERROR(MATCH(SamplingData[[#This Row],[Batch by Type (p)]],SelectedPrecincts[Batch Name], 0)), "", INDEX(SelectedPrecincts[Draw], MATCH(SamplingData[[#This Row],[Batch by Type (p)]],SelectedPrecincts[Batch Name], 0)))</f>
        <v/>
      </c>
      <c r="AJ246" s="100">
        <f>IF(COUNTIF(SelectedPrecincts[Batch Name],SamplingData[[#This Row],[Batch by Type (p)]]) &lt;&gt; 0, COUNTIF(SelectedPrecincts[Batch Name],SamplingData[[#This Row],[Batch by Type (p)]]), 0)</f>
        <v>0</v>
      </c>
    </row>
    <row r="247" spans="1:36" ht="15" customHeight="1" x14ac:dyDescent="0.35">
      <c r="A247" s="97" t="s">
        <v>460</v>
      </c>
      <c r="B247" s="97">
        <v>261</v>
      </c>
      <c r="C247" s="97">
        <v>177</v>
      </c>
      <c r="D247" s="92"/>
      <c r="E247" s="92"/>
      <c r="F247" s="92"/>
      <c r="G247" s="96"/>
      <c r="H247" s="96"/>
      <c r="I247" s="92"/>
      <c r="J247" s="92"/>
      <c r="K247" s="92"/>
      <c r="L247" s="92"/>
      <c r="M247" s="92"/>
      <c r="N247" s="97">
        <v>0</v>
      </c>
      <c r="O247" s="97">
        <v>29</v>
      </c>
      <c r="P247" s="98">
        <f>SUM(SamplingData[[#This Row],[Winning Candidate]:[Under Votes]])</f>
        <v>467</v>
      </c>
      <c r="Q247" s="99">
        <f>IF(AND(SamplingData[[#This Row],[Total]]&lt;&gt; 0, NOT(ISBLANK(SamplingData[[#This Row],[Losing Candidate]]))),(SamplingData[[#This Row],[Total]]+SamplingData[[#This Row],[Winning Candidate]]-SamplingData[[#This Row],[Losing Candidate]])/(SamplingData[[#Totals],[Winning Candidate]]-SamplingData[[#Totals],[Losing Candidate]]), 0)</f>
        <v>2.3383126803598709E-2</v>
      </c>
      <c r="R247" s="99">
        <f>IF(AND(SamplingData[[#This Row],[Total]]&lt;&gt; 0, NOT(ISBLANK(SamplingData[[#This Row],[Candidate 3]]))),(SamplingData[[#This Row],[Total]]+SamplingData[[#This Row],[Winning Candidate]]-SamplingData[[#This Row],[Candidate 3]])/(SamplingData[[#Totals],[Winning Candidate]]-SamplingData[[#Totals],[Candidate 3]]), 0)</f>
        <v>0</v>
      </c>
      <c r="S247" s="99">
        <f>IF(AND(SamplingData[[#This Row],[Total]]&lt;&gt; 0, NOT(ISBLANK(SamplingData[[#This Row],[Candidate 4]]))),(SamplingData[[#This Row],[Total]]+SamplingData[[#This Row],[Winning Candidate]]-SamplingData[[#This Row],[Candidate 4]])/(SamplingData[[#Totals],[Winning Candidate]]-SamplingData[[#Totals],[Candidate 4]]), 0)</f>
        <v>0</v>
      </c>
      <c r="T247" s="99">
        <f>IF(AND(SamplingData[[#This Row],[Total]]&lt;&gt; 0, NOT(ISBLANK(SamplingData[[#This Row],[Candidate 5]]))),(SamplingData[[#This Row],[Total]]+SamplingData[[#This Row],[Winning Candidate]]-SamplingData[[#This Row],[Candidate 5]])/(SamplingData[[#Totals],[Winning Candidate]]-SamplingData[[#Totals],[Candidate 5]]), 0)</f>
        <v>0</v>
      </c>
      <c r="U247" s="99">
        <f>IF(AND(SamplingData[[#This Row],[Total]]&lt;&gt; 0, NOT(ISBLANK(SamplingData[[#This Row],[Candidate 6]]))),(SamplingData[[#This Row],[Total]]+SamplingData[[#This Row],[Losing Candidate]]-SamplingData[[#This Row],[Candidate 6]])/(SamplingData[[#Totals],[Winning Candidate]]-SamplingData[[#Totals],[Candidate 6]]), 0)</f>
        <v>0</v>
      </c>
      <c r="V247" s="99">
        <f>IF(AND(SamplingData[[#This Row],[Total]]&lt;&gt; 0, NOT(ISBLANK(SamplingData[[#This Row],[Candidate 7]]))),(SamplingData[[#This Row],[Total]]+SamplingData[[#This Row],[Winning Candidate]]-SamplingData[[#This Row],[Candidate 7]])/(SamplingData[[#Totals],[Winning Candidate]]-SamplingData[[#Totals],[Candidate 7]]), 0)</f>
        <v>0</v>
      </c>
      <c r="W247" s="99">
        <f>IF(AND(SamplingData[[#This Row],[Total]]&lt;&gt; 0, NOT(ISBLANK(SamplingData[[#This Row],[Candidate 8]]))),(SamplingData[[#This Row],[Total]]+SamplingData[[#This Row],[Winning Candidate]]-SamplingData[[#This Row],[Candidate 8]])/(SamplingData[[#Totals],[Winning Candidate]]-SamplingData[[#Totals],[Candidate 8]]), 0)</f>
        <v>0</v>
      </c>
      <c r="X2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7" s="99">
        <f>MAX(SamplingData[[#This Row],[Error Bound (up) - Max. possible relative overstatement - Losing Candidate]:[Error Bound (up) - Max. possible relative overstatement - Candidate 12]])</f>
        <v>2.3383126803598709E-2</v>
      </c>
      <c r="AC247" s="99">
        <f>IF(SamplingData[[#This Row],[Max Error Bound (up)]] = 0,0,SamplingData[[#This Row],[Max Error Bound (up)]]/SamplingData[[#Totals],[Max Error Bound (up)]])</f>
        <v>1.2519540480604953E-3</v>
      </c>
      <c r="AD247" s="103">
        <f>SUM($AC$5:AC247)</f>
        <v>0.24001617770022199</v>
      </c>
      <c r="AE247" s="99" t="str" cm="1">
        <f t="array" ref="AE247">IF(SamplingData[[#This Row],[up/U Selection Probability]] = 0, "Zero", TEXT(SamplingData[[#This Row],[Lower Range]], REPT("0",LEN('General Info'!$B$42))) &amp; " - " &amp; TEXT(SamplingData[[#This Row],[Upper Range]], REPT("0",LEN('General Info'!$B$42))))</f>
        <v>238764 - 240015</v>
      </c>
      <c r="AF247" s="99">
        <f>SamplingData[[#This Row],[Upper Range]]-SamplingData[[#This Row],[Span]]</f>
        <v>238764.22365216148</v>
      </c>
      <c r="AG247" s="99">
        <f>IF(ISNUMBER('General Info'!$B$42), ((SamplingData[[#This Row],[up/U Selection Probability]]) * 'General Info'!$B$44) - 1, 0)</f>
        <v>1250.9540480604953</v>
      </c>
      <c r="AH247" s="99">
        <f>IF(ISNUMBER('General Info'!$B$42), (SamplingData[[#This Row],[Running (cumulative) sum]] * ('General Info'!$B$42 -'General Info'!$B$43 + 1)) + 'General Info'!$B$43 - 1, 0)</f>
        <v>240015.17770022198</v>
      </c>
      <c r="AI247" s="99" t="str">
        <f>IF(ISERROR(MATCH(SamplingData[[#This Row],[Batch by Type (p)]],SelectedPrecincts[Batch Name], 0)), "", INDEX(SelectedPrecincts[Draw], MATCH(SamplingData[[#This Row],[Batch by Type (p)]],SelectedPrecincts[Batch Name], 0)))</f>
        <v/>
      </c>
      <c r="AJ247" s="100">
        <f>IF(COUNTIF(SelectedPrecincts[Batch Name],SamplingData[[#This Row],[Batch by Type (p)]]) &lt;&gt; 0, COUNTIF(SelectedPrecincts[Batch Name],SamplingData[[#This Row],[Batch by Type (p)]]), 0)</f>
        <v>0</v>
      </c>
    </row>
    <row r="248" spans="1:36" ht="15" customHeight="1" x14ac:dyDescent="0.35">
      <c r="A248" s="97" t="s">
        <v>461</v>
      </c>
      <c r="B248" s="97">
        <v>117</v>
      </c>
      <c r="C248" s="97">
        <v>173</v>
      </c>
      <c r="D248" s="92"/>
      <c r="E248" s="92"/>
      <c r="F248" s="92"/>
      <c r="G248" s="96"/>
      <c r="H248" s="96"/>
      <c r="I248" s="92"/>
      <c r="J248" s="92"/>
      <c r="K248" s="92"/>
      <c r="L248" s="92"/>
      <c r="M248" s="92"/>
      <c r="N248" s="97">
        <v>0</v>
      </c>
      <c r="O248" s="97">
        <v>10</v>
      </c>
      <c r="P248" s="98">
        <f>SUM(SamplingData[[#This Row],[Winning Candidate]:[Under Votes]])</f>
        <v>300</v>
      </c>
      <c r="Q248" s="99">
        <f>IF(AND(SamplingData[[#This Row],[Total]]&lt;&gt; 0, NOT(ISBLANK(SamplingData[[#This Row],[Losing Candidate]]))),(SamplingData[[#This Row],[Total]]+SamplingData[[#This Row],[Winning Candidate]]-SamplingData[[#This Row],[Losing Candidate]])/(SamplingData[[#Totals],[Winning Candidate]]-SamplingData[[#Totals],[Losing Candidate]]), 0)</f>
        <v>1.0354778475640808E-2</v>
      </c>
      <c r="R248" s="99">
        <f>IF(AND(SamplingData[[#This Row],[Total]]&lt;&gt; 0, NOT(ISBLANK(SamplingData[[#This Row],[Candidate 3]]))),(SamplingData[[#This Row],[Total]]+SamplingData[[#This Row],[Winning Candidate]]-SamplingData[[#This Row],[Candidate 3]])/(SamplingData[[#Totals],[Winning Candidate]]-SamplingData[[#Totals],[Candidate 3]]), 0)</f>
        <v>0</v>
      </c>
      <c r="S248" s="99">
        <f>IF(AND(SamplingData[[#This Row],[Total]]&lt;&gt; 0, NOT(ISBLANK(SamplingData[[#This Row],[Candidate 4]]))),(SamplingData[[#This Row],[Total]]+SamplingData[[#This Row],[Winning Candidate]]-SamplingData[[#This Row],[Candidate 4]])/(SamplingData[[#Totals],[Winning Candidate]]-SamplingData[[#Totals],[Candidate 4]]), 0)</f>
        <v>0</v>
      </c>
      <c r="T248" s="99">
        <f>IF(AND(SamplingData[[#This Row],[Total]]&lt;&gt; 0, NOT(ISBLANK(SamplingData[[#This Row],[Candidate 5]]))),(SamplingData[[#This Row],[Total]]+SamplingData[[#This Row],[Winning Candidate]]-SamplingData[[#This Row],[Candidate 5]])/(SamplingData[[#Totals],[Winning Candidate]]-SamplingData[[#Totals],[Candidate 5]]), 0)</f>
        <v>0</v>
      </c>
      <c r="U248" s="99">
        <f>IF(AND(SamplingData[[#This Row],[Total]]&lt;&gt; 0, NOT(ISBLANK(SamplingData[[#This Row],[Candidate 6]]))),(SamplingData[[#This Row],[Total]]+SamplingData[[#This Row],[Losing Candidate]]-SamplingData[[#This Row],[Candidate 6]])/(SamplingData[[#Totals],[Winning Candidate]]-SamplingData[[#Totals],[Candidate 6]]), 0)</f>
        <v>0</v>
      </c>
      <c r="V248" s="99">
        <f>IF(AND(SamplingData[[#This Row],[Total]]&lt;&gt; 0, NOT(ISBLANK(SamplingData[[#This Row],[Candidate 7]]))),(SamplingData[[#This Row],[Total]]+SamplingData[[#This Row],[Winning Candidate]]-SamplingData[[#This Row],[Candidate 7]])/(SamplingData[[#Totals],[Winning Candidate]]-SamplingData[[#Totals],[Candidate 7]]), 0)</f>
        <v>0</v>
      </c>
      <c r="W248" s="99">
        <f>IF(AND(SamplingData[[#This Row],[Total]]&lt;&gt; 0, NOT(ISBLANK(SamplingData[[#This Row],[Candidate 8]]))),(SamplingData[[#This Row],[Total]]+SamplingData[[#This Row],[Winning Candidate]]-SamplingData[[#This Row],[Candidate 8]])/(SamplingData[[#Totals],[Winning Candidate]]-SamplingData[[#Totals],[Candidate 8]]), 0)</f>
        <v>0</v>
      </c>
      <c r="X2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8" s="99">
        <f>MAX(SamplingData[[#This Row],[Error Bound (up) - Max. possible relative overstatement - Losing Candidate]:[Error Bound (up) - Max. possible relative overstatement - Candidate 12]])</f>
        <v>1.0354778475640808E-2</v>
      </c>
      <c r="AC248" s="99">
        <f>IF(SamplingData[[#This Row],[Max Error Bound (up)]] = 0,0,SamplingData[[#This Row],[Max Error Bound (up)]]/SamplingData[[#Totals],[Max Error Bound (up)]])</f>
        <v>5.5440433344239716E-4</v>
      </c>
      <c r="AD248" s="103">
        <f>SUM($AC$5:AC248)</f>
        <v>0.24057058203366438</v>
      </c>
      <c r="AE248" s="99" t="str" cm="1">
        <f t="array" ref="AE248">IF(SamplingData[[#This Row],[up/U Selection Probability]] = 0, "Zero", TEXT(SamplingData[[#This Row],[Lower Range]], REPT("0",LEN('General Info'!$B$42))) &amp; " - " &amp; TEXT(SamplingData[[#This Row],[Upper Range]], REPT("0",LEN('General Info'!$B$42))))</f>
        <v>240016 - 240570</v>
      </c>
      <c r="AF248" s="99">
        <f>SamplingData[[#This Row],[Upper Range]]-SamplingData[[#This Row],[Span]]</f>
        <v>240016.177700222</v>
      </c>
      <c r="AG248" s="99">
        <f>IF(ISNUMBER('General Info'!$B$42), ((SamplingData[[#This Row],[up/U Selection Probability]]) * 'General Info'!$B$44) - 1, 0)</f>
        <v>553.40433344239716</v>
      </c>
      <c r="AH248" s="99">
        <f>IF(ISNUMBER('General Info'!$B$42), (SamplingData[[#This Row],[Running (cumulative) sum]] * ('General Info'!$B$42 -'General Info'!$B$43 + 1)) + 'General Info'!$B$43 - 1, 0)</f>
        <v>240569.5820336644</v>
      </c>
      <c r="AI248" s="99" t="str">
        <f>IF(ISERROR(MATCH(SamplingData[[#This Row],[Batch by Type (p)]],SelectedPrecincts[Batch Name], 0)), "", INDEX(SelectedPrecincts[Draw], MATCH(SamplingData[[#This Row],[Batch by Type (p)]],SelectedPrecincts[Batch Name], 0)))</f>
        <v/>
      </c>
      <c r="AJ248" s="100">
        <f>IF(COUNTIF(SelectedPrecincts[Batch Name],SamplingData[[#This Row],[Batch by Type (p)]]) &lt;&gt; 0, COUNTIF(SelectedPrecincts[Batch Name],SamplingData[[#This Row],[Batch by Type (p)]]), 0)</f>
        <v>0</v>
      </c>
    </row>
    <row r="249" spans="1:36" ht="15" customHeight="1" x14ac:dyDescent="0.35">
      <c r="A249" s="97" t="s">
        <v>462</v>
      </c>
      <c r="B249" s="97">
        <v>187</v>
      </c>
      <c r="C249" s="97">
        <v>148</v>
      </c>
      <c r="D249" s="92"/>
      <c r="E249" s="92"/>
      <c r="F249" s="92"/>
      <c r="G249" s="96"/>
      <c r="H249" s="96"/>
      <c r="I249" s="92"/>
      <c r="J249" s="92"/>
      <c r="K249" s="92"/>
      <c r="L249" s="92"/>
      <c r="M249" s="92"/>
      <c r="N249" s="97">
        <v>0</v>
      </c>
      <c r="O249" s="97">
        <v>23</v>
      </c>
      <c r="P249" s="98">
        <f>SUM(SamplingData[[#This Row],[Winning Candidate]:[Under Votes]])</f>
        <v>358</v>
      </c>
      <c r="Q249" s="99">
        <f>IF(AND(SamplingData[[#This Row],[Total]]&lt;&gt; 0, NOT(ISBLANK(SamplingData[[#This Row],[Losing Candidate]]))),(SamplingData[[#This Row],[Total]]+SamplingData[[#This Row],[Winning Candidate]]-SamplingData[[#This Row],[Losing Candidate]])/(SamplingData[[#Totals],[Winning Candidate]]-SamplingData[[#Totals],[Losing Candidate]]), 0)</f>
        <v>1.6847733831268037E-2</v>
      </c>
      <c r="R249" s="99">
        <f>IF(AND(SamplingData[[#This Row],[Total]]&lt;&gt; 0, NOT(ISBLANK(SamplingData[[#This Row],[Candidate 3]]))),(SamplingData[[#This Row],[Total]]+SamplingData[[#This Row],[Winning Candidate]]-SamplingData[[#This Row],[Candidate 3]])/(SamplingData[[#Totals],[Winning Candidate]]-SamplingData[[#Totals],[Candidate 3]]), 0)</f>
        <v>0</v>
      </c>
      <c r="S249" s="99">
        <f>IF(AND(SamplingData[[#This Row],[Total]]&lt;&gt; 0, NOT(ISBLANK(SamplingData[[#This Row],[Candidate 4]]))),(SamplingData[[#This Row],[Total]]+SamplingData[[#This Row],[Winning Candidate]]-SamplingData[[#This Row],[Candidate 4]])/(SamplingData[[#Totals],[Winning Candidate]]-SamplingData[[#Totals],[Candidate 4]]), 0)</f>
        <v>0</v>
      </c>
      <c r="T249" s="99">
        <f>IF(AND(SamplingData[[#This Row],[Total]]&lt;&gt; 0, NOT(ISBLANK(SamplingData[[#This Row],[Candidate 5]]))),(SamplingData[[#This Row],[Total]]+SamplingData[[#This Row],[Winning Candidate]]-SamplingData[[#This Row],[Candidate 5]])/(SamplingData[[#Totals],[Winning Candidate]]-SamplingData[[#Totals],[Candidate 5]]), 0)</f>
        <v>0</v>
      </c>
      <c r="U249" s="99">
        <f>IF(AND(SamplingData[[#This Row],[Total]]&lt;&gt; 0, NOT(ISBLANK(SamplingData[[#This Row],[Candidate 6]]))),(SamplingData[[#This Row],[Total]]+SamplingData[[#This Row],[Losing Candidate]]-SamplingData[[#This Row],[Candidate 6]])/(SamplingData[[#Totals],[Winning Candidate]]-SamplingData[[#Totals],[Candidate 6]]), 0)</f>
        <v>0</v>
      </c>
      <c r="V249" s="99">
        <f>IF(AND(SamplingData[[#This Row],[Total]]&lt;&gt; 0, NOT(ISBLANK(SamplingData[[#This Row],[Candidate 7]]))),(SamplingData[[#This Row],[Total]]+SamplingData[[#This Row],[Winning Candidate]]-SamplingData[[#This Row],[Candidate 7]])/(SamplingData[[#Totals],[Winning Candidate]]-SamplingData[[#Totals],[Candidate 7]]), 0)</f>
        <v>0</v>
      </c>
      <c r="W249" s="99">
        <f>IF(AND(SamplingData[[#This Row],[Total]]&lt;&gt; 0, NOT(ISBLANK(SamplingData[[#This Row],[Candidate 8]]))),(SamplingData[[#This Row],[Total]]+SamplingData[[#This Row],[Winning Candidate]]-SamplingData[[#This Row],[Candidate 8]])/(SamplingData[[#Totals],[Winning Candidate]]-SamplingData[[#Totals],[Candidate 8]]), 0)</f>
        <v>0</v>
      </c>
      <c r="X2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9" s="99">
        <f>MAX(SamplingData[[#This Row],[Error Bound (up) - Max. possible relative overstatement - Losing Candidate]:[Error Bound (up) - Max. possible relative overstatement - Candidate 12]])</f>
        <v>1.6847733831268037E-2</v>
      </c>
      <c r="AC249" s="99">
        <f>IF(SamplingData[[#This Row],[Max Error Bound (up)]] = 0,0,SamplingData[[#This Row],[Max Error Bound (up)]]/SamplingData[[#Totals],[Max Error Bound (up)]])</f>
        <v>9.0204311629767087E-4</v>
      </c>
      <c r="AD249" s="103">
        <f>SUM($AC$5:AC249)</f>
        <v>0.24147262514996204</v>
      </c>
      <c r="AE249" s="99" t="str" cm="1">
        <f t="array" ref="AE249">IF(SamplingData[[#This Row],[up/U Selection Probability]] = 0, "Zero", TEXT(SamplingData[[#This Row],[Lower Range]], REPT("0",LEN('General Info'!$B$42))) &amp; " - " &amp; TEXT(SamplingData[[#This Row],[Upper Range]], REPT("0",LEN('General Info'!$B$42))))</f>
        <v>240571 - 241472</v>
      </c>
      <c r="AF249" s="99">
        <f>SamplingData[[#This Row],[Upper Range]]-SamplingData[[#This Row],[Span]]</f>
        <v>240570.58203366437</v>
      </c>
      <c r="AG249" s="99">
        <f>IF(ISNUMBER('General Info'!$B$42), ((SamplingData[[#This Row],[up/U Selection Probability]]) * 'General Info'!$B$44) - 1, 0)</f>
        <v>901.04311629767085</v>
      </c>
      <c r="AH249" s="99">
        <f>IF(ISNUMBER('General Info'!$B$42), (SamplingData[[#This Row],[Running (cumulative) sum]] * ('General Info'!$B$42 -'General Info'!$B$43 + 1)) + 'General Info'!$B$43 - 1, 0)</f>
        <v>241471.62514996203</v>
      </c>
      <c r="AI249" s="99" t="str">
        <f>IF(ISERROR(MATCH(SamplingData[[#This Row],[Batch by Type (p)]],SelectedPrecincts[Batch Name], 0)), "", INDEX(SelectedPrecincts[Draw], MATCH(SamplingData[[#This Row],[Batch by Type (p)]],SelectedPrecincts[Batch Name], 0)))</f>
        <v/>
      </c>
      <c r="AJ249" s="100">
        <f>IF(COUNTIF(SelectedPrecincts[Batch Name],SamplingData[[#This Row],[Batch by Type (p)]]) &lt;&gt; 0, COUNTIF(SelectedPrecincts[Batch Name],SamplingData[[#This Row],[Batch by Type (p)]]), 0)</f>
        <v>0</v>
      </c>
    </row>
    <row r="250" spans="1:36" ht="15" customHeight="1" x14ac:dyDescent="0.35">
      <c r="A250" s="97" t="s">
        <v>463</v>
      </c>
      <c r="B250" s="97">
        <v>222</v>
      </c>
      <c r="C250" s="97">
        <v>198</v>
      </c>
      <c r="D250" s="92"/>
      <c r="E250" s="92"/>
      <c r="F250" s="92"/>
      <c r="G250" s="96"/>
      <c r="H250" s="96"/>
      <c r="I250" s="92"/>
      <c r="J250" s="92"/>
      <c r="K250" s="92"/>
      <c r="L250" s="92"/>
      <c r="M250" s="92"/>
      <c r="N250" s="97">
        <v>1</v>
      </c>
      <c r="O250" s="97">
        <v>26</v>
      </c>
      <c r="P250" s="98">
        <f>SUM(SamplingData[[#This Row],[Winning Candidate]:[Under Votes]])</f>
        <v>447</v>
      </c>
      <c r="Q250" s="99">
        <f>IF(AND(SamplingData[[#This Row],[Total]]&lt;&gt; 0, NOT(ISBLANK(SamplingData[[#This Row],[Losing Candidate]]))),(SamplingData[[#This Row],[Total]]+SamplingData[[#This Row],[Winning Candidate]]-SamplingData[[#This Row],[Losing Candidate]])/(SamplingData[[#Totals],[Winning Candidate]]-SamplingData[[#Totals],[Losing Candidate]]), 0)</f>
        <v>1.9988117467323034E-2</v>
      </c>
      <c r="R250" s="99">
        <f>IF(AND(SamplingData[[#This Row],[Total]]&lt;&gt; 0, NOT(ISBLANK(SamplingData[[#This Row],[Candidate 3]]))),(SamplingData[[#This Row],[Total]]+SamplingData[[#This Row],[Winning Candidate]]-SamplingData[[#This Row],[Candidate 3]])/(SamplingData[[#Totals],[Winning Candidate]]-SamplingData[[#Totals],[Candidate 3]]), 0)</f>
        <v>0</v>
      </c>
      <c r="S250" s="99">
        <f>IF(AND(SamplingData[[#This Row],[Total]]&lt;&gt; 0, NOT(ISBLANK(SamplingData[[#This Row],[Candidate 4]]))),(SamplingData[[#This Row],[Total]]+SamplingData[[#This Row],[Winning Candidate]]-SamplingData[[#This Row],[Candidate 4]])/(SamplingData[[#Totals],[Winning Candidate]]-SamplingData[[#Totals],[Candidate 4]]), 0)</f>
        <v>0</v>
      </c>
      <c r="T250" s="99">
        <f>IF(AND(SamplingData[[#This Row],[Total]]&lt;&gt; 0, NOT(ISBLANK(SamplingData[[#This Row],[Candidate 5]]))),(SamplingData[[#This Row],[Total]]+SamplingData[[#This Row],[Winning Candidate]]-SamplingData[[#This Row],[Candidate 5]])/(SamplingData[[#Totals],[Winning Candidate]]-SamplingData[[#Totals],[Candidate 5]]), 0)</f>
        <v>0</v>
      </c>
      <c r="U250" s="99">
        <f>IF(AND(SamplingData[[#This Row],[Total]]&lt;&gt; 0, NOT(ISBLANK(SamplingData[[#This Row],[Candidate 6]]))),(SamplingData[[#This Row],[Total]]+SamplingData[[#This Row],[Losing Candidate]]-SamplingData[[#This Row],[Candidate 6]])/(SamplingData[[#Totals],[Winning Candidate]]-SamplingData[[#Totals],[Candidate 6]]), 0)</f>
        <v>0</v>
      </c>
      <c r="V250" s="99">
        <f>IF(AND(SamplingData[[#This Row],[Total]]&lt;&gt; 0, NOT(ISBLANK(SamplingData[[#This Row],[Candidate 7]]))),(SamplingData[[#This Row],[Total]]+SamplingData[[#This Row],[Winning Candidate]]-SamplingData[[#This Row],[Candidate 7]])/(SamplingData[[#Totals],[Winning Candidate]]-SamplingData[[#Totals],[Candidate 7]]), 0)</f>
        <v>0</v>
      </c>
      <c r="W250" s="99">
        <f>IF(AND(SamplingData[[#This Row],[Total]]&lt;&gt; 0, NOT(ISBLANK(SamplingData[[#This Row],[Candidate 8]]))),(SamplingData[[#This Row],[Total]]+SamplingData[[#This Row],[Winning Candidate]]-SamplingData[[#This Row],[Candidate 8]])/(SamplingData[[#Totals],[Winning Candidate]]-SamplingData[[#Totals],[Candidate 8]]), 0)</f>
        <v>0</v>
      </c>
      <c r="X2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0" s="99">
        <f>MAX(SamplingData[[#This Row],[Error Bound (up) - Max. possible relative overstatement - Losing Candidate]:[Error Bound (up) - Max. possible relative overstatement - Candidate 12]])</f>
        <v>1.9988117467323034E-2</v>
      </c>
      <c r="AC250" s="99">
        <f>IF(SamplingData[[#This Row],[Max Error Bound (up)]] = 0,0,SamplingData[[#This Row],[Max Error Bound (up)]]/SamplingData[[#Totals],[Max Error Bound (up)]])</f>
        <v>1.0701821354564306E-3</v>
      </c>
      <c r="AD250" s="103">
        <f>SUM($AC$5:AC250)</f>
        <v>0.24254280728541847</v>
      </c>
      <c r="AE250" s="99" t="str" cm="1">
        <f t="array" ref="AE250">IF(SamplingData[[#This Row],[up/U Selection Probability]] = 0, "Zero", TEXT(SamplingData[[#This Row],[Lower Range]], REPT("0",LEN('General Info'!$B$42))) &amp; " - " &amp; TEXT(SamplingData[[#This Row],[Upper Range]], REPT("0",LEN('General Info'!$B$42))))</f>
        <v>241473 - 242542</v>
      </c>
      <c r="AF250" s="99">
        <f>SamplingData[[#This Row],[Upper Range]]-SamplingData[[#This Row],[Span]]</f>
        <v>241472.62514996206</v>
      </c>
      <c r="AG250" s="99">
        <f>IF(ISNUMBER('General Info'!$B$42), ((SamplingData[[#This Row],[up/U Selection Probability]]) * 'General Info'!$B$44) - 1, 0)</f>
        <v>1069.1821354564306</v>
      </c>
      <c r="AH250" s="99">
        <f>IF(ISNUMBER('General Info'!$B$42), (SamplingData[[#This Row],[Running (cumulative) sum]] * ('General Info'!$B$42 -'General Info'!$B$43 + 1)) + 'General Info'!$B$43 - 1, 0)</f>
        <v>242541.80728541847</v>
      </c>
      <c r="AI250" s="99" t="str">
        <f>IF(ISERROR(MATCH(SamplingData[[#This Row],[Batch by Type (p)]],SelectedPrecincts[Batch Name], 0)), "", INDEX(SelectedPrecincts[Draw], MATCH(SamplingData[[#This Row],[Batch by Type (p)]],SelectedPrecincts[Batch Name], 0)))</f>
        <v/>
      </c>
      <c r="AJ250" s="100">
        <f>IF(COUNTIF(SelectedPrecincts[Batch Name],SamplingData[[#This Row],[Batch by Type (p)]]) &lt;&gt; 0, COUNTIF(SelectedPrecincts[Batch Name],SamplingData[[#This Row],[Batch by Type (p)]]), 0)</f>
        <v>0</v>
      </c>
    </row>
    <row r="251" spans="1:36" ht="15" customHeight="1" x14ac:dyDescent="0.35">
      <c r="A251" s="97" t="s">
        <v>464</v>
      </c>
      <c r="B251" s="97">
        <v>96</v>
      </c>
      <c r="C251" s="97">
        <v>118</v>
      </c>
      <c r="D251" s="92"/>
      <c r="E251" s="92"/>
      <c r="F251" s="92"/>
      <c r="G251" s="96"/>
      <c r="H251" s="96"/>
      <c r="I251" s="92"/>
      <c r="J251" s="92"/>
      <c r="K251" s="92"/>
      <c r="L251" s="92"/>
      <c r="M251" s="92"/>
      <c r="N251" s="97">
        <v>0</v>
      </c>
      <c r="O251" s="97">
        <v>16</v>
      </c>
      <c r="P251" s="98">
        <f>SUM(SamplingData[[#This Row],[Winning Candidate]:[Under Votes]])</f>
        <v>230</v>
      </c>
      <c r="Q251" s="99">
        <f>IF(AND(SamplingData[[#This Row],[Total]]&lt;&gt; 0, NOT(ISBLANK(SamplingData[[#This Row],[Losing Candidate]]))),(SamplingData[[#This Row],[Total]]+SamplingData[[#This Row],[Winning Candidate]]-SamplingData[[#This Row],[Losing Candidate]])/(SamplingData[[#Totals],[Winning Candidate]]-SamplingData[[#Totals],[Losing Candidate]]), 0)</f>
        <v>8.8270242743167544E-3</v>
      </c>
      <c r="R251" s="99">
        <f>IF(AND(SamplingData[[#This Row],[Total]]&lt;&gt; 0, NOT(ISBLANK(SamplingData[[#This Row],[Candidate 3]]))),(SamplingData[[#This Row],[Total]]+SamplingData[[#This Row],[Winning Candidate]]-SamplingData[[#This Row],[Candidate 3]])/(SamplingData[[#Totals],[Winning Candidate]]-SamplingData[[#Totals],[Candidate 3]]), 0)</f>
        <v>0</v>
      </c>
      <c r="S251" s="99">
        <f>IF(AND(SamplingData[[#This Row],[Total]]&lt;&gt; 0, NOT(ISBLANK(SamplingData[[#This Row],[Candidate 4]]))),(SamplingData[[#This Row],[Total]]+SamplingData[[#This Row],[Winning Candidate]]-SamplingData[[#This Row],[Candidate 4]])/(SamplingData[[#Totals],[Winning Candidate]]-SamplingData[[#Totals],[Candidate 4]]), 0)</f>
        <v>0</v>
      </c>
      <c r="T251" s="99">
        <f>IF(AND(SamplingData[[#This Row],[Total]]&lt;&gt; 0, NOT(ISBLANK(SamplingData[[#This Row],[Candidate 5]]))),(SamplingData[[#This Row],[Total]]+SamplingData[[#This Row],[Winning Candidate]]-SamplingData[[#This Row],[Candidate 5]])/(SamplingData[[#Totals],[Winning Candidate]]-SamplingData[[#Totals],[Candidate 5]]), 0)</f>
        <v>0</v>
      </c>
      <c r="U251" s="99">
        <f>IF(AND(SamplingData[[#This Row],[Total]]&lt;&gt; 0, NOT(ISBLANK(SamplingData[[#This Row],[Candidate 6]]))),(SamplingData[[#This Row],[Total]]+SamplingData[[#This Row],[Losing Candidate]]-SamplingData[[#This Row],[Candidate 6]])/(SamplingData[[#Totals],[Winning Candidate]]-SamplingData[[#Totals],[Candidate 6]]), 0)</f>
        <v>0</v>
      </c>
      <c r="V251" s="99">
        <f>IF(AND(SamplingData[[#This Row],[Total]]&lt;&gt; 0, NOT(ISBLANK(SamplingData[[#This Row],[Candidate 7]]))),(SamplingData[[#This Row],[Total]]+SamplingData[[#This Row],[Winning Candidate]]-SamplingData[[#This Row],[Candidate 7]])/(SamplingData[[#Totals],[Winning Candidate]]-SamplingData[[#Totals],[Candidate 7]]), 0)</f>
        <v>0</v>
      </c>
      <c r="W251" s="99">
        <f>IF(AND(SamplingData[[#This Row],[Total]]&lt;&gt; 0, NOT(ISBLANK(SamplingData[[#This Row],[Candidate 8]]))),(SamplingData[[#This Row],[Total]]+SamplingData[[#This Row],[Winning Candidate]]-SamplingData[[#This Row],[Candidate 8]])/(SamplingData[[#Totals],[Winning Candidate]]-SamplingData[[#Totals],[Candidate 8]]), 0)</f>
        <v>0</v>
      </c>
      <c r="X2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1" s="99">
        <f>MAX(SamplingData[[#This Row],[Error Bound (up) - Max. possible relative overstatement - Losing Candidate]:[Error Bound (up) - Max. possible relative overstatement - Candidate 12]])</f>
        <v>8.8270242743167544E-3</v>
      </c>
      <c r="AC251" s="99">
        <f>IF(SamplingData[[#This Row],[Max Error Bound (up)]] = 0,0,SamplingData[[#This Row],[Max Error Bound (up)]]/SamplingData[[#Totals],[Max Error Bound (up)]])</f>
        <v>4.7260697277056807E-4</v>
      </c>
      <c r="AD251" s="103">
        <f>SUM($AC$5:AC251)</f>
        <v>0.24301541425818904</v>
      </c>
      <c r="AE251" s="99" t="str" cm="1">
        <f t="array" ref="AE251">IF(SamplingData[[#This Row],[up/U Selection Probability]] = 0, "Zero", TEXT(SamplingData[[#This Row],[Lower Range]], REPT("0",LEN('General Info'!$B$42))) &amp; " - " &amp; TEXT(SamplingData[[#This Row],[Upper Range]], REPT("0",LEN('General Info'!$B$42))))</f>
        <v>242543 - 243014</v>
      </c>
      <c r="AF251" s="99">
        <f>SamplingData[[#This Row],[Upper Range]]-SamplingData[[#This Row],[Span]]</f>
        <v>242542.80728541847</v>
      </c>
      <c r="AG251" s="99">
        <f>IF(ISNUMBER('General Info'!$B$42), ((SamplingData[[#This Row],[up/U Selection Probability]]) * 'General Info'!$B$44) - 1, 0)</f>
        <v>471.60697277056806</v>
      </c>
      <c r="AH251" s="99">
        <f>IF(ISNUMBER('General Info'!$B$42), (SamplingData[[#This Row],[Running (cumulative) sum]] * ('General Info'!$B$42 -'General Info'!$B$43 + 1)) + 'General Info'!$B$43 - 1, 0)</f>
        <v>243014.41425818903</v>
      </c>
      <c r="AI251" s="99" t="str">
        <f>IF(ISERROR(MATCH(SamplingData[[#This Row],[Batch by Type (p)]],SelectedPrecincts[Batch Name], 0)), "", INDEX(SelectedPrecincts[Draw], MATCH(SamplingData[[#This Row],[Batch by Type (p)]],SelectedPrecincts[Batch Name], 0)))</f>
        <v/>
      </c>
      <c r="AJ251" s="100">
        <f>IF(COUNTIF(SelectedPrecincts[Batch Name],SamplingData[[#This Row],[Batch by Type (p)]]) &lt;&gt; 0, COUNTIF(SelectedPrecincts[Batch Name],SamplingData[[#This Row],[Batch by Type (p)]]), 0)</f>
        <v>0</v>
      </c>
    </row>
    <row r="252" spans="1:36" ht="15" customHeight="1" x14ac:dyDescent="0.35">
      <c r="A252" s="97" t="s">
        <v>465</v>
      </c>
      <c r="B252" s="97">
        <v>197</v>
      </c>
      <c r="C252" s="97">
        <v>166</v>
      </c>
      <c r="D252" s="92"/>
      <c r="E252" s="92"/>
      <c r="F252" s="92"/>
      <c r="G252" s="96"/>
      <c r="H252" s="96"/>
      <c r="I252" s="92"/>
      <c r="J252" s="92"/>
      <c r="K252" s="92"/>
      <c r="L252" s="92"/>
      <c r="M252" s="92"/>
      <c r="N252" s="97">
        <v>1</v>
      </c>
      <c r="O252" s="97">
        <v>29</v>
      </c>
      <c r="P252" s="98">
        <f>SUM(SamplingData[[#This Row],[Winning Candidate]:[Under Votes]])</f>
        <v>393</v>
      </c>
      <c r="Q252" s="99">
        <f>IF(AND(SamplingData[[#This Row],[Total]]&lt;&gt; 0, NOT(ISBLANK(SamplingData[[#This Row],[Losing Candidate]]))),(SamplingData[[#This Row],[Total]]+SamplingData[[#This Row],[Winning Candidate]]-SamplingData[[#This Row],[Losing Candidate]])/(SamplingData[[#Totals],[Winning Candidate]]-SamplingData[[#Totals],[Losing Candidate]]), 0)</f>
        <v>1.7993549482261076E-2</v>
      </c>
      <c r="R252" s="99">
        <f>IF(AND(SamplingData[[#This Row],[Total]]&lt;&gt; 0, NOT(ISBLANK(SamplingData[[#This Row],[Candidate 3]]))),(SamplingData[[#This Row],[Total]]+SamplingData[[#This Row],[Winning Candidate]]-SamplingData[[#This Row],[Candidate 3]])/(SamplingData[[#Totals],[Winning Candidate]]-SamplingData[[#Totals],[Candidate 3]]), 0)</f>
        <v>0</v>
      </c>
      <c r="S252" s="99">
        <f>IF(AND(SamplingData[[#This Row],[Total]]&lt;&gt; 0, NOT(ISBLANK(SamplingData[[#This Row],[Candidate 4]]))),(SamplingData[[#This Row],[Total]]+SamplingData[[#This Row],[Winning Candidate]]-SamplingData[[#This Row],[Candidate 4]])/(SamplingData[[#Totals],[Winning Candidate]]-SamplingData[[#Totals],[Candidate 4]]), 0)</f>
        <v>0</v>
      </c>
      <c r="T252" s="99">
        <f>IF(AND(SamplingData[[#This Row],[Total]]&lt;&gt; 0, NOT(ISBLANK(SamplingData[[#This Row],[Candidate 5]]))),(SamplingData[[#This Row],[Total]]+SamplingData[[#This Row],[Winning Candidate]]-SamplingData[[#This Row],[Candidate 5]])/(SamplingData[[#Totals],[Winning Candidate]]-SamplingData[[#Totals],[Candidate 5]]), 0)</f>
        <v>0</v>
      </c>
      <c r="U252" s="99">
        <f>IF(AND(SamplingData[[#This Row],[Total]]&lt;&gt; 0, NOT(ISBLANK(SamplingData[[#This Row],[Candidate 6]]))),(SamplingData[[#This Row],[Total]]+SamplingData[[#This Row],[Losing Candidate]]-SamplingData[[#This Row],[Candidate 6]])/(SamplingData[[#Totals],[Winning Candidate]]-SamplingData[[#Totals],[Candidate 6]]), 0)</f>
        <v>0</v>
      </c>
      <c r="V252" s="99">
        <f>IF(AND(SamplingData[[#This Row],[Total]]&lt;&gt; 0, NOT(ISBLANK(SamplingData[[#This Row],[Candidate 7]]))),(SamplingData[[#This Row],[Total]]+SamplingData[[#This Row],[Winning Candidate]]-SamplingData[[#This Row],[Candidate 7]])/(SamplingData[[#Totals],[Winning Candidate]]-SamplingData[[#Totals],[Candidate 7]]), 0)</f>
        <v>0</v>
      </c>
      <c r="W252" s="99">
        <f>IF(AND(SamplingData[[#This Row],[Total]]&lt;&gt; 0, NOT(ISBLANK(SamplingData[[#This Row],[Candidate 8]]))),(SamplingData[[#This Row],[Total]]+SamplingData[[#This Row],[Winning Candidate]]-SamplingData[[#This Row],[Candidate 8]])/(SamplingData[[#Totals],[Winning Candidate]]-SamplingData[[#Totals],[Candidate 8]]), 0)</f>
        <v>0</v>
      </c>
      <c r="X2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2" s="99">
        <f>MAX(SamplingData[[#This Row],[Error Bound (up) - Max. possible relative overstatement - Losing Candidate]:[Error Bound (up) - Max. possible relative overstatement - Candidate 12]])</f>
        <v>1.7993549482261076E-2</v>
      </c>
      <c r="AC252" s="99">
        <f>IF(SamplingData[[#This Row],[Max Error Bound (up)]] = 0,0,SamplingData[[#This Row],[Max Error Bound (up)]]/SamplingData[[#Totals],[Max Error Bound (up)]])</f>
        <v>9.6339113680154261E-4</v>
      </c>
      <c r="AD252" s="103">
        <f>SUM($AC$5:AC252)</f>
        <v>0.24397880539499059</v>
      </c>
      <c r="AE252" s="99" t="str" cm="1">
        <f t="array" ref="AE252">IF(SamplingData[[#This Row],[up/U Selection Probability]] = 0, "Zero", TEXT(SamplingData[[#This Row],[Lower Range]], REPT("0",LEN('General Info'!$B$42))) &amp; " - " &amp; TEXT(SamplingData[[#This Row],[Upper Range]], REPT("0",LEN('General Info'!$B$42))))</f>
        <v>243015 - 243978</v>
      </c>
      <c r="AF252" s="99">
        <f>SamplingData[[#This Row],[Upper Range]]-SamplingData[[#This Row],[Span]]</f>
        <v>243015.41425818906</v>
      </c>
      <c r="AG252" s="99">
        <f>IF(ISNUMBER('General Info'!$B$42), ((SamplingData[[#This Row],[up/U Selection Probability]]) * 'General Info'!$B$44) - 1, 0)</f>
        <v>962.39113680154264</v>
      </c>
      <c r="AH252" s="99">
        <f>IF(ISNUMBER('General Info'!$B$42), (SamplingData[[#This Row],[Running (cumulative) sum]] * ('General Info'!$B$42 -'General Info'!$B$43 + 1)) + 'General Info'!$B$43 - 1, 0)</f>
        <v>243977.8053949906</v>
      </c>
      <c r="AI252" s="99" t="str">
        <f>IF(ISERROR(MATCH(SamplingData[[#This Row],[Batch by Type (p)]],SelectedPrecincts[Batch Name], 0)), "", INDEX(SelectedPrecincts[Draw], MATCH(SamplingData[[#This Row],[Batch by Type (p)]],SelectedPrecincts[Batch Name], 0)))</f>
        <v/>
      </c>
      <c r="AJ252" s="100">
        <f>IF(COUNTIF(SelectedPrecincts[Batch Name],SamplingData[[#This Row],[Batch by Type (p)]]) &lt;&gt; 0, COUNTIF(SelectedPrecincts[Batch Name],SamplingData[[#This Row],[Batch by Type (p)]]), 0)</f>
        <v>0</v>
      </c>
    </row>
    <row r="253" spans="1:36" ht="15" customHeight="1" x14ac:dyDescent="0.35">
      <c r="A253" s="97" t="s">
        <v>466</v>
      </c>
      <c r="B253" s="97">
        <v>99</v>
      </c>
      <c r="C253" s="97">
        <v>88</v>
      </c>
      <c r="D253" s="92"/>
      <c r="E253" s="92"/>
      <c r="F253" s="92"/>
      <c r="G253" s="96"/>
      <c r="H253" s="96"/>
      <c r="I253" s="92"/>
      <c r="J253" s="92"/>
      <c r="K253" s="92"/>
      <c r="L253" s="92"/>
      <c r="M253" s="92"/>
      <c r="N253" s="97">
        <v>0</v>
      </c>
      <c r="O253" s="97">
        <v>17</v>
      </c>
      <c r="P253" s="98">
        <f>SUM(SamplingData[[#This Row],[Winning Candidate]:[Under Votes]])</f>
        <v>204</v>
      </c>
      <c r="Q253" s="99">
        <f>IF(AND(SamplingData[[#This Row],[Total]]&lt;&gt; 0, NOT(ISBLANK(SamplingData[[#This Row],[Losing Candidate]]))),(SamplingData[[#This Row],[Total]]+SamplingData[[#This Row],[Winning Candidate]]-SamplingData[[#This Row],[Losing Candidate]])/(SamplingData[[#Totals],[Winning Candidate]]-SamplingData[[#Totals],[Losing Candidate]]), 0)</f>
        <v>9.1240875912408752E-3</v>
      </c>
      <c r="R253" s="99">
        <f>IF(AND(SamplingData[[#This Row],[Total]]&lt;&gt; 0, NOT(ISBLANK(SamplingData[[#This Row],[Candidate 3]]))),(SamplingData[[#This Row],[Total]]+SamplingData[[#This Row],[Winning Candidate]]-SamplingData[[#This Row],[Candidate 3]])/(SamplingData[[#Totals],[Winning Candidate]]-SamplingData[[#Totals],[Candidate 3]]), 0)</f>
        <v>0</v>
      </c>
      <c r="S253" s="99">
        <f>IF(AND(SamplingData[[#This Row],[Total]]&lt;&gt; 0, NOT(ISBLANK(SamplingData[[#This Row],[Candidate 4]]))),(SamplingData[[#This Row],[Total]]+SamplingData[[#This Row],[Winning Candidate]]-SamplingData[[#This Row],[Candidate 4]])/(SamplingData[[#Totals],[Winning Candidate]]-SamplingData[[#Totals],[Candidate 4]]), 0)</f>
        <v>0</v>
      </c>
      <c r="T253" s="99">
        <f>IF(AND(SamplingData[[#This Row],[Total]]&lt;&gt; 0, NOT(ISBLANK(SamplingData[[#This Row],[Candidate 5]]))),(SamplingData[[#This Row],[Total]]+SamplingData[[#This Row],[Winning Candidate]]-SamplingData[[#This Row],[Candidate 5]])/(SamplingData[[#Totals],[Winning Candidate]]-SamplingData[[#Totals],[Candidate 5]]), 0)</f>
        <v>0</v>
      </c>
      <c r="U253" s="99">
        <f>IF(AND(SamplingData[[#This Row],[Total]]&lt;&gt; 0, NOT(ISBLANK(SamplingData[[#This Row],[Candidate 6]]))),(SamplingData[[#This Row],[Total]]+SamplingData[[#This Row],[Losing Candidate]]-SamplingData[[#This Row],[Candidate 6]])/(SamplingData[[#Totals],[Winning Candidate]]-SamplingData[[#Totals],[Candidate 6]]), 0)</f>
        <v>0</v>
      </c>
      <c r="V253" s="99">
        <f>IF(AND(SamplingData[[#This Row],[Total]]&lt;&gt; 0, NOT(ISBLANK(SamplingData[[#This Row],[Candidate 7]]))),(SamplingData[[#This Row],[Total]]+SamplingData[[#This Row],[Winning Candidate]]-SamplingData[[#This Row],[Candidate 7]])/(SamplingData[[#Totals],[Winning Candidate]]-SamplingData[[#Totals],[Candidate 7]]), 0)</f>
        <v>0</v>
      </c>
      <c r="W253" s="99">
        <f>IF(AND(SamplingData[[#This Row],[Total]]&lt;&gt; 0, NOT(ISBLANK(SamplingData[[#This Row],[Candidate 8]]))),(SamplingData[[#This Row],[Total]]+SamplingData[[#This Row],[Winning Candidate]]-SamplingData[[#This Row],[Candidate 8]])/(SamplingData[[#Totals],[Winning Candidate]]-SamplingData[[#Totals],[Candidate 8]]), 0)</f>
        <v>0</v>
      </c>
      <c r="X2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3" s="99">
        <f>MAX(SamplingData[[#This Row],[Error Bound (up) - Max. possible relative overstatement - Losing Candidate]:[Error Bound (up) - Max. possible relative overstatement - Candidate 12]])</f>
        <v>9.1240875912408752E-3</v>
      </c>
      <c r="AC253" s="99">
        <f>IF(SamplingData[[#This Row],[Max Error Bound (up)]] = 0,0,SamplingData[[#This Row],[Max Error Bound (up)]]/SamplingData[[#Totals],[Max Error Bound (up)]])</f>
        <v>4.8851201512342375E-4</v>
      </c>
      <c r="AD253" s="103">
        <f>SUM($AC$5:AC253)</f>
        <v>0.24446731741011402</v>
      </c>
      <c r="AE253" s="99" t="str" cm="1">
        <f t="array" ref="AE253">IF(SamplingData[[#This Row],[up/U Selection Probability]] = 0, "Zero", TEXT(SamplingData[[#This Row],[Lower Range]], REPT("0",LEN('General Info'!$B$42))) &amp; " - " &amp; TEXT(SamplingData[[#This Row],[Upper Range]], REPT("0",LEN('General Info'!$B$42))))</f>
        <v>243979 - 244466</v>
      </c>
      <c r="AF253" s="99">
        <f>SamplingData[[#This Row],[Upper Range]]-SamplingData[[#This Row],[Span]]</f>
        <v>243978.8053949906</v>
      </c>
      <c r="AG253" s="99">
        <f>IF(ISNUMBER('General Info'!$B$42), ((SamplingData[[#This Row],[up/U Selection Probability]]) * 'General Info'!$B$44) - 1, 0)</f>
        <v>487.51201512342374</v>
      </c>
      <c r="AH253" s="99">
        <f>IF(ISNUMBER('General Info'!$B$42), (SamplingData[[#This Row],[Running (cumulative) sum]] * ('General Info'!$B$42 -'General Info'!$B$43 + 1)) + 'General Info'!$B$43 - 1, 0)</f>
        <v>244466.31741011402</v>
      </c>
      <c r="AI253" s="99" t="str">
        <f>IF(ISERROR(MATCH(SamplingData[[#This Row],[Batch by Type (p)]],SelectedPrecincts[Batch Name], 0)), "", INDEX(SelectedPrecincts[Draw], MATCH(SamplingData[[#This Row],[Batch by Type (p)]],SelectedPrecincts[Batch Name], 0)))</f>
        <v/>
      </c>
      <c r="AJ253" s="100">
        <f>IF(COUNTIF(SelectedPrecincts[Batch Name],SamplingData[[#This Row],[Batch by Type (p)]]) &lt;&gt; 0, COUNTIF(SelectedPrecincts[Batch Name],SamplingData[[#This Row],[Batch by Type (p)]]), 0)</f>
        <v>0</v>
      </c>
    </row>
    <row r="254" spans="1:36" ht="15" customHeight="1" x14ac:dyDescent="0.35">
      <c r="A254" s="97" t="s">
        <v>467</v>
      </c>
      <c r="B254" s="97">
        <v>184</v>
      </c>
      <c r="C254" s="97">
        <v>176</v>
      </c>
      <c r="D254" s="92"/>
      <c r="E254" s="92"/>
      <c r="F254" s="92"/>
      <c r="G254" s="96"/>
      <c r="H254" s="96"/>
      <c r="I254" s="92"/>
      <c r="J254" s="92"/>
      <c r="K254" s="92"/>
      <c r="L254" s="92"/>
      <c r="M254" s="92"/>
      <c r="N254" s="97">
        <v>0</v>
      </c>
      <c r="O254" s="97">
        <v>25</v>
      </c>
      <c r="P254" s="98">
        <f>SUM(SamplingData[[#This Row],[Winning Candidate]:[Under Votes]])</f>
        <v>385</v>
      </c>
      <c r="Q254" s="99">
        <f>IF(AND(SamplingData[[#This Row],[Total]]&lt;&gt; 0, NOT(ISBLANK(SamplingData[[#This Row],[Losing Candidate]]))),(SamplingData[[#This Row],[Total]]+SamplingData[[#This Row],[Winning Candidate]]-SamplingData[[#This Row],[Losing Candidate]])/(SamplingData[[#Totals],[Winning Candidate]]-SamplingData[[#Totals],[Losing Candidate]]), 0)</f>
        <v>1.6677983364454252E-2</v>
      </c>
      <c r="R254" s="99">
        <f>IF(AND(SamplingData[[#This Row],[Total]]&lt;&gt; 0, NOT(ISBLANK(SamplingData[[#This Row],[Candidate 3]]))),(SamplingData[[#This Row],[Total]]+SamplingData[[#This Row],[Winning Candidate]]-SamplingData[[#This Row],[Candidate 3]])/(SamplingData[[#Totals],[Winning Candidate]]-SamplingData[[#Totals],[Candidate 3]]), 0)</f>
        <v>0</v>
      </c>
      <c r="S254" s="99">
        <f>IF(AND(SamplingData[[#This Row],[Total]]&lt;&gt; 0, NOT(ISBLANK(SamplingData[[#This Row],[Candidate 4]]))),(SamplingData[[#This Row],[Total]]+SamplingData[[#This Row],[Winning Candidate]]-SamplingData[[#This Row],[Candidate 4]])/(SamplingData[[#Totals],[Winning Candidate]]-SamplingData[[#Totals],[Candidate 4]]), 0)</f>
        <v>0</v>
      </c>
      <c r="T254" s="99">
        <f>IF(AND(SamplingData[[#This Row],[Total]]&lt;&gt; 0, NOT(ISBLANK(SamplingData[[#This Row],[Candidate 5]]))),(SamplingData[[#This Row],[Total]]+SamplingData[[#This Row],[Winning Candidate]]-SamplingData[[#This Row],[Candidate 5]])/(SamplingData[[#Totals],[Winning Candidate]]-SamplingData[[#Totals],[Candidate 5]]), 0)</f>
        <v>0</v>
      </c>
      <c r="U254" s="99">
        <f>IF(AND(SamplingData[[#This Row],[Total]]&lt;&gt; 0, NOT(ISBLANK(SamplingData[[#This Row],[Candidate 6]]))),(SamplingData[[#This Row],[Total]]+SamplingData[[#This Row],[Losing Candidate]]-SamplingData[[#This Row],[Candidate 6]])/(SamplingData[[#Totals],[Winning Candidate]]-SamplingData[[#Totals],[Candidate 6]]), 0)</f>
        <v>0</v>
      </c>
      <c r="V254" s="99">
        <f>IF(AND(SamplingData[[#This Row],[Total]]&lt;&gt; 0, NOT(ISBLANK(SamplingData[[#This Row],[Candidate 7]]))),(SamplingData[[#This Row],[Total]]+SamplingData[[#This Row],[Winning Candidate]]-SamplingData[[#This Row],[Candidate 7]])/(SamplingData[[#Totals],[Winning Candidate]]-SamplingData[[#Totals],[Candidate 7]]), 0)</f>
        <v>0</v>
      </c>
      <c r="W254" s="99">
        <f>IF(AND(SamplingData[[#This Row],[Total]]&lt;&gt; 0, NOT(ISBLANK(SamplingData[[#This Row],[Candidate 8]]))),(SamplingData[[#This Row],[Total]]+SamplingData[[#This Row],[Winning Candidate]]-SamplingData[[#This Row],[Candidate 8]])/(SamplingData[[#Totals],[Winning Candidate]]-SamplingData[[#Totals],[Candidate 8]]), 0)</f>
        <v>0</v>
      </c>
      <c r="X2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4" s="99">
        <f>MAX(SamplingData[[#This Row],[Error Bound (up) - Max. possible relative overstatement - Losing Candidate]:[Error Bound (up) - Max. possible relative overstatement - Candidate 12]])</f>
        <v>1.6677983364454252E-2</v>
      </c>
      <c r="AC254" s="99">
        <f>IF(SamplingData[[#This Row],[Max Error Bound (up)]] = 0,0,SamplingData[[#This Row],[Max Error Bound (up)]]/SamplingData[[#Totals],[Max Error Bound (up)]])</f>
        <v>8.9295452066746764E-4</v>
      </c>
      <c r="AD254" s="103">
        <f>SUM($AC$5:AC254)</f>
        <v>0.24536027193078147</v>
      </c>
      <c r="AE254" s="99" t="str" cm="1">
        <f t="array" ref="AE254">IF(SamplingData[[#This Row],[up/U Selection Probability]] = 0, "Zero", TEXT(SamplingData[[#This Row],[Lower Range]], REPT("0",LEN('General Info'!$B$42))) &amp; " - " &amp; TEXT(SamplingData[[#This Row],[Upper Range]], REPT("0",LEN('General Info'!$B$42))))</f>
        <v>244467 - 245359</v>
      </c>
      <c r="AF254" s="99">
        <f>SamplingData[[#This Row],[Upper Range]]-SamplingData[[#This Row],[Span]]</f>
        <v>244467.31741011402</v>
      </c>
      <c r="AG254" s="99">
        <f>IF(ISNUMBER('General Info'!$B$42), ((SamplingData[[#This Row],[up/U Selection Probability]]) * 'General Info'!$B$44) - 1, 0)</f>
        <v>891.95452066746759</v>
      </c>
      <c r="AH254" s="99">
        <f>IF(ISNUMBER('General Info'!$B$42), (SamplingData[[#This Row],[Running (cumulative) sum]] * ('General Info'!$B$42 -'General Info'!$B$43 + 1)) + 'General Info'!$B$43 - 1, 0)</f>
        <v>245359.27193078148</v>
      </c>
      <c r="AI254" s="99" t="str">
        <f>IF(ISERROR(MATCH(SamplingData[[#This Row],[Batch by Type (p)]],SelectedPrecincts[Batch Name], 0)), "", INDEX(SelectedPrecincts[Draw], MATCH(SamplingData[[#This Row],[Batch by Type (p)]],SelectedPrecincts[Batch Name], 0)))</f>
        <v/>
      </c>
      <c r="AJ254" s="100">
        <f>IF(COUNTIF(SelectedPrecincts[Batch Name],SamplingData[[#This Row],[Batch by Type (p)]]) &lt;&gt; 0, COUNTIF(SelectedPrecincts[Batch Name],SamplingData[[#This Row],[Batch by Type (p)]]), 0)</f>
        <v>0</v>
      </c>
    </row>
    <row r="255" spans="1:36" ht="15" customHeight="1" x14ac:dyDescent="0.35">
      <c r="A255" s="97" t="s">
        <v>468</v>
      </c>
      <c r="B255" s="97">
        <v>1</v>
      </c>
      <c r="C255" s="97">
        <v>3</v>
      </c>
      <c r="D255" s="92"/>
      <c r="E255" s="92"/>
      <c r="F255" s="92"/>
      <c r="G255" s="96"/>
      <c r="H255" s="96"/>
      <c r="I255" s="92"/>
      <c r="J255" s="92"/>
      <c r="K255" s="92"/>
      <c r="L255" s="92"/>
      <c r="M255" s="92"/>
      <c r="N255" s="97">
        <v>0</v>
      </c>
      <c r="O255" s="97">
        <v>0</v>
      </c>
      <c r="P255" s="98">
        <f>SUM(SamplingData[[#This Row],[Winning Candidate]:[Under Votes]])</f>
        <v>4</v>
      </c>
      <c r="Q255" s="99">
        <f>IF(AND(SamplingData[[#This Row],[Total]]&lt;&gt; 0, NOT(ISBLANK(SamplingData[[#This Row],[Losing Candidate]]))),(SamplingData[[#This Row],[Total]]+SamplingData[[#This Row],[Winning Candidate]]-SamplingData[[#This Row],[Losing Candidate]])/(SamplingData[[#Totals],[Winning Candidate]]-SamplingData[[#Totals],[Losing Candidate]]), 0)</f>
        <v>8.4875233406891867E-5</v>
      </c>
      <c r="R255" s="99">
        <f>IF(AND(SamplingData[[#This Row],[Total]]&lt;&gt; 0, NOT(ISBLANK(SamplingData[[#This Row],[Candidate 3]]))),(SamplingData[[#This Row],[Total]]+SamplingData[[#This Row],[Winning Candidate]]-SamplingData[[#This Row],[Candidate 3]])/(SamplingData[[#Totals],[Winning Candidate]]-SamplingData[[#Totals],[Candidate 3]]), 0)</f>
        <v>0</v>
      </c>
      <c r="S255" s="99">
        <f>IF(AND(SamplingData[[#This Row],[Total]]&lt;&gt; 0, NOT(ISBLANK(SamplingData[[#This Row],[Candidate 4]]))),(SamplingData[[#This Row],[Total]]+SamplingData[[#This Row],[Winning Candidate]]-SamplingData[[#This Row],[Candidate 4]])/(SamplingData[[#Totals],[Winning Candidate]]-SamplingData[[#Totals],[Candidate 4]]), 0)</f>
        <v>0</v>
      </c>
      <c r="T255" s="99">
        <f>IF(AND(SamplingData[[#This Row],[Total]]&lt;&gt; 0, NOT(ISBLANK(SamplingData[[#This Row],[Candidate 5]]))),(SamplingData[[#This Row],[Total]]+SamplingData[[#This Row],[Winning Candidate]]-SamplingData[[#This Row],[Candidate 5]])/(SamplingData[[#Totals],[Winning Candidate]]-SamplingData[[#Totals],[Candidate 5]]), 0)</f>
        <v>0</v>
      </c>
      <c r="U255" s="99">
        <f>IF(AND(SamplingData[[#This Row],[Total]]&lt;&gt; 0, NOT(ISBLANK(SamplingData[[#This Row],[Candidate 6]]))),(SamplingData[[#This Row],[Total]]+SamplingData[[#This Row],[Losing Candidate]]-SamplingData[[#This Row],[Candidate 6]])/(SamplingData[[#Totals],[Winning Candidate]]-SamplingData[[#Totals],[Candidate 6]]), 0)</f>
        <v>0</v>
      </c>
      <c r="V255" s="99">
        <f>IF(AND(SamplingData[[#This Row],[Total]]&lt;&gt; 0, NOT(ISBLANK(SamplingData[[#This Row],[Candidate 7]]))),(SamplingData[[#This Row],[Total]]+SamplingData[[#This Row],[Winning Candidate]]-SamplingData[[#This Row],[Candidate 7]])/(SamplingData[[#Totals],[Winning Candidate]]-SamplingData[[#Totals],[Candidate 7]]), 0)</f>
        <v>0</v>
      </c>
      <c r="W255" s="99">
        <f>IF(AND(SamplingData[[#This Row],[Total]]&lt;&gt; 0, NOT(ISBLANK(SamplingData[[#This Row],[Candidate 8]]))),(SamplingData[[#This Row],[Total]]+SamplingData[[#This Row],[Winning Candidate]]-SamplingData[[#This Row],[Candidate 8]])/(SamplingData[[#Totals],[Winning Candidate]]-SamplingData[[#Totals],[Candidate 8]]), 0)</f>
        <v>0</v>
      </c>
      <c r="X2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5" s="99">
        <f>MAX(SamplingData[[#This Row],[Error Bound (up) - Max. possible relative overstatement - Losing Candidate]:[Error Bound (up) - Max. possible relative overstatement - Candidate 12]])</f>
        <v>8.4875233406891867E-5</v>
      </c>
      <c r="AC255" s="99">
        <f>IF(SamplingData[[#This Row],[Max Error Bound (up)]] = 0,0,SamplingData[[#This Row],[Max Error Bound (up)]]/SamplingData[[#Totals],[Max Error Bound (up)]])</f>
        <v>4.5442978151016161E-6</v>
      </c>
      <c r="AD255" s="103">
        <f>SUM($AC$5:AC255)</f>
        <v>0.24536481622859657</v>
      </c>
      <c r="AE255" s="99" t="str" cm="1">
        <f t="array" ref="AE255">IF(SamplingData[[#This Row],[up/U Selection Probability]] = 0, "Zero", TEXT(SamplingData[[#This Row],[Lower Range]], REPT("0",LEN('General Info'!$B$42))) &amp; " - " &amp; TEXT(SamplingData[[#This Row],[Upper Range]], REPT("0",LEN('General Info'!$B$42))))</f>
        <v>245360 - 245364</v>
      </c>
      <c r="AF255" s="99">
        <f>SamplingData[[#This Row],[Upper Range]]-SamplingData[[#This Row],[Span]]</f>
        <v>245360.27193078148</v>
      </c>
      <c r="AG255" s="99">
        <f>IF(ISNUMBER('General Info'!$B$42), ((SamplingData[[#This Row],[up/U Selection Probability]]) * 'General Info'!$B$44) - 1, 0)</f>
        <v>3.5442978151016158</v>
      </c>
      <c r="AH255" s="99">
        <f>IF(ISNUMBER('General Info'!$B$42), (SamplingData[[#This Row],[Running (cumulative) sum]] * ('General Info'!$B$42 -'General Info'!$B$43 + 1)) + 'General Info'!$B$43 - 1, 0)</f>
        <v>245363.81622859658</v>
      </c>
      <c r="AI255" s="99" t="str">
        <f>IF(ISERROR(MATCH(SamplingData[[#This Row],[Batch by Type (p)]],SelectedPrecincts[Batch Name], 0)), "", INDEX(SelectedPrecincts[Draw], MATCH(SamplingData[[#This Row],[Batch by Type (p)]],SelectedPrecincts[Batch Name], 0)))</f>
        <v/>
      </c>
      <c r="AJ255" s="100">
        <f>IF(COUNTIF(SelectedPrecincts[Batch Name],SamplingData[[#This Row],[Batch by Type (p)]]) &lt;&gt; 0, COUNTIF(SelectedPrecincts[Batch Name],SamplingData[[#This Row],[Batch by Type (p)]]), 0)</f>
        <v>0</v>
      </c>
    </row>
    <row r="256" spans="1:36" ht="15" customHeight="1" x14ac:dyDescent="0.35">
      <c r="A256" s="97" t="s">
        <v>469</v>
      </c>
      <c r="B256" s="97">
        <v>238</v>
      </c>
      <c r="C256" s="97">
        <v>249</v>
      </c>
      <c r="D256" s="92"/>
      <c r="E256" s="92"/>
      <c r="F256" s="92"/>
      <c r="G256" s="96"/>
      <c r="H256" s="96"/>
      <c r="I256" s="92"/>
      <c r="J256" s="92"/>
      <c r="K256" s="92"/>
      <c r="L256" s="92"/>
      <c r="M256" s="92"/>
      <c r="N256" s="97">
        <v>1</v>
      </c>
      <c r="O256" s="97">
        <v>27</v>
      </c>
      <c r="P256" s="98">
        <f>SUM(SamplingData[[#This Row],[Winning Candidate]:[Under Votes]])</f>
        <v>515</v>
      </c>
      <c r="Q256" s="99">
        <f>IF(AND(SamplingData[[#This Row],[Total]]&lt;&gt; 0, NOT(ISBLANK(SamplingData[[#This Row],[Losing Candidate]]))),(SamplingData[[#This Row],[Total]]+SamplingData[[#This Row],[Winning Candidate]]-SamplingData[[#This Row],[Losing Candidate]])/(SamplingData[[#Totals],[Winning Candidate]]-SamplingData[[#Totals],[Losing Candidate]]), 0)</f>
        <v>2.1388558818536751E-2</v>
      </c>
      <c r="R256" s="99">
        <f>IF(AND(SamplingData[[#This Row],[Total]]&lt;&gt; 0, NOT(ISBLANK(SamplingData[[#This Row],[Candidate 3]]))),(SamplingData[[#This Row],[Total]]+SamplingData[[#This Row],[Winning Candidate]]-SamplingData[[#This Row],[Candidate 3]])/(SamplingData[[#Totals],[Winning Candidate]]-SamplingData[[#Totals],[Candidate 3]]), 0)</f>
        <v>0</v>
      </c>
      <c r="S256" s="99">
        <f>IF(AND(SamplingData[[#This Row],[Total]]&lt;&gt; 0, NOT(ISBLANK(SamplingData[[#This Row],[Candidate 4]]))),(SamplingData[[#This Row],[Total]]+SamplingData[[#This Row],[Winning Candidate]]-SamplingData[[#This Row],[Candidate 4]])/(SamplingData[[#Totals],[Winning Candidate]]-SamplingData[[#Totals],[Candidate 4]]), 0)</f>
        <v>0</v>
      </c>
      <c r="T256" s="99">
        <f>IF(AND(SamplingData[[#This Row],[Total]]&lt;&gt; 0, NOT(ISBLANK(SamplingData[[#This Row],[Candidate 5]]))),(SamplingData[[#This Row],[Total]]+SamplingData[[#This Row],[Winning Candidate]]-SamplingData[[#This Row],[Candidate 5]])/(SamplingData[[#Totals],[Winning Candidate]]-SamplingData[[#Totals],[Candidate 5]]), 0)</f>
        <v>0</v>
      </c>
      <c r="U256" s="99">
        <f>IF(AND(SamplingData[[#This Row],[Total]]&lt;&gt; 0, NOT(ISBLANK(SamplingData[[#This Row],[Candidate 6]]))),(SamplingData[[#This Row],[Total]]+SamplingData[[#This Row],[Losing Candidate]]-SamplingData[[#This Row],[Candidate 6]])/(SamplingData[[#Totals],[Winning Candidate]]-SamplingData[[#Totals],[Candidate 6]]), 0)</f>
        <v>0</v>
      </c>
      <c r="V256" s="99">
        <f>IF(AND(SamplingData[[#This Row],[Total]]&lt;&gt; 0, NOT(ISBLANK(SamplingData[[#This Row],[Candidate 7]]))),(SamplingData[[#This Row],[Total]]+SamplingData[[#This Row],[Winning Candidate]]-SamplingData[[#This Row],[Candidate 7]])/(SamplingData[[#Totals],[Winning Candidate]]-SamplingData[[#Totals],[Candidate 7]]), 0)</f>
        <v>0</v>
      </c>
      <c r="W256" s="99">
        <f>IF(AND(SamplingData[[#This Row],[Total]]&lt;&gt; 0, NOT(ISBLANK(SamplingData[[#This Row],[Candidate 8]]))),(SamplingData[[#This Row],[Total]]+SamplingData[[#This Row],[Winning Candidate]]-SamplingData[[#This Row],[Candidate 8]])/(SamplingData[[#Totals],[Winning Candidate]]-SamplingData[[#Totals],[Candidate 8]]), 0)</f>
        <v>0</v>
      </c>
      <c r="X2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6" s="99">
        <f>MAX(SamplingData[[#This Row],[Error Bound (up) - Max. possible relative overstatement - Losing Candidate]:[Error Bound (up) - Max. possible relative overstatement - Candidate 12]])</f>
        <v>2.1388558818536751E-2</v>
      </c>
      <c r="AC256" s="99">
        <f>IF(SamplingData[[#This Row],[Max Error Bound (up)]] = 0,0,SamplingData[[#This Row],[Max Error Bound (up)]]/SamplingData[[#Totals],[Max Error Bound (up)]])</f>
        <v>1.1451630494056072E-3</v>
      </c>
      <c r="AD256" s="103">
        <f>SUM($AC$5:AC256)</f>
        <v>0.24650997927800217</v>
      </c>
      <c r="AE256" s="99" t="str" cm="1">
        <f t="array" ref="AE256">IF(SamplingData[[#This Row],[up/U Selection Probability]] = 0, "Zero", TEXT(SamplingData[[#This Row],[Lower Range]], REPT("0",LEN('General Info'!$B$42))) &amp; " - " &amp; TEXT(SamplingData[[#This Row],[Upper Range]], REPT("0",LEN('General Info'!$B$42))))</f>
        <v>245365 - 246509</v>
      </c>
      <c r="AF256" s="99">
        <f>SamplingData[[#This Row],[Upper Range]]-SamplingData[[#This Row],[Span]]</f>
        <v>245364.81622859655</v>
      </c>
      <c r="AG256" s="99">
        <f>IF(ISNUMBER('General Info'!$B$42), ((SamplingData[[#This Row],[up/U Selection Probability]]) * 'General Info'!$B$44) - 1, 0)</f>
        <v>1144.1630494056074</v>
      </c>
      <c r="AH256" s="99">
        <f>IF(ISNUMBER('General Info'!$B$42), (SamplingData[[#This Row],[Running (cumulative) sum]] * ('General Info'!$B$42 -'General Info'!$B$43 + 1)) + 'General Info'!$B$43 - 1, 0)</f>
        <v>246508.97927800217</v>
      </c>
      <c r="AI256" s="99" t="str">
        <f>IF(ISERROR(MATCH(SamplingData[[#This Row],[Batch by Type (p)]],SelectedPrecincts[Batch Name], 0)), "", INDEX(SelectedPrecincts[Draw], MATCH(SamplingData[[#This Row],[Batch by Type (p)]],SelectedPrecincts[Batch Name], 0)))</f>
        <v/>
      </c>
      <c r="AJ256" s="100">
        <f>IF(COUNTIF(SelectedPrecincts[Batch Name],SamplingData[[#This Row],[Batch by Type (p)]]) &lt;&gt; 0, COUNTIF(SelectedPrecincts[Batch Name],SamplingData[[#This Row],[Batch by Type (p)]]), 0)</f>
        <v>0</v>
      </c>
    </row>
    <row r="257" spans="1:36" ht="15" customHeight="1" x14ac:dyDescent="0.35">
      <c r="A257" s="97" t="s">
        <v>470</v>
      </c>
      <c r="B257" s="97">
        <v>196</v>
      </c>
      <c r="C257" s="97">
        <v>218</v>
      </c>
      <c r="D257" s="92"/>
      <c r="E257" s="92"/>
      <c r="F257" s="92"/>
      <c r="G257" s="96"/>
      <c r="H257" s="96"/>
      <c r="I257" s="92"/>
      <c r="J257" s="92"/>
      <c r="K257" s="92"/>
      <c r="L257" s="92"/>
      <c r="M257" s="92"/>
      <c r="N257" s="97">
        <v>2</v>
      </c>
      <c r="O257" s="97">
        <v>20</v>
      </c>
      <c r="P257" s="98">
        <f>SUM(SamplingData[[#This Row],[Winning Candidate]:[Under Votes]])</f>
        <v>436</v>
      </c>
      <c r="Q257" s="99">
        <f>IF(AND(SamplingData[[#This Row],[Total]]&lt;&gt; 0, NOT(ISBLANK(SamplingData[[#This Row],[Losing Candidate]]))),(SamplingData[[#This Row],[Total]]+SamplingData[[#This Row],[Winning Candidate]]-SamplingData[[#This Row],[Losing Candidate]])/(SamplingData[[#Totals],[Winning Candidate]]-SamplingData[[#Totals],[Losing Candidate]]), 0)</f>
        <v>1.7569173315226616E-2</v>
      </c>
      <c r="R257" s="99">
        <f>IF(AND(SamplingData[[#This Row],[Total]]&lt;&gt; 0, NOT(ISBLANK(SamplingData[[#This Row],[Candidate 3]]))),(SamplingData[[#This Row],[Total]]+SamplingData[[#This Row],[Winning Candidate]]-SamplingData[[#This Row],[Candidate 3]])/(SamplingData[[#Totals],[Winning Candidate]]-SamplingData[[#Totals],[Candidate 3]]), 0)</f>
        <v>0</v>
      </c>
      <c r="S257" s="99">
        <f>IF(AND(SamplingData[[#This Row],[Total]]&lt;&gt; 0, NOT(ISBLANK(SamplingData[[#This Row],[Candidate 4]]))),(SamplingData[[#This Row],[Total]]+SamplingData[[#This Row],[Winning Candidate]]-SamplingData[[#This Row],[Candidate 4]])/(SamplingData[[#Totals],[Winning Candidate]]-SamplingData[[#Totals],[Candidate 4]]), 0)</f>
        <v>0</v>
      </c>
      <c r="T257" s="99">
        <f>IF(AND(SamplingData[[#This Row],[Total]]&lt;&gt; 0, NOT(ISBLANK(SamplingData[[#This Row],[Candidate 5]]))),(SamplingData[[#This Row],[Total]]+SamplingData[[#This Row],[Winning Candidate]]-SamplingData[[#This Row],[Candidate 5]])/(SamplingData[[#Totals],[Winning Candidate]]-SamplingData[[#Totals],[Candidate 5]]), 0)</f>
        <v>0</v>
      </c>
      <c r="U257" s="99">
        <f>IF(AND(SamplingData[[#This Row],[Total]]&lt;&gt; 0, NOT(ISBLANK(SamplingData[[#This Row],[Candidate 6]]))),(SamplingData[[#This Row],[Total]]+SamplingData[[#This Row],[Losing Candidate]]-SamplingData[[#This Row],[Candidate 6]])/(SamplingData[[#Totals],[Winning Candidate]]-SamplingData[[#Totals],[Candidate 6]]), 0)</f>
        <v>0</v>
      </c>
      <c r="V257" s="99">
        <f>IF(AND(SamplingData[[#This Row],[Total]]&lt;&gt; 0, NOT(ISBLANK(SamplingData[[#This Row],[Candidate 7]]))),(SamplingData[[#This Row],[Total]]+SamplingData[[#This Row],[Winning Candidate]]-SamplingData[[#This Row],[Candidate 7]])/(SamplingData[[#Totals],[Winning Candidate]]-SamplingData[[#Totals],[Candidate 7]]), 0)</f>
        <v>0</v>
      </c>
      <c r="W257" s="99">
        <f>IF(AND(SamplingData[[#This Row],[Total]]&lt;&gt; 0, NOT(ISBLANK(SamplingData[[#This Row],[Candidate 8]]))),(SamplingData[[#This Row],[Total]]+SamplingData[[#This Row],[Winning Candidate]]-SamplingData[[#This Row],[Candidate 8]])/(SamplingData[[#Totals],[Winning Candidate]]-SamplingData[[#Totals],[Candidate 8]]), 0)</f>
        <v>0</v>
      </c>
      <c r="X2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7" s="99">
        <f>MAX(SamplingData[[#This Row],[Error Bound (up) - Max. possible relative overstatement - Losing Candidate]:[Error Bound (up) - Max. possible relative overstatement - Candidate 12]])</f>
        <v>1.7569173315226616E-2</v>
      </c>
      <c r="AC257" s="99">
        <f>IF(SamplingData[[#This Row],[Max Error Bound (up)]] = 0,0,SamplingData[[#This Row],[Max Error Bound (up)]]/SamplingData[[#Totals],[Max Error Bound (up)]])</f>
        <v>9.4066964772603458E-4</v>
      </c>
      <c r="AD257" s="103">
        <f>SUM($AC$5:AC257)</f>
        <v>0.24745064892572821</v>
      </c>
      <c r="AE257" s="99" t="str" cm="1">
        <f t="array" ref="AE257">IF(SamplingData[[#This Row],[up/U Selection Probability]] = 0, "Zero", TEXT(SamplingData[[#This Row],[Lower Range]], REPT("0",LEN('General Info'!$B$42))) &amp; " - " &amp; TEXT(SamplingData[[#This Row],[Upper Range]], REPT("0",LEN('General Info'!$B$42))))</f>
        <v>246510 - 247450</v>
      </c>
      <c r="AF257" s="99">
        <f>SamplingData[[#This Row],[Upper Range]]-SamplingData[[#This Row],[Span]]</f>
        <v>246509.9792780022</v>
      </c>
      <c r="AG257" s="99">
        <f>IF(ISNUMBER('General Info'!$B$42), ((SamplingData[[#This Row],[up/U Selection Probability]]) * 'General Info'!$B$44) - 1, 0)</f>
        <v>939.66964772603455</v>
      </c>
      <c r="AH257" s="99">
        <f>IF(ISNUMBER('General Info'!$B$42), (SamplingData[[#This Row],[Running (cumulative) sum]] * ('General Info'!$B$42 -'General Info'!$B$43 + 1)) + 'General Info'!$B$43 - 1, 0)</f>
        <v>247449.64892572822</v>
      </c>
      <c r="AI257" s="99" t="str">
        <f>IF(ISERROR(MATCH(SamplingData[[#This Row],[Batch by Type (p)]],SelectedPrecincts[Batch Name], 0)), "", INDEX(SelectedPrecincts[Draw], MATCH(SamplingData[[#This Row],[Batch by Type (p)]],SelectedPrecincts[Batch Name], 0)))</f>
        <v/>
      </c>
      <c r="AJ257" s="100">
        <f>IF(COUNTIF(SelectedPrecincts[Batch Name],SamplingData[[#This Row],[Batch by Type (p)]]) &lt;&gt; 0, COUNTIF(SelectedPrecincts[Batch Name],SamplingData[[#This Row],[Batch by Type (p)]]), 0)</f>
        <v>0</v>
      </c>
    </row>
    <row r="258" spans="1:36" ht="15" customHeight="1" x14ac:dyDescent="0.35">
      <c r="A258" s="97" t="s">
        <v>471</v>
      </c>
      <c r="B258" s="97">
        <v>264</v>
      </c>
      <c r="C258" s="97">
        <v>242</v>
      </c>
      <c r="D258" s="92"/>
      <c r="E258" s="92"/>
      <c r="F258" s="92"/>
      <c r="G258" s="96"/>
      <c r="H258" s="96"/>
      <c r="I258" s="92"/>
      <c r="J258" s="92"/>
      <c r="K258" s="92"/>
      <c r="L258" s="92"/>
      <c r="M258" s="92"/>
      <c r="N258" s="97">
        <v>0</v>
      </c>
      <c r="O258" s="97">
        <v>22</v>
      </c>
      <c r="P258" s="98">
        <f>SUM(SamplingData[[#This Row],[Winning Candidate]:[Under Votes]])</f>
        <v>528</v>
      </c>
      <c r="Q258" s="99">
        <f>IF(AND(SamplingData[[#This Row],[Total]]&lt;&gt; 0, NOT(ISBLANK(SamplingData[[#This Row],[Losing Candidate]]))),(SamplingData[[#This Row],[Total]]+SamplingData[[#This Row],[Winning Candidate]]-SamplingData[[#This Row],[Losing Candidate]])/(SamplingData[[#Totals],[Winning Candidate]]-SamplingData[[#Totals],[Losing Candidate]]), 0)</f>
        <v>2.3340689186895264E-2</v>
      </c>
      <c r="R258" s="99">
        <f>IF(AND(SamplingData[[#This Row],[Total]]&lt;&gt; 0, NOT(ISBLANK(SamplingData[[#This Row],[Candidate 3]]))),(SamplingData[[#This Row],[Total]]+SamplingData[[#This Row],[Winning Candidate]]-SamplingData[[#This Row],[Candidate 3]])/(SamplingData[[#Totals],[Winning Candidate]]-SamplingData[[#Totals],[Candidate 3]]), 0)</f>
        <v>0</v>
      </c>
      <c r="S258" s="99">
        <f>IF(AND(SamplingData[[#This Row],[Total]]&lt;&gt; 0, NOT(ISBLANK(SamplingData[[#This Row],[Candidate 4]]))),(SamplingData[[#This Row],[Total]]+SamplingData[[#This Row],[Winning Candidate]]-SamplingData[[#This Row],[Candidate 4]])/(SamplingData[[#Totals],[Winning Candidate]]-SamplingData[[#Totals],[Candidate 4]]), 0)</f>
        <v>0</v>
      </c>
      <c r="T258" s="99">
        <f>IF(AND(SamplingData[[#This Row],[Total]]&lt;&gt; 0, NOT(ISBLANK(SamplingData[[#This Row],[Candidate 5]]))),(SamplingData[[#This Row],[Total]]+SamplingData[[#This Row],[Winning Candidate]]-SamplingData[[#This Row],[Candidate 5]])/(SamplingData[[#Totals],[Winning Candidate]]-SamplingData[[#Totals],[Candidate 5]]), 0)</f>
        <v>0</v>
      </c>
      <c r="U258" s="99">
        <f>IF(AND(SamplingData[[#This Row],[Total]]&lt;&gt; 0, NOT(ISBLANK(SamplingData[[#This Row],[Candidate 6]]))),(SamplingData[[#This Row],[Total]]+SamplingData[[#This Row],[Losing Candidate]]-SamplingData[[#This Row],[Candidate 6]])/(SamplingData[[#Totals],[Winning Candidate]]-SamplingData[[#Totals],[Candidate 6]]), 0)</f>
        <v>0</v>
      </c>
      <c r="V258" s="99">
        <f>IF(AND(SamplingData[[#This Row],[Total]]&lt;&gt; 0, NOT(ISBLANK(SamplingData[[#This Row],[Candidate 7]]))),(SamplingData[[#This Row],[Total]]+SamplingData[[#This Row],[Winning Candidate]]-SamplingData[[#This Row],[Candidate 7]])/(SamplingData[[#Totals],[Winning Candidate]]-SamplingData[[#Totals],[Candidate 7]]), 0)</f>
        <v>0</v>
      </c>
      <c r="W258" s="99">
        <f>IF(AND(SamplingData[[#This Row],[Total]]&lt;&gt; 0, NOT(ISBLANK(SamplingData[[#This Row],[Candidate 8]]))),(SamplingData[[#This Row],[Total]]+SamplingData[[#This Row],[Winning Candidate]]-SamplingData[[#This Row],[Candidate 8]])/(SamplingData[[#Totals],[Winning Candidate]]-SamplingData[[#Totals],[Candidate 8]]), 0)</f>
        <v>0</v>
      </c>
      <c r="X2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8" s="99">
        <f>MAX(SamplingData[[#This Row],[Error Bound (up) - Max. possible relative overstatement - Losing Candidate]:[Error Bound (up) - Max. possible relative overstatement - Candidate 12]])</f>
        <v>2.3340689186895264E-2</v>
      </c>
      <c r="AC258" s="99">
        <f>IF(SamplingData[[#This Row],[Max Error Bound (up)]] = 0,0,SamplingData[[#This Row],[Max Error Bound (up)]]/SamplingData[[#Totals],[Max Error Bound (up)]])</f>
        <v>1.2496818991529445E-3</v>
      </c>
      <c r="AD258" s="103">
        <f>SUM($AC$5:AC258)</f>
        <v>0.24870033082488116</v>
      </c>
      <c r="AE258" s="99" t="str" cm="1">
        <f t="array" ref="AE258">IF(SamplingData[[#This Row],[up/U Selection Probability]] = 0, "Zero", TEXT(SamplingData[[#This Row],[Lower Range]], REPT("0",LEN('General Info'!$B$42))) &amp; " - " &amp; TEXT(SamplingData[[#This Row],[Upper Range]], REPT("0",LEN('General Info'!$B$42))))</f>
        <v>247451 - 248699</v>
      </c>
      <c r="AF258" s="99">
        <f>SamplingData[[#This Row],[Upper Range]]-SamplingData[[#This Row],[Span]]</f>
        <v>247450.64892572819</v>
      </c>
      <c r="AG258" s="99">
        <f>IF(ISNUMBER('General Info'!$B$42), ((SamplingData[[#This Row],[up/U Selection Probability]]) * 'General Info'!$B$44) - 1, 0)</f>
        <v>1248.6818991529444</v>
      </c>
      <c r="AH258" s="99">
        <f>IF(ISNUMBER('General Info'!$B$42), (SamplingData[[#This Row],[Running (cumulative) sum]] * ('General Info'!$B$42 -'General Info'!$B$43 + 1)) + 'General Info'!$B$43 - 1, 0)</f>
        <v>248699.33082488115</v>
      </c>
      <c r="AI258" s="99" t="str">
        <f>IF(ISERROR(MATCH(SamplingData[[#This Row],[Batch by Type (p)]],SelectedPrecincts[Batch Name], 0)), "", INDEX(SelectedPrecincts[Draw], MATCH(SamplingData[[#This Row],[Batch by Type (p)]],SelectedPrecincts[Batch Name], 0)))</f>
        <v/>
      </c>
      <c r="AJ258" s="100">
        <f>IF(COUNTIF(SelectedPrecincts[Batch Name],SamplingData[[#This Row],[Batch by Type (p)]]) &lt;&gt; 0, COUNTIF(SelectedPrecincts[Batch Name],SamplingData[[#This Row],[Batch by Type (p)]]), 0)</f>
        <v>0</v>
      </c>
    </row>
    <row r="259" spans="1:36" ht="15" customHeight="1" x14ac:dyDescent="0.35">
      <c r="A259" s="97" t="s">
        <v>472</v>
      </c>
      <c r="B259" s="97">
        <v>177</v>
      </c>
      <c r="C259" s="97">
        <v>103</v>
      </c>
      <c r="D259" s="92"/>
      <c r="E259" s="92"/>
      <c r="F259" s="92"/>
      <c r="G259" s="96"/>
      <c r="H259" s="96"/>
      <c r="I259" s="92"/>
      <c r="J259" s="92"/>
      <c r="K259" s="92"/>
      <c r="L259" s="92"/>
      <c r="M259" s="92"/>
      <c r="N259" s="97">
        <v>0</v>
      </c>
      <c r="O259" s="97">
        <v>10</v>
      </c>
      <c r="P259" s="98">
        <f>SUM(SamplingData[[#This Row],[Winning Candidate]:[Under Votes]])</f>
        <v>290</v>
      </c>
      <c r="Q259" s="99">
        <f>IF(AND(SamplingData[[#This Row],[Total]]&lt;&gt; 0, NOT(ISBLANK(SamplingData[[#This Row],[Losing Candidate]]))),(SamplingData[[#This Row],[Total]]+SamplingData[[#This Row],[Winning Candidate]]-SamplingData[[#This Row],[Losing Candidate]])/(SamplingData[[#Totals],[Winning Candidate]]-SamplingData[[#Totals],[Losing Candidate]]), 0)</f>
        <v>1.5447292480054321E-2</v>
      </c>
      <c r="R259" s="99">
        <f>IF(AND(SamplingData[[#This Row],[Total]]&lt;&gt; 0, NOT(ISBLANK(SamplingData[[#This Row],[Candidate 3]]))),(SamplingData[[#This Row],[Total]]+SamplingData[[#This Row],[Winning Candidate]]-SamplingData[[#This Row],[Candidate 3]])/(SamplingData[[#Totals],[Winning Candidate]]-SamplingData[[#Totals],[Candidate 3]]), 0)</f>
        <v>0</v>
      </c>
      <c r="S259" s="99">
        <f>IF(AND(SamplingData[[#This Row],[Total]]&lt;&gt; 0, NOT(ISBLANK(SamplingData[[#This Row],[Candidate 4]]))),(SamplingData[[#This Row],[Total]]+SamplingData[[#This Row],[Winning Candidate]]-SamplingData[[#This Row],[Candidate 4]])/(SamplingData[[#Totals],[Winning Candidate]]-SamplingData[[#Totals],[Candidate 4]]), 0)</f>
        <v>0</v>
      </c>
      <c r="T259" s="99">
        <f>IF(AND(SamplingData[[#This Row],[Total]]&lt;&gt; 0, NOT(ISBLANK(SamplingData[[#This Row],[Candidate 5]]))),(SamplingData[[#This Row],[Total]]+SamplingData[[#This Row],[Winning Candidate]]-SamplingData[[#This Row],[Candidate 5]])/(SamplingData[[#Totals],[Winning Candidate]]-SamplingData[[#Totals],[Candidate 5]]), 0)</f>
        <v>0</v>
      </c>
      <c r="U259" s="99">
        <f>IF(AND(SamplingData[[#This Row],[Total]]&lt;&gt; 0, NOT(ISBLANK(SamplingData[[#This Row],[Candidate 6]]))),(SamplingData[[#This Row],[Total]]+SamplingData[[#This Row],[Losing Candidate]]-SamplingData[[#This Row],[Candidate 6]])/(SamplingData[[#Totals],[Winning Candidate]]-SamplingData[[#Totals],[Candidate 6]]), 0)</f>
        <v>0</v>
      </c>
      <c r="V259" s="99">
        <f>IF(AND(SamplingData[[#This Row],[Total]]&lt;&gt; 0, NOT(ISBLANK(SamplingData[[#This Row],[Candidate 7]]))),(SamplingData[[#This Row],[Total]]+SamplingData[[#This Row],[Winning Candidate]]-SamplingData[[#This Row],[Candidate 7]])/(SamplingData[[#Totals],[Winning Candidate]]-SamplingData[[#Totals],[Candidate 7]]), 0)</f>
        <v>0</v>
      </c>
      <c r="W259" s="99">
        <f>IF(AND(SamplingData[[#This Row],[Total]]&lt;&gt; 0, NOT(ISBLANK(SamplingData[[#This Row],[Candidate 8]]))),(SamplingData[[#This Row],[Total]]+SamplingData[[#This Row],[Winning Candidate]]-SamplingData[[#This Row],[Candidate 8]])/(SamplingData[[#Totals],[Winning Candidate]]-SamplingData[[#Totals],[Candidate 8]]), 0)</f>
        <v>0</v>
      </c>
      <c r="X2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9" s="99">
        <f>MAX(SamplingData[[#This Row],[Error Bound (up) - Max. possible relative overstatement - Losing Candidate]:[Error Bound (up) - Max. possible relative overstatement - Candidate 12]])</f>
        <v>1.5447292480054321E-2</v>
      </c>
      <c r="AC259" s="99">
        <f>IF(SamplingData[[#This Row],[Max Error Bound (up)]] = 0,0,SamplingData[[#This Row],[Max Error Bound (up)]]/SamplingData[[#Totals],[Max Error Bound (up)]])</f>
        <v>8.2706220234849423E-4</v>
      </c>
      <c r="AD259" s="103">
        <f>SUM($AC$5:AC259)</f>
        <v>0.24952739302722965</v>
      </c>
      <c r="AE259" s="99" t="str" cm="1">
        <f t="array" ref="AE259">IF(SamplingData[[#This Row],[up/U Selection Probability]] = 0, "Zero", TEXT(SamplingData[[#This Row],[Lower Range]], REPT("0",LEN('General Info'!$B$42))) &amp; " - " &amp; TEXT(SamplingData[[#This Row],[Upper Range]], REPT("0",LEN('General Info'!$B$42))))</f>
        <v>248700 - 249526</v>
      </c>
      <c r="AF259" s="99">
        <f>SamplingData[[#This Row],[Upper Range]]-SamplingData[[#This Row],[Span]]</f>
        <v>248700.33082488115</v>
      </c>
      <c r="AG259" s="99">
        <f>IF(ISNUMBER('General Info'!$B$42), ((SamplingData[[#This Row],[up/U Selection Probability]]) * 'General Info'!$B$44) - 1, 0)</f>
        <v>826.06220234849422</v>
      </c>
      <c r="AH259" s="99">
        <f>IF(ISNUMBER('General Info'!$B$42), (SamplingData[[#This Row],[Running (cumulative) sum]] * ('General Info'!$B$42 -'General Info'!$B$43 + 1)) + 'General Info'!$B$43 - 1, 0)</f>
        <v>249526.39302722964</v>
      </c>
      <c r="AI259" s="99" t="str">
        <f>IF(ISERROR(MATCH(SamplingData[[#This Row],[Batch by Type (p)]],SelectedPrecincts[Batch Name], 0)), "", INDEX(SelectedPrecincts[Draw], MATCH(SamplingData[[#This Row],[Batch by Type (p)]],SelectedPrecincts[Batch Name], 0)))</f>
        <v/>
      </c>
      <c r="AJ259" s="100">
        <f>IF(COUNTIF(SelectedPrecincts[Batch Name],SamplingData[[#This Row],[Batch by Type (p)]]) &lt;&gt; 0, COUNTIF(SelectedPrecincts[Batch Name],SamplingData[[#This Row],[Batch by Type (p)]]), 0)</f>
        <v>0</v>
      </c>
    </row>
    <row r="260" spans="1:36" ht="15" customHeight="1" x14ac:dyDescent="0.35">
      <c r="A260" s="97" t="s">
        <v>473</v>
      </c>
      <c r="B260" s="97">
        <v>167</v>
      </c>
      <c r="C260" s="97">
        <v>117</v>
      </c>
      <c r="D260" s="92"/>
      <c r="E260" s="92"/>
      <c r="F260" s="92"/>
      <c r="G260" s="96"/>
      <c r="H260" s="96"/>
      <c r="I260" s="92"/>
      <c r="J260" s="92"/>
      <c r="K260" s="92"/>
      <c r="L260" s="92"/>
      <c r="M260" s="92"/>
      <c r="N260" s="97">
        <v>1</v>
      </c>
      <c r="O260" s="97">
        <v>19</v>
      </c>
      <c r="P260" s="98">
        <f>SUM(SamplingData[[#This Row],[Winning Candidate]:[Under Votes]])</f>
        <v>304</v>
      </c>
      <c r="Q260" s="99">
        <f>IF(AND(SamplingData[[#This Row],[Total]]&lt;&gt; 0, NOT(ISBLANK(SamplingData[[#This Row],[Losing Candidate]]))),(SamplingData[[#This Row],[Total]]+SamplingData[[#This Row],[Winning Candidate]]-SamplingData[[#This Row],[Losing Candidate]])/(SamplingData[[#Totals],[Winning Candidate]]-SamplingData[[#Totals],[Losing Candidate]]), 0)</f>
        <v>1.5022916313019861E-2</v>
      </c>
      <c r="R260" s="99">
        <f>IF(AND(SamplingData[[#This Row],[Total]]&lt;&gt; 0, NOT(ISBLANK(SamplingData[[#This Row],[Candidate 3]]))),(SamplingData[[#This Row],[Total]]+SamplingData[[#This Row],[Winning Candidate]]-SamplingData[[#This Row],[Candidate 3]])/(SamplingData[[#Totals],[Winning Candidate]]-SamplingData[[#Totals],[Candidate 3]]), 0)</f>
        <v>0</v>
      </c>
      <c r="S260" s="99">
        <f>IF(AND(SamplingData[[#This Row],[Total]]&lt;&gt; 0, NOT(ISBLANK(SamplingData[[#This Row],[Candidate 4]]))),(SamplingData[[#This Row],[Total]]+SamplingData[[#This Row],[Winning Candidate]]-SamplingData[[#This Row],[Candidate 4]])/(SamplingData[[#Totals],[Winning Candidate]]-SamplingData[[#Totals],[Candidate 4]]), 0)</f>
        <v>0</v>
      </c>
      <c r="T260" s="99">
        <f>IF(AND(SamplingData[[#This Row],[Total]]&lt;&gt; 0, NOT(ISBLANK(SamplingData[[#This Row],[Candidate 5]]))),(SamplingData[[#This Row],[Total]]+SamplingData[[#This Row],[Winning Candidate]]-SamplingData[[#This Row],[Candidate 5]])/(SamplingData[[#Totals],[Winning Candidate]]-SamplingData[[#Totals],[Candidate 5]]), 0)</f>
        <v>0</v>
      </c>
      <c r="U260" s="99">
        <f>IF(AND(SamplingData[[#This Row],[Total]]&lt;&gt; 0, NOT(ISBLANK(SamplingData[[#This Row],[Candidate 6]]))),(SamplingData[[#This Row],[Total]]+SamplingData[[#This Row],[Losing Candidate]]-SamplingData[[#This Row],[Candidate 6]])/(SamplingData[[#Totals],[Winning Candidate]]-SamplingData[[#Totals],[Candidate 6]]), 0)</f>
        <v>0</v>
      </c>
      <c r="V260" s="99">
        <f>IF(AND(SamplingData[[#This Row],[Total]]&lt;&gt; 0, NOT(ISBLANK(SamplingData[[#This Row],[Candidate 7]]))),(SamplingData[[#This Row],[Total]]+SamplingData[[#This Row],[Winning Candidate]]-SamplingData[[#This Row],[Candidate 7]])/(SamplingData[[#Totals],[Winning Candidate]]-SamplingData[[#Totals],[Candidate 7]]), 0)</f>
        <v>0</v>
      </c>
      <c r="W260" s="99">
        <f>IF(AND(SamplingData[[#This Row],[Total]]&lt;&gt; 0, NOT(ISBLANK(SamplingData[[#This Row],[Candidate 8]]))),(SamplingData[[#This Row],[Total]]+SamplingData[[#This Row],[Winning Candidate]]-SamplingData[[#This Row],[Candidate 8]])/(SamplingData[[#Totals],[Winning Candidate]]-SamplingData[[#Totals],[Candidate 8]]), 0)</f>
        <v>0</v>
      </c>
      <c r="X2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0" s="99">
        <f>MAX(SamplingData[[#This Row],[Error Bound (up) - Max. possible relative overstatement - Losing Candidate]:[Error Bound (up) - Max. possible relative overstatement - Candidate 12]])</f>
        <v>1.5022916313019861E-2</v>
      </c>
      <c r="AC260" s="99">
        <f>IF(SamplingData[[#This Row],[Max Error Bound (up)]] = 0,0,SamplingData[[#This Row],[Max Error Bound (up)]]/SamplingData[[#Totals],[Max Error Bound (up)]])</f>
        <v>8.043407132729861E-4</v>
      </c>
      <c r="AD260" s="103">
        <f>SUM($AC$5:AC260)</f>
        <v>0.25033173374050266</v>
      </c>
      <c r="AE260" s="99" t="str" cm="1">
        <f t="array" ref="AE260">IF(SamplingData[[#This Row],[up/U Selection Probability]] = 0, "Zero", TEXT(SamplingData[[#This Row],[Lower Range]], REPT("0",LEN('General Info'!$B$42))) &amp; " - " &amp; TEXT(SamplingData[[#This Row],[Upper Range]], REPT("0",LEN('General Info'!$B$42))))</f>
        <v>249527 - 250331</v>
      </c>
      <c r="AF260" s="99">
        <f>SamplingData[[#This Row],[Upper Range]]-SamplingData[[#This Row],[Span]]</f>
        <v>249527.39302722967</v>
      </c>
      <c r="AG260" s="99">
        <f>IF(ISNUMBER('General Info'!$B$42), ((SamplingData[[#This Row],[up/U Selection Probability]]) * 'General Info'!$B$44) - 1, 0)</f>
        <v>803.34071327298614</v>
      </c>
      <c r="AH260" s="99">
        <f>IF(ISNUMBER('General Info'!$B$42), (SamplingData[[#This Row],[Running (cumulative) sum]] * ('General Info'!$B$42 -'General Info'!$B$43 + 1)) + 'General Info'!$B$43 - 1, 0)</f>
        <v>250330.73374050265</v>
      </c>
      <c r="AI260" s="99" t="str">
        <f>IF(ISERROR(MATCH(SamplingData[[#This Row],[Batch by Type (p)]],SelectedPrecincts[Batch Name], 0)), "", INDEX(SelectedPrecincts[Draw], MATCH(SamplingData[[#This Row],[Batch by Type (p)]],SelectedPrecincts[Batch Name], 0)))</f>
        <v/>
      </c>
      <c r="AJ260" s="100">
        <f>IF(COUNTIF(SelectedPrecincts[Batch Name],SamplingData[[#This Row],[Batch by Type (p)]]) &lt;&gt; 0, COUNTIF(SelectedPrecincts[Batch Name],SamplingData[[#This Row],[Batch by Type (p)]]), 0)</f>
        <v>0</v>
      </c>
    </row>
    <row r="261" spans="1:36" ht="15" customHeight="1" x14ac:dyDescent="0.35">
      <c r="A261" s="97" t="s">
        <v>474</v>
      </c>
      <c r="B261" s="97">
        <v>178</v>
      </c>
      <c r="C261" s="97">
        <v>169</v>
      </c>
      <c r="D261" s="92"/>
      <c r="E261" s="92"/>
      <c r="F261" s="92"/>
      <c r="G261" s="96"/>
      <c r="H261" s="96"/>
      <c r="I261" s="92"/>
      <c r="J261" s="92"/>
      <c r="K261" s="92"/>
      <c r="L261" s="92"/>
      <c r="M261" s="92"/>
      <c r="N261" s="97">
        <v>0</v>
      </c>
      <c r="O261" s="97">
        <v>16</v>
      </c>
      <c r="P261" s="98">
        <f>SUM(SamplingData[[#This Row],[Winning Candidate]:[Under Votes]])</f>
        <v>363</v>
      </c>
      <c r="Q261" s="99">
        <f>IF(AND(SamplingData[[#This Row],[Total]]&lt;&gt; 0, NOT(ISBLANK(SamplingData[[#This Row],[Losing Candidate]]))),(SamplingData[[#This Row],[Total]]+SamplingData[[#This Row],[Winning Candidate]]-SamplingData[[#This Row],[Losing Candidate]])/(SamplingData[[#Totals],[Winning Candidate]]-SamplingData[[#Totals],[Losing Candidate]]), 0)</f>
        <v>1.5786793413681888E-2</v>
      </c>
      <c r="R261" s="99">
        <f>IF(AND(SamplingData[[#This Row],[Total]]&lt;&gt; 0, NOT(ISBLANK(SamplingData[[#This Row],[Candidate 3]]))),(SamplingData[[#This Row],[Total]]+SamplingData[[#This Row],[Winning Candidate]]-SamplingData[[#This Row],[Candidate 3]])/(SamplingData[[#Totals],[Winning Candidate]]-SamplingData[[#Totals],[Candidate 3]]), 0)</f>
        <v>0</v>
      </c>
      <c r="S261" s="99">
        <f>IF(AND(SamplingData[[#This Row],[Total]]&lt;&gt; 0, NOT(ISBLANK(SamplingData[[#This Row],[Candidate 4]]))),(SamplingData[[#This Row],[Total]]+SamplingData[[#This Row],[Winning Candidate]]-SamplingData[[#This Row],[Candidate 4]])/(SamplingData[[#Totals],[Winning Candidate]]-SamplingData[[#Totals],[Candidate 4]]), 0)</f>
        <v>0</v>
      </c>
      <c r="T261" s="99">
        <f>IF(AND(SamplingData[[#This Row],[Total]]&lt;&gt; 0, NOT(ISBLANK(SamplingData[[#This Row],[Candidate 5]]))),(SamplingData[[#This Row],[Total]]+SamplingData[[#This Row],[Winning Candidate]]-SamplingData[[#This Row],[Candidate 5]])/(SamplingData[[#Totals],[Winning Candidate]]-SamplingData[[#Totals],[Candidate 5]]), 0)</f>
        <v>0</v>
      </c>
      <c r="U261" s="99">
        <f>IF(AND(SamplingData[[#This Row],[Total]]&lt;&gt; 0, NOT(ISBLANK(SamplingData[[#This Row],[Candidate 6]]))),(SamplingData[[#This Row],[Total]]+SamplingData[[#This Row],[Losing Candidate]]-SamplingData[[#This Row],[Candidate 6]])/(SamplingData[[#Totals],[Winning Candidate]]-SamplingData[[#Totals],[Candidate 6]]), 0)</f>
        <v>0</v>
      </c>
      <c r="V261" s="99">
        <f>IF(AND(SamplingData[[#This Row],[Total]]&lt;&gt; 0, NOT(ISBLANK(SamplingData[[#This Row],[Candidate 7]]))),(SamplingData[[#This Row],[Total]]+SamplingData[[#This Row],[Winning Candidate]]-SamplingData[[#This Row],[Candidate 7]])/(SamplingData[[#Totals],[Winning Candidate]]-SamplingData[[#Totals],[Candidate 7]]), 0)</f>
        <v>0</v>
      </c>
      <c r="W261" s="99">
        <f>IF(AND(SamplingData[[#This Row],[Total]]&lt;&gt; 0, NOT(ISBLANK(SamplingData[[#This Row],[Candidate 8]]))),(SamplingData[[#This Row],[Total]]+SamplingData[[#This Row],[Winning Candidate]]-SamplingData[[#This Row],[Candidate 8]])/(SamplingData[[#Totals],[Winning Candidate]]-SamplingData[[#Totals],[Candidate 8]]), 0)</f>
        <v>0</v>
      </c>
      <c r="X2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1" s="99">
        <f>MAX(SamplingData[[#This Row],[Error Bound (up) - Max. possible relative overstatement - Losing Candidate]:[Error Bound (up) - Max. possible relative overstatement - Candidate 12]])</f>
        <v>1.5786793413681888E-2</v>
      </c>
      <c r="AC261" s="99">
        <f>IF(SamplingData[[#This Row],[Max Error Bound (up)]] = 0,0,SamplingData[[#This Row],[Max Error Bound (up)]]/SamplingData[[#Totals],[Max Error Bound (up)]])</f>
        <v>8.4523939360890059E-4</v>
      </c>
      <c r="AD261" s="103">
        <f>SUM($AC$5:AC261)</f>
        <v>0.25117697313411158</v>
      </c>
      <c r="AE261" s="99" t="str" cm="1">
        <f t="array" ref="AE261">IF(SamplingData[[#This Row],[up/U Selection Probability]] = 0, "Zero", TEXT(SamplingData[[#This Row],[Lower Range]], REPT("0",LEN('General Info'!$B$42))) &amp; " - " &amp; TEXT(SamplingData[[#This Row],[Upper Range]], REPT("0",LEN('General Info'!$B$42))))</f>
        <v>250332 - 251176</v>
      </c>
      <c r="AF261" s="99">
        <f>SamplingData[[#This Row],[Upper Range]]-SamplingData[[#This Row],[Span]]</f>
        <v>250331.73374050268</v>
      </c>
      <c r="AG261" s="99">
        <f>IF(ISNUMBER('General Info'!$B$42), ((SamplingData[[#This Row],[up/U Selection Probability]]) * 'General Info'!$B$44) - 1, 0)</f>
        <v>844.23939360890063</v>
      </c>
      <c r="AH261" s="99">
        <f>IF(ISNUMBER('General Info'!$B$42), (SamplingData[[#This Row],[Running (cumulative) sum]] * ('General Info'!$B$42 -'General Info'!$B$43 + 1)) + 'General Info'!$B$43 - 1, 0)</f>
        <v>251175.97313411158</v>
      </c>
      <c r="AI261" s="99" t="str">
        <f>IF(ISERROR(MATCH(SamplingData[[#This Row],[Batch by Type (p)]],SelectedPrecincts[Batch Name], 0)), "", INDEX(SelectedPrecincts[Draw], MATCH(SamplingData[[#This Row],[Batch by Type (p)]],SelectedPrecincts[Batch Name], 0)))</f>
        <v/>
      </c>
      <c r="AJ261" s="100">
        <f>IF(COUNTIF(SelectedPrecincts[Batch Name],SamplingData[[#This Row],[Batch by Type (p)]]) &lt;&gt; 0, COUNTIF(SelectedPrecincts[Batch Name],SamplingData[[#This Row],[Batch by Type (p)]]), 0)</f>
        <v>0</v>
      </c>
    </row>
    <row r="262" spans="1:36" ht="15" customHeight="1" x14ac:dyDescent="0.35">
      <c r="A262" s="97" t="s">
        <v>475</v>
      </c>
      <c r="B262" s="97">
        <v>140</v>
      </c>
      <c r="C262" s="97">
        <v>78</v>
      </c>
      <c r="D262" s="92"/>
      <c r="E262" s="92"/>
      <c r="F262" s="92"/>
      <c r="G262" s="96"/>
      <c r="H262" s="96"/>
      <c r="I262" s="92"/>
      <c r="J262" s="92"/>
      <c r="K262" s="92"/>
      <c r="L262" s="92"/>
      <c r="M262" s="92"/>
      <c r="N262" s="97">
        <v>0</v>
      </c>
      <c r="O262" s="97">
        <v>15</v>
      </c>
      <c r="P262" s="98">
        <f>SUM(SamplingData[[#This Row],[Winning Candidate]:[Under Votes]])</f>
        <v>233</v>
      </c>
      <c r="Q262" s="99">
        <f>IF(AND(SamplingData[[#This Row],[Total]]&lt;&gt; 0, NOT(ISBLANK(SamplingData[[#This Row],[Losing Candidate]]))),(SamplingData[[#This Row],[Total]]+SamplingData[[#This Row],[Winning Candidate]]-SamplingData[[#This Row],[Losing Candidate]])/(SamplingData[[#Totals],[Winning Candidate]]-SamplingData[[#Totals],[Losing Candidate]]), 0)</f>
        <v>1.251909692751655E-2</v>
      </c>
      <c r="R262" s="99">
        <f>IF(AND(SamplingData[[#This Row],[Total]]&lt;&gt; 0, NOT(ISBLANK(SamplingData[[#This Row],[Candidate 3]]))),(SamplingData[[#This Row],[Total]]+SamplingData[[#This Row],[Winning Candidate]]-SamplingData[[#This Row],[Candidate 3]])/(SamplingData[[#Totals],[Winning Candidate]]-SamplingData[[#Totals],[Candidate 3]]), 0)</f>
        <v>0</v>
      </c>
      <c r="S262" s="99">
        <f>IF(AND(SamplingData[[#This Row],[Total]]&lt;&gt; 0, NOT(ISBLANK(SamplingData[[#This Row],[Candidate 4]]))),(SamplingData[[#This Row],[Total]]+SamplingData[[#This Row],[Winning Candidate]]-SamplingData[[#This Row],[Candidate 4]])/(SamplingData[[#Totals],[Winning Candidate]]-SamplingData[[#Totals],[Candidate 4]]), 0)</f>
        <v>0</v>
      </c>
      <c r="T262" s="99">
        <f>IF(AND(SamplingData[[#This Row],[Total]]&lt;&gt; 0, NOT(ISBLANK(SamplingData[[#This Row],[Candidate 5]]))),(SamplingData[[#This Row],[Total]]+SamplingData[[#This Row],[Winning Candidate]]-SamplingData[[#This Row],[Candidate 5]])/(SamplingData[[#Totals],[Winning Candidate]]-SamplingData[[#Totals],[Candidate 5]]), 0)</f>
        <v>0</v>
      </c>
      <c r="U262" s="99">
        <f>IF(AND(SamplingData[[#This Row],[Total]]&lt;&gt; 0, NOT(ISBLANK(SamplingData[[#This Row],[Candidate 6]]))),(SamplingData[[#This Row],[Total]]+SamplingData[[#This Row],[Losing Candidate]]-SamplingData[[#This Row],[Candidate 6]])/(SamplingData[[#Totals],[Winning Candidate]]-SamplingData[[#Totals],[Candidate 6]]), 0)</f>
        <v>0</v>
      </c>
      <c r="V262" s="99">
        <f>IF(AND(SamplingData[[#This Row],[Total]]&lt;&gt; 0, NOT(ISBLANK(SamplingData[[#This Row],[Candidate 7]]))),(SamplingData[[#This Row],[Total]]+SamplingData[[#This Row],[Winning Candidate]]-SamplingData[[#This Row],[Candidate 7]])/(SamplingData[[#Totals],[Winning Candidate]]-SamplingData[[#Totals],[Candidate 7]]), 0)</f>
        <v>0</v>
      </c>
      <c r="W262" s="99">
        <f>IF(AND(SamplingData[[#This Row],[Total]]&lt;&gt; 0, NOT(ISBLANK(SamplingData[[#This Row],[Candidate 8]]))),(SamplingData[[#This Row],[Total]]+SamplingData[[#This Row],[Winning Candidate]]-SamplingData[[#This Row],[Candidate 8]])/(SamplingData[[#Totals],[Winning Candidate]]-SamplingData[[#Totals],[Candidate 8]]), 0)</f>
        <v>0</v>
      </c>
      <c r="X2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2" s="99">
        <f>MAX(SamplingData[[#This Row],[Error Bound (up) - Max. possible relative overstatement - Losing Candidate]:[Error Bound (up) - Max. possible relative overstatement - Candidate 12]])</f>
        <v>1.251909692751655E-2</v>
      </c>
      <c r="AC262" s="99">
        <f>IF(SamplingData[[#This Row],[Max Error Bound (up)]] = 0,0,SamplingData[[#This Row],[Max Error Bound (up)]]/SamplingData[[#Totals],[Max Error Bound (up)]])</f>
        <v>6.702839277274884E-4</v>
      </c>
      <c r="AD262" s="103">
        <f>SUM($AC$5:AC262)</f>
        <v>0.25184725706183908</v>
      </c>
      <c r="AE262" s="99" t="str" cm="1">
        <f t="array" ref="AE262">IF(SamplingData[[#This Row],[up/U Selection Probability]] = 0, "Zero", TEXT(SamplingData[[#This Row],[Lower Range]], REPT("0",LEN('General Info'!$B$42))) &amp; " - " &amp; TEXT(SamplingData[[#This Row],[Upper Range]], REPT("0",LEN('General Info'!$B$42))))</f>
        <v>251177 - 251846</v>
      </c>
      <c r="AF262" s="99">
        <f>SamplingData[[#This Row],[Upper Range]]-SamplingData[[#This Row],[Span]]</f>
        <v>251176.97313411158</v>
      </c>
      <c r="AG262" s="99">
        <f>IF(ISNUMBER('General Info'!$B$42), ((SamplingData[[#This Row],[up/U Selection Probability]]) * 'General Info'!$B$44) - 1, 0)</f>
        <v>669.28392772748839</v>
      </c>
      <c r="AH262" s="99">
        <f>IF(ISNUMBER('General Info'!$B$42), (SamplingData[[#This Row],[Running (cumulative) sum]] * ('General Info'!$B$42 -'General Info'!$B$43 + 1)) + 'General Info'!$B$43 - 1, 0)</f>
        <v>251846.25706183907</v>
      </c>
      <c r="AI262" s="99">
        <f>IF(ISERROR(MATCH(SamplingData[[#This Row],[Batch by Type (p)]],SelectedPrecincts[Batch Name], 0)), "", INDEX(SelectedPrecincts[Draw], MATCH(SamplingData[[#This Row],[Batch by Type (p)]],SelectedPrecincts[Batch Name], 0)))</f>
        <v>17</v>
      </c>
      <c r="AJ262" s="100">
        <f>IF(COUNTIF(SelectedPrecincts[Batch Name],SamplingData[[#This Row],[Batch by Type (p)]]) &lt;&gt; 0, COUNTIF(SelectedPrecincts[Batch Name],SamplingData[[#This Row],[Batch by Type (p)]]), 0)</f>
        <v>1</v>
      </c>
    </row>
    <row r="263" spans="1:36" ht="15" customHeight="1" x14ac:dyDescent="0.35">
      <c r="A263" s="97" t="s">
        <v>476</v>
      </c>
      <c r="B263" s="97">
        <v>213</v>
      </c>
      <c r="C263" s="97">
        <v>211</v>
      </c>
      <c r="D263" s="92"/>
      <c r="E263" s="92"/>
      <c r="F263" s="92"/>
      <c r="G263" s="96"/>
      <c r="H263" s="96"/>
      <c r="I263" s="92"/>
      <c r="J263" s="92"/>
      <c r="K263" s="92"/>
      <c r="L263" s="92"/>
      <c r="M263" s="92"/>
      <c r="N263" s="97">
        <v>0</v>
      </c>
      <c r="O263" s="97">
        <v>24</v>
      </c>
      <c r="P263" s="98">
        <f>SUM(SamplingData[[#This Row],[Winning Candidate]:[Under Votes]])</f>
        <v>448</v>
      </c>
      <c r="Q263" s="99">
        <f>IF(AND(SamplingData[[#This Row],[Total]]&lt;&gt; 0, NOT(ISBLANK(SamplingData[[#This Row],[Losing Candidate]]))),(SamplingData[[#This Row],[Total]]+SamplingData[[#This Row],[Winning Candidate]]-SamplingData[[#This Row],[Losing Candidate]])/(SamplingData[[#Totals],[Winning Candidate]]-SamplingData[[#Totals],[Losing Candidate]]), 0)</f>
        <v>1.909692751655067E-2</v>
      </c>
      <c r="R263" s="99">
        <f>IF(AND(SamplingData[[#This Row],[Total]]&lt;&gt; 0, NOT(ISBLANK(SamplingData[[#This Row],[Candidate 3]]))),(SamplingData[[#This Row],[Total]]+SamplingData[[#This Row],[Winning Candidate]]-SamplingData[[#This Row],[Candidate 3]])/(SamplingData[[#Totals],[Winning Candidate]]-SamplingData[[#Totals],[Candidate 3]]), 0)</f>
        <v>0</v>
      </c>
      <c r="S263" s="99">
        <f>IF(AND(SamplingData[[#This Row],[Total]]&lt;&gt; 0, NOT(ISBLANK(SamplingData[[#This Row],[Candidate 4]]))),(SamplingData[[#This Row],[Total]]+SamplingData[[#This Row],[Winning Candidate]]-SamplingData[[#This Row],[Candidate 4]])/(SamplingData[[#Totals],[Winning Candidate]]-SamplingData[[#Totals],[Candidate 4]]), 0)</f>
        <v>0</v>
      </c>
      <c r="T263" s="99">
        <f>IF(AND(SamplingData[[#This Row],[Total]]&lt;&gt; 0, NOT(ISBLANK(SamplingData[[#This Row],[Candidate 5]]))),(SamplingData[[#This Row],[Total]]+SamplingData[[#This Row],[Winning Candidate]]-SamplingData[[#This Row],[Candidate 5]])/(SamplingData[[#Totals],[Winning Candidate]]-SamplingData[[#Totals],[Candidate 5]]), 0)</f>
        <v>0</v>
      </c>
      <c r="U263" s="99">
        <f>IF(AND(SamplingData[[#This Row],[Total]]&lt;&gt; 0, NOT(ISBLANK(SamplingData[[#This Row],[Candidate 6]]))),(SamplingData[[#This Row],[Total]]+SamplingData[[#This Row],[Losing Candidate]]-SamplingData[[#This Row],[Candidate 6]])/(SamplingData[[#Totals],[Winning Candidate]]-SamplingData[[#Totals],[Candidate 6]]), 0)</f>
        <v>0</v>
      </c>
      <c r="V263" s="99">
        <f>IF(AND(SamplingData[[#This Row],[Total]]&lt;&gt; 0, NOT(ISBLANK(SamplingData[[#This Row],[Candidate 7]]))),(SamplingData[[#This Row],[Total]]+SamplingData[[#This Row],[Winning Candidate]]-SamplingData[[#This Row],[Candidate 7]])/(SamplingData[[#Totals],[Winning Candidate]]-SamplingData[[#Totals],[Candidate 7]]), 0)</f>
        <v>0</v>
      </c>
      <c r="W263" s="99">
        <f>IF(AND(SamplingData[[#This Row],[Total]]&lt;&gt; 0, NOT(ISBLANK(SamplingData[[#This Row],[Candidate 8]]))),(SamplingData[[#This Row],[Total]]+SamplingData[[#This Row],[Winning Candidate]]-SamplingData[[#This Row],[Candidate 8]])/(SamplingData[[#Totals],[Winning Candidate]]-SamplingData[[#Totals],[Candidate 8]]), 0)</f>
        <v>0</v>
      </c>
      <c r="X2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3" s="99">
        <f>MAX(SamplingData[[#This Row],[Error Bound (up) - Max. possible relative overstatement - Losing Candidate]:[Error Bound (up) - Max. possible relative overstatement - Candidate 12]])</f>
        <v>1.909692751655067E-2</v>
      </c>
      <c r="AC263" s="99">
        <f>IF(SamplingData[[#This Row],[Max Error Bound (up)]] = 0,0,SamplingData[[#This Row],[Max Error Bound (up)]]/SamplingData[[#Totals],[Max Error Bound (up)]])</f>
        <v>1.0224670083978636E-3</v>
      </c>
      <c r="AD263" s="103">
        <f>SUM($AC$5:AC263)</f>
        <v>0.25286972407023695</v>
      </c>
      <c r="AE263" s="99" t="str" cm="1">
        <f t="array" ref="AE263">IF(SamplingData[[#This Row],[up/U Selection Probability]] = 0, "Zero", TEXT(SamplingData[[#This Row],[Lower Range]], REPT("0",LEN('General Info'!$B$42))) &amp; " - " &amp; TEXT(SamplingData[[#This Row],[Upper Range]], REPT("0",LEN('General Info'!$B$42))))</f>
        <v>251847 - 252869</v>
      </c>
      <c r="AF263" s="99">
        <f>SamplingData[[#This Row],[Upper Range]]-SamplingData[[#This Row],[Span]]</f>
        <v>251847.25706183907</v>
      </c>
      <c r="AG263" s="99">
        <f>IF(ISNUMBER('General Info'!$B$42), ((SamplingData[[#This Row],[up/U Selection Probability]]) * 'General Info'!$B$44) - 1, 0)</f>
        <v>1021.4670083978635</v>
      </c>
      <c r="AH263" s="99">
        <f>IF(ISNUMBER('General Info'!$B$42), (SamplingData[[#This Row],[Running (cumulative) sum]] * ('General Info'!$B$42 -'General Info'!$B$43 + 1)) + 'General Info'!$B$43 - 1, 0)</f>
        <v>252868.72407023693</v>
      </c>
      <c r="AI263" s="99" t="str">
        <f>IF(ISERROR(MATCH(SamplingData[[#This Row],[Batch by Type (p)]],SelectedPrecincts[Batch Name], 0)), "", INDEX(SelectedPrecincts[Draw], MATCH(SamplingData[[#This Row],[Batch by Type (p)]],SelectedPrecincts[Batch Name], 0)))</f>
        <v/>
      </c>
      <c r="AJ263" s="100">
        <f>IF(COUNTIF(SelectedPrecincts[Batch Name],SamplingData[[#This Row],[Batch by Type (p)]]) &lt;&gt; 0, COUNTIF(SelectedPrecincts[Batch Name],SamplingData[[#This Row],[Batch by Type (p)]]), 0)</f>
        <v>0</v>
      </c>
    </row>
    <row r="264" spans="1:36" ht="15" customHeight="1" x14ac:dyDescent="0.35">
      <c r="A264" s="97" t="s">
        <v>477</v>
      </c>
      <c r="B264" s="97">
        <v>245</v>
      </c>
      <c r="C264" s="97">
        <v>285</v>
      </c>
      <c r="D264" s="92"/>
      <c r="E264" s="92"/>
      <c r="F264" s="92"/>
      <c r="G264" s="96"/>
      <c r="H264" s="96"/>
      <c r="I264" s="92"/>
      <c r="J264" s="92"/>
      <c r="K264" s="92"/>
      <c r="L264" s="92"/>
      <c r="M264" s="92"/>
      <c r="N264" s="97">
        <v>1</v>
      </c>
      <c r="O264" s="97">
        <v>30</v>
      </c>
      <c r="P264" s="98">
        <f>SUM(SamplingData[[#This Row],[Winning Candidate]:[Under Votes]])</f>
        <v>561</v>
      </c>
      <c r="Q264" s="99">
        <f>IF(AND(SamplingData[[#This Row],[Total]]&lt;&gt; 0, NOT(ISBLANK(SamplingData[[#This Row],[Losing Candidate]]))),(SamplingData[[#This Row],[Total]]+SamplingData[[#This Row],[Winning Candidate]]-SamplingData[[#This Row],[Losing Candidate]])/(SamplingData[[#Totals],[Winning Candidate]]-SamplingData[[#Totals],[Losing Candidate]]), 0)</f>
        <v>2.2109998302495333E-2</v>
      </c>
      <c r="R264" s="99">
        <f>IF(AND(SamplingData[[#This Row],[Total]]&lt;&gt; 0, NOT(ISBLANK(SamplingData[[#This Row],[Candidate 3]]))),(SamplingData[[#This Row],[Total]]+SamplingData[[#This Row],[Winning Candidate]]-SamplingData[[#This Row],[Candidate 3]])/(SamplingData[[#Totals],[Winning Candidate]]-SamplingData[[#Totals],[Candidate 3]]), 0)</f>
        <v>0</v>
      </c>
      <c r="S264" s="99">
        <f>IF(AND(SamplingData[[#This Row],[Total]]&lt;&gt; 0, NOT(ISBLANK(SamplingData[[#This Row],[Candidate 4]]))),(SamplingData[[#This Row],[Total]]+SamplingData[[#This Row],[Winning Candidate]]-SamplingData[[#This Row],[Candidate 4]])/(SamplingData[[#Totals],[Winning Candidate]]-SamplingData[[#Totals],[Candidate 4]]), 0)</f>
        <v>0</v>
      </c>
      <c r="T264" s="99">
        <f>IF(AND(SamplingData[[#This Row],[Total]]&lt;&gt; 0, NOT(ISBLANK(SamplingData[[#This Row],[Candidate 5]]))),(SamplingData[[#This Row],[Total]]+SamplingData[[#This Row],[Winning Candidate]]-SamplingData[[#This Row],[Candidate 5]])/(SamplingData[[#Totals],[Winning Candidate]]-SamplingData[[#Totals],[Candidate 5]]), 0)</f>
        <v>0</v>
      </c>
      <c r="U264" s="99">
        <f>IF(AND(SamplingData[[#This Row],[Total]]&lt;&gt; 0, NOT(ISBLANK(SamplingData[[#This Row],[Candidate 6]]))),(SamplingData[[#This Row],[Total]]+SamplingData[[#This Row],[Losing Candidate]]-SamplingData[[#This Row],[Candidate 6]])/(SamplingData[[#Totals],[Winning Candidate]]-SamplingData[[#Totals],[Candidate 6]]), 0)</f>
        <v>0</v>
      </c>
      <c r="V264" s="99">
        <f>IF(AND(SamplingData[[#This Row],[Total]]&lt;&gt; 0, NOT(ISBLANK(SamplingData[[#This Row],[Candidate 7]]))),(SamplingData[[#This Row],[Total]]+SamplingData[[#This Row],[Winning Candidate]]-SamplingData[[#This Row],[Candidate 7]])/(SamplingData[[#Totals],[Winning Candidate]]-SamplingData[[#Totals],[Candidate 7]]), 0)</f>
        <v>0</v>
      </c>
      <c r="W264" s="99">
        <f>IF(AND(SamplingData[[#This Row],[Total]]&lt;&gt; 0, NOT(ISBLANK(SamplingData[[#This Row],[Candidate 8]]))),(SamplingData[[#This Row],[Total]]+SamplingData[[#This Row],[Winning Candidate]]-SamplingData[[#This Row],[Candidate 8]])/(SamplingData[[#Totals],[Winning Candidate]]-SamplingData[[#Totals],[Candidate 8]]), 0)</f>
        <v>0</v>
      </c>
      <c r="X2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4" s="99">
        <f>MAX(SamplingData[[#This Row],[Error Bound (up) - Max. possible relative overstatement - Losing Candidate]:[Error Bound (up) - Max. possible relative overstatement - Candidate 12]])</f>
        <v>2.2109998302495333E-2</v>
      </c>
      <c r="AC264" s="99">
        <f>IF(SamplingData[[#This Row],[Max Error Bound (up)]] = 0,0,SamplingData[[#This Row],[Max Error Bound (up)]]/SamplingData[[#Totals],[Max Error Bound (up)]])</f>
        <v>1.1837895808339712E-3</v>
      </c>
      <c r="AD264" s="103">
        <f>SUM($AC$5:AC264)</f>
        <v>0.25405351365107093</v>
      </c>
      <c r="AE264" s="99" t="str" cm="1">
        <f t="array" ref="AE264">IF(SamplingData[[#This Row],[up/U Selection Probability]] = 0, "Zero", TEXT(SamplingData[[#This Row],[Lower Range]], REPT("0",LEN('General Info'!$B$42))) &amp; " - " &amp; TEXT(SamplingData[[#This Row],[Upper Range]], REPT("0",LEN('General Info'!$B$42))))</f>
        <v>252870 - 254053</v>
      </c>
      <c r="AF264" s="99">
        <f>SamplingData[[#This Row],[Upper Range]]-SamplingData[[#This Row],[Span]]</f>
        <v>252869.72407023696</v>
      </c>
      <c r="AG264" s="99">
        <f>IF(ISNUMBER('General Info'!$B$42), ((SamplingData[[#This Row],[up/U Selection Probability]]) * 'General Info'!$B$44) - 1, 0)</f>
        <v>1182.7895808339713</v>
      </c>
      <c r="AH264" s="99">
        <f>IF(ISNUMBER('General Info'!$B$42), (SamplingData[[#This Row],[Running (cumulative) sum]] * ('General Info'!$B$42 -'General Info'!$B$43 + 1)) + 'General Info'!$B$43 - 1, 0)</f>
        <v>254052.51365107094</v>
      </c>
      <c r="AI264" s="99" t="str">
        <f>IF(ISERROR(MATCH(SamplingData[[#This Row],[Batch by Type (p)]],SelectedPrecincts[Batch Name], 0)), "", INDEX(SelectedPrecincts[Draw], MATCH(SamplingData[[#This Row],[Batch by Type (p)]],SelectedPrecincts[Batch Name], 0)))</f>
        <v/>
      </c>
      <c r="AJ264" s="100">
        <f>IF(COUNTIF(SelectedPrecincts[Batch Name],SamplingData[[#This Row],[Batch by Type (p)]]) &lt;&gt; 0, COUNTIF(SelectedPrecincts[Batch Name],SamplingData[[#This Row],[Batch by Type (p)]]), 0)</f>
        <v>0</v>
      </c>
    </row>
    <row r="265" spans="1:36" ht="15" customHeight="1" x14ac:dyDescent="0.35">
      <c r="A265" s="97" t="s">
        <v>478</v>
      </c>
      <c r="B265" s="97">
        <v>235</v>
      </c>
      <c r="C265" s="97">
        <v>90</v>
      </c>
      <c r="D265" s="92"/>
      <c r="E265" s="92"/>
      <c r="F265" s="92"/>
      <c r="G265" s="96"/>
      <c r="H265" s="96"/>
      <c r="I265" s="92"/>
      <c r="J265" s="92"/>
      <c r="K265" s="92"/>
      <c r="L265" s="92"/>
      <c r="M265" s="92"/>
      <c r="N265" s="97">
        <v>0</v>
      </c>
      <c r="O265" s="97">
        <v>19</v>
      </c>
      <c r="P265" s="98">
        <f>SUM(SamplingData[[#This Row],[Winning Candidate]:[Under Votes]])</f>
        <v>344</v>
      </c>
      <c r="Q265" s="99">
        <f>IF(AND(SamplingData[[#This Row],[Total]]&lt;&gt; 0, NOT(ISBLANK(SamplingData[[#This Row],[Losing Candidate]]))),(SamplingData[[#This Row],[Total]]+SamplingData[[#This Row],[Winning Candidate]]-SamplingData[[#This Row],[Losing Candidate]])/(SamplingData[[#Totals],[Winning Candidate]]-SamplingData[[#Totals],[Losing Candidate]]), 0)</f>
        <v>2.0751994567985061E-2</v>
      </c>
      <c r="R265" s="99">
        <f>IF(AND(SamplingData[[#This Row],[Total]]&lt;&gt; 0, NOT(ISBLANK(SamplingData[[#This Row],[Candidate 3]]))),(SamplingData[[#This Row],[Total]]+SamplingData[[#This Row],[Winning Candidate]]-SamplingData[[#This Row],[Candidate 3]])/(SamplingData[[#Totals],[Winning Candidate]]-SamplingData[[#Totals],[Candidate 3]]), 0)</f>
        <v>0</v>
      </c>
      <c r="S265" s="99">
        <f>IF(AND(SamplingData[[#This Row],[Total]]&lt;&gt; 0, NOT(ISBLANK(SamplingData[[#This Row],[Candidate 4]]))),(SamplingData[[#This Row],[Total]]+SamplingData[[#This Row],[Winning Candidate]]-SamplingData[[#This Row],[Candidate 4]])/(SamplingData[[#Totals],[Winning Candidate]]-SamplingData[[#Totals],[Candidate 4]]), 0)</f>
        <v>0</v>
      </c>
      <c r="T265" s="99">
        <f>IF(AND(SamplingData[[#This Row],[Total]]&lt;&gt; 0, NOT(ISBLANK(SamplingData[[#This Row],[Candidate 5]]))),(SamplingData[[#This Row],[Total]]+SamplingData[[#This Row],[Winning Candidate]]-SamplingData[[#This Row],[Candidate 5]])/(SamplingData[[#Totals],[Winning Candidate]]-SamplingData[[#Totals],[Candidate 5]]), 0)</f>
        <v>0</v>
      </c>
      <c r="U265" s="99">
        <f>IF(AND(SamplingData[[#This Row],[Total]]&lt;&gt; 0, NOT(ISBLANK(SamplingData[[#This Row],[Candidate 6]]))),(SamplingData[[#This Row],[Total]]+SamplingData[[#This Row],[Losing Candidate]]-SamplingData[[#This Row],[Candidate 6]])/(SamplingData[[#Totals],[Winning Candidate]]-SamplingData[[#Totals],[Candidate 6]]), 0)</f>
        <v>0</v>
      </c>
      <c r="V265" s="99">
        <f>IF(AND(SamplingData[[#This Row],[Total]]&lt;&gt; 0, NOT(ISBLANK(SamplingData[[#This Row],[Candidate 7]]))),(SamplingData[[#This Row],[Total]]+SamplingData[[#This Row],[Winning Candidate]]-SamplingData[[#This Row],[Candidate 7]])/(SamplingData[[#Totals],[Winning Candidate]]-SamplingData[[#Totals],[Candidate 7]]), 0)</f>
        <v>0</v>
      </c>
      <c r="W265" s="99">
        <f>IF(AND(SamplingData[[#This Row],[Total]]&lt;&gt; 0, NOT(ISBLANK(SamplingData[[#This Row],[Candidate 8]]))),(SamplingData[[#This Row],[Total]]+SamplingData[[#This Row],[Winning Candidate]]-SamplingData[[#This Row],[Candidate 8]])/(SamplingData[[#Totals],[Winning Candidate]]-SamplingData[[#Totals],[Candidate 8]]), 0)</f>
        <v>0</v>
      </c>
      <c r="X2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5" s="99">
        <f>MAX(SamplingData[[#This Row],[Error Bound (up) - Max. possible relative overstatement - Losing Candidate]:[Error Bound (up) - Max. possible relative overstatement - Candidate 12]])</f>
        <v>2.0751994567985061E-2</v>
      </c>
      <c r="AC265" s="99">
        <f>IF(SamplingData[[#This Row],[Max Error Bound (up)]] = 0,0,SamplingData[[#This Row],[Max Error Bound (up)]]/SamplingData[[#Totals],[Max Error Bound (up)]])</f>
        <v>1.1110808157923451E-3</v>
      </c>
      <c r="AD265" s="103">
        <f>SUM($AC$5:AC265)</f>
        <v>0.25516459446686329</v>
      </c>
      <c r="AE265" s="99" t="str" cm="1">
        <f t="array" ref="AE265">IF(SamplingData[[#This Row],[up/U Selection Probability]] = 0, "Zero", TEXT(SamplingData[[#This Row],[Lower Range]], REPT("0",LEN('General Info'!$B$42))) &amp; " - " &amp; TEXT(SamplingData[[#This Row],[Upper Range]], REPT("0",LEN('General Info'!$B$42))))</f>
        <v>254054 - 255164</v>
      </c>
      <c r="AF265" s="99">
        <f>SamplingData[[#This Row],[Upper Range]]-SamplingData[[#This Row],[Span]]</f>
        <v>254053.51365107094</v>
      </c>
      <c r="AG265" s="99">
        <f>IF(ISNUMBER('General Info'!$B$42), ((SamplingData[[#This Row],[up/U Selection Probability]]) * 'General Info'!$B$44) - 1, 0)</f>
        <v>1110.080815792345</v>
      </c>
      <c r="AH265" s="99">
        <f>IF(ISNUMBER('General Info'!$B$42), (SamplingData[[#This Row],[Running (cumulative) sum]] * ('General Info'!$B$42 -'General Info'!$B$43 + 1)) + 'General Info'!$B$43 - 1, 0)</f>
        <v>255163.59446686329</v>
      </c>
      <c r="AI265" s="99" t="str">
        <f>IF(ISERROR(MATCH(SamplingData[[#This Row],[Batch by Type (p)]],SelectedPrecincts[Batch Name], 0)), "", INDEX(SelectedPrecincts[Draw], MATCH(SamplingData[[#This Row],[Batch by Type (p)]],SelectedPrecincts[Batch Name], 0)))</f>
        <v/>
      </c>
      <c r="AJ265" s="100">
        <f>IF(COUNTIF(SelectedPrecincts[Batch Name],SamplingData[[#This Row],[Batch by Type (p)]]) &lt;&gt; 0, COUNTIF(SelectedPrecincts[Batch Name],SamplingData[[#This Row],[Batch by Type (p)]]), 0)</f>
        <v>0</v>
      </c>
    </row>
    <row r="266" spans="1:36" ht="15" customHeight="1" x14ac:dyDescent="0.35">
      <c r="A266" s="97" t="s">
        <v>479</v>
      </c>
      <c r="B266" s="97">
        <v>160</v>
      </c>
      <c r="C266" s="97">
        <v>61</v>
      </c>
      <c r="D266" s="92"/>
      <c r="E266" s="92"/>
      <c r="F266" s="92"/>
      <c r="G266" s="96"/>
      <c r="H266" s="96"/>
      <c r="I266" s="92"/>
      <c r="J266" s="92"/>
      <c r="K266" s="92"/>
      <c r="L266" s="92"/>
      <c r="M266" s="92"/>
      <c r="N266" s="97">
        <v>0</v>
      </c>
      <c r="O266" s="97">
        <v>12</v>
      </c>
      <c r="P266" s="98">
        <f>SUM(SamplingData[[#This Row],[Winning Candidate]:[Under Votes]])</f>
        <v>233</v>
      </c>
      <c r="Q266" s="99">
        <f>IF(AND(SamplingData[[#This Row],[Total]]&lt;&gt; 0, NOT(ISBLANK(SamplingData[[#This Row],[Losing Candidate]]))),(SamplingData[[#This Row],[Total]]+SamplingData[[#This Row],[Winning Candidate]]-SamplingData[[#This Row],[Losing Candidate]])/(SamplingData[[#Totals],[Winning Candidate]]-SamplingData[[#Totals],[Losing Candidate]]), 0)</f>
        <v>1.408928874554405E-2</v>
      </c>
      <c r="R266" s="99">
        <f>IF(AND(SamplingData[[#This Row],[Total]]&lt;&gt; 0, NOT(ISBLANK(SamplingData[[#This Row],[Candidate 3]]))),(SamplingData[[#This Row],[Total]]+SamplingData[[#This Row],[Winning Candidate]]-SamplingData[[#This Row],[Candidate 3]])/(SamplingData[[#Totals],[Winning Candidate]]-SamplingData[[#Totals],[Candidate 3]]), 0)</f>
        <v>0</v>
      </c>
      <c r="S266" s="99">
        <f>IF(AND(SamplingData[[#This Row],[Total]]&lt;&gt; 0, NOT(ISBLANK(SamplingData[[#This Row],[Candidate 4]]))),(SamplingData[[#This Row],[Total]]+SamplingData[[#This Row],[Winning Candidate]]-SamplingData[[#This Row],[Candidate 4]])/(SamplingData[[#Totals],[Winning Candidate]]-SamplingData[[#Totals],[Candidate 4]]), 0)</f>
        <v>0</v>
      </c>
      <c r="T266" s="99">
        <f>IF(AND(SamplingData[[#This Row],[Total]]&lt;&gt; 0, NOT(ISBLANK(SamplingData[[#This Row],[Candidate 5]]))),(SamplingData[[#This Row],[Total]]+SamplingData[[#This Row],[Winning Candidate]]-SamplingData[[#This Row],[Candidate 5]])/(SamplingData[[#Totals],[Winning Candidate]]-SamplingData[[#Totals],[Candidate 5]]), 0)</f>
        <v>0</v>
      </c>
      <c r="U266" s="99">
        <f>IF(AND(SamplingData[[#This Row],[Total]]&lt;&gt; 0, NOT(ISBLANK(SamplingData[[#This Row],[Candidate 6]]))),(SamplingData[[#This Row],[Total]]+SamplingData[[#This Row],[Losing Candidate]]-SamplingData[[#This Row],[Candidate 6]])/(SamplingData[[#Totals],[Winning Candidate]]-SamplingData[[#Totals],[Candidate 6]]), 0)</f>
        <v>0</v>
      </c>
      <c r="V266" s="99">
        <f>IF(AND(SamplingData[[#This Row],[Total]]&lt;&gt; 0, NOT(ISBLANK(SamplingData[[#This Row],[Candidate 7]]))),(SamplingData[[#This Row],[Total]]+SamplingData[[#This Row],[Winning Candidate]]-SamplingData[[#This Row],[Candidate 7]])/(SamplingData[[#Totals],[Winning Candidate]]-SamplingData[[#Totals],[Candidate 7]]), 0)</f>
        <v>0</v>
      </c>
      <c r="W266" s="99">
        <f>IF(AND(SamplingData[[#This Row],[Total]]&lt;&gt; 0, NOT(ISBLANK(SamplingData[[#This Row],[Candidate 8]]))),(SamplingData[[#This Row],[Total]]+SamplingData[[#This Row],[Winning Candidate]]-SamplingData[[#This Row],[Candidate 8]])/(SamplingData[[#Totals],[Winning Candidate]]-SamplingData[[#Totals],[Candidate 8]]), 0)</f>
        <v>0</v>
      </c>
      <c r="X2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6" s="99">
        <f>MAX(SamplingData[[#This Row],[Error Bound (up) - Max. possible relative overstatement - Losing Candidate]:[Error Bound (up) - Max. possible relative overstatement - Candidate 12]])</f>
        <v>1.408928874554405E-2</v>
      </c>
      <c r="AC266" s="99">
        <f>IF(SamplingData[[#This Row],[Max Error Bound (up)]] = 0,0,SamplingData[[#This Row],[Max Error Bound (up)]]/SamplingData[[#Totals],[Max Error Bound (up)]])</f>
        <v>7.5435343730686827E-4</v>
      </c>
      <c r="AD266" s="103">
        <f>SUM($AC$5:AC266)</f>
        <v>0.25591894790417014</v>
      </c>
      <c r="AE266" s="99" t="str" cm="1">
        <f t="array" ref="AE266">IF(SamplingData[[#This Row],[up/U Selection Probability]] = 0, "Zero", TEXT(SamplingData[[#This Row],[Lower Range]], REPT("0",LEN('General Info'!$B$42))) &amp; " - " &amp; TEXT(SamplingData[[#This Row],[Upper Range]], REPT("0",LEN('General Info'!$B$42))))</f>
        <v>255165 - 255918</v>
      </c>
      <c r="AF266" s="99">
        <f>SamplingData[[#This Row],[Upper Range]]-SamplingData[[#This Row],[Span]]</f>
        <v>255164.59446686329</v>
      </c>
      <c r="AG266" s="99">
        <f>IF(ISNUMBER('General Info'!$B$42), ((SamplingData[[#This Row],[up/U Selection Probability]]) * 'General Info'!$B$44) - 1, 0)</f>
        <v>753.35343730686827</v>
      </c>
      <c r="AH266" s="99">
        <f>IF(ISNUMBER('General Info'!$B$42), (SamplingData[[#This Row],[Running (cumulative) sum]] * ('General Info'!$B$42 -'General Info'!$B$43 + 1)) + 'General Info'!$B$43 - 1, 0)</f>
        <v>255917.94790417014</v>
      </c>
      <c r="AI266" s="99" t="str">
        <f>IF(ISERROR(MATCH(SamplingData[[#This Row],[Batch by Type (p)]],SelectedPrecincts[Batch Name], 0)), "", INDEX(SelectedPrecincts[Draw], MATCH(SamplingData[[#This Row],[Batch by Type (p)]],SelectedPrecincts[Batch Name], 0)))</f>
        <v/>
      </c>
      <c r="AJ266" s="100">
        <f>IF(COUNTIF(SelectedPrecincts[Batch Name],SamplingData[[#This Row],[Batch by Type (p)]]) &lt;&gt; 0, COUNTIF(SelectedPrecincts[Batch Name],SamplingData[[#This Row],[Batch by Type (p)]]), 0)</f>
        <v>0</v>
      </c>
    </row>
    <row r="267" spans="1:36" ht="15" customHeight="1" x14ac:dyDescent="0.35">
      <c r="A267" s="97" t="s">
        <v>480</v>
      </c>
      <c r="B267" s="97">
        <v>160</v>
      </c>
      <c r="C267" s="97">
        <v>75</v>
      </c>
      <c r="D267" s="92"/>
      <c r="E267" s="92"/>
      <c r="F267" s="92"/>
      <c r="G267" s="96"/>
      <c r="H267" s="96"/>
      <c r="I267" s="92"/>
      <c r="J267" s="92"/>
      <c r="K267" s="92"/>
      <c r="L267" s="92"/>
      <c r="M267" s="92"/>
      <c r="N267" s="97">
        <v>0</v>
      </c>
      <c r="O267" s="97">
        <v>10</v>
      </c>
      <c r="P267" s="98">
        <f>SUM(SamplingData[[#This Row],[Winning Candidate]:[Under Votes]])</f>
        <v>245</v>
      </c>
      <c r="Q267" s="99">
        <f>IF(AND(SamplingData[[#This Row],[Total]]&lt;&gt; 0, NOT(ISBLANK(SamplingData[[#This Row],[Losing Candidate]]))),(SamplingData[[#This Row],[Total]]+SamplingData[[#This Row],[Winning Candidate]]-SamplingData[[#This Row],[Losing Candidate]])/(SamplingData[[#Totals],[Winning Candidate]]-SamplingData[[#Totals],[Losing Candidate]]), 0)</f>
        <v>1.4004413512137158E-2</v>
      </c>
      <c r="R267" s="99">
        <f>IF(AND(SamplingData[[#This Row],[Total]]&lt;&gt; 0, NOT(ISBLANK(SamplingData[[#This Row],[Candidate 3]]))),(SamplingData[[#This Row],[Total]]+SamplingData[[#This Row],[Winning Candidate]]-SamplingData[[#This Row],[Candidate 3]])/(SamplingData[[#Totals],[Winning Candidate]]-SamplingData[[#Totals],[Candidate 3]]), 0)</f>
        <v>0</v>
      </c>
      <c r="S267" s="99">
        <f>IF(AND(SamplingData[[#This Row],[Total]]&lt;&gt; 0, NOT(ISBLANK(SamplingData[[#This Row],[Candidate 4]]))),(SamplingData[[#This Row],[Total]]+SamplingData[[#This Row],[Winning Candidate]]-SamplingData[[#This Row],[Candidate 4]])/(SamplingData[[#Totals],[Winning Candidate]]-SamplingData[[#Totals],[Candidate 4]]), 0)</f>
        <v>0</v>
      </c>
      <c r="T267" s="99">
        <f>IF(AND(SamplingData[[#This Row],[Total]]&lt;&gt; 0, NOT(ISBLANK(SamplingData[[#This Row],[Candidate 5]]))),(SamplingData[[#This Row],[Total]]+SamplingData[[#This Row],[Winning Candidate]]-SamplingData[[#This Row],[Candidate 5]])/(SamplingData[[#Totals],[Winning Candidate]]-SamplingData[[#Totals],[Candidate 5]]), 0)</f>
        <v>0</v>
      </c>
      <c r="U267" s="99">
        <f>IF(AND(SamplingData[[#This Row],[Total]]&lt;&gt; 0, NOT(ISBLANK(SamplingData[[#This Row],[Candidate 6]]))),(SamplingData[[#This Row],[Total]]+SamplingData[[#This Row],[Losing Candidate]]-SamplingData[[#This Row],[Candidate 6]])/(SamplingData[[#Totals],[Winning Candidate]]-SamplingData[[#Totals],[Candidate 6]]), 0)</f>
        <v>0</v>
      </c>
      <c r="V267" s="99">
        <f>IF(AND(SamplingData[[#This Row],[Total]]&lt;&gt; 0, NOT(ISBLANK(SamplingData[[#This Row],[Candidate 7]]))),(SamplingData[[#This Row],[Total]]+SamplingData[[#This Row],[Winning Candidate]]-SamplingData[[#This Row],[Candidate 7]])/(SamplingData[[#Totals],[Winning Candidate]]-SamplingData[[#Totals],[Candidate 7]]), 0)</f>
        <v>0</v>
      </c>
      <c r="W267" s="99">
        <f>IF(AND(SamplingData[[#This Row],[Total]]&lt;&gt; 0, NOT(ISBLANK(SamplingData[[#This Row],[Candidate 8]]))),(SamplingData[[#This Row],[Total]]+SamplingData[[#This Row],[Winning Candidate]]-SamplingData[[#This Row],[Candidate 8]])/(SamplingData[[#Totals],[Winning Candidate]]-SamplingData[[#Totals],[Candidate 8]]), 0)</f>
        <v>0</v>
      </c>
      <c r="X2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7" s="99">
        <f>MAX(SamplingData[[#This Row],[Error Bound (up) - Max. possible relative overstatement - Losing Candidate]:[Error Bound (up) - Max. possible relative overstatement - Candidate 12]])</f>
        <v>1.4004413512137158E-2</v>
      </c>
      <c r="AC267" s="99">
        <f>IF(SamplingData[[#This Row],[Max Error Bound (up)]] = 0,0,SamplingData[[#This Row],[Max Error Bound (up)]]/SamplingData[[#Totals],[Max Error Bound (up)]])</f>
        <v>7.498091394917666E-4</v>
      </c>
      <c r="AD267" s="103">
        <f>SUM($AC$5:AC267)</f>
        <v>0.25666875704366188</v>
      </c>
      <c r="AE267" s="99" t="str" cm="1">
        <f t="array" ref="AE267">IF(SamplingData[[#This Row],[up/U Selection Probability]] = 0, "Zero", TEXT(SamplingData[[#This Row],[Lower Range]], REPT("0",LEN('General Info'!$B$42))) &amp; " - " &amp; TEXT(SamplingData[[#This Row],[Upper Range]], REPT("0",LEN('General Info'!$B$42))))</f>
        <v>255919 - 256668</v>
      </c>
      <c r="AF267" s="99">
        <f>SamplingData[[#This Row],[Upper Range]]-SamplingData[[#This Row],[Span]]</f>
        <v>255918.94790417011</v>
      </c>
      <c r="AG267" s="99">
        <f>IF(ISNUMBER('General Info'!$B$42), ((SamplingData[[#This Row],[up/U Selection Probability]]) * 'General Info'!$B$44) - 1, 0)</f>
        <v>748.80913949176659</v>
      </c>
      <c r="AH267" s="99">
        <f>IF(ISNUMBER('General Info'!$B$42), (SamplingData[[#This Row],[Running (cumulative) sum]] * ('General Info'!$B$42 -'General Info'!$B$43 + 1)) + 'General Info'!$B$43 - 1, 0)</f>
        <v>256667.75704366187</v>
      </c>
      <c r="AI267" s="99" t="str">
        <f>IF(ISERROR(MATCH(SamplingData[[#This Row],[Batch by Type (p)]],SelectedPrecincts[Batch Name], 0)), "", INDEX(SelectedPrecincts[Draw], MATCH(SamplingData[[#This Row],[Batch by Type (p)]],SelectedPrecincts[Batch Name], 0)))</f>
        <v/>
      </c>
      <c r="AJ267" s="100">
        <f>IF(COUNTIF(SelectedPrecincts[Batch Name],SamplingData[[#This Row],[Batch by Type (p)]]) &lt;&gt; 0, COUNTIF(SelectedPrecincts[Batch Name],SamplingData[[#This Row],[Batch by Type (p)]]), 0)</f>
        <v>0</v>
      </c>
    </row>
    <row r="268" spans="1:36" ht="15" customHeight="1" x14ac:dyDescent="0.35">
      <c r="A268" s="97" t="s">
        <v>481</v>
      </c>
      <c r="B268" s="97">
        <v>151</v>
      </c>
      <c r="C268" s="97">
        <v>58</v>
      </c>
      <c r="D268" s="92"/>
      <c r="E268" s="92"/>
      <c r="F268" s="92"/>
      <c r="G268" s="96"/>
      <c r="H268" s="96"/>
      <c r="I268" s="92"/>
      <c r="J268" s="92"/>
      <c r="K268" s="92"/>
      <c r="L268" s="92"/>
      <c r="M268" s="92"/>
      <c r="N268" s="97">
        <v>0</v>
      </c>
      <c r="O268" s="97">
        <v>6</v>
      </c>
      <c r="P268" s="98">
        <f>SUM(SamplingData[[#This Row],[Winning Candidate]:[Under Votes]])</f>
        <v>215</v>
      </c>
      <c r="Q268" s="99">
        <f>IF(AND(SamplingData[[#This Row],[Total]]&lt;&gt; 0, NOT(ISBLANK(SamplingData[[#This Row],[Losing Candidate]]))),(SamplingData[[#This Row],[Total]]+SamplingData[[#This Row],[Winning Candidate]]-SamplingData[[#This Row],[Losing Candidate]])/(SamplingData[[#Totals],[Winning Candidate]]-SamplingData[[#Totals],[Losing Candidate]]), 0)</f>
        <v>1.3070785944661347E-2</v>
      </c>
      <c r="R268" s="99">
        <f>IF(AND(SamplingData[[#This Row],[Total]]&lt;&gt; 0, NOT(ISBLANK(SamplingData[[#This Row],[Candidate 3]]))),(SamplingData[[#This Row],[Total]]+SamplingData[[#This Row],[Winning Candidate]]-SamplingData[[#This Row],[Candidate 3]])/(SamplingData[[#Totals],[Winning Candidate]]-SamplingData[[#Totals],[Candidate 3]]), 0)</f>
        <v>0</v>
      </c>
      <c r="S268" s="99">
        <f>IF(AND(SamplingData[[#This Row],[Total]]&lt;&gt; 0, NOT(ISBLANK(SamplingData[[#This Row],[Candidate 4]]))),(SamplingData[[#This Row],[Total]]+SamplingData[[#This Row],[Winning Candidate]]-SamplingData[[#This Row],[Candidate 4]])/(SamplingData[[#Totals],[Winning Candidate]]-SamplingData[[#Totals],[Candidate 4]]), 0)</f>
        <v>0</v>
      </c>
      <c r="T268" s="99">
        <f>IF(AND(SamplingData[[#This Row],[Total]]&lt;&gt; 0, NOT(ISBLANK(SamplingData[[#This Row],[Candidate 5]]))),(SamplingData[[#This Row],[Total]]+SamplingData[[#This Row],[Winning Candidate]]-SamplingData[[#This Row],[Candidate 5]])/(SamplingData[[#Totals],[Winning Candidate]]-SamplingData[[#Totals],[Candidate 5]]), 0)</f>
        <v>0</v>
      </c>
      <c r="U268" s="99">
        <f>IF(AND(SamplingData[[#This Row],[Total]]&lt;&gt; 0, NOT(ISBLANK(SamplingData[[#This Row],[Candidate 6]]))),(SamplingData[[#This Row],[Total]]+SamplingData[[#This Row],[Losing Candidate]]-SamplingData[[#This Row],[Candidate 6]])/(SamplingData[[#Totals],[Winning Candidate]]-SamplingData[[#Totals],[Candidate 6]]), 0)</f>
        <v>0</v>
      </c>
      <c r="V268" s="99">
        <f>IF(AND(SamplingData[[#This Row],[Total]]&lt;&gt; 0, NOT(ISBLANK(SamplingData[[#This Row],[Candidate 7]]))),(SamplingData[[#This Row],[Total]]+SamplingData[[#This Row],[Winning Candidate]]-SamplingData[[#This Row],[Candidate 7]])/(SamplingData[[#Totals],[Winning Candidate]]-SamplingData[[#Totals],[Candidate 7]]), 0)</f>
        <v>0</v>
      </c>
      <c r="W268" s="99">
        <f>IF(AND(SamplingData[[#This Row],[Total]]&lt;&gt; 0, NOT(ISBLANK(SamplingData[[#This Row],[Candidate 8]]))),(SamplingData[[#This Row],[Total]]+SamplingData[[#This Row],[Winning Candidate]]-SamplingData[[#This Row],[Candidate 8]])/(SamplingData[[#Totals],[Winning Candidate]]-SamplingData[[#Totals],[Candidate 8]]), 0)</f>
        <v>0</v>
      </c>
      <c r="X2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8" s="99">
        <f>MAX(SamplingData[[#This Row],[Error Bound (up) - Max. possible relative overstatement - Losing Candidate]:[Error Bound (up) - Max. possible relative overstatement - Candidate 12]])</f>
        <v>1.3070785944661347E-2</v>
      </c>
      <c r="AC268" s="99">
        <f>IF(SamplingData[[#This Row],[Max Error Bound (up)]] = 0,0,SamplingData[[#This Row],[Max Error Bound (up)]]/SamplingData[[#Totals],[Max Error Bound (up)]])</f>
        <v>6.9982186352564887E-4</v>
      </c>
      <c r="AD268" s="103">
        <f>SUM($AC$5:AC268)</f>
        <v>0.25736857890718751</v>
      </c>
      <c r="AE268" s="99" t="str" cm="1">
        <f t="array" ref="AE268">IF(SamplingData[[#This Row],[up/U Selection Probability]] = 0, "Zero", TEXT(SamplingData[[#This Row],[Lower Range]], REPT("0",LEN('General Info'!$B$42))) &amp; " - " &amp; TEXT(SamplingData[[#This Row],[Upper Range]], REPT("0",LEN('General Info'!$B$42))))</f>
        <v>256669 - 257368</v>
      </c>
      <c r="AF268" s="99">
        <f>SamplingData[[#This Row],[Upper Range]]-SamplingData[[#This Row],[Span]]</f>
        <v>256668.75704366187</v>
      </c>
      <c r="AG268" s="99">
        <f>IF(ISNUMBER('General Info'!$B$42), ((SamplingData[[#This Row],[up/U Selection Probability]]) * 'General Info'!$B$44) - 1, 0)</f>
        <v>698.82186352564884</v>
      </c>
      <c r="AH268" s="99">
        <f>IF(ISNUMBER('General Info'!$B$42), (SamplingData[[#This Row],[Running (cumulative) sum]] * ('General Info'!$B$42 -'General Info'!$B$43 + 1)) + 'General Info'!$B$43 - 1, 0)</f>
        <v>257367.5789071875</v>
      </c>
      <c r="AI268" s="99" t="str">
        <f>IF(ISERROR(MATCH(SamplingData[[#This Row],[Batch by Type (p)]],SelectedPrecincts[Batch Name], 0)), "", INDEX(SelectedPrecincts[Draw], MATCH(SamplingData[[#This Row],[Batch by Type (p)]],SelectedPrecincts[Batch Name], 0)))</f>
        <v/>
      </c>
      <c r="AJ268" s="100">
        <f>IF(COUNTIF(SelectedPrecincts[Batch Name],SamplingData[[#This Row],[Batch by Type (p)]]) &lt;&gt; 0, COUNTIF(SelectedPrecincts[Batch Name],SamplingData[[#This Row],[Batch by Type (p)]]), 0)</f>
        <v>0</v>
      </c>
    </row>
    <row r="269" spans="1:36" ht="15" customHeight="1" x14ac:dyDescent="0.35">
      <c r="A269" s="97" t="s">
        <v>482</v>
      </c>
      <c r="B269" s="97">
        <v>93</v>
      </c>
      <c r="C269" s="97">
        <v>35</v>
      </c>
      <c r="D269" s="92"/>
      <c r="E269" s="92"/>
      <c r="F269" s="92"/>
      <c r="G269" s="96"/>
      <c r="H269" s="96"/>
      <c r="I269" s="92"/>
      <c r="J269" s="92"/>
      <c r="K269" s="92"/>
      <c r="L269" s="92"/>
      <c r="M269" s="92"/>
      <c r="N269" s="97">
        <v>0</v>
      </c>
      <c r="O269" s="97">
        <v>11</v>
      </c>
      <c r="P269" s="98">
        <f>SUM(SamplingData[[#This Row],[Winning Candidate]:[Under Votes]])</f>
        <v>139</v>
      </c>
      <c r="Q269" s="99">
        <f>IF(AND(SamplingData[[#This Row],[Total]]&lt;&gt; 0, NOT(ISBLANK(SamplingData[[#This Row],[Losing Candidate]]))),(SamplingData[[#This Row],[Total]]+SamplingData[[#This Row],[Winning Candidate]]-SamplingData[[#This Row],[Losing Candidate]])/(SamplingData[[#Totals],[Winning Candidate]]-SamplingData[[#Totals],[Losing Candidate]]), 0)</f>
        <v>8.3602104905788482E-3</v>
      </c>
      <c r="R269" s="99">
        <f>IF(AND(SamplingData[[#This Row],[Total]]&lt;&gt; 0, NOT(ISBLANK(SamplingData[[#This Row],[Candidate 3]]))),(SamplingData[[#This Row],[Total]]+SamplingData[[#This Row],[Winning Candidate]]-SamplingData[[#This Row],[Candidate 3]])/(SamplingData[[#Totals],[Winning Candidate]]-SamplingData[[#Totals],[Candidate 3]]), 0)</f>
        <v>0</v>
      </c>
      <c r="S269" s="99">
        <f>IF(AND(SamplingData[[#This Row],[Total]]&lt;&gt; 0, NOT(ISBLANK(SamplingData[[#This Row],[Candidate 4]]))),(SamplingData[[#This Row],[Total]]+SamplingData[[#This Row],[Winning Candidate]]-SamplingData[[#This Row],[Candidate 4]])/(SamplingData[[#Totals],[Winning Candidate]]-SamplingData[[#Totals],[Candidate 4]]), 0)</f>
        <v>0</v>
      </c>
      <c r="T269" s="99">
        <f>IF(AND(SamplingData[[#This Row],[Total]]&lt;&gt; 0, NOT(ISBLANK(SamplingData[[#This Row],[Candidate 5]]))),(SamplingData[[#This Row],[Total]]+SamplingData[[#This Row],[Winning Candidate]]-SamplingData[[#This Row],[Candidate 5]])/(SamplingData[[#Totals],[Winning Candidate]]-SamplingData[[#Totals],[Candidate 5]]), 0)</f>
        <v>0</v>
      </c>
      <c r="U269" s="99">
        <f>IF(AND(SamplingData[[#This Row],[Total]]&lt;&gt; 0, NOT(ISBLANK(SamplingData[[#This Row],[Candidate 6]]))),(SamplingData[[#This Row],[Total]]+SamplingData[[#This Row],[Losing Candidate]]-SamplingData[[#This Row],[Candidate 6]])/(SamplingData[[#Totals],[Winning Candidate]]-SamplingData[[#Totals],[Candidate 6]]), 0)</f>
        <v>0</v>
      </c>
      <c r="V269" s="99">
        <f>IF(AND(SamplingData[[#This Row],[Total]]&lt;&gt; 0, NOT(ISBLANK(SamplingData[[#This Row],[Candidate 7]]))),(SamplingData[[#This Row],[Total]]+SamplingData[[#This Row],[Winning Candidate]]-SamplingData[[#This Row],[Candidate 7]])/(SamplingData[[#Totals],[Winning Candidate]]-SamplingData[[#Totals],[Candidate 7]]), 0)</f>
        <v>0</v>
      </c>
      <c r="W269" s="99">
        <f>IF(AND(SamplingData[[#This Row],[Total]]&lt;&gt; 0, NOT(ISBLANK(SamplingData[[#This Row],[Candidate 8]]))),(SamplingData[[#This Row],[Total]]+SamplingData[[#This Row],[Winning Candidate]]-SamplingData[[#This Row],[Candidate 8]])/(SamplingData[[#Totals],[Winning Candidate]]-SamplingData[[#Totals],[Candidate 8]]), 0)</f>
        <v>0</v>
      </c>
      <c r="X2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9" s="99">
        <f>MAX(SamplingData[[#This Row],[Error Bound (up) - Max. possible relative overstatement - Losing Candidate]:[Error Bound (up) - Max. possible relative overstatement - Candidate 12]])</f>
        <v>8.3602104905788482E-3</v>
      </c>
      <c r="AC269" s="99">
        <f>IF(SamplingData[[#This Row],[Max Error Bound (up)]] = 0,0,SamplingData[[#This Row],[Max Error Bound (up)]]/SamplingData[[#Totals],[Max Error Bound (up)]])</f>
        <v>4.4761333478750916E-4</v>
      </c>
      <c r="AD269" s="103">
        <f>SUM($AC$5:AC269)</f>
        <v>0.257816192241975</v>
      </c>
      <c r="AE269" s="99" t="str" cm="1">
        <f t="array" ref="AE269">IF(SamplingData[[#This Row],[up/U Selection Probability]] = 0, "Zero", TEXT(SamplingData[[#This Row],[Lower Range]], REPT("0",LEN('General Info'!$B$42))) &amp; " - " &amp; TEXT(SamplingData[[#This Row],[Upper Range]], REPT("0",LEN('General Info'!$B$42))))</f>
        <v>257369 - 257815</v>
      </c>
      <c r="AF269" s="99">
        <f>SamplingData[[#This Row],[Upper Range]]-SamplingData[[#This Row],[Span]]</f>
        <v>257368.57890718748</v>
      </c>
      <c r="AG269" s="99">
        <f>IF(ISNUMBER('General Info'!$B$42), ((SamplingData[[#This Row],[up/U Selection Probability]]) * 'General Info'!$B$44) - 1, 0)</f>
        <v>446.61333478750913</v>
      </c>
      <c r="AH269" s="99">
        <f>IF(ISNUMBER('General Info'!$B$42), (SamplingData[[#This Row],[Running (cumulative) sum]] * ('General Info'!$B$42 -'General Info'!$B$43 + 1)) + 'General Info'!$B$43 - 1, 0)</f>
        <v>257815.19224197499</v>
      </c>
      <c r="AI269" s="99" t="str">
        <f>IF(ISERROR(MATCH(SamplingData[[#This Row],[Batch by Type (p)]],SelectedPrecincts[Batch Name], 0)), "", INDEX(SelectedPrecincts[Draw], MATCH(SamplingData[[#This Row],[Batch by Type (p)]],SelectedPrecincts[Batch Name], 0)))</f>
        <v/>
      </c>
      <c r="AJ269" s="100">
        <f>IF(COUNTIF(SelectedPrecincts[Batch Name],SamplingData[[#This Row],[Batch by Type (p)]]) &lt;&gt; 0, COUNTIF(SelectedPrecincts[Batch Name],SamplingData[[#This Row],[Batch by Type (p)]]), 0)</f>
        <v>0</v>
      </c>
    </row>
    <row r="270" spans="1:36" ht="15" customHeight="1" x14ac:dyDescent="0.35">
      <c r="A270" s="97" t="s">
        <v>483</v>
      </c>
      <c r="B270" s="97">
        <v>183</v>
      </c>
      <c r="C270" s="97">
        <v>87</v>
      </c>
      <c r="D270" s="92"/>
      <c r="E270" s="92"/>
      <c r="F270" s="92"/>
      <c r="G270" s="96"/>
      <c r="H270" s="96"/>
      <c r="I270" s="92"/>
      <c r="J270" s="92"/>
      <c r="K270" s="92"/>
      <c r="L270" s="92"/>
      <c r="M270" s="92"/>
      <c r="N270" s="97">
        <v>0</v>
      </c>
      <c r="O270" s="97">
        <v>8</v>
      </c>
      <c r="P270" s="98">
        <f>SUM(SamplingData[[#This Row],[Winning Candidate]:[Under Votes]])</f>
        <v>278</v>
      </c>
      <c r="Q270" s="99">
        <f>IF(AND(SamplingData[[#This Row],[Total]]&lt;&gt; 0, NOT(ISBLANK(SamplingData[[#This Row],[Losing Candidate]]))),(SamplingData[[#This Row],[Total]]+SamplingData[[#This Row],[Winning Candidate]]-SamplingData[[#This Row],[Losing Candidate]])/(SamplingData[[#Totals],[Winning Candidate]]-SamplingData[[#Totals],[Losing Candidate]]), 0)</f>
        <v>1.587166864708878E-2</v>
      </c>
      <c r="R270" s="99">
        <f>IF(AND(SamplingData[[#This Row],[Total]]&lt;&gt; 0, NOT(ISBLANK(SamplingData[[#This Row],[Candidate 3]]))),(SamplingData[[#This Row],[Total]]+SamplingData[[#This Row],[Winning Candidate]]-SamplingData[[#This Row],[Candidate 3]])/(SamplingData[[#Totals],[Winning Candidate]]-SamplingData[[#Totals],[Candidate 3]]), 0)</f>
        <v>0</v>
      </c>
      <c r="S270" s="99">
        <f>IF(AND(SamplingData[[#This Row],[Total]]&lt;&gt; 0, NOT(ISBLANK(SamplingData[[#This Row],[Candidate 4]]))),(SamplingData[[#This Row],[Total]]+SamplingData[[#This Row],[Winning Candidate]]-SamplingData[[#This Row],[Candidate 4]])/(SamplingData[[#Totals],[Winning Candidate]]-SamplingData[[#Totals],[Candidate 4]]), 0)</f>
        <v>0</v>
      </c>
      <c r="T270" s="99">
        <f>IF(AND(SamplingData[[#This Row],[Total]]&lt;&gt; 0, NOT(ISBLANK(SamplingData[[#This Row],[Candidate 5]]))),(SamplingData[[#This Row],[Total]]+SamplingData[[#This Row],[Winning Candidate]]-SamplingData[[#This Row],[Candidate 5]])/(SamplingData[[#Totals],[Winning Candidate]]-SamplingData[[#Totals],[Candidate 5]]), 0)</f>
        <v>0</v>
      </c>
      <c r="U270" s="99">
        <f>IF(AND(SamplingData[[#This Row],[Total]]&lt;&gt; 0, NOT(ISBLANK(SamplingData[[#This Row],[Candidate 6]]))),(SamplingData[[#This Row],[Total]]+SamplingData[[#This Row],[Losing Candidate]]-SamplingData[[#This Row],[Candidate 6]])/(SamplingData[[#Totals],[Winning Candidate]]-SamplingData[[#Totals],[Candidate 6]]), 0)</f>
        <v>0</v>
      </c>
      <c r="V270" s="99">
        <f>IF(AND(SamplingData[[#This Row],[Total]]&lt;&gt; 0, NOT(ISBLANK(SamplingData[[#This Row],[Candidate 7]]))),(SamplingData[[#This Row],[Total]]+SamplingData[[#This Row],[Winning Candidate]]-SamplingData[[#This Row],[Candidate 7]])/(SamplingData[[#Totals],[Winning Candidate]]-SamplingData[[#Totals],[Candidate 7]]), 0)</f>
        <v>0</v>
      </c>
      <c r="W270" s="99">
        <f>IF(AND(SamplingData[[#This Row],[Total]]&lt;&gt; 0, NOT(ISBLANK(SamplingData[[#This Row],[Candidate 8]]))),(SamplingData[[#This Row],[Total]]+SamplingData[[#This Row],[Winning Candidate]]-SamplingData[[#This Row],[Candidate 8]])/(SamplingData[[#Totals],[Winning Candidate]]-SamplingData[[#Totals],[Candidate 8]]), 0)</f>
        <v>0</v>
      </c>
      <c r="X2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0" s="99">
        <f>MAX(SamplingData[[#This Row],[Error Bound (up) - Max. possible relative overstatement - Losing Candidate]:[Error Bound (up) - Max. possible relative overstatement - Candidate 12]])</f>
        <v>1.587166864708878E-2</v>
      </c>
      <c r="AC270" s="99">
        <f>IF(SamplingData[[#This Row],[Max Error Bound (up)]] = 0,0,SamplingData[[#This Row],[Max Error Bound (up)]]/SamplingData[[#Totals],[Max Error Bound (up)]])</f>
        <v>8.4978369142400226E-4</v>
      </c>
      <c r="AD270" s="103">
        <f>SUM($AC$5:AC270)</f>
        <v>0.25866597593339902</v>
      </c>
      <c r="AE270" s="99" t="str" cm="1">
        <f t="array" ref="AE270">IF(SamplingData[[#This Row],[up/U Selection Probability]] = 0, "Zero", TEXT(SamplingData[[#This Row],[Lower Range]], REPT("0",LEN('General Info'!$B$42))) &amp; " - " &amp; TEXT(SamplingData[[#This Row],[Upper Range]], REPT("0",LEN('General Info'!$B$42))))</f>
        <v>257816 - 258665</v>
      </c>
      <c r="AF270" s="99">
        <f>SamplingData[[#This Row],[Upper Range]]-SamplingData[[#This Row],[Span]]</f>
        <v>257816.19224197502</v>
      </c>
      <c r="AG270" s="99">
        <f>IF(ISNUMBER('General Info'!$B$42), ((SamplingData[[#This Row],[up/U Selection Probability]]) * 'General Info'!$B$44) - 1, 0)</f>
        <v>848.78369142400231</v>
      </c>
      <c r="AH270" s="99">
        <f>IF(ISNUMBER('General Info'!$B$42), (SamplingData[[#This Row],[Running (cumulative) sum]] * ('General Info'!$B$42 -'General Info'!$B$43 + 1)) + 'General Info'!$B$43 - 1, 0)</f>
        <v>258664.97593339902</v>
      </c>
      <c r="AI270" s="99" t="str">
        <f>IF(ISERROR(MATCH(SamplingData[[#This Row],[Batch by Type (p)]],SelectedPrecincts[Batch Name], 0)), "", INDEX(SelectedPrecincts[Draw], MATCH(SamplingData[[#This Row],[Batch by Type (p)]],SelectedPrecincts[Batch Name], 0)))</f>
        <v/>
      </c>
      <c r="AJ270" s="100">
        <f>IF(COUNTIF(SelectedPrecincts[Batch Name],SamplingData[[#This Row],[Batch by Type (p)]]) &lt;&gt; 0, COUNTIF(SelectedPrecincts[Batch Name],SamplingData[[#This Row],[Batch by Type (p)]]), 0)</f>
        <v>0</v>
      </c>
    </row>
    <row r="271" spans="1:36" ht="15" customHeight="1" x14ac:dyDescent="0.35">
      <c r="A271" s="97" t="s">
        <v>484</v>
      </c>
      <c r="B271" s="97">
        <v>150</v>
      </c>
      <c r="C271" s="97">
        <v>48</v>
      </c>
      <c r="D271" s="92"/>
      <c r="E271" s="92"/>
      <c r="F271" s="92"/>
      <c r="G271" s="96"/>
      <c r="H271" s="96"/>
      <c r="I271" s="92"/>
      <c r="J271" s="92"/>
      <c r="K271" s="92"/>
      <c r="L271" s="92"/>
      <c r="M271" s="92"/>
      <c r="N271" s="97">
        <v>0</v>
      </c>
      <c r="O271" s="97">
        <v>6</v>
      </c>
      <c r="P271" s="98">
        <f>SUM(SamplingData[[#This Row],[Winning Candidate]:[Under Votes]])</f>
        <v>204</v>
      </c>
      <c r="Q271" s="99">
        <f>IF(AND(SamplingData[[#This Row],[Total]]&lt;&gt; 0, NOT(ISBLANK(SamplingData[[#This Row],[Losing Candidate]]))),(SamplingData[[#This Row],[Total]]+SamplingData[[#This Row],[Winning Candidate]]-SamplingData[[#This Row],[Losing Candidate]])/(SamplingData[[#Totals],[Winning Candidate]]-SamplingData[[#Totals],[Losing Candidate]]), 0)</f>
        <v>1.2985910711254456E-2</v>
      </c>
      <c r="R271" s="99">
        <f>IF(AND(SamplingData[[#This Row],[Total]]&lt;&gt; 0, NOT(ISBLANK(SamplingData[[#This Row],[Candidate 3]]))),(SamplingData[[#This Row],[Total]]+SamplingData[[#This Row],[Winning Candidate]]-SamplingData[[#This Row],[Candidate 3]])/(SamplingData[[#Totals],[Winning Candidate]]-SamplingData[[#Totals],[Candidate 3]]), 0)</f>
        <v>0</v>
      </c>
      <c r="S271" s="99">
        <f>IF(AND(SamplingData[[#This Row],[Total]]&lt;&gt; 0, NOT(ISBLANK(SamplingData[[#This Row],[Candidate 4]]))),(SamplingData[[#This Row],[Total]]+SamplingData[[#This Row],[Winning Candidate]]-SamplingData[[#This Row],[Candidate 4]])/(SamplingData[[#Totals],[Winning Candidate]]-SamplingData[[#Totals],[Candidate 4]]), 0)</f>
        <v>0</v>
      </c>
      <c r="T271" s="99">
        <f>IF(AND(SamplingData[[#This Row],[Total]]&lt;&gt; 0, NOT(ISBLANK(SamplingData[[#This Row],[Candidate 5]]))),(SamplingData[[#This Row],[Total]]+SamplingData[[#This Row],[Winning Candidate]]-SamplingData[[#This Row],[Candidate 5]])/(SamplingData[[#Totals],[Winning Candidate]]-SamplingData[[#Totals],[Candidate 5]]), 0)</f>
        <v>0</v>
      </c>
      <c r="U271" s="99">
        <f>IF(AND(SamplingData[[#This Row],[Total]]&lt;&gt; 0, NOT(ISBLANK(SamplingData[[#This Row],[Candidate 6]]))),(SamplingData[[#This Row],[Total]]+SamplingData[[#This Row],[Losing Candidate]]-SamplingData[[#This Row],[Candidate 6]])/(SamplingData[[#Totals],[Winning Candidate]]-SamplingData[[#Totals],[Candidate 6]]), 0)</f>
        <v>0</v>
      </c>
      <c r="V271" s="99">
        <f>IF(AND(SamplingData[[#This Row],[Total]]&lt;&gt; 0, NOT(ISBLANK(SamplingData[[#This Row],[Candidate 7]]))),(SamplingData[[#This Row],[Total]]+SamplingData[[#This Row],[Winning Candidate]]-SamplingData[[#This Row],[Candidate 7]])/(SamplingData[[#Totals],[Winning Candidate]]-SamplingData[[#Totals],[Candidate 7]]), 0)</f>
        <v>0</v>
      </c>
      <c r="W271" s="99">
        <f>IF(AND(SamplingData[[#This Row],[Total]]&lt;&gt; 0, NOT(ISBLANK(SamplingData[[#This Row],[Candidate 8]]))),(SamplingData[[#This Row],[Total]]+SamplingData[[#This Row],[Winning Candidate]]-SamplingData[[#This Row],[Candidate 8]])/(SamplingData[[#Totals],[Winning Candidate]]-SamplingData[[#Totals],[Candidate 8]]), 0)</f>
        <v>0</v>
      </c>
      <c r="X2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1" s="99">
        <f>MAX(SamplingData[[#This Row],[Error Bound (up) - Max. possible relative overstatement - Losing Candidate]:[Error Bound (up) - Max. possible relative overstatement - Candidate 12]])</f>
        <v>1.2985910711254456E-2</v>
      </c>
      <c r="AC271" s="99">
        <f>IF(SamplingData[[#This Row],[Max Error Bound (up)]] = 0,0,SamplingData[[#This Row],[Max Error Bound (up)]]/SamplingData[[#Totals],[Max Error Bound (up)]])</f>
        <v>6.9527756571054731E-4</v>
      </c>
      <c r="AD271" s="103">
        <f>SUM($AC$5:AC271)</f>
        <v>0.25936125349910955</v>
      </c>
      <c r="AE271" s="99" t="str" cm="1">
        <f t="array" ref="AE271">IF(SamplingData[[#This Row],[up/U Selection Probability]] = 0, "Zero", TEXT(SamplingData[[#This Row],[Lower Range]], REPT("0",LEN('General Info'!$B$42))) &amp; " - " &amp; TEXT(SamplingData[[#This Row],[Upper Range]], REPT("0",LEN('General Info'!$B$42))))</f>
        <v>258666 - 259360</v>
      </c>
      <c r="AF271" s="99">
        <f>SamplingData[[#This Row],[Upper Range]]-SamplingData[[#This Row],[Span]]</f>
        <v>258665.97593339899</v>
      </c>
      <c r="AG271" s="99">
        <f>IF(ISNUMBER('General Info'!$B$42), ((SamplingData[[#This Row],[up/U Selection Probability]]) * 'General Info'!$B$44) - 1, 0)</f>
        <v>694.27756571054726</v>
      </c>
      <c r="AH271" s="99">
        <f>IF(ISNUMBER('General Info'!$B$42), (SamplingData[[#This Row],[Running (cumulative) sum]] * ('General Info'!$B$42 -'General Info'!$B$43 + 1)) + 'General Info'!$B$43 - 1, 0)</f>
        <v>259360.25349910953</v>
      </c>
      <c r="AI271" s="99" t="str">
        <f>IF(ISERROR(MATCH(SamplingData[[#This Row],[Batch by Type (p)]],SelectedPrecincts[Batch Name], 0)), "", INDEX(SelectedPrecincts[Draw], MATCH(SamplingData[[#This Row],[Batch by Type (p)]],SelectedPrecincts[Batch Name], 0)))</f>
        <v/>
      </c>
      <c r="AJ271" s="100">
        <f>IF(COUNTIF(SelectedPrecincts[Batch Name],SamplingData[[#This Row],[Batch by Type (p)]]) &lt;&gt; 0, COUNTIF(SelectedPrecincts[Batch Name],SamplingData[[#This Row],[Batch by Type (p)]]), 0)</f>
        <v>0</v>
      </c>
    </row>
    <row r="272" spans="1:36" ht="15" customHeight="1" x14ac:dyDescent="0.35">
      <c r="A272" s="97" t="s">
        <v>485</v>
      </c>
      <c r="B272" s="97">
        <v>184</v>
      </c>
      <c r="C272" s="97">
        <v>50</v>
      </c>
      <c r="D272" s="92"/>
      <c r="E272" s="92"/>
      <c r="F272" s="92"/>
      <c r="G272" s="96"/>
      <c r="H272" s="96"/>
      <c r="I272" s="92"/>
      <c r="J272" s="92"/>
      <c r="K272" s="92"/>
      <c r="L272" s="92"/>
      <c r="M272" s="92"/>
      <c r="N272" s="97">
        <v>0</v>
      </c>
      <c r="O272" s="97">
        <v>6</v>
      </c>
      <c r="P272" s="98">
        <f>SUM(SamplingData[[#This Row],[Winning Candidate]:[Under Votes]])</f>
        <v>240</v>
      </c>
      <c r="Q272" s="99">
        <f>IF(AND(SamplingData[[#This Row],[Total]]&lt;&gt; 0, NOT(ISBLANK(SamplingData[[#This Row],[Losing Candidate]]))),(SamplingData[[#This Row],[Total]]+SamplingData[[#This Row],[Winning Candidate]]-SamplingData[[#This Row],[Losing Candidate]])/(SamplingData[[#Totals],[Winning Candidate]]-SamplingData[[#Totals],[Losing Candidate]]), 0)</f>
        <v>1.587166864708878E-2</v>
      </c>
      <c r="R272" s="99">
        <f>IF(AND(SamplingData[[#This Row],[Total]]&lt;&gt; 0, NOT(ISBLANK(SamplingData[[#This Row],[Candidate 3]]))),(SamplingData[[#This Row],[Total]]+SamplingData[[#This Row],[Winning Candidate]]-SamplingData[[#This Row],[Candidate 3]])/(SamplingData[[#Totals],[Winning Candidate]]-SamplingData[[#Totals],[Candidate 3]]), 0)</f>
        <v>0</v>
      </c>
      <c r="S272" s="99">
        <f>IF(AND(SamplingData[[#This Row],[Total]]&lt;&gt; 0, NOT(ISBLANK(SamplingData[[#This Row],[Candidate 4]]))),(SamplingData[[#This Row],[Total]]+SamplingData[[#This Row],[Winning Candidate]]-SamplingData[[#This Row],[Candidate 4]])/(SamplingData[[#Totals],[Winning Candidate]]-SamplingData[[#Totals],[Candidate 4]]), 0)</f>
        <v>0</v>
      </c>
      <c r="T272" s="99">
        <f>IF(AND(SamplingData[[#This Row],[Total]]&lt;&gt; 0, NOT(ISBLANK(SamplingData[[#This Row],[Candidate 5]]))),(SamplingData[[#This Row],[Total]]+SamplingData[[#This Row],[Winning Candidate]]-SamplingData[[#This Row],[Candidate 5]])/(SamplingData[[#Totals],[Winning Candidate]]-SamplingData[[#Totals],[Candidate 5]]), 0)</f>
        <v>0</v>
      </c>
      <c r="U272" s="99">
        <f>IF(AND(SamplingData[[#This Row],[Total]]&lt;&gt; 0, NOT(ISBLANK(SamplingData[[#This Row],[Candidate 6]]))),(SamplingData[[#This Row],[Total]]+SamplingData[[#This Row],[Losing Candidate]]-SamplingData[[#This Row],[Candidate 6]])/(SamplingData[[#Totals],[Winning Candidate]]-SamplingData[[#Totals],[Candidate 6]]), 0)</f>
        <v>0</v>
      </c>
      <c r="V272" s="99">
        <f>IF(AND(SamplingData[[#This Row],[Total]]&lt;&gt; 0, NOT(ISBLANK(SamplingData[[#This Row],[Candidate 7]]))),(SamplingData[[#This Row],[Total]]+SamplingData[[#This Row],[Winning Candidate]]-SamplingData[[#This Row],[Candidate 7]])/(SamplingData[[#Totals],[Winning Candidate]]-SamplingData[[#Totals],[Candidate 7]]), 0)</f>
        <v>0</v>
      </c>
      <c r="W272" s="99">
        <f>IF(AND(SamplingData[[#This Row],[Total]]&lt;&gt; 0, NOT(ISBLANK(SamplingData[[#This Row],[Candidate 8]]))),(SamplingData[[#This Row],[Total]]+SamplingData[[#This Row],[Winning Candidate]]-SamplingData[[#This Row],[Candidate 8]])/(SamplingData[[#Totals],[Winning Candidate]]-SamplingData[[#Totals],[Candidate 8]]), 0)</f>
        <v>0</v>
      </c>
      <c r="X2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2" s="99">
        <f>MAX(SamplingData[[#This Row],[Error Bound (up) - Max. possible relative overstatement - Losing Candidate]:[Error Bound (up) - Max. possible relative overstatement - Candidate 12]])</f>
        <v>1.587166864708878E-2</v>
      </c>
      <c r="AC272" s="99">
        <f>IF(SamplingData[[#This Row],[Max Error Bound (up)]] = 0,0,SamplingData[[#This Row],[Max Error Bound (up)]]/SamplingData[[#Totals],[Max Error Bound (up)]])</f>
        <v>8.4978369142400226E-4</v>
      </c>
      <c r="AD272" s="103">
        <f>SUM($AC$5:AC272)</f>
        <v>0.26021103719053357</v>
      </c>
      <c r="AE272" s="99" t="str" cm="1">
        <f t="array" ref="AE272">IF(SamplingData[[#This Row],[up/U Selection Probability]] = 0, "Zero", TEXT(SamplingData[[#This Row],[Lower Range]], REPT("0",LEN('General Info'!$B$42))) &amp; " - " &amp; TEXT(SamplingData[[#This Row],[Upper Range]], REPT("0",LEN('General Info'!$B$42))))</f>
        <v>259361 - 260210</v>
      </c>
      <c r="AF272" s="99">
        <f>SamplingData[[#This Row],[Upper Range]]-SamplingData[[#This Row],[Span]]</f>
        <v>259361.25349910956</v>
      </c>
      <c r="AG272" s="99">
        <f>IF(ISNUMBER('General Info'!$B$42), ((SamplingData[[#This Row],[up/U Selection Probability]]) * 'General Info'!$B$44) - 1, 0)</f>
        <v>848.78369142400231</v>
      </c>
      <c r="AH272" s="99">
        <f>IF(ISNUMBER('General Info'!$B$42), (SamplingData[[#This Row],[Running (cumulative) sum]] * ('General Info'!$B$42 -'General Info'!$B$43 + 1)) + 'General Info'!$B$43 - 1, 0)</f>
        <v>260210.03719053356</v>
      </c>
      <c r="AI272" s="99" t="str">
        <f>IF(ISERROR(MATCH(SamplingData[[#This Row],[Batch by Type (p)]],SelectedPrecincts[Batch Name], 0)), "", INDEX(SelectedPrecincts[Draw], MATCH(SamplingData[[#This Row],[Batch by Type (p)]],SelectedPrecincts[Batch Name], 0)))</f>
        <v/>
      </c>
      <c r="AJ272" s="100">
        <f>IF(COUNTIF(SelectedPrecincts[Batch Name],SamplingData[[#This Row],[Batch by Type (p)]]) &lt;&gt; 0, COUNTIF(SelectedPrecincts[Batch Name],SamplingData[[#This Row],[Batch by Type (p)]]), 0)</f>
        <v>0</v>
      </c>
    </row>
    <row r="273" spans="1:36" ht="15" customHeight="1" x14ac:dyDescent="0.35">
      <c r="A273" s="97" t="s">
        <v>486</v>
      </c>
      <c r="B273" s="97">
        <v>198</v>
      </c>
      <c r="C273" s="97">
        <v>90</v>
      </c>
      <c r="D273" s="92"/>
      <c r="E273" s="92"/>
      <c r="F273" s="92"/>
      <c r="G273" s="96"/>
      <c r="H273" s="96"/>
      <c r="I273" s="92"/>
      <c r="J273" s="92"/>
      <c r="K273" s="92"/>
      <c r="L273" s="92"/>
      <c r="M273" s="92"/>
      <c r="N273" s="97">
        <v>0</v>
      </c>
      <c r="O273" s="97">
        <v>14</v>
      </c>
      <c r="P273" s="98">
        <f>SUM(SamplingData[[#This Row],[Winning Candidate]:[Under Votes]])</f>
        <v>302</v>
      </c>
      <c r="Q273" s="99">
        <f>IF(AND(SamplingData[[#This Row],[Total]]&lt;&gt; 0, NOT(ISBLANK(SamplingData[[#This Row],[Losing Candidate]]))),(SamplingData[[#This Row],[Total]]+SamplingData[[#This Row],[Winning Candidate]]-SamplingData[[#This Row],[Losing Candidate]])/(SamplingData[[#Totals],[Winning Candidate]]-SamplingData[[#Totals],[Losing Candidate]]), 0)</f>
        <v>1.7399422848412834E-2</v>
      </c>
      <c r="R273" s="99">
        <f>IF(AND(SamplingData[[#This Row],[Total]]&lt;&gt; 0, NOT(ISBLANK(SamplingData[[#This Row],[Candidate 3]]))),(SamplingData[[#This Row],[Total]]+SamplingData[[#This Row],[Winning Candidate]]-SamplingData[[#This Row],[Candidate 3]])/(SamplingData[[#Totals],[Winning Candidate]]-SamplingData[[#Totals],[Candidate 3]]), 0)</f>
        <v>0</v>
      </c>
      <c r="S273" s="99">
        <f>IF(AND(SamplingData[[#This Row],[Total]]&lt;&gt; 0, NOT(ISBLANK(SamplingData[[#This Row],[Candidate 4]]))),(SamplingData[[#This Row],[Total]]+SamplingData[[#This Row],[Winning Candidate]]-SamplingData[[#This Row],[Candidate 4]])/(SamplingData[[#Totals],[Winning Candidate]]-SamplingData[[#Totals],[Candidate 4]]), 0)</f>
        <v>0</v>
      </c>
      <c r="T273" s="99">
        <f>IF(AND(SamplingData[[#This Row],[Total]]&lt;&gt; 0, NOT(ISBLANK(SamplingData[[#This Row],[Candidate 5]]))),(SamplingData[[#This Row],[Total]]+SamplingData[[#This Row],[Winning Candidate]]-SamplingData[[#This Row],[Candidate 5]])/(SamplingData[[#Totals],[Winning Candidate]]-SamplingData[[#Totals],[Candidate 5]]), 0)</f>
        <v>0</v>
      </c>
      <c r="U273" s="99">
        <f>IF(AND(SamplingData[[#This Row],[Total]]&lt;&gt; 0, NOT(ISBLANK(SamplingData[[#This Row],[Candidate 6]]))),(SamplingData[[#This Row],[Total]]+SamplingData[[#This Row],[Losing Candidate]]-SamplingData[[#This Row],[Candidate 6]])/(SamplingData[[#Totals],[Winning Candidate]]-SamplingData[[#Totals],[Candidate 6]]), 0)</f>
        <v>0</v>
      </c>
      <c r="V273" s="99">
        <f>IF(AND(SamplingData[[#This Row],[Total]]&lt;&gt; 0, NOT(ISBLANK(SamplingData[[#This Row],[Candidate 7]]))),(SamplingData[[#This Row],[Total]]+SamplingData[[#This Row],[Winning Candidate]]-SamplingData[[#This Row],[Candidate 7]])/(SamplingData[[#Totals],[Winning Candidate]]-SamplingData[[#Totals],[Candidate 7]]), 0)</f>
        <v>0</v>
      </c>
      <c r="W273" s="99">
        <f>IF(AND(SamplingData[[#This Row],[Total]]&lt;&gt; 0, NOT(ISBLANK(SamplingData[[#This Row],[Candidate 8]]))),(SamplingData[[#This Row],[Total]]+SamplingData[[#This Row],[Winning Candidate]]-SamplingData[[#This Row],[Candidate 8]])/(SamplingData[[#Totals],[Winning Candidate]]-SamplingData[[#Totals],[Candidate 8]]), 0)</f>
        <v>0</v>
      </c>
      <c r="X2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3" s="99">
        <f>MAX(SamplingData[[#This Row],[Error Bound (up) - Max. possible relative overstatement - Losing Candidate]:[Error Bound (up) - Max. possible relative overstatement - Candidate 12]])</f>
        <v>1.7399422848412834E-2</v>
      </c>
      <c r="AC273" s="99">
        <f>IF(SamplingData[[#This Row],[Max Error Bound (up)]] = 0,0,SamplingData[[#This Row],[Max Error Bound (up)]]/SamplingData[[#Totals],[Max Error Bound (up)]])</f>
        <v>9.3158105209583135E-4</v>
      </c>
      <c r="AD273" s="103">
        <f>SUM($AC$5:AC273)</f>
        <v>0.26114261824262941</v>
      </c>
      <c r="AE273" s="99" t="str" cm="1">
        <f t="array" ref="AE273">IF(SamplingData[[#This Row],[up/U Selection Probability]] = 0, "Zero", TEXT(SamplingData[[#This Row],[Lower Range]], REPT("0",LEN('General Info'!$B$42))) &amp; " - " &amp; TEXT(SamplingData[[#This Row],[Upper Range]], REPT("0",LEN('General Info'!$B$42))))</f>
        <v>260211 - 261142</v>
      </c>
      <c r="AF273" s="99">
        <f>SamplingData[[#This Row],[Upper Range]]-SamplingData[[#This Row],[Span]]</f>
        <v>260211.03719053356</v>
      </c>
      <c r="AG273" s="99">
        <f>IF(ISNUMBER('General Info'!$B$42), ((SamplingData[[#This Row],[up/U Selection Probability]]) * 'General Info'!$B$44) - 1, 0)</f>
        <v>930.5810520958313</v>
      </c>
      <c r="AH273" s="99">
        <f>IF(ISNUMBER('General Info'!$B$42), (SamplingData[[#This Row],[Running (cumulative) sum]] * ('General Info'!$B$42 -'General Info'!$B$43 + 1)) + 'General Info'!$B$43 - 1, 0)</f>
        <v>261141.6182426294</v>
      </c>
      <c r="AI273" s="99" t="str">
        <f>IF(ISERROR(MATCH(SamplingData[[#This Row],[Batch by Type (p)]],SelectedPrecincts[Batch Name], 0)), "", INDEX(SelectedPrecincts[Draw], MATCH(SamplingData[[#This Row],[Batch by Type (p)]],SelectedPrecincts[Batch Name], 0)))</f>
        <v/>
      </c>
      <c r="AJ273" s="100">
        <f>IF(COUNTIF(SelectedPrecincts[Batch Name],SamplingData[[#This Row],[Batch by Type (p)]]) &lt;&gt; 0, COUNTIF(SelectedPrecincts[Batch Name],SamplingData[[#This Row],[Batch by Type (p)]]), 0)</f>
        <v>0</v>
      </c>
    </row>
    <row r="274" spans="1:36" ht="15" customHeight="1" x14ac:dyDescent="0.35">
      <c r="A274" s="97" t="s">
        <v>487</v>
      </c>
      <c r="B274" s="97">
        <v>95</v>
      </c>
      <c r="C274" s="97">
        <v>37</v>
      </c>
      <c r="D274" s="92"/>
      <c r="E274" s="92"/>
      <c r="F274" s="92"/>
      <c r="G274" s="96"/>
      <c r="H274" s="96"/>
      <c r="I274" s="92"/>
      <c r="J274" s="92"/>
      <c r="K274" s="92"/>
      <c r="L274" s="92"/>
      <c r="M274" s="92"/>
      <c r="N274" s="97">
        <v>0</v>
      </c>
      <c r="O274" s="97">
        <v>7</v>
      </c>
      <c r="P274" s="98">
        <f>SUM(SamplingData[[#This Row],[Winning Candidate]:[Under Votes]])</f>
        <v>139</v>
      </c>
      <c r="Q274" s="99">
        <f>IF(AND(SamplingData[[#This Row],[Total]]&lt;&gt; 0, NOT(ISBLANK(SamplingData[[#This Row],[Losing Candidate]]))),(SamplingData[[#This Row],[Total]]+SamplingData[[#This Row],[Winning Candidate]]-SamplingData[[#This Row],[Losing Candidate]])/(SamplingData[[#Totals],[Winning Candidate]]-SamplingData[[#Totals],[Losing Candidate]]), 0)</f>
        <v>8.3602104905788482E-3</v>
      </c>
      <c r="R274" s="99">
        <f>IF(AND(SamplingData[[#This Row],[Total]]&lt;&gt; 0, NOT(ISBLANK(SamplingData[[#This Row],[Candidate 3]]))),(SamplingData[[#This Row],[Total]]+SamplingData[[#This Row],[Winning Candidate]]-SamplingData[[#This Row],[Candidate 3]])/(SamplingData[[#Totals],[Winning Candidate]]-SamplingData[[#Totals],[Candidate 3]]), 0)</f>
        <v>0</v>
      </c>
      <c r="S274" s="99">
        <f>IF(AND(SamplingData[[#This Row],[Total]]&lt;&gt; 0, NOT(ISBLANK(SamplingData[[#This Row],[Candidate 4]]))),(SamplingData[[#This Row],[Total]]+SamplingData[[#This Row],[Winning Candidate]]-SamplingData[[#This Row],[Candidate 4]])/(SamplingData[[#Totals],[Winning Candidate]]-SamplingData[[#Totals],[Candidate 4]]), 0)</f>
        <v>0</v>
      </c>
      <c r="T274" s="99">
        <f>IF(AND(SamplingData[[#This Row],[Total]]&lt;&gt; 0, NOT(ISBLANK(SamplingData[[#This Row],[Candidate 5]]))),(SamplingData[[#This Row],[Total]]+SamplingData[[#This Row],[Winning Candidate]]-SamplingData[[#This Row],[Candidate 5]])/(SamplingData[[#Totals],[Winning Candidate]]-SamplingData[[#Totals],[Candidate 5]]), 0)</f>
        <v>0</v>
      </c>
      <c r="U274" s="99">
        <f>IF(AND(SamplingData[[#This Row],[Total]]&lt;&gt; 0, NOT(ISBLANK(SamplingData[[#This Row],[Candidate 6]]))),(SamplingData[[#This Row],[Total]]+SamplingData[[#This Row],[Losing Candidate]]-SamplingData[[#This Row],[Candidate 6]])/(SamplingData[[#Totals],[Winning Candidate]]-SamplingData[[#Totals],[Candidate 6]]), 0)</f>
        <v>0</v>
      </c>
      <c r="V274" s="99">
        <f>IF(AND(SamplingData[[#This Row],[Total]]&lt;&gt; 0, NOT(ISBLANK(SamplingData[[#This Row],[Candidate 7]]))),(SamplingData[[#This Row],[Total]]+SamplingData[[#This Row],[Winning Candidate]]-SamplingData[[#This Row],[Candidate 7]])/(SamplingData[[#Totals],[Winning Candidate]]-SamplingData[[#Totals],[Candidate 7]]), 0)</f>
        <v>0</v>
      </c>
      <c r="W274" s="99">
        <f>IF(AND(SamplingData[[#This Row],[Total]]&lt;&gt; 0, NOT(ISBLANK(SamplingData[[#This Row],[Candidate 8]]))),(SamplingData[[#This Row],[Total]]+SamplingData[[#This Row],[Winning Candidate]]-SamplingData[[#This Row],[Candidate 8]])/(SamplingData[[#Totals],[Winning Candidate]]-SamplingData[[#Totals],[Candidate 8]]), 0)</f>
        <v>0</v>
      </c>
      <c r="X2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4" s="99">
        <f>MAX(SamplingData[[#This Row],[Error Bound (up) - Max. possible relative overstatement - Losing Candidate]:[Error Bound (up) - Max. possible relative overstatement - Candidate 12]])</f>
        <v>8.3602104905788482E-3</v>
      </c>
      <c r="AC274" s="99">
        <f>IF(SamplingData[[#This Row],[Max Error Bound (up)]] = 0,0,SamplingData[[#This Row],[Max Error Bound (up)]]/SamplingData[[#Totals],[Max Error Bound (up)]])</f>
        <v>4.4761333478750916E-4</v>
      </c>
      <c r="AD274" s="103">
        <f>SUM($AC$5:AC274)</f>
        <v>0.2615902315774169</v>
      </c>
      <c r="AE274" s="99" t="str" cm="1">
        <f t="array" ref="AE274">IF(SamplingData[[#This Row],[up/U Selection Probability]] = 0, "Zero", TEXT(SamplingData[[#This Row],[Lower Range]], REPT("0",LEN('General Info'!$B$42))) &amp; " - " &amp; TEXT(SamplingData[[#This Row],[Upper Range]], REPT("0",LEN('General Info'!$B$42))))</f>
        <v>261143 - 261589</v>
      </c>
      <c r="AF274" s="99">
        <f>SamplingData[[#This Row],[Upper Range]]-SamplingData[[#This Row],[Span]]</f>
        <v>261142.6182426294</v>
      </c>
      <c r="AG274" s="99">
        <f>IF(ISNUMBER('General Info'!$B$42), ((SamplingData[[#This Row],[up/U Selection Probability]]) * 'General Info'!$B$44) - 1, 0)</f>
        <v>446.61333478750913</v>
      </c>
      <c r="AH274" s="99">
        <f>IF(ISNUMBER('General Info'!$B$42), (SamplingData[[#This Row],[Running (cumulative) sum]] * ('General Info'!$B$42 -'General Info'!$B$43 + 1)) + 'General Info'!$B$43 - 1, 0)</f>
        <v>261589.23157741691</v>
      </c>
      <c r="AI274" s="99" t="str">
        <f>IF(ISERROR(MATCH(SamplingData[[#This Row],[Batch by Type (p)]],SelectedPrecincts[Batch Name], 0)), "", INDEX(SelectedPrecincts[Draw], MATCH(SamplingData[[#This Row],[Batch by Type (p)]],SelectedPrecincts[Batch Name], 0)))</f>
        <v/>
      </c>
      <c r="AJ274" s="100">
        <f>IF(COUNTIF(SelectedPrecincts[Batch Name],SamplingData[[#This Row],[Batch by Type (p)]]) &lt;&gt; 0, COUNTIF(SelectedPrecincts[Batch Name],SamplingData[[#This Row],[Batch by Type (p)]]), 0)</f>
        <v>0</v>
      </c>
    </row>
    <row r="275" spans="1:36" ht="15" customHeight="1" x14ac:dyDescent="0.35">
      <c r="A275" s="97" t="s">
        <v>488</v>
      </c>
      <c r="B275" s="97">
        <v>175</v>
      </c>
      <c r="C275" s="97">
        <v>28</v>
      </c>
      <c r="D275" s="92"/>
      <c r="E275" s="92"/>
      <c r="F275" s="92"/>
      <c r="G275" s="96"/>
      <c r="H275" s="96"/>
      <c r="I275" s="92"/>
      <c r="J275" s="92"/>
      <c r="K275" s="92"/>
      <c r="L275" s="92"/>
      <c r="M275" s="92"/>
      <c r="N275" s="97">
        <v>0</v>
      </c>
      <c r="O275" s="97">
        <v>11</v>
      </c>
      <c r="P275" s="98">
        <f>SUM(SamplingData[[#This Row],[Winning Candidate]:[Under Votes]])</f>
        <v>214</v>
      </c>
      <c r="Q275" s="99">
        <f>IF(AND(SamplingData[[#This Row],[Total]]&lt;&gt; 0, NOT(ISBLANK(SamplingData[[#This Row],[Losing Candidate]]))),(SamplingData[[#This Row],[Total]]+SamplingData[[#This Row],[Winning Candidate]]-SamplingData[[#This Row],[Losing Candidate]])/(SamplingData[[#Totals],[Winning Candidate]]-SamplingData[[#Totals],[Losing Candidate]]), 0)</f>
        <v>1.5319979629943982E-2</v>
      </c>
      <c r="R275" s="99">
        <f>IF(AND(SamplingData[[#This Row],[Total]]&lt;&gt; 0, NOT(ISBLANK(SamplingData[[#This Row],[Candidate 3]]))),(SamplingData[[#This Row],[Total]]+SamplingData[[#This Row],[Winning Candidate]]-SamplingData[[#This Row],[Candidate 3]])/(SamplingData[[#Totals],[Winning Candidate]]-SamplingData[[#Totals],[Candidate 3]]), 0)</f>
        <v>0</v>
      </c>
      <c r="S275" s="99">
        <f>IF(AND(SamplingData[[#This Row],[Total]]&lt;&gt; 0, NOT(ISBLANK(SamplingData[[#This Row],[Candidate 4]]))),(SamplingData[[#This Row],[Total]]+SamplingData[[#This Row],[Winning Candidate]]-SamplingData[[#This Row],[Candidate 4]])/(SamplingData[[#Totals],[Winning Candidate]]-SamplingData[[#Totals],[Candidate 4]]), 0)</f>
        <v>0</v>
      </c>
      <c r="T275" s="99">
        <f>IF(AND(SamplingData[[#This Row],[Total]]&lt;&gt; 0, NOT(ISBLANK(SamplingData[[#This Row],[Candidate 5]]))),(SamplingData[[#This Row],[Total]]+SamplingData[[#This Row],[Winning Candidate]]-SamplingData[[#This Row],[Candidate 5]])/(SamplingData[[#Totals],[Winning Candidate]]-SamplingData[[#Totals],[Candidate 5]]), 0)</f>
        <v>0</v>
      </c>
      <c r="U275" s="99">
        <f>IF(AND(SamplingData[[#This Row],[Total]]&lt;&gt; 0, NOT(ISBLANK(SamplingData[[#This Row],[Candidate 6]]))),(SamplingData[[#This Row],[Total]]+SamplingData[[#This Row],[Losing Candidate]]-SamplingData[[#This Row],[Candidate 6]])/(SamplingData[[#Totals],[Winning Candidate]]-SamplingData[[#Totals],[Candidate 6]]), 0)</f>
        <v>0</v>
      </c>
      <c r="V275" s="99">
        <f>IF(AND(SamplingData[[#This Row],[Total]]&lt;&gt; 0, NOT(ISBLANK(SamplingData[[#This Row],[Candidate 7]]))),(SamplingData[[#This Row],[Total]]+SamplingData[[#This Row],[Winning Candidate]]-SamplingData[[#This Row],[Candidate 7]])/(SamplingData[[#Totals],[Winning Candidate]]-SamplingData[[#Totals],[Candidate 7]]), 0)</f>
        <v>0</v>
      </c>
      <c r="W275" s="99">
        <f>IF(AND(SamplingData[[#This Row],[Total]]&lt;&gt; 0, NOT(ISBLANK(SamplingData[[#This Row],[Candidate 8]]))),(SamplingData[[#This Row],[Total]]+SamplingData[[#This Row],[Winning Candidate]]-SamplingData[[#This Row],[Candidate 8]])/(SamplingData[[#Totals],[Winning Candidate]]-SamplingData[[#Totals],[Candidate 8]]), 0)</f>
        <v>0</v>
      </c>
      <c r="X2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5" s="99">
        <f>MAX(SamplingData[[#This Row],[Error Bound (up) - Max. possible relative overstatement - Losing Candidate]:[Error Bound (up) - Max. possible relative overstatement - Candidate 12]])</f>
        <v>1.5319979629943982E-2</v>
      </c>
      <c r="AC275" s="99">
        <f>IF(SamplingData[[#This Row],[Max Error Bound (up)]] = 0,0,SamplingData[[#This Row],[Max Error Bound (up)]]/SamplingData[[#Totals],[Max Error Bound (up)]])</f>
        <v>8.2024575562584167E-4</v>
      </c>
      <c r="AD275" s="103">
        <f>SUM($AC$5:AC275)</f>
        <v>0.26241047733304274</v>
      </c>
      <c r="AE275" s="99" t="str" cm="1">
        <f t="array" ref="AE275">IF(SamplingData[[#This Row],[up/U Selection Probability]] = 0, "Zero", TEXT(SamplingData[[#This Row],[Lower Range]], REPT("0",LEN('General Info'!$B$42))) &amp; " - " &amp; TEXT(SamplingData[[#This Row],[Upper Range]], REPT("0",LEN('General Info'!$B$42))))</f>
        <v>261590 - 262409</v>
      </c>
      <c r="AF275" s="99">
        <f>SamplingData[[#This Row],[Upper Range]]-SamplingData[[#This Row],[Span]]</f>
        <v>261590.23157741688</v>
      </c>
      <c r="AG275" s="99">
        <f>IF(ISNUMBER('General Info'!$B$42), ((SamplingData[[#This Row],[up/U Selection Probability]]) * 'General Info'!$B$44) - 1, 0)</f>
        <v>819.24575562584164</v>
      </c>
      <c r="AH275" s="99">
        <f>IF(ISNUMBER('General Info'!$B$42), (SamplingData[[#This Row],[Running (cumulative) sum]] * ('General Info'!$B$42 -'General Info'!$B$43 + 1)) + 'General Info'!$B$43 - 1, 0)</f>
        <v>262409.47733304271</v>
      </c>
      <c r="AI275" s="99" t="str">
        <f>IF(ISERROR(MATCH(SamplingData[[#This Row],[Batch by Type (p)]],SelectedPrecincts[Batch Name], 0)), "", INDEX(SelectedPrecincts[Draw], MATCH(SamplingData[[#This Row],[Batch by Type (p)]],SelectedPrecincts[Batch Name], 0)))</f>
        <v/>
      </c>
      <c r="AJ275" s="100">
        <f>IF(COUNTIF(SelectedPrecincts[Batch Name],SamplingData[[#This Row],[Batch by Type (p)]]) &lt;&gt; 0, COUNTIF(SelectedPrecincts[Batch Name],SamplingData[[#This Row],[Batch by Type (p)]]), 0)</f>
        <v>0</v>
      </c>
    </row>
    <row r="276" spans="1:36" ht="15" customHeight="1" x14ac:dyDescent="0.35">
      <c r="A276" s="97" t="s">
        <v>489</v>
      </c>
      <c r="B276" s="97">
        <v>170</v>
      </c>
      <c r="C276" s="97">
        <v>90</v>
      </c>
      <c r="D276" s="92"/>
      <c r="E276" s="92"/>
      <c r="F276" s="92"/>
      <c r="G276" s="96"/>
      <c r="H276" s="96"/>
      <c r="I276" s="92"/>
      <c r="J276" s="92"/>
      <c r="K276" s="92"/>
      <c r="L276" s="92"/>
      <c r="M276" s="92"/>
      <c r="N276" s="97">
        <v>0</v>
      </c>
      <c r="O276" s="97">
        <v>12</v>
      </c>
      <c r="P276" s="98">
        <f>SUM(SamplingData[[#This Row],[Winning Candidate]:[Under Votes]])</f>
        <v>272</v>
      </c>
      <c r="Q276" s="99">
        <f>IF(AND(SamplingData[[#This Row],[Total]]&lt;&gt; 0, NOT(ISBLANK(SamplingData[[#This Row],[Losing Candidate]]))),(SamplingData[[#This Row],[Total]]+SamplingData[[#This Row],[Winning Candidate]]-SamplingData[[#This Row],[Losing Candidate]])/(SamplingData[[#Totals],[Winning Candidate]]-SamplingData[[#Totals],[Losing Candidate]]), 0)</f>
        <v>1.4938041079612968E-2</v>
      </c>
      <c r="R276" s="99">
        <f>IF(AND(SamplingData[[#This Row],[Total]]&lt;&gt; 0, NOT(ISBLANK(SamplingData[[#This Row],[Candidate 3]]))),(SamplingData[[#This Row],[Total]]+SamplingData[[#This Row],[Winning Candidate]]-SamplingData[[#This Row],[Candidate 3]])/(SamplingData[[#Totals],[Winning Candidate]]-SamplingData[[#Totals],[Candidate 3]]), 0)</f>
        <v>0</v>
      </c>
      <c r="S276" s="99">
        <f>IF(AND(SamplingData[[#This Row],[Total]]&lt;&gt; 0, NOT(ISBLANK(SamplingData[[#This Row],[Candidate 4]]))),(SamplingData[[#This Row],[Total]]+SamplingData[[#This Row],[Winning Candidate]]-SamplingData[[#This Row],[Candidate 4]])/(SamplingData[[#Totals],[Winning Candidate]]-SamplingData[[#Totals],[Candidate 4]]), 0)</f>
        <v>0</v>
      </c>
      <c r="T276" s="99">
        <f>IF(AND(SamplingData[[#This Row],[Total]]&lt;&gt; 0, NOT(ISBLANK(SamplingData[[#This Row],[Candidate 5]]))),(SamplingData[[#This Row],[Total]]+SamplingData[[#This Row],[Winning Candidate]]-SamplingData[[#This Row],[Candidate 5]])/(SamplingData[[#Totals],[Winning Candidate]]-SamplingData[[#Totals],[Candidate 5]]), 0)</f>
        <v>0</v>
      </c>
      <c r="U276" s="99">
        <f>IF(AND(SamplingData[[#This Row],[Total]]&lt;&gt; 0, NOT(ISBLANK(SamplingData[[#This Row],[Candidate 6]]))),(SamplingData[[#This Row],[Total]]+SamplingData[[#This Row],[Losing Candidate]]-SamplingData[[#This Row],[Candidate 6]])/(SamplingData[[#Totals],[Winning Candidate]]-SamplingData[[#Totals],[Candidate 6]]), 0)</f>
        <v>0</v>
      </c>
      <c r="V276" s="99">
        <f>IF(AND(SamplingData[[#This Row],[Total]]&lt;&gt; 0, NOT(ISBLANK(SamplingData[[#This Row],[Candidate 7]]))),(SamplingData[[#This Row],[Total]]+SamplingData[[#This Row],[Winning Candidate]]-SamplingData[[#This Row],[Candidate 7]])/(SamplingData[[#Totals],[Winning Candidate]]-SamplingData[[#Totals],[Candidate 7]]), 0)</f>
        <v>0</v>
      </c>
      <c r="W276" s="99">
        <f>IF(AND(SamplingData[[#This Row],[Total]]&lt;&gt; 0, NOT(ISBLANK(SamplingData[[#This Row],[Candidate 8]]))),(SamplingData[[#This Row],[Total]]+SamplingData[[#This Row],[Winning Candidate]]-SamplingData[[#This Row],[Candidate 8]])/(SamplingData[[#Totals],[Winning Candidate]]-SamplingData[[#Totals],[Candidate 8]]), 0)</f>
        <v>0</v>
      </c>
      <c r="X2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6" s="99">
        <f>MAX(SamplingData[[#This Row],[Error Bound (up) - Max. possible relative overstatement - Losing Candidate]:[Error Bound (up) - Max. possible relative overstatement - Candidate 12]])</f>
        <v>1.4938041079612968E-2</v>
      </c>
      <c r="AC276" s="99">
        <f>IF(SamplingData[[#This Row],[Max Error Bound (up)]] = 0,0,SamplingData[[#This Row],[Max Error Bound (up)]]/SamplingData[[#Totals],[Max Error Bound (up)]])</f>
        <v>7.9979641545788443E-4</v>
      </c>
      <c r="AD276" s="103">
        <f>SUM($AC$5:AC276)</f>
        <v>0.26321027374850064</v>
      </c>
      <c r="AE276" s="99" t="str" cm="1">
        <f t="array" ref="AE276">IF(SamplingData[[#This Row],[up/U Selection Probability]] = 0, "Zero", TEXT(SamplingData[[#This Row],[Lower Range]], REPT("0",LEN('General Info'!$B$42))) &amp; " - " &amp; TEXT(SamplingData[[#This Row],[Upper Range]], REPT("0",LEN('General Info'!$B$42))))</f>
        <v>262410 - 263209</v>
      </c>
      <c r="AF276" s="99">
        <f>SamplingData[[#This Row],[Upper Range]]-SamplingData[[#This Row],[Span]]</f>
        <v>262410.47733304271</v>
      </c>
      <c r="AG276" s="99">
        <f>IF(ISNUMBER('General Info'!$B$42), ((SamplingData[[#This Row],[up/U Selection Probability]]) * 'General Info'!$B$44) - 1, 0)</f>
        <v>798.79641545788445</v>
      </c>
      <c r="AH276" s="99">
        <f>IF(ISNUMBER('General Info'!$B$42), (SamplingData[[#This Row],[Running (cumulative) sum]] * ('General Info'!$B$42 -'General Info'!$B$43 + 1)) + 'General Info'!$B$43 - 1, 0)</f>
        <v>263209.27374850062</v>
      </c>
      <c r="AI276" s="99" t="str">
        <f>IF(ISERROR(MATCH(SamplingData[[#This Row],[Batch by Type (p)]],SelectedPrecincts[Batch Name], 0)), "", INDEX(SelectedPrecincts[Draw], MATCH(SamplingData[[#This Row],[Batch by Type (p)]],SelectedPrecincts[Batch Name], 0)))</f>
        <v/>
      </c>
      <c r="AJ276" s="100">
        <f>IF(COUNTIF(SelectedPrecincts[Batch Name],SamplingData[[#This Row],[Batch by Type (p)]]) &lt;&gt; 0, COUNTIF(SelectedPrecincts[Batch Name],SamplingData[[#This Row],[Batch by Type (p)]]), 0)</f>
        <v>0</v>
      </c>
    </row>
    <row r="277" spans="1:36" ht="15" customHeight="1" x14ac:dyDescent="0.35">
      <c r="A277" s="97" t="s">
        <v>490</v>
      </c>
      <c r="B277" s="97">
        <v>166</v>
      </c>
      <c r="C277" s="97">
        <v>125</v>
      </c>
      <c r="D277" s="92"/>
      <c r="E277" s="92"/>
      <c r="F277" s="92"/>
      <c r="G277" s="96"/>
      <c r="H277" s="96"/>
      <c r="I277" s="92"/>
      <c r="J277" s="92"/>
      <c r="K277" s="92"/>
      <c r="L277" s="92"/>
      <c r="M277" s="92"/>
      <c r="N277" s="97">
        <v>0</v>
      </c>
      <c r="O277" s="97">
        <v>24</v>
      </c>
      <c r="P277" s="98">
        <f>SUM(SamplingData[[#This Row],[Winning Candidate]:[Under Votes]])</f>
        <v>315</v>
      </c>
      <c r="Q277" s="99">
        <f>IF(AND(SamplingData[[#This Row],[Total]]&lt;&gt; 0, NOT(ISBLANK(SamplingData[[#This Row],[Losing Candidate]]))),(SamplingData[[#This Row],[Total]]+SamplingData[[#This Row],[Winning Candidate]]-SamplingData[[#This Row],[Losing Candidate]])/(SamplingData[[#Totals],[Winning Candidate]]-SamplingData[[#Totals],[Losing Candidate]]), 0)</f>
        <v>1.5107791546426753E-2</v>
      </c>
      <c r="R277" s="99">
        <f>IF(AND(SamplingData[[#This Row],[Total]]&lt;&gt; 0, NOT(ISBLANK(SamplingData[[#This Row],[Candidate 3]]))),(SamplingData[[#This Row],[Total]]+SamplingData[[#This Row],[Winning Candidate]]-SamplingData[[#This Row],[Candidate 3]])/(SamplingData[[#Totals],[Winning Candidate]]-SamplingData[[#Totals],[Candidate 3]]), 0)</f>
        <v>0</v>
      </c>
      <c r="S277" s="99">
        <f>IF(AND(SamplingData[[#This Row],[Total]]&lt;&gt; 0, NOT(ISBLANK(SamplingData[[#This Row],[Candidate 4]]))),(SamplingData[[#This Row],[Total]]+SamplingData[[#This Row],[Winning Candidate]]-SamplingData[[#This Row],[Candidate 4]])/(SamplingData[[#Totals],[Winning Candidate]]-SamplingData[[#Totals],[Candidate 4]]), 0)</f>
        <v>0</v>
      </c>
      <c r="T277" s="99">
        <f>IF(AND(SamplingData[[#This Row],[Total]]&lt;&gt; 0, NOT(ISBLANK(SamplingData[[#This Row],[Candidate 5]]))),(SamplingData[[#This Row],[Total]]+SamplingData[[#This Row],[Winning Candidate]]-SamplingData[[#This Row],[Candidate 5]])/(SamplingData[[#Totals],[Winning Candidate]]-SamplingData[[#Totals],[Candidate 5]]), 0)</f>
        <v>0</v>
      </c>
      <c r="U277" s="99">
        <f>IF(AND(SamplingData[[#This Row],[Total]]&lt;&gt; 0, NOT(ISBLANK(SamplingData[[#This Row],[Candidate 6]]))),(SamplingData[[#This Row],[Total]]+SamplingData[[#This Row],[Losing Candidate]]-SamplingData[[#This Row],[Candidate 6]])/(SamplingData[[#Totals],[Winning Candidate]]-SamplingData[[#Totals],[Candidate 6]]), 0)</f>
        <v>0</v>
      </c>
      <c r="V277" s="99">
        <f>IF(AND(SamplingData[[#This Row],[Total]]&lt;&gt; 0, NOT(ISBLANK(SamplingData[[#This Row],[Candidate 7]]))),(SamplingData[[#This Row],[Total]]+SamplingData[[#This Row],[Winning Candidate]]-SamplingData[[#This Row],[Candidate 7]])/(SamplingData[[#Totals],[Winning Candidate]]-SamplingData[[#Totals],[Candidate 7]]), 0)</f>
        <v>0</v>
      </c>
      <c r="W277" s="99">
        <f>IF(AND(SamplingData[[#This Row],[Total]]&lt;&gt; 0, NOT(ISBLANK(SamplingData[[#This Row],[Candidate 8]]))),(SamplingData[[#This Row],[Total]]+SamplingData[[#This Row],[Winning Candidate]]-SamplingData[[#This Row],[Candidate 8]])/(SamplingData[[#Totals],[Winning Candidate]]-SamplingData[[#Totals],[Candidate 8]]), 0)</f>
        <v>0</v>
      </c>
      <c r="X2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7" s="99">
        <f>MAX(SamplingData[[#This Row],[Error Bound (up) - Max. possible relative overstatement - Losing Candidate]:[Error Bound (up) - Max. possible relative overstatement - Candidate 12]])</f>
        <v>1.5107791546426753E-2</v>
      </c>
      <c r="AC277" s="99">
        <f>IF(SamplingData[[#This Row],[Max Error Bound (up)]] = 0,0,SamplingData[[#This Row],[Max Error Bound (up)]]/SamplingData[[#Totals],[Max Error Bound (up)]])</f>
        <v>8.0888501108808777E-4</v>
      </c>
      <c r="AD277" s="103">
        <f>SUM($AC$5:AC277)</f>
        <v>0.26401915875958876</v>
      </c>
      <c r="AE277" s="99" t="str" cm="1">
        <f t="array" ref="AE277">IF(SamplingData[[#This Row],[up/U Selection Probability]] = 0, "Zero", TEXT(SamplingData[[#This Row],[Lower Range]], REPT("0",LEN('General Info'!$B$42))) &amp; " - " &amp; TEXT(SamplingData[[#This Row],[Upper Range]], REPT("0",LEN('General Info'!$B$42))))</f>
        <v>263210 - 264018</v>
      </c>
      <c r="AF277" s="99">
        <f>SamplingData[[#This Row],[Upper Range]]-SamplingData[[#This Row],[Span]]</f>
        <v>263210.27374850068</v>
      </c>
      <c r="AG277" s="99">
        <f>IF(ISNUMBER('General Info'!$B$42), ((SamplingData[[#This Row],[up/U Selection Probability]]) * 'General Info'!$B$44) - 1, 0)</f>
        <v>807.88501108808782</v>
      </c>
      <c r="AH277" s="99">
        <f>IF(ISNUMBER('General Info'!$B$42), (SamplingData[[#This Row],[Running (cumulative) sum]] * ('General Info'!$B$42 -'General Info'!$B$43 + 1)) + 'General Info'!$B$43 - 1, 0)</f>
        <v>264018.15875958878</v>
      </c>
      <c r="AI277" s="99" t="str">
        <f>IF(ISERROR(MATCH(SamplingData[[#This Row],[Batch by Type (p)]],SelectedPrecincts[Batch Name], 0)), "", INDEX(SelectedPrecincts[Draw], MATCH(SamplingData[[#This Row],[Batch by Type (p)]],SelectedPrecincts[Batch Name], 0)))</f>
        <v/>
      </c>
      <c r="AJ277" s="100">
        <f>IF(COUNTIF(SelectedPrecincts[Batch Name],SamplingData[[#This Row],[Batch by Type (p)]]) &lt;&gt; 0, COUNTIF(SelectedPrecincts[Batch Name],SamplingData[[#This Row],[Batch by Type (p)]]), 0)</f>
        <v>0</v>
      </c>
    </row>
    <row r="278" spans="1:36" ht="15" customHeight="1" x14ac:dyDescent="0.35">
      <c r="A278" s="97" t="s">
        <v>491</v>
      </c>
      <c r="B278" s="97">
        <v>191</v>
      </c>
      <c r="C278" s="97">
        <v>109</v>
      </c>
      <c r="D278" s="92"/>
      <c r="E278" s="92"/>
      <c r="F278" s="92"/>
      <c r="G278" s="96"/>
      <c r="H278" s="96"/>
      <c r="I278" s="92"/>
      <c r="J278" s="92"/>
      <c r="K278" s="92"/>
      <c r="L278" s="92"/>
      <c r="M278" s="92"/>
      <c r="N278" s="97">
        <v>0</v>
      </c>
      <c r="O278" s="97">
        <v>19</v>
      </c>
      <c r="P278" s="98">
        <f>SUM(SamplingData[[#This Row],[Winning Candidate]:[Under Votes]])</f>
        <v>319</v>
      </c>
      <c r="Q278" s="99">
        <f>IF(AND(SamplingData[[#This Row],[Total]]&lt;&gt; 0, NOT(ISBLANK(SamplingData[[#This Row],[Losing Candidate]]))),(SamplingData[[#This Row],[Total]]+SamplingData[[#This Row],[Winning Candidate]]-SamplingData[[#This Row],[Losing Candidate]])/(SamplingData[[#Totals],[Winning Candidate]]-SamplingData[[#Totals],[Losing Candidate]]), 0)</f>
        <v>1.7017484298081819E-2</v>
      </c>
      <c r="R278" s="99">
        <f>IF(AND(SamplingData[[#This Row],[Total]]&lt;&gt; 0, NOT(ISBLANK(SamplingData[[#This Row],[Candidate 3]]))),(SamplingData[[#This Row],[Total]]+SamplingData[[#This Row],[Winning Candidate]]-SamplingData[[#This Row],[Candidate 3]])/(SamplingData[[#Totals],[Winning Candidate]]-SamplingData[[#Totals],[Candidate 3]]), 0)</f>
        <v>0</v>
      </c>
      <c r="S278" s="99">
        <f>IF(AND(SamplingData[[#This Row],[Total]]&lt;&gt; 0, NOT(ISBLANK(SamplingData[[#This Row],[Candidate 4]]))),(SamplingData[[#This Row],[Total]]+SamplingData[[#This Row],[Winning Candidate]]-SamplingData[[#This Row],[Candidate 4]])/(SamplingData[[#Totals],[Winning Candidate]]-SamplingData[[#Totals],[Candidate 4]]), 0)</f>
        <v>0</v>
      </c>
      <c r="T278" s="99">
        <f>IF(AND(SamplingData[[#This Row],[Total]]&lt;&gt; 0, NOT(ISBLANK(SamplingData[[#This Row],[Candidate 5]]))),(SamplingData[[#This Row],[Total]]+SamplingData[[#This Row],[Winning Candidate]]-SamplingData[[#This Row],[Candidate 5]])/(SamplingData[[#Totals],[Winning Candidate]]-SamplingData[[#Totals],[Candidate 5]]), 0)</f>
        <v>0</v>
      </c>
      <c r="U278" s="99">
        <f>IF(AND(SamplingData[[#This Row],[Total]]&lt;&gt; 0, NOT(ISBLANK(SamplingData[[#This Row],[Candidate 6]]))),(SamplingData[[#This Row],[Total]]+SamplingData[[#This Row],[Losing Candidate]]-SamplingData[[#This Row],[Candidate 6]])/(SamplingData[[#Totals],[Winning Candidate]]-SamplingData[[#Totals],[Candidate 6]]), 0)</f>
        <v>0</v>
      </c>
      <c r="V278" s="99">
        <f>IF(AND(SamplingData[[#This Row],[Total]]&lt;&gt; 0, NOT(ISBLANK(SamplingData[[#This Row],[Candidate 7]]))),(SamplingData[[#This Row],[Total]]+SamplingData[[#This Row],[Winning Candidate]]-SamplingData[[#This Row],[Candidate 7]])/(SamplingData[[#Totals],[Winning Candidate]]-SamplingData[[#Totals],[Candidate 7]]), 0)</f>
        <v>0</v>
      </c>
      <c r="W278" s="99">
        <f>IF(AND(SamplingData[[#This Row],[Total]]&lt;&gt; 0, NOT(ISBLANK(SamplingData[[#This Row],[Candidate 8]]))),(SamplingData[[#This Row],[Total]]+SamplingData[[#This Row],[Winning Candidate]]-SamplingData[[#This Row],[Candidate 8]])/(SamplingData[[#Totals],[Winning Candidate]]-SamplingData[[#Totals],[Candidate 8]]), 0)</f>
        <v>0</v>
      </c>
      <c r="X2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8" s="99">
        <f>MAX(SamplingData[[#This Row],[Error Bound (up) - Max. possible relative overstatement - Losing Candidate]:[Error Bound (up) - Max. possible relative overstatement - Candidate 12]])</f>
        <v>1.7017484298081819E-2</v>
      </c>
      <c r="AC278" s="99">
        <f>IF(SamplingData[[#This Row],[Max Error Bound (up)]] = 0,0,SamplingData[[#This Row],[Max Error Bound (up)]]/SamplingData[[#Totals],[Max Error Bound (up)]])</f>
        <v>9.11131711927874E-4</v>
      </c>
      <c r="AD278" s="103">
        <f>SUM($AC$5:AC278)</f>
        <v>0.26493029047151662</v>
      </c>
      <c r="AE278" s="99" t="str" cm="1">
        <f t="array" ref="AE278">IF(SamplingData[[#This Row],[up/U Selection Probability]] = 0, "Zero", TEXT(SamplingData[[#This Row],[Lower Range]], REPT("0",LEN('General Info'!$B$42))) &amp; " - " &amp; TEXT(SamplingData[[#This Row],[Upper Range]], REPT("0",LEN('General Info'!$B$42))))</f>
        <v>264019 - 264929</v>
      </c>
      <c r="AF278" s="99">
        <f>SamplingData[[#This Row],[Upper Range]]-SamplingData[[#This Row],[Span]]</f>
        <v>264019.15875958872</v>
      </c>
      <c r="AG278" s="99">
        <f>IF(ISNUMBER('General Info'!$B$42), ((SamplingData[[#This Row],[up/U Selection Probability]]) * 'General Info'!$B$44) - 1, 0)</f>
        <v>910.13171192787399</v>
      </c>
      <c r="AH278" s="99">
        <f>IF(ISNUMBER('General Info'!$B$42), (SamplingData[[#This Row],[Running (cumulative) sum]] * ('General Info'!$B$42 -'General Info'!$B$43 + 1)) + 'General Info'!$B$43 - 1, 0)</f>
        <v>264929.29047151661</v>
      </c>
      <c r="AI278" s="99" t="str">
        <f>IF(ISERROR(MATCH(SamplingData[[#This Row],[Batch by Type (p)]],SelectedPrecincts[Batch Name], 0)), "", INDEX(SelectedPrecincts[Draw], MATCH(SamplingData[[#This Row],[Batch by Type (p)]],SelectedPrecincts[Batch Name], 0)))</f>
        <v/>
      </c>
      <c r="AJ278" s="100">
        <f>IF(COUNTIF(SelectedPrecincts[Batch Name],SamplingData[[#This Row],[Batch by Type (p)]]) &lt;&gt; 0, COUNTIF(SelectedPrecincts[Batch Name],SamplingData[[#This Row],[Batch by Type (p)]]), 0)</f>
        <v>0</v>
      </c>
    </row>
    <row r="279" spans="1:36" ht="15" customHeight="1" x14ac:dyDescent="0.35">
      <c r="A279" s="97" t="s">
        <v>492</v>
      </c>
      <c r="B279" s="97">
        <v>214</v>
      </c>
      <c r="C279" s="97">
        <v>119</v>
      </c>
      <c r="D279" s="92"/>
      <c r="E279" s="92"/>
      <c r="F279" s="92"/>
      <c r="G279" s="96"/>
      <c r="H279" s="96"/>
      <c r="I279" s="92"/>
      <c r="J279" s="92"/>
      <c r="K279" s="92"/>
      <c r="L279" s="92"/>
      <c r="M279" s="92"/>
      <c r="N279" s="97">
        <v>0</v>
      </c>
      <c r="O279" s="97">
        <v>18</v>
      </c>
      <c r="P279" s="98">
        <f>SUM(SamplingData[[#This Row],[Winning Candidate]:[Under Votes]])</f>
        <v>351</v>
      </c>
      <c r="Q279" s="99">
        <f>IF(AND(SamplingData[[#This Row],[Total]]&lt;&gt; 0, NOT(ISBLANK(SamplingData[[#This Row],[Losing Candidate]]))),(SamplingData[[#This Row],[Total]]+SamplingData[[#This Row],[Winning Candidate]]-SamplingData[[#This Row],[Losing Candidate]])/(SamplingData[[#Totals],[Winning Candidate]]-SamplingData[[#Totals],[Losing Candidate]]), 0)</f>
        <v>1.8927177049736888E-2</v>
      </c>
      <c r="R279" s="99">
        <f>IF(AND(SamplingData[[#This Row],[Total]]&lt;&gt; 0, NOT(ISBLANK(SamplingData[[#This Row],[Candidate 3]]))),(SamplingData[[#This Row],[Total]]+SamplingData[[#This Row],[Winning Candidate]]-SamplingData[[#This Row],[Candidate 3]])/(SamplingData[[#Totals],[Winning Candidate]]-SamplingData[[#Totals],[Candidate 3]]), 0)</f>
        <v>0</v>
      </c>
      <c r="S279" s="99">
        <f>IF(AND(SamplingData[[#This Row],[Total]]&lt;&gt; 0, NOT(ISBLANK(SamplingData[[#This Row],[Candidate 4]]))),(SamplingData[[#This Row],[Total]]+SamplingData[[#This Row],[Winning Candidate]]-SamplingData[[#This Row],[Candidate 4]])/(SamplingData[[#Totals],[Winning Candidate]]-SamplingData[[#Totals],[Candidate 4]]), 0)</f>
        <v>0</v>
      </c>
      <c r="T279" s="99">
        <f>IF(AND(SamplingData[[#This Row],[Total]]&lt;&gt; 0, NOT(ISBLANK(SamplingData[[#This Row],[Candidate 5]]))),(SamplingData[[#This Row],[Total]]+SamplingData[[#This Row],[Winning Candidate]]-SamplingData[[#This Row],[Candidate 5]])/(SamplingData[[#Totals],[Winning Candidate]]-SamplingData[[#Totals],[Candidate 5]]), 0)</f>
        <v>0</v>
      </c>
      <c r="U279" s="99">
        <f>IF(AND(SamplingData[[#This Row],[Total]]&lt;&gt; 0, NOT(ISBLANK(SamplingData[[#This Row],[Candidate 6]]))),(SamplingData[[#This Row],[Total]]+SamplingData[[#This Row],[Losing Candidate]]-SamplingData[[#This Row],[Candidate 6]])/(SamplingData[[#Totals],[Winning Candidate]]-SamplingData[[#Totals],[Candidate 6]]), 0)</f>
        <v>0</v>
      </c>
      <c r="V279" s="99">
        <f>IF(AND(SamplingData[[#This Row],[Total]]&lt;&gt; 0, NOT(ISBLANK(SamplingData[[#This Row],[Candidate 7]]))),(SamplingData[[#This Row],[Total]]+SamplingData[[#This Row],[Winning Candidate]]-SamplingData[[#This Row],[Candidate 7]])/(SamplingData[[#Totals],[Winning Candidate]]-SamplingData[[#Totals],[Candidate 7]]), 0)</f>
        <v>0</v>
      </c>
      <c r="W279" s="99">
        <f>IF(AND(SamplingData[[#This Row],[Total]]&lt;&gt; 0, NOT(ISBLANK(SamplingData[[#This Row],[Candidate 8]]))),(SamplingData[[#This Row],[Total]]+SamplingData[[#This Row],[Winning Candidate]]-SamplingData[[#This Row],[Candidate 8]])/(SamplingData[[#Totals],[Winning Candidate]]-SamplingData[[#Totals],[Candidate 8]]), 0)</f>
        <v>0</v>
      </c>
      <c r="X2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9" s="99">
        <f>MAX(SamplingData[[#This Row],[Error Bound (up) - Max. possible relative overstatement - Losing Candidate]:[Error Bound (up) - Max. possible relative overstatement - Candidate 12]])</f>
        <v>1.8927177049736888E-2</v>
      </c>
      <c r="AC279" s="99">
        <f>IF(SamplingData[[#This Row],[Max Error Bound (up)]] = 0,0,SamplingData[[#This Row],[Max Error Bound (up)]]/SamplingData[[#Totals],[Max Error Bound (up)]])</f>
        <v>1.0133784127676604E-3</v>
      </c>
      <c r="AD279" s="103">
        <f>SUM($AC$5:AC279)</f>
        <v>0.26594366888428428</v>
      </c>
      <c r="AE279" s="99" t="str" cm="1">
        <f t="array" ref="AE279">IF(SamplingData[[#This Row],[up/U Selection Probability]] = 0, "Zero", TEXT(SamplingData[[#This Row],[Lower Range]], REPT("0",LEN('General Info'!$B$42))) &amp; " - " &amp; TEXT(SamplingData[[#This Row],[Upper Range]], REPT("0",LEN('General Info'!$B$42))))</f>
        <v>264930 - 265943</v>
      </c>
      <c r="AF279" s="99">
        <f>SamplingData[[#This Row],[Upper Range]]-SamplingData[[#This Row],[Span]]</f>
        <v>264930.29047151661</v>
      </c>
      <c r="AG279" s="99">
        <f>IF(ISNUMBER('General Info'!$B$42), ((SamplingData[[#This Row],[up/U Selection Probability]]) * 'General Info'!$B$44) - 1, 0)</f>
        <v>1012.3784127676604</v>
      </c>
      <c r="AH279" s="99">
        <f>IF(ISNUMBER('General Info'!$B$42), (SamplingData[[#This Row],[Running (cumulative) sum]] * ('General Info'!$B$42 -'General Info'!$B$43 + 1)) + 'General Info'!$B$43 - 1, 0)</f>
        <v>265942.66888428427</v>
      </c>
      <c r="AI279" s="99" t="str">
        <f>IF(ISERROR(MATCH(SamplingData[[#This Row],[Batch by Type (p)]],SelectedPrecincts[Batch Name], 0)), "", INDEX(SelectedPrecincts[Draw], MATCH(SamplingData[[#This Row],[Batch by Type (p)]],SelectedPrecincts[Batch Name], 0)))</f>
        <v/>
      </c>
      <c r="AJ279" s="100">
        <f>IF(COUNTIF(SelectedPrecincts[Batch Name],SamplingData[[#This Row],[Batch by Type (p)]]) &lt;&gt; 0, COUNTIF(SelectedPrecincts[Batch Name],SamplingData[[#This Row],[Batch by Type (p)]]), 0)</f>
        <v>0</v>
      </c>
    </row>
    <row r="280" spans="1:36" ht="15" customHeight="1" x14ac:dyDescent="0.35">
      <c r="A280" s="97" t="s">
        <v>493</v>
      </c>
      <c r="B280" s="97">
        <v>225</v>
      </c>
      <c r="C280" s="97">
        <v>135</v>
      </c>
      <c r="D280" s="92"/>
      <c r="E280" s="92"/>
      <c r="F280" s="92"/>
      <c r="G280" s="96"/>
      <c r="H280" s="96"/>
      <c r="I280" s="92"/>
      <c r="J280" s="92"/>
      <c r="K280" s="92"/>
      <c r="L280" s="92"/>
      <c r="M280" s="92"/>
      <c r="N280" s="97">
        <v>0</v>
      </c>
      <c r="O280" s="97">
        <v>23</v>
      </c>
      <c r="P280" s="98">
        <f>SUM(SamplingData[[#This Row],[Winning Candidate]:[Under Votes]])</f>
        <v>383</v>
      </c>
      <c r="Q280" s="99">
        <f>IF(AND(SamplingData[[#This Row],[Total]]&lt;&gt; 0, NOT(ISBLANK(SamplingData[[#This Row],[Losing Candidate]]))),(SamplingData[[#This Row],[Total]]+SamplingData[[#This Row],[Winning Candidate]]-SamplingData[[#This Row],[Losing Candidate]])/(SamplingData[[#Totals],[Winning Candidate]]-SamplingData[[#Totals],[Losing Candidate]]), 0)</f>
        <v>2.0072992700729927E-2</v>
      </c>
      <c r="R280" s="99">
        <f>IF(AND(SamplingData[[#This Row],[Total]]&lt;&gt; 0, NOT(ISBLANK(SamplingData[[#This Row],[Candidate 3]]))),(SamplingData[[#This Row],[Total]]+SamplingData[[#This Row],[Winning Candidate]]-SamplingData[[#This Row],[Candidate 3]])/(SamplingData[[#Totals],[Winning Candidate]]-SamplingData[[#Totals],[Candidate 3]]), 0)</f>
        <v>0</v>
      </c>
      <c r="S280" s="99">
        <f>IF(AND(SamplingData[[#This Row],[Total]]&lt;&gt; 0, NOT(ISBLANK(SamplingData[[#This Row],[Candidate 4]]))),(SamplingData[[#This Row],[Total]]+SamplingData[[#This Row],[Winning Candidate]]-SamplingData[[#This Row],[Candidate 4]])/(SamplingData[[#Totals],[Winning Candidate]]-SamplingData[[#Totals],[Candidate 4]]), 0)</f>
        <v>0</v>
      </c>
      <c r="T280" s="99">
        <f>IF(AND(SamplingData[[#This Row],[Total]]&lt;&gt; 0, NOT(ISBLANK(SamplingData[[#This Row],[Candidate 5]]))),(SamplingData[[#This Row],[Total]]+SamplingData[[#This Row],[Winning Candidate]]-SamplingData[[#This Row],[Candidate 5]])/(SamplingData[[#Totals],[Winning Candidate]]-SamplingData[[#Totals],[Candidate 5]]), 0)</f>
        <v>0</v>
      </c>
      <c r="U280" s="99">
        <f>IF(AND(SamplingData[[#This Row],[Total]]&lt;&gt; 0, NOT(ISBLANK(SamplingData[[#This Row],[Candidate 6]]))),(SamplingData[[#This Row],[Total]]+SamplingData[[#This Row],[Losing Candidate]]-SamplingData[[#This Row],[Candidate 6]])/(SamplingData[[#Totals],[Winning Candidate]]-SamplingData[[#Totals],[Candidate 6]]), 0)</f>
        <v>0</v>
      </c>
      <c r="V280" s="99">
        <f>IF(AND(SamplingData[[#This Row],[Total]]&lt;&gt; 0, NOT(ISBLANK(SamplingData[[#This Row],[Candidate 7]]))),(SamplingData[[#This Row],[Total]]+SamplingData[[#This Row],[Winning Candidate]]-SamplingData[[#This Row],[Candidate 7]])/(SamplingData[[#Totals],[Winning Candidate]]-SamplingData[[#Totals],[Candidate 7]]), 0)</f>
        <v>0</v>
      </c>
      <c r="W280" s="99">
        <f>IF(AND(SamplingData[[#This Row],[Total]]&lt;&gt; 0, NOT(ISBLANK(SamplingData[[#This Row],[Candidate 8]]))),(SamplingData[[#This Row],[Total]]+SamplingData[[#This Row],[Winning Candidate]]-SamplingData[[#This Row],[Candidate 8]])/(SamplingData[[#Totals],[Winning Candidate]]-SamplingData[[#Totals],[Candidate 8]]), 0)</f>
        <v>0</v>
      </c>
      <c r="X2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0" s="99">
        <f>MAX(SamplingData[[#This Row],[Error Bound (up) - Max. possible relative overstatement - Losing Candidate]:[Error Bound (up) - Max. possible relative overstatement - Candidate 12]])</f>
        <v>2.0072992700729927E-2</v>
      </c>
      <c r="AC280" s="99">
        <f>IF(SamplingData[[#This Row],[Max Error Bound (up)]] = 0,0,SamplingData[[#This Row],[Max Error Bound (up)]]/SamplingData[[#Totals],[Max Error Bound (up)]])</f>
        <v>1.0747264332715322E-3</v>
      </c>
      <c r="AD280" s="103">
        <f>SUM($AC$5:AC280)</f>
        <v>0.26701839531755583</v>
      </c>
      <c r="AE280" s="99" t="str" cm="1">
        <f t="array" ref="AE280">IF(SamplingData[[#This Row],[up/U Selection Probability]] = 0, "Zero", TEXT(SamplingData[[#This Row],[Lower Range]], REPT("0",LEN('General Info'!$B$42))) &amp; " - " &amp; TEXT(SamplingData[[#This Row],[Upper Range]], REPT("0",LEN('General Info'!$B$42))))</f>
        <v>265944 - 267017</v>
      </c>
      <c r="AF280" s="99">
        <f>SamplingData[[#This Row],[Upper Range]]-SamplingData[[#This Row],[Span]]</f>
        <v>265943.66888428427</v>
      </c>
      <c r="AG280" s="99">
        <f>IF(ISNUMBER('General Info'!$B$42), ((SamplingData[[#This Row],[up/U Selection Probability]]) * 'General Info'!$B$44) - 1, 0)</f>
        <v>1073.7264332715322</v>
      </c>
      <c r="AH280" s="99">
        <f>IF(ISNUMBER('General Info'!$B$42), (SamplingData[[#This Row],[Running (cumulative) sum]] * ('General Info'!$B$42 -'General Info'!$B$43 + 1)) + 'General Info'!$B$43 - 1, 0)</f>
        <v>267017.39531755581</v>
      </c>
      <c r="AI280" s="99" t="str">
        <f>IF(ISERROR(MATCH(SamplingData[[#This Row],[Batch by Type (p)]],SelectedPrecincts[Batch Name], 0)), "", INDEX(SelectedPrecincts[Draw], MATCH(SamplingData[[#This Row],[Batch by Type (p)]],SelectedPrecincts[Batch Name], 0)))</f>
        <v/>
      </c>
      <c r="AJ280" s="100">
        <f>IF(COUNTIF(SelectedPrecincts[Batch Name],SamplingData[[#This Row],[Batch by Type (p)]]) &lt;&gt; 0, COUNTIF(SelectedPrecincts[Batch Name],SamplingData[[#This Row],[Batch by Type (p)]]), 0)</f>
        <v>0</v>
      </c>
    </row>
    <row r="281" spans="1:36" ht="15" customHeight="1" x14ac:dyDescent="0.35">
      <c r="A281" s="97" t="s">
        <v>494</v>
      </c>
      <c r="B281" s="97">
        <v>205</v>
      </c>
      <c r="C281" s="97">
        <v>155</v>
      </c>
      <c r="D281" s="92"/>
      <c r="E281" s="92"/>
      <c r="F281" s="92"/>
      <c r="G281" s="96"/>
      <c r="H281" s="96"/>
      <c r="I281" s="92"/>
      <c r="J281" s="92"/>
      <c r="K281" s="92"/>
      <c r="L281" s="92"/>
      <c r="M281" s="92"/>
      <c r="N281" s="97">
        <v>1</v>
      </c>
      <c r="O281" s="97">
        <v>29</v>
      </c>
      <c r="P281" s="98">
        <f>SUM(SamplingData[[#This Row],[Winning Candidate]:[Under Votes]])</f>
        <v>390</v>
      </c>
      <c r="Q281" s="99">
        <f>IF(AND(SamplingData[[#This Row],[Total]]&lt;&gt; 0, NOT(ISBLANK(SamplingData[[#This Row],[Losing Candidate]]))),(SamplingData[[#This Row],[Total]]+SamplingData[[#This Row],[Winning Candidate]]-SamplingData[[#This Row],[Losing Candidate]])/(SamplingData[[#Totals],[Winning Candidate]]-SamplingData[[#Totals],[Losing Candidate]]), 0)</f>
        <v>1.867255134951621E-2</v>
      </c>
      <c r="R281" s="99">
        <f>IF(AND(SamplingData[[#This Row],[Total]]&lt;&gt; 0, NOT(ISBLANK(SamplingData[[#This Row],[Candidate 3]]))),(SamplingData[[#This Row],[Total]]+SamplingData[[#This Row],[Winning Candidate]]-SamplingData[[#This Row],[Candidate 3]])/(SamplingData[[#Totals],[Winning Candidate]]-SamplingData[[#Totals],[Candidate 3]]), 0)</f>
        <v>0</v>
      </c>
      <c r="S281" s="99">
        <f>IF(AND(SamplingData[[#This Row],[Total]]&lt;&gt; 0, NOT(ISBLANK(SamplingData[[#This Row],[Candidate 4]]))),(SamplingData[[#This Row],[Total]]+SamplingData[[#This Row],[Winning Candidate]]-SamplingData[[#This Row],[Candidate 4]])/(SamplingData[[#Totals],[Winning Candidate]]-SamplingData[[#Totals],[Candidate 4]]), 0)</f>
        <v>0</v>
      </c>
      <c r="T281" s="99">
        <f>IF(AND(SamplingData[[#This Row],[Total]]&lt;&gt; 0, NOT(ISBLANK(SamplingData[[#This Row],[Candidate 5]]))),(SamplingData[[#This Row],[Total]]+SamplingData[[#This Row],[Winning Candidate]]-SamplingData[[#This Row],[Candidate 5]])/(SamplingData[[#Totals],[Winning Candidate]]-SamplingData[[#Totals],[Candidate 5]]), 0)</f>
        <v>0</v>
      </c>
      <c r="U281" s="99">
        <f>IF(AND(SamplingData[[#This Row],[Total]]&lt;&gt; 0, NOT(ISBLANK(SamplingData[[#This Row],[Candidate 6]]))),(SamplingData[[#This Row],[Total]]+SamplingData[[#This Row],[Losing Candidate]]-SamplingData[[#This Row],[Candidate 6]])/(SamplingData[[#Totals],[Winning Candidate]]-SamplingData[[#Totals],[Candidate 6]]), 0)</f>
        <v>0</v>
      </c>
      <c r="V281" s="99">
        <f>IF(AND(SamplingData[[#This Row],[Total]]&lt;&gt; 0, NOT(ISBLANK(SamplingData[[#This Row],[Candidate 7]]))),(SamplingData[[#This Row],[Total]]+SamplingData[[#This Row],[Winning Candidate]]-SamplingData[[#This Row],[Candidate 7]])/(SamplingData[[#Totals],[Winning Candidate]]-SamplingData[[#Totals],[Candidate 7]]), 0)</f>
        <v>0</v>
      </c>
      <c r="W281" s="99">
        <f>IF(AND(SamplingData[[#This Row],[Total]]&lt;&gt; 0, NOT(ISBLANK(SamplingData[[#This Row],[Candidate 8]]))),(SamplingData[[#This Row],[Total]]+SamplingData[[#This Row],[Winning Candidate]]-SamplingData[[#This Row],[Candidate 8]])/(SamplingData[[#Totals],[Winning Candidate]]-SamplingData[[#Totals],[Candidate 8]]), 0)</f>
        <v>0</v>
      </c>
      <c r="X2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1" s="99">
        <f>MAX(SamplingData[[#This Row],[Error Bound (up) - Max. possible relative overstatement - Losing Candidate]:[Error Bound (up) - Max. possible relative overstatement - Candidate 12]])</f>
        <v>1.867255134951621E-2</v>
      </c>
      <c r="AC281" s="99">
        <f>IF(SamplingData[[#This Row],[Max Error Bound (up)]] = 0,0,SamplingData[[#This Row],[Max Error Bound (up)]]/SamplingData[[#Totals],[Max Error Bound (up)]])</f>
        <v>9.9974551932235554E-4</v>
      </c>
      <c r="AD281" s="103">
        <f>SUM($AC$5:AC281)</f>
        <v>0.26801814083687819</v>
      </c>
      <c r="AE281" s="99" t="str" cm="1">
        <f t="array" ref="AE281">IF(SamplingData[[#This Row],[up/U Selection Probability]] = 0, "Zero", TEXT(SamplingData[[#This Row],[Lower Range]], REPT("0",LEN('General Info'!$B$42))) &amp; " - " &amp; TEXT(SamplingData[[#This Row],[Upper Range]], REPT("0",LEN('General Info'!$B$42))))</f>
        <v>267018 - 268017</v>
      </c>
      <c r="AF281" s="99">
        <f>SamplingData[[#This Row],[Upper Range]]-SamplingData[[#This Row],[Span]]</f>
        <v>267018.39531755587</v>
      </c>
      <c r="AG281" s="99">
        <f>IF(ISNUMBER('General Info'!$B$42), ((SamplingData[[#This Row],[up/U Selection Probability]]) * 'General Info'!$B$44) - 1, 0)</f>
        <v>998.74551932235556</v>
      </c>
      <c r="AH281" s="99">
        <f>IF(ISNUMBER('General Info'!$B$42), (SamplingData[[#This Row],[Running (cumulative) sum]] * ('General Info'!$B$42 -'General Info'!$B$43 + 1)) + 'General Info'!$B$43 - 1, 0)</f>
        <v>268017.14083687821</v>
      </c>
      <c r="AI281" s="99" t="str">
        <f>IF(ISERROR(MATCH(SamplingData[[#This Row],[Batch by Type (p)]],SelectedPrecincts[Batch Name], 0)), "", INDEX(SelectedPrecincts[Draw], MATCH(SamplingData[[#This Row],[Batch by Type (p)]],SelectedPrecincts[Batch Name], 0)))</f>
        <v/>
      </c>
      <c r="AJ281" s="100">
        <f>IF(COUNTIF(SelectedPrecincts[Batch Name],SamplingData[[#This Row],[Batch by Type (p)]]) &lt;&gt; 0, COUNTIF(SelectedPrecincts[Batch Name],SamplingData[[#This Row],[Batch by Type (p)]]), 0)</f>
        <v>0</v>
      </c>
    </row>
    <row r="282" spans="1:36" ht="15" customHeight="1" x14ac:dyDescent="0.35">
      <c r="A282" s="97" t="s">
        <v>495</v>
      </c>
      <c r="B282" s="97">
        <v>231</v>
      </c>
      <c r="C282" s="97">
        <v>136</v>
      </c>
      <c r="D282" s="92"/>
      <c r="E282" s="92"/>
      <c r="F282" s="92"/>
      <c r="G282" s="96"/>
      <c r="H282" s="96"/>
      <c r="I282" s="92"/>
      <c r="J282" s="92"/>
      <c r="K282" s="92"/>
      <c r="L282" s="92"/>
      <c r="M282" s="92"/>
      <c r="N282" s="97">
        <v>0</v>
      </c>
      <c r="O282" s="97">
        <v>13</v>
      </c>
      <c r="P282" s="98">
        <f>SUM(SamplingData[[#This Row],[Winning Candidate]:[Under Votes]])</f>
        <v>380</v>
      </c>
      <c r="Q282" s="99">
        <f>IF(AND(SamplingData[[#This Row],[Total]]&lt;&gt; 0, NOT(ISBLANK(SamplingData[[#This Row],[Losing Candidate]]))),(SamplingData[[#This Row],[Total]]+SamplingData[[#This Row],[Winning Candidate]]-SamplingData[[#This Row],[Losing Candidate]])/(SamplingData[[#Totals],[Winning Candidate]]-SamplingData[[#Totals],[Losing Candidate]]), 0)</f>
        <v>2.0157867934136819E-2</v>
      </c>
      <c r="R282" s="99">
        <f>IF(AND(SamplingData[[#This Row],[Total]]&lt;&gt; 0, NOT(ISBLANK(SamplingData[[#This Row],[Candidate 3]]))),(SamplingData[[#This Row],[Total]]+SamplingData[[#This Row],[Winning Candidate]]-SamplingData[[#This Row],[Candidate 3]])/(SamplingData[[#Totals],[Winning Candidate]]-SamplingData[[#Totals],[Candidate 3]]), 0)</f>
        <v>0</v>
      </c>
      <c r="S282" s="99">
        <f>IF(AND(SamplingData[[#This Row],[Total]]&lt;&gt; 0, NOT(ISBLANK(SamplingData[[#This Row],[Candidate 4]]))),(SamplingData[[#This Row],[Total]]+SamplingData[[#This Row],[Winning Candidate]]-SamplingData[[#This Row],[Candidate 4]])/(SamplingData[[#Totals],[Winning Candidate]]-SamplingData[[#Totals],[Candidate 4]]), 0)</f>
        <v>0</v>
      </c>
      <c r="T282" s="99">
        <f>IF(AND(SamplingData[[#This Row],[Total]]&lt;&gt; 0, NOT(ISBLANK(SamplingData[[#This Row],[Candidate 5]]))),(SamplingData[[#This Row],[Total]]+SamplingData[[#This Row],[Winning Candidate]]-SamplingData[[#This Row],[Candidate 5]])/(SamplingData[[#Totals],[Winning Candidate]]-SamplingData[[#Totals],[Candidate 5]]), 0)</f>
        <v>0</v>
      </c>
      <c r="U282" s="99">
        <f>IF(AND(SamplingData[[#This Row],[Total]]&lt;&gt; 0, NOT(ISBLANK(SamplingData[[#This Row],[Candidate 6]]))),(SamplingData[[#This Row],[Total]]+SamplingData[[#This Row],[Losing Candidate]]-SamplingData[[#This Row],[Candidate 6]])/(SamplingData[[#Totals],[Winning Candidate]]-SamplingData[[#Totals],[Candidate 6]]), 0)</f>
        <v>0</v>
      </c>
      <c r="V282" s="99">
        <f>IF(AND(SamplingData[[#This Row],[Total]]&lt;&gt; 0, NOT(ISBLANK(SamplingData[[#This Row],[Candidate 7]]))),(SamplingData[[#This Row],[Total]]+SamplingData[[#This Row],[Winning Candidate]]-SamplingData[[#This Row],[Candidate 7]])/(SamplingData[[#Totals],[Winning Candidate]]-SamplingData[[#Totals],[Candidate 7]]), 0)</f>
        <v>0</v>
      </c>
      <c r="W282" s="99">
        <f>IF(AND(SamplingData[[#This Row],[Total]]&lt;&gt; 0, NOT(ISBLANK(SamplingData[[#This Row],[Candidate 8]]))),(SamplingData[[#This Row],[Total]]+SamplingData[[#This Row],[Winning Candidate]]-SamplingData[[#This Row],[Candidate 8]])/(SamplingData[[#Totals],[Winning Candidate]]-SamplingData[[#Totals],[Candidate 8]]), 0)</f>
        <v>0</v>
      </c>
      <c r="X2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2" s="99">
        <f>MAX(SamplingData[[#This Row],[Error Bound (up) - Max. possible relative overstatement - Losing Candidate]:[Error Bound (up) - Max. possible relative overstatement - Candidate 12]])</f>
        <v>2.0157867934136819E-2</v>
      </c>
      <c r="AC282" s="99">
        <f>IF(SamplingData[[#This Row],[Max Error Bound (up)]] = 0,0,SamplingData[[#This Row],[Max Error Bound (up)]]/SamplingData[[#Totals],[Max Error Bound (up)]])</f>
        <v>1.079270731086634E-3</v>
      </c>
      <c r="AD282" s="103">
        <f>SUM($AC$5:AC282)</f>
        <v>0.26909741156796485</v>
      </c>
      <c r="AE282" s="99" t="str" cm="1">
        <f t="array" ref="AE282">IF(SamplingData[[#This Row],[up/U Selection Probability]] = 0, "Zero", TEXT(SamplingData[[#This Row],[Lower Range]], REPT("0",LEN('General Info'!$B$42))) &amp; " - " &amp; TEXT(SamplingData[[#This Row],[Upper Range]], REPT("0",LEN('General Info'!$B$42))))</f>
        <v>268018 - 269096</v>
      </c>
      <c r="AF282" s="99">
        <f>SamplingData[[#This Row],[Upper Range]]-SamplingData[[#This Row],[Span]]</f>
        <v>268018.14083687821</v>
      </c>
      <c r="AG282" s="99">
        <f>IF(ISNUMBER('General Info'!$B$42), ((SamplingData[[#This Row],[up/U Selection Probability]]) * 'General Info'!$B$44) - 1, 0)</f>
        <v>1078.270731086634</v>
      </c>
      <c r="AH282" s="99">
        <f>IF(ISNUMBER('General Info'!$B$42), (SamplingData[[#This Row],[Running (cumulative) sum]] * ('General Info'!$B$42 -'General Info'!$B$43 + 1)) + 'General Info'!$B$43 - 1, 0)</f>
        <v>269096.41156796482</v>
      </c>
      <c r="AI282" s="99">
        <f>IF(ISERROR(MATCH(SamplingData[[#This Row],[Batch by Type (p)]],SelectedPrecincts[Batch Name], 0)), "", INDEX(SelectedPrecincts[Draw], MATCH(SamplingData[[#This Row],[Batch by Type (p)]],SelectedPrecincts[Batch Name], 0)))</f>
        <v>25</v>
      </c>
      <c r="AJ282" s="100">
        <f>IF(COUNTIF(SelectedPrecincts[Batch Name],SamplingData[[#This Row],[Batch by Type (p)]]) &lt;&gt; 0, COUNTIF(SelectedPrecincts[Batch Name],SamplingData[[#This Row],[Batch by Type (p)]]), 0)</f>
        <v>1</v>
      </c>
    </row>
    <row r="283" spans="1:36" ht="15" customHeight="1" x14ac:dyDescent="0.35">
      <c r="A283" s="97" t="s">
        <v>496</v>
      </c>
      <c r="B283" s="97">
        <v>188</v>
      </c>
      <c r="C283" s="97">
        <v>120</v>
      </c>
      <c r="D283" s="92"/>
      <c r="E283" s="92"/>
      <c r="F283" s="92"/>
      <c r="G283" s="96"/>
      <c r="H283" s="96"/>
      <c r="I283" s="92"/>
      <c r="J283" s="92"/>
      <c r="K283" s="92"/>
      <c r="L283" s="92"/>
      <c r="M283" s="92"/>
      <c r="N283" s="97">
        <v>0</v>
      </c>
      <c r="O283" s="97">
        <v>25</v>
      </c>
      <c r="P283" s="98">
        <f>SUM(SamplingData[[#This Row],[Winning Candidate]:[Under Votes]])</f>
        <v>333</v>
      </c>
      <c r="Q283" s="99">
        <f>IF(AND(SamplingData[[#This Row],[Total]]&lt;&gt; 0, NOT(ISBLANK(SamplingData[[#This Row],[Losing Candidate]]))),(SamplingData[[#This Row],[Total]]+SamplingData[[#This Row],[Winning Candidate]]-SamplingData[[#This Row],[Losing Candidate]])/(SamplingData[[#Totals],[Winning Candidate]]-SamplingData[[#Totals],[Losing Candidate]]), 0)</f>
        <v>1.7017484298081819E-2</v>
      </c>
      <c r="R283" s="99">
        <f>IF(AND(SamplingData[[#This Row],[Total]]&lt;&gt; 0, NOT(ISBLANK(SamplingData[[#This Row],[Candidate 3]]))),(SamplingData[[#This Row],[Total]]+SamplingData[[#This Row],[Winning Candidate]]-SamplingData[[#This Row],[Candidate 3]])/(SamplingData[[#Totals],[Winning Candidate]]-SamplingData[[#Totals],[Candidate 3]]), 0)</f>
        <v>0</v>
      </c>
      <c r="S283" s="99">
        <f>IF(AND(SamplingData[[#This Row],[Total]]&lt;&gt; 0, NOT(ISBLANK(SamplingData[[#This Row],[Candidate 4]]))),(SamplingData[[#This Row],[Total]]+SamplingData[[#This Row],[Winning Candidate]]-SamplingData[[#This Row],[Candidate 4]])/(SamplingData[[#Totals],[Winning Candidate]]-SamplingData[[#Totals],[Candidate 4]]), 0)</f>
        <v>0</v>
      </c>
      <c r="T283" s="99">
        <f>IF(AND(SamplingData[[#This Row],[Total]]&lt;&gt; 0, NOT(ISBLANK(SamplingData[[#This Row],[Candidate 5]]))),(SamplingData[[#This Row],[Total]]+SamplingData[[#This Row],[Winning Candidate]]-SamplingData[[#This Row],[Candidate 5]])/(SamplingData[[#Totals],[Winning Candidate]]-SamplingData[[#Totals],[Candidate 5]]), 0)</f>
        <v>0</v>
      </c>
      <c r="U283" s="99">
        <f>IF(AND(SamplingData[[#This Row],[Total]]&lt;&gt; 0, NOT(ISBLANK(SamplingData[[#This Row],[Candidate 6]]))),(SamplingData[[#This Row],[Total]]+SamplingData[[#This Row],[Losing Candidate]]-SamplingData[[#This Row],[Candidate 6]])/(SamplingData[[#Totals],[Winning Candidate]]-SamplingData[[#Totals],[Candidate 6]]), 0)</f>
        <v>0</v>
      </c>
      <c r="V283" s="99">
        <f>IF(AND(SamplingData[[#This Row],[Total]]&lt;&gt; 0, NOT(ISBLANK(SamplingData[[#This Row],[Candidate 7]]))),(SamplingData[[#This Row],[Total]]+SamplingData[[#This Row],[Winning Candidate]]-SamplingData[[#This Row],[Candidate 7]])/(SamplingData[[#Totals],[Winning Candidate]]-SamplingData[[#Totals],[Candidate 7]]), 0)</f>
        <v>0</v>
      </c>
      <c r="W283" s="99">
        <f>IF(AND(SamplingData[[#This Row],[Total]]&lt;&gt; 0, NOT(ISBLANK(SamplingData[[#This Row],[Candidate 8]]))),(SamplingData[[#This Row],[Total]]+SamplingData[[#This Row],[Winning Candidate]]-SamplingData[[#This Row],[Candidate 8]])/(SamplingData[[#Totals],[Winning Candidate]]-SamplingData[[#Totals],[Candidate 8]]), 0)</f>
        <v>0</v>
      </c>
      <c r="X2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3" s="99">
        <f>MAX(SamplingData[[#This Row],[Error Bound (up) - Max. possible relative overstatement - Losing Candidate]:[Error Bound (up) - Max. possible relative overstatement - Candidate 12]])</f>
        <v>1.7017484298081819E-2</v>
      </c>
      <c r="AC283" s="99">
        <f>IF(SamplingData[[#This Row],[Max Error Bound (up)]] = 0,0,SamplingData[[#This Row],[Max Error Bound (up)]]/SamplingData[[#Totals],[Max Error Bound (up)]])</f>
        <v>9.11131711927874E-4</v>
      </c>
      <c r="AD283" s="103">
        <f>SUM($AC$5:AC283)</f>
        <v>0.27000854327989271</v>
      </c>
      <c r="AE283" s="99" t="str" cm="1">
        <f t="array" ref="AE283">IF(SamplingData[[#This Row],[up/U Selection Probability]] = 0, "Zero", TEXT(SamplingData[[#This Row],[Lower Range]], REPT("0",LEN('General Info'!$B$42))) &amp; " - " &amp; TEXT(SamplingData[[#This Row],[Upper Range]], REPT("0",LEN('General Info'!$B$42))))</f>
        <v>269097 - 270008</v>
      </c>
      <c r="AF283" s="99">
        <f>SamplingData[[#This Row],[Upper Range]]-SamplingData[[#This Row],[Span]]</f>
        <v>269097.41156796482</v>
      </c>
      <c r="AG283" s="99">
        <f>IF(ISNUMBER('General Info'!$B$42), ((SamplingData[[#This Row],[up/U Selection Probability]]) * 'General Info'!$B$44) - 1, 0)</f>
        <v>910.13171192787399</v>
      </c>
      <c r="AH283" s="99">
        <f>IF(ISNUMBER('General Info'!$B$42), (SamplingData[[#This Row],[Running (cumulative) sum]] * ('General Info'!$B$42 -'General Info'!$B$43 + 1)) + 'General Info'!$B$43 - 1, 0)</f>
        <v>270007.54327989271</v>
      </c>
      <c r="AI283" s="99" t="str">
        <f>IF(ISERROR(MATCH(SamplingData[[#This Row],[Batch by Type (p)]],SelectedPrecincts[Batch Name], 0)), "", INDEX(SelectedPrecincts[Draw], MATCH(SamplingData[[#This Row],[Batch by Type (p)]],SelectedPrecincts[Batch Name], 0)))</f>
        <v/>
      </c>
      <c r="AJ283" s="100">
        <f>IF(COUNTIF(SelectedPrecincts[Batch Name],SamplingData[[#This Row],[Batch by Type (p)]]) &lt;&gt; 0, COUNTIF(SelectedPrecincts[Batch Name],SamplingData[[#This Row],[Batch by Type (p)]]), 0)</f>
        <v>0</v>
      </c>
    </row>
    <row r="284" spans="1:36" ht="15" customHeight="1" x14ac:dyDescent="0.35">
      <c r="A284" s="97" t="s">
        <v>497</v>
      </c>
      <c r="B284" s="97">
        <v>248</v>
      </c>
      <c r="C284" s="97">
        <v>179</v>
      </c>
      <c r="D284" s="92"/>
      <c r="E284" s="92"/>
      <c r="F284" s="92"/>
      <c r="G284" s="96"/>
      <c r="H284" s="96"/>
      <c r="I284" s="92"/>
      <c r="J284" s="92"/>
      <c r="K284" s="92"/>
      <c r="L284" s="92"/>
      <c r="M284" s="92"/>
      <c r="N284" s="97">
        <v>1</v>
      </c>
      <c r="O284" s="97">
        <v>23</v>
      </c>
      <c r="P284" s="98">
        <f>SUM(SamplingData[[#This Row],[Winning Candidate]:[Under Votes]])</f>
        <v>451</v>
      </c>
      <c r="Q284" s="99">
        <f>IF(AND(SamplingData[[#This Row],[Total]]&lt;&gt; 0, NOT(ISBLANK(SamplingData[[#This Row],[Losing Candidate]]))),(SamplingData[[#This Row],[Total]]+SamplingData[[#This Row],[Winning Candidate]]-SamplingData[[#This Row],[Losing Candidate]])/(SamplingData[[#Totals],[Winning Candidate]]-SamplingData[[#Totals],[Losing Candidate]]), 0)</f>
        <v>2.2067560685791885E-2</v>
      </c>
      <c r="R284" s="99">
        <f>IF(AND(SamplingData[[#This Row],[Total]]&lt;&gt; 0, NOT(ISBLANK(SamplingData[[#This Row],[Candidate 3]]))),(SamplingData[[#This Row],[Total]]+SamplingData[[#This Row],[Winning Candidate]]-SamplingData[[#This Row],[Candidate 3]])/(SamplingData[[#Totals],[Winning Candidate]]-SamplingData[[#Totals],[Candidate 3]]), 0)</f>
        <v>0</v>
      </c>
      <c r="S284" s="99">
        <f>IF(AND(SamplingData[[#This Row],[Total]]&lt;&gt; 0, NOT(ISBLANK(SamplingData[[#This Row],[Candidate 4]]))),(SamplingData[[#This Row],[Total]]+SamplingData[[#This Row],[Winning Candidate]]-SamplingData[[#This Row],[Candidate 4]])/(SamplingData[[#Totals],[Winning Candidate]]-SamplingData[[#Totals],[Candidate 4]]), 0)</f>
        <v>0</v>
      </c>
      <c r="T284" s="99">
        <f>IF(AND(SamplingData[[#This Row],[Total]]&lt;&gt; 0, NOT(ISBLANK(SamplingData[[#This Row],[Candidate 5]]))),(SamplingData[[#This Row],[Total]]+SamplingData[[#This Row],[Winning Candidate]]-SamplingData[[#This Row],[Candidate 5]])/(SamplingData[[#Totals],[Winning Candidate]]-SamplingData[[#Totals],[Candidate 5]]), 0)</f>
        <v>0</v>
      </c>
      <c r="U284" s="99">
        <f>IF(AND(SamplingData[[#This Row],[Total]]&lt;&gt; 0, NOT(ISBLANK(SamplingData[[#This Row],[Candidate 6]]))),(SamplingData[[#This Row],[Total]]+SamplingData[[#This Row],[Losing Candidate]]-SamplingData[[#This Row],[Candidate 6]])/(SamplingData[[#Totals],[Winning Candidate]]-SamplingData[[#Totals],[Candidate 6]]), 0)</f>
        <v>0</v>
      </c>
      <c r="V284" s="99">
        <f>IF(AND(SamplingData[[#This Row],[Total]]&lt;&gt; 0, NOT(ISBLANK(SamplingData[[#This Row],[Candidate 7]]))),(SamplingData[[#This Row],[Total]]+SamplingData[[#This Row],[Winning Candidate]]-SamplingData[[#This Row],[Candidate 7]])/(SamplingData[[#Totals],[Winning Candidate]]-SamplingData[[#Totals],[Candidate 7]]), 0)</f>
        <v>0</v>
      </c>
      <c r="W284" s="99">
        <f>IF(AND(SamplingData[[#This Row],[Total]]&lt;&gt; 0, NOT(ISBLANK(SamplingData[[#This Row],[Candidate 8]]))),(SamplingData[[#This Row],[Total]]+SamplingData[[#This Row],[Winning Candidate]]-SamplingData[[#This Row],[Candidate 8]])/(SamplingData[[#Totals],[Winning Candidate]]-SamplingData[[#Totals],[Candidate 8]]), 0)</f>
        <v>0</v>
      </c>
      <c r="X2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4" s="99">
        <f>MAX(SamplingData[[#This Row],[Error Bound (up) - Max. possible relative overstatement - Losing Candidate]:[Error Bound (up) - Max. possible relative overstatement - Candidate 12]])</f>
        <v>2.2067560685791885E-2</v>
      </c>
      <c r="AC284" s="99">
        <f>IF(SamplingData[[#This Row],[Max Error Bound (up)]] = 0,0,SamplingData[[#This Row],[Max Error Bound (up)]]/SamplingData[[#Totals],[Max Error Bound (up)]])</f>
        <v>1.1815174319264202E-3</v>
      </c>
      <c r="AD284" s="103">
        <f>SUM($AC$5:AC284)</f>
        <v>0.27119006071181911</v>
      </c>
      <c r="AE284" s="99" t="str" cm="1">
        <f t="array" ref="AE284">IF(SamplingData[[#This Row],[up/U Selection Probability]] = 0, "Zero", TEXT(SamplingData[[#This Row],[Lower Range]], REPT("0",LEN('General Info'!$B$42))) &amp; " - " &amp; TEXT(SamplingData[[#This Row],[Upper Range]], REPT("0",LEN('General Info'!$B$42))))</f>
        <v>270009 - 271189</v>
      </c>
      <c r="AF284" s="99">
        <f>SamplingData[[#This Row],[Upper Range]]-SamplingData[[#This Row],[Span]]</f>
        <v>270008.54327989265</v>
      </c>
      <c r="AG284" s="99">
        <f>IF(ISNUMBER('General Info'!$B$42), ((SamplingData[[#This Row],[up/U Selection Probability]]) * 'General Info'!$B$44) - 1, 0)</f>
        <v>1180.5174319264202</v>
      </c>
      <c r="AH284" s="99">
        <f>IF(ISNUMBER('General Info'!$B$42), (SamplingData[[#This Row],[Running (cumulative) sum]] * ('General Info'!$B$42 -'General Info'!$B$43 + 1)) + 'General Info'!$B$43 - 1, 0)</f>
        <v>271189.0607118191</v>
      </c>
      <c r="AI284" s="99" t="str">
        <f>IF(ISERROR(MATCH(SamplingData[[#This Row],[Batch by Type (p)]],SelectedPrecincts[Batch Name], 0)), "", INDEX(SelectedPrecincts[Draw], MATCH(SamplingData[[#This Row],[Batch by Type (p)]],SelectedPrecincts[Batch Name], 0)))</f>
        <v/>
      </c>
      <c r="AJ284" s="100">
        <f>IF(COUNTIF(SelectedPrecincts[Batch Name],SamplingData[[#This Row],[Batch by Type (p)]]) &lt;&gt; 0, COUNTIF(SelectedPrecincts[Batch Name],SamplingData[[#This Row],[Batch by Type (p)]]), 0)</f>
        <v>0</v>
      </c>
    </row>
    <row r="285" spans="1:36" ht="15" customHeight="1" x14ac:dyDescent="0.35">
      <c r="A285" s="97" t="s">
        <v>498</v>
      </c>
      <c r="B285" s="97">
        <v>171</v>
      </c>
      <c r="C285" s="97">
        <v>128</v>
      </c>
      <c r="D285" s="92"/>
      <c r="E285" s="92"/>
      <c r="F285" s="92"/>
      <c r="G285" s="96"/>
      <c r="H285" s="96"/>
      <c r="I285" s="92"/>
      <c r="J285" s="92"/>
      <c r="K285" s="92"/>
      <c r="L285" s="92"/>
      <c r="M285" s="92"/>
      <c r="N285" s="97">
        <v>1</v>
      </c>
      <c r="O285" s="97">
        <v>18</v>
      </c>
      <c r="P285" s="98">
        <f>SUM(SamplingData[[#This Row],[Winning Candidate]:[Under Votes]])</f>
        <v>318</v>
      </c>
      <c r="Q285" s="99">
        <f>IF(AND(SamplingData[[#This Row],[Total]]&lt;&gt; 0, NOT(ISBLANK(SamplingData[[#This Row],[Losing Candidate]]))),(SamplingData[[#This Row],[Total]]+SamplingData[[#This Row],[Winning Candidate]]-SamplingData[[#This Row],[Losing Candidate]])/(SamplingData[[#Totals],[Winning Candidate]]-SamplingData[[#Totals],[Losing Candidate]]), 0)</f>
        <v>1.5319979629943982E-2</v>
      </c>
      <c r="R285" s="99">
        <f>IF(AND(SamplingData[[#This Row],[Total]]&lt;&gt; 0, NOT(ISBLANK(SamplingData[[#This Row],[Candidate 3]]))),(SamplingData[[#This Row],[Total]]+SamplingData[[#This Row],[Winning Candidate]]-SamplingData[[#This Row],[Candidate 3]])/(SamplingData[[#Totals],[Winning Candidate]]-SamplingData[[#Totals],[Candidate 3]]), 0)</f>
        <v>0</v>
      </c>
      <c r="S285" s="99">
        <f>IF(AND(SamplingData[[#This Row],[Total]]&lt;&gt; 0, NOT(ISBLANK(SamplingData[[#This Row],[Candidate 4]]))),(SamplingData[[#This Row],[Total]]+SamplingData[[#This Row],[Winning Candidate]]-SamplingData[[#This Row],[Candidate 4]])/(SamplingData[[#Totals],[Winning Candidate]]-SamplingData[[#Totals],[Candidate 4]]), 0)</f>
        <v>0</v>
      </c>
      <c r="T285" s="99">
        <f>IF(AND(SamplingData[[#This Row],[Total]]&lt;&gt; 0, NOT(ISBLANK(SamplingData[[#This Row],[Candidate 5]]))),(SamplingData[[#This Row],[Total]]+SamplingData[[#This Row],[Winning Candidate]]-SamplingData[[#This Row],[Candidate 5]])/(SamplingData[[#Totals],[Winning Candidate]]-SamplingData[[#Totals],[Candidate 5]]), 0)</f>
        <v>0</v>
      </c>
      <c r="U285" s="99">
        <f>IF(AND(SamplingData[[#This Row],[Total]]&lt;&gt; 0, NOT(ISBLANK(SamplingData[[#This Row],[Candidate 6]]))),(SamplingData[[#This Row],[Total]]+SamplingData[[#This Row],[Losing Candidate]]-SamplingData[[#This Row],[Candidate 6]])/(SamplingData[[#Totals],[Winning Candidate]]-SamplingData[[#Totals],[Candidate 6]]), 0)</f>
        <v>0</v>
      </c>
      <c r="V285" s="99">
        <f>IF(AND(SamplingData[[#This Row],[Total]]&lt;&gt; 0, NOT(ISBLANK(SamplingData[[#This Row],[Candidate 7]]))),(SamplingData[[#This Row],[Total]]+SamplingData[[#This Row],[Winning Candidate]]-SamplingData[[#This Row],[Candidate 7]])/(SamplingData[[#Totals],[Winning Candidate]]-SamplingData[[#Totals],[Candidate 7]]), 0)</f>
        <v>0</v>
      </c>
      <c r="W285" s="99">
        <f>IF(AND(SamplingData[[#This Row],[Total]]&lt;&gt; 0, NOT(ISBLANK(SamplingData[[#This Row],[Candidate 8]]))),(SamplingData[[#This Row],[Total]]+SamplingData[[#This Row],[Winning Candidate]]-SamplingData[[#This Row],[Candidate 8]])/(SamplingData[[#Totals],[Winning Candidate]]-SamplingData[[#Totals],[Candidate 8]]), 0)</f>
        <v>0</v>
      </c>
      <c r="X2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5" s="99">
        <f>MAX(SamplingData[[#This Row],[Error Bound (up) - Max. possible relative overstatement - Losing Candidate]:[Error Bound (up) - Max. possible relative overstatement - Candidate 12]])</f>
        <v>1.5319979629943982E-2</v>
      </c>
      <c r="AC285" s="99">
        <f>IF(SamplingData[[#This Row],[Max Error Bound (up)]] = 0,0,SamplingData[[#This Row],[Max Error Bound (up)]]/SamplingData[[#Totals],[Max Error Bound (up)]])</f>
        <v>8.2024575562584167E-4</v>
      </c>
      <c r="AD285" s="103">
        <f>SUM($AC$5:AC285)</f>
        <v>0.27201030646744495</v>
      </c>
      <c r="AE285" s="99" t="str" cm="1">
        <f t="array" ref="AE285">IF(SamplingData[[#This Row],[up/U Selection Probability]] = 0, "Zero", TEXT(SamplingData[[#This Row],[Lower Range]], REPT("0",LEN('General Info'!$B$42))) &amp; " - " &amp; TEXT(SamplingData[[#This Row],[Upper Range]], REPT("0",LEN('General Info'!$B$42))))</f>
        <v>271190 - 272009</v>
      </c>
      <c r="AF285" s="99">
        <f>SamplingData[[#This Row],[Upper Range]]-SamplingData[[#This Row],[Span]]</f>
        <v>271190.0607118191</v>
      </c>
      <c r="AG285" s="99">
        <f>IF(ISNUMBER('General Info'!$B$42), ((SamplingData[[#This Row],[up/U Selection Probability]]) * 'General Info'!$B$44) - 1, 0)</f>
        <v>819.24575562584164</v>
      </c>
      <c r="AH285" s="99">
        <f>IF(ISNUMBER('General Info'!$B$42), (SamplingData[[#This Row],[Running (cumulative) sum]] * ('General Info'!$B$42 -'General Info'!$B$43 + 1)) + 'General Info'!$B$43 - 1, 0)</f>
        <v>272009.30646744493</v>
      </c>
      <c r="AI285" s="99" t="str">
        <f>IF(ISERROR(MATCH(SamplingData[[#This Row],[Batch by Type (p)]],SelectedPrecincts[Batch Name], 0)), "", INDEX(SelectedPrecincts[Draw], MATCH(SamplingData[[#This Row],[Batch by Type (p)]],SelectedPrecincts[Batch Name], 0)))</f>
        <v/>
      </c>
      <c r="AJ285" s="100">
        <f>IF(COUNTIF(SelectedPrecincts[Batch Name],SamplingData[[#This Row],[Batch by Type (p)]]) &lt;&gt; 0, COUNTIF(SelectedPrecincts[Batch Name],SamplingData[[#This Row],[Batch by Type (p)]]), 0)</f>
        <v>0</v>
      </c>
    </row>
    <row r="286" spans="1:36" ht="15" customHeight="1" x14ac:dyDescent="0.35">
      <c r="A286" s="97" t="s">
        <v>499</v>
      </c>
      <c r="B286" s="97">
        <v>201</v>
      </c>
      <c r="C286" s="97">
        <v>132</v>
      </c>
      <c r="D286" s="92"/>
      <c r="E286" s="92"/>
      <c r="F286" s="92"/>
      <c r="G286" s="96"/>
      <c r="H286" s="96"/>
      <c r="I286" s="92"/>
      <c r="J286" s="92"/>
      <c r="K286" s="92"/>
      <c r="L286" s="92"/>
      <c r="M286" s="92"/>
      <c r="N286" s="97">
        <v>0</v>
      </c>
      <c r="O286" s="97">
        <v>20</v>
      </c>
      <c r="P286" s="98">
        <f>SUM(SamplingData[[#This Row],[Winning Candidate]:[Under Votes]])</f>
        <v>353</v>
      </c>
      <c r="Q286" s="99">
        <f>IF(AND(SamplingData[[#This Row],[Total]]&lt;&gt; 0, NOT(ISBLANK(SamplingData[[#This Row],[Losing Candidate]]))),(SamplingData[[#This Row],[Total]]+SamplingData[[#This Row],[Winning Candidate]]-SamplingData[[#This Row],[Losing Candidate]])/(SamplingData[[#Totals],[Winning Candidate]]-SamplingData[[#Totals],[Losing Candidate]]), 0)</f>
        <v>1.7908674248854183E-2</v>
      </c>
      <c r="R286" s="99">
        <f>IF(AND(SamplingData[[#This Row],[Total]]&lt;&gt; 0, NOT(ISBLANK(SamplingData[[#This Row],[Candidate 3]]))),(SamplingData[[#This Row],[Total]]+SamplingData[[#This Row],[Winning Candidate]]-SamplingData[[#This Row],[Candidate 3]])/(SamplingData[[#Totals],[Winning Candidate]]-SamplingData[[#Totals],[Candidate 3]]), 0)</f>
        <v>0</v>
      </c>
      <c r="S286" s="99">
        <f>IF(AND(SamplingData[[#This Row],[Total]]&lt;&gt; 0, NOT(ISBLANK(SamplingData[[#This Row],[Candidate 4]]))),(SamplingData[[#This Row],[Total]]+SamplingData[[#This Row],[Winning Candidate]]-SamplingData[[#This Row],[Candidate 4]])/(SamplingData[[#Totals],[Winning Candidate]]-SamplingData[[#Totals],[Candidate 4]]), 0)</f>
        <v>0</v>
      </c>
      <c r="T286" s="99">
        <f>IF(AND(SamplingData[[#This Row],[Total]]&lt;&gt; 0, NOT(ISBLANK(SamplingData[[#This Row],[Candidate 5]]))),(SamplingData[[#This Row],[Total]]+SamplingData[[#This Row],[Winning Candidate]]-SamplingData[[#This Row],[Candidate 5]])/(SamplingData[[#Totals],[Winning Candidate]]-SamplingData[[#Totals],[Candidate 5]]), 0)</f>
        <v>0</v>
      </c>
      <c r="U286" s="99">
        <f>IF(AND(SamplingData[[#This Row],[Total]]&lt;&gt; 0, NOT(ISBLANK(SamplingData[[#This Row],[Candidate 6]]))),(SamplingData[[#This Row],[Total]]+SamplingData[[#This Row],[Losing Candidate]]-SamplingData[[#This Row],[Candidate 6]])/(SamplingData[[#Totals],[Winning Candidate]]-SamplingData[[#Totals],[Candidate 6]]), 0)</f>
        <v>0</v>
      </c>
      <c r="V286" s="99">
        <f>IF(AND(SamplingData[[#This Row],[Total]]&lt;&gt; 0, NOT(ISBLANK(SamplingData[[#This Row],[Candidate 7]]))),(SamplingData[[#This Row],[Total]]+SamplingData[[#This Row],[Winning Candidate]]-SamplingData[[#This Row],[Candidate 7]])/(SamplingData[[#Totals],[Winning Candidate]]-SamplingData[[#Totals],[Candidate 7]]), 0)</f>
        <v>0</v>
      </c>
      <c r="W286" s="99">
        <f>IF(AND(SamplingData[[#This Row],[Total]]&lt;&gt; 0, NOT(ISBLANK(SamplingData[[#This Row],[Candidate 8]]))),(SamplingData[[#This Row],[Total]]+SamplingData[[#This Row],[Winning Candidate]]-SamplingData[[#This Row],[Candidate 8]])/(SamplingData[[#Totals],[Winning Candidate]]-SamplingData[[#Totals],[Candidate 8]]), 0)</f>
        <v>0</v>
      </c>
      <c r="X2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6" s="99">
        <f>MAX(SamplingData[[#This Row],[Error Bound (up) - Max. possible relative overstatement - Losing Candidate]:[Error Bound (up) - Max. possible relative overstatement - Candidate 12]])</f>
        <v>1.7908674248854183E-2</v>
      </c>
      <c r="AC286" s="99">
        <f>IF(SamplingData[[#This Row],[Max Error Bound (up)]] = 0,0,SamplingData[[#This Row],[Max Error Bound (up)]]/SamplingData[[#Totals],[Max Error Bound (up)]])</f>
        <v>9.5884683898644094E-4</v>
      </c>
      <c r="AD286" s="103">
        <f>SUM($AC$5:AC286)</f>
        <v>0.2729691533064314</v>
      </c>
      <c r="AE286" s="99" t="str" cm="1">
        <f t="array" ref="AE286">IF(SamplingData[[#This Row],[up/U Selection Probability]] = 0, "Zero", TEXT(SamplingData[[#This Row],[Lower Range]], REPT("0",LEN('General Info'!$B$42))) &amp; " - " &amp; TEXT(SamplingData[[#This Row],[Upper Range]], REPT("0",LEN('General Info'!$B$42))))</f>
        <v>272010 - 272968</v>
      </c>
      <c r="AF286" s="99">
        <f>SamplingData[[#This Row],[Upper Range]]-SamplingData[[#This Row],[Span]]</f>
        <v>272010.30646744499</v>
      </c>
      <c r="AG286" s="99">
        <f>IF(ISNUMBER('General Info'!$B$42), ((SamplingData[[#This Row],[up/U Selection Probability]]) * 'General Info'!$B$44) - 1, 0)</f>
        <v>957.84683898644096</v>
      </c>
      <c r="AH286" s="99">
        <f>IF(ISNUMBER('General Info'!$B$42), (SamplingData[[#This Row],[Running (cumulative) sum]] * ('General Info'!$B$42 -'General Info'!$B$43 + 1)) + 'General Info'!$B$43 - 1, 0)</f>
        <v>272968.15330643143</v>
      </c>
      <c r="AI286" s="99" t="str">
        <f>IF(ISERROR(MATCH(SamplingData[[#This Row],[Batch by Type (p)]],SelectedPrecincts[Batch Name], 0)), "", INDEX(SelectedPrecincts[Draw], MATCH(SamplingData[[#This Row],[Batch by Type (p)]],SelectedPrecincts[Batch Name], 0)))</f>
        <v/>
      </c>
      <c r="AJ286" s="100">
        <f>IF(COUNTIF(SelectedPrecincts[Batch Name],SamplingData[[#This Row],[Batch by Type (p)]]) &lt;&gt; 0, COUNTIF(SelectedPrecincts[Batch Name],SamplingData[[#This Row],[Batch by Type (p)]]), 0)</f>
        <v>0</v>
      </c>
    </row>
    <row r="287" spans="1:36" ht="15" customHeight="1" x14ac:dyDescent="0.35">
      <c r="A287" s="97" t="s">
        <v>500</v>
      </c>
      <c r="B287" s="97">
        <v>182</v>
      </c>
      <c r="C287" s="97">
        <v>183</v>
      </c>
      <c r="D287" s="92"/>
      <c r="E287" s="92"/>
      <c r="F287" s="92"/>
      <c r="G287" s="96"/>
      <c r="H287" s="96"/>
      <c r="I287" s="92"/>
      <c r="J287" s="92"/>
      <c r="K287" s="92"/>
      <c r="L287" s="92"/>
      <c r="M287" s="92"/>
      <c r="N287" s="97">
        <v>0</v>
      </c>
      <c r="O287" s="97">
        <v>23</v>
      </c>
      <c r="P287" s="98">
        <f>SUM(SamplingData[[#This Row],[Winning Candidate]:[Under Votes]])</f>
        <v>388</v>
      </c>
      <c r="Q287" s="99">
        <f>IF(AND(SamplingData[[#This Row],[Total]]&lt;&gt; 0, NOT(ISBLANK(SamplingData[[#This Row],[Losing Candidate]]))),(SamplingData[[#This Row],[Total]]+SamplingData[[#This Row],[Winning Candidate]]-SamplingData[[#This Row],[Losing Candidate]])/(SamplingData[[#Totals],[Winning Candidate]]-SamplingData[[#Totals],[Losing Candidate]]), 0)</f>
        <v>1.6423357664233577E-2</v>
      </c>
      <c r="R287" s="99">
        <f>IF(AND(SamplingData[[#This Row],[Total]]&lt;&gt; 0, NOT(ISBLANK(SamplingData[[#This Row],[Candidate 3]]))),(SamplingData[[#This Row],[Total]]+SamplingData[[#This Row],[Winning Candidate]]-SamplingData[[#This Row],[Candidate 3]])/(SamplingData[[#Totals],[Winning Candidate]]-SamplingData[[#Totals],[Candidate 3]]), 0)</f>
        <v>0</v>
      </c>
      <c r="S287" s="99">
        <f>IF(AND(SamplingData[[#This Row],[Total]]&lt;&gt; 0, NOT(ISBLANK(SamplingData[[#This Row],[Candidate 4]]))),(SamplingData[[#This Row],[Total]]+SamplingData[[#This Row],[Winning Candidate]]-SamplingData[[#This Row],[Candidate 4]])/(SamplingData[[#Totals],[Winning Candidate]]-SamplingData[[#Totals],[Candidate 4]]), 0)</f>
        <v>0</v>
      </c>
      <c r="T287" s="99">
        <f>IF(AND(SamplingData[[#This Row],[Total]]&lt;&gt; 0, NOT(ISBLANK(SamplingData[[#This Row],[Candidate 5]]))),(SamplingData[[#This Row],[Total]]+SamplingData[[#This Row],[Winning Candidate]]-SamplingData[[#This Row],[Candidate 5]])/(SamplingData[[#Totals],[Winning Candidate]]-SamplingData[[#Totals],[Candidate 5]]), 0)</f>
        <v>0</v>
      </c>
      <c r="U287" s="99">
        <f>IF(AND(SamplingData[[#This Row],[Total]]&lt;&gt; 0, NOT(ISBLANK(SamplingData[[#This Row],[Candidate 6]]))),(SamplingData[[#This Row],[Total]]+SamplingData[[#This Row],[Losing Candidate]]-SamplingData[[#This Row],[Candidate 6]])/(SamplingData[[#Totals],[Winning Candidate]]-SamplingData[[#Totals],[Candidate 6]]), 0)</f>
        <v>0</v>
      </c>
      <c r="V287" s="99">
        <f>IF(AND(SamplingData[[#This Row],[Total]]&lt;&gt; 0, NOT(ISBLANK(SamplingData[[#This Row],[Candidate 7]]))),(SamplingData[[#This Row],[Total]]+SamplingData[[#This Row],[Winning Candidate]]-SamplingData[[#This Row],[Candidate 7]])/(SamplingData[[#Totals],[Winning Candidate]]-SamplingData[[#Totals],[Candidate 7]]), 0)</f>
        <v>0</v>
      </c>
      <c r="W287" s="99">
        <f>IF(AND(SamplingData[[#This Row],[Total]]&lt;&gt; 0, NOT(ISBLANK(SamplingData[[#This Row],[Candidate 8]]))),(SamplingData[[#This Row],[Total]]+SamplingData[[#This Row],[Winning Candidate]]-SamplingData[[#This Row],[Candidate 8]])/(SamplingData[[#Totals],[Winning Candidate]]-SamplingData[[#Totals],[Candidate 8]]), 0)</f>
        <v>0</v>
      </c>
      <c r="X2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7" s="99">
        <f>MAX(SamplingData[[#This Row],[Error Bound (up) - Max. possible relative overstatement - Losing Candidate]:[Error Bound (up) - Max. possible relative overstatement - Candidate 12]])</f>
        <v>1.6423357664233577E-2</v>
      </c>
      <c r="AC287" s="99">
        <f>IF(SamplingData[[#This Row],[Max Error Bound (up)]] = 0,0,SamplingData[[#This Row],[Max Error Bound (up)]]/SamplingData[[#Totals],[Max Error Bound (up)]])</f>
        <v>8.7932162722216285E-4</v>
      </c>
      <c r="AD287" s="103">
        <f>SUM($AC$5:AC287)</f>
        <v>0.27384847493365355</v>
      </c>
      <c r="AE287" s="99" t="str" cm="1">
        <f t="array" ref="AE287">IF(SamplingData[[#This Row],[up/U Selection Probability]] = 0, "Zero", TEXT(SamplingData[[#This Row],[Lower Range]], REPT("0",LEN('General Info'!$B$42))) &amp; " - " &amp; TEXT(SamplingData[[#This Row],[Upper Range]], REPT("0",LEN('General Info'!$B$42))))</f>
        <v>272969 - 273847</v>
      </c>
      <c r="AF287" s="99">
        <f>SamplingData[[#This Row],[Upper Range]]-SamplingData[[#This Row],[Span]]</f>
        <v>272969.15330643137</v>
      </c>
      <c r="AG287" s="99">
        <f>IF(ISNUMBER('General Info'!$B$42), ((SamplingData[[#This Row],[up/U Selection Probability]]) * 'General Info'!$B$44) - 1, 0)</f>
        <v>878.32162722216287</v>
      </c>
      <c r="AH287" s="99">
        <f>IF(ISNUMBER('General Info'!$B$42), (SamplingData[[#This Row],[Running (cumulative) sum]] * ('General Info'!$B$42 -'General Info'!$B$43 + 1)) + 'General Info'!$B$43 - 1, 0)</f>
        <v>273847.47493365355</v>
      </c>
      <c r="AI287" s="99" t="str">
        <f>IF(ISERROR(MATCH(SamplingData[[#This Row],[Batch by Type (p)]],SelectedPrecincts[Batch Name], 0)), "", INDEX(SelectedPrecincts[Draw], MATCH(SamplingData[[#This Row],[Batch by Type (p)]],SelectedPrecincts[Batch Name], 0)))</f>
        <v/>
      </c>
      <c r="AJ287" s="100">
        <f>IF(COUNTIF(SelectedPrecincts[Batch Name],SamplingData[[#This Row],[Batch by Type (p)]]) &lt;&gt; 0, COUNTIF(SelectedPrecincts[Batch Name],SamplingData[[#This Row],[Batch by Type (p)]]), 0)</f>
        <v>0</v>
      </c>
    </row>
    <row r="288" spans="1:36" ht="15" customHeight="1" x14ac:dyDescent="0.35">
      <c r="A288" s="97" t="s">
        <v>501</v>
      </c>
      <c r="B288" s="97">
        <v>147</v>
      </c>
      <c r="C288" s="97">
        <v>151</v>
      </c>
      <c r="D288" s="92"/>
      <c r="E288" s="92"/>
      <c r="F288" s="92"/>
      <c r="G288" s="96"/>
      <c r="H288" s="96"/>
      <c r="I288" s="92"/>
      <c r="J288" s="92"/>
      <c r="K288" s="92"/>
      <c r="L288" s="92"/>
      <c r="M288" s="92"/>
      <c r="N288" s="97">
        <v>0</v>
      </c>
      <c r="O288" s="97">
        <v>17</v>
      </c>
      <c r="P288" s="98">
        <f>SUM(SamplingData[[#This Row],[Winning Candidate]:[Under Votes]])</f>
        <v>315</v>
      </c>
      <c r="Q288" s="99">
        <f>IF(AND(SamplingData[[#This Row],[Total]]&lt;&gt; 0, NOT(ISBLANK(SamplingData[[#This Row],[Losing Candidate]]))),(SamplingData[[#This Row],[Total]]+SamplingData[[#This Row],[Winning Candidate]]-SamplingData[[#This Row],[Losing Candidate]])/(SamplingData[[#Totals],[Winning Candidate]]-SamplingData[[#Totals],[Losing Candidate]]), 0)</f>
        <v>1.3198098794771686E-2</v>
      </c>
      <c r="R288" s="99">
        <f>IF(AND(SamplingData[[#This Row],[Total]]&lt;&gt; 0, NOT(ISBLANK(SamplingData[[#This Row],[Candidate 3]]))),(SamplingData[[#This Row],[Total]]+SamplingData[[#This Row],[Winning Candidate]]-SamplingData[[#This Row],[Candidate 3]])/(SamplingData[[#Totals],[Winning Candidate]]-SamplingData[[#Totals],[Candidate 3]]), 0)</f>
        <v>0</v>
      </c>
      <c r="S288" s="99">
        <f>IF(AND(SamplingData[[#This Row],[Total]]&lt;&gt; 0, NOT(ISBLANK(SamplingData[[#This Row],[Candidate 4]]))),(SamplingData[[#This Row],[Total]]+SamplingData[[#This Row],[Winning Candidate]]-SamplingData[[#This Row],[Candidate 4]])/(SamplingData[[#Totals],[Winning Candidate]]-SamplingData[[#Totals],[Candidate 4]]), 0)</f>
        <v>0</v>
      </c>
      <c r="T288" s="99">
        <f>IF(AND(SamplingData[[#This Row],[Total]]&lt;&gt; 0, NOT(ISBLANK(SamplingData[[#This Row],[Candidate 5]]))),(SamplingData[[#This Row],[Total]]+SamplingData[[#This Row],[Winning Candidate]]-SamplingData[[#This Row],[Candidate 5]])/(SamplingData[[#Totals],[Winning Candidate]]-SamplingData[[#Totals],[Candidate 5]]), 0)</f>
        <v>0</v>
      </c>
      <c r="U288" s="99">
        <f>IF(AND(SamplingData[[#This Row],[Total]]&lt;&gt; 0, NOT(ISBLANK(SamplingData[[#This Row],[Candidate 6]]))),(SamplingData[[#This Row],[Total]]+SamplingData[[#This Row],[Losing Candidate]]-SamplingData[[#This Row],[Candidate 6]])/(SamplingData[[#Totals],[Winning Candidate]]-SamplingData[[#Totals],[Candidate 6]]), 0)</f>
        <v>0</v>
      </c>
      <c r="V288" s="99">
        <f>IF(AND(SamplingData[[#This Row],[Total]]&lt;&gt; 0, NOT(ISBLANK(SamplingData[[#This Row],[Candidate 7]]))),(SamplingData[[#This Row],[Total]]+SamplingData[[#This Row],[Winning Candidate]]-SamplingData[[#This Row],[Candidate 7]])/(SamplingData[[#Totals],[Winning Candidate]]-SamplingData[[#Totals],[Candidate 7]]), 0)</f>
        <v>0</v>
      </c>
      <c r="W288" s="99">
        <f>IF(AND(SamplingData[[#This Row],[Total]]&lt;&gt; 0, NOT(ISBLANK(SamplingData[[#This Row],[Candidate 8]]))),(SamplingData[[#This Row],[Total]]+SamplingData[[#This Row],[Winning Candidate]]-SamplingData[[#This Row],[Candidate 8]])/(SamplingData[[#Totals],[Winning Candidate]]-SamplingData[[#Totals],[Candidate 8]]), 0)</f>
        <v>0</v>
      </c>
      <c r="X2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8" s="99">
        <f>MAX(SamplingData[[#This Row],[Error Bound (up) - Max. possible relative overstatement - Losing Candidate]:[Error Bound (up) - Max. possible relative overstatement - Candidate 12]])</f>
        <v>1.3198098794771686E-2</v>
      </c>
      <c r="AC288" s="99">
        <f>IF(SamplingData[[#This Row],[Max Error Bound (up)]] = 0,0,SamplingData[[#This Row],[Max Error Bound (up)]]/SamplingData[[#Totals],[Max Error Bound (up)]])</f>
        <v>7.0663831024830133E-4</v>
      </c>
      <c r="AD288" s="103">
        <f>SUM($AC$5:AC288)</f>
        <v>0.27455511324390186</v>
      </c>
      <c r="AE288" s="99" t="str" cm="1">
        <f t="array" ref="AE288">IF(SamplingData[[#This Row],[up/U Selection Probability]] = 0, "Zero", TEXT(SamplingData[[#This Row],[Lower Range]], REPT("0",LEN('General Info'!$B$42))) &amp; " - " &amp; TEXT(SamplingData[[#This Row],[Upper Range]], REPT("0",LEN('General Info'!$B$42))))</f>
        <v>273848 - 274554</v>
      </c>
      <c r="AF288" s="99">
        <f>SamplingData[[#This Row],[Upper Range]]-SamplingData[[#This Row],[Span]]</f>
        <v>273848.47493365355</v>
      </c>
      <c r="AG288" s="99">
        <f>IF(ISNUMBER('General Info'!$B$42), ((SamplingData[[#This Row],[up/U Selection Probability]]) * 'General Info'!$B$44) - 1, 0)</f>
        <v>705.63831024830131</v>
      </c>
      <c r="AH288" s="99">
        <f>IF(ISNUMBER('General Info'!$B$42), (SamplingData[[#This Row],[Running (cumulative) sum]] * ('General Info'!$B$42 -'General Info'!$B$43 + 1)) + 'General Info'!$B$43 - 1, 0)</f>
        <v>274554.11324390187</v>
      </c>
      <c r="AI288" s="99" t="str">
        <f>IF(ISERROR(MATCH(SamplingData[[#This Row],[Batch by Type (p)]],SelectedPrecincts[Batch Name], 0)), "", INDEX(SelectedPrecincts[Draw], MATCH(SamplingData[[#This Row],[Batch by Type (p)]],SelectedPrecincts[Batch Name], 0)))</f>
        <v/>
      </c>
      <c r="AJ288" s="100">
        <f>IF(COUNTIF(SelectedPrecincts[Batch Name],SamplingData[[#This Row],[Batch by Type (p)]]) &lt;&gt; 0, COUNTIF(SelectedPrecincts[Batch Name],SamplingData[[#This Row],[Batch by Type (p)]]), 0)</f>
        <v>0</v>
      </c>
    </row>
    <row r="289" spans="1:36" ht="15" customHeight="1" x14ac:dyDescent="0.35">
      <c r="A289" s="97" t="s">
        <v>502</v>
      </c>
      <c r="B289" s="97">
        <v>63</v>
      </c>
      <c r="C289" s="97">
        <v>26</v>
      </c>
      <c r="D289" s="92"/>
      <c r="E289" s="92"/>
      <c r="F289" s="92"/>
      <c r="G289" s="96"/>
      <c r="H289" s="96"/>
      <c r="I289" s="92"/>
      <c r="J289" s="92"/>
      <c r="K289" s="92"/>
      <c r="L289" s="92"/>
      <c r="M289" s="92"/>
      <c r="N289" s="97">
        <v>0</v>
      </c>
      <c r="O289" s="97">
        <v>3</v>
      </c>
      <c r="P289" s="98">
        <f>SUM(SamplingData[[#This Row],[Winning Candidate]:[Under Votes]])</f>
        <v>92</v>
      </c>
      <c r="Q289" s="99">
        <f>IF(AND(SamplingData[[#This Row],[Total]]&lt;&gt; 0, NOT(ISBLANK(SamplingData[[#This Row],[Losing Candidate]]))),(SamplingData[[#This Row],[Total]]+SamplingData[[#This Row],[Winning Candidate]]-SamplingData[[#This Row],[Losing Candidate]])/(SamplingData[[#Totals],[Winning Candidate]]-SamplingData[[#Totals],[Losing Candidate]]), 0)</f>
        <v>5.4744525547445258E-3</v>
      </c>
      <c r="R289" s="99">
        <f>IF(AND(SamplingData[[#This Row],[Total]]&lt;&gt; 0, NOT(ISBLANK(SamplingData[[#This Row],[Candidate 3]]))),(SamplingData[[#This Row],[Total]]+SamplingData[[#This Row],[Winning Candidate]]-SamplingData[[#This Row],[Candidate 3]])/(SamplingData[[#Totals],[Winning Candidate]]-SamplingData[[#Totals],[Candidate 3]]), 0)</f>
        <v>0</v>
      </c>
      <c r="S289" s="99">
        <f>IF(AND(SamplingData[[#This Row],[Total]]&lt;&gt; 0, NOT(ISBLANK(SamplingData[[#This Row],[Candidate 4]]))),(SamplingData[[#This Row],[Total]]+SamplingData[[#This Row],[Winning Candidate]]-SamplingData[[#This Row],[Candidate 4]])/(SamplingData[[#Totals],[Winning Candidate]]-SamplingData[[#Totals],[Candidate 4]]), 0)</f>
        <v>0</v>
      </c>
      <c r="T289" s="99">
        <f>IF(AND(SamplingData[[#This Row],[Total]]&lt;&gt; 0, NOT(ISBLANK(SamplingData[[#This Row],[Candidate 5]]))),(SamplingData[[#This Row],[Total]]+SamplingData[[#This Row],[Winning Candidate]]-SamplingData[[#This Row],[Candidate 5]])/(SamplingData[[#Totals],[Winning Candidate]]-SamplingData[[#Totals],[Candidate 5]]), 0)</f>
        <v>0</v>
      </c>
      <c r="U289" s="99">
        <f>IF(AND(SamplingData[[#This Row],[Total]]&lt;&gt; 0, NOT(ISBLANK(SamplingData[[#This Row],[Candidate 6]]))),(SamplingData[[#This Row],[Total]]+SamplingData[[#This Row],[Losing Candidate]]-SamplingData[[#This Row],[Candidate 6]])/(SamplingData[[#Totals],[Winning Candidate]]-SamplingData[[#Totals],[Candidate 6]]), 0)</f>
        <v>0</v>
      </c>
      <c r="V289" s="99">
        <f>IF(AND(SamplingData[[#This Row],[Total]]&lt;&gt; 0, NOT(ISBLANK(SamplingData[[#This Row],[Candidate 7]]))),(SamplingData[[#This Row],[Total]]+SamplingData[[#This Row],[Winning Candidate]]-SamplingData[[#This Row],[Candidate 7]])/(SamplingData[[#Totals],[Winning Candidate]]-SamplingData[[#Totals],[Candidate 7]]), 0)</f>
        <v>0</v>
      </c>
      <c r="W289" s="99">
        <f>IF(AND(SamplingData[[#This Row],[Total]]&lt;&gt; 0, NOT(ISBLANK(SamplingData[[#This Row],[Candidate 8]]))),(SamplingData[[#This Row],[Total]]+SamplingData[[#This Row],[Winning Candidate]]-SamplingData[[#This Row],[Candidate 8]])/(SamplingData[[#Totals],[Winning Candidate]]-SamplingData[[#Totals],[Candidate 8]]), 0)</f>
        <v>0</v>
      </c>
      <c r="X2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9" s="99">
        <f>MAX(SamplingData[[#This Row],[Error Bound (up) - Max. possible relative overstatement - Losing Candidate]:[Error Bound (up) - Max. possible relative overstatement - Candidate 12]])</f>
        <v>5.4744525547445258E-3</v>
      </c>
      <c r="AC289" s="99">
        <f>IF(SamplingData[[#This Row],[Max Error Bound (up)]] = 0,0,SamplingData[[#This Row],[Max Error Bound (up)]]/SamplingData[[#Totals],[Max Error Bound (up)]])</f>
        <v>2.9310720907405426E-4</v>
      </c>
      <c r="AD289" s="103">
        <f>SUM($AC$5:AC289)</f>
        <v>0.27484822045297591</v>
      </c>
      <c r="AE289" s="99" t="str" cm="1">
        <f t="array" ref="AE289">IF(SamplingData[[#This Row],[up/U Selection Probability]] = 0, "Zero", TEXT(SamplingData[[#This Row],[Lower Range]], REPT("0",LEN('General Info'!$B$42))) &amp; " - " &amp; TEXT(SamplingData[[#This Row],[Upper Range]], REPT("0",LEN('General Info'!$B$42))))</f>
        <v>274555 - 274847</v>
      </c>
      <c r="AF289" s="99">
        <f>SamplingData[[#This Row],[Upper Range]]-SamplingData[[#This Row],[Span]]</f>
        <v>274555.11324390181</v>
      </c>
      <c r="AG289" s="99">
        <f>IF(ISNUMBER('General Info'!$B$42), ((SamplingData[[#This Row],[up/U Selection Probability]]) * 'General Info'!$B$44) - 1, 0)</f>
        <v>292.10720907405425</v>
      </c>
      <c r="AH289" s="99">
        <f>IF(ISNUMBER('General Info'!$B$42), (SamplingData[[#This Row],[Running (cumulative) sum]] * ('General Info'!$B$42 -'General Info'!$B$43 + 1)) + 'General Info'!$B$43 - 1, 0)</f>
        <v>274847.22045297589</v>
      </c>
      <c r="AI289" s="99" t="str">
        <f>IF(ISERROR(MATCH(SamplingData[[#This Row],[Batch by Type (p)]],SelectedPrecincts[Batch Name], 0)), "", INDEX(SelectedPrecincts[Draw], MATCH(SamplingData[[#This Row],[Batch by Type (p)]],SelectedPrecincts[Batch Name], 0)))</f>
        <v/>
      </c>
      <c r="AJ289" s="100">
        <f>IF(COUNTIF(SelectedPrecincts[Batch Name],SamplingData[[#This Row],[Batch by Type (p)]]) &lt;&gt; 0, COUNTIF(SelectedPrecincts[Batch Name],SamplingData[[#This Row],[Batch by Type (p)]]), 0)</f>
        <v>0</v>
      </c>
    </row>
    <row r="290" spans="1:36" ht="15" customHeight="1" x14ac:dyDescent="0.35">
      <c r="A290" s="97" t="s">
        <v>503</v>
      </c>
      <c r="B290" s="97">
        <v>65</v>
      </c>
      <c r="C290" s="97">
        <v>79</v>
      </c>
      <c r="D290" s="92"/>
      <c r="E290" s="92"/>
      <c r="F290" s="92"/>
      <c r="G290" s="96"/>
      <c r="H290" s="96"/>
      <c r="I290" s="92"/>
      <c r="J290" s="92"/>
      <c r="K290" s="92"/>
      <c r="L290" s="92"/>
      <c r="M290" s="92"/>
      <c r="N290" s="97">
        <v>0</v>
      </c>
      <c r="O290" s="97">
        <v>9</v>
      </c>
      <c r="P290" s="98">
        <f>SUM(SamplingData[[#This Row],[Winning Candidate]:[Under Votes]])</f>
        <v>153</v>
      </c>
      <c r="Q290" s="99">
        <f>IF(AND(SamplingData[[#This Row],[Total]]&lt;&gt; 0, NOT(ISBLANK(SamplingData[[#This Row],[Losing Candidate]]))),(SamplingData[[#This Row],[Total]]+SamplingData[[#This Row],[Winning Candidate]]-SamplingData[[#This Row],[Losing Candidate]])/(SamplingData[[#Totals],[Winning Candidate]]-SamplingData[[#Totals],[Losing Candidate]]), 0)</f>
        <v>5.8988287217789847E-3</v>
      </c>
      <c r="R290" s="99">
        <f>IF(AND(SamplingData[[#This Row],[Total]]&lt;&gt; 0, NOT(ISBLANK(SamplingData[[#This Row],[Candidate 3]]))),(SamplingData[[#This Row],[Total]]+SamplingData[[#This Row],[Winning Candidate]]-SamplingData[[#This Row],[Candidate 3]])/(SamplingData[[#Totals],[Winning Candidate]]-SamplingData[[#Totals],[Candidate 3]]), 0)</f>
        <v>0</v>
      </c>
      <c r="S290" s="99">
        <f>IF(AND(SamplingData[[#This Row],[Total]]&lt;&gt; 0, NOT(ISBLANK(SamplingData[[#This Row],[Candidate 4]]))),(SamplingData[[#This Row],[Total]]+SamplingData[[#This Row],[Winning Candidate]]-SamplingData[[#This Row],[Candidate 4]])/(SamplingData[[#Totals],[Winning Candidate]]-SamplingData[[#Totals],[Candidate 4]]), 0)</f>
        <v>0</v>
      </c>
      <c r="T290" s="99">
        <f>IF(AND(SamplingData[[#This Row],[Total]]&lt;&gt; 0, NOT(ISBLANK(SamplingData[[#This Row],[Candidate 5]]))),(SamplingData[[#This Row],[Total]]+SamplingData[[#This Row],[Winning Candidate]]-SamplingData[[#This Row],[Candidate 5]])/(SamplingData[[#Totals],[Winning Candidate]]-SamplingData[[#Totals],[Candidate 5]]), 0)</f>
        <v>0</v>
      </c>
      <c r="U290" s="99">
        <f>IF(AND(SamplingData[[#This Row],[Total]]&lt;&gt; 0, NOT(ISBLANK(SamplingData[[#This Row],[Candidate 6]]))),(SamplingData[[#This Row],[Total]]+SamplingData[[#This Row],[Losing Candidate]]-SamplingData[[#This Row],[Candidate 6]])/(SamplingData[[#Totals],[Winning Candidate]]-SamplingData[[#Totals],[Candidate 6]]), 0)</f>
        <v>0</v>
      </c>
      <c r="V290" s="99">
        <f>IF(AND(SamplingData[[#This Row],[Total]]&lt;&gt; 0, NOT(ISBLANK(SamplingData[[#This Row],[Candidate 7]]))),(SamplingData[[#This Row],[Total]]+SamplingData[[#This Row],[Winning Candidate]]-SamplingData[[#This Row],[Candidate 7]])/(SamplingData[[#Totals],[Winning Candidate]]-SamplingData[[#Totals],[Candidate 7]]), 0)</f>
        <v>0</v>
      </c>
      <c r="W290" s="99">
        <f>IF(AND(SamplingData[[#This Row],[Total]]&lt;&gt; 0, NOT(ISBLANK(SamplingData[[#This Row],[Candidate 8]]))),(SamplingData[[#This Row],[Total]]+SamplingData[[#This Row],[Winning Candidate]]-SamplingData[[#This Row],[Candidate 8]])/(SamplingData[[#Totals],[Winning Candidate]]-SamplingData[[#Totals],[Candidate 8]]), 0)</f>
        <v>0</v>
      </c>
      <c r="X2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0" s="99">
        <f>MAX(SamplingData[[#This Row],[Error Bound (up) - Max. possible relative overstatement - Losing Candidate]:[Error Bound (up) - Max. possible relative overstatement - Candidate 12]])</f>
        <v>5.8988287217789847E-3</v>
      </c>
      <c r="AC290" s="99">
        <f>IF(SamplingData[[#This Row],[Max Error Bound (up)]] = 0,0,SamplingData[[#This Row],[Max Error Bound (up)]]/SamplingData[[#Totals],[Max Error Bound (up)]])</f>
        <v>3.1582869814956234E-4</v>
      </c>
      <c r="AD290" s="103">
        <f>SUM($AC$5:AC290)</f>
        <v>0.27516404915112547</v>
      </c>
      <c r="AE290" s="99" t="str" cm="1">
        <f t="array" ref="AE290">IF(SamplingData[[#This Row],[up/U Selection Probability]] = 0, "Zero", TEXT(SamplingData[[#This Row],[Lower Range]], REPT("0",LEN('General Info'!$B$42))) &amp; " - " &amp; TEXT(SamplingData[[#This Row],[Upper Range]], REPT("0",LEN('General Info'!$B$42))))</f>
        <v>274848 - 275163</v>
      </c>
      <c r="AF290" s="99">
        <f>SamplingData[[#This Row],[Upper Range]]-SamplingData[[#This Row],[Span]]</f>
        <v>274848.22045297589</v>
      </c>
      <c r="AG290" s="99">
        <f>IF(ISNUMBER('General Info'!$B$42), ((SamplingData[[#This Row],[up/U Selection Probability]]) * 'General Info'!$B$44) - 1, 0)</f>
        <v>314.82869814956234</v>
      </c>
      <c r="AH290" s="99">
        <f>IF(ISNUMBER('General Info'!$B$42), (SamplingData[[#This Row],[Running (cumulative) sum]] * ('General Info'!$B$42 -'General Info'!$B$43 + 1)) + 'General Info'!$B$43 - 1, 0)</f>
        <v>275163.04915112548</v>
      </c>
      <c r="AI290" s="99" t="str">
        <f>IF(ISERROR(MATCH(SamplingData[[#This Row],[Batch by Type (p)]],SelectedPrecincts[Batch Name], 0)), "", INDEX(SelectedPrecincts[Draw], MATCH(SamplingData[[#This Row],[Batch by Type (p)]],SelectedPrecincts[Batch Name], 0)))</f>
        <v/>
      </c>
      <c r="AJ290" s="100">
        <f>IF(COUNTIF(SelectedPrecincts[Batch Name],SamplingData[[#This Row],[Batch by Type (p)]]) &lt;&gt; 0, COUNTIF(SelectedPrecincts[Batch Name],SamplingData[[#This Row],[Batch by Type (p)]]), 0)</f>
        <v>0</v>
      </c>
    </row>
    <row r="291" spans="1:36" ht="15" customHeight="1" x14ac:dyDescent="0.35">
      <c r="A291" s="97" t="s">
        <v>504</v>
      </c>
      <c r="B291" s="97">
        <v>47</v>
      </c>
      <c r="C291" s="97">
        <v>73</v>
      </c>
      <c r="D291" s="92"/>
      <c r="E291" s="92"/>
      <c r="F291" s="92"/>
      <c r="G291" s="96"/>
      <c r="H291" s="96"/>
      <c r="I291" s="92"/>
      <c r="J291" s="92"/>
      <c r="K291" s="92"/>
      <c r="L291" s="92"/>
      <c r="M291" s="92"/>
      <c r="N291" s="97">
        <v>0</v>
      </c>
      <c r="O291" s="97">
        <v>3</v>
      </c>
      <c r="P291" s="98">
        <f>SUM(SamplingData[[#This Row],[Winning Candidate]:[Under Votes]])</f>
        <v>123</v>
      </c>
      <c r="Q291" s="99">
        <f>IF(AND(SamplingData[[#This Row],[Total]]&lt;&gt; 0, NOT(ISBLANK(SamplingData[[#This Row],[Losing Candidate]]))),(SamplingData[[#This Row],[Total]]+SamplingData[[#This Row],[Winning Candidate]]-SamplingData[[#This Row],[Losing Candidate]])/(SamplingData[[#Totals],[Winning Candidate]]-SamplingData[[#Totals],[Losing Candidate]]), 0)</f>
        <v>4.1164488202342555E-3</v>
      </c>
      <c r="R291" s="99">
        <f>IF(AND(SamplingData[[#This Row],[Total]]&lt;&gt; 0, NOT(ISBLANK(SamplingData[[#This Row],[Candidate 3]]))),(SamplingData[[#This Row],[Total]]+SamplingData[[#This Row],[Winning Candidate]]-SamplingData[[#This Row],[Candidate 3]])/(SamplingData[[#Totals],[Winning Candidate]]-SamplingData[[#Totals],[Candidate 3]]), 0)</f>
        <v>0</v>
      </c>
      <c r="S291" s="99">
        <f>IF(AND(SamplingData[[#This Row],[Total]]&lt;&gt; 0, NOT(ISBLANK(SamplingData[[#This Row],[Candidate 4]]))),(SamplingData[[#This Row],[Total]]+SamplingData[[#This Row],[Winning Candidate]]-SamplingData[[#This Row],[Candidate 4]])/(SamplingData[[#Totals],[Winning Candidate]]-SamplingData[[#Totals],[Candidate 4]]), 0)</f>
        <v>0</v>
      </c>
      <c r="T291" s="99">
        <f>IF(AND(SamplingData[[#This Row],[Total]]&lt;&gt; 0, NOT(ISBLANK(SamplingData[[#This Row],[Candidate 5]]))),(SamplingData[[#This Row],[Total]]+SamplingData[[#This Row],[Winning Candidate]]-SamplingData[[#This Row],[Candidate 5]])/(SamplingData[[#Totals],[Winning Candidate]]-SamplingData[[#Totals],[Candidate 5]]), 0)</f>
        <v>0</v>
      </c>
      <c r="U291" s="99">
        <f>IF(AND(SamplingData[[#This Row],[Total]]&lt;&gt; 0, NOT(ISBLANK(SamplingData[[#This Row],[Candidate 6]]))),(SamplingData[[#This Row],[Total]]+SamplingData[[#This Row],[Losing Candidate]]-SamplingData[[#This Row],[Candidate 6]])/(SamplingData[[#Totals],[Winning Candidate]]-SamplingData[[#Totals],[Candidate 6]]), 0)</f>
        <v>0</v>
      </c>
      <c r="V291" s="99">
        <f>IF(AND(SamplingData[[#This Row],[Total]]&lt;&gt; 0, NOT(ISBLANK(SamplingData[[#This Row],[Candidate 7]]))),(SamplingData[[#This Row],[Total]]+SamplingData[[#This Row],[Winning Candidate]]-SamplingData[[#This Row],[Candidate 7]])/(SamplingData[[#Totals],[Winning Candidate]]-SamplingData[[#Totals],[Candidate 7]]), 0)</f>
        <v>0</v>
      </c>
      <c r="W291" s="99">
        <f>IF(AND(SamplingData[[#This Row],[Total]]&lt;&gt; 0, NOT(ISBLANK(SamplingData[[#This Row],[Candidate 8]]))),(SamplingData[[#This Row],[Total]]+SamplingData[[#This Row],[Winning Candidate]]-SamplingData[[#This Row],[Candidate 8]])/(SamplingData[[#Totals],[Winning Candidate]]-SamplingData[[#Totals],[Candidate 8]]), 0)</f>
        <v>0</v>
      </c>
      <c r="X2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1" s="99">
        <f>MAX(SamplingData[[#This Row],[Error Bound (up) - Max. possible relative overstatement - Losing Candidate]:[Error Bound (up) - Max. possible relative overstatement - Candidate 12]])</f>
        <v>4.1164488202342555E-3</v>
      </c>
      <c r="AC291" s="99">
        <f>IF(SamplingData[[#This Row],[Max Error Bound (up)]] = 0,0,SamplingData[[#This Row],[Max Error Bound (up)]]/SamplingData[[#Totals],[Max Error Bound (up)]])</f>
        <v>2.2039844403242838E-4</v>
      </c>
      <c r="AD291" s="103">
        <f>SUM($AC$5:AC291)</f>
        <v>0.2753844475951579</v>
      </c>
      <c r="AE291" s="99" t="str" cm="1">
        <f t="array" ref="AE291">IF(SamplingData[[#This Row],[up/U Selection Probability]] = 0, "Zero", TEXT(SamplingData[[#This Row],[Lower Range]], REPT("0",LEN('General Info'!$B$42))) &amp; " - " &amp; TEXT(SamplingData[[#This Row],[Upper Range]], REPT("0",LEN('General Info'!$B$42))))</f>
        <v>275164 - 275383</v>
      </c>
      <c r="AF291" s="99">
        <f>SamplingData[[#This Row],[Upper Range]]-SamplingData[[#This Row],[Span]]</f>
        <v>275164.04915112548</v>
      </c>
      <c r="AG291" s="99">
        <f>IF(ISNUMBER('General Info'!$B$42), ((SamplingData[[#This Row],[up/U Selection Probability]]) * 'General Info'!$B$44) - 1, 0)</f>
        <v>219.39844403242839</v>
      </c>
      <c r="AH291" s="99">
        <f>IF(ISNUMBER('General Info'!$B$42), (SamplingData[[#This Row],[Running (cumulative) sum]] * ('General Info'!$B$42 -'General Info'!$B$43 + 1)) + 'General Info'!$B$43 - 1, 0)</f>
        <v>275383.44759515789</v>
      </c>
      <c r="AI291" s="99" t="str">
        <f>IF(ISERROR(MATCH(SamplingData[[#This Row],[Batch by Type (p)]],SelectedPrecincts[Batch Name], 0)), "", INDEX(SelectedPrecincts[Draw], MATCH(SamplingData[[#This Row],[Batch by Type (p)]],SelectedPrecincts[Batch Name], 0)))</f>
        <v/>
      </c>
      <c r="AJ291" s="100">
        <f>IF(COUNTIF(SelectedPrecincts[Batch Name],SamplingData[[#This Row],[Batch by Type (p)]]) &lt;&gt; 0, COUNTIF(SelectedPrecincts[Batch Name],SamplingData[[#This Row],[Batch by Type (p)]]), 0)</f>
        <v>0</v>
      </c>
    </row>
    <row r="292" spans="1:36" ht="15" customHeight="1" x14ac:dyDescent="0.35">
      <c r="A292" s="97" t="s">
        <v>505</v>
      </c>
      <c r="B292" s="97">
        <v>128</v>
      </c>
      <c r="C292" s="97">
        <v>132</v>
      </c>
      <c r="D292" s="92"/>
      <c r="E292" s="92"/>
      <c r="F292" s="92"/>
      <c r="G292" s="96"/>
      <c r="H292" s="96"/>
      <c r="I292" s="92"/>
      <c r="J292" s="92"/>
      <c r="K292" s="92"/>
      <c r="L292" s="92"/>
      <c r="M292" s="92"/>
      <c r="N292" s="97">
        <v>0</v>
      </c>
      <c r="O292" s="97">
        <v>15</v>
      </c>
      <c r="P292" s="98">
        <f>SUM(SamplingData[[#This Row],[Winning Candidate]:[Under Votes]])</f>
        <v>275</v>
      </c>
      <c r="Q292" s="99">
        <f>IF(AND(SamplingData[[#This Row],[Total]]&lt;&gt; 0, NOT(ISBLANK(SamplingData[[#This Row],[Losing Candidate]]))),(SamplingData[[#This Row],[Total]]+SamplingData[[#This Row],[Winning Candidate]]-SamplingData[[#This Row],[Losing Candidate]])/(SamplingData[[#Totals],[Winning Candidate]]-SamplingData[[#Totals],[Losing Candidate]]), 0)</f>
        <v>1.1500594126633849E-2</v>
      </c>
      <c r="R292" s="99">
        <f>IF(AND(SamplingData[[#This Row],[Total]]&lt;&gt; 0, NOT(ISBLANK(SamplingData[[#This Row],[Candidate 3]]))),(SamplingData[[#This Row],[Total]]+SamplingData[[#This Row],[Winning Candidate]]-SamplingData[[#This Row],[Candidate 3]])/(SamplingData[[#Totals],[Winning Candidate]]-SamplingData[[#Totals],[Candidate 3]]), 0)</f>
        <v>0</v>
      </c>
      <c r="S292" s="99">
        <f>IF(AND(SamplingData[[#This Row],[Total]]&lt;&gt; 0, NOT(ISBLANK(SamplingData[[#This Row],[Candidate 4]]))),(SamplingData[[#This Row],[Total]]+SamplingData[[#This Row],[Winning Candidate]]-SamplingData[[#This Row],[Candidate 4]])/(SamplingData[[#Totals],[Winning Candidate]]-SamplingData[[#Totals],[Candidate 4]]), 0)</f>
        <v>0</v>
      </c>
      <c r="T292" s="99">
        <f>IF(AND(SamplingData[[#This Row],[Total]]&lt;&gt; 0, NOT(ISBLANK(SamplingData[[#This Row],[Candidate 5]]))),(SamplingData[[#This Row],[Total]]+SamplingData[[#This Row],[Winning Candidate]]-SamplingData[[#This Row],[Candidate 5]])/(SamplingData[[#Totals],[Winning Candidate]]-SamplingData[[#Totals],[Candidate 5]]), 0)</f>
        <v>0</v>
      </c>
      <c r="U292" s="99">
        <f>IF(AND(SamplingData[[#This Row],[Total]]&lt;&gt; 0, NOT(ISBLANK(SamplingData[[#This Row],[Candidate 6]]))),(SamplingData[[#This Row],[Total]]+SamplingData[[#This Row],[Losing Candidate]]-SamplingData[[#This Row],[Candidate 6]])/(SamplingData[[#Totals],[Winning Candidate]]-SamplingData[[#Totals],[Candidate 6]]), 0)</f>
        <v>0</v>
      </c>
      <c r="V292" s="99">
        <f>IF(AND(SamplingData[[#This Row],[Total]]&lt;&gt; 0, NOT(ISBLANK(SamplingData[[#This Row],[Candidate 7]]))),(SamplingData[[#This Row],[Total]]+SamplingData[[#This Row],[Winning Candidate]]-SamplingData[[#This Row],[Candidate 7]])/(SamplingData[[#Totals],[Winning Candidate]]-SamplingData[[#Totals],[Candidate 7]]), 0)</f>
        <v>0</v>
      </c>
      <c r="W292" s="99">
        <f>IF(AND(SamplingData[[#This Row],[Total]]&lt;&gt; 0, NOT(ISBLANK(SamplingData[[#This Row],[Candidate 8]]))),(SamplingData[[#This Row],[Total]]+SamplingData[[#This Row],[Winning Candidate]]-SamplingData[[#This Row],[Candidate 8]])/(SamplingData[[#Totals],[Winning Candidate]]-SamplingData[[#Totals],[Candidate 8]]), 0)</f>
        <v>0</v>
      </c>
      <c r="X2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2" s="99">
        <f>MAX(SamplingData[[#This Row],[Error Bound (up) - Max. possible relative overstatement - Losing Candidate]:[Error Bound (up) - Max. possible relative overstatement - Candidate 12]])</f>
        <v>1.1500594126633849E-2</v>
      </c>
      <c r="AC292" s="99">
        <f>IF(SamplingData[[#This Row],[Max Error Bound (up)]] = 0,0,SamplingData[[#This Row],[Max Error Bound (up)]]/SamplingData[[#Totals],[Max Error Bound (up)]])</f>
        <v>6.15752353946269E-4</v>
      </c>
      <c r="AD292" s="103">
        <f>SUM($AC$5:AC292)</f>
        <v>0.27600019994910419</v>
      </c>
      <c r="AE292" s="99" t="str" cm="1">
        <f t="array" ref="AE292">IF(SamplingData[[#This Row],[up/U Selection Probability]] = 0, "Zero", TEXT(SamplingData[[#This Row],[Lower Range]], REPT("0",LEN('General Info'!$B$42))) &amp; " - " &amp; TEXT(SamplingData[[#This Row],[Upper Range]], REPT("0",LEN('General Info'!$B$42))))</f>
        <v>275384 - 275999</v>
      </c>
      <c r="AF292" s="99">
        <f>SamplingData[[#This Row],[Upper Range]]-SamplingData[[#This Row],[Span]]</f>
        <v>275384.44759515789</v>
      </c>
      <c r="AG292" s="99">
        <f>IF(ISNUMBER('General Info'!$B$42), ((SamplingData[[#This Row],[up/U Selection Probability]]) * 'General Info'!$B$44) - 1, 0)</f>
        <v>614.75235394626895</v>
      </c>
      <c r="AH292" s="99">
        <f>IF(ISNUMBER('General Info'!$B$42), (SamplingData[[#This Row],[Running (cumulative) sum]] * ('General Info'!$B$42 -'General Info'!$B$43 + 1)) + 'General Info'!$B$43 - 1, 0)</f>
        <v>275999.19994910416</v>
      </c>
      <c r="AI292" s="99">
        <f>IF(ISERROR(MATCH(SamplingData[[#This Row],[Batch by Type (p)]],SelectedPrecincts[Batch Name], 0)), "", INDEX(SelectedPrecincts[Draw], MATCH(SamplingData[[#This Row],[Batch by Type (p)]],SelectedPrecincts[Batch Name], 0)))</f>
        <v>34</v>
      </c>
      <c r="AJ292" s="100">
        <f>IF(COUNTIF(SelectedPrecincts[Batch Name],SamplingData[[#This Row],[Batch by Type (p)]]) &lt;&gt; 0, COUNTIF(SelectedPrecincts[Batch Name],SamplingData[[#This Row],[Batch by Type (p)]]), 0)</f>
        <v>1</v>
      </c>
    </row>
    <row r="293" spans="1:36" ht="15" customHeight="1" x14ac:dyDescent="0.35">
      <c r="A293" s="97" t="s">
        <v>506</v>
      </c>
      <c r="B293" s="97">
        <v>83</v>
      </c>
      <c r="C293" s="97">
        <v>132</v>
      </c>
      <c r="D293" s="92"/>
      <c r="E293" s="92"/>
      <c r="F293" s="92"/>
      <c r="G293" s="96"/>
      <c r="H293" s="96"/>
      <c r="I293" s="92"/>
      <c r="J293" s="92"/>
      <c r="K293" s="92"/>
      <c r="L293" s="92"/>
      <c r="M293" s="92"/>
      <c r="N293" s="97">
        <v>0</v>
      </c>
      <c r="O293" s="97">
        <v>10</v>
      </c>
      <c r="P293" s="98">
        <f>SUM(SamplingData[[#This Row],[Winning Candidate]:[Under Votes]])</f>
        <v>225</v>
      </c>
      <c r="Q293" s="99">
        <f>IF(AND(SamplingData[[#This Row],[Total]]&lt;&gt; 0, NOT(ISBLANK(SamplingData[[#This Row],[Losing Candidate]]))),(SamplingData[[#This Row],[Total]]+SamplingData[[#This Row],[Winning Candidate]]-SamplingData[[#This Row],[Losing Candidate]])/(SamplingData[[#Totals],[Winning Candidate]]-SamplingData[[#Totals],[Losing Candidate]]), 0)</f>
        <v>7.4690205398064841E-3</v>
      </c>
      <c r="R293" s="99">
        <f>IF(AND(SamplingData[[#This Row],[Total]]&lt;&gt; 0, NOT(ISBLANK(SamplingData[[#This Row],[Candidate 3]]))),(SamplingData[[#This Row],[Total]]+SamplingData[[#This Row],[Winning Candidate]]-SamplingData[[#This Row],[Candidate 3]])/(SamplingData[[#Totals],[Winning Candidate]]-SamplingData[[#Totals],[Candidate 3]]), 0)</f>
        <v>0</v>
      </c>
      <c r="S293" s="99">
        <f>IF(AND(SamplingData[[#This Row],[Total]]&lt;&gt; 0, NOT(ISBLANK(SamplingData[[#This Row],[Candidate 4]]))),(SamplingData[[#This Row],[Total]]+SamplingData[[#This Row],[Winning Candidate]]-SamplingData[[#This Row],[Candidate 4]])/(SamplingData[[#Totals],[Winning Candidate]]-SamplingData[[#Totals],[Candidate 4]]), 0)</f>
        <v>0</v>
      </c>
      <c r="T293" s="99">
        <f>IF(AND(SamplingData[[#This Row],[Total]]&lt;&gt; 0, NOT(ISBLANK(SamplingData[[#This Row],[Candidate 5]]))),(SamplingData[[#This Row],[Total]]+SamplingData[[#This Row],[Winning Candidate]]-SamplingData[[#This Row],[Candidate 5]])/(SamplingData[[#Totals],[Winning Candidate]]-SamplingData[[#Totals],[Candidate 5]]), 0)</f>
        <v>0</v>
      </c>
      <c r="U293" s="99">
        <f>IF(AND(SamplingData[[#This Row],[Total]]&lt;&gt; 0, NOT(ISBLANK(SamplingData[[#This Row],[Candidate 6]]))),(SamplingData[[#This Row],[Total]]+SamplingData[[#This Row],[Losing Candidate]]-SamplingData[[#This Row],[Candidate 6]])/(SamplingData[[#Totals],[Winning Candidate]]-SamplingData[[#Totals],[Candidate 6]]), 0)</f>
        <v>0</v>
      </c>
      <c r="V293" s="99">
        <f>IF(AND(SamplingData[[#This Row],[Total]]&lt;&gt; 0, NOT(ISBLANK(SamplingData[[#This Row],[Candidate 7]]))),(SamplingData[[#This Row],[Total]]+SamplingData[[#This Row],[Winning Candidate]]-SamplingData[[#This Row],[Candidate 7]])/(SamplingData[[#Totals],[Winning Candidate]]-SamplingData[[#Totals],[Candidate 7]]), 0)</f>
        <v>0</v>
      </c>
      <c r="W293" s="99">
        <f>IF(AND(SamplingData[[#This Row],[Total]]&lt;&gt; 0, NOT(ISBLANK(SamplingData[[#This Row],[Candidate 8]]))),(SamplingData[[#This Row],[Total]]+SamplingData[[#This Row],[Winning Candidate]]-SamplingData[[#This Row],[Candidate 8]])/(SamplingData[[#Totals],[Winning Candidate]]-SamplingData[[#Totals],[Candidate 8]]), 0)</f>
        <v>0</v>
      </c>
      <c r="X2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3" s="99">
        <f>MAX(SamplingData[[#This Row],[Error Bound (up) - Max. possible relative overstatement - Losing Candidate]:[Error Bound (up) - Max. possible relative overstatement - Candidate 12]])</f>
        <v>7.4690205398064841E-3</v>
      </c>
      <c r="AC293" s="99">
        <f>IF(SamplingData[[#This Row],[Max Error Bound (up)]] = 0,0,SamplingData[[#This Row],[Max Error Bound (up)]]/SamplingData[[#Totals],[Max Error Bound (up)]])</f>
        <v>3.9989820772894221E-4</v>
      </c>
      <c r="AD293" s="103">
        <f>SUM($AC$5:AC293)</f>
        <v>0.27640009815683314</v>
      </c>
      <c r="AE293" s="99" t="str" cm="1">
        <f t="array" ref="AE293">IF(SamplingData[[#This Row],[up/U Selection Probability]] = 0, "Zero", TEXT(SamplingData[[#This Row],[Lower Range]], REPT("0",LEN('General Info'!$B$42))) &amp; " - " &amp; TEXT(SamplingData[[#This Row],[Upper Range]], REPT("0",LEN('General Info'!$B$42))))</f>
        <v>276000 - 276399</v>
      </c>
      <c r="AF293" s="99">
        <f>SamplingData[[#This Row],[Upper Range]]-SamplingData[[#This Row],[Span]]</f>
        <v>276000.19994910422</v>
      </c>
      <c r="AG293" s="99">
        <f>IF(ISNUMBER('General Info'!$B$42), ((SamplingData[[#This Row],[up/U Selection Probability]]) * 'General Info'!$B$44) - 1, 0)</f>
        <v>398.89820772894223</v>
      </c>
      <c r="AH293" s="99">
        <f>IF(ISNUMBER('General Info'!$B$42), (SamplingData[[#This Row],[Running (cumulative) sum]] * ('General Info'!$B$42 -'General Info'!$B$43 + 1)) + 'General Info'!$B$43 - 1, 0)</f>
        <v>276399.09815683315</v>
      </c>
      <c r="AI293" s="99" t="str">
        <f>IF(ISERROR(MATCH(SamplingData[[#This Row],[Batch by Type (p)]],SelectedPrecincts[Batch Name], 0)), "", INDEX(SelectedPrecincts[Draw], MATCH(SamplingData[[#This Row],[Batch by Type (p)]],SelectedPrecincts[Batch Name], 0)))</f>
        <v/>
      </c>
      <c r="AJ293" s="100">
        <f>IF(COUNTIF(SelectedPrecincts[Batch Name],SamplingData[[#This Row],[Batch by Type (p)]]) &lt;&gt; 0, COUNTIF(SelectedPrecincts[Batch Name],SamplingData[[#This Row],[Batch by Type (p)]]), 0)</f>
        <v>0</v>
      </c>
    </row>
    <row r="294" spans="1:36" ht="15" customHeight="1" x14ac:dyDescent="0.35">
      <c r="A294" s="97" t="s">
        <v>507</v>
      </c>
      <c r="B294" s="97">
        <v>75</v>
      </c>
      <c r="C294" s="97">
        <v>135</v>
      </c>
      <c r="D294" s="92"/>
      <c r="E294" s="92"/>
      <c r="F294" s="92"/>
      <c r="G294" s="96"/>
      <c r="H294" s="96"/>
      <c r="I294" s="92"/>
      <c r="J294" s="92"/>
      <c r="K294" s="92"/>
      <c r="L294" s="92"/>
      <c r="M294" s="92"/>
      <c r="N294" s="97">
        <v>0</v>
      </c>
      <c r="O294" s="97">
        <v>10</v>
      </c>
      <c r="P294" s="98">
        <f>SUM(SamplingData[[#This Row],[Winning Candidate]:[Under Votes]])</f>
        <v>220</v>
      </c>
      <c r="Q294" s="99">
        <f>IF(AND(SamplingData[[#This Row],[Total]]&lt;&gt; 0, NOT(ISBLANK(SamplingData[[#This Row],[Losing Candidate]]))),(SamplingData[[#This Row],[Total]]+SamplingData[[#This Row],[Winning Candidate]]-SamplingData[[#This Row],[Losing Candidate]])/(SamplingData[[#Totals],[Winning Candidate]]-SamplingData[[#Totals],[Losing Candidate]]), 0)</f>
        <v>6.7900186725513498E-3</v>
      </c>
      <c r="R294" s="99">
        <f>IF(AND(SamplingData[[#This Row],[Total]]&lt;&gt; 0, NOT(ISBLANK(SamplingData[[#This Row],[Candidate 3]]))),(SamplingData[[#This Row],[Total]]+SamplingData[[#This Row],[Winning Candidate]]-SamplingData[[#This Row],[Candidate 3]])/(SamplingData[[#Totals],[Winning Candidate]]-SamplingData[[#Totals],[Candidate 3]]), 0)</f>
        <v>0</v>
      </c>
      <c r="S294" s="99">
        <f>IF(AND(SamplingData[[#This Row],[Total]]&lt;&gt; 0, NOT(ISBLANK(SamplingData[[#This Row],[Candidate 4]]))),(SamplingData[[#This Row],[Total]]+SamplingData[[#This Row],[Winning Candidate]]-SamplingData[[#This Row],[Candidate 4]])/(SamplingData[[#Totals],[Winning Candidate]]-SamplingData[[#Totals],[Candidate 4]]), 0)</f>
        <v>0</v>
      </c>
      <c r="T294" s="99">
        <f>IF(AND(SamplingData[[#This Row],[Total]]&lt;&gt; 0, NOT(ISBLANK(SamplingData[[#This Row],[Candidate 5]]))),(SamplingData[[#This Row],[Total]]+SamplingData[[#This Row],[Winning Candidate]]-SamplingData[[#This Row],[Candidate 5]])/(SamplingData[[#Totals],[Winning Candidate]]-SamplingData[[#Totals],[Candidate 5]]), 0)</f>
        <v>0</v>
      </c>
      <c r="U294" s="99">
        <f>IF(AND(SamplingData[[#This Row],[Total]]&lt;&gt; 0, NOT(ISBLANK(SamplingData[[#This Row],[Candidate 6]]))),(SamplingData[[#This Row],[Total]]+SamplingData[[#This Row],[Losing Candidate]]-SamplingData[[#This Row],[Candidate 6]])/(SamplingData[[#Totals],[Winning Candidate]]-SamplingData[[#Totals],[Candidate 6]]), 0)</f>
        <v>0</v>
      </c>
      <c r="V294" s="99">
        <f>IF(AND(SamplingData[[#This Row],[Total]]&lt;&gt; 0, NOT(ISBLANK(SamplingData[[#This Row],[Candidate 7]]))),(SamplingData[[#This Row],[Total]]+SamplingData[[#This Row],[Winning Candidate]]-SamplingData[[#This Row],[Candidate 7]])/(SamplingData[[#Totals],[Winning Candidate]]-SamplingData[[#Totals],[Candidate 7]]), 0)</f>
        <v>0</v>
      </c>
      <c r="W294" s="99">
        <f>IF(AND(SamplingData[[#This Row],[Total]]&lt;&gt; 0, NOT(ISBLANK(SamplingData[[#This Row],[Candidate 8]]))),(SamplingData[[#This Row],[Total]]+SamplingData[[#This Row],[Winning Candidate]]-SamplingData[[#This Row],[Candidate 8]])/(SamplingData[[#Totals],[Winning Candidate]]-SamplingData[[#Totals],[Candidate 8]]), 0)</f>
        <v>0</v>
      </c>
      <c r="X2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4" s="99">
        <f>MAX(SamplingData[[#This Row],[Error Bound (up) - Max. possible relative overstatement - Losing Candidate]:[Error Bound (up) - Max. possible relative overstatement - Candidate 12]])</f>
        <v>6.7900186725513498E-3</v>
      </c>
      <c r="AC294" s="99">
        <f>IF(SamplingData[[#This Row],[Max Error Bound (up)]] = 0,0,SamplingData[[#This Row],[Max Error Bound (up)]]/SamplingData[[#Totals],[Max Error Bound (up)]])</f>
        <v>3.6354382520812934E-4</v>
      </c>
      <c r="AD294" s="103">
        <f>SUM($AC$5:AC294)</f>
        <v>0.27676364198204129</v>
      </c>
      <c r="AE294" s="99" t="str" cm="1">
        <f t="array" ref="AE294">IF(SamplingData[[#This Row],[up/U Selection Probability]] = 0, "Zero", TEXT(SamplingData[[#This Row],[Lower Range]], REPT("0",LEN('General Info'!$B$42))) &amp; " - " &amp; TEXT(SamplingData[[#This Row],[Upper Range]], REPT("0",LEN('General Info'!$B$42))))</f>
        <v>276400 - 276763</v>
      </c>
      <c r="AF294" s="99">
        <f>SamplingData[[#This Row],[Upper Range]]-SamplingData[[#This Row],[Span]]</f>
        <v>276400.09815683315</v>
      </c>
      <c r="AG294" s="99">
        <f>IF(ISNUMBER('General Info'!$B$42), ((SamplingData[[#This Row],[up/U Selection Probability]]) * 'General Info'!$B$44) - 1, 0)</f>
        <v>362.54382520812936</v>
      </c>
      <c r="AH294" s="99">
        <f>IF(ISNUMBER('General Info'!$B$42), (SamplingData[[#This Row],[Running (cumulative) sum]] * ('General Info'!$B$42 -'General Info'!$B$43 + 1)) + 'General Info'!$B$43 - 1, 0)</f>
        <v>276762.6419820413</v>
      </c>
      <c r="AI294" s="99" t="str">
        <f>IF(ISERROR(MATCH(SamplingData[[#This Row],[Batch by Type (p)]],SelectedPrecincts[Batch Name], 0)), "", INDEX(SelectedPrecincts[Draw], MATCH(SamplingData[[#This Row],[Batch by Type (p)]],SelectedPrecincts[Batch Name], 0)))</f>
        <v/>
      </c>
      <c r="AJ294" s="100">
        <f>IF(COUNTIF(SelectedPrecincts[Batch Name],SamplingData[[#This Row],[Batch by Type (p)]]) &lt;&gt; 0, COUNTIF(SelectedPrecincts[Batch Name],SamplingData[[#This Row],[Batch by Type (p)]]), 0)</f>
        <v>0</v>
      </c>
    </row>
    <row r="295" spans="1:36" ht="15" customHeight="1" x14ac:dyDescent="0.35">
      <c r="A295" s="97" t="s">
        <v>508</v>
      </c>
      <c r="B295" s="97">
        <v>102</v>
      </c>
      <c r="C295" s="97">
        <v>196</v>
      </c>
      <c r="D295" s="92"/>
      <c r="E295" s="92"/>
      <c r="F295" s="92"/>
      <c r="G295" s="96"/>
      <c r="H295" s="96"/>
      <c r="I295" s="92"/>
      <c r="J295" s="92"/>
      <c r="K295" s="92"/>
      <c r="L295" s="92"/>
      <c r="M295" s="92"/>
      <c r="N295" s="97">
        <v>1</v>
      </c>
      <c r="O295" s="97">
        <v>24</v>
      </c>
      <c r="P295" s="98">
        <f>SUM(SamplingData[[#This Row],[Winning Candidate]:[Under Votes]])</f>
        <v>323</v>
      </c>
      <c r="Q295" s="99">
        <f>IF(AND(SamplingData[[#This Row],[Total]]&lt;&gt; 0, NOT(ISBLANK(SamplingData[[#This Row],[Losing Candidate]]))),(SamplingData[[#This Row],[Total]]+SamplingData[[#This Row],[Winning Candidate]]-SamplingData[[#This Row],[Losing Candidate]])/(SamplingData[[#Totals],[Winning Candidate]]-SamplingData[[#Totals],[Losing Candidate]]), 0)</f>
        <v>9.7182142250891185E-3</v>
      </c>
      <c r="R295" s="99">
        <f>IF(AND(SamplingData[[#This Row],[Total]]&lt;&gt; 0, NOT(ISBLANK(SamplingData[[#This Row],[Candidate 3]]))),(SamplingData[[#This Row],[Total]]+SamplingData[[#This Row],[Winning Candidate]]-SamplingData[[#This Row],[Candidate 3]])/(SamplingData[[#Totals],[Winning Candidate]]-SamplingData[[#Totals],[Candidate 3]]), 0)</f>
        <v>0</v>
      </c>
      <c r="S295" s="99">
        <f>IF(AND(SamplingData[[#This Row],[Total]]&lt;&gt; 0, NOT(ISBLANK(SamplingData[[#This Row],[Candidate 4]]))),(SamplingData[[#This Row],[Total]]+SamplingData[[#This Row],[Winning Candidate]]-SamplingData[[#This Row],[Candidate 4]])/(SamplingData[[#Totals],[Winning Candidate]]-SamplingData[[#Totals],[Candidate 4]]), 0)</f>
        <v>0</v>
      </c>
      <c r="T295" s="99">
        <f>IF(AND(SamplingData[[#This Row],[Total]]&lt;&gt; 0, NOT(ISBLANK(SamplingData[[#This Row],[Candidate 5]]))),(SamplingData[[#This Row],[Total]]+SamplingData[[#This Row],[Winning Candidate]]-SamplingData[[#This Row],[Candidate 5]])/(SamplingData[[#Totals],[Winning Candidate]]-SamplingData[[#Totals],[Candidate 5]]), 0)</f>
        <v>0</v>
      </c>
      <c r="U295" s="99">
        <f>IF(AND(SamplingData[[#This Row],[Total]]&lt;&gt; 0, NOT(ISBLANK(SamplingData[[#This Row],[Candidate 6]]))),(SamplingData[[#This Row],[Total]]+SamplingData[[#This Row],[Losing Candidate]]-SamplingData[[#This Row],[Candidate 6]])/(SamplingData[[#Totals],[Winning Candidate]]-SamplingData[[#Totals],[Candidate 6]]), 0)</f>
        <v>0</v>
      </c>
      <c r="V295" s="99">
        <f>IF(AND(SamplingData[[#This Row],[Total]]&lt;&gt; 0, NOT(ISBLANK(SamplingData[[#This Row],[Candidate 7]]))),(SamplingData[[#This Row],[Total]]+SamplingData[[#This Row],[Winning Candidate]]-SamplingData[[#This Row],[Candidate 7]])/(SamplingData[[#Totals],[Winning Candidate]]-SamplingData[[#Totals],[Candidate 7]]), 0)</f>
        <v>0</v>
      </c>
      <c r="W295" s="99">
        <f>IF(AND(SamplingData[[#This Row],[Total]]&lt;&gt; 0, NOT(ISBLANK(SamplingData[[#This Row],[Candidate 8]]))),(SamplingData[[#This Row],[Total]]+SamplingData[[#This Row],[Winning Candidate]]-SamplingData[[#This Row],[Candidate 8]])/(SamplingData[[#Totals],[Winning Candidate]]-SamplingData[[#Totals],[Candidate 8]]), 0)</f>
        <v>0</v>
      </c>
      <c r="X2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5" s="99">
        <f>MAX(SamplingData[[#This Row],[Error Bound (up) - Max. possible relative overstatement - Losing Candidate]:[Error Bound (up) - Max. possible relative overstatement - Candidate 12]])</f>
        <v>9.7182142250891185E-3</v>
      </c>
      <c r="AC295" s="99">
        <f>IF(SamplingData[[#This Row],[Max Error Bound (up)]] = 0,0,SamplingData[[#This Row],[Max Error Bound (up)]]/SamplingData[[#Totals],[Max Error Bound (up)]])</f>
        <v>5.2032209982913501E-4</v>
      </c>
      <c r="AD295" s="103">
        <f>SUM($AC$5:AC295)</f>
        <v>0.27728396408187045</v>
      </c>
      <c r="AE295" s="99" t="str" cm="1">
        <f t="array" ref="AE295">IF(SamplingData[[#This Row],[up/U Selection Probability]] = 0, "Zero", TEXT(SamplingData[[#This Row],[Lower Range]], REPT("0",LEN('General Info'!$B$42))) &amp; " - " &amp; TEXT(SamplingData[[#This Row],[Upper Range]], REPT("0",LEN('General Info'!$B$42))))</f>
        <v>276764 - 277283</v>
      </c>
      <c r="AF295" s="99">
        <f>SamplingData[[#This Row],[Upper Range]]-SamplingData[[#This Row],[Span]]</f>
        <v>276763.6419820413</v>
      </c>
      <c r="AG295" s="99">
        <f>IF(ISNUMBER('General Info'!$B$42), ((SamplingData[[#This Row],[up/U Selection Probability]]) * 'General Info'!$B$44) - 1, 0)</f>
        <v>519.32209982913503</v>
      </c>
      <c r="AH295" s="99">
        <f>IF(ISNUMBER('General Info'!$B$42), (SamplingData[[#This Row],[Running (cumulative) sum]] * ('General Info'!$B$42 -'General Info'!$B$43 + 1)) + 'General Info'!$B$43 - 1, 0)</f>
        <v>277282.96408187045</v>
      </c>
      <c r="AI295" s="99" t="str">
        <f>IF(ISERROR(MATCH(SamplingData[[#This Row],[Batch by Type (p)]],SelectedPrecincts[Batch Name], 0)), "", INDEX(SelectedPrecincts[Draw], MATCH(SamplingData[[#This Row],[Batch by Type (p)]],SelectedPrecincts[Batch Name], 0)))</f>
        <v/>
      </c>
      <c r="AJ295" s="100">
        <f>IF(COUNTIF(SelectedPrecincts[Batch Name],SamplingData[[#This Row],[Batch by Type (p)]]) &lt;&gt; 0, COUNTIF(SelectedPrecincts[Batch Name],SamplingData[[#This Row],[Batch by Type (p)]]), 0)</f>
        <v>0</v>
      </c>
    </row>
    <row r="296" spans="1:36" ht="15" customHeight="1" x14ac:dyDescent="0.35">
      <c r="A296" s="97" t="s">
        <v>509</v>
      </c>
      <c r="B296" s="97">
        <v>101</v>
      </c>
      <c r="C296" s="97">
        <v>120</v>
      </c>
      <c r="D296" s="92"/>
      <c r="E296" s="92"/>
      <c r="F296" s="92"/>
      <c r="G296" s="96"/>
      <c r="H296" s="96"/>
      <c r="I296" s="92"/>
      <c r="J296" s="92"/>
      <c r="K296" s="92"/>
      <c r="L296" s="92"/>
      <c r="M296" s="92"/>
      <c r="N296" s="97">
        <v>0</v>
      </c>
      <c r="O296" s="97">
        <v>21</v>
      </c>
      <c r="P296" s="98">
        <f>SUM(SamplingData[[#This Row],[Winning Candidate]:[Under Votes]])</f>
        <v>242</v>
      </c>
      <c r="Q296" s="99">
        <f>IF(AND(SamplingData[[#This Row],[Total]]&lt;&gt; 0, NOT(ISBLANK(SamplingData[[#This Row],[Losing Candidate]]))),(SamplingData[[#This Row],[Total]]+SamplingData[[#This Row],[Winning Candidate]]-SamplingData[[#This Row],[Losing Candidate]])/(SamplingData[[#Totals],[Winning Candidate]]-SamplingData[[#Totals],[Losing Candidate]]), 0)</f>
        <v>9.4635885248684441E-3</v>
      </c>
      <c r="R296" s="99">
        <f>IF(AND(SamplingData[[#This Row],[Total]]&lt;&gt; 0, NOT(ISBLANK(SamplingData[[#This Row],[Candidate 3]]))),(SamplingData[[#This Row],[Total]]+SamplingData[[#This Row],[Winning Candidate]]-SamplingData[[#This Row],[Candidate 3]])/(SamplingData[[#Totals],[Winning Candidate]]-SamplingData[[#Totals],[Candidate 3]]), 0)</f>
        <v>0</v>
      </c>
      <c r="S296" s="99">
        <f>IF(AND(SamplingData[[#This Row],[Total]]&lt;&gt; 0, NOT(ISBLANK(SamplingData[[#This Row],[Candidate 4]]))),(SamplingData[[#This Row],[Total]]+SamplingData[[#This Row],[Winning Candidate]]-SamplingData[[#This Row],[Candidate 4]])/(SamplingData[[#Totals],[Winning Candidate]]-SamplingData[[#Totals],[Candidate 4]]), 0)</f>
        <v>0</v>
      </c>
      <c r="T296" s="99">
        <f>IF(AND(SamplingData[[#This Row],[Total]]&lt;&gt; 0, NOT(ISBLANK(SamplingData[[#This Row],[Candidate 5]]))),(SamplingData[[#This Row],[Total]]+SamplingData[[#This Row],[Winning Candidate]]-SamplingData[[#This Row],[Candidate 5]])/(SamplingData[[#Totals],[Winning Candidate]]-SamplingData[[#Totals],[Candidate 5]]), 0)</f>
        <v>0</v>
      </c>
      <c r="U296" s="99">
        <f>IF(AND(SamplingData[[#This Row],[Total]]&lt;&gt; 0, NOT(ISBLANK(SamplingData[[#This Row],[Candidate 6]]))),(SamplingData[[#This Row],[Total]]+SamplingData[[#This Row],[Losing Candidate]]-SamplingData[[#This Row],[Candidate 6]])/(SamplingData[[#Totals],[Winning Candidate]]-SamplingData[[#Totals],[Candidate 6]]), 0)</f>
        <v>0</v>
      </c>
      <c r="V296" s="99">
        <f>IF(AND(SamplingData[[#This Row],[Total]]&lt;&gt; 0, NOT(ISBLANK(SamplingData[[#This Row],[Candidate 7]]))),(SamplingData[[#This Row],[Total]]+SamplingData[[#This Row],[Winning Candidate]]-SamplingData[[#This Row],[Candidate 7]])/(SamplingData[[#Totals],[Winning Candidate]]-SamplingData[[#Totals],[Candidate 7]]), 0)</f>
        <v>0</v>
      </c>
      <c r="W296" s="99">
        <f>IF(AND(SamplingData[[#This Row],[Total]]&lt;&gt; 0, NOT(ISBLANK(SamplingData[[#This Row],[Candidate 8]]))),(SamplingData[[#This Row],[Total]]+SamplingData[[#This Row],[Winning Candidate]]-SamplingData[[#This Row],[Candidate 8]])/(SamplingData[[#Totals],[Winning Candidate]]-SamplingData[[#Totals],[Candidate 8]]), 0)</f>
        <v>0</v>
      </c>
      <c r="X2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6" s="99">
        <f>MAX(SamplingData[[#This Row],[Error Bound (up) - Max. possible relative overstatement - Losing Candidate]:[Error Bound (up) - Max. possible relative overstatement - Candidate 12]])</f>
        <v>9.4635885248684441E-3</v>
      </c>
      <c r="AC296" s="99">
        <f>IF(SamplingData[[#This Row],[Max Error Bound (up)]] = 0,0,SamplingData[[#This Row],[Max Error Bound (up)]]/SamplingData[[#Totals],[Max Error Bound (up)]])</f>
        <v>5.0668920638383022E-4</v>
      </c>
      <c r="AD296" s="103">
        <f>SUM($AC$5:AC296)</f>
        <v>0.27779065328825425</v>
      </c>
      <c r="AE296" s="99" t="str" cm="1">
        <f t="array" ref="AE296">IF(SamplingData[[#This Row],[up/U Selection Probability]] = 0, "Zero", TEXT(SamplingData[[#This Row],[Lower Range]], REPT("0",LEN('General Info'!$B$42))) &amp; " - " &amp; TEXT(SamplingData[[#This Row],[Upper Range]], REPT("0",LEN('General Info'!$B$42))))</f>
        <v>277284 - 277790</v>
      </c>
      <c r="AF296" s="99">
        <f>SamplingData[[#This Row],[Upper Range]]-SamplingData[[#This Row],[Span]]</f>
        <v>277283.96408187039</v>
      </c>
      <c r="AG296" s="99">
        <f>IF(ISNUMBER('General Info'!$B$42), ((SamplingData[[#This Row],[up/U Selection Probability]]) * 'General Info'!$B$44) - 1, 0)</f>
        <v>505.6892063838302</v>
      </c>
      <c r="AH296" s="99">
        <f>IF(ISNUMBER('General Info'!$B$42), (SamplingData[[#This Row],[Running (cumulative) sum]] * ('General Info'!$B$42 -'General Info'!$B$43 + 1)) + 'General Info'!$B$43 - 1, 0)</f>
        <v>277789.65328825422</v>
      </c>
      <c r="AI296" s="99" t="str">
        <f>IF(ISERROR(MATCH(SamplingData[[#This Row],[Batch by Type (p)]],SelectedPrecincts[Batch Name], 0)), "", INDEX(SelectedPrecincts[Draw], MATCH(SamplingData[[#This Row],[Batch by Type (p)]],SelectedPrecincts[Batch Name], 0)))</f>
        <v/>
      </c>
      <c r="AJ296" s="100">
        <f>IF(COUNTIF(SelectedPrecincts[Batch Name],SamplingData[[#This Row],[Batch by Type (p)]]) &lt;&gt; 0, COUNTIF(SelectedPrecincts[Batch Name],SamplingData[[#This Row],[Batch by Type (p)]]), 0)</f>
        <v>0</v>
      </c>
    </row>
    <row r="297" spans="1:36" ht="15" customHeight="1" x14ac:dyDescent="0.35">
      <c r="A297" s="97" t="s">
        <v>510</v>
      </c>
      <c r="B297" s="97">
        <v>146</v>
      </c>
      <c r="C297" s="97">
        <v>86</v>
      </c>
      <c r="D297" s="92"/>
      <c r="E297" s="92"/>
      <c r="F297" s="92"/>
      <c r="G297" s="96"/>
      <c r="H297" s="96"/>
      <c r="I297" s="92"/>
      <c r="J297" s="92"/>
      <c r="K297" s="92"/>
      <c r="L297" s="92"/>
      <c r="M297" s="92"/>
      <c r="N297" s="97">
        <v>0</v>
      </c>
      <c r="O297" s="97">
        <v>13</v>
      </c>
      <c r="P297" s="98">
        <f>SUM(SamplingData[[#This Row],[Winning Candidate]:[Under Votes]])</f>
        <v>245</v>
      </c>
      <c r="Q297" s="99">
        <f>IF(AND(SamplingData[[#This Row],[Total]]&lt;&gt; 0, NOT(ISBLANK(SamplingData[[#This Row],[Losing Candidate]]))),(SamplingData[[#This Row],[Total]]+SamplingData[[#This Row],[Winning Candidate]]-SamplingData[[#This Row],[Losing Candidate]])/(SamplingData[[#Totals],[Winning Candidate]]-SamplingData[[#Totals],[Losing Candidate]]), 0)</f>
        <v>1.294347309455101E-2</v>
      </c>
      <c r="R297" s="99">
        <f>IF(AND(SamplingData[[#This Row],[Total]]&lt;&gt; 0, NOT(ISBLANK(SamplingData[[#This Row],[Candidate 3]]))),(SamplingData[[#This Row],[Total]]+SamplingData[[#This Row],[Winning Candidate]]-SamplingData[[#This Row],[Candidate 3]])/(SamplingData[[#Totals],[Winning Candidate]]-SamplingData[[#Totals],[Candidate 3]]), 0)</f>
        <v>0</v>
      </c>
      <c r="S297" s="99">
        <f>IF(AND(SamplingData[[#This Row],[Total]]&lt;&gt; 0, NOT(ISBLANK(SamplingData[[#This Row],[Candidate 4]]))),(SamplingData[[#This Row],[Total]]+SamplingData[[#This Row],[Winning Candidate]]-SamplingData[[#This Row],[Candidate 4]])/(SamplingData[[#Totals],[Winning Candidate]]-SamplingData[[#Totals],[Candidate 4]]), 0)</f>
        <v>0</v>
      </c>
      <c r="T297" s="99">
        <f>IF(AND(SamplingData[[#This Row],[Total]]&lt;&gt; 0, NOT(ISBLANK(SamplingData[[#This Row],[Candidate 5]]))),(SamplingData[[#This Row],[Total]]+SamplingData[[#This Row],[Winning Candidate]]-SamplingData[[#This Row],[Candidate 5]])/(SamplingData[[#Totals],[Winning Candidate]]-SamplingData[[#Totals],[Candidate 5]]), 0)</f>
        <v>0</v>
      </c>
      <c r="U297" s="99">
        <f>IF(AND(SamplingData[[#This Row],[Total]]&lt;&gt; 0, NOT(ISBLANK(SamplingData[[#This Row],[Candidate 6]]))),(SamplingData[[#This Row],[Total]]+SamplingData[[#This Row],[Losing Candidate]]-SamplingData[[#This Row],[Candidate 6]])/(SamplingData[[#Totals],[Winning Candidate]]-SamplingData[[#Totals],[Candidate 6]]), 0)</f>
        <v>0</v>
      </c>
      <c r="V297" s="99">
        <f>IF(AND(SamplingData[[#This Row],[Total]]&lt;&gt; 0, NOT(ISBLANK(SamplingData[[#This Row],[Candidate 7]]))),(SamplingData[[#This Row],[Total]]+SamplingData[[#This Row],[Winning Candidate]]-SamplingData[[#This Row],[Candidate 7]])/(SamplingData[[#Totals],[Winning Candidate]]-SamplingData[[#Totals],[Candidate 7]]), 0)</f>
        <v>0</v>
      </c>
      <c r="W297" s="99">
        <f>IF(AND(SamplingData[[#This Row],[Total]]&lt;&gt; 0, NOT(ISBLANK(SamplingData[[#This Row],[Candidate 8]]))),(SamplingData[[#This Row],[Total]]+SamplingData[[#This Row],[Winning Candidate]]-SamplingData[[#This Row],[Candidate 8]])/(SamplingData[[#Totals],[Winning Candidate]]-SamplingData[[#Totals],[Candidate 8]]), 0)</f>
        <v>0</v>
      </c>
      <c r="X2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7" s="99">
        <f>MAX(SamplingData[[#This Row],[Error Bound (up) - Max. possible relative overstatement - Losing Candidate]:[Error Bound (up) - Max. possible relative overstatement - Candidate 12]])</f>
        <v>1.294347309455101E-2</v>
      </c>
      <c r="AC297" s="99">
        <f>IF(SamplingData[[#This Row],[Max Error Bound (up)]] = 0,0,SamplingData[[#This Row],[Max Error Bound (up)]]/SamplingData[[#Totals],[Max Error Bound (up)]])</f>
        <v>6.9300541680299653E-4</v>
      </c>
      <c r="AD297" s="103">
        <f>SUM($AC$5:AC297)</f>
        <v>0.27848365870505726</v>
      </c>
      <c r="AE297" s="99" t="str" cm="1">
        <f t="array" ref="AE297">IF(SamplingData[[#This Row],[up/U Selection Probability]] = 0, "Zero", TEXT(SamplingData[[#This Row],[Lower Range]], REPT("0",LEN('General Info'!$B$42))) &amp; " - " &amp; TEXT(SamplingData[[#This Row],[Upper Range]], REPT("0",LEN('General Info'!$B$42))))</f>
        <v>277791 - 278483</v>
      </c>
      <c r="AF297" s="99">
        <f>SamplingData[[#This Row],[Upper Range]]-SamplingData[[#This Row],[Span]]</f>
        <v>277790.65328825428</v>
      </c>
      <c r="AG297" s="99">
        <f>IF(ISNUMBER('General Info'!$B$42), ((SamplingData[[#This Row],[up/U Selection Probability]]) * 'General Info'!$B$44) - 1, 0)</f>
        <v>692.00541680299648</v>
      </c>
      <c r="AH297" s="99">
        <f>IF(ISNUMBER('General Info'!$B$42), (SamplingData[[#This Row],[Running (cumulative) sum]] * ('General Info'!$B$42 -'General Info'!$B$43 + 1)) + 'General Info'!$B$43 - 1, 0)</f>
        <v>278482.65870505729</v>
      </c>
      <c r="AI297" s="99" t="str">
        <f>IF(ISERROR(MATCH(SamplingData[[#This Row],[Batch by Type (p)]],SelectedPrecincts[Batch Name], 0)), "", INDEX(SelectedPrecincts[Draw], MATCH(SamplingData[[#This Row],[Batch by Type (p)]],SelectedPrecincts[Batch Name], 0)))</f>
        <v/>
      </c>
      <c r="AJ297" s="100">
        <f>IF(COUNTIF(SelectedPrecincts[Batch Name],SamplingData[[#This Row],[Batch by Type (p)]]) &lt;&gt; 0, COUNTIF(SelectedPrecincts[Batch Name],SamplingData[[#This Row],[Batch by Type (p)]]), 0)</f>
        <v>0</v>
      </c>
    </row>
    <row r="298" spans="1:36" ht="15" customHeight="1" x14ac:dyDescent="0.35">
      <c r="A298" s="97" t="s">
        <v>511</v>
      </c>
      <c r="B298" s="97">
        <v>118</v>
      </c>
      <c r="C298" s="97">
        <v>115</v>
      </c>
      <c r="D298" s="92"/>
      <c r="E298" s="92"/>
      <c r="F298" s="92"/>
      <c r="G298" s="96"/>
      <c r="H298" s="96"/>
      <c r="I298" s="92"/>
      <c r="J298" s="92"/>
      <c r="K298" s="92"/>
      <c r="L298" s="92"/>
      <c r="M298" s="92"/>
      <c r="N298" s="97">
        <v>0</v>
      </c>
      <c r="O298" s="97">
        <v>6</v>
      </c>
      <c r="P298" s="98">
        <f>SUM(SamplingData[[#This Row],[Winning Candidate]:[Under Votes]])</f>
        <v>239</v>
      </c>
      <c r="Q298" s="99">
        <f>IF(AND(SamplingData[[#This Row],[Total]]&lt;&gt; 0, NOT(ISBLANK(SamplingData[[#This Row],[Losing Candidate]]))),(SamplingData[[#This Row],[Total]]+SamplingData[[#This Row],[Winning Candidate]]-SamplingData[[#This Row],[Losing Candidate]])/(SamplingData[[#Totals],[Winning Candidate]]-SamplingData[[#Totals],[Losing Candidate]]), 0)</f>
        <v>1.0269903242233916E-2</v>
      </c>
      <c r="R298" s="99">
        <f>IF(AND(SamplingData[[#This Row],[Total]]&lt;&gt; 0, NOT(ISBLANK(SamplingData[[#This Row],[Candidate 3]]))),(SamplingData[[#This Row],[Total]]+SamplingData[[#This Row],[Winning Candidate]]-SamplingData[[#This Row],[Candidate 3]])/(SamplingData[[#Totals],[Winning Candidate]]-SamplingData[[#Totals],[Candidate 3]]), 0)</f>
        <v>0</v>
      </c>
      <c r="S298" s="99">
        <f>IF(AND(SamplingData[[#This Row],[Total]]&lt;&gt; 0, NOT(ISBLANK(SamplingData[[#This Row],[Candidate 4]]))),(SamplingData[[#This Row],[Total]]+SamplingData[[#This Row],[Winning Candidate]]-SamplingData[[#This Row],[Candidate 4]])/(SamplingData[[#Totals],[Winning Candidate]]-SamplingData[[#Totals],[Candidate 4]]), 0)</f>
        <v>0</v>
      </c>
      <c r="T298" s="99">
        <f>IF(AND(SamplingData[[#This Row],[Total]]&lt;&gt; 0, NOT(ISBLANK(SamplingData[[#This Row],[Candidate 5]]))),(SamplingData[[#This Row],[Total]]+SamplingData[[#This Row],[Winning Candidate]]-SamplingData[[#This Row],[Candidate 5]])/(SamplingData[[#Totals],[Winning Candidate]]-SamplingData[[#Totals],[Candidate 5]]), 0)</f>
        <v>0</v>
      </c>
      <c r="U298" s="99">
        <f>IF(AND(SamplingData[[#This Row],[Total]]&lt;&gt; 0, NOT(ISBLANK(SamplingData[[#This Row],[Candidate 6]]))),(SamplingData[[#This Row],[Total]]+SamplingData[[#This Row],[Losing Candidate]]-SamplingData[[#This Row],[Candidate 6]])/(SamplingData[[#Totals],[Winning Candidate]]-SamplingData[[#Totals],[Candidate 6]]), 0)</f>
        <v>0</v>
      </c>
      <c r="V298" s="99">
        <f>IF(AND(SamplingData[[#This Row],[Total]]&lt;&gt; 0, NOT(ISBLANK(SamplingData[[#This Row],[Candidate 7]]))),(SamplingData[[#This Row],[Total]]+SamplingData[[#This Row],[Winning Candidate]]-SamplingData[[#This Row],[Candidate 7]])/(SamplingData[[#Totals],[Winning Candidate]]-SamplingData[[#Totals],[Candidate 7]]), 0)</f>
        <v>0</v>
      </c>
      <c r="W298" s="99">
        <f>IF(AND(SamplingData[[#This Row],[Total]]&lt;&gt; 0, NOT(ISBLANK(SamplingData[[#This Row],[Candidate 8]]))),(SamplingData[[#This Row],[Total]]+SamplingData[[#This Row],[Winning Candidate]]-SamplingData[[#This Row],[Candidate 8]])/(SamplingData[[#Totals],[Winning Candidate]]-SamplingData[[#Totals],[Candidate 8]]), 0)</f>
        <v>0</v>
      </c>
      <c r="X2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8" s="99">
        <f>MAX(SamplingData[[#This Row],[Error Bound (up) - Max. possible relative overstatement - Losing Candidate]:[Error Bound (up) - Max. possible relative overstatement - Candidate 12]])</f>
        <v>1.0269903242233916E-2</v>
      </c>
      <c r="AC298" s="99">
        <f>IF(SamplingData[[#This Row],[Max Error Bound (up)]] = 0,0,SamplingData[[#This Row],[Max Error Bound (up)]]/SamplingData[[#Totals],[Max Error Bound (up)]])</f>
        <v>5.4986003562729549E-4</v>
      </c>
      <c r="AD298" s="103">
        <f>SUM($AC$5:AC298)</f>
        <v>0.27903351874068455</v>
      </c>
      <c r="AE298" s="99" t="str" cm="1">
        <f t="array" ref="AE298">IF(SamplingData[[#This Row],[up/U Selection Probability]] = 0, "Zero", TEXT(SamplingData[[#This Row],[Lower Range]], REPT("0",LEN('General Info'!$B$42))) &amp; " - " &amp; TEXT(SamplingData[[#This Row],[Upper Range]], REPT("0",LEN('General Info'!$B$42))))</f>
        <v>278484 - 279033</v>
      </c>
      <c r="AF298" s="99">
        <f>SamplingData[[#This Row],[Upper Range]]-SamplingData[[#This Row],[Span]]</f>
        <v>278483.65870505723</v>
      </c>
      <c r="AG298" s="99">
        <f>IF(ISNUMBER('General Info'!$B$42), ((SamplingData[[#This Row],[up/U Selection Probability]]) * 'General Info'!$B$44) - 1, 0)</f>
        <v>548.86003562729547</v>
      </c>
      <c r="AH298" s="99">
        <f>IF(ISNUMBER('General Info'!$B$42), (SamplingData[[#This Row],[Running (cumulative) sum]] * ('General Info'!$B$42 -'General Info'!$B$43 + 1)) + 'General Info'!$B$43 - 1, 0)</f>
        <v>279032.51874068455</v>
      </c>
      <c r="AI298" s="99" t="str">
        <f>IF(ISERROR(MATCH(SamplingData[[#This Row],[Batch by Type (p)]],SelectedPrecincts[Batch Name], 0)), "", INDEX(SelectedPrecincts[Draw], MATCH(SamplingData[[#This Row],[Batch by Type (p)]],SelectedPrecincts[Batch Name], 0)))</f>
        <v/>
      </c>
      <c r="AJ298" s="100">
        <f>IF(COUNTIF(SelectedPrecincts[Batch Name],SamplingData[[#This Row],[Batch by Type (p)]]) &lt;&gt; 0, COUNTIF(SelectedPrecincts[Batch Name],SamplingData[[#This Row],[Batch by Type (p)]]), 0)</f>
        <v>0</v>
      </c>
    </row>
    <row r="299" spans="1:36" ht="15" customHeight="1" x14ac:dyDescent="0.35">
      <c r="A299" s="97" t="s">
        <v>512</v>
      </c>
      <c r="B299" s="97">
        <v>246</v>
      </c>
      <c r="C299" s="97">
        <v>239</v>
      </c>
      <c r="D299" s="92"/>
      <c r="E299" s="92"/>
      <c r="F299" s="92"/>
      <c r="G299" s="96"/>
      <c r="H299" s="96"/>
      <c r="I299" s="92"/>
      <c r="J299" s="92"/>
      <c r="K299" s="92"/>
      <c r="L299" s="92"/>
      <c r="M299" s="92"/>
      <c r="N299" s="97">
        <v>0</v>
      </c>
      <c r="O299" s="97">
        <v>17</v>
      </c>
      <c r="P299" s="98">
        <f>SUM(SamplingData[[#This Row],[Winning Candidate]:[Under Votes]])</f>
        <v>502</v>
      </c>
      <c r="Q299" s="99">
        <f>IF(AND(SamplingData[[#This Row],[Total]]&lt;&gt; 0, NOT(ISBLANK(SamplingData[[#This Row],[Losing Candidate]]))),(SamplingData[[#This Row],[Total]]+SamplingData[[#This Row],[Winning Candidate]]-SamplingData[[#This Row],[Losing Candidate]])/(SamplingData[[#Totals],[Winning Candidate]]-SamplingData[[#Totals],[Losing Candidate]]), 0)</f>
        <v>2.1600746902053981E-2</v>
      </c>
      <c r="R299" s="99">
        <f>IF(AND(SamplingData[[#This Row],[Total]]&lt;&gt; 0, NOT(ISBLANK(SamplingData[[#This Row],[Candidate 3]]))),(SamplingData[[#This Row],[Total]]+SamplingData[[#This Row],[Winning Candidate]]-SamplingData[[#This Row],[Candidate 3]])/(SamplingData[[#Totals],[Winning Candidate]]-SamplingData[[#Totals],[Candidate 3]]), 0)</f>
        <v>0</v>
      </c>
      <c r="S299" s="99">
        <f>IF(AND(SamplingData[[#This Row],[Total]]&lt;&gt; 0, NOT(ISBLANK(SamplingData[[#This Row],[Candidate 4]]))),(SamplingData[[#This Row],[Total]]+SamplingData[[#This Row],[Winning Candidate]]-SamplingData[[#This Row],[Candidate 4]])/(SamplingData[[#Totals],[Winning Candidate]]-SamplingData[[#Totals],[Candidate 4]]), 0)</f>
        <v>0</v>
      </c>
      <c r="T299" s="99">
        <f>IF(AND(SamplingData[[#This Row],[Total]]&lt;&gt; 0, NOT(ISBLANK(SamplingData[[#This Row],[Candidate 5]]))),(SamplingData[[#This Row],[Total]]+SamplingData[[#This Row],[Winning Candidate]]-SamplingData[[#This Row],[Candidate 5]])/(SamplingData[[#Totals],[Winning Candidate]]-SamplingData[[#Totals],[Candidate 5]]), 0)</f>
        <v>0</v>
      </c>
      <c r="U299" s="99">
        <f>IF(AND(SamplingData[[#This Row],[Total]]&lt;&gt; 0, NOT(ISBLANK(SamplingData[[#This Row],[Candidate 6]]))),(SamplingData[[#This Row],[Total]]+SamplingData[[#This Row],[Losing Candidate]]-SamplingData[[#This Row],[Candidate 6]])/(SamplingData[[#Totals],[Winning Candidate]]-SamplingData[[#Totals],[Candidate 6]]), 0)</f>
        <v>0</v>
      </c>
      <c r="V299" s="99">
        <f>IF(AND(SamplingData[[#This Row],[Total]]&lt;&gt; 0, NOT(ISBLANK(SamplingData[[#This Row],[Candidate 7]]))),(SamplingData[[#This Row],[Total]]+SamplingData[[#This Row],[Winning Candidate]]-SamplingData[[#This Row],[Candidate 7]])/(SamplingData[[#Totals],[Winning Candidate]]-SamplingData[[#Totals],[Candidate 7]]), 0)</f>
        <v>0</v>
      </c>
      <c r="W299" s="99">
        <f>IF(AND(SamplingData[[#This Row],[Total]]&lt;&gt; 0, NOT(ISBLANK(SamplingData[[#This Row],[Candidate 8]]))),(SamplingData[[#This Row],[Total]]+SamplingData[[#This Row],[Winning Candidate]]-SamplingData[[#This Row],[Candidate 8]])/(SamplingData[[#Totals],[Winning Candidate]]-SamplingData[[#Totals],[Candidate 8]]), 0)</f>
        <v>0</v>
      </c>
      <c r="X2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9" s="99">
        <f>MAX(SamplingData[[#This Row],[Error Bound (up) - Max. possible relative overstatement - Losing Candidate]:[Error Bound (up) - Max. possible relative overstatement - Candidate 12]])</f>
        <v>2.1600746902053981E-2</v>
      </c>
      <c r="AC299" s="99">
        <f>IF(SamplingData[[#This Row],[Max Error Bound (up)]] = 0,0,SamplingData[[#This Row],[Max Error Bound (up)]]/SamplingData[[#Totals],[Max Error Bound (up)]])</f>
        <v>1.1565237939433614E-3</v>
      </c>
      <c r="AD299" s="103">
        <f>SUM($AC$5:AC299)</f>
        <v>0.28019004253462793</v>
      </c>
      <c r="AE299" s="99" t="str" cm="1">
        <f t="array" ref="AE299">IF(SamplingData[[#This Row],[up/U Selection Probability]] = 0, "Zero", TEXT(SamplingData[[#This Row],[Lower Range]], REPT("0",LEN('General Info'!$B$42))) &amp; " - " &amp; TEXT(SamplingData[[#This Row],[Upper Range]], REPT("0",LEN('General Info'!$B$42))))</f>
        <v>279034 - 280189</v>
      </c>
      <c r="AF299" s="99">
        <f>SamplingData[[#This Row],[Upper Range]]-SamplingData[[#This Row],[Span]]</f>
        <v>279033.51874068461</v>
      </c>
      <c r="AG299" s="99">
        <f>IF(ISNUMBER('General Info'!$B$42), ((SamplingData[[#This Row],[up/U Selection Probability]]) * 'General Info'!$B$44) - 1, 0)</f>
        <v>1155.5237939433614</v>
      </c>
      <c r="AH299" s="99">
        <f>IF(ISNUMBER('General Info'!$B$42), (SamplingData[[#This Row],[Running (cumulative) sum]] * ('General Info'!$B$42 -'General Info'!$B$43 + 1)) + 'General Info'!$B$43 - 1, 0)</f>
        <v>280189.04253462795</v>
      </c>
      <c r="AI299" s="99" t="str">
        <f>IF(ISERROR(MATCH(SamplingData[[#This Row],[Batch by Type (p)]],SelectedPrecincts[Batch Name], 0)), "", INDEX(SelectedPrecincts[Draw], MATCH(SamplingData[[#This Row],[Batch by Type (p)]],SelectedPrecincts[Batch Name], 0)))</f>
        <v/>
      </c>
      <c r="AJ299" s="100">
        <f>IF(COUNTIF(SelectedPrecincts[Batch Name],SamplingData[[#This Row],[Batch by Type (p)]]) &lt;&gt; 0, COUNTIF(SelectedPrecincts[Batch Name],SamplingData[[#This Row],[Batch by Type (p)]]), 0)</f>
        <v>0</v>
      </c>
    </row>
    <row r="300" spans="1:36" ht="15" customHeight="1" x14ac:dyDescent="0.35">
      <c r="A300" s="97" t="s">
        <v>513</v>
      </c>
      <c r="B300" s="97">
        <v>71</v>
      </c>
      <c r="C300" s="97">
        <v>124</v>
      </c>
      <c r="D300" s="92"/>
      <c r="E300" s="92"/>
      <c r="F300" s="92"/>
      <c r="G300" s="96"/>
      <c r="H300" s="96"/>
      <c r="I300" s="92"/>
      <c r="J300" s="92"/>
      <c r="K300" s="92"/>
      <c r="L300" s="92"/>
      <c r="M300" s="92"/>
      <c r="N300" s="97">
        <v>0</v>
      </c>
      <c r="O300" s="97">
        <v>18</v>
      </c>
      <c r="P300" s="98">
        <f>SUM(SamplingData[[#This Row],[Winning Candidate]:[Under Votes]])</f>
        <v>213</v>
      </c>
      <c r="Q300" s="99">
        <f>IF(AND(SamplingData[[#This Row],[Total]]&lt;&gt; 0, NOT(ISBLANK(SamplingData[[#This Row],[Losing Candidate]]))),(SamplingData[[#This Row],[Total]]+SamplingData[[#This Row],[Winning Candidate]]-SamplingData[[#This Row],[Losing Candidate]])/(SamplingData[[#Totals],[Winning Candidate]]-SamplingData[[#Totals],[Losing Candidate]]), 0)</f>
        <v>6.7900186725513498E-3</v>
      </c>
      <c r="R300" s="99">
        <f>IF(AND(SamplingData[[#This Row],[Total]]&lt;&gt; 0, NOT(ISBLANK(SamplingData[[#This Row],[Candidate 3]]))),(SamplingData[[#This Row],[Total]]+SamplingData[[#This Row],[Winning Candidate]]-SamplingData[[#This Row],[Candidate 3]])/(SamplingData[[#Totals],[Winning Candidate]]-SamplingData[[#Totals],[Candidate 3]]), 0)</f>
        <v>0</v>
      </c>
      <c r="S300" s="99">
        <f>IF(AND(SamplingData[[#This Row],[Total]]&lt;&gt; 0, NOT(ISBLANK(SamplingData[[#This Row],[Candidate 4]]))),(SamplingData[[#This Row],[Total]]+SamplingData[[#This Row],[Winning Candidate]]-SamplingData[[#This Row],[Candidate 4]])/(SamplingData[[#Totals],[Winning Candidate]]-SamplingData[[#Totals],[Candidate 4]]), 0)</f>
        <v>0</v>
      </c>
      <c r="T300" s="99">
        <f>IF(AND(SamplingData[[#This Row],[Total]]&lt;&gt; 0, NOT(ISBLANK(SamplingData[[#This Row],[Candidate 5]]))),(SamplingData[[#This Row],[Total]]+SamplingData[[#This Row],[Winning Candidate]]-SamplingData[[#This Row],[Candidate 5]])/(SamplingData[[#Totals],[Winning Candidate]]-SamplingData[[#Totals],[Candidate 5]]), 0)</f>
        <v>0</v>
      </c>
      <c r="U300" s="99">
        <f>IF(AND(SamplingData[[#This Row],[Total]]&lt;&gt; 0, NOT(ISBLANK(SamplingData[[#This Row],[Candidate 6]]))),(SamplingData[[#This Row],[Total]]+SamplingData[[#This Row],[Losing Candidate]]-SamplingData[[#This Row],[Candidate 6]])/(SamplingData[[#Totals],[Winning Candidate]]-SamplingData[[#Totals],[Candidate 6]]), 0)</f>
        <v>0</v>
      </c>
      <c r="V300" s="99">
        <f>IF(AND(SamplingData[[#This Row],[Total]]&lt;&gt; 0, NOT(ISBLANK(SamplingData[[#This Row],[Candidate 7]]))),(SamplingData[[#This Row],[Total]]+SamplingData[[#This Row],[Winning Candidate]]-SamplingData[[#This Row],[Candidate 7]])/(SamplingData[[#Totals],[Winning Candidate]]-SamplingData[[#Totals],[Candidate 7]]), 0)</f>
        <v>0</v>
      </c>
      <c r="W300" s="99">
        <f>IF(AND(SamplingData[[#This Row],[Total]]&lt;&gt; 0, NOT(ISBLANK(SamplingData[[#This Row],[Candidate 8]]))),(SamplingData[[#This Row],[Total]]+SamplingData[[#This Row],[Winning Candidate]]-SamplingData[[#This Row],[Candidate 8]])/(SamplingData[[#Totals],[Winning Candidate]]-SamplingData[[#Totals],[Candidate 8]]), 0)</f>
        <v>0</v>
      </c>
      <c r="X3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0" s="99">
        <f>MAX(SamplingData[[#This Row],[Error Bound (up) - Max. possible relative overstatement - Losing Candidate]:[Error Bound (up) - Max. possible relative overstatement - Candidate 12]])</f>
        <v>6.7900186725513498E-3</v>
      </c>
      <c r="AC300" s="99">
        <f>IF(SamplingData[[#This Row],[Max Error Bound (up)]] = 0,0,SamplingData[[#This Row],[Max Error Bound (up)]]/SamplingData[[#Totals],[Max Error Bound (up)]])</f>
        <v>3.6354382520812934E-4</v>
      </c>
      <c r="AD300" s="103">
        <f>SUM($AC$5:AC300)</f>
        <v>0.28055358635983607</v>
      </c>
      <c r="AE300" s="99" t="str" cm="1">
        <f t="array" ref="AE300">IF(SamplingData[[#This Row],[up/U Selection Probability]] = 0, "Zero", TEXT(SamplingData[[#This Row],[Lower Range]], REPT("0",LEN('General Info'!$B$42))) &amp; " - " &amp; TEXT(SamplingData[[#This Row],[Upper Range]], REPT("0",LEN('General Info'!$B$42))))</f>
        <v>280190 - 280553</v>
      </c>
      <c r="AF300" s="99">
        <f>SamplingData[[#This Row],[Upper Range]]-SamplingData[[#This Row],[Span]]</f>
        <v>280190.04253462789</v>
      </c>
      <c r="AG300" s="99">
        <f>IF(ISNUMBER('General Info'!$B$42), ((SamplingData[[#This Row],[up/U Selection Probability]]) * 'General Info'!$B$44) - 1, 0)</f>
        <v>362.54382520812936</v>
      </c>
      <c r="AH300" s="99">
        <f>IF(ISNUMBER('General Info'!$B$42), (SamplingData[[#This Row],[Running (cumulative) sum]] * ('General Info'!$B$42 -'General Info'!$B$43 + 1)) + 'General Info'!$B$43 - 1, 0)</f>
        <v>280552.58635983604</v>
      </c>
      <c r="AI300" s="99" t="str">
        <f>IF(ISERROR(MATCH(SamplingData[[#This Row],[Batch by Type (p)]],SelectedPrecincts[Batch Name], 0)), "", INDEX(SelectedPrecincts[Draw], MATCH(SamplingData[[#This Row],[Batch by Type (p)]],SelectedPrecincts[Batch Name], 0)))</f>
        <v/>
      </c>
      <c r="AJ300" s="100">
        <f>IF(COUNTIF(SelectedPrecincts[Batch Name],SamplingData[[#This Row],[Batch by Type (p)]]) &lt;&gt; 0, COUNTIF(SelectedPrecincts[Batch Name],SamplingData[[#This Row],[Batch by Type (p)]]), 0)</f>
        <v>0</v>
      </c>
    </row>
    <row r="301" spans="1:36" ht="15" customHeight="1" x14ac:dyDescent="0.35">
      <c r="A301" s="97" t="s">
        <v>514</v>
      </c>
      <c r="B301" s="97">
        <v>153</v>
      </c>
      <c r="C301" s="97">
        <v>187</v>
      </c>
      <c r="D301" s="92"/>
      <c r="E301" s="92"/>
      <c r="F301" s="92"/>
      <c r="G301" s="96"/>
      <c r="H301" s="96"/>
      <c r="I301" s="92"/>
      <c r="J301" s="92"/>
      <c r="K301" s="92"/>
      <c r="L301" s="92"/>
      <c r="M301" s="92"/>
      <c r="N301" s="97">
        <v>1</v>
      </c>
      <c r="O301" s="97">
        <v>20</v>
      </c>
      <c r="P301" s="98">
        <f>SUM(SamplingData[[#This Row],[Winning Candidate]:[Under Votes]])</f>
        <v>361</v>
      </c>
      <c r="Q301" s="99">
        <f>IF(AND(SamplingData[[#This Row],[Total]]&lt;&gt; 0, NOT(ISBLANK(SamplingData[[#This Row],[Losing Candidate]]))),(SamplingData[[#This Row],[Total]]+SamplingData[[#This Row],[Winning Candidate]]-SamplingData[[#This Row],[Losing Candidate]])/(SamplingData[[#Totals],[Winning Candidate]]-SamplingData[[#Totals],[Losing Candidate]]), 0)</f>
        <v>1.387710066202682E-2</v>
      </c>
      <c r="R301" s="99">
        <f>IF(AND(SamplingData[[#This Row],[Total]]&lt;&gt; 0, NOT(ISBLANK(SamplingData[[#This Row],[Candidate 3]]))),(SamplingData[[#This Row],[Total]]+SamplingData[[#This Row],[Winning Candidate]]-SamplingData[[#This Row],[Candidate 3]])/(SamplingData[[#Totals],[Winning Candidate]]-SamplingData[[#Totals],[Candidate 3]]), 0)</f>
        <v>0</v>
      </c>
      <c r="S301" s="99">
        <f>IF(AND(SamplingData[[#This Row],[Total]]&lt;&gt; 0, NOT(ISBLANK(SamplingData[[#This Row],[Candidate 4]]))),(SamplingData[[#This Row],[Total]]+SamplingData[[#This Row],[Winning Candidate]]-SamplingData[[#This Row],[Candidate 4]])/(SamplingData[[#Totals],[Winning Candidate]]-SamplingData[[#Totals],[Candidate 4]]), 0)</f>
        <v>0</v>
      </c>
      <c r="T301" s="99">
        <f>IF(AND(SamplingData[[#This Row],[Total]]&lt;&gt; 0, NOT(ISBLANK(SamplingData[[#This Row],[Candidate 5]]))),(SamplingData[[#This Row],[Total]]+SamplingData[[#This Row],[Winning Candidate]]-SamplingData[[#This Row],[Candidate 5]])/(SamplingData[[#Totals],[Winning Candidate]]-SamplingData[[#Totals],[Candidate 5]]), 0)</f>
        <v>0</v>
      </c>
      <c r="U301" s="99">
        <f>IF(AND(SamplingData[[#This Row],[Total]]&lt;&gt; 0, NOT(ISBLANK(SamplingData[[#This Row],[Candidate 6]]))),(SamplingData[[#This Row],[Total]]+SamplingData[[#This Row],[Losing Candidate]]-SamplingData[[#This Row],[Candidate 6]])/(SamplingData[[#Totals],[Winning Candidate]]-SamplingData[[#Totals],[Candidate 6]]), 0)</f>
        <v>0</v>
      </c>
      <c r="V301" s="99">
        <f>IF(AND(SamplingData[[#This Row],[Total]]&lt;&gt; 0, NOT(ISBLANK(SamplingData[[#This Row],[Candidate 7]]))),(SamplingData[[#This Row],[Total]]+SamplingData[[#This Row],[Winning Candidate]]-SamplingData[[#This Row],[Candidate 7]])/(SamplingData[[#Totals],[Winning Candidate]]-SamplingData[[#Totals],[Candidate 7]]), 0)</f>
        <v>0</v>
      </c>
      <c r="W301" s="99">
        <f>IF(AND(SamplingData[[#This Row],[Total]]&lt;&gt; 0, NOT(ISBLANK(SamplingData[[#This Row],[Candidate 8]]))),(SamplingData[[#This Row],[Total]]+SamplingData[[#This Row],[Winning Candidate]]-SamplingData[[#This Row],[Candidate 8]])/(SamplingData[[#Totals],[Winning Candidate]]-SamplingData[[#Totals],[Candidate 8]]), 0)</f>
        <v>0</v>
      </c>
      <c r="X3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1" s="99">
        <f>MAX(SamplingData[[#This Row],[Error Bound (up) - Max. possible relative overstatement - Losing Candidate]:[Error Bound (up) - Max. possible relative overstatement - Candidate 12]])</f>
        <v>1.387710066202682E-2</v>
      </c>
      <c r="AC301" s="99">
        <f>IF(SamplingData[[#This Row],[Max Error Bound (up)]] = 0,0,SamplingData[[#This Row],[Max Error Bound (up)]]/SamplingData[[#Totals],[Max Error Bound (up)]])</f>
        <v>7.4299269276911425E-4</v>
      </c>
      <c r="AD301" s="103">
        <f>SUM($AC$5:AC301)</f>
        <v>0.28129657905260519</v>
      </c>
      <c r="AE301" s="99" t="str" cm="1">
        <f t="array" ref="AE301">IF(SamplingData[[#This Row],[up/U Selection Probability]] = 0, "Zero", TEXT(SamplingData[[#This Row],[Lower Range]], REPT("0",LEN('General Info'!$B$42))) &amp; " - " &amp; TEXT(SamplingData[[#This Row],[Upper Range]], REPT("0",LEN('General Info'!$B$42))))</f>
        <v>280554 - 281296</v>
      </c>
      <c r="AF301" s="99">
        <f>SamplingData[[#This Row],[Upper Range]]-SamplingData[[#This Row],[Span]]</f>
        <v>280553.5863598361</v>
      </c>
      <c r="AG301" s="99">
        <f>IF(ISNUMBER('General Info'!$B$42), ((SamplingData[[#This Row],[up/U Selection Probability]]) * 'General Info'!$B$44) - 1, 0)</f>
        <v>741.99269276911423</v>
      </c>
      <c r="AH301" s="99">
        <f>IF(ISNUMBER('General Info'!$B$42), (SamplingData[[#This Row],[Running (cumulative) sum]] * ('General Info'!$B$42 -'General Info'!$B$43 + 1)) + 'General Info'!$B$43 - 1, 0)</f>
        <v>281295.5790526052</v>
      </c>
      <c r="AI301" s="99" t="str">
        <f>IF(ISERROR(MATCH(SamplingData[[#This Row],[Batch by Type (p)]],SelectedPrecincts[Batch Name], 0)), "", INDEX(SelectedPrecincts[Draw], MATCH(SamplingData[[#This Row],[Batch by Type (p)]],SelectedPrecincts[Batch Name], 0)))</f>
        <v/>
      </c>
      <c r="AJ301" s="100">
        <f>IF(COUNTIF(SelectedPrecincts[Batch Name],SamplingData[[#This Row],[Batch by Type (p)]]) &lt;&gt; 0, COUNTIF(SelectedPrecincts[Batch Name],SamplingData[[#This Row],[Batch by Type (p)]]), 0)</f>
        <v>0</v>
      </c>
    </row>
    <row r="302" spans="1:36" ht="15" customHeight="1" x14ac:dyDescent="0.35">
      <c r="A302" s="97" t="s">
        <v>515</v>
      </c>
      <c r="B302" s="97">
        <v>193</v>
      </c>
      <c r="C302" s="97">
        <v>190</v>
      </c>
      <c r="D302" s="92"/>
      <c r="E302" s="92"/>
      <c r="F302" s="92"/>
      <c r="G302" s="96"/>
      <c r="H302" s="96"/>
      <c r="I302" s="92"/>
      <c r="J302" s="92"/>
      <c r="K302" s="92"/>
      <c r="L302" s="92"/>
      <c r="M302" s="92"/>
      <c r="N302" s="97">
        <v>0</v>
      </c>
      <c r="O302" s="97">
        <v>28</v>
      </c>
      <c r="P302" s="98">
        <f>SUM(SamplingData[[#This Row],[Winning Candidate]:[Under Votes]])</f>
        <v>411</v>
      </c>
      <c r="Q302" s="99">
        <f>IF(AND(SamplingData[[#This Row],[Total]]&lt;&gt; 0, NOT(ISBLANK(SamplingData[[#This Row],[Losing Candidate]]))),(SamplingData[[#This Row],[Total]]+SamplingData[[#This Row],[Winning Candidate]]-SamplingData[[#This Row],[Losing Candidate]])/(SamplingData[[#Totals],[Winning Candidate]]-SamplingData[[#Totals],[Losing Candidate]]), 0)</f>
        <v>1.7569173315226616E-2</v>
      </c>
      <c r="R302" s="99">
        <f>IF(AND(SamplingData[[#This Row],[Total]]&lt;&gt; 0, NOT(ISBLANK(SamplingData[[#This Row],[Candidate 3]]))),(SamplingData[[#This Row],[Total]]+SamplingData[[#This Row],[Winning Candidate]]-SamplingData[[#This Row],[Candidate 3]])/(SamplingData[[#Totals],[Winning Candidate]]-SamplingData[[#Totals],[Candidate 3]]), 0)</f>
        <v>0</v>
      </c>
      <c r="S302" s="99">
        <f>IF(AND(SamplingData[[#This Row],[Total]]&lt;&gt; 0, NOT(ISBLANK(SamplingData[[#This Row],[Candidate 4]]))),(SamplingData[[#This Row],[Total]]+SamplingData[[#This Row],[Winning Candidate]]-SamplingData[[#This Row],[Candidate 4]])/(SamplingData[[#Totals],[Winning Candidate]]-SamplingData[[#Totals],[Candidate 4]]), 0)</f>
        <v>0</v>
      </c>
      <c r="T302" s="99">
        <f>IF(AND(SamplingData[[#This Row],[Total]]&lt;&gt; 0, NOT(ISBLANK(SamplingData[[#This Row],[Candidate 5]]))),(SamplingData[[#This Row],[Total]]+SamplingData[[#This Row],[Winning Candidate]]-SamplingData[[#This Row],[Candidate 5]])/(SamplingData[[#Totals],[Winning Candidate]]-SamplingData[[#Totals],[Candidate 5]]), 0)</f>
        <v>0</v>
      </c>
      <c r="U302" s="99">
        <f>IF(AND(SamplingData[[#This Row],[Total]]&lt;&gt; 0, NOT(ISBLANK(SamplingData[[#This Row],[Candidate 6]]))),(SamplingData[[#This Row],[Total]]+SamplingData[[#This Row],[Losing Candidate]]-SamplingData[[#This Row],[Candidate 6]])/(SamplingData[[#Totals],[Winning Candidate]]-SamplingData[[#Totals],[Candidate 6]]), 0)</f>
        <v>0</v>
      </c>
      <c r="V302" s="99">
        <f>IF(AND(SamplingData[[#This Row],[Total]]&lt;&gt; 0, NOT(ISBLANK(SamplingData[[#This Row],[Candidate 7]]))),(SamplingData[[#This Row],[Total]]+SamplingData[[#This Row],[Winning Candidate]]-SamplingData[[#This Row],[Candidate 7]])/(SamplingData[[#Totals],[Winning Candidate]]-SamplingData[[#Totals],[Candidate 7]]), 0)</f>
        <v>0</v>
      </c>
      <c r="W302" s="99">
        <f>IF(AND(SamplingData[[#This Row],[Total]]&lt;&gt; 0, NOT(ISBLANK(SamplingData[[#This Row],[Candidate 8]]))),(SamplingData[[#This Row],[Total]]+SamplingData[[#This Row],[Winning Candidate]]-SamplingData[[#This Row],[Candidate 8]])/(SamplingData[[#Totals],[Winning Candidate]]-SamplingData[[#Totals],[Candidate 8]]), 0)</f>
        <v>0</v>
      </c>
      <c r="X3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2" s="99">
        <f>MAX(SamplingData[[#This Row],[Error Bound (up) - Max. possible relative overstatement - Losing Candidate]:[Error Bound (up) - Max. possible relative overstatement - Candidate 12]])</f>
        <v>1.7569173315226616E-2</v>
      </c>
      <c r="AC302" s="99">
        <f>IF(SamplingData[[#This Row],[Max Error Bound (up)]] = 0,0,SamplingData[[#This Row],[Max Error Bound (up)]]/SamplingData[[#Totals],[Max Error Bound (up)]])</f>
        <v>9.4066964772603458E-4</v>
      </c>
      <c r="AD302" s="103">
        <f>SUM($AC$5:AC302)</f>
        <v>0.28223724870033123</v>
      </c>
      <c r="AE302" s="99" t="str" cm="1">
        <f t="array" ref="AE302">IF(SamplingData[[#This Row],[up/U Selection Probability]] = 0, "Zero", TEXT(SamplingData[[#This Row],[Lower Range]], REPT("0",LEN('General Info'!$B$42))) &amp; " - " &amp; TEXT(SamplingData[[#This Row],[Upper Range]], REPT("0",LEN('General Info'!$B$42))))</f>
        <v>281297 - 282236</v>
      </c>
      <c r="AF302" s="99">
        <f>SamplingData[[#This Row],[Upper Range]]-SamplingData[[#This Row],[Span]]</f>
        <v>281296.5790526052</v>
      </c>
      <c r="AG302" s="99">
        <f>IF(ISNUMBER('General Info'!$B$42), ((SamplingData[[#This Row],[up/U Selection Probability]]) * 'General Info'!$B$44) - 1, 0)</f>
        <v>939.66964772603455</v>
      </c>
      <c r="AH302" s="99">
        <f>IF(ISNUMBER('General Info'!$B$42), (SamplingData[[#This Row],[Running (cumulative) sum]] * ('General Info'!$B$42 -'General Info'!$B$43 + 1)) + 'General Info'!$B$43 - 1, 0)</f>
        <v>282236.24870033126</v>
      </c>
      <c r="AI302" s="99" t="str">
        <f>IF(ISERROR(MATCH(SamplingData[[#This Row],[Batch by Type (p)]],SelectedPrecincts[Batch Name], 0)), "", INDEX(SelectedPrecincts[Draw], MATCH(SamplingData[[#This Row],[Batch by Type (p)]],SelectedPrecincts[Batch Name], 0)))</f>
        <v/>
      </c>
      <c r="AJ302" s="100">
        <f>IF(COUNTIF(SelectedPrecincts[Batch Name],SamplingData[[#This Row],[Batch by Type (p)]]) &lt;&gt; 0, COUNTIF(SelectedPrecincts[Batch Name],SamplingData[[#This Row],[Batch by Type (p)]]), 0)</f>
        <v>0</v>
      </c>
    </row>
    <row r="303" spans="1:36" ht="15" customHeight="1" x14ac:dyDescent="0.35">
      <c r="A303" s="97" t="s">
        <v>516</v>
      </c>
      <c r="B303" s="97">
        <v>157</v>
      </c>
      <c r="C303" s="97">
        <v>46</v>
      </c>
      <c r="D303" s="92"/>
      <c r="E303" s="92"/>
      <c r="F303" s="92"/>
      <c r="G303" s="96"/>
      <c r="H303" s="96"/>
      <c r="I303" s="92"/>
      <c r="J303" s="92"/>
      <c r="K303" s="92"/>
      <c r="L303" s="92"/>
      <c r="M303" s="92"/>
      <c r="N303" s="97">
        <v>0</v>
      </c>
      <c r="O303" s="97">
        <v>10</v>
      </c>
      <c r="P303" s="98">
        <f>SUM(SamplingData[[#This Row],[Winning Candidate]:[Under Votes]])</f>
        <v>213</v>
      </c>
      <c r="Q303" s="99">
        <f>IF(AND(SamplingData[[#This Row],[Total]]&lt;&gt; 0, NOT(ISBLANK(SamplingData[[#This Row],[Losing Candidate]]))),(SamplingData[[#This Row],[Total]]+SamplingData[[#This Row],[Winning Candidate]]-SamplingData[[#This Row],[Losing Candidate]])/(SamplingData[[#Totals],[Winning Candidate]]-SamplingData[[#Totals],[Losing Candidate]]), 0)</f>
        <v>1.3749787811916483E-2</v>
      </c>
      <c r="R303" s="99">
        <f>IF(AND(SamplingData[[#This Row],[Total]]&lt;&gt; 0, NOT(ISBLANK(SamplingData[[#This Row],[Candidate 3]]))),(SamplingData[[#This Row],[Total]]+SamplingData[[#This Row],[Winning Candidate]]-SamplingData[[#This Row],[Candidate 3]])/(SamplingData[[#Totals],[Winning Candidate]]-SamplingData[[#Totals],[Candidate 3]]), 0)</f>
        <v>0</v>
      </c>
      <c r="S303" s="99">
        <f>IF(AND(SamplingData[[#This Row],[Total]]&lt;&gt; 0, NOT(ISBLANK(SamplingData[[#This Row],[Candidate 4]]))),(SamplingData[[#This Row],[Total]]+SamplingData[[#This Row],[Winning Candidate]]-SamplingData[[#This Row],[Candidate 4]])/(SamplingData[[#Totals],[Winning Candidate]]-SamplingData[[#Totals],[Candidate 4]]), 0)</f>
        <v>0</v>
      </c>
      <c r="T303" s="99">
        <f>IF(AND(SamplingData[[#This Row],[Total]]&lt;&gt; 0, NOT(ISBLANK(SamplingData[[#This Row],[Candidate 5]]))),(SamplingData[[#This Row],[Total]]+SamplingData[[#This Row],[Winning Candidate]]-SamplingData[[#This Row],[Candidate 5]])/(SamplingData[[#Totals],[Winning Candidate]]-SamplingData[[#Totals],[Candidate 5]]), 0)</f>
        <v>0</v>
      </c>
      <c r="U303" s="99">
        <f>IF(AND(SamplingData[[#This Row],[Total]]&lt;&gt; 0, NOT(ISBLANK(SamplingData[[#This Row],[Candidate 6]]))),(SamplingData[[#This Row],[Total]]+SamplingData[[#This Row],[Losing Candidate]]-SamplingData[[#This Row],[Candidate 6]])/(SamplingData[[#Totals],[Winning Candidate]]-SamplingData[[#Totals],[Candidate 6]]), 0)</f>
        <v>0</v>
      </c>
      <c r="V303" s="99">
        <f>IF(AND(SamplingData[[#This Row],[Total]]&lt;&gt; 0, NOT(ISBLANK(SamplingData[[#This Row],[Candidate 7]]))),(SamplingData[[#This Row],[Total]]+SamplingData[[#This Row],[Winning Candidate]]-SamplingData[[#This Row],[Candidate 7]])/(SamplingData[[#Totals],[Winning Candidate]]-SamplingData[[#Totals],[Candidate 7]]), 0)</f>
        <v>0</v>
      </c>
      <c r="W303" s="99">
        <f>IF(AND(SamplingData[[#This Row],[Total]]&lt;&gt; 0, NOT(ISBLANK(SamplingData[[#This Row],[Candidate 8]]))),(SamplingData[[#This Row],[Total]]+SamplingData[[#This Row],[Winning Candidate]]-SamplingData[[#This Row],[Candidate 8]])/(SamplingData[[#Totals],[Winning Candidate]]-SamplingData[[#Totals],[Candidate 8]]), 0)</f>
        <v>0</v>
      </c>
      <c r="X3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3" s="99">
        <f>MAX(SamplingData[[#This Row],[Error Bound (up) - Max. possible relative overstatement - Losing Candidate]:[Error Bound (up) - Max. possible relative overstatement - Candidate 12]])</f>
        <v>1.3749787811916483E-2</v>
      </c>
      <c r="AC303" s="99">
        <f>IF(SamplingData[[#This Row],[Max Error Bound (up)]] = 0,0,SamplingData[[#This Row],[Max Error Bound (up)]]/SamplingData[[#Totals],[Max Error Bound (up)]])</f>
        <v>7.3617624604646191E-4</v>
      </c>
      <c r="AD303" s="103">
        <f>SUM($AC$5:AC303)</f>
        <v>0.28297342494637767</v>
      </c>
      <c r="AE303" s="99" t="str" cm="1">
        <f t="array" ref="AE303">IF(SamplingData[[#This Row],[up/U Selection Probability]] = 0, "Zero", TEXT(SamplingData[[#This Row],[Lower Range]], REPT("0",LEN('General Info'!$B$42))) &amp; " - " &amp; TEXT(SamplingData[[#This Row],[Upper Range]], REPT("0",LEN('General Info'!$B$42))))</f>
        <v>282237 - 282972</v>
      </c>
      <c r="AF303" s="99">
        <f>SamplingData[[#This Row],[Upper Range]]-SamplingData[[#This Row],[Span]]</f>
        <v>282237.24870033126</v>
      </c>
      <c r="AG303" s="99">
        <f>IF(ISNUMBER('General Info'!$B$42), ((SamplingData[[#This Row],[up/U Selection Probability]]) * 'General Info'!$B$44) - 1, 0)</f>
        <v>735.17624604646187</v>
      </c>
      <c r="AH303" s="99">
        <f>IF(ISNUMBER('General Info'!$B$42), (SamplingData[[#This Row],[Running (cumulative) sum]] * ('General Info'!$B$42 -'General Info'!$B$43 + 1)) + 'General Info'!$B$43 - 1, 0)</f>
        <v>282972.42494637769</v>
      </c>
      <c r="AI303" s="99" t="str">
        <f>IF(ISERROR(MATCH(SamplingData[[#This Row],[Batch by Type (p)]],SelectedPrecincts[Batch Name], 0)), "", INDEX(SelectedPrecincts[Draw], MATCH(SamplingData[[#This Row],[Batch by Type (p)]],SelectedPrecincts[Batch Name], 0)))</f>
        <v/>
      </c>
      <c r="AJ303" s="100">
        <f>IF(COUNTIF(SelectedPrecincts[Batch Name],SamplingData[[#This Row],[Batch by Type (p)]]) &lt;&gt; 0, COUNTIF(SelectedPrecincts[Batch Name],SamplingData[[#This Row],[Batch by Type (p)]]), 0)</f>
        <v>0</v>
      </c>
    </row>
    <row r="304" spans="1:36" ht="15" customHeight="1" x14ac:dyDescent="0.35">
      <c r="A304" s="97" t="s">
        <v>517</v>
      </c>
      <c r="B304" s="97">
        <v>193</v>
      </c>
      <c r="C304" s="97">
        <v>90</v>
      </c>
      <c r="D304" s="92"/>
      <c r="E304" s="92"/>
      <c r="F304" s="92"/>
      <c r="G304" s="96"/>
      <c r="H304" s="96"/>
      <c r="I304" s="92"/>
      <c r="J304" s="92"/>
      <c r="K304" s="92"/>
      <c r="L304" s="92"/>
      <c r="M304" s="92"/>
      <c r="N304" s="97">
        <v>0</v>
      </c>
      <c r="O304" s="97">
        <v>12</v>
      </c>
      <c r="P304" s="98">
        <f>SUM(SamplingData[[#This Row],[Winning Candidate]:[Under Votes]])</f>
        <v>295</v>
      </c>
      <c r="Q304" s="99">
        <f>IF(AND(SamplingData[[#This Row],[Total]]&lt;&gt; 0, NOT(ISBLANK(SamplingData[[#This Row],[Losing Candidate]]))),(SamplingData[[#This Row],[Total]]+SamplingData[[#This Row],[Winning Candidate]]-SamplingData[[#This Row],[Losing Candidate]])/(SamplingData[[#Totals],[Winning Candidate]]-SamplingData[[#Totals],[Losing Candidate]]), 0)</f>
        <v>1.6890171447971482E-2</v>
      </c>
      <c r="R304" s="99">
        <f>IF(AND(SamplingData[[#This Row],[Total]]&lt;&gt; 0, NOT(ISBLANK(SamplingData[[#This Row],[Candidate 3]]))),(SamplingData[[#This Row],[Total]]+SamplingData[[#This Row],[Winning Candidate]]-SamplingData[[#This Row],[Candidate 3]])/(SamplingData[[#Totals],[Winning Candidate]]-SamplingData[[#Totals],[Candidate 3]]), 0)</f>
        <v>0</v>
      </c>
      <c r="S304" s="99">
        <f>IF(AND(SamplingData[[#This Row],[Total]]&lt;&gt; 0, NOT(ISBLANK(SamplingData[[#This Row],[Candidate 4]]))),(SamplingData[[#This Row],[Total]]+SamplingData[[#This Row],[Winning Candidate]]-SamplingData[[#This Row],[Candidate 4]])/(SamplingData[[#Totals],[Winning Candidate]]-SamplingData[[#Totals],[Candidate 4]]), 0)</f>
        <v>0</v>
      </c>
      <c r="T304" s="99">
        <f>IF(AND(SamplingData[[#This Row],[Total]]&lt;&gt; 0, NOT(ISBLANK(SamplingData[[#This Row],[Candidate 5]]))),(SamplingData[[#This Row],[Total]]+SamplingData[[#This Row],[Winning Candidate]]-SamplingData[[#This Row],[Candidate 5]])/(SamplingData[[#Totals],[Winning Candidate]]-SamplingData[[#Totals],[Candidate 5]]), 0)</f>
        <v>0</v>
      </c>
      <c r="U304" s="99">
        <f>IF(AND(SamplingData[[#This Row],[Total]]&lt;&gt; 0, NOT(ISBLANK(SamplingData[[#This Row],[Candidate 6]]))),(SamplingData[[#This Row],[Total]]+SamplingData[[#This Row],[Losing Candidate]]-SamplingData[[#This Row],[Candidate 6]])/(SamplingData[[#Totals],[Winning Candidate]]-SamplingData[[#Totals],[Candidate 6]]), 0)</f>
        <v>0</v>
      </c>
      <c r="V304" s="99">
        <f>IF(AND(SamplingData[[#This Row],[Total]]&lt;&gt; 0, NOT(ISBLANK(SamplingData[[#This Row],[Candidate 7]]))),(SamplingData[[#This Row],[Total]]+SamplingData[[#This Row],[Winning Candidate]]-SamplingData[[#This Row],[Candidate 7]])/(SamplingData[[#Totals],[Winning Candidate]]-SamplingData[[#Totals],[Candidate 7]]), 0)</f>
        <v>0</v>
      </c>
      <c r="W304" s="99">
        <f>IF(AND(SamplingData[[#This Row],[Total]]&lt;&gt; 0, NOT(ISBLANK(SamplingData[[#This Row],[Candidate 8]]))),(SamplingData[[#This Row],[Total]]+SamplingData[[#This Row],[Winning Candidate]]-SamplingData[[#This Row],[Candidate 8]])/(SamplingData[[#Totals],[Winning Candidate]]-SamplingData[[#Totals],[Candidate 8]]), 0)</f>
        <v>0</v>
      </c>
      <c r="X3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4" s="99">
        <f>MAX(SamplingData[[#This Row],[Error Bound (up) - Max. possible relative overstatement - Losing Candidate]:[Error Bound (up) - Max. possible relative overstatement - Candidate 12]])</f>
        <v>1.6890171447971482E-2</v>
      </c>
      <c r="AC304" s="99">
        <f>IF(SamplingData[[#This Row],[Max Error Bound (up)]] = 0,0,SamplingData[[#This Row],[Max Error Bound (up)]]/SamplingData[[#Totals],[Max Error Bound (up)]])</f>
        <v>9.0431526520522165E-4</v>
      </c>
      <c r="AD304" s="103">
        <f>SUM($AC$5:AC304)</f>
        <v>0.28387774021158291</v>
      </c>
      <c r="AE304" s="99" t="str" cm="1">
        <f t="array" ref="AE304">IF(SamplingData[[#This Row],[up/U Selection Probability]] = 0, "Zero", TEXT(SamplingData[[#This Row],[Lower Range]], REPT("0",LEN('General Info'!$B$42))) &amp; " - " &amp; TEXT(SamplingData[[#This Row],[Upper Range]], REPT("0",LEN('General Info'!$B$42))))</f>
        <v>282973 - 283877</v>
      </c>
      <c r="AF304" s="99">
        <f>SamplingData[[#This Row],[Upper Range]]-SamplingData[[#This Row],[Span]]</f>
        <v>282973.42494637769</v>
      </c>
      <c r="AG304" s="99">
        <f>IF(ISNUMBER('General Info'!$B$42), ((SamplingData[[#This Row],[up/U Selection Probability]]) * 'General Info'!$B$44) - 1, 0)</f>
        <v>903.31526520522164</v>
      </c>
      <c r="AH304" s="99">
        <f>IF(ISNUMBER('General Info'!$B$42), (SamplingData[[#This Row],[Running (cumulative) sum]] * ('General Info'!$B$42 -'General Info'!$B$43 + 1)) + 'General Info'!$B$43 - 1, 0)</f>
        <v>283876.74021158292</v>
      </c>
      <c r="AI304" s="99" t="str">
        <f>IF(ISERROR(MATCH(SamplingData[[#This Row],[Batch by Type (p)]],SelectedPrecincts[Batch Name], 0)), "", INDEX(SelectedPrecincts[Draw], MATCH(SamplingData[[#This Row],[Batch by Type (p)]],SelectedPrecincts[Batch Name], 0)))</f>
        <v/>
      </c>
      <c r="AJ304" s="100">
        <f>IF(COUNTIF(SelectedPrecincts[Batch Name],SamplingData[[#This Row],[Batch by Type (p)]]) &lt;&gt; 0, COUNTIF(SelectedPrecincts[Batch Name],SamplingData[[#This Row],[Batch by Type (p)]]), 0)</f>
        <v>0</v>
      </c>
    </row>
    <row r="305" spans="1:36" ht="15" customHeight="1" x14ac:dyDescent="0.35">
      <c r="A305" s="97" t="s">
        <v>518</v>
      </c>
      <c r="B305" s="97">
        <v>180</v>
      </c>
      <c r="C305" s="97">
        <v>153</v>
      </c>
      <c r="D305" s="92"/>
      <c r="E305" s="92"/>
      <c r="F305" s="92"/>
      <c r="G305" s="96"/>
      <c r="H305" s="96"/>
      <c r="I305" s="92"/>
      <c r="J305" s="92"/>
      <c r="K305" s="92"/>
      <c r="L305" s="92"/>
      <c r="M305" s="92"/>
      <c r="N305" s="97">
        <v>0</v>
      </c>
      <c r="O305" s="97">
        <v>21</v>
      </c>
      <c r="P305" s="98">
        <f>SUM(SamplingData[[#This Row],[Winning Candidate]:[Under Votes]])</f>
        <v>354</v>
      </c>
      <c r="Q305" s="99">
        <f>IF(AND(SamplingData[[#This Row],[Total]]&lt;&gt; 0, NOT(ISBLANK(SamplingData[[#This Row],[Losing Candidate]]))),(SamplingData[[#This Row],[Total]]+SamplingData[[#This Row],[Winning Candidate]]-SamplingData[[#This Row],[Losing Candidate]])/(SamplingData[[#Totals],[Winning Candidate]]-SamplingData[[#Totals],[Losing Candidate]]), 0)</f>
        <v>1.6168731964012899E-2</v>
      </c>
      <c r="R305" s="99">
        <f>IF(AND(SamplingData[[#This Row],[Total]]&lt;&gt; 0, NOT(ISBLANK(SamplingData[[#This Row],[Candidate 3]]))),(SamplingData[[#This Row],[Total]]+SamplingData[[#This Row],[Winning Candidate]]-SamplingData[[#This Row],[Candidate 3]])/(SamplingData[[#Totals],[Winning Candidate]]-SamplingData[[#Totals],[Candidate 3]]), 0)</f>
        <v>0</v>
      </c>
      <c r="S305" s="99">
        <f>IF(AND(SamplingData[[#This Row],[Total]]&lt;&gt; 0, NOT(ISBLANK(SamplingData[[#This Row],[Candidate 4]]))),(SamplingData[[#This Row],[Total]]+SamplingData[[#This Row],[Winning Candidate]]-SamplingData[[#This Row],[Candidate 4]])/(SamplingData[[#Totals],[Winning Candidate]]-SamplingData[[#Totals],[Candidate 4]]), 0)</f>
        <v>0</v>
      </c>
      <c r="T305" s="99">
        <f>IF(AND(SamplingData[[#This Row],[Total]]&lt;&gt; 0, NOT(ISBLANK(SamplingData[[#This Row],[Candidate 5]]))),(SamplingData[[#This Row],[Total]]+SamplingData[[#This Row],[Winning Candidate]]-SamplingData[[#This Row],[Candidate 5]])/(SamplingData[[#Totals],[Winning Candidate]]-SamplingData[[#Totals],[Candidate 5]]), 0)</f>
        <v>0</v>
      </c>
      <c r="U305" s="99">
        <f>IF(AND(SamplingData[[#This Row],[Total]]&lt;&gt; 0, NOT(ISBLANK(SamplingData[[#This Row],[Candidate 6]]))),(SamplingData[[#This Row],[Total]]+SamplingData[[#This Row],[Losing Candidate]]-SamplingData[[#This Row],[Candidate 6]])/(SamplingData[[#Totals],[Winning Candidate]]-SamplingData[[#Totals],[Candidate 6]]), 0)</f>
        <v>0</v>
      </c>
      <c r="V305" s="99">
        <f>IF(AND(SamplingData[[#This Row],[Total]]&lt;&gt; 0, NOT(ISBLANK(SamplingData[[#This Row],[Candidate 7]]))),(SamplingData[[#This Row],[Total]]+SamplingData[[#This Row],[Winning Candidate]]-SamplingData[[#This Row],[Candidate 7]])/(SamplingData[[#Totals],[Winning Candidate]]-SamplingData[[#Totals],[Candidate 7]]), 0)</f>
        <v>0</v>
      </c>
      <c r="W305" s="99">
        <f>IF(AND(SamplingData[[#This Row],[Total]]&lt;&gt; 0, NOT(ISBLANK(SamplingData[[#This Row],[Candidate 8]]))),(SamplingData[[#This Row],[Total]]+SamplingData[[#This Row],[Winning Candidate]]-SamplingData[[#This Row],[Candidate 8]])/(SamplingData[[#Totals],[Winning Candidate]]-SamplingData[[#Totals],[Candidate 8]]), 0)</f>
        <v>0</v>
      </c>
      <c r="X3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5" s="99">
        <f>MAX(SamplingData[[#This Row],[Error Bound (up) - Max. possible relative overstatement - Losing Candidate]:[Error Bound (up) - Max. possible relative overstatement - Candidate 12]])</f>
        <v>1.6168731964012899E-2</v>
      </c>
      <c r="AC305" s="99">
        <f>IF(SamplingData[[#This Row],[Max Error Bound (up)]] = 0,0,SamplingData[[#This Row],[Max Error Bound (up)]]/SamplingData[[#Totals],[Max Error Bound (up)]])</f>
        <v>8.6568873377685783E-4</v>
      </c>
      <c r="AD305" s="103">
        <f>SUM($AC$5:AC305)</f>
        <v>0.28474342894535976</v>
      </c>
      <c r="AE305" s="99" t="str" cm="1">
        <f t="array" ref="AE305">IF(SamplingData[[#This Row],[up/U Selection Probability]] = 0, "Zero", TEXT(SamplingData[[#This Row],[Lower Range]], REPT("0",LEN('General Info'!$B$42))) &amp; " - " &amp; TEXT(SamplingData[[#This Row],[Upper Range]], REPT("0",LEN('General Info'!$B$42))))</f>
        <v>283878 - 284742</v>
      </c>
      <c r="AF305" s="99">
        <f>SamplingData[[#This Row],[Upper Range]]-SamplingData[[#This Row],[Span]]</f>
        <v>283877.74021158292</v>
      </c>
      <c r="AG305" s="99">
        <f>IF(ISNUMBER('General Info'!$B$42), ((SamplingData[[#This Row],[up/U Selection Probability]]) * 'General Info'!$B$44) - 1, 0)</f>
        <v>864.68873377685782</v>
      </c>
      <c r="AH305" s="99">
        <f>IF(ISNUMBER('General Info'!$B$42), (SamplingData[[#This Row],[Running (cumulative) sum]] * ('General Info'!$B$42 -'General Info'!$B$43 + 1)) + 'General Info'!$B$43 - 1, 0)</f>
        <v>284742.42894535977</v>
      </c>
      <c r="AI305" s="99" t="str">
        <f>IF(ISERROR(MATCH(SamplingData[[#This Row],[Batch by Type (p)]],SelectedPrecincts[Batch Name], 0)), "", INDEX(SelectedPrecincts[Draw], MATCH(SamplingData[[#This Row],[Batch by Type (p)]],SelectedPrecincts[Batch Name], 0)))</f>
        <v/>
      </c>
      <c r="AJ305" s="100">
        <f>IF(COUNTIF(SelectedPrecincts[Batch Name],SamplingData[[#This Row],[Batch by Type (p)]]) &lt;&gt; 0, COUNTIF(SelectedPrecincts[Batch Name],SamplingData[[#This Row],[Batch by Type (p)]]), 0)</f>
        <v>0</v>
      </c>
    </row>
    <row r="306" spans="1:36" ht="15" customHeight="1" x14ac:dyDescent="0.35">
      <c r="A306" s="97" t="s">
        <v>519</v>
      </c>
      <c r="B306" s="97">
        <v>80</v>
      </c>
      <c r="C306" s="97">
        <v>77</v>
      </c>
      <c r="D306" s="92"/>
      <c r="E306" s="92"/>
      <c r="F306" s="92"/>
      <c r="G306" s="96"/>
      <c r="H306" s="96"/>
      <c r="I306" s="92"/>
      <c r="J306" s="92"/>
      <c r="K306" s="92"/>
      <c r="L306" s="92"/>
      <c r="M306" s="92"/>
      <c r="N306" s="97">
        <v>0</v>
      </c>
      <c r="O306" s="97">
        <v>4</v>
      </c>
      <c r="P306" s="98">
        <f>SUM(SamplingData[[#This Row],[Winning Candidate]:[Under Votes]])</f>
        <v>161</v>
      </c>
      <c r="Q306" s="99">
        <f>IF(AND(SamplingData[[#This Row],[Total]]&lt;&gt; 0, NOT(ISBLANK(SamplingData[[#This Row],[Losing Candidate]]))),(SamplingData[[#This Row],[Total]]+SamplingData[[#This Row],[Winning Candidate]]-SamplingData[[#This Row],[Losing Candidate]])/(SamplingData[[#Totals],[Winning Candidate]]-SamplingData[[#Totals],[Losing Candidate]]), 0)</f>
        <v>6.9597691393651333E-3</v>
      </c>
      <c r="R306" s="99">
        <f>IF(AND(SamplingData[[#This Row],[Total]]&lt;&gt; 0, NOT(ISBLANK(SamplingData[[#This Row],[Candidate 3]]))),(SamplingData[[#This Row],[Total]]+SamplingData[[#This Row],[Winning Candidate]]-SamplingData[[#This Row],[Candidate 3]])/(SamplingData[[#Totals],[Winning Candidate]]-SamplingData[[#Totals],[Candidate 3]]), 0)</f>
        <v>0</v>
      </c>
      <c r="S306" s="99">
        <f>IF(AND(SamplingData[[#This Row],[Total]]&lt;&gt; 0, NOT(ISBLANK(SamplingData[[#This Row],[Candidate 4]]))),(SamplingData[[#This Row],[Total]]+SamplingData[[#This Row],[Winning Candidate]]-SamplingData[[#This Row],[Candidate 4]])/(SamplingData[[#Totals],[Winning Candidate]]-SamplingData[[#Totals],[Candidate 4]]), 0)</f>
        <v>0</v>
      </c>
      <c r="T306" s="99">
        <f>IF(AND(SamplingData[[#This Row],[Total]]&lt;&gt; 0, NOT(ISBLANK(SamplingData[[#This Row],[Candidate 5]]))),(SamplingData[[#This Row],[Total]]+SamplingData[[#This Row],[Winning Candidate]]-SamplingData[[#This Row],[Candidate 5]])/(SamplingData[[#Totals],[Winning Candidate]]-SamplingData[[#Totals],[Candidate 5]]), 0)</f>
        <v>0</v>
      </c>
      <c r="U306" s="99">
        <f>IF(AND(SamplingData[[#This Row],[Total]]&lt;&gt; 0, NOT(ISBLANK(SamplingData[[#This Row],[Candidate 6]]))),(SamplingData[[#This Row],[Total]]+SamplingData[[#This Row],[Losing Candidate]]-SamplingData[[#This Row],[Candidate 6]])/(SamplingData[[#Totals],[Winning Candidate]]-SamplingData[[#Totals],[Candidate 6]]), 0)</f>
        <v>0</v>
      </c>
      <c r="V306" s="99">
        <f>IF(AND(SamplingData[[#This Row],[Total]]&lt;&gt; 0, NOT(ISBLANK(SamplingData[[#This Row],[Candidate 7]]))),(SamplingData[[#This Row],[Total]]+SamplingData[[#This Row],[Winning Candidate]]-SamplingData[[#This Row],[Candidate 7]])/(SamplingData[[#Totals],[Winning Candidate]]-SamplingData[[#Totals],[Candidate 7]]), 0)</f>
        <v>0</v>
      </c>
      <c r="W306" s="99">
        <f>IF(AND(SamplingData[[#This Row],[Total]]&lt;&gt; 0, NOT(ISBLANK(SamplingData[[#This Row],[Candidate 8]]))),(SamplingData[[#This Row],[Total]]+SamplingData[[#This Row],[Winning Candidate]]-SamplingData[[#This Row],[Candidate 8]])/(SamplingData[[#Totals],[Winning Candidate]]-SamplingData[[#Totals],[Candidate 8]]), 0)</f>
        <v>0</v>
      </c>
      <c r="X3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6" s="99">
        <f>MAX(SamplingData[[#This Row],[Error Bound (up) - Max. possible relative overstatement - Losing Candidate]:[Error Bound (up) - Max. possible relative overstatement - Candidate 12]])</f>
        <v>6.9597691393651333E-3</v>
      </c>
      <c r="AC306" s="99">
        <f>IF(SamplingData[[#This Row],[Max Error Bound (up)]] = 0,0,SamplingData[[#This Row],[Max Error Bound (up)]]/SamplingData[[#Totals],[Max Error Bound (up)]])</f>
        <v>3.7263242083833252E-4</v>
      </c>
      <c r="AD306" s="103">
        <f>SUM($AC$5:AC306)</f>
        <v>0.2851160613661981</v>
      </c>
      <c r="AE306" s="99" t="str" cm="1">
        <f t="array" ref="AE306">IF(SamplingData[[#This Row],[up/U Selection Probability]] = 0, "Zero", TEXT(SamplingData[[#This Row],[Lower Range]], REPT("0",LEN('General Info'!$B$42))) &amp; " - " &amp; TEXT(SamplingData[[#This Row],[Upper Range]], REPT("0",LEN('General Info'!$B$42))))</f>
        <v>284743 - 285115</v>
      </c>
      <c r="AF306" s="99">
        <f>SamplingData[[#This Row],[Upper Range]]-SamplingData[[#This Row],[Span]]</f>
        <v>284743.42894535977</v>
      </c>
      <c r="AG306" s="99">
        <f>IF(ISNUMBER('General Info'!$B$42), ((SamplingData[[#This Row],[up/U Selection Probability]]) * 'General Info'!$B$44) - 1, 0)</f>
        <v>371.63242083833251</v>
      </c>
      <c r="AH306" s="99">
        <f>IF(ISNUMBER('General Info'!$B$42), (SamplingData[[#This Row],[Running (cumulative) sum]] * ('General Info'!$B$42 -'General Info'!$B$43 + 1)) + 'General Info'!$B$43 - 1, 0)</f>
        <v>285115.06136619812</v>
      </c>
      <c r="AI306" s="99" t="str">
        <f>IF(ISERROR(MATCH(SamplingData[[#This Row],[Batch by Type (p)]],SelectedPrecincts[Batch Name], 0)), "", INDEX(SelectedPrecincts[Draw], MATCH(SamplingData[[#This Row],[Batch by Type (p)]],SelectedPrecincts[Batch Name], 0)))</f>
        <v/>
      </c>
      <c r="AJ306" s="100">
        <f>IF(COUNTIF(SelectedPrecincts[Batch Name],SamplingData[[#This Row],[Batch by Type (p)]]) &lt;&gt; 0, COUNTIF(SelectedPrecincts[Batch Name],SamplingData[[#This Row],[Batch by Type (p)]]), 0)</f>
        <v>0</v>
      </c>
    </row>
    <row r="307" spans="1:36" ht="15" customHeight="1" x14ac:dyDescent="0.35">
      <c r="A307" s="97" t="s">
        <v>520</v>
      </c>
      <c r="B307" s="97">
        <v>146</v>
      </c>
      <c r="C307" s="97">
        <v>95</v>
      </c>
      <c r="D307" s="92"/>
      <c r="E307" s="92"/>
      <c r="F307" s="92"/>
      <c r="G307" s="96"/>
      <c r="H307" s="96"/>
      <c r="I307" s="92"/>
      <c r="J307" s="92"/>
      <c r="K307" s="92"/>
      <c r="L307" s="92"/>
      <c r="M307" s="92"/>
      <c r="N307" s="97">
        <v>0</v>
      </c>
      <c r="O307" s="97">
        <v>15</v>
      </c>
      <c r="P307" s="98">
        <f>SUM(SamplingData[[#This Row],[Winning Candidate]:[Under Votes]])</f>
        <v>256</v>
      </c>
      <c r="Q307" s="99">
        <f>IF(AND(SamplingData[[#This Row],[Total]]&lt;&gt; 0, NOT(ISBLANK(SamplingData[[#This Row],[Losing Candidate]]))),(SamplingData[[#This Row],[Total]]+SamplingData[[#This Row],[Winning Candidate]]-SamplingData[[#This Row],[Losing Candidate]])/(SamplingData[[#Totals],[Winning Candidate]]-SamplingData[[#Totals],[Losing Candidate]]), 0)</f>
        <v>1.3028348327957903E-2</v>
      </c>
      <c r="R307" s="99">
        <f>IF(AND(SamplingData[[#This Row],[Total]]&lt;&gt; 0, NOT(ISBLANK(SamplingData[[#This Row],[Candidate 3]]))),(SamplingData[[#This Row],[Total]]+SamplingData[[#This Row],[Winning Candidate]]-SamplingData[[#This Row],[Candidate 3]])/(SamplingData[[#Totals],[Winning Candidate]]-SamplingData[[#Totals],[Candidate 3]]), 0)</f>
        <v>0</v>
      </c>
      <c r="S307" s="99">
        <f>IF(AND(SamplingData[[#This Row],[Total]]&lt;&gt; 0, NOT(ISBLANK(SamplingData[[#This Row],[Candidate 4]]))),(SamplingData[[#This Row],[Total]]+SamplingData[[#This Row],[Winning Candidate]]-SamplingData[[#This Row],[Candidate 4]])/(SamplingData[[#Totals],[Winning Candidate]]-SamplingData[[#Totals],[Candidate 4]]), 0)</f>
        <v>0</v>
      </c>
      <c r="T307" s="99">
        <f>IF(AND(SamplingData[[#This Row],[Total]]&lt;&gt; 0, NOT(ISBLANK(SamplingData[[#This Row],[Candidate 5]]))),(SamplingData[[#This Row],[Total]]+SamplingData[[#This Row],[Winning Candidate]]-SamplingData[[#This Row],[Candidate 5]])/(SamplingData[[#Totals],[Winning Candidate]]-SamplingData[[#Totals],[Candidate 5]]), 0)</f>
        <v>0</v>
      </c>
      <c r="U307" s="99">
        <f>IF(AND(SamplingData[[#This Row],[Total]]&lt;&gt; 0, NOT(ISBLANK(SamplingData[[#This Row],[Candidate 6]]))),(SamplingData[[#This Row],[Total]]+SamplingData[[#This Row],[Losing Candidate]]-SamplingData[[#This Row],[Candidate 6]])/(SamplingData[[#Totals],[Winning Candidate]]-SamplingData[[#Totals],[Candidate 6]]), 0)</f>
        <v>0</v>
      </c>
      <c r="V307" s="99">
        <f>IF(AND(SamplingData[[#This Row],[Total]]&lt;&gt; 0, NOT(ISBLANK(SamplingData[[#This Row],[Candidate 7]]))),(SamplingData[[#This Row],[Total]]+SamplingData[[#This Row],[Winning Candidate]]-SamplingData[[#This Row],[Candidate 7]])/(SamplingData[[#Totals],[Winning Candidate]]-SamplingData[[#Totals],[Candidate 7]]), 0)</f>
        <v>0</v>
      </c>
      <c r="W307" s="99">
        <f>IF(AND(SamplingData[[#This Row],[Total]]&lt;&gt; 0, NOT(ISBLANK(SamplingData[[#This Row],[Candidate 8]]))),(SamplingData[[#This Row],[Total]]+SamplingData[[#This Row],[Winning Candidate]]-SamplingData[[#This Row],[Candidate 8]])/(SamplingData[[#Totals],[Winning Candidate]]-SamplingData[[#Totals],[Candidate 8]]), 0)</f>
        <v>0</v>
      </c>
      <c r="X3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7" s="99">
        <f>MAX(SamplingData[[#This Row],[Error Bound (up) - Max. possible relative overstatement - Losing Candidate]:[Error Bound (up) - Max. possible relative overstatement - Candidate 12]])</f>
        <v>1.3028348327957903E-2</v>
      </c>
      <c r="AC307" s="99">
        <f>IF(SamplingData[[#This Row],[Max Error Bound (up)]] = 0,0,SamplingData[[#This Row],[Max Error Bound (up)]]/SamplingData[[#Totals],[Max Error Bound (up)]])</f>
        <v>6.9754971461809809E-4</v>
      </c>
      <c r="AD307" s="103">
        <f>SUM($AC$5:AC307)</f>
        <v>0.28581361108081621</v>
      </c>
      <c r="AE307" s="99" t="str" cm="1">
        <f t="array" ref="AE307">IF(SamplingData[[#This Row],[up/U Selection Probability]] = 0, "Zero", TEXT(SamplingData[[#This Row],[Lower Range]], REPT("0",LEN('General Info'!$B$42))) &amp; " - " &amp; TEXT(SamplingData[[#This Row],[Upper Range]], REPT("0",LEN('General Info'!$B$42))))</f>
        <v>285116 - 285813</v>
      </c>
      <c r="AF307" s="99">
        <f>SamplingData[[#This Row],[Upper Range]]-SamplingData[[#This Row],[Span]]</f>
        <v>285116.06136619812</v>
      </c>
      <c r="AG307" s="99">
        <f>IF(ISNUMBER('General Info'!$B$42), ((SamplingData[[#This Row],[up/U Selection Probability]]) * 'General Info'!$B$44) - 1, 0)</f>
        <v>696.54971461809805</v>
      </c>
      <c r="AH307" s="99">
        <f>IF(ISNUMBER('General Info'!$B$42), (SamplingData[[#This Row],[Running (cumulative) sum]] * ('General Info'!$B$42 -'General Info'!$B$43 + 1)) + 'General Info'!$B$43 - 1, 0)</f>
        <v>285812.61108081619</v>
      </c>
      <c r="AI307" s="99" t="str">
        <f>IF(ISERROR(MATCH(SamplingData[[#This Row],[Batch by Type (p)]],SelectedPrecincts[Batch Name], 0)), "", INDEX(SelectedPrecincts[Draw], MATCH(SamplingData[[#This Row],[Batch by Type (p)]],SelectedPrecincts[Batch Name], 0)))</f>
        <v/>
      </c>
      <c r="AJ307" s="100">
        <f>IF(COUNTIF(SelectedPrecincts[Batch Name],SamplingData[[#This Row],[Batch by Type (p)]]) &lt;&gt; 0, COUNTIF(SelectedPrecincts[Batch Name],SamplingData[[#This Row],[Batch by Type (p)]]), 0)</f>
        <v>0</v>
      </c>
    </row>
    <row r="308" spans="1:36" ht="15" customHeight="1" x14ac:dyDescent="0.35">
      <c r="A308" s="97" t="s">
        <v>521</v>
      </c>
      <c r="B308" s="97">
        <v>135</v>
      </c>
      <c r="C308" s="97">
        <v>79</v>
      </c>
      <c r="D308" s="92"/>
      <c r="E308" s="92"/>
      <c r="F308" s="92"/>
      <c r="G308" s="96"/>
      <c r="H308" s="96"/>
      <c r="I308" s="92"/>
      <c r="J308" s="92"/>
      <c r="K308" s="92"/>
      <c r="L308" s="92"/>
      <c r="M308" s="92"/>
      <c r="N308" s="97">
        <v>0</v>
      </c>
      <c r="O308" s="97">
        <v>9</v>
      </c>
      <c r="P308" s="98">
        <f>SUM(SamplingData[[#This Row],[Winning Candidate]:[Under Votes]])</f>
        <v>223</v>
      </c>
      <c r="Q308" s="99">
        <f>IF(AND(SamplingData[[#This Row],[Total]]&lt;&gt; 0, NOT(ISBLANK(SamplingData[[#This Row],[Losing Candidate]]))),(SamplingData[[#This Row],[Total]]+SamplingData[[#This Row],[Winning Candidate]]-SamplingData[[#This Row],[Losing Candidate]])/(SamplingData[[#Totals],[Winning Candidate]]-SamplingData[[#Totals],[Losing Candidate]]), 0)</f>
        <v>1.1840095060261416E-2</v>
      </c>
      <c r="R308" s="99">
        <f>IF(AND(SamplingData[[#This Row],[Total]]&lt;&gt; 0, NOT(ISBLANK(SamplingData[[#This Row],[Candidate 3]]))),(SamplingData[[#This Row],[Total]]+SamplingData[[#This Row],[Winning Candidate]]-SamplingData[[#This Row],[Candidate 3]])/(SamplingData[[#Totals],[Winning Candidate]]-SamplingData[[#Totals],[Candidate 3]]), 0)</f>
        <v>0</v>
      </c>
      <c r="S308" s="99">
        <f>IF(AND(SamplingData[[#This Row],[Total]]&lt;&gt; 0, NOT(ISBLANK(SamplingData[[#This Row],[Candidate 4]]))),(SamplingData[[#This Row],[Total]]+SamplingData[[#This Row],[Winning Candidate]]-SamplingData[[#This Row],[Candidate 4]])/(SamplingData[[#Totals],[Winning Candidate]]-SamplingData[[#Totals],[Candidate 4]]), 0)</f>
        <v>0</v>
      </c>
      <c r="T308" s="99">
        <f>IF(AND(SamplingData[[#This Row],[Total]]&lt;&gt; 0, NOT(ISBLANK(SamplingData[[#This Row],[Candidate 5]]))),(SamplingData[[#This Row],[Total]]+SamplingData[[#This Row],[Winning Candidate]]-SamplingData[[#This Row],[Candidate 5]])/(SamplingData[[#Totals],[Winning Candidate]]-SamplingData[[#Totals],[Candidate 5]]), 0)</f>
        <v>0</v>
      </c>
      <c r="U308" s="99">
        <f>IF(AND(SamplingData[[#This Row],[Total]]&lt;&gt; 0, NOT(ISBLANK(SamplingData[[#This Row],[Candidate 6]]))),(SamplingData[[#This Row],[Total]]+SamplingData[[#This Row],[Losing Candidate]]-SamplingData[[#This Row],[Candidate 6]])/(SamplingData[[#Totals],[Winning Candidate]]-SamplingData[[#Totals],[Candidate 6]]), 0)</f>
        <v>0</v>
      </c>
      <c r="V308" s="99">
        <f>IF(AND(SamplingData[[#This Row],[Total]]&lt;&gt; 0, NOT(ISBLANK(SamplingData[[#This Row],[Candidate 7]]))),(SamplingData[[#This Row],[Total]]+SamplingData[[#This Row],[Winning Candidate]]-SamplingData[[#This Row],[Candidate 7]])/(SamplingData[[#Totals],[Winning Candidate]]-SamplingData[[#Totals],[Candidate 7]]), 0)</f>
        <v>0</v>
      </c>
      <c r="W308" s="99">
        <f>IF(AND(SamplingData[[#This Row],[Total]]&lt;&gt; 0, NOT(ISBLANK(SamplingData[[#This Row],[Candidate 8]]))),(SamplingData[[#This Row],[Total]]+SamplingData[[#This Row],[Winning Candidate]]-SamplingData[[#This Row],[Candidate 8]])/(SamplingData[[#Totals],[Winning Candidate]]-SamplingData[[#Totals],[Candidate 8]]), 0)</f>
        <v>0</v>
      </c>
      <c r="X3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8" s="99">
        <f>MAX(SamplingData[[#This Row],[Error Bound (up) - Max. possible relative overstatement - Losing Candidate]:[Error Bound (up) - Max. possible relative overstatement - Candidate 12]])</f>
        <v>1.1840095060261416E-2</v>
      </c>
      <c r="AC308" s="99">
        <f>IF(SamplingData[[#This Row],[Max Error Bound (up)]] = 0,0,SamplingData[[#This Row],[Max Error Bound (up)]]/SamplingData[[#Totals],[Max Error Bound (up)]])</f>
        <v>6.3392954520667547E-4</v>
      </c>
      <c r="AD308" s="103">
        <f>SUM($AC$5:AC308)</f>
        <v>0.2864475406260229</v>
      </c>
      <c r="AE308" s="99" t="str" cm="1">
        <f t="array" ref="AE308">IF(SamplingData[[#This Row],[up/U Selection Probability]] = 0, "Zero", TEXT(SamplingData[[#This Row],[Lower Range]], REPT("0",LEN('General Info'!$B$42))) &amp; " - " &amp; TEXT(SamplingData[[#This Row],[Upper Range]], REPT("0",LEN('General Info'!$B$42))))</f>
        <v>285814 - 286447</v>
      </c>
      <c r="AF308" s="99">
        <f>SamplingData[[#This Row],[Upper Range]]-SamplingData[[#This Row],[Span]]</f>
        <v>285813.61108081625</v>
      </c>
      <c r="AG308" s="99">
        <f>IF(ISNUMBER('General Info'!$B$42), ((SamplingData[[#This Row],[up/U Selection Probability]]) * 'General Info'!$B$44) - 1, 0)</f>
        <v>632.92954520667547</v>
      </c>
      <c r="AH308" s="99">
        <f>IF(ISNUMBER('General Info'!$B$42), (SamplingData[[#This Row],[Running (cumulative) sum]] * ('General Info'!$B$42 -'General Info'!$B$43 + 1)) + 'General Info'!$B$43 - 1, 0)</f>
        <v>286446.54062602291</v>
      </c>
      <c r="AI308" s="99" t="str">
        <f>IF(ISERROR(MATCH(SamplingData[[#This Row],[Batch by Type (p)]],SelectedPrecincts[Batch Name], 0)), "", INDEX(SelectedPrecincts[Draw], MATCH(SamplingData[[#This Row],[Batch by Type (p)]],SelectedPrecincts[Batch Name], 0)))</f>
        <v/>
      </c>
      <c r="AJ308" s="100">
        <f>IF(COUNTIF(SelectedPrecincts[Batch Name],SamplingData[[#This Row],[Batch by Type (p)]]) &lt;&gt; 0, COUNTIF(SelectedPrecincts[Batch Name],SamplingData[[#This Row],[Batch by Type (p)]]), 0)</f>
        <v>0</v>
      </c>
    </row>
    <row r="309" spans="1:36" ht="15" customHeight="1" x14ac:dyDescent="0.35">
      <c r="A309" s="97" t="s">
        <v>522</v>
      </c>
      <c r="B309" s="97">
        <v>172</v>
      </c>
      <c r="C309" s="97">
        <v>53</v>
      </c>
      <c r="D309" s="92"/>
      <c r="E309" s="92"/>
      <c r="F309" s="92"/>
      <c r="G309" s="96"/>
      <c r="H309" s="96"/>
      <c r="I309" s="92"/>
      <c r="J309" s="92"/>
      <c r="K309" s="92"/>
      <c r="L309" s="92"/>
      <c r="M309" s="92"/>
      <c r="N309" s="97">
        <v>0</v>
      </c>
      <c r="O309" s="97">
        <v>17</v>
      </c>
      <c r="P309" s="98">
        <f>SUM(SamplingData[[#This Row],[Winning Candidate]:[Under Votes]])</f>
        <v>242</v>
      </c>
      <c r="Q309" s="99">
        <f>IF(AND(SamplingData[[#This Row],[Total]]&lt;&gt; 0, NOT(ISBLANK(SamplingData[[#This Row],[Losing Candidate]]))),(SamplingData[[#This Row],[Total]]+SamplingData[[#This Row],[Winning Candidate]]-SamplingData[[#This Row],[Losing Candidate]])/(SamplingData[[#Totals],[Winning Candidate]]-SamplingData[[#Totals],[Losing Candidate]]), 0)</f>
        <v>1.5319979629943982E-2</v>
      </c>
      <c r="R309" s="99">
        <f>IF(AND(SamplingData[[#This Row],[Total]]&lt;&gt; 0, NOT(ISBLANK(SamplingData[[#This Row],[Candidate 3]]))),(SamplingData[[#This Row],[Total]]+SamplingData[[#This Row],[Winning Candidate]]-SamplingData[[#This Row],[Candidate 3]])/(SamplingData[[#Totals],[Winning Candidate]]-SamplingData[[#Totals],[Candidate 3]]), 0)</f>
        <v>0</v>
      </c>
      <c r="S309" s="99">
        <f>IF(AND(SamplingData[[#This Row],[Total]]&lt;&gt; 0, NOT(ISBLANK(SamplingData[[#This Row],[Candidate 4]]))),(SamplingData[[#This Row],[Total]]+SamplingData[[#This Row],[Winning Candidate]]-SamplingData[[#This Row],[Candidate 4]])/(SamplingData[[#Totals],[Winning Candidate]]-SamplingData[[#Totals],[Candidate 4]]), 0)</f>
        <v>0</v>
      </c>
      <c r="T309" s="99">
        <f>IF(AND(SamplingData[[#This Row],[Total]]&lt;&gt; 0, NOT(ISBLANK(SamplingData[[#This Row],[Candidate 5]]))),(SamplingData[[#This Row],[Total]]+SamplingData[[#This Row],[Winning Candidate]]-SamplingData[[#This Row],[Candidate 5]])/(SamplingData[[#Totals],[Winning Candidate]]-SamplingData[[#Totals],[Candidate 5]]), 0)</f>
        <v>0</v>
      </c>
      <c r="U309" s="99">
        <f>IF(AND(SamplingData[[#This Row],[Total]]&lt;&gt; 0, NOT(ISBLANK(SamplingData[[#This Row],[Candidate 6]]))),(SamplingData[[#This Row],[Total]]+SamplingData[[#This Row],[Losing Candidate]]-SamplingData[[#This Row],[Candidate 6]])/(SamplingData[[#Totals],[Winning Candidate]]-SamplingData[[#Totals],[Candidate 6]]), 0)</f>
        <v>0</v>
      </c>
      <c r="V309" s="99">
        <f>IF(AND(SamplingData[[#This Row],[Total]]&lt;&gt; 0, NOT(ISBLANK(SamplingData[[#This Row],[Candidate 7]]))),(SamplingData[[#This Row],[Total]]+SamplingData[[#This Row],[Winning Candidate]]-SamplingData[[#This Row],[Candidate 7]])/(SamplingData[[#Totals],[Winning Candidate]]-SamplingData[[#Totals],[Candidate 7]]), 0)</f>
        <v>0</v>
      </c>
      <c r="W309" s="99">
        <f>IF(AND(SamplingData[[#This Row],[Total]]&lt;&gt; 0, NOT(ISBLANK(SamplingData[[#This Row],[Candidate 8]]))),(SamplingData[[#This Row],[Total]]+SamplingData[[#This Row],[Winning Candidate]]-SamplingData[[#This Row],[Candidate 8]])/(SamplingData[[#Totals],[Winning Candidate]]-SamplingData[[#Totals],[Candidate 8]]), 0)</f>
        <v>0</v>
      </c>
      <c r="X3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9" s="99">
        <f>MAX(SamplingData[[#This Row],[Error Bound (up) - Max. possible relative overstatement - Losing Candidate]:[Error Bound (up) - Max. possible relative overstatement - Candidate 12]])</f>
        <v>1.5319979629943982E-2</v>
      </c>
      <c r="AC309" s="99">
        <f>IF(SamplingData[[#This Row],[Max Error Bound (up)]] = 0,0,SamplingData[[#This Row],[Max Error Bound (up)]]/SamplingData[[#Totals],[Max Error Bound (up)]])</f>
        <v>8.2024575562584167E-4</v>
      </c>
      <c r="AD309" s="103">
        <f>SUM($AC$5:AC309)</f>
        <v>0.28726778638164874</v>
      </c>
      <c r="AE309" s="99" t="str" cm="1">
        <f t="array" ref="AE309">IF(SamplingData[[#This Row],[up/U Selection Probability]] = 0, "Zero", TEXT(SamplingData[[#This Row],[Lower Range]], REPT("0",LEN('General Info'!$B$42))) &amp; " - " &amp; TEXT(SamplingData[[#This Row],[Upper Range]], REPT("0",LEN('General Info'!$B$42))))</f>
        <v>286448 - 287267</v>
      </c>
      <c r="AF309" s="99">
        <f>SamplingData[[#This Row],[Upper Range]]-SamplingData[[#This Row],[Span]]</f>
        <v>286447.54062602291</v>
      </c>
      <c r="AG309" s="99">
        <f>IF(ISNUMBER('General Info'!$B$42), ((SamplingData[[#This Row],[up/U Selection Probability]]) * 'General Info'!$B$44) - 1, 0)</f>
        <v>819.24575562584164</v>
      </c>
      <c r="AH309" s="99">
        <f>IF(ISNUMBER('General Info'!$B$42), (SamplingData[[#This Row],[Running (cumulative) sum]] * ('General Info'!$B$42 -'General Info'!$B$43 + 1)) + 'General Info'!$B$43 - 1, 0)</f>
        <v>287266.78638164874</v>
      </c>
      <c r="AI309" s="99" t="str">
        <f>IF(ISERROR(MATCH(SamplingData[[#This Row],[Batch by Type (p)]],SelectedPrecincts[Batch Name], 0)), "", INDEX(SelectedPrecincts[Draw], MATCH(SamplingData[[#This Row],[Batch by Type (p)]],SelectedPrecincts[Batch Name], 0)))</f>
        <v/>
      </c>
      <c r="AJ309" s="100">
        <f>IF(COUNTIF(SelectedPrecincts[Batch Name],SamplingData[[#This Row],[Batch by Type (p)]]) &lt;&gt; 0, COUNTIF(SelectedPrecincts[Batch Name],SamplingData[[#This Row],[Batch by Type (p)]]), 0)</f>
        <v>0</v>
      </c>
    </row>
    <row r="310" spans="1:36" ht="15" customHeight="1" x14ac:dyDescent="0.35">
      <c r="A310" s="97" t="s">
        <v>523</v>
      </c>
      <c r="B310" s="97">
        <v>197</v>
      </c>
      <c r="C310" s="97">
        <v>71</v>
      </c>
      <c r="D310" s="92"/>
      <c r="E310" s="92"/>
      <c r="F310" s="92"/>
      <c r="G310" s="96"/>
      <c r="H310" s="96"/>
      <c r="I310" s="92"/>
      <c r="J310" s="92"/>
      <c r="K310" s="92"/>
      <c r="L310" s="92"/>
      <c r="M310" s="92"/>
      <c r="N310" s="97">
        <v>0</v>
      </c>
      <c r="O310" s="97">
        <v>12</v>
      </c>
      <c r="P310" s="98">
        <f>SUM(SamplingData[[#This Row],[Winning Candidate]:[Under Votes]])</f>
        <v>280</v>
      </c>
      <c r="Q310" s="99">
        <f>IF(AND(SamplingData[[#This Row],[Total]]&lt;&gt; 0, NOT(ISBLANK(SamplingData[[#This Row],[Losing Candidate]]))),(SamplingData[[#This Row],[Total]]+SamplingData[[#This Row],[Winning Candidate]]-SamplingData[[#This Row],[Losing Candidate]])/(SamplingData[[#Totals],[Winning Candidate]]-SamplingData[[#Totals],[Losing Candidate]]), 0)</f>
        <v>1.7229672381599049E-2</v>
      </c>
      <c r="R310" s="99">
        <f>IF(AND(SamplingData[[#This Row],[Total]]&lt;&gt; 0, NOT(ISBLANK(SamplingData[[#This Row],[Candidate 3]]))),(SamplingData[[#This Row],[Total]]+SamplingData[[#This Row],[Winning Candidate]]-SamplingData[[#This Row],[Candidate 3]])/(SamplingData[[#Totals],[Winning Candidate]]-SamplingData[[#Totals],[Candidate 3]]), 0)</f>
        <v>0</v>
      </c>
      <c r="S310" s="99">
        <f>IF(AND(SamplingData[[#This Row],[Total]]&lt;&gt; 0, NOT(ISBLANK(SamplingData[[#This Row],[Candidate 4]]))),(SamplingData[[#This Row],[Total]]+SamplingData[[#This Row],[Winning Candidate]]-SamplingData[[#This Row],[Candidate 4]])/(SamplingData[[#Totals],[Winning Candidate]]-SamplingData[[#Totals],[Candidate 4]]), 0)</f>
        <v>0</v>
      </c>
      <c r="T310" s="99">
        <f>IF(AND(SamplingData[[#This Row],[Total]]&lt;&gt; 0, NOT(ISBLANK(SamplingData[[#This Row],[Candidate 5]]))),(SamplingData[[#This Row],[Total]]+SamplingData[[#This Row],[Winning Candidate]]-SamplingData[[#This Row],[Candidate 5]])/(SamplingData[[#Totals],[Winning Candidate]]-SamplingData[[#Totals],[Candidate 5]]), 0)</f>
        <v>0</v>
      </c>
      <c r="U310" s="99">
        <f>IF(AND(SamplingData[[#This Row],[Total]]&lt;&gt; 0, NOT(ISBLANK(SamplingData[[#This Row],[Candidate 6]]))),(SamplingData[[#This Row],[Total]]+SamplingData[[#This Row],[Losing Candidate]]-SamplingData[[#This Row],[Candidate 6]])/(SamplingData[[#Totals],[Winning Candidate]]-SamplingData[[#Totals],[Candidate 6]]), 0)</f>
        <v>0</v>
      </c>
      <c r="V310" s="99">
        <f>IF(AND(SamplingData[[#This Row],[Total]]&lt;&gt; 0, NOT(ISBLANK(SamplingData[[#This Row],[Candidate 7]]))),(SamplingData[[#This Row],[Total]]+SamplingData[[#This Row],[Winning Candidate]]-SamplingData[[#This Row],[Candidate 7]])/(SamplingData[[#Totals],[Winning Candidate]]-SamplingData[[#Totals],[Candidate 7]]), 0)</f>
        <v>0</v>
      </c>
      <c r="W310" s="99">
        <f>IF(AND(SamplingData[[#This Row],[Total]]&lt;&gt; 0, NOT(ISBLANK(SamplingData[[#This Row],[Candidate 8]]))),(SamplingData[[#This Row],[Total]]+SamplingData[[#This Row],[Winning Candidate]]-SamplingData[[#This Row],[Candidate 8]])/(SamplingData[[#Totals],[Winning Candidate]]-SamplingData[[#Totals],[Candidate 8]]), 0)</f>
        <v>0</v>
      </c>
      <c r="X3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0" s="99">
        <f>MAX(SamplingData[[#This Row],[Error Bound (up) - Max. possible relative overstatement - Losing Candidate]:[Error Bound (up) - Max. possible relative overstatement - Candidate 12]])</f>
        <v>1.7229672381599049E-2</v>
      </c>
      <c r="AC310" s="99">
        <f>IF(SamplingData[[#This Row],[Max Error Bound (up)]] = 0,0,SamplingData[[#This Row],[Max Error Bound (up)]]/SamplingData[[#Totals],[Max Error Bound (up)]])</f>
        <v>9.2249245646562812E-4</v>
      </c>
      <c r="AD310" s="103">
        <f>SUM($AC$5:AC310)</f>
        <v>0.28819027883811438</v>
      </c>
      <c r="AE310" s="99" t="str" cm="1">
        <f t="array" ref="AE310">IF(SamplingData[[#This Row],[up/U Selection Probability]] = 0, "Zero", TEXT(SamplingData[[#This Row],[Lower Range]], REPT("0",LEN('General Info'!$B$42))) &amp; " - " &amp; TEXT(SamplingData[[#This Row],[Upper Range]], REPT("0",LEN('General Info'!$B$42))))</f>
        <v>287268 - 288189</v>
      </c>
      <c r="AF310" s="99">
        <f>SamplingData[[#This Row],[Upper Range]]-SamplingData[[#This Row],[Span]]</f>
        <v>287267.7863816488</v>
      </c>
      <c r="AG310" s="99">
        <f>IF(ISNUMBER('General Info'!$B$42), ((SamplingData[[#This Row],[up/U Selection Probability]]) * 'General Info'!$B$44) - 1, 0)</f>
        <v>921.49245646562815</v>
      </c>
      <c r="AH310" s="99">
        <f>IF(ISNUMBER('General Info'!$B$42), (SamplingData[[#This Row],[Running (cumulative) sum]] * ('General Info'!$B$42 -'General Info'!$B$43 + 1)) + 'General Info'!$B$43 - 1, 0)</f>
        <v>288189.27883811441</v>
      </c>
      <c r="AI310" s="99" t="str">
        <f>IF(ISERROR(MATCH(SamplingData[[#This Row],[Batch by Type (p)]],SelectedPrecincts[Batch Name], 0)), "", INDEX(SelectedPrecincts[Draw], MATCH(SamplingData[[#This Row],[Batch by Type (p)]],SelectedPrecincts[Batch Name], 0)))</f>
        <v/>
      </c>
      <c r="AJ310" s="100">
        <f>IF(COUNTIF(SelectedPrecincts[Batch Name],SamplingData[[#This Row],[Batch by Type (p)]]) &lt;&gt; 0, COUNTIF(SelectedPrecincts[Batch Name],SamplingData[[#This Row],[Batch by Type (p)]]), 0)</f>
        <v>0</v>
      </c>
    </row>
    <row r="311" spans="1:36" ht="15" customHeight="1" x14ac:dyDescent="0.35">
      <c r="A311" s="97" t="s">
        <v>524</v>
      </c>
      <c r="B311" s="97">
        <v>370</v>
      </c>
      <c r="C311" s="97">
        <v>192</v>
      </c>
      <c r="D311" s="92"/>
      <c r="E311" s="92"/>
      <c r="F311" s="92"/>
      <c r="G311" s="96"/>
      <c r="H311" s="96"/>
      <c r="I311" s="92"/>
      <c r="J311" s="92"/>
      <c r="K311" s="92"/>
      <c r="L311" s="92"/>
      <c r="M311" s="92"/>
      <c r="N311" s="97">
        <v>0</v>
      </c>
      <c r="O311" s="97">
        <v>29</v>
      </c>
      <c r="P311" s="98">
        <f>SUM(SamplingData[[#This Row],[Winning Candidate]:[Under Votes]])</f>
        <v>591</v>
      </c>
      <c r="Q311" s="99">
        <f>IF(AND(SamplingData[[#This Row],[Total]]&lt;&gt; 0, NOT(ISBLANK(SamplingData[[#This Row],[Losing Candidate]]))),(SamplingData[[#This Row],[Total]]+SamplingData[[#This Row],[Winning Candidate]]-SamplingData[[#This Row],[Losing Candidate]])/(SamplingData[[#Totals],[Winning Candidate]]-SamplingData[[#Totals],[Losing Candidate]]), 0)</f>
        <v>3.2634527244949925E-2</v>
      </c>
      <c r="R311" s="99">
        <f>IF(AND(SamplingData[[#This Row],[Total]]&lt;&gt; 0, NOT(ISBLANK(SamplingData[[#This Row],[Candidate 3]]))),(SamplingData[[#This Row],[Total]]+SamplingData[[#This Row],[Winning Candidate]]-SamplingData[[#This Row],[Candidate 3]])/(SamplingData[[#Totals],[Winning Candidate]]-SamplingData[[#Totals],[Candidate 3]]), 0)</f>
        <v>0</v>
      </c>
      <c r="S311" s="99">
        <f>IF(AND(SamplingData[[#This Row],[Total]]&lt;&gt; 0, NOT(ISBLANK(SamplingData[[#This Row],[Candidate 4]]))),(SamplingData[[#This Row],[Total]]+SamplingData[[#This Row],[Winning Candidate]]-SamplingData[[#This Row],[Candidate 4]])/(SamplingData[[#Totals],[Winning Candidate]]-SamplingData[[#Totals],[Candidate 4]]), 0)</f>
        <v>0</v>
      </c>
      <c r="T311" s="99">
        <f>IF(AND(SamplingData[[#This Row],[Total]]&lt;&gt; 0, NOT(ISBLANK(SamplingData[[#This Row],[Candidate 5]]))),(SamplingData[[#This Row],[Total]]+SamplingData[[#This Row],[Winning Candidate]]-SamplingData[[#This Row],[Candidate 5]])/(SamplingData[[#Totals],[Winning Candidate]]-SamplingData[[#Totals],[Candidate 5]]), 0)</f>
        <v>0</v>
      </c>
      <c r="U311" s="99">
        <f>IF(AND(SamplingData[[#This Row],[Total]]&lt;&gt; 0, NOT(ISBLANK(SamplingData[[#This Row],[Candidate 6]]))),(SamplingData[[#This Row],[Total]]+SamplingData[[#This Row],[Losing Candidate]]-SamplingData[[#This Row],[Candidate 6]])/(SamplingData[[#Totals],[Winning Candidate]]-SamplingData[[#Totals],[Candidate 6]]), 0)</f>
        <v>0</v>
      </c>
      <c r="V311" s="99">
        <f>IF(AND(SamplingData[[#This Row],[Total]]&lt;&gt; 0, NOT(ISBLANK(SamplingData[[#This Row],[Candidate 7]]))),(SamplingData[[#This Row],[Total]]+SamplingData[[#This Row],[Winning Candidate]]-SamplingData[[#This Row],[Candidate 7]])/(SamplingData[[#Totals],[Winning Candidate]]-SamplingData[[#Totals],[Candidate 7]]), 0)</f>
        <v>0</v>
      </c>
      <c r="W311" s="99">
        <f>IF(AND(SamplingData[[#This Row],[Total]]&lt;&gt; 0, NOT(ISBLANK(SamplingData[[#This Row],[Candidate 8]]))),(SamplingData[[#This Row],[Total]]+SamplingData[[#This Row],[Winning Candidate]]-SamplingData[[#This Row],[Candidate 8]])/(SamplingData[[#Totals],[Winning Candidate]]-SamplingData[[#Totals],[Candidate 8]]), 0)</f>
        <v>0</v>
      </c>
      <c r="X3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1" s="99">
        <f>MAX(SamplingData[[#This Row],[Error Bound (up) - Max. possible relative overstatement - Losing Candidate]:[Error Bound (up) - Max. possible relative overstatement - Candidate 12]])</f>
        <v>3.2634527244949925E-2</v>
      </c>
      <c r="AC311" s="99">
        <f>IF(SamplingData[[#This Row],[Max Error Bound (up)]] = 0,0,SamplingData[[#This Row],[Max Error Bound (up)]]/SamplingData[[#Totals],[Max Error Bound (up)]])</f>
        <v>1.7472825099065716E-3</v>
      </c>
      <c r="AD311" s="103">
        <f>SUM($AC$5:AC311)</f>
        <v>0.28993756134802096</v>
      </c>
      <c r="AE311" s="99" t="str" cm="1">
        <f t="array" ref="AE311">IF(SamplingData[[#This Row],[up/U Selection Probability]] = 0, "Zero", TEXT(SamplingData[[#This Row],[Lower Range]], REPT("0",LEN('General Info'!$B$42))) &amp; " - " &amp; TEXT(SamplingData[[#This Row],[Upper Range]], REPT("0",LEN('General Info'!$B$42))))</f>
        <v>288190 - 289937</v>
      </c>
      <c r="AF311" s="99">
        <f>SamplingData[[#This Row],[Upper Range]]-SamplingData[[#This Row],[Span]]</f>
        <v>288190.27883811441</v>
      </c>
      <c r="AG311" s="99">
        <f>IF(ISNUMBER('General Info'!$B$42), ((SamplingData[[#This Row],[up/U Selection Probability]]) * 'General Info'!$B$44) - 1, 0)</f>
        <v>1746.2825099065715</v>
      </c>
      <c r="AH311" s="99">
        <f>IF(ISNUMBER('General Info'!$B$42), (SamplingData[[#This Row],[Running (cumulative) sum]] * ('General Info'!$B$42 -'General Info'!$B$43 + 1)) + 'General Info'!$B$43 - 1, 0)</f>
        <v>289936.56134802097</v>
      </c>
      <c r="AI311" s="99" t="str">
        <f>IF(ISERROR(MATCH(SamplingData[[#This Row],[Batch by Type (p)]],SelectedPrecincts[Batch Name], 0)), "", INDEX(SelectedPrecincts[Draw], MATCH(SamplingData[[#This Row],[Batch by Type (p)]],SelectedPrecincts[Batch Name], 0)))</f>
        <v/>
      </c>
      <c r="AJ311" s="100">
        <f>IF(COUNTIF(SelectedPrecincts[Batch Name],SamplingData[[#This Row],[Batch by Type (p)]]) &lt;&gt; 0, COUNTIF(SelectedPrecincts[Batch Name],SamplingData[[#This Row],[Batch by Type (p)]]), 0)</f>
        <v>0</v>
      </c>
    </row>
    <row r="312" spans="1:36" ht="15" customHeight="1" x14ac:dyDescent="0.35">
      <c r="A312" s="97" t="s">
        <v>525</v>
      </c>
      <c r="B312" s="97">
        <v>376</v>
      </c>
      <c r="C312" s="97">
        <v>173</v>
      </c>
      <c r="D312" s="92"/>
      <c r="E312" s="92"/>
      <c r="F312" s="92"/>
      <c r="G312" s="96"/>
      <c r="H312" s="96"/>
      <c r="I312" s="92"/>
      <c r="J312" s="92"/>
      <c r="K312" s="92"/>
      <c r="L312" s="92"/>
      <c r="M312" s="92"/>
      <c r="N312" s="97">
        <v>0</v>
      </c>
      <c r="O312" s="97">
        <v>29</v>
      </c>
      <c r="P312" s="98">
        <f>SUM(SamplingData[[#This Row],[Winning Candidate]:[Under Votes]])</f>
        <v>578</v>
      </c>
      <c r="Q312" s="99">
        <f>IF(AND(SamplingData[[#This Row],[Total]]&lt;&gt; 0, NOT(ISBLANK(SamplingData[[#This Row],[Losing Candidate]]))),(SamplingData[[#This Row],[Total]]+SamplingData[[#This Row],[Winning Candidate]]-SamplingData[[#This Row],[Losing Candidate]])/(SamplingData[[#Totals],[Winning Candidate]]-SamplingData[[#Totals],[Losing Candidate]]), 0)</f>
        <v>3.3143778645391274E-2</v>
      </c>
      <c r="R312" s="99">
        <f>IF(AND(SamplingData[[#This Row],[Total]]&lt;&gt; 0, NOT(ISBLANK(SamplingData[[#This Row],[Candidate 3]]))),(SamplingData[[#This Row],[Total]]+SamplingData[[#This Row],[Winning Candidate]]-SamplingData[[#This Row],[Candidate 3]])/(SamplingData[[#Totals],[Winning Candidate]]-SamplingData[[#Totals],[Candidate 3]]), 0)</f>
        <v>0</v>
      </c>
      <c r="S312" s="99">
        <f>IF(AND(SamplingData[[#This Row],[Total]]&lt;&gt; 0, NOT(ISBLANK(SamplingData[[#This Row],[Candidate 4]]))),(SamplingData[[#This Row],[Total]]+SamplingData[[#This Row],[Winning Candidate]]-SamplingData[[#This Row],[Candidate 4]])/(SamplingData[[#Totals],[Winning Candidate]]-SamplingData[[#Totals],[Candidate 4]]), 0)</f>
        <v>0</v>
      </c>
      <c r="T312" s="99">
        <f>IF(AND(SamplingData[[#This Row],[Total]]&lt;&gt; 0, NOT(ISBLANK(SamplingData[[#This Row],[Candidate 5]]))),(SamplingData[[#This Row],[Total]]+SamplingData[[#This Row],[Winning Candidate]]-SamplingData[[#This Row],[Candidate 5]])/(SamplingData[[#Totals],[Winning Candidate]]-SamplingData[[#Totals],[Candidate 5]]), 0)</f>
        <v>0</v>
      </c>
      <c r="U312" s="99">
        <f>IF(AND(SamplingData[[#This Row],[Total]]&lt;&gt; 0, NOT(ISBLANK(SamplingData[[#This Row],[Candidate 6]]))),(SamplingData[[#This Row],[Total]]+SamplingData[[#This Row],[Losing Candidate]]-SamplingData[[#This Row],[Candidate 6]])/(SamplingData[[#Totals],[Winning Candidate]]-SamplingData[[#Totals],[Candidate 6]]), 0)</f>
        <v>0</v>
      </c>
      <c r="V312" s="99">
        <f>IF(AND(SamplingData[[#This Row],[Total]]&lt;&gt; 0, NOT(ISBLANK(SamplingData[[#This Row],[Candidate 7]]))),(SamplingData[[#This Row],[Total]]+SamplingData[[#This Row],[Winning Candidate]]-SamplingData[[#This Row],[Candidate 7]])/(SamplingData[[#Totals],[Winning Candidate]]-SamplingData[[#Totals],[Candidate 7]]), 0)</f>
        <v>0</v>
      </c>
      <c r="W312" s="99">
        <f>IF(AND(SamplingData[[#This Row],[Total]]&lt;&gt; 0, NOT(ISBLANK(SamplingData[[#This Row],[Candidate 8]]))),(SamplingData[[#This Row],[Total]]+SamplingData[[#This Row],[Winning Candidate]]-SamplingData[[#This Row],[Candidate 8]])/(SamplingData[[#Totals],[Winning Candidate]]-SamplingData[[#Totals],[Candidate 8]]), 0)</f>
        <v>0</v>
      </c>
      <c r="X3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2" s="99">
        <f>MAX(SamplingData[[#This Row],[Error Bound (up) - Max. possible relative overstatement - Losing Candidate]:[Error Bound (up) - Max. possible relative overstatement - Candidate 12]])</f>
        <v>3.3143778645391274E-2</v>
      </c>
      <c r="AC312" s="99">
        <f>IF(SamplingData[[#This Row],[Max Error Bound (up)]] = 0,0,SamplingData[[#This Row],[Max Error Bound (up)]]/SamplingData[[#Totals],[Max Error Bound (up)]])</f>
        <v>1.7745482967971812E-3</v>
      </c>
      <c r="AD312" s="103">
        <f>SUM($AC$5:AC312)</f>
        <v>0.29171210964481814</v>
      </c>
      <c r="AE312" s="99" t="str" cm="1">
        <f t="array" ref="AE312">IF(SamplingData[[#This Row],[up/U Selection Probability]] = 0, "Zero", TEXT(SamplingData[[#This Row],[Lower Range]], REPT("0",LEN('General Info'!$B$42))) &amp; " - " &amp; TEXT(SamplingData[[#This Row],[Upper Range]], REPT("0",LEN('General Info'!$B$42))))</f>
        <v>289938 - 291711</v>
      </c>
      <c r="AF312" s="99">
        <f>SamplingData[[#This Row],[Upper Range]]-SamplingData[[#This Row],[Span]]</f>
        <v>289937.56134802091</v>
      </c>
      <c r="AG312" s="99">
        <f>IF(ISNUMBER('General Info'!$B$42), ((SamplingData[[#This Row],[up/U Selection Probability]]) * 'General Info'!$B$44) - 1, 0)</f>
        <v>1773.5482967971811</v>
      </c>
      <c r="AH312" s="99">
        <f>IF(ISNUMBER('General Info'!$B$42), (SamplingData[[#This Row],[Running (cumulative) sum]] * ('General Info'!$B$42 -'General Info'!$B$43 + 1)) + 'General Info'!$B$43 - 1, 0)</f>
        <v>291711.10964481812</v>
      </c>
      <c r="AI312" s="99" t="str">
        <f>IF(ISERROR(MATCH(SamplingData[[#This Row],[Batch by Type (p)]],SelectedPrecincts[Batch Name], 0)), "", INDEX(SelectedPrecincts[Draw], MATCH(SamplingData[[#This Row],[Batch by Type (p)]],SelectedPrecincts[Batch Name], 0)))</f>
        <v/>
      </c>
      <c r="AJ312" s="100">
        <f>IF(COUNTIF(SelectedPrecincts[Batch Name],SamplingData[[#This Row],[Batch by Type (p)]]) &lt;&gt; 0, COUNTIF(SelectedPrecincts[Batch Name],SamplingData[[#This Row],[Batch by Type (p)]]), 0)</f>
        <v>0</v>
      </c>
    </row>
    <row r="313" spans="1:36" ht="15" customHeight="1" x14ac:dyDescent="0.35">
      <c r="A313" s="97" t="s">
        <v>526</v>
      </c>
      <c r="B313" s="97">
        <v>309</v>
      </c>
      <c r="C313" s="97">
        <v>132</v>
      </c>
      <c r="D313" s="92"/>
      <c r="E313" s="92"/>
      <c r="F313" s="92"/>
      <c r="G313" s="96"/>
      <c r="H313" s="96"/>
      <c r="I313" s="92"/>
      <c r="J313" s="92"/>
      <c r="K313" s="92"/>
      <c r="L313" s="92"/>
      <c r="M313" s="92"/>
      <c r="N313" s="97">
        <v>0</v>
      </c>
      <c r="O313" s="97">
        <v>23</v>
      </c>
      <c r="P313" s="98">
        <f>SUM(SamplingData[[#This Row],[Winning Candidate]:[Under Votes]])</f>
        <v>464</v>
      </c>
      <c r="Q313" s="99">
        <f>IF(AND(SamplingData[[#This Row],[Total]]&lt;&gt; 0, NOT(ISBLANK(SamplingData[[#This Row],[Losing Candidate]]))),(SamplingData[[#This Row],[Total]]+SamplingData[[#This Row],[Winning Candidate]]-SamplingData[[#This Row],[Losing Candidate]])/(SamplingData[[#Totals],[Winning Candidate]]-SamplingData[[#Totals],[Losing Candidate]]), 0)</f>
        <v>2.7202512306908844E-2</v>
      </c>
      <c r="R313" s="99">
        <f>IF(AND(SamplingData[[#This Row],[Total]]&lt;&gt; 0, NOT(ISBLANK(SamplingData[[#This Row],[Candidate 3]]))),(SamplingData[[#This Row],[Total]]+SamplingData[[#This Row],[Winning Candidate]]-SamplingData[[#This Row],[Candidate 3]])/(SamplingData[[#Totals],[Winning Candidate]]-SamplingData[[#Totals],[Candidate 3]]), 0)</f>
        <v>0</v>
      </c>
      <c r="S313" s="99">
        <f>IF(AND(SamplingData[[#This Row],[Total]]&lt;&gt; 0, NOT(ISBLANK(SamplingData[[#This Row],[Candidate 4]]))),(SamplingData[[#This Row],[Total]]+SamplingData[[#This Row],[Winning Candidate]]-SamplingData[[#This Row],[Candidate 4]])/(SamplingData[[#Totals],[Winning Candidate]]-SamplingData[[#Totals],[Candidate 4]]), 0)</f>
        <v>0</v>
      </c>
      <c r="T313" s="99">
        <f>IF(AND(SamplingData[[#This Row],[Total]]&lt;&gt; 0, NOT(ISBLANK(SamplingData[[#This Row],[Candidate 5]]))),(SamplingData[[#This Row],[Total]]+SamplingData[[#This Row],[Winning Candidate]]-SamplingData[[#This Row],[Candidate 5]])/(SamplingData[[#Totals],[Winning Candidate]]-SamplingData[[#Totals],[Candidate 5]]), 0)</f>
        <v>0</v>
      </c>
      <c r="U313" s="99">
        <f>IF(AND(SamplingData[[#This Row],[Total]]&lt;&gt; 0, NOT(ISBLANK(SamplingData[[#This Row],[Candidate 6]]))),(SamplingData[[#This Row],[Total]]+SamplingData[[#This Row],[Losing Candidate]]-SamplingData[[#This Row],[Candidate 6]])/(SamplingData[[#Totals],[Winning Candidate]]-SamplingData[[#Totals],[Candidate 6]]), 0)</f>
        <v>0</v>
      </c>
      <c r="V313" s="99">
        <f>IF(AND(SamplingData[[#This Row],[Total]]&lt;&gt; 0, NOT(ISBLANK(SamplingData[[#This Row],[Candidate 7]]))),(SamplingData[[#This Row],[Total]]+SamplingData[[#This Row],[Winning Candidate]]-SamplingData[[#This Row],[Candidate 7]])/(SamplingData[[#Totals],[Winning Candidate]]-SamplingData[[#Totals],[Candidate 7]]), 0)</f>
        <v>0</v>
      </c>
      <c r="W313" s="99">
        <f>IF(AND(SamplingData[[#This Row],[Total]]&lt;&gt; 0, NOT(ISBLANK(SamplingData[[#This Row],[Candidate 8]]))),(SamplingData[[#This Row],[Total]]+SamplingData[[#This Row],[Winning Candidate]]-SamplingData[[#This Row],[Candidate 8]])/(SamplingData[[#Totals],[Winning Candidate]]-SamplingData[[#Totals],[Candidate 8]]), 0)</f>
        <v>0</v>
      </c>
      <c r="X3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3" s="99">
        <f>MAX(SamplingData[[#This Row],[Error Bound (up) - Max. possible relative overstatement - Losing Candidate]:[Error Bound (up) - Max. possible relative overstatement - Candidate 12]])</f>
        <v>2.7202512306908844E-2</v>
      </c>
      <c r="AC313" s="99">
        <f>IF(SamplingData[[#This Row],[Max Error Bound (up)]] = 0,0,SamplingData[[#This Row],[Max Error Bound (up)]]/SamplingData[[#Totals],[Max Error Bound (up)]])</f>
        <v>1.4564474497400679E-3</v>
      </c>
      <c r="AD313" s="103">
        <f>SUM($AC$5:AC313)</f>
        <v>0.29316855709455819</v>
      </c>
      <c r="AE313" s="99" t="str" cm="1">
        <f t="array" ref="AE313">IF(SamplingData[[#This Row],[up/U Selection Probability]] = 0, "Zero", TEXT(SamplingData[[#This Row],[Lower Range]], REPT("0",LEN('General Info'!$B$42))) &amp; " - " &amp; TEXT(SamplingData[[#This Row],[Upper Range]], REPT("0",LEN('General Info'!$B$42))))</f>
        <v>291712 - 293168</v>
      </c>
      <c r="AF313" s="99">
        <f>SamplingData[[#This Row],[Upper Range]]-SamplingData[[#This Row],[Span]]</f>
        <v>291712.10964481812</v>
      </c>
      <c r="AG313" s="99">
        <f>IF(ISNUMBER('General Info'!$B$42), ((SamplingData[[#This Row],[up/U Selection Probability]]) * 'General Info'!$B$44) - 1, 0)</f>
        <v>1455.4474497400679</v>
      </c>
      <c r="AH313" s="99">
        <f>IF(ISNUMBER('General Info'!$B$42), (SamplingData[[#This Row],[Running (cumulative) sum]] * ('General Info'!$B$42 -'General Info'!$B$43 + 1)) + 'General Info'!$B$43 - 1, 0)</f>
        <v>293167.5570945582</v>
      </c>
      <c r="AI313" s="99" t="str">
        <f>IF(ISERROR(MATCH(SamplingData[[#This Row],[Batch by Type (p)]],SelectedPrecincts[Batch Name], 0)), "", INDEX(SelectedPrecincts[Draw], MATCH(SamplingData[[#This Row],[Batch by Type (p)]],SelectedPrecincts[Batch Name], 0)))</f>
        <v/>
      </c>
      <c r="AJ313" s="100">
        <f>IF(COUNTIF(SelectedPrecincts[Batch Name],SamplingData[[#This Row],[Batch by Type (p)]]) &lt;&gt; 0, COUNTIF(SelectedPrecincts[Batch Name],SamplingData[[#This Row],[Batch by Type (p)]]), 0)</f>
        <v>0</v>
      </c>
    </row>
    <row r="314" spans="1:36" ht="15" customHeight="1" x14ac:dyDescent="0.35">
      <c r="A314" s="97" t="s">
        <v>527</v>
      </c>
      <c r="B314" s="97">
        <v>325</v>
      </c>
      <c r="C314" s="97">
        <v>115</v>
      </c>
      <c r="D314" s="92"/>
      <c r="E314" s="92"/>
      <c r="F314" s="92"/>
      <c r="G314" s="96"/>
      <c r="H314" s="96"/>
      <c r="I314" s="92"/>
      <c r="J314" s="92"/>
      <c r="K314" s="92"/>
      <c r="L314" s="92"/>
      <c r="M314" s="92"/>
      <c r="N314" s="97">
        <v>1</v>
      </c>
      <c r="O314" s="97">
        <v>15</v>
      </c>
      <c r="P314" s="98">
        <f>SUM(SamplingData[[#This Row],[Winning Candidate]:[Under Votes]])</f>
        <v>456</v>
      </c>
      <c r="Q314" s="99">
        <f>IF(AND(SamplingData[[#This Row],[Total]]&lt;&gt; 0, NOT(ISBLANK(SamplingData[[#This Row],[Losing Candidate]]))),(SamplingData[[#This Row],[Total]]+SamplingData[[#This Row],[Winning Candidate]]-SamplingData[[#This Row],[Losing Candidate]])/(SamplingData[[#Totals],[Winning Candidate]]-SamplingData[[#Totals],[Losing Candidate]]), 0)</f>
        <v>2.8263452724494993E-2</v>
      </c>
      <c r="R314" s="99">
        <f>IF(AND(SamplingData[[#This Row],[Total]]&lt;&gt; 0, NOT(ISBLANK(SamplingData[[#This Row],[Candidate 3]]))),(SamplingData[[#This Row],[Total]]+SamplingData[[#This Row],[Winning Candidate]]-SamplingData[[#This Row],[Candidate 3]])/(SamplingData[[#Totals],[Winning Candidate]]-SamplingData[[#Totals],[Candidate 3]]), 0)</f>
        <v>0</v>
      </c>
      <c r="S314" s="99">
        <f>IF(AND(SamplingData[[#This Row],[Total]]&lt;&gt; 0, NOT(ISBLANK(SamplingData[[#This Row],[Candidate 4]]))),(SamplingData[[#This Row],[Total]]+SamplingData[[#This Row],[Winning Candidate]]-SamplingData[[#This Row],[Candidate 4]])/(SamplingData[[#Totals],[Winning Candidate]]-SamplingData[[#Totals],[Candidate 4]]), 0)</f>
        <v>0</v>
      </c>
      <c r="T314" s="99">
        <f>IF(AND(SamplingData[[#This Row],[Total]]&lt;&gt; 0, NOT(ISBLANK(SamplingData[[#This Row],[Candidate 5]]))),(SamplingData[[#This Row],[Total]]+SamplingData[[#This Row],[Winning Candidate]]-SamplingData[[#This Row],[Candidate 5]])/(SamplingData[[#Totals],[Winning Candidate]]-SamplingData[[#Totals],[Candidate 5]]), 0)</f>
        <v>0</v>
      </c>
      <c r="U314" s="99">
        <f>IF(AND(SamplingData[[#This Row],[Total]]&lt;&gt; 0, NOT(ISBLANK(SamplingData[[#This Row],[Candidate 6]]))),(SamplingData[[#This Row],[Total]]+SamplingData[[#This Row],[Losing Candidate]]-SamplingData[[#This Row],[Candidate 6]])/(SamplingData[[#Totals],[Winning Candidate]]-SamplingData[[#Totals],[Candidate 6]]), 0)</f>
        <v>0</v>
      </c>
      <c r="V314" s="99">
        <f>IF(AND(SamplingData[[#This Row],[Total]]&lt;&gt; 0, NOT(ISBLANK(SamplingData[[#This Row],[Candidate 7]]))),(SamplingData[[#This Row],[Total]]+SamplingData[[#This Row],[Winning Candidate]]-SamplingData[[#This Row],[Candidate 7]])/(SamplingData[[#Totals],[Winning Candidate]]-SamplingData[[#Totals],[Candidate 7]]), 0)</f>
        <v>0</v>
      </c>
      <c r="W314" s="99">
        <f>IF(AND(SamplingData[[#This Row],[Total]]&lt;&gt; 0, NOT(ISBLANK(SamplingData[[#This Row],[Candidate 8]]))),(SamplingData[[#This Row],[Total]]+SamplingData[[#This Row],[Winning Candidate]]-SamplingData[[#This Row],[Candidate 8]])/(SamplingData[[#Totals],[Winning Candidate]]-SamplingData[[#Totals],[Candidate 8]]), 0)</f>
        <v>0</v>
      </c>
      <c r="X3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4" s="99">
        <f>MAX(SamplingData[[#This Row],[Error Bound (up) - Max. possible relative overstatement - Losing Candidate]:[Error Bound (up) - Max. possible relative overstatement - Candidate 12]])</f>
        <v>2.8263452724494993E-2</v>
      </c>
      <c r="AC314" s="99">
        <f>IF(SamplingData[[#This Row],[Max Error Bound (up)]] = 0,0,SamplingData[[#This Row],[Max Error Bound (up)]]/SamplingData[[#Totals],[Max Error Bound (up)]])</f>
        <v>1.5132511724288383E-3</v>
      </c>
      <c r="AD314" s="103">
        <f>SUM($AC$5:AC314)</f>
        <v>0.29468180826698703</v>
      </c>
      <c r="AE314" s="99" t="str" cm="1">
        <f t="array" ref="AE314">IF(SamplingData[[#This Row],[up/U Selection Probability]] = 0, "Zero", TEXT(SamplingData[[#This Row],[Lower Range]], REPT("0",LEN('General Info'!$B$42))) &amp; " - " &amp; TEXT(SamplingData[[#This Row],[Upper Range]], REPT("0",LEN('General Info'!$B$42))))</f>
        <v>293169 - 294681</v>
      </c>
      <c r="AF314" s="99">
        <f>SamplingData[[#This Row],[Upper Range]]-SamplingData[[#This Row],[Span]]</f>
        <v>293168.5570945582</v>
      </c>
      <c r="AG314" s="99">
        <f>IF(ISNUMBER('General Info'!$B$42), ((SamplingData[[#This Row],[up/U Selection Probability]]) * 'General Info'!$B$44) - 1, 0)</f>
        <v>1512.2511724288383</v>
      </c>
      <c r="AH314" s="99">
        <f>IF(ISNUMBER('General Info'!$B$42), (SamplingData[[#This Row],[Running (cumulative) sum]] * ('General Info'!$B$42 -'General Info'!$B$43 + 1)) + 'General Info'!$B$43 - 1, 0)</f>
        <v>294680.80826698703</v>
      </c>
      <c r="AI314" s="99">
        <f>IF(ISERROR(MATCH(SamplingData[[#This Row],[Batch by Type (p)]],SelectedPrecincts[Batch Name], 0)), "", INDEX(SelectedPrecincts[Draw], MATCH(SamplingData[[#This Row],[Batch by Type (p)]],SelectedPrecincts[Batch Name], 0)))</f>
        <v>4</v>
      </c>
      <c r="AJ314" s="100">
        <f>IF(COUNTIF(SelectedPrecincts[Batch Name],SamplingData[[#This Row],[Batch by Type (p)]]) &lt;&gt; 0, COUNTIF(SelectedPrecincts[Batch Name],SamplingData[[#This Row],[Batch by Type (p)]]), 0)</f>
        <v>1</v>
      </c>
    </row>
    <row r="315" spans="1:36" ht="15" customHeight="1" x14ac:dyDescent="0.35">
      <c r="A315" s="97" t="s">
        <v>528</v>
      </c>
      <c r="B315" s="97">
        <v>372</v>
      </c>
      <c r="C315" s="97">
        <v>200</v>
      </c>
      <c r="D315" s="92"/>
      <c r="E315" s="92"/>
      <c r="F315" s="92"/>
      <c r="G315" s="96"/>
      <c r="H315" s="96"/>
      <c r="I315" s="92"/>
      <c r="J315" s="92"/>
      <c r="K315" s="92"/>
      <c r="L315" s="92"/>
      <c r="M315" s="92"/>
      <c r="N315" s="97">
        <v>0</v>
      </c>
      <c r="O315" s="97">
        <v>18</v>
      </c>
      <c r="P315" s="98">
        <f>SUM(SamplingData[[#This Row],[Winning Candidate]:[Under Votes]])</f>
        <v>590</v>
      </c>
      <c r="Q315" s="99">
        <f>IF(AND(SamplingData[[#This Row],[Total]]&lt;&gt; 0, NOT(ISBLANK(SamplingData[[#This Row],[Losing Candidate]]))),(SamplingData[[#This Row],[Total]]+SamplingData[[#This Row],[Winning Candidate]]-SamplingData[[#This Row],[Losing Candidate]])/(SamplingData[[#Totals],[Winning Candidate]]-SamplingData[[#Totals],[Losing Candidate]]), 0)</f>
        <v>3.2337463928025799E-2</v>
      </c>
      <c r="R315" s="99">
        <f>IF(AND(SamplingData[[#This Row],[Total]]&lt;&gt; 0, NOT(ISBLANK(SamplingData[[#This Row],[Candidate 3]]))),(SamplingData[[#This Row],[Total]]+SamplingData[[#This Row],[Winning Candidate]]-SamplingData[[#This Row],[Candidate 3]])/(SamplingData[[#Totals],[Winning Candidate]]-SamplingData[[#Totals],[Candidate 3]]), 0)</f>
        <v>0</v>
      </c>
      <c r="S315" s="99">
        <f>IF(AND(SamplingData[[#This Row],[Total]]&lt;&gt; 0, NOT(ISBLANK(SamplingData[[#This Row],[Candidate 4]]))),(SamplingData[[#This Row],[Total]]+SamplingData[[#This Row],[Winning Candidate]]-SamplingData[[#This Row],[Candidate 4]])/(SamplingData[[#Totals],[Winning Candidate]]-SamplingData[[#Totals],[Candidate 4]]), 0)</f>
        <v>0</v>
      </c>
      <c r="T315" s="99">
        <f>IF(AND(SamplingData[[#This Row],[Total]]&lt;&gt; 0, NOT(ISBLANK(SamplingData[[#This Row],[Candidate 5]]))),(SamplingData[[#This Row],[Total]]+SamplingData[[#This Row],[Winning Candidate]]-SamplingData[[#This Row],[Candidate 5]])/(SamplingData[[#Totals],[Winning Candidate]]-SamplingData[[#Totals],[Candidate 5]]), 0)</f>
        <v>0</v>
      </c>
      <c r="U315" s="99">
        <f>IF(AND(SamplingData[[#This Row],[Total]]&lt;&gt; 0, NOT(ISBLANK(SamplingData[[#This Row],[Candidate 6]]))),(SamplingData[[#This Row],[Total]]+SamplingData[[#This Row],[Losing Candidate]]-SamplingData[[#This Row],[Candidate 6]])/(SamplingData[[#Totals],[Winning Candidate]]-SamplingData[[#Totals],[Candidate 6]]), 0)</f>
        <v>0</v>
      </c>
      <c r="V315" s="99">
        <f>IF(AND(SamplingData[[#This Row],[Total]]&lt;&gt; 0, NOT(ISBLANK(SamplingData[[#This Row],[Candidate 7]]))),(SamplingData[[#This Row],[Total]]+SamplingData[[#This Row],[Winning Candidate]]-SamplingData[[#This Row],[Candidate 7]])/(SamplingData[[#Totals],[Winning Candidate]]-SamplingData[[#Totals],[Candidate 7]]), 0)</f>
        <v>0</v>
      </c>
      <c r="W315" s="99">
        <f>IF(AND(SamplingData[[#This Row],[Total]]&lt;&gt; 0, NOT(ISBLANK(SamplingData[[#This Row],[Candidate 8]]))),(SamplingData[[#This Row],[Total]]+SamplingData[[#This Row],[Winning Candidate]]-SamplingData[[#This Row],[Candidate 8]])/(SamplingData[[#Totals],[Winning Candidate]]-SamplingData[[#Totals],[Candidate 8]]), 0)</f>
        <v>0</v>
      </c>
      <c r="X3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5" s="99">
        <f>MAX(SamplingData[[#This Row],[Error Bound (up) - Max. possible relative overstatement - Losing Candidate]:[Error Bound (up) - Max. possible relative overstatement - Candidate 12]])</f>
        <v>3.2337463928025799E-2</v>
      </c>
      <c r="AC315" s="99">
        <f>IF(SamplingData[[#This Row],[Max Error Bound (up)]] = 0,0,SamplingData[[#This Row],[Max Error Bound (up)]]/SamplingData[[#Totals],[Max Error Bound (up)]])</f>
        <v>1.7313774675537157E-3</v>
      </c>
      <c r="AD315" s="103">
        <f>SUM($AC$5:AC315)</f>
        <v>0.29641318573454073</v>
      </c>
      <c r="AE315" s="99" t="str" cm="1">
        <f t="array" ref="AE315">IF(SamplingData[[#This Row],[up/U Selection Probability]] = 0, "Zero", TEXT(SamplingData[[#This Row],[Lower Range]], REPT("0",LEN('General Info'!$B$42))) &amp; " - " &amp; TEXT(SamplingData[[#This Row],[Upper Range]], REPT("0",LEN('General Info'!$B$42))))</f>
        <v>294682 - 296412</v>
      </c>
      <c r="AF315" s="99">
        <f>SamplingData[[#This Row],[Upper Range]]-SamplingData[[#This Row],[Span]]</f>
        <v>294681.80826698703</v>
      </c>
      <c r="AG315" s="99">
        <f>IF(ISNUMBER('General Info'!$B$42), ((SamplingData[[#This Row],[up/U Selection Probability]]) * 'General Info'!$B$44) - 1, 0)</f>
        <v>1730.3774675537156</v>
      </c>
      <c r="AH315" s="99">
        <f>IF(ISNUMBER('General Info'!$B$42), (SamplingData[[#This Row],[Running (cumulative) sum]] * ('General Info'!$B$42 -'General Info'!$B$43 + 1)) + 'General Info'!$B$43 - 1, 0)</f>
        <v>296412.18573454075</v>
      </c>
      <c r="AI315" s="99" t="str">
        <f>IF(ISERROR(MATCH(SamplingData[[#This Row],[Batch by Type (p)]],SelectedPrecincts[Batch Name], 0)), "", INDEX(SelectedPrecincts[Draw], MATCH(SamplingData[[#This Row],[Batch by Type (p)]],SelectedPrecincts[Batch Name], 0)))</f>
        <v/>
      </c>
      <c r="AJ315" s="100">
        <f>IF(COUNTIF(SelectedPrecincts[Batch Name],SamplingData[[#This Row],[Batch by Type (p)]]) &lt;&gt; 0, COUNTIF(SelectedPrecincts[Batch Name],SamplingData[[#This Row],[Batch by Type (p)]]), 0)</f>
        <v>0</v>
      </c>
    </row>
    <row r="316" spans="1:36" ht="15" customHeight="1" x14ac:dyDescent="0.35">
      <c r="A316" s="97" t="s">
        <v>529</v>
      </c>
      <c r="B316" s="97">
        <v>224</v>
      </c>
      <c r="C316" s="97">
        <v>146</v>
      </c>
      <c r="D316" s="92"/>
      <c r="E316" s="92"/>
      <c r="F316" s="92"/>
      <c r="G316" s="96"/>
      <c r="H316" s="96"/>
      <c r="I316" s="92"/>
      <c r="J316" s="92"/>
      <c r="K316" s="92"/>
      <c r="L316" s="92"/>
      <c r="M316" s="92"/>
      <c r="N316" s="97">
        <v>0</v>
      </c>
      <c r="O316" s="97">
        <v>15</v>
      </c>
      <c r="P316" s="98">
        <f>SUM(SamplingData[[#This Row],[Winning Candidate]:[Under Votes]])</f>
        <v>385</v>
      </c>
      <c r="Q316" s="99">
        <f>IF(AND(SamplingData[[#This Row],[Total]]&lt;&gt; 0, NOT(ISBLANK(SamplingData[[#This Row],[Losing Candidate]]))),(SamplingData[[#This Row],[Total]]+SamplingData[[#This Row],[Winning Candidate]]-SamplingData[[#This Row],[Losing Candidate]])/(SamplingData[[#Totals],[Winning Candidate]]-SamplingData[[#Totals],[Losing Candidate]]), 0)</f>
        <v>1.9648616533695467E-2</v>
      </c>
      <c r="R316" s="99">
        <f>IF(AND(SamplingData[[#This Row],[Total]]&lt;&gt; 0, NOT(ISBLANK(SamplingData[[#This Row],[Candidate 3]]))),(SamplingData[[#This Row],[Total]]+SamplingData[[#This Row],[Winning Candidate]]-SamplingData[[#This Row],[Candidate 3]])/(SamplingData[[#Totals],[Winning Candidate]]-SamplingData[[#Totals],[Candidate 3]]), 0)</f>
        <v>0</v>
      </c>
      <c r="S316" s="99">
        <f>IF(AND(SamplingData[[#This Row],[Total]]&lt;&gt; 0, NOT(ISBLANK(SamplingData[[#This Row],[Candidate 4]]))),(SamplingData[[#This Row],[Total]]+SamplingData[[#This Row],[Winning Candidate]]-SamplingData[[#This Row],[Candidate 4]])/(SamplingData[[#Totals],[Winning Candidate]]-SamplingData[[#Totals],[Candidate 4]]), 0)</f>
        <v>0</v>
      </c>
      <c r="T316" s="99">
        <f>IF(AND(SamplingData[[#This Row],[Total]]&lt;&gt; 0, NOT(ISBLANK(SamplingData[[#This Row],[Candidate 5]]))),(SamplingData[[#This Row],[Total]]+SamplingData[[#This Row],[Winning Candidate]]-SamplingData[[#This Row],[Candidate 5]])/(SamplingData[[#Totals],[Winning Candidate]]-SamplingData[[#Totals],[Candidate 5]]), 0)</f>
        <v>0</v>
      </c>
      <c r="U316" s="99">
        <f>IF(AND(SamplingData[[#This Row],[Total]]&lt;&gt; 0, NOT(ISBLANK(SamplingData[[#This Row],[Candidate 6]]))),(SamplingData[[#This Row],[Total]]+SamplingData[[#This Row],[Losing Candidate]]-SamplingData[[#This Row],[Candidate 6]])/(SamplingData[[#Totals],[Winning Candidate]]-SamplingData[[#Totals],[Candidate 6]]), 0)</f>
        <v>0</v>
      </c>
      <c r="V316" s="99">
        <f>IF(AND(SamplingData[[#This Row],[Total]]&lt;&gt; 0, NOT(ISBLANK(SamplingData[[#This Row],[Candidate 7]]))),(SamplingData[[#This Row],[Total]]+SamplingData[[#This Row],[Winning Candidate]]-SamplingData[[#This Row],[Candidate 7]])/(SamplingData[[#Totals],[Winning Candidate]]-SamplingData[[#Totals],[Candidate 7]]), 0)</f>
        <v>0</v>
      </c>
      <c r="W316" s="99">
        <f>IF(AND(SamplingData[[#This Row],[Total]]&lt;&gt; 0, NOT(ISBLANK(SamplingData[[#This Row],[Candidate 8]]))),(SamplingData[[#This Row],[Total]]+SamplingData[[#This Row],[Winning Candidate]]-SamplingData[[#This Row],[Candidate 8]])/(SamplingData[[#Totals],[Winning Candidate]]-SamplingData[[#Totals],[Candidate 8]]), 0)</f>
        <v>0</v>
      </c>
      <c r="X3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6" s="99">
        <f>MAX(SamplingData[[#This Row],[Error Bound (up) - Max. possible relative overstatement - Losing Candidate]:[Error Bound (up) - Max. possible relative overstatement - Candidate 12]])</f>
        <v>1.9648616533695467E-2</v>
      </c>
      <c r="AC316" s="99">
        <f>IF(SamplingData[[#This Row],[Max Error Bound (up)]] = 0,0,SamplingData[[#This Row],[Max Error Bound (up)]]/SamplingData[[#Totals],[Max Error Bound (up)]])</f>
        <v>1.0520049441960241E-3</v>
      </c>
      <c r="AD316" s="103">
        <f>SUM($AC$5:AC316)</f>
        <v>0.29746519067873678</v>
      </c>
      <c r="AE316" s="99" t="str" cm="1">
        <f t="array" ref="AE316">IF(SamplingData[[#This Row],[up/U Selection Probability]] = 0, "Zero", TEXT(SamplingData[[#This Row],[Lower Range]], REPT("0",LEN('General Info'!$B$42))) &amp; " - " &amp; TEXT(SamplingData[[#This Row],[Upper Range]], REPT("0",LEN('General Info'!$B$42))))</f>
        <v>296413 - 297464</v>
      </c>
      <c r="AF316" s="99">
        <f>SamplingData[[#This Row],[Upper Range]]-SamplingData[[#This Row],[Span]]</f>
        <v>296413.18573454075</v>
      </c>
      <c r="AG316" s="99">
        <f>IF(ISNUMBER('General Info'!$B$42), ((SamplingData[[#This Row],[up/U Selection Probability]]) * 'General Info'!$B$44) - 1, 0)</f>
        <v>1051.0049441960241</v>
      </c>
      <c r="AH316" s="99">
        <f>IF(ISNUMBER('General Info'!$B$42), (SamplingData[[#This Row],[Running (cumulative) sum]] * ('General Info'!$B$42 -'General Info'!$B$43 + 1)) + 'General Info'!$B$43 - 1, 0)</f>
        <v>297464.19067873678</v>
      </c>
      <c r="AI316" s="99" t="str">
        <f>IF(ISERROR(MATCH(SamplingData[[#This Row],[Batch by Type (p)]],SelectedPrecincts[Batch Name], 0)), "", INDEX(SelectedPrecincts[Draw], MATCH(SamplingData[[#This Row],[Batch by Type (p)]],SelectedPrecincts[Batch Name], 0)))</f>
        <v/>
      </c>
      <c r="AJ316" s="100">
        <f>IF(COUNTIF(SelectedPrecincts[Batch Name],SamplingData[[#This Row],[Batch by Type (p)]]) &lt;&gt; 0, COUNTIF(SelectedPrecincts[Batch Name],SamplingData[[#This Row],[Batch by Type (p)]]), 0)</f>
        <v>0</v>
      </c>
    </row>
    <row r="317" spans="1:36" ht="15" customHeight="1" x14ac:dyDescent="0.35">
      <c r="A317" s="97" t="s">
        <v>530</v>
      </c>
      <c r="B317" s="97">
        <v>179</v>
      </c>
      <c r="C317" s="97">
        <v>153</v>
      </c>
      <c r="D317" s="92"/>
      <c r="E317" s="92"/>
      <c r="F317" s="92"/>
      <c r="G317" s="96"/>
      <c r="H317" s="96"/>
      <c r="I317" s="92"/>
      <c r="J317" s="92"/>
      <c r="K317" s="92"/>
      <c r="L317" s="92"/>
      <c r="M317" s="92"/>
      <c r="N317" s="97">
        <v>0</v>
      </c>
      <c r="O317" s="97">
        <v>13</v>
      </c>
      <c r="P317" s="98">
        <f>SUM(SamplingData[[#This Row],[Winning Candidate]:[Under Votes]])</f>
        <v>345</v>
      </c>
      <c r="Q317" s="99">
        <f>IF(AND(SamplingData[[#This Row],[Total]]&lt;&gt; 0, NOT(ISBLANK(SamplingData[[#This Row],[Losing Candidate]]))),(SamplingData[[#This Row],[Total]]+SamplingData[[#This Row],[Winning Candidate]]-SamplingData[[#This Row],[Losing Candidate]])/(SamplingData[[#Totals],[Winning Candidate]]-SamplingData[[#Totals],[Losing Candidate]]), 0)</f>
        <v>1.5744355796978443E-2</v>
      </c>
      <c r="R317" s="99">
        <f>IF(AND(SamplingData[[#This Row],[Total]]&lt;&gt; 0, NOT(ISBLANK(SamplingData[[#This Row],[Candidate 3]]))),(SamplingData[[#This Row],[Total]]+SamplingData[[#This Row],[Winning Candidate]]-SamplingData[[#This Row],[Candidate 3]])/(SamplingData[[#Totals],[Winning Candidate]]-SamplingData[[#Totals],[Candidate 3]]), 0)</f>
        <v>0</v>
      </c>
      <c r="S317" s="99">
        <f>IF(AND(SamplingData[[#This Row],[Total]]&lt;&gt; 0, NOT(ISBLANK(SamplingData[[#This Row],[Candidate 4]]))),(SamplingData[[#This Row],[Total]]+SamplingData[[#This Row],[Winning Candidate]]-SamplingData[[#This Row],[Candidate 4]])/(SamplingData[[#Totals],[Winning Candidate]]-SamplingData[[#Totals],[Candidate 4]]), 0)</f>
        <v>0</v>
      </c>
      <c r="T317" s="99">
        <f>IF(AND(SamplingData[[#This Row],[Total]]&lt;&gt; 0, NOT(ISBLANK(SamplingData[[#This Row],[Candidate 5]]))),(SamplingData[[#This Row],[Total]]+SamplingData[[#This Row],[Winning Candidate]]-SamplingData[[#This Row],[Candidate 5]])/(SamplingData[[#Totals],[Winning Candidate]]-SamplingData[[#Totals],[Candidate 5]]), 0)</f>
        <v>0</v>
      </c>
      <c r="U317" s="99">
        <f>IF(AND(SamplingData[[#This Row],[Total]]&lt;&gt; 0, NOT(ISBLANK(SamplingData[[#This Row],[Candidate 6]]))),(SamplingData[[#This Row],[Total]]+SamplingData[[#This Row],[Losing Candidate]]-SamplingData[[#This Row],[Candidate 6]])/(SamplingData[[#Totals],[Winning Candidate]]-SamplingData[[#Totals],[Candidate 6]]), 0)</f>
        <v>0</v>
      </c>
      <c r="V317" s="99">
        <f>IF(AND(SamplingData[[#This Row],[Total]]&lt;&gt; 0, NOT(ISBLANK(SamplingData[[#This Row],[Candidate 7]]))),(SamplingData[[#This Row],[Total]]+SamplingData[[#This Row],[Winning Candidate]]-SamplingData[[#This Row],[Candidate 7]])/(SamplingData[[#Totals],[Winning Candidate]]-SamplingData[[#Totals],[Candidate 7]]), 0)</f>
        <v>0</v>
      </c>
      <c r="W317" s="99">
        <f>IF(AND(SamplingData[[#This Row],[Total]]&lt;&gt; 0, NOT(ISBLANK(SamplingData[[#This Row],[Candidate 8]]))),(SamplingData[[#This Row],[Total]]+SamplingData[[#This Row],[Winning Candidate]]-SamplingData[[#This Row],[Candidate 8]])/(SamplingData[[#Totals],[Winning Candidate]]-SamplingData[[#Totals],[Candidate 8]]), 0)</f>
        <v>0</v>
      </c>
      <c r="X3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7" s="99">
        <f>MAX(SamplingData[[#This Row],[Error Bound (up) - Max. possible relative overstatement - Losing Candidate]:[Error Bound (up) - Max. possible relative overstatement - Candidate 12]])</f>
        <v>1.5744355796978443E-2</v>
      </c>
      <c r="AC317" s="99">
        <f>IF(SamplingData[[#This Row],[Max Error Bound (up)]] = 0,0,SamplingData[[#This Row],[Max Error Bound (up)]]/SamplingData[[#Totals],[Max Error Bound (up)]])</f>
        <v>8.4296724470134992E-4</v>
      </c>
      <c r="AD317" s="103">
        <f>SUM($AC$5:AC317)</f>
        <v>0.29830815792343812</v>
      </c>
      <c r="AE317" s="99" t="str" cm="1">
        <f t="array" ref="AE317">IF(SamplingData[[#This Row],[up/U Selection Probability]] = 0, "Zero", TEXT(SamplingData[[#This Row],[Lower Range]], REPT("0",LEN('General Info'!$B$42))) &amp; " - " &amp; TEXT(SamplingData[[#This Row],[Upper Range]], REPT("0",LEN('General Info'!$B$42))))</f>
        <v>297465 - 298307</v>
      </c>
      <c r="AF317" s="99">
        <f>SamplingData[[#This Row],[Upper Range]]-SamplingData[[#This Row],[Span]]</f>
        <v>297465.19067873678</v>
      </c>
      <c r="AG317" s="99">
        <f>IF(ISNUMBER('General Info'!$B$42), ((SamplingData[[#This Row],[up/U Selection Probability]]) * 'General Info'!$B$44) - 1, 0)</f>
        <v>841.96724470134995</v>
      </c>
      <c r="AH317" s="99">
        <f>IF(ISNUMBER('General Info'!$B$42), (SamplingData[[#This Row],[Running (cumulative) sum]] * ('General Info'!$B$42 -'General Info'!$B$43 + 1)) + 'General Info'!$B$43 - 1, 0)</f>
        <v>298307.15792343812</v>
      </c>
      <c r="AI317" s="99" t="str">
        <f>IF(ISERROR(MATCH(SamplingData[[#This Row],[Batch by Type (p)]],SelectedPrecincts[Batch Name], 0)), "", INDEX(SelectedPrecincts[Draw], MATCH(SamplingData[[#This Row],[Batch by Type (p)]],SelectedPrecincts[Batch Name], 0)))</f>
        <v/>
      </c>
      <c r="AJ317" s="100">
        <f>IF(COUNTIF(SelectedPrecincts[Batch Name],SamplingData[[#This Row],[Batch by Type (p)]]) &lt;&gt; 0, COUNTIF(SelectedPrecincts[Batch Name],SamplingData[[#This Row],[Batch by Type (p)]]), 0)</f>
        <v>0</v>
      </c>
    </row>
    <row r="318" spans="1:36" ht="15" customHeight="1" x14ac:dyDescent="0.35">
      <c r="A318" s="97" t="s">
        <v>531</v>
      </c>
      <c r="B318" s="97">
        <v>135</v>
      </c>
      <c r="C318" s="97">
        <v>95</v>
      </c>
      <c r="D318" s="92"/>
      <c r="E318" s="92"/>
      <c r="F318" s="92"/>
      <c r="G318" s="96"/>
      <c r="H318" s="96"/>
      <c r="I318" s="92"/>
      <c r="J318" s="92"/>
      <c r="K318" s="92"/>
      <c r="L318" s="92"/>
      <c r="M318" s="92"/>
      <c r="N318" s="97">
        <v>0</v>
      </c>
      <c r="O318" s="97">
        <v>10</v>
      </c>
      <c r="P318" s="98">
        <f>SUM(SamplingData[[#This Row],[Winning Candidate]:[Under Votes]])</f>
        <v>240</v>
      </c>
      <c r="Q318" s="99">
        <f>IF(AND(SamplingData[[#This Row],[Total]]&lt;&gt; 0, NOT(ISBLANK(SamplingData[[#This Row],[Losing Candidate]]))),(SamplingData[[#This Row],[Total]]+SamplingData[[#This Row],[Winning Candidate]]-SamplingData[[#This Row],[Losing Candidate]])/(SamplingData[[#Totals],[Winning Candidate]]-SamplingData[[#Totals],[Losing Candidate]]), 0)</f>
        <v>1.1882532676964862E-2</v>
      </c>
      <c r="R318" s="99">
        <f>IF(AND(SamplingData[[#This Row],[Total]]&lt;&gt; 0, NOT(ISBLANK(SamplingData[[#This Row],[Candidate 3]]))),(SamplingData[[#This Row],[Total]]+SamplingData[[#This Row],[Winning Candidate]]-SamplingData[[#This Row],[Candidate 3]])/(SamplingData[[#Totals],[Winning Candidate]]-SamplingData[[#Totals],[Candidate 3]]), 0)</f>
        <v>0</v>
      </c>
      <c r="S318" s="99">
        <f>IF(AND(SamplingData[[#This Row],[Total]]&lt;&gt; 0, NOT(ISBLANK(SamplingData[[#This Row],[Candidate 4]]))),(SamplingData[[#This Row],[Total]]+SamplingData[[#This Row],[Winning Candidate]]-SamplingData[[#This Row],[Candidate 4]])/(SamplingData[[#Totals],[Winning Candidate]]-SamplingData[[#Totals],[Candidate 4]]), 0)</f>
        <v>0</v>
      </c>
      <c r="T318" s="99">
        <f>IF(AND(SamplingData[[#This Row],[Total]]&lt;&gt; 0, NOT(ISBLANK(SamplingData[[#This Row],[Candidate 5]]))),(SamplingData[[#This Row],[Total]]+SamplingData[[#This Row],[Winning Candidate]]-SamplingData[[#This Row],[Candidate 5]])/(SamplingData[[#Totals],[Winning Candidate]]-SamplingData[[#Totals],[Candidate 5]]), 0)</f>
        <v>0</v>
      </c>
      <c r="U318" s="99">
        <f>IF(AND(SamplingData[[#This Row],[Total]]&lt;&gt; 0, NOT(ISBLANK(SamplingData[[#This Row],[Candidate 6]]))),(SamplingData[[#This Row],[Total]]+SamplingData[[#This Row],[Losing Candidate]]-SamplingData[[#This Row],[Candidate 6]])/(SamplingData[[#Totals],[Winning Candidate]]-SamplingData[[#Totals],[Candidate 6]]), 0)</f>
        <v>0</v>
      </c>
      <c r="V318" s="99">
        <f>IF(AND(SamplingData[[#This Row],[Total]]&lt;&gt; 0, NOT(ISBLANK(SamplingData[[#This Row],[Candidate 7]]))),(SamplingData[[#This Row],[Total]]+SamplingData[[#This Row],[Winning Candidate]]-SamplingData[[#This Row],[Candidate 7]])/(SamplingData[[#Totals],[Winning Candidate]]-SamplingData[[#Totals],[Candidate 7]]), 0)</f>
        <v>0</v>
      </c>
      <c r="W318" s="99">
        <f>IF(AND(SamplingData[[#This Row],[Total]]&lt;&gt; 0, NOT(ISBLANK(SamplingData[[#This Row],[Candidate 8]]))),(SamplingData[[#This Row],[Total]]+SamplingData[[#This Row],[Winning Candidate]]-SamplingData[[#This Row],[Candidate 8]])/(SamplingData[[#Totals],[Winning Candidate]]-SamplingData[[#Totals],[Candidate 8]]), 0)</f>
        <v>0</v>
      </c>
      <c r="X3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8" s="99">
        <f>MAX(SamplingData[[#This Row],[Error Bound (up) - Max. possible relative overstatement - Losing Candidate]:[Error Bound (up) - Max. possible relative overstatement - Candidate 12]])</f>
        <v>1.1882532676964862E-2</v>
      </c>
      <c r="AC318" s="99">
        <f>IF(SamplingData[[#This Row],[Max Error Bound (up)]] = 0,0,SamplingData[[#This Row],[Max Error Bound (up)]]/SamplingData[[#Totals],[Max Error Bound (up)]])</f>
        <v>6.3620169411422636E-4</v>
      </c>
      <c r="AD318" s="103">
        <f>SUM($AC$5:AC318)</f>
        <v>0.29894435961755234</v>
      </c>
      <c r="AE318" s="99" t="str" cm="1">
        <f t="array" ref="AE318">IF(SamplingData[[#This Row],[up/U Selection Probability]] = 0, "Zero", TEXT(SamplingData[[#This Row],[Lower Range]], REPT("0",LEN('General Info'!$B$42))) &amp; " - " &amp; TEXT(SamplingData[[#This Row],[Upper Range]], REPT("0",LEN('General Info'!$B$42))))</f>
        <v>298308 - 298943</v>
      </c>
      <c r="AF318" s="99">
        <f>SamplingData[[#This Row],[Upper Range]]-SamplingData[[#This Row],[Span]]</f>
        <v>298308.15792343806</v>
      </c>
      <c r="AG318" s="99">
        <f>IF(ISNUMBER('General Info'!$B$42), ((SamplingData[[#This Row],[up/U Selection Probability]]) * 'General Info'!$B$44) - 1, 0)</f>
        <v>635.20169411422637</v>
      </c>
      <c r="AH318" s="99">
        <f>IF(ISNUMBER('General Info'!$B$42), (SamplingData[[#This Row],[Running (cumulative) sum]] * ('General Info'!$B$42 -'General Info'!$B$43 + 1)) + 'General Info'!$B$43 - 1, 0)</f>
        <v>298943.35961755231</v>
      </c>
      <c r="AI318" s="99" t="str">
        <f>IF(ISERROR(MATCH(SamplingData[[#This Row],[Batch by Type (p)]],SelectedPrecincts[Batch Name], 0)), "", INDEX(SelectedPrecincts[Draw], MATCH(SamplingData[[#This Row],[Batch by Type (p)]],SelectedPrecincts[Batch Name], 0)))</f>
        <v/>
      </c>
      <c r="AJ318" s="100">
        <f>IF(COUNTIF(SelectedPrecincts[Batch Name],SamplingData[[#This Row],[Batch by Type (p)]]) &lt;&gt; 0, COUNTIF(SelectedPrecincts[Batch Name],SamplingData[[#This Row],[Batch by Type (p)]]), 0)</f>
        <v>0</v>
      </c>
    </row>
    <row r="319" spans="1:36" ht="15" customHeight="1" x14ac:dyDescent="0.35">
      <c r="A319" s="97" t="s">
        <v>532</v>
      </c>
      <c r="B319" s="97">
        <v>253</v>
      </c>
      <c r="C319" s="97">
        <v>145</v>
      </c>
      <c r="D319" s="92"/>
      <c r="E319" s="92"/>
      <c r="F319" s="92"/>
      <c r="G319" s="96"/>
      <c r="H319" s="96"/>
      <c r="I319" s="92"/>
      <c r="J319" s="92"/>
      <c r="K319" s="92"/>
      <c r="L319" s="92"/>
      <c r="M319" s="92"/>
      <c r="N319" s="97">
        <v>0</v>
      </c>
      <c r="O319" s="97">
        <v>20</v>
      </c>
      <c r="P319" s="98">
        <f>SUM(SamplingData[[#This Row],[Winning Candidate]:[Under Votes]])</f>
        <v>418</v>
      </c>
      <c r="Q319" s="99">
        <f>IF(AND(SamplingData[[#This Row],[Total]]&lt;&gt; 0, NOT(ISBLANK(SamplingData[[#This Row],[Losing Candidate]]))),(SamplingData[[#This Row],[Total]]+SamplingData[[#This Row],[Winning Candidate]]-SamplingData[[#This Row],[Losing Candidate]])/(SamplingData[[#Totals],[Winning Candidate]]-SamplingData[[#Totals],[Losing Candidate]]), 0)</f>
        <v>2.2322186386012563E-2</v>
      </c>
      <c r="R319" s="99">
        <f>IF(AND(SamplingData[[#This Row],[Total]]&lt;&gt; 0, NOT(ISBLANK(SamplingData[[#This Row],[Candidate 3]]))),(SamplingData[[#This Row],[Total]]+SamplingData[[#This Row],[Winning Candidate]]-SamplingData[[#This Row],[Candidate 3]])/(SamplingData[[#Totals],[Winning Candidate]]-SamplingData[[#Totals],[Candidate 3]]), 0)</f>
        <v>0</v>
      </c>
      <c r="S319" s="99">
        <f>IF(AND(SamplingData[[#This Row],[Total]]&lt;&gt; 0, NOT(ISBLANK(SamplingData[[#This Row],[Candidate 4]]))),(SamplingData[[#This Row],[Total]]+SamplingData[[#This Row],[Winning Candidate]]-SamplingData[[#This Row],[Candidate 4]])/(SamplingData[[#Totals],[Winning Candidate]]-SamplingData[[#Totals],[Candidate 4]]), 0)</f>
        <v>0</v>
      </c>
      <c r="T319" s="99">
        <f>IF(AND(SamplingData[[#This Row],[Total]]&lt;&gt; 0, NOT(ISBLANK(SamplingData[[#This Row],[Candidate 5]]))),(SamplingData[[#This Row],[Total]]+SamplingData[[#This Row],[Winning Candidate]]-SamplingData[[#This Row],[Candidate 5]])/(SamplingData[[#Totals],[Winning Candidate]]-SamplingData[[#Totals],[Candidate 5]]), 0)</f>
        <v>0</v>
      </c>
      <c r="U319" s="99">
        <f>IF(AND(SamplingData[[#This Row],[Total]]&lt;&gt; 0, NOT(ISBLANK(SamplingData[[#This Row],[Candidate 6]]))),(SamplingData[[#This Row],[Total]]+SamplingData[[#This Row],[Losing Candidate]]-SamplingData[[#This Row],[Candidate 6]])/(SamplingData[[#Totals],[Winning Candidate]]-SamplingData[[#Totals],[Candidate 6]]), 0)</f>
        <v>0</v>
      </c>
      <c r="V319" s="99">
        <f>IF(AND(SamplingData[[#This Row],[Total]]&lt;&gt; 0, NOT(ISBLANK(SamplingData[[#This Row],[Candidate 7]]))),(SamplingData[[#This Row],[Total]]+SamplingData[[#This Row],[Winning Candidate]]-SamplingData[[#This Row],[Candidate 7]])/(SamplingData[[#Totals],[Winning Candidate]]-SamplingData[[#Totals],[Candidate 7]]), 0)</f>
        <v>0</v>
      </c>
      <c r="W319" s="99">
        <f>IF(AND(SamplingData[[#This Row],[Total]]&lt;&gt; 0, NOT(ISBLANK(SamplingData[[#This Row],[Candidate 8]]))),(SamplingData[[#This Row],[Total]]+SamplingData[[#This Row],[Winning Candidate]]-SamplingData[[#This Row],[Candidate 8]])/(SamplingData[[#Totals],[Winning Candidate]]-SamplingData[[#Totals],[Candidate 8]]), 0)</f>
        <v>0</v>
      </c>
      <c r="X3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9" s="99">
        <f>MAX(SamplingData[[#This Row],[Error Bound (up) - Max. possible relative overstatement - Losing Candidate]:[Error Bound (up) - Max. possible relative overstatement - Candidate 12]])</f>
        <v>2.2322186386012563E-2</v>
      </c>
      <c r="AC319" s="99">
        <f>IF(SamplingData[[#This Row],[Max Error Bound (up)]] = 0,0,SamplingData[[#This Row],[Max Error Bound (up)]]/SamplingData[[#Totals],[Max Error Bound (up)]])</f>
        <v>1.1951503253717251E-3</v>
      </c>
      <c r="AD319" s="103">
        <f>SUM($AC$5:AC319)</f>
        <v>0.30013950994292404</v>
      </c>
      <c r="AE319" s="99" t="str" cm="1">
        <f t="array" ref="AE319">IF(SamplingData[[#This Row],[up/U Selection Probability]] = 0, "Zero", TEXT(SamplingData[[#This Row],[Lower Range]], REPT("0",LEN('General Info'!$B$42))) &amp; " - " &amp; TEXT(SamplingData[[#This Row],[Upper Range]], REPT("0",LEN('General Info'!$B$42))))</f>
        <v>298944 - 300139</v>
      </c>
      <c r="AF319" s="99">
        <f>SamplingData[[#This Row],[Upper Range]]-SamplingData[[#This Row],[Span]]</f>
        <v>298944.35961755231</v>
      </c>
      <c r="AG319" s="99">
        <f>IF(ISNUMBER('General Info'!$B$42), ((SamplingData[[#This Row],[up/U Selection Probability]]) * 'General Info'!$B$44) - 1, 0)</f>
        <v>1194.1503253717251</v>
      </c>
      <c r="AH319" s="99">
        <f>IF(ISNUMBER('General Info'!$B$42), (SamplingData[[#This Row],[Running (cumulative) sum]] * ('General Info'!$B$42 -'General Info'!$B$43 + 1)) + 'General Info'!$B$43 - 1, 0)</f>
        <v>300138.50994292402</v>
      </c>
      <c r="AI319" s="99" t="str">
        <f>IF(ISERROR(MATCH(SamplingData[[#This Row],[Batch by Type (p)]],SelectedPrecincts[Batch Name], 0)), "", INDEX(SelectedPrecincts[Draw], MATCH(SamplingData[[#This Row],[Batch by Type (p)]],SelectedPrecincts[Batch Name], 0)))</f>
        <v/>
      </c>
      <c r="AJ319" s="100">
        <f>IF(COUNTIF(SelectedPrecincts[Batch Name],SamplingData[[#This Row],[Batch by Type (p)]]) &lt;&gt; 0, COUNTIF(SelectedPrecincts[Batch Name],SamplingData[[#This Row],[Batch by Type (p)]]), 0)</f>
        <v>0</v>
      </c>
    </row>
    <row r="320" spans="1:36" ht="15" customHeight="1" x14ac:dyDescent="0.35">
      <c r="A320" s="97" t="s">
        <v>533</v>
      </c>
      <c r="B320" s="97">
        <v>145</v>
      </c>
      <c r="C320" s="97">
        <v>141</v>
      </c>
      <c r="D320" s="92"/>
      <c r="E320" s="92"/>
      <c r="F320" s="92"/>
      <c r="G320" s="96"/>
      <c r="H320" s="96"/>
      <c r="I320" s="92"/>
      <c r="J320" s="92"/>
      <c r="K320" s="92"/>
      <c r="L320" s="92"/>
      <c r="M320" s="92"/>
      <c r="N320" s="97">
        <v>0</v>
      </c>
      <c r="O320" s="97">
        <v>28</v>
      </c>
      <c r="P320" s="98">
        <f>SUM(SamplingData[[#This Row],[Winning Candidate]:[Under Votes]])</f>
        <v>314</v>
      </c>
      <c r="Q320" s="99">
        <f>IF(AND(SamplingData[[#This Row],[Total]]&lt;&gt; 0, NOT(ISBLANK(SamplingData[[#This Row],[Losing Candidate]]))),(SamplingData[[#This Row],[Total]]+SamplingData[[#This Row],[Winning Candidate]]-SamplingData[[#This Row],[Losing Candidate]])/(SamplingData[[#Totals],[Winning Candidate]]-SamplingData[[#Totals],[Losing Candidate]]), 0)</f>
        <v>1.3495162111695807E-2</v>
      </c>
      <c r="R320" s="99">
        <f>IF(AND(SamplingData[[#This Row],[Total]]&lt;&gt; 0, NOT(ISBLANK(SamplingData[[#This Row],[Candidate 3]]))),(SamplingData[[#This Row],[Total]]+SamplingData[[#This Row],[Winning Candidate]]-SamplingData[[#This Row],[Candidate 3]])/(SamplingData[[#Totals],[Winning Candidate]]-SamplingData[[#Totals],[Candidate 3]]), 0)</f>
        <v>0</v>
      </c>
      <c r="S320" s="99">
        <f>IF(AND(SamplingData[[#This Row],[Total]]&lt;&gt; 0, NOT(ISBLANK(SamplingData[[#This Row],[Candidate 4]]))),(SamplingData[[#This Row],[Total]]+SamplingData[[#This Row],[Winning Candidate]]-SamplingData[[#This Row],[Candidate 4]])/(SamplingData[[#Totals],[Winning Candidate]]-SamplingData[[#Totals],[Candidate 4]]), 0)</f>
        <v>0</v>
      </c>
      <c r="T320" s="99">
        <f>IF(AND(SamplingData[[#This Row],[Total]]&lt;&gt; 0, NOT(ISBLANK(SamplingData[[#This Row],[Candidate 5]]))),(SamplingData[[#This Row],[Total]]+SamplingData[[#This Row],[Winning Candidate]]-SamplingData[[#This Row],[Candidate 5]])/(SamplingData[[#Totals],[Winning Candidate]]-SamplingData[[#Totals],[Candidate 5]]), 0)</f>
        <v>0</v>
      </c>
      <c r="U320" s="99">
        <f>IF(AND(SamplingData[[#This Row],[Total]]&lt;&gt; 0, NOT(ISBLANK(SamplingData[[#This Row],[Candidate 6]]))),(SamplingData[[#This Row],[Total]]+SamplingData[[#This Row],[Losing Candidate]]-SamplingData[[#This Row],[Candidate 6]])/(SamplingData[[#Totals],[Winning Candidate]]-SamplingData[[#Totals],[Candidate 6]]), 0)</f>
        <v>0</v>
      </c>
      <c r="V320" s="99">
        <f>IF(AND(SamplingData[[#This Row],[Total]]&lt;&gt; 0, NOT(ISBLANK(SamplingData[[#This Row],[Candidate 7]]))),(SamplingData[[#This Row],[Total]]+SamplingData[[#This Row],[Winning Candidate]]-SamplingData[[#This Row],[Candidate 7]])/(SamplingData[[#Totals],[Winning Candidate]]-SamplingData[[#Totals],[Candidate 7]]), 0)</f>
        <v>0</v>
      </c>
      <c r="W320" s="99">
        <f>IF(AND(SamplingData[[#This Row],[Total]]&lt;&gt; 0, NOT(ISBLANK(SamplingData[[#This Row],[Candidate 8]]))),(SamplingData[[#This Row],[Total]]+SamplingData[[#This Row],[Winning Candidate]]-SamplingData[[#This Row],[Candidate 8]])/(SamplingData[[#Totals],[Winning Candidate]]-SamplingData[[#Totals],[Candidate 8]]), 0)</f>
        <v>0</v>
      </c>
      <c r="X3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0" s="99">
        <f>MAX(SamplingData[[#This Row],[Error Bound (up) - Max. possible relative overstatement - Losing Candidate]:[Error Bound (up) - Max. possible relative overstatement - Candidate 12]])</f>
        <v>1.3495162111695807E-2</v>
      </c>
      <c r="AC320" s="99">
        <f>IF(SamplingData[[#This Row],[Max Error Bound (up)]] = 0,0,SamplingData[[#This Row],[Max Error Bound (up)]]/SamplingData[[#Totals],[Max Error Bound (up)]])</f>
        <v>7.2254335260115701E-4</v>
      </c>
      <c r="AD320" s="103">
        <f>SUM($AC$5:AC320)</f>
        <v>0.30086205329552518</v>
      </c>
      <c r="AE320" s="99" t="str" cm="1">
        <f t="array" ref="AE320">IF(SamplingData[[#This Row],[up/U Selection Probability]] = 0, "Zero", TEXT(SamplingData[[#This Row],[Lower Range]], REPT("0",LEN('General Info'!$B$42))) &amp; " - " &amp; TEXT(SamplingData[[#This Row],[Upper Range]], REPT("0",LEN('General Info'!$B$42))))</f>
        <v>300140 - 300861</v>
      </c>
      <c r="AF320" s="99">
        <f>SamplingData[[#This Row],[Upper Range]]-SamplingData[[#This Row],[Span]]</f>
        <v>300139.50994292402</v>
      </c>
      <c r="AG320" s="99">
        <f>IF(ISNUMBER('General Info'!$B$42), ((SamplingData[[#This Row],[up/U Selection Probability]]) * 'General Info'!$B$44) - 1, 0)</f>
        <v>721.54335260115704</v>
      </c>
      <c r="AH320" s="99">
        <f>IF(ISNUMBER('General Info'!$B$42), (SamplingData[[#This Row],[Running (cumulative) sum]] * ('General Info'!$B$42 -'General Info'!$B$43 + 1)) + 'General Info'!$B$43 - 1, 0)</f>
        <v>300861.0532955252</v>
      </c>
      <c r="AI320" s="99" t="str">
        <f>IF(ISERROR(MATCH(SamplingData[[#This Row],[Batch by Type (p)]],SelectedPrecincts[Batch Name], 0)), "", INDEX(SelectedPrecincts[Draw], MATCH(SamplingData[[#This Row],[Batch by Type (p)]],SelectedPrecincts[Batch Name], 0)))</f>
        <v/>
      </c>
      <c r="AJ320" s="100">
        <f>IF(COUNTIF(SelectedPrecincts[Batch Name],SamplingData[[#This Row],[Batch by Type (p)]]) &lt;&gt; 0, COUNTIF(SelectedPrecincts[Batch Name],SamplingData[[#This Row],[Batch by Type (p)]]), 0)</f>
        <v>0</v>
      </c>
    </row>
    <row r="321" spans="1:36" ht="15" customHeight="1" x14ac:dyDescent="0.35">
      <c r="A321" s="97" t="s">
        <v>534</v>
      </c>
      <c r="B321" s="97">
        <v>167</v>
      </c>
      <c r="C321" s="97">
        <v>239</v>
      </c>
      <c r="D321" s="92"/>
      <c r="E321" s="92"/>
      <c r="F321" s="92"/>
      <c r="G321" s="96"/>
      <c r="H321" s="96"/>
      <c r="I321" s="92"/>
      <c r="J321" s="92"/>
      <c r="K321" s="92"/>
      <c r="L321" s="92"/>
      <c r="M321" s="92"/>
      <c r="N321" s="97">
        <v>0</v>
      </c>
      <c r="O321" s="97">
        <v>34</v>
      </c>
      <c r="P321" s="98">
        <f>SUM(SamplingData[[#This Row],[Winning Candidate]:[Under Votes]])</f>
        <v>440</v>
      </c>
      <c r="Q321" s="99">
        <f>IF(AND(SamplingData[[#This Row],[Total]]&lt;&gt; 0, NOT(ISBLANK(SamplingData[[#This Row],[Losing Candidate]]))),(SamplingData[[#This Row],[Total]]+SamplingData[[#This Row],[Winning Candidate]]-SamplingData[[#This Row],[Losing Candidate]])/(SamplingData[[#Totals],[Winning Candidate]]-SamplingData[[#Totals],[Losing Candidate]]), 0)</f>
        <v>1.5617042946868104E-2</v>
      </c>
      <c r="R321" s="99">
        <f>IF(AND(SamplingData[[#This Row],[Total]]&lt;&gt; 0, NOT(ISBLANK(SamplingData[[#This Row],[Candidate 3]]))),(SamplingData[[#This Row],[Total]]+SamplingData[[#This Row],[Winning Candidate]]-SamplingData[[#This Row],[Candidate 3]])/(SamplingData[[#Totals],[Winning Candidate]]-SamplingData[[#Totals],[Candidate 3]]), 0)</f>
        <v>0</v>
      </c>
      <c r="S321" s="99">
        <f>IF(AND(SamplingData[[#This Row],[Total]]&lt;&gt; 0, NOT(ISBLANK(SamplingData[[#This Row],[Candidate 4]]))),(SamplingData[[#This Row],[Total]]+SamplingData[[#This Row],[Winning Candidate]]-SamplingData[[#This Row],[Candidate 4]])/(SamplingData[[#Totals],[Winning Candidate]]-SamplingData[[#Totals],[Candidate 4]]), 0)</f>
        <v>0</v>
      </c>
      <c r="T321" s="99">
        <f>IF(AND(SamplingData[[#This Row],[Total]]&lt;&gt; 0, NOT(ISBLANK(SamplingData[[#This Row],[Candidate 5]]))),(SamplingData[[#This Row],[Total]]+SamplingData[[#This Row],[Winning Candidate]]-SamplingData[[#This Row],[Candidate 5]])/(SamplingData[[#Totals],[Winning Candidate]]-SamplingData[[#Totals],[Candidate 5]]), 0)</f>
        <v>0</v>
      </c>
      <c r="U321" s="99">
        <f>IF(AND(SamplingData[[#This Row],[Total]]&lt;&gt; 0, NOT(ISBLANK(SamplingData[[#This Row],[Candidate 6]]))),(SamplingData[[#This Row],[Total]]+SamplingData[[#This Row],[Losing Candidate]]-SamplingData[[#This Row],[Candidate 6]])/(SamplingData[[#Totals],[Winning Candidate]]-SamplingData[[#Totals],[Candidate 6]]), 0)</f>
        <v>0</v>
      </c>
      <c r="V321" s="99">
        <f>IF(AND(SamplingData[[#This Row],[Total]]&lt;&gt; 0, NOT(ISBLANK(SamplingData[[#This Row],[Candidate 7]]))),(SamplingData[[#This Row],[Total]]+SamplingData[[#This Row],[Winning Candidate]]-SamplingData[[#This Row],[Candidate 7]])/(SamplingData[[#Totals],[Winning Candidate]]-SamplingData[[#Totals],[Candidate 7]]), 0)</f>
        <v>0</v>
      </c>
      <c r="W321" s="99">
        <f>IF(AND(SamplingData[[#This Row],[Total]]&lt;&gt; 0, NOT(ISBLANK(SamplingData[[#This Row],[Candidate 8]]))),(SamplingData[[#This Row],[Total]]+SamplingData[[#This Row],[Winning Candidate]]-SamplingData[[#This Row],[Candidate 8]])/(SamplingData[[#Totals],[Winning Candidate]]-SamplingData[[#Totals],[Candidate 8]]), 0)</f>
        <v>0</v>
      </c>
      <c r="X3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1" s="99">
        <f>MAX(SamplingData[[#This Row],[Error Bound (up) - Max. possible relative overstatement - Losing Candidate]:[Error Bound (up) - Max. possible relative overstatement - Candidate 12]])</f>
        <v>1.5617042946868104E-2</v>
      </c>
      <c r="AC321" s="99">
        <f>IF(SamplingData[[#This Row],[Max Error Bound (up)]] = 0,0,SamplingData[[#This Row],[Max Error Bound (up)]]/SamplingData[[#Totals],[Max Error Bound (up)]])</f>
        <v>8.3615079797869747E-4</v>
      </c>
      <c r="AD321" s="103">
        <f>SUM($AC$5:AC321)</f>
        <v>0.3016982040935039</v>
      </c>
      <c r="AE321" s="99" t="str" cm="1">
        <f t="array" ref="AE321">IF(SamplingData[[#This Row],[up/U Selection Probability]] = 0, "Zero", TEXT(SamplingData[[#This Row],[Lower Range]], REPT("0",LEN('General Info'!$B$42))) &amp; " - " &amp; TEXT(SamplingData[[#This Row],[Upper Range]], REPT("0",LEN('General Info'!$B$42))))</f>
        <v>300862 - 301697</v>
      </c>
      <c r="AF321" s="99">
        <f>SamplingData[[#This Row],[Upper Range]]-SamplingData[[#This Row],[Span]]</f>
        <v>300862.0532955252</v>
      </c>
      <c r="AG321" s="99">
        <f>IF(ISNUMBER('General Info'!$B$42), ((SamplingData[[#This Row],[up/U Selection Probability]]) * 'General Info'!$B$44) - 1, 0)</f>
        <v>835.15079797869748</v>
      </c>
      <c r="AH321" s="99">
        <f>IF(ISNUMBER('General Info'!$B$42), (SamplingData[[#This Row],[Running (cumulative) sum]] * ('General Info'!$B$42 -'General Info'!$B$43 + 1)) + 'General Info'!$B$43 - 1, 0)</f>
        <v>301697.20409350388</v>
      </c>
      <c r="AI321" s="99" t="str">
        <f>IF(ISERROR(MATCH(SamplingData[[#This Row],[Batch by Type (p)]],SelectedPrecincts[Batch Name], 0)), "", INDEX(SelectedPrecincts[Draw], MATCH(SamplingData[[#This Row],[Batch by Type (p)]],SelectedPrecincts[Batch Name], 0)))</f>
        <v/>
      </c>
      <c r="AJ321" s="100">
        <f>IF(COUNTIF(SelectedPrecincts[Batch Name],SamplingData[[#This Row],[Batch by Type (p)]]) &lt;&gt; 0, COUNTIF(SelectedPrecincts[Batch Name],SamplingData[[#This Row],[Batch by Type (p)]]), 0)</f>
        <v>0</v>
      </c>
    </row>
    <row r="322" spans="1:36" ht="15" customHeight="1" x14ac:dyDescent="0.35">
      <c r="A322" s="97" t="s">
        <v>535</v>
      </c>
      <c r="B322" s="97">
        <v>265</v>
      </c>
      <c r="C322" s="97">
        <v>271</v>
      </c>
      <c r="D322" s="92"/>
      <c r="E322" s="92"/>
      <c r="F322" s="92"/>
      <c r="G322" s="96"/>
      <c r="H322" s="96"/>
      <c r="I322" s="92"/>
      <c r="J322" s="92"/>
      <c r="K322" s="92"/>
      <c r="L322" s="92"/>
      <c r="M322" s="92"/>
      <c r="N322" s="97">
        <v>0</v>
      </c>
      <c r="O322" s="97">
        <v>35</v>
      </c>
      <c r="P322" s="98">
        <f>SUM(SamplingData[[#This Row],[Winning Candidate]:[Under Votes]])</f>
        <v>571</v>
      </c>
      <c r="Q322" s="99">
        <f>IF(AND(SamplingData[[#This Row],[Total]]&lt;&gt; 0, NOT(ISBLANK(SamplingData[[#This Row],[Losing Candidate]]))),(SamplingData[[#This Row],[Total]]+SamplingData[[#This Row],[Winning Candidate]]-SamplingData[[#This Row],[Losing Candidate]])/(SamplingData[[#Totals],[Winning Candidate]]-SamplingData[[#Totals],[Losing Candidate]]), 0)</f>
        <v>2.3977253437446954E-2</v>
      </c>
      <c r="R322" s="99">
        <f>IF(AND(SamplingData[[#This Row],[Total]]&lt;&gt; 0, NOT(ISBLANK(SamplingData[[#This Row],[Candidate 3]]))),(SamplingData[[#This Row],[Total]]+SamplingData[[#This Row],[Winning Candidate]]-SamplingData[[#This Row],[Candidate 3]])/(SamplingData[[#Totals],[Winning Candidate]]-SamplingData[[#Totals],[Candidate 3]]), 0)</f>
        <v>0</v>
      </c>
      <c r="S322" s="99">
        <f>IF(AND(SamplingData[[#This Row],[Total]]&lt;&gt; 0, NOT(ISBLANK(SamplingData[[#This Row],[Candidate 4]]))),(SamplingData[[#This Row],[Total]]+SamplingData[[#This Row],[Winning Candidate]]-SamplingData[[#This Row],[Candidate 4]])/(SamplingData[[#Totals],[Winning Candidate]]-SamplingData[[#Totals],[Candidate 4]]), 0)</f>
        <v>0</v>
      </c>
      <c r="T322" s="99">
        <f>IF(AND(SamplingData[[#This Row],[Total]]&lt;&gt; 0, NOT(ISBLANK(SamplingData[[#This Row],[Candidate 5]]))),(SamplingData[[#This Row],[Total]]+SamplingData[[#This Row],[Winning Candidate]]-SamplingData[[#This Row],[Candidate 5]])/(SamplingData[[#Totals],[Winning Candidate]]-SamplingData[[#Totals],[Candidate 5]]), 0)</f>
        <v>0</v>
      </c>
      <c r="U322" s="99">
        <f>IF(AND(SamplingData[[#This Row],[Total]]&lt;&gt; 0, NOT(ISBLANK(SamplingData[[#This Row],[Candidate 6]]))),(SamplingData[[#This Row],[Total]]+SamplingData[[#This Row],[Losing Candidate]]-SamplingData[[#This Row],[Candidate 6]])/(SamplingData[[#Totals],[Winning Candidate]]-SamplingData[[#Totals],[Candidate 6]]), 0)</f>
        <v>0</v>
      </c>
      <c r="V322" s="99">
        <f>IF(AND(SamplingData[[#This Row],[Total]]&lt;&gt; 0, NOT(ISBLANK(SamplingData[[#This Row],[Candidate 7]]))),(SamplingData[[#This Row],[Total]]+SamplingData[[#This Row],[Winning Candidate]]-SamplingData[[#This Row],[Candidate 7]])/(SamplingData[[#Totals],[Winning Candidate]]-SamplingData[[#Totals],[Candidate 7]]), 0)</f>
        <v>0</v>
      </c>
      <c r="W322" s="99">
        <f>IF(AND(SamplingData[[#This Row],[Total]]&lt;&gt; 0, NOT(ISBLANK(SamplingData[[#This Row],[Candidate 8]]))),(SamplingData[[#This Row],[Total]]+SamplingData[[#This Row],[Winning Candidate]]-SamplingData[[#This Row],[Candidate 8]])/(SamplingData[[#Totals],[Winning Candidate]]-SamplingData[[#Totals],[Candidate 8]]), 0)</f>
        <v>0</v>
      </c>
      <c r="X3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2" s="99">
        <f>MAX(SamplingData[[#This Row],[Error Bound (up) - Max. possible relative overstatement - Losing Candidate]:[Error Bound (up) - Max. possible relative overstatement - Candidate 12]])</f>
        <v>2.3977253437446954E-2</v>
      </c>
      <c r="AC322" s="99">
        <f>IF(SamplingData[[#This Row],[Max Error Bound (up)]] = 0,0,SamplingData[[#This Row],[Max Error Bound (up)]]/SamplingData[[#Totals],[Max Error Bound (up)]])</f>
        <v>1.2837641327662066E-3</v>
      </c>
      <c r="AD322" s="103">
        <f>SUM($AC$5:AC322)</f>
        <v>0.3029819682262701</v>
      </c>
      <c r="AE322" s="99" t="str" cm="1">
        <f t="array" ref="AE322">IF(SamplingData[[#This Row],[up/U Selection Probability]] = 0, "Zero", TEXT(SamplingData[[#This Row],[Lower Range]], REPT("0",LEN('General Info'!$B$42))) &amp; " - " &amp; TEXT(SamplingData[[#This Row],[Upper Range]], REPT("0",LEN('General Info'!$B$42))))</f>
        <v>301698 - 302981</v>
      </c>
      <c r="AF322" s="99">
        <f>SamplingData[[#This Row],[Upper Range]]-SamplingData[[#This Row],[Span]]</f>
        <v>301698.20409350388</v>
      </c>
      <c r="AG322" s="99">
        <f>IF(ISNUMBER('General Info'!$B$42), ((SamplingData[[#This Row],[up/U Selection Probability]]) * 'General Info'!$B$44) - 1, 0)</f>
        <v>1282.7641327662066</v>
      </c>
      <c r="AH322" s="99">
        <f>IF(ISNUMBER('General Info'!$B$42), (SamplingData[[#This Row],[Running (cumulative) sum]] * ('General Info'!$B$42 -'General Info'!$B$43 + 1)) + 'General Info'!$B$43 - 1, 0)</f>
        <v>302980.96822627011</v>
      </c>
      <c r="AI322" s="99" t="str">
        <f>IF(ISERROR(MATCH(SamplingData[[#This Row],[Batch by Type (p)]],SelectedPrecincts[Batch Name], 0)), "", INDEX(SelectedPrecincts[Draw], MATCH(SamplingData[[#This Row],[Batch by Type (p)]],SelectedPrecincts[Batch Name], 0)))</f>
        <v/>
      </c>
      <c r="AJ322" s="100">
        <f>IF(COUNTIF(SelectedPrecincts[Batch Name],SamplingData[[#This Row],[Batch by Type (p)]]) &lt;&gt; 0, COUNTIF(SelectedPrecincts[Batch Name],SamplingData[[#This Row],[Batch by Type (p)]]), 0)</f>
        <v>0</v>
      </c>
    </row>
    <row r="323" spans="1:36" ht="15" customHeight="1" x14ac:dyDescent="0.35">
      <c r="A323" s="97" t="s">
        <v>536</v>
      </c>
      <c r="B323" s="97">
        <v>211</v>
      </c>
      <c r="C323" s="97">
        <v>280</v>
      </c>
      <c r="D323" s="92"/>
      <c r="E323" s="92"/>
      <c r="F323" s="92"/>
      <c r="G323" s="96"/>
      <c r="H323" s="96"/>
      <c r="I323" s="92"/>
      <c r="J323" s="92"/>
      <c r="K323" s="92"/>
      <c r="L323" s="92"/>
      <c r="M323" s="92"/>
      <c r="N323" s="97">
        <v>0</v>
      </c>
      <c r="O323" s="97">
        <v>33</v>
      </c>
      <c r="P323" s="98">
        <f>SUM(SamplingData[[#This Row],[Winning Candidate]:[Under Votes]])</f>
        <v>524</v>
      </c>
      <c r="Q323" s="99">
        <f>IF(AND(SamplingData[[#This Row],[Total]]&lt;&gt; 0, NOT(ISBLANK(SamplingData[[#This Row],[Losing Candidate]]))),(SamplingData[[#This Row],[Total]]+SamplingData[[#This Row],[Winning Candidate]]-SamplingData[[#This Row],[Losing Candidate]])/(SamplingData[[#Totals],[Winning Candidate]]-SamplingData[[#Totals],[Losing Candidate]]), 0)</f>
        <v>1.93091156000679E-2</v>
      </c>
      <c r="R323" s="99">
        <f>IF(AND(SamplingData[[#This Row],[Total]]&lt;&gt; 0, NOT(ISBLANK(SamplingData[[#This Row],[Candidate 3]]))),(SamplingData[[#This Row],[Total]]+SamplingData[[#This Row],[Winning Candidate]]-SamplingData[[#This Row],[Candidate 3]])/(SamplingData[[#Totals],[Winning Candidate]]-SamplingData[[#Totals],[Candidate 3]]), 0)</f>
        <v>0</v>
      </c>
      <c r="S323" s="99">
        <f>IF(AND(SamplingData[[#This Row],[Total]]&lt;&gt; 0, NOT(ISBLANK(SamplingData[[#This Row],[Candidate 4]]))),(SamplingData[[#This Row],[Total]]+SamplingData[[#This Row],[Winning Candidate]]-SamplingData[[#This Row],[Candidate 4]])/(SamplingData[[#Totals],[Winning Candidate]]-SamplingData[[#Totals],[Candidate 4]]), 0)</f>
        <v>0</v>
      </c>
      <c r="T323" s="99">
        <f>IF(AND(SamplingData[[#This Row],[Total]]&lt;&gt; 0, NOT(ISBLANK(SamplingData[[#This Row],[Candidate 5]]))),(SamplingData[[#This Row],[Total]]+SamplingData[[#This Row],[Winning Candidate]]-SamplingData[[#This Row],[Candidate 5]])/(SamplingData[[#Totals],[Winning Candidate]]-SamplingData[[#Totals],[Candidate 5]]), 0)</f>
        <v>0</v>
      </c>
      <c r="U323" s="99">
        <f>IF(AND(SamplingData[[#This Row],[Total]]&lt;&gt; 0, NOT(ISBLANK(SamplingData[[#This Row],[Candidate 6]]))),(SamplingData[[#This Row],[Total]]+SamplingData[[#This Row],[Losing Candidate]]-SamplingData[[#This Row],[Candidate 6]])/(SamplingData[[#Totals],[Winning Candidate]]-SamplingData[[#Totals],[Candidate 6]]), 0)</f>
        <v>0</v>
      </c>
      <c r="V323" s="99">
        <f>IF(AND(SamplingData[[#This Row],[Total]]&lt;&gt; 0, NOT(ISBLANK(SamplingData[[#This Row],[Candidate 7]]))),(SamplingData[[#This Row],[Total]]+SamplingData[[#This Row],[Winning Candidate]]-SamplingData[[#This Row],[Candidate 7]])/(SamplingData[[#Totals],[Winning Candidate]]-SamplingData[[#Totals],[Candidate 7]]), 0)</f>
        <v>0</v>
      </c>
      <c r="W323" s="99">
        <f>IF(AND(SamplingData[[#This Row],[Total]]&lt;&gt; 0, NOT(ISBLANK(SamplingData[[#This Row],[Candidate 8]]))),(SamplingData[[#This Row],[Total]]+SamplingData[[#This Row],[Winning Candidate]]-SamplingData[[#This Row],[Candidate 8]])/(SamplingData[[#Totals],[Winning Candidate]]-SamplingData[[#Totals],[Candidate 8]]), 0)</f>
        <v>0</v>
      </c>
      <c r="X3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3" s="99">
        <f>MAX(SamplingData[[#This Row],[Error Bound (up) - Max. possible relative overstatement - Losing Candidate]:[Error Bound (up) - Max. possible relative overstatement - Candidate 12]])</f>
        <v>1.93091156000679E-2</v>
      </c>
      <c r="AC323" s="99">
        <f>IF(SamplingData[[#This Row],[Max Error Bound (up)]] = 0,0,SamplingData[[#This Row],[Max Error Bound (up)]]/SamplingData[[#Totals],[Max Error Bound (up)]])</f>
        <v>1.0338277529356177E-3</v>
      </c>
      <c r="AD323" s="103">
        <f>SUM($AC$5:AC323)</f>
        <v>0.30401579597920569</v>
      </c>
      <c r="AE323" s="99" t="str" cm="1">
        <f t="array" ref="AE323">IF(SamplingData[[#This Row],[up/U Selection Probability]] = 0, "Zero", TEXT(SamplingData[[#This Row],[Lower Range]], REPT("0",LEN('General Info'!$B$42))) &amp; " - " &amp; TEXT(SamplingData[[#This Row],[Upper Range]], REPT("0",LEN('General Info'!$B$42))))</f>
        <v>302982 - 304015</v>
      </c>
      <c r="AF323" s="99">
        <f>SamplingData[[#This Row],[Upper Range]]-SamplingData[[#This Row],[Span]]</f>
        <v>302981.96822627005</v>
      </c>
      <c r="AG323" s="99">
        <f>IF(ISNUMBER('General Info'!$B$42), ((SamplingData[[#This Row],[up/U Selection Probability]]) * 'General Info'!$B$44) - 1, 0)</f>
        <v>1032.8277529356176</v>
      </c>
      <c r="AH323" s="99">
        <f>IF(ISNUMBER('General Info'!$B$42), (SamplingData[[#This Row],[Running (cumulative) sum]] * ('General Info'!$B$42 -'General Info'!$B$43 + 1)) + 'General Info'!$B$43 - 1, 0)</f>
        <v>304014.79597920569</v>
      </c>
      <c r="AI323" s="99" t="str">
        <f>IF(ISERROR(MATCH(SamplingData[[#This Row],[Batch by Type (p)]],SelectedPrecincts[Batch Name], 0)), "", INDEX(SelectedPrecincts[Draw], MATCH(SamplingData[[#This Row],[Batch by Type (p)]],SelectedPrecincts[Batch Name], 0)))</f>
        <v/>
      </c>
      <c r="AJ323" s="100">
        <f>IF(COUNTIF(SelectedPrecincts[Batch Name],SamplingData[[#This Row],[Batch by Type (p)]]) &lt;&gt; 0, COUNTIF(SelectedPrecincts[Batch Name],SamplingData[[#This Row],[Batch by Type (p)]]), 0)</f>
        <v>0</v>
      </c>
    </row>
    <row r="324" spans="1:36" ht="15" customHeight="1" x14ac:dyDescent="0.35">
      <c r="A324" s="97" t="s">
        <v>537</v>
      </c>
      <c r="B324" s="97">
        <v>166</v>
      </c>
      <c r="C324" s="97">
        <v>280</v>
      </c>
      <c r="D324" s="92"/>
      <c r="E324" s="92"/>
      <c r="F324" s="92"/>
      <c r="G324" s="96"/>
      <c r="H324" s="96"/>
      <c r="I324" s="92"/>
      <c r="J324" s="92"/>
      <c r="K324" s="92"/>
      <c r="L324" s="92"/>
      <c r="M324" s="92"/>
      <c r="N324" s="97">
        <v>1</v>
      </c>
      <c r="O324" s="97">
        <v>13</v>
      </c>
      <c r="P324" s="98">
        <f>SUM(SamplingData[[#This Row],[Winning Candidate]:[Under Votes]])</f>
        <v>460</v>
      </c>
      <c r="Q324" s="99">
        <f>IF(AND(SamplingData[[#This Row],[Total]]&lt;&gt; 0, NOT(ISBLANK(SamplingData[[#This Row],[Losing Candidate]]))),(SamplingData[[#This Row],[Total]]+SamplingData[[#This Row],[Winning Candidate]]-SamplingData[[#This Row],[Losing Candidate]])/(SamplingData[[#Totals],[Winning Candidate]]-SamplingData[[#Totals],[Losing Candidate]]), 0)</f>
        <v>1.4683415379392294E-2</v>
      </c>
      <c r="R324" s="99">
        <f>IF(AND(SamplingData[[#This Row],[Total]]&lt;&gt; 0, NOT(ISBLANK(SamplingData[[#This Row],[Candidate 3]]))),(SamplingData[[#This Row],[Total]]+SamplingData[[#This Row],[Winning Candidate]]-SamplingData[[#This Row],[Candidate 3]])/(SamplingData[[#Totals],[Winning Candidate]]-SamplingData[[#Totals],[Candidate 3]]), 0)</f>
        <v>0</v>
      </c>
      <c r="S324" s="99">
        <f>IF(AND(SamplingData[[#This Row],[Total]]&lt;&gt; 0, NOT(ISBLANK(SamplingData[[#This Row],[Candidate 4]]))),(SamplingData[[#This Row],[Total]]+SamplingData[[#This Row],[Winning Candidate]]-SamplingData[[#This Row],[Candidate 4]])/(SamplingData[[#Totals],[Winning Candidate]]-SamplingData[[#Totals],[Candidate 4]]), 0)</f>
        <v>0</v>
      </c>
      <c r="T324" s="99">
        <f>IF(AND(SamplingData[[#This Row],[Total]]&lt;&gt; 0, NOT(ISBLANK(SamplingData[[#This Row],[Candidate 5]]))),(SamplingData[[#This Row],[Total]]+SamplingData[[#This Row],[Winning Candidate]]-SamplingData[[#This Row],[Candidate 5]])/(SamplingData[[#Totals],[Winning Candidate]]-SamplingData[[#Totals],[Candidate 5]]), 0)</f>
        <v>0</v>
      </c>
      <c r="U324" s="99">
        <f>IF(AND(SamplingData[[#This Row],[Total]]&lt;&gt; 0, NOT(ISBLANK(SamplingData[[#This Row],[Candidate 6]]))),(SamplingData[[#This Row],[Total]]+SamplingData[[#This Row],[Losing Candidate]]-SamplingData[[#This Row],[Candidate 6]])/(SamplingData[[#Totals],[Winning Candidate]]-SamplingData[[#Totals],[Candidate 6]]), 0)</f>
        <v>0</v>
      </c>
      <c r="V324" s="99">
        <f>IF(AND(SamplingData[[#This Row],[Total]]&lt;&gt; 0, NOT(ISBLANK(SamplingData[[#This Row],[Candidate 7]]))),(SamplingData[[#This Row],[Total]]+SamplingData[[#This Row],[Winning Candidate]]-SamplingData[[#This Row],[Candidate 7]])/(SamplingData[[#Totals],[Winning Candidate]]-SamplingData[[#Totals],[Candidate 7]]), 0)</f>
        <v>0</v>
      </c>
      <c r="W324" s="99">
        <f>IF(AND(SamplingData[[#This Row],[Total]]&lt;&gt; 0, NOT(ISBLANK(SamplingData[[#This Row],[Candidate 8]]))),(SamplingData[[#This Row],[Total]]+SamplingData[[#This Row],[Winning Candidate]]-SamplingData[[#This Row],[Candidate 8]])/(SamplingData[[#Totals],[Winning Candidate]]-SamplingData[[#Totals],[Candidate 8]]), 0)</f>
        <v>0</v>
      </c>
      <c r="X3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4" s="99">
        <f>MAX(SamplingData[[#This Row],[Error Bound (up) - Max. possible relative overstatement - Losing Candidate]:[Error Bound (up) - Max. possible relative overstatement - Candidate 12]])</f>
        <v>1.4683415379392294E-2</v>
      </c>
      <c r="AC324" s="99">
        <f>IF(SamplingData[[#This Row],[Max Error Bound (up)]] = 0,0,SamplingData[[#This Row],[Max Error Bound (up)]]/SamplingData[[#Totals],[Max Error Bound (up)]])</f>
        <v>7.8616352201257963E-4</v>
      </c>
      <c r="AD324" s="103">
        <f>SUM($AC$5:AC324)</f>
        <v>0.3048019595012183</v>
      </c>
      <c r="AE324" s="99" t="str" cm="1">
        <f t="array" ref="AE324">IF(SamplingData[[#This Row],[up/U Selection Probability]] = 0, "Zero", TEXT(SamplingData[[#This Row],[Lower Range]], REPT("0",LEN('General Info'!$B$42))) &amp; " - " &amp; TEXT(SamplingData[[#This Row],[Upper Range]], REPT("0",LEN('General Info'!$B$42))))</f>
        <v>304016 - 304801</v>
      </c>
      <c r="AF324" s="99">
        <f>SamplingData[[#This Row],[Upper Range]]-SamplingData[[#This Row],[Span]]</f>
        <v>304015.79597920569</v>
      </c>
      <c r="AG324" s="99">
        <f>IF(ISNUMBER('General Info'!$B$42), ((SamplingData[[#This Row],[up/U Selection Probability]]) * 'General Info'!$B$44) - 1, 0)</f>
        <v>785.16352201257962</v>
      </c>
      <c r="AH324" s="99">
        <f>IF(ISNUMBER('General Info'!$B$42), (SamplingData[[#This Row],[Running (cumulative) sum]] * ('General Info'!$B$42 -'General Info'!$B$43 + 1)) + 'General Info'!$B$43 - 1, 0)</f>
        <v>304800.95950121828</v>
      </c>
      <c r="AI324" s="99" t="str">
        <f>IF(ISERROR(MATCH(SamplingData[[#This Row],[Batch by Type (p)]],SelectedPrecincts[Batch Name], 0)), "", INDEX(SelectedPrecincts[Draw], MATCH(SamplingData[[#This Row],[Batch by Type (p)]],SelectedPrecincts[Batch Name], 0)))</f>
        <v/>
      </c>
      <c r="AJ324" s="100">
        <f>IF(COUNTIF(SelectedPrecincts[Batch Name],SamplingData[[#This Row],[Batch by Type (p)]]) &lt;&gt; 0, COUNTIF(SelectedPrecincts[Batch Name],SamplingData[[#This Row],[Batch by Type (p)]]), 0)</f>
        <v>0</v>
      </c>
    </row>
    <row r="325" spans="1:36" ht="15" customHeight="1" x14ac:dyDescent="0.35">
      <c r="A325" s="97" t="s">
        <v>538</v>
      </c>
      <c r="B325" s="97">
        <v>203</v>
      </c>
      <c r="C325" s="97">
        <v>240</v>
      </c>
      <c r="D325" s="92"/>
      <c r="E325" s="92"/>
      <c r="F325" s="92"/>
      <c r="G325" s="96"/>
      <c r="H325" s="96"/>
      <c r="I325" s="92"/>
      <c r="J325" s="92"/>
      <c r="K325" s="92"/>
      <c r="L325" s="92"/>
      <c r="M325" s="92"/>
      <c r="N325" s="97">
        <v>1</v>
      </c>
      <c r="O325" s="97">
        <v>13</v>
      </c>
      <c r="P325" s="98">
        <f>SUM(SamplingData[[#This Row],[Winning Candidate]:[Under Votes]])</f>
        <v>457</v>
      </c>
      <c r="Q325" s="99">
        <f>IF(AND(SamplingData[[#This Row],[Total]]&lt;&gt; 0, NOT(ISBLANK(SamplingData[[#This Row],[Losing Candidate]]))),(SamplingData[[#This Row],[Total]]+SamplingData[[#This Row],[Winning Candidate]]-SamplingData[[#This Row],[Losing Candidate]])/(SamplingData[[#Totals],[Winning Candidate]]-SamplingData[[#Totals],[Losing Candidate]]), 0)</f>
        <v>1.7823799015447294E-2</v>
      </c>
      <c r="R325" s="99">
        <f>IF(AND(SamplingData[[#This Row],[Total]]&lt;&gt; 0, NOT(ISBLANK(SamplingData[[#This Row],[Candidate 3]]))),(SamplingData[[#This Row],[Total]]+SamplingData[[#This Row],[Winning Candidate]]-SamplingData[[#This Row],[Candidate 3]])/(SamplingData[[#Totals],[Winning Candidate]]-SamplingData[[#Totals],[Candidate 3]]), 0)</f>
        <v>0</v>
      </c>
      <c r="S325" s="99">
        <f>IF(AND(SamplingData[[#This Row],[Total]]&lt;&gt; 0, NOT(ISBLANK(SamplingData[[#This Row],[Candidate 4]]))),(SamplingData[[#This Row],[Total]]+SamplingData[[#This Row],[Winning Candidate]]-SamplingData[[#This Row],[Candidate 4]])/(SamplingData[[#Totals],[Winning Candidate]]-SamplingData[[#Totals],[Candidate 4]]), 0)</f>
        <v>0</v>
      </c>
      <c r="T325" s="99">
        <f>IF(AND(SamplingData[[#This Row],[Total]]&lt;&gt; 0, NOT(ISBLANK(SamplingData[[#This Row],[Candidate 5]]))),(SamplingData[[#This Row],[Total]]+SamplingData[[#This Row],[Winning Candidate]]-SamplingData[[#This Row],[Candidate 5]])/(SamplingData[[#Totals],[Winning Candidate]]-SamplingData[[#Totals],[Candidate 5]]), 0)</f>
        <v>0</v>
      </c>
      <c r="U325" s="99">
        <f>IF(AND(SamplingData[[#This Row],[Total]]&lt;&gt; 0, NOT(ISBLANK(SamplingData[[#This Row],[Candidate 6]]))),(SamplingData[[#This Row],[Total]]+SamplingData[[#This Row],[Losing Candidate]]-SamplingData[[#This Row],[Candidate 6]])/(SamplingData[[#Totals],[Winning Candidate]]-SamplingData[[#Totals],[Candidate 6]]), 0)</f>
        <v>0</v>
      </c>
      <c r="V325" s="99">
        <f>IF(AND(SamplingData[[#This Row],[Total]]&lt;&gt; 0, NOT(ISBLANK(SamplingData[[#This Row],[Candidate 7]]))),(SamplingData[[#This Row],[Total]]+SamplingData[[#This Row],[Winning Candidate]]-SamplingData[[#This Row],[Candidate 7]])/(SamplingData[[#Totals],[Winning Candidate]]-SamplingData[[#Totals],[Candidate 7]]), 0)</f>
        <v>0</v>
      </c>
      <c r="W325" s="99">
        <f>IF(AND(SamplingData[[#This Row],[Total]]&lt;&gt; 0, NOT(ISBLANK(SamplingData[[#This Row],[Candidate 8]]))),(SamplingData[[#This Row],[Total]]+SamplingData[[#This Row],[Winning Candidate]]-SamplingData[[#This Row],[Candidate 8]])/(SamplingData[[#Totals],[Winning Candidate]]-SamplingData[[#Totals],[Candidate 8]]), 0)</f>
        <v>0</v>
      </c>
      <c r="X3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5" s="99">
        <f>MAX(SamplingData[[#This Row],[Error Bound (up) - Max. possible relative overstatement - Losing Candidate]:[Error Bound (up) - Max. possible relative overstatement - Candidate 12]])</f>
        <v>1.7823799015447294E-2</v>
      </c>
      <c r="AC325" s="99">
        <f>IF(SamplingData[[#This Row],[Max Error Bound (up)]] = 0,0,SamplingData[[#This Row],[Max Error Bound (up)]]/SamplingData[[#Totals],[Max Error Bound (up)]])</f>
        <v>9.5430254117133948E-4</v>
      </c>
      <c r="AD325" s="103">
        <f>SUM($AC$5:AC325)</f>
        <v>0.30575626204238965</v>
      </c>
      <c r="AE325" s="99" t="str" cm="1">
        <f t="array" ref="AE325">IF(SamplingData[[#This Row],[up/U Selection Probability]] = 0, "Zero", TEXT(SamplingData[[#This Row],[Lower Range]], REPT("0",LEN('General Info'!$B$42))) &amp; " - " &amp; TEXT(SamplingData[[#This Row],[Upper Range]], REPT("0",LEN('General Info'!$B$42))))</f>
        <v>304802 - 305755</v>
      </c>
      <c r="AF325" s="99">
        <f>SamplingData[[#This Row],[Upper Range]]-SamplingData[[#This Row],[Span]]</f>
        <v>304801.95950121834</v>
      </c>
      <c r="AG325" s="99">
        <f>IF(ISNUMBER('General Info'!$B$42), ((SamplingData[[#This Row],[up/U Selection Probability]]) * 'General Info'!$B$44) - 1, 0)</f>
        <v>953.3025411713395</v>
      </c>
      <c r="AH325" s="99">
        <f>IF(ISNUMBER('General Info'!$B$42), (SamplingData[[#This Row],[Running (cumulative) sum]] * ('General Info'!$B$42 -'General Info'!$B$43 + 1)) + 'General Info'!$B$43 - 1, 0)</f>
        <v>305755.26204238966</v>
      </c>
      <c r="AI325" s="99" t="str">
        <f>IF(ISERROR(MATCH(SamplingData[[#This Row],[Batch by Type (p)]],SelectedPrecincts[Batch Name], 0)), "", INDEX(SelectedPrecincts[Draw], MATCH(SamplingData[[#This Row],[Batch by Type (p)]],SelectedPrecincts[Batch Name], 0)))</f>
        <v/>
      </c>
      <c r="AJ325" s="100">
        <f>IF(COUNTIF(SelectedPrecincts[Batch Name],SamplingData[[#This Row],[Batch by Type (p)]]) &lt;&gt; 0, COUNTIF(SelectedPrecincts[Batch Name],SamplingData[[#This Row],[Batch by Type (p)]]), 0)</f>
        <v>0</v>
      </c>
    </row>
    <row r="326" spans="1:36" ht="15" customHeight="1" x14ac:dyDescent="0.35">
      <c r="A326" s="97" t="s">
        <v>539</v>
      </c>
      <c r="B326" s="97">
        <v>161</v>
      </c>
      <c r="C326" s="97">
        <v>192</v>
      </c>
      <c r="D326" s="92"/>
      <c r="E326" s="92"/>
      <c r="F326" s="92"/>
      <c r="G326" s="96"/>
      <c r="H326" s="96"/>
      <c r="I326" s="92"/>
      <c r="J326" s="92"/>
      <c r="K326" s="92"/>
      <c r="L326" s="92"/>
      <c r="M326" s="92"/>
      <c r="N326" s="97">
        <v>0</v>
      </c>
      <c r="O326" s="97">
        <v>19</v>
      </c>
      <c r="P326" s="98">
        <f>SUM(SamplingData[[#This Row],[Winning Candidate]:[Under Votes]])</f>
        <v>372</v>
      </c>
      <c r="Q326" s="99">
        <f>IF(AND(SamplingData[[#This Row],[Total]]&lt;&gt; 0, NOT(ISBLANK(SamplingData[[#This Row],[Losing Candidate]]))),(SamplingData[[#This Row],[Total]]+SamplingData[[#This Row],[Winning Candidate]]-SamplingData[[#This Row],[Losing Candidate]])/(SamplingData[[#Totals],[Winning Candidate]]-SamplingData[[#Totals],[Losing Candidate]]), 0)</f>
        <v>1.4471227295875064E-2</v>
      </c>
      <c r="R326" s="99">
        <f>IF(AND(SamplingData[[#This Row],[Total]]&lt;&gt; 0, NOT(ISBLANK(SamplingData[[#This Row],[Candidate 3]]))),(SamplingData[[#This Row],[Total]]+SamplingData[[#This Row],[Winning Candidate]]-SamplingData[[#This Row],[Candidate 3]])/(SamplingData[[#Totals],[Winning Candidate]]-SamplingData[[#Totals],[Candidate 3]]), 0)</f>
        <v>0</v>
      </c>
      <c r="S326" s="99">
        <f>IF(AND(SamplingData[[#This Row],[Total]]&lt;&gt; 0, NOT(ISBLANK(SamplingData[[#This Row],[Candidate 4]]))),(SamplingData[[#This Row],[Total]]+SamplingData[[#This Row],[Winning Candidate]]-SamplingData[[#This Row],[Candidate 4]])/(SamplingData[[#Totals],[Winning Candidate]]-SamplingData[[#Totals],[Candidate 4]]), 0)</f>
        <v>0</v>
      </c>
      <c r="T326" s="99">
        <f>IF(AND(SamplingData[[#This Row],[Total]]&lt;&gt; 0, NOT(ISBLANK(SamplingData[[#This Row],[Candidate 5]]))),(SamplingData[[#This Row],[Total]]+SamplingData[[#This Row],[Winning Candidate]]-SamplingData[[#This Row],[Candidate 5]])/(SamplingData[[#Totals],[Winning Candidate]]-SamplingData[[#Totals],[Candidate 5]]), 0)</f>
        <v>0</v>
      </c>
      <c r="U326" s="99">
        <f>IF(AND(SamplingData[[#This Row],[Total]]&lt;&gt; 0, NOT(ISBLANK(SamplingData[[#This Row],[Candidate 6]]))),(SamplingData[[#This Row],[Total]]+SamplingData[[#This Row],[Losing Candidate]]-SamplingData[[#This Row],[Candidate 6]])/(SamplingData[[#Totals],[Winning Candidate]]-SamplingData[[#Totals],[Candidate 6]]), 0)</f>
        <v>0</v>
      </c>
      <c r="V326" s="99">
        <f>IF(AND(SamplingData[[#This Row],[Total]]&lt;&gt; 0, NOT(ISBLANK(SamplingData[[#This Row],[Candidate 7]]))),(SamplingData[[#This Row],[Total]]+SamplingData[[#This Row],[Winning Candidate]]-SamplingData[[#This Row],[Candidate 7]])/(SamplingData[[#Totals],[Winning Candidate]]-SamplingData[[#Totals],[Candidate 7]]), 0)</f>
        <v>0</v>
      </c>
      <c r="W326" s="99">
        <f>IF(AND(SamplingData[[#This Row],[Total]]&lt;&gt; 0, NOT(ISBLANK(SamplingData[[#This Row],[Candidate 8]]))),(SamplingData[[#This Row],[Total]]+SamplingData[[#This Row],[Winning Candidate]]-SamplingData[[#This Row],[Candidate 8]])/(SamplingData[[#Totals],[Winning Candidate]]-SamplingData[[#Totals],[Candidate 8]]), 0)</f>
        <v>0</v>
      </c>
      <c r="X3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6" s="99">
        <f>MAX(SamplingData[[#This Row],[Error Bound (up) - Max. possible relative overstatement - Losing Candidate]:[Error Bound (up) - Max. possible relative overstatement - Candidate 12]])</f>
        <v>1.4471227295875064E-2</v>
      </c>
      <c r="AC326" s="99">
        <f>IF(SamplingData[[#This Row],[Max Error Bound (up)]] = 0,0,SamplingData[[#This Row],[Max Error Bound (up)]]/SamplingData[[#Totals],[Max Error Bound (up)]])</f>
        <v>7.7480277747482562E-4</v>
      </c>
      <c r="AD326" s="103">
        <f>SUM($AC$5:AC326)</f>
        <v>0.30653106481986447</v>
      </c>
      <c r="AE326" s="99" t="str" cm="1">
        <f t="array" ref="AE326">IF(SamplingData[[#This Row],[up/U Selection Probability]] = 0, "Zero", TEXT(SamplingData[[#This Row],[Lower Range]], REPT("0",LEN('General Info'!$B$42))) &amp; " - " &amp; TEXT(SamplingData[[#This Row],[Upper Range]], REPT("0",LEN('General Info'!$B$42))))</f>
        <v>305756 - 306530</v>
      </c>
      <c r="AF326" s="99">
        <f>SamplingData[[#This Row],[Upper Range]]-SamplingData[[#This Row],[Span]]</f>
        <v>305756.26204238966</v>
      </c>
      <c r="AG326" s="99">
        <f>IF(ISNUMBER('General Info'!$B$42), ((SamplingData[[#This Row],[up/U Selection Probability]]) * 'General Info'!$B$44) - 1, 0)</f>
        <v>773.80277747482558</v>
      </c>
      <c r="AH326" s="99">
        <f>IF(ISNUMBER('General Info'!$B$42), (SamplingData[[#This Row],[Running (cumulative) sum]] * ('General Info'!$B$42 -'General Info'!$B$43 + 1)) + 'General Info'!$B$43 - 1, 0)</f>
        <v>306530.06481986446</v>
      </c>
      <c r="AI326" s="99" t="str">
        <f>IF(ISERROR(MATCH(SamplingData[[#This Row],[Batch by Type (p)]],SelectedPrecincts[Batch Name], 0)), "", INDEX(SelectedPrecincts[Draw], MATCH(SamplingData[[#This Row],[Batch by Type (p)]],SelectedPrecincts[Batch Name], 0)))</f>
        <v/>
      </c>
      <c r="AJ326" s="100">
        <f>IF(COUNTIF(SelectedPrecincts[Batch Name],SamplingData[[#This Row],[Batch by Type (p)]]) &lt;&gt; 0, COUNTIF(SelectedPrecincts[Batch Name],SamplingData[[#This Row],[Batch by Type (p)]]), 0)</f>
        <v>0</v>
      </c>
    </row>
    <row r="327" spans="1:36" ht="15" customHeight="1" x14ac:dyDescent="0.35">
      <c r="A327" s="97" t="s">
        <v>540</v>
      </c>
      <c r="B327" s="97">
        <v>181</v>
      </c>
      <c r="C327" s="97">
        <v>232</v>
      </c>
      <c r="D327" s="92"/>
      <c r="E327" s="92"/>
      <c r="F327" s="92"/>
      <c r="G327" s="96"/>
      <c r="H327" s="96"/>
      <c r="I327" s="92"/>
      <c r="J327" s="92"/>
      <c r="K327" s="92"/>
      <c r="L327" s="92"/>
      <c r="M327" s="92"/>
      <c r="N327" s="97">
        <v>0</v>
      </c>
      <c r="O327" s="97">
        <v>34</v>
      </c>
      <c r="P327" s="98">
        <f>SUM(SamplingData[[#This Row],[Winning Candidate]:[Under Votes]])</f>
        <v>447</v>
      </c>
      <c r="Q327" s="99">
        <f>IF(AND(SamplingData[[#This Row],[Total]]&lt;&gt; 0, NOT(ISBLANK(SamplingData[[#This Row],[Losing Candidate]]))),(SamplingData[[#This Row],[Total]]+SamplingData[[#This Row],[Winning Candidate]]-SamplingData[[#This Row],[Losing Candidate]])/(SamplingData[[#Totals],[Winning Candidate]]-SamplingData[[#Totals],[Losing Candidate]]), 0)</f>
        <v>1.6805296214564589E-2</v>
      </c>
      <c r="R327" s="99">
        <f>IF(AND(SamplingData[[#This Row],[Total]]&lt;&gt; 0, NOT(ISBLANK(SamplingData[[#This Row],[Candidate 3]]))),(SamplingData[[#This Row],[Total]]+SamplingData[[#This Row],[Winning Candidate]]-SamplingData[[#This Row],[Candidate 3]])/(SamplingData[[#Totals],[Winning Candidate]]-SamplingData[[#Totals],[Candidate 3]]), 0)</f>
        <v>0</v>
      </c>
      <c r="S327" s="99">
        <f>IF(AND(SamplingData[[#This Row],[Total]]&lt;&gt; 0, NOT(ISBLANK(SamplingData[[#This Row],[Candidate 4]]))),(SamplingData[[#This Row],[Total]]+SamplingData[[#This Row],[Winning Candidate]]-SamplingData[[#This Row],[Candidate 4]])/(SamplingData[[#Totals],[Winning Candidate]]-SamplingData[[#Totals],[Candidate 4]]), 0)</f>
        <v>0</v>
      </c>
      <c r="T327" s="99">
        <f>IF(AND(SamplingData[[#This Row],[Total]]&lt;&gt; 0, NOT(ISBLANK(SamplingData[[#This Row],[Candidate 5]]))),(SamplingData[[#This Row],[Total]]+SamplingData[[#This Row],[Winning Candidate]]-SamplingData[[#This Row],[Candidate 5]])/(SamplingData[[#Totals],[Winning Candidate]]-SamplingData[[#Totals],[Candidate 5]]), 0)</f>
        <v>0</v>
      </c>
      <c r="U327" s="99">
        <f>IF(AND(SamplingData[[#This Row],[Total]]&lt;&gt; 0, NOT(ISBLANK(SamplingData[[#This Row],[Candidate 6]]))),(SamplingData[[#This Row],[Total]]+SamplingData[[#This Row],[Losing Candidate]]-SamplingData[[#This Row],[Candidate 6]])/(SamplingData[[#Totals],[Winning Candidate]]-SamplingData[[#Totals],[Candidate 6]]), 0)</f>
        <v>0</v>
      </c>
      <c r="V327" s="99">
        <f>IF(AND(SamplingData[[#This Row],[Total]]&lt;&gt; 0, NOT(ISBLANK(SamplingData[[#This Row],[Candidate 7]]))),(SamplingData[[#This Row],[Total]]+SamplingData[[#This Row],[Winning Candidate]]-SamplingData[[#This Row],[Candidate 7]])/(SamplingData[[#Totals],[Winning Candidate]]-SamplingData[[#Totals],[Candidate 7]]), 0)</f>
        <v>0</v>
      </c>
      <c r="W327" s="99">
        <f>IF(AND(SamplingData[[#This Row],[Total]]&lt;&gt; 0, NOT(ISBLANK(SamplingData[[#This Row],[Candidate 8]]))),(SamplingData[[#This Row],[Total]]+SamplingData[[#This Row],[Winning Candidate]]-SamplingData[[#This Row],[Candidate 8]])/(SamplingData[[#Totals],[Winning Candidate]]-SamplingData[[#Totals],[Candidate 8]]), 0)</f>
        <v>0</v>
      </c>
      <c r="X3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7" s="99">
        <f>MAX(SamplingData[[#This Row],[Error Bound (up) - Max. possible relative overstatement - Losing Candidate]:[Error Bound (up) - Max. possible relative overstatement - Candidate 12]])</f>
        <v>1.6805296214564589E-2</v>
      </c>
      <c r="AC327" s="99">
        <f>IF(SamplingData[[#This Row],[Max Error Bound (up)]] = 0,0,SamplingData[[#This Row],[Max Error Bound (up)]]/SamplingData[[#Totals],[Max Error Bound (up)]])</f>
        <v>8.9977096739011998E-4</v>
      </c>
      <c r="AD327" s="103">
        <f>SUM($AC$5:AC327)</f>
        <v>0.30743083578725461</v>
      </c>
      <c r="AE327" s="99" t="str" cm="1">
        <f t="array" ref="AE327">IF(SamplingData[[#This Row],[up/U Selection Probability]] = 0, "Zero", TEXT(SamplingData[[#This Row],[Lower Range]], REPT("0",LEN('General Info'!$B$42))) &amp; " - " &amp; TEXT(SamplingData[[#This Row],[Upper Range]], REPT("0",LEN('General Info'!$B$42))))</f>
        <v>306531 - 307430</v>
      </c>
      <c r="AF327" s="99">
        <f>SamplingData[[#This Row],[Upper Range]]-SamplingData[[#This Row],[Span]]</f>
        <v>306531.06481986452</v>
      </c>
      <c r="AG327" s="99">
        <f>IF(ISNUMBER('General Info'!$B$42), ((SamplingData[[#This Row],[up/U Selection Probability]]) * 'General Info'!$B$44) - 1, 0)</f>
        <v>898.77096739011995</v>
      </c>
      <c r="AH327" s="99">
        <f>IF(ISNUMBER('General Info'!$B$42), (SamplingData[[#This Row],[Running (cumulative) sum]] * ('General Info'!$B$42 -'General Info'!$B$43 + 1)) + 'General Info'!$B$43 - 1, 0)</f>
        <v>307429.83578725462</v>
      </c>
      <c r="AI327" s="99" t="str">
        <f>IF(ISERROR(MATCH(SamplingData[[#This Row],[Batch by Type (p)]],SelectedPrecincts[Batch Name], 0)), "", INDEX(SelectedPrecincts[Draw], MATCH(SamplingData[[#This Row],[Batch by Type (p)]],SelectedPrecincts[Batch Name], 0)))</f>
        <v/>
      </c>
      <c r="AJ327" s="100">
        <f>IF(COUNTIF(SelectedPrecincts[Batch Name],SamplingData[[#This Row],[Batch by Type (p)]]) &lt;&gt; 0, COUNTIF(SelectedPrecincts[Batch Name],SamplingData[[#This Row],[Batch by Type (p)]]), 0)</f>
        <v>0</v>
      </c>
    </row>
    <row r="328" spans="1:36" ht="15" customHeight="1" x14ac:dyDescent="0.35">
      <c r="A328" s="97" t="s">
        <v>541</v>
      </c>
      <c r="B328" s="97">
        <v>270</v>
      </c>
      <c r="C328" s="97">
        <v>308</v>
      </c>
      <c r="D328" s="92"/>
      <c r="E328" s="92"/>
      <c r="F328" s="92"/>
      <c r="G328" s="96"/>
      <c r="H328" s="96"/>
      <c r="I328" s="92"/>
      <c r="J328" s="92"/>
      <c r="K328" s="92"/>
      <c r="L328" s="92"/>
      <c r="M328" s="92"/>
      <c r="N328" s="97">
        <v>1</v>
      </c>
      <c r="O328" s="97">
        <v>38</v>
      </c>
      <c r="P328" s="98">
        <f>SUM(SamplingData[[#This Row],[Winning Candidate]:[Under Votes]])</f>
        <v>617</v>
      </c>
      <c r="Q328" s="99">
        <f>IF(AND(SamplingData[[#This Row],[Total]]&lt;&gt; 0, NOT(ISBLANK(SamplingData[[#This Row],[Losing Candidate]]))),(SamplingData[[#This Row],[Total]]+SamplingData[[#This Row],[Winning Candidate]]-SamplingData[[#This Row],[Losing Candidate]])/(SamplingData[[#Totals],[Winning Candidate]]-SamplingData[[#Totals],[Losing Candidate]]), 0)</f>
        <v>2.4571380071295196E-2</v>
      </c>
      <c r="R328" s="99">
        <f>IF(AND(SamplingData[[#This Row],[Total]]&lt;&gt; 0, NOT(ISBLANK(SamplingData[[#This Row],[Candidate 3]]))),(SamplingData[[#This Row],[Total]]+SamplingData[[#This Row],[Winning Candidate]]-SamplingData[[#This Row],[Candidate 3]])/(SamplingData[[#Totals],[Winning Candidate]]-SamplingData[[#Totals],[Candidate 3]]), 0)</f>
        <v>0</v>
      </c>
      <c r="S328" s="99">
        <f>IF(AND(SamplingData[[#This Row],[Total]]&lt;&gt; 0, NOT(ISBLANK(SamplingData[[#This Row],[Candidate 4]]))),(SamplingData[[#This Row],[Total]]+SamplingData[[#This Row],[Winning Candidate]]-SamplingData[[#This Row],[Candidate 4]])/(SamplingData[[#Totals],[Winning Candidate]]-SamplingData[[#Totals],[Candidate 4]]), 0)</f>
        <v>0</v>
      </c>
      <c r="T328" s="99">
        <f>IF(AND(SamplingData[[#This Row],[Total]]&lt;&gt; 0, NOT(ISBLANK(SamplingData[[#This Row],[Candidate 5]]))),(SamplingData[[#This Row],[Total]]+SamplingData[[#This Row],[Winning Candidate]]-SamplingData[[#This Row],[Candidate 5]])/(SamplingData[[#Totals],[Winning Candidate]]-SamplingData[[#Totals],[Candidate 5]]), 0)</f>
        <v>0</v>
      </c>
      <c r="U328" s="99">
        <f>IF(AND(SamplingData[[#This Row],[Total]]&lt;&gt; 0, NOT(ISBLANK(SamplingData[[#This Row],[Candidate 6]]))),(SamplingData[[#This Row],[Total]]+SamplingData[[#This Row],[Losing Candidate]]-SamplingData[[#This Row],[Candidate 6]])/(SamplingData[[#Totals],[Winning Candidate]]-SamplingData[[#Totals],[Candidate 6]]), 0)</f>
        <v>0</v>
      </c>
      <c r="V328" s="99">
        <f>IF(AND(SamplingData[[#This Row],[Total]]&lt;&gt; 0, NOT(ISBLANK(SamplingData[[#This Row],[Candidate 7]]))),(SamplingData[[#This Row],[Total]]+SamplingData[[#This Row],[Winning Candidate]]-SamplingData[[#This Row],[Candidate 7]])/(SamplingData[[#Totals],[Winning Candidate]]-SamplingData[[#Totals],[Candidate 7]]), 0)</f>
        <v>0</v>
      </c>
      <c r="W328" s="99">
        <f>IF(AND(SamplingData[[#This Row],[Total]]&lt;&gt; 0, NOT(ISBLANK(SamplingData[[#This Row],[Candidate 8]]))),(SamplingData[[#This Row],[Total]]+SamplingData[[#This Row],[Winning Candidate]]-SamplingData[[#This Row],[Candidate 8]])/(SamplingData[[#Totals],[Winning Candidate]]-SamplingData[[#Totals],[Candidate 8]]), 0)</f>
        <v>0</v>
      </c>
      <c r="X3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8" s="99">
        <f>MAX(SamplingData[[#This Row],[Error Bound (up) - Max. possible relative overstatement - Losing Candidate]:[Error Bound (up) - Max. possible relative overstatement - Candidate 12]])</f>
        <v>2.4571380071295196E-2</v>
      </c>
      <c r="AC328" s="99">
        <f>IF(SamplingData[[#This Row],[Max Error Bound (up)]] = 0,0,SamplingData[[#This Row],[Max Error Bound (up)]]/SamplingData[[#Totals],[Max Error Bound (up)]])</f>
        <v>1.315574217471918E-3</v>
      </c>
      <c r="AD328" s="103">
        <f>SUM($AC$5:AC328)</f>
        <v>0.30874641000472652</v>
      </c>
      <c r="AE328" s="99" t="str" cm="1">
        <f t="array" ref="AE328">IF(SamplingData[[#This Row],[up/U Selection Probability]] = 0, "Zero", TEXT(SamplingData[[#This Row],[Lower Range]], REPT("0",LEN('General Info'!$B$42))) &amp; " - " &amp; TEXT(SamplingData[[#This Row],[Upper Range]], REPT("0",LEN('General Info'!$B$42))))</f>
        <v>307431 - 308745</v>
      </c>
      <c r="AF328" s="99">
        <f>SamplingData[[#This Row],[Upper Range]]-SamplingData[[#This Row],[Span]]</f>
        <v>307430.83578725456</v>
      </c>
      <c r="AG328" s="99">
        <f>IF(ISNUMBER('General Info'!$B$42), ((SamplingData[[#This Row],[up/U Selection Probability]]) * 'General Info'!$B$44) - 1, 0)</f>
        <v>1314.574217471918</v>
      </c>
      <c r="AH328" s="99">
        <f>IF(ISNUMBER('General Info'!$B$42), (SamplingData[[#This Row],[Running (cumulative) sum]] * ('General Info'!$B$42 -'General Info'!$B$43 + 1)) + 'General Info'!$B$43 - 1, 0)</f>
        <v>308745.41000472649</v>
      </c>
      <c r="AI328" s="99" t="str">
        <f>IF(ISERROR(MATCH(SamplingData[[#This Row],[Batch by Type (p)]],SelectedPrecincts[Batch Name], 0)), "", INDEX(SelectedPrecincts[Draw], MATCH(SamplingData[[#This Row],[Batch by Type (p)]],SelectedPrecincts[Batch Name], 0)))</f>
        <v/>
      </c>
      <c r="AJ328" s="100">
        <f>IF(COUNTIF(SelectedPrecincts[Batch Name],SamplingData[[#This Row],[Batch by Type (p)]]) &lt;&gt; 0, COUNTIF(SelectedPrecincts[Batch Name],SamplingData[[#This Row],[Batch by Type (p)]]), 0)</f>
        <v>0</v>
      </c>
    </row>
    <row r="329" spans="1:36" ht="15" customHeight="1" x14ac:dyDescent="0.35">
      <c r="A329" s="97" t="s">
        <v>542</v>
      </c>
      <c r="B329" s="97">
        <v>124</v>
      </c>
      <c r="C329" s="97">
        <v>166</v>
      </c>
      <c r="D329" s="92"/>
      <c r="E329" s="92"/>
      <c r="F329" s="92"/>
      <c r="G329" s="96"/>
      <c r="H329" s="96"/>
      <c r="I329" s="92"/>
      <c r="J329" s="92"/>
      <c r="K329" s="92"/>
      <c r="L329" s="92"/>
      <c r="M329" s="92"/>
      <c r="N329" s="97">
        <v>0</v>
      </c>
      <c r="O329" s="97">
        <v>27</v>
      </c>
      <c r="P329" s="98">
        <f>SUM(SamplingData[[#This Row],[Winning Candidate]:[Under Votes]])</f>
        <v>317</v>
      </c>
      <c r="Q329" s="99">
        <f>IF(AND(SamplingData[[#This Row],[Total]]&lt;&gt; 0, NOT(ISBLANK(SamplingData[[#This Row],[Losing Candidate]]))),(SamplingData[[#This Row],[Total]]+SamplingData[[#This Row],[Winning Candidate]]-SamplingData[[#This Row],[Losing Candidate]])/(SamplingData[[#Totals],[Winning Candidate]]-SamplingData[[#Totals],[Losing Candidate]]), 0)</f>
        <v>1.1670344593447632E-2</v>
      </c>
      <c r="R329" s="99">
        <f>IF(AND(SamplingData[[#This Row],[Total]]&lt;&gt; 0, NOT(ISBLANK(SamplingData[[#This Row],[Candidate 3]]))),(SamplingData[[#This Row],[Total]]+SamplingData[[#This Row],[Winning Candidate]]-SamplingData[[#This Row],[Candidate 3]])/(SamplingData[[#Totals],[Winning Candidate]]-SamplingData[[#Totals],[Candidate 3]]), 0)</f>
        <v>0</v>
      </c>
      <c r="S329" s="99">
        <f>IF(AND(SamplingData[[#This Row],[Total]]&lt;&gt; 0, NOT(ISBLANK(SamplingData[[#This Row],[Candidate 4]]))),(SamplingData[[#This Row],[Total]]+SamplingData[[#This Row],[Winning Candidate]]-SamplingData[[#This Row],[Candidate 4]])/(SamplingData[[#Totals],[Winning Candidate]]-SamplingData[[#Totals],[Candidate 4]]), 0)</f>
        <v>0</v>
      </c>
      <c r="T329" s="99">
        <f>IF(AND(SamplingData[[#This Row],[Total]]&lt;&gt; 0, NOT(ISBLANK(SamplingData[[#This Row],[Candidate 5]]))),(SamplingData[[#This Row],[Total]]+SamplingData[[#This Row],[Winning Candidate]]-SamplingData[[#This Row],[Candidate 5]])/(SamplingData[[#Totals],[Winning Candidate]]-SamplingData[[#Totals],[Candidate 5]]), 0)</f>
        <v>0</v>
      </c>
      <c r="U329" s="99">
        <f>IF(AND(SamplingData[[#This Row],[Total]]&lt;&gt; 0, NOT(ISBLANK(SamplingData[[#This Row],[Candidate 6]]))),(SamplingData[[#This Row],[Total]]+SamplingData[[#This Row],[Losing Candidate]]-SamplingData[[#This Row],[Candidate 6]])/(SamplingData[[#Totals],[Winning Candidate]]-SamplingData[[#Totals],[Candidate 6]]), 0)</f>
        <v>0</v>
      </c>
      <c r="V329" s="99">
        <f>IF(AND(SamplingData[[#This Row],[Total]]&lt;&gt; 0, NOT(ISBLANK(SamplingData[[#This Row],[Candidate 7]]))),(SamplingData[[#This Row],[Total]]+SamplingData[[#This Row],[Winning Candidate]]-SamplingData[[#This Row],[Candidate 7]])/(SamplingData[[#Totals],[Winning Candidate]]-SamplingData[[#Totals],[Candidate 7]]), 0)</f>
        <v>0</v>
      </c>
      <c r="W329" s="99">
        <f>IF(AND(SamplingData[[#This Row],[Total]]&lt;&gt; 0, NOT(ISBLANK(SamplingData[[#This Row],[Candidate 8]]))),(SamplingData[[#This Row],[Total]]+SamplingData[[#This Row],[Winning Candidate]]-SamplingData[[#This Row],[Candidate 8]])/(SamplingData[[#Totals],[Winning Candidate]]-SamplingData[[#Totals],[Candidate 8]]), 0)</f>
        <v>0</v>
      </c>
      <c r="X3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9" s="99">
        <f>MAX(SamplingData[[#This Row],[Error Bound (up) - Max. possible relative overstatement - Losing Candidate]:[Error Bound (up) - Max. possible relative overstatement - Candidate 12]])</f>
        <v>1.1670344593447632E-2</v>
      </c>
      <c r="AC329" s="99">
        <f>IF(SamplingData[[#This Row],[Max Error Bound (up)]] = 0,0,SamplingData[[#This Row],[Max Error Bound (up)]]/SamplingData[[#Totals],[Max Error Bound (up)]])</f>
        <v>6.2484094957647224E-4</v>
      </c>
      <c r="AD329" s="103">
        <f>SUM($AC$5:AC329)</f>
        <v>0.30937125095430301</v>
      </c>
      <c r="AE329" s="99" t="str" cm="1">
        <f t="array" ref="AE329">IF(SamplingData[[#This Row],[up/U Selection Probability]] = 0, "Zero", TEXT(SamplingData[[#This Row],[Lower Range]], REPT("0",LEN('General Info'!$B$42))) &amp; " - " &amp; TEXT(SamplingData[[#This Row],[Upper Range]], REPT("0",LEN('General Info'!$B$42))))</f>
        <v>308746 - 309370</v>
      </c>
      <c r="AF329" s="99">
        <f>SamplingData[[#This Row],[Upper Range]]-SamplingData[[#This Row],[Span]]</f>
        <v>308746.41000472655</v>
      </c>
      <c r="AG329" s="99">
        <f>IF(ISNUMBER('General Info'!$B$42), ((SamplingData[[#This Row],[up/U Selection Probability]]) * 'General Info'!$B$44) - 1, 0)</f>
        <v>623.84094957647221</v>
      </c>
      <c r="AH329" s="99">
        <f>IF(ISNUMBER('General Info'!$B$42), (SamplingData[[#This Row],[Running (cumulative) sum]] * ('General Info'!$B$42 -'General Info'!$B$43 + 1)) + 'General Info'!$B$43 - 1, 0)</f>
        <v>309370.25095430302</v>
      </c>
      <c r="AI329" s="99" t="str">
        <f>IF(ISERROR(MATCH(SamplingData[[#This Row],[Batch by Type (p)]],SelectedPrecincts[Batch Name], 0)), "", INDEX(SelectedPrecincts[Draw], MATCH(SamplingData[[#This Row],[Batch by Type (p)]],SelectedPrecincts[Batch Name], 0)))</f>
        <v/>
      </c>
      <c r="AJ329" s="100">
        <f>IF(COUNTIF(SelectedPrecincts[Batch Name],SamplingData[[#This Row],[Batch by Type (p)]]) &lt;&gt; 0, COUNTIF(SelectedPrecincts[Batch Name],SamplingData[[#This Row],[Batch by Type (p)]]), 0)</f>
        <v>0</v>
      </c>
    </row>
    <row r="330" spans="1:36" ht="15" customHeight="1" x14ac:dyDescent="0.35">
      <c r="A330" s="97" t="s">
        <v>543</v>
      </c>
      <c r="B330" s="97">
        <v>187</v>
      </c>
      <c r="C330" s="97">
        <v>200</v>
      </c>
      <c r="D330" s="92"/>
      <c r="E330" s="92"/>
      <c r="F330" s="92"/>
      <c r="G330" s="96"/>
      <c r="H330" s="96"/>
      <c r="I330" s="92"/>
      <c r="J330" s="92"/>
      <c r="K330" s="92"/>
      <c r="L330" s="92"/>
      <c r="M330" s="92"/>
      <c r="N330" s="97">
        <v>0</v>
      </c>
      <c r="O330" s="97">
        <v>22</v>
      </c>
      <c r="P330" s="98">
        <f>SUM(SamplingData[[#This Row],[Winning Candidate]:[Under Votes]])</f>
        <v>409</v>
      </c>
      <c r="Q330" s="99">
        <f>IF(AND(SamplingData[[#This Row],[Total]]&lt;&gt; 0, NOT(ISBLANK(SamplingData[[#This Row],[Losing Candidate]]))),(SamplingData[[#This Row],[Total]]+SamplingData[[#This Row],[Winning Candidate]]-SamplingData[[#This Row],[Losing Candidate]])/(SamplingData[[#Totals],[Winning Candidate]]-SamplingData[[#Totals],[Losing Candidate]]), 0)</f>
        <v>1.6805296214564589E-2</v>
      </c>
      <c r="R330" s="99">
        <f>IF(AND(SamplingData[[#This Row],[Total]]&lt;&gt; 0, NOT(ISBLANK(SamplingData[[#This Row],[Candidate 3]]))),(SamplingData[[#This Row],[Total]]+SamplingData[[#This Row],[Winning Candidate]]-SamplingData[[#This Row],[Candidate 3]])/(SamplingData[[#Totals],[Winning Candidate]]-SamplingData[[#Totals],[Candidate 3]]), 0)</f>
        <v>0</v>
      </c>
      <c r="S330" s="99">
        <f>IF(AND(SamplingData[[#This Row],[Total]]&lt;&gt; 0, NOT(ISBLANK(SamplingData[[#This Row],[Candidate 4]]))),(SamplingData[[#This Row],[Total]]+SamplingData[[#This Row],[Winning Candidate]]-SamplingData[[#This Row],[Candidate 4]])/(SamplingData[[#Totals],[Winning Candidate]]-SamplingData[[#Totals],[Candidate 4]]), 0)</f>
        <v>0</v>
      </c>
      <c r="T330" s="99">
        <f>IF(AND(SamplingData[[#This Row],[Total]]&lt;&gt; 0, NOT(ISBLANK(SamplingData[[#This Row],[Candidate 5]]))),(SamplingData[[#This Row],[Total]]+SamplingData[[#This Row],[Winning Candidate]]-SamplingData[[#This Row],[Candidate 5]])/(SamplingData[[#Totals],[Winning Candidate]]-SamplingData[[#Totals],[Candidate 5]]), 0)</f>
        <v>0</v>
      </c>
      <c r="U330" s="99">
        <f>IF(AND(SamplingData[[#This Row],[Total]]&lt;&gt; 0, NOT(ISBLANK(SamplingData[[#This Row],[Candidate 6]]))),(SamplingData[[#This Row],[Total]]+SamplingData[[#This Row],[Losing Candidate]]-SamplingData[[#This Row],[Candidate 6]])/(SamplingData[[#Totals],[Winning Candidate]]-SamplingData[[#Totals],[Candidate 6]]), 0)</f>
        <v>0</v>
      </c>
      <c r="V330" s="99">
        <f>IF(AND(SamplingData[[#This Row],[Total]]&lt;&gt; 0, NOT(ISBLANK(SamplingData[[#This Row],[Candidate 7]]))),(SamplingData[[#This Row],[Total]]+SamplingData[[#This Row],[Winning Candidate]]-SamplingData[[#This Row],[Candidate 7]])/(SamplingData[[#Totals],[Winning Candidate]]-SamplingData[[#Totals],[Candidate 7]]), 0)</f>
        <v>0</v>
      </c>
      <c r="W330" s="99">
        <f>IF(AND(SamplingData[[#This Row],[Total]]&lt;&gt; 0, NOT(ISBLANK(SamplingData[[#This Row],[Candidate 8]]))),(SamplingData[[#This Row],[Total]]+SamplingData[[#This Row],[Winning Candidate]]-SamplingData[[#This Row],[Candidate 8]])/(SamplingData[[#Totals],[Winning Candidate]]-SamplingData[[#Totals],[Candidate 8]]), 0)</f>
        <v>0</v>
      </c>
      <c r="X3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0" s="99">
        <f>MAX(SamplingData[[#This Row],[Error Bound (up) - Max. possible relative overstatement - Losing Candidate]:[Error Bound (up) - Max. possible relative overstatement - Candidate 12]])</f>
        <v>1.6805296214564589E-2</v>
      </c>
      <c r="AC330" s="99">
        <f>IF(SamplingData[[#This Row],[Max Error Bound (up)]] = 0,0,SamplingData[[#This Row],[Max Error Bound (up)]]/SamplingData[[#Totals],[Max Error Bound (up)]])</f>
        <v>8.9977096739011998E-4</v>
      </c>
      <c r="AD330" s="103">
        <f>SUM($AC$5:AC330)</f>
        <v>0.31027102192169315</v>
      </c>
      <c r="AE330" s="99" t="str" cm="1">
        <f t="array" ref="AE330">IF(SamplingData[[#This Row],[up/U Selection Probability]] = 0, "Zero", TEXT(SamplingData[[#This Row],[Lower Range]], REPT("0",LEN('General Info'!$B$42))) &amp; " - " &amp; TEXT(SamplingData[[#This Row],[Upper Range]], REPT("0",LEN('General Info'!$B$42))))</f>
        <v>309371 - 310270</v>
      </c>
      <c r="AF330" s="99">
        <f>SamplingData[[#This Row],[Upper Range]]-SamplingData[[#This Row],[Span]]</f>
        <v>309371.25095430308</v>
      </c>
      <c r="AG330" s="99">
        <f>IF(ISNUMBER('General Info'!$B$42), ((SamplingData[[#This Row],[up/U Selection Probability]]) * 'General Info'!$B$44) - 1, 0)</f>
        <v>898.77096739011995</v>
      </c>
      <c r="AH330" s="99">
        <f>IF(ISNUMBER('General Info'!$B$42), (SamplingData[[#This Row],[Running (cumulative) sum]] * ('General Info'!$B$42 -'General Info'!$B$43 + 1)) + 'General Info'!$B$43 - 1, 0)</f>
        <v>310270.02192169317</v>
      </c>
      <c r="AI330" s="99" t="str">
        <f>IF(ISERROR(MATCH(SamplingData[[#This Row],[Batch by Type (p)]],SelectedPrecincts[Batch Name], 0)), "", INDEX(SelectedPrecincts[Draw], MATCH(SamplingData[[#This Row],[Batch by Type (p)]],SelectedPrecincts[Batch Name], 0)))</f>
        <v/>
      </c>
      <c r="AJ330" s="100">
        <f>IF(COUNTIF(SelectedPrecincts[Batch Name],SamplingData[[#This Row],[Batch by Type (p)]]) &lt;&gt; 0, COUNTIF(SelectedPrecincts[Batch Name],SamplingData[[#This Row],[Batch by Type (p)]]), 0)</f>
        <v>0</v>
      </c>
    </row>
    <row r="331" spans="1:36" ht="15" customHeight="1" x14ac:dyDescent="0.35">
      <c r="A331" s="97" t="s">
        <v>544</v>
      </c>
      <c r="B331" s="97">
        <v>244</v>
      </c>
      <c r="C331" s="97">
        <v>239</v>
      </c>
      <c r="D331" s="92"/>
      <c r="E331" s="92"/>
      <c r="F331" s="92"/>
      <c r="G331" s="96"/>
      <c r="H331" s="96"/>
      <c r="I331" s="92"/>
      <c r="J331" s="92"/>
      <c r="K331" s="92"/>
      <c r="L331" s="92"/>
      <c r="M331" s="92"/>
      <c r="N331" s="97">
        <v>0</v>
      </c>
      <c r="O331" s="97">
        <v>22</v>
      </c>
      <c r="P331" s="98">
        <f>SUM(SamplingData[[#This Row],[Winning Candidate]:[Under Votes]])</f>
        <v>505</v>
      </c>
      <c r="Q331" s="99">
        <f>IF(AND(SamplingData[[#This Row],[Total]]&lt;&gt; 0, NOT(ISBLANK(SamplingData[[#This Row],[Losing Candidate]]))),(SamplingData[[#This Row],[Total]]+SamplingData[[#This Row],[Winning Candidate]]-SamplingData[[#This Row],[Losing Candidate]])/(SamplingData[[#Totals],[Winning Candidate]]-SamplingData[[#Totals],[Losing Candidate]]), 0)</f>
        <v>2.1643184518757425E-2</v>
      </c>
      <c r="R331" s="99">
        <f>IF(AND(SamplingData[[#This Row],[Total]]&lt;&gt; 0, NOT(ISBLANK(SamplingData[[#This Row],[Candidate 3]]))),(SamplingData[[#This Row],[Total]]+SamplingData[[#This Row],[Winning Candidate]]-SamplingData[[#This Row],[Candidate 3]])/(SamplingData[[#Totals],[Winning Candidate]]-SamplingData[[#Totals],[Candidate 3]]), 0)</f>
        <v>0</v>
      </c>
      <c r="S331" s="99">
        <f>IF(AND(SamplingData[[#This Row],[Total]]&lt;&gt; 0, NOT(ISBLANK(SamplingData[[#This Row],[Candidate 4]]))),(SamplingData[[#This Row],[Total]]+SamplingData[[#This Row],[Winning Candidate]]-SamplingData[[#This Row],[Candidate 4]])/(SamplingData[[#Totals],[Winning Candidate]]-SamplingData[[#Totals],[Candidate 4]]), 0)</f>
        <v>0</v>
      </c>
      <c r="T331" s="99">
        <f>IF(AND(SamplingData[[#This Row],[Total]]&lt;&gt; 0, NOT(ISBLANK(SamplingData[[#This Row],[Candidate 5]]))),(SamplingData[[#This Row],[Total]]+SamplingData[[#This Row],[Winning Candidate]]-SamplingData[[#This Row],[Candidate 5]])/(SamplingData[[#Totals],[Winning Candidate]]-SamplingData[[#Totals],[Candidate 5]]), 0)</f>
        <v>0</v>
      </c>
      <c r="U331" s="99">
        <f>IF(AND(SamplingData[[#This Row],[Total]]&lt;&gt; 0, NOT(ISBLANK(SamplingData[[#This Row],[Candidate 6]]))),(SamplingData[[#This Row],[Total]]+SamplingData[[#This Row],[Losing Candidate]]-SamplingData[[#This Row],[Candidate 6]])/(SamplingData[[#Totals],[Winning Candidate]]-SamplingData[[#Totals],[Candidate 6]]), 0)</f>
        <v>0</v>
      </c>
      <c r="V331" s="99">
        <f>IF(AND(SamplingData[[#This Row],[Total]]&lt;&gt; 0, NOT(ISBLANK(SamplingData[[#This Row],[Candidate 7]]))),(SamplingData[[#This Row],[Total]]+SamplingData[[#This Row],[Winning Candidate]]-SamplingData[[#This Row],[Candidate 7]])/(SamplingData[[#Totals],[Winning Candidate]]-SamplingData[[#Totals],[Candidate 7]]), 0)</f>
        <v>0</v>
      </c>
      <c r="W331" s="99">
        <f>IF(AND(SamplingData[[#This Row],[Total]]&lt;&gt; 0, NOT(ISBLANK(SamplingData[[#This Row],[Candidate 8]]))),(SamplingData[[#This Row],[Total]]+SamplingData[[#This Row],[Winning Candidate]]-SamplingData[[#This Row],[Candidate 8]])/(SamplingData[[#Totals],[Winning Candidate]]-SamplingData[[#Totals],[Candidate 8]]), 0)</f>
        <v>0</v>
      </c>
      <c r="X3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1" s="99">
        <f>MAX(SamplingData[[#This Row],[Error Bound (up) - Max. possible relative overstatement - Losing Candidate]:[Error Bound (up) - Max. possible relative overstatement - Candidate 12]])</f>
        <v>2.1643184518757425E-2</v>
      </c>
      <c r="AC331" s="99">
        <f>IF(SamplingData[[#This Row],[Max Error Bound (up)]] = 0,0,SamplingData[[#This Row],[Max Error Bound (up)]]/SamplingData[[#Totals],[Max Error Bound (up)]])</f>
        <v>1.1587959428509122E-3</v>
      </c>
      <c r="AD331" s="103">
        <f>SUM($AC$5:AC331)</f>
        <v>0.31142981786454405</v>
      </c>
      <c r="AE331" s="99" t="str" cm="1">
        <f t="array" ref="AE331">IF(SamplingData[[#This Row],[up/U Selection Probability]] = 0, "Zero", TEXT(SamplingData[[#This Row],[Lower Range]], REPT("0",LEN('General Info'!$B$42))) &amp; " - " &amp; TEXT(SamplingData[[#This Row],[Upper Range]], REPT("0",LEN('General Info'!$B$42))))</f>
        <v>310271 - 311429</v>
      </c>
      <c r="AF331" s="99">
        <f>SamplingData[[#This Row],[Upper Range]]-SamplingData[[#This Row],[Span]]</f>
        <v>310271.02192169311</v>
      </c>
      <c r="AG331" s="99">
        <f>IF(ISNUMBER('General Info'!$B$42), ((SamplingData[[#This Row],[up/U Selection Probability]]) * 'General Info'!$B$44) - 1, 0)</f>
        <v>1157.7959428509121</v>
      </c>
      <c r="AH331" s="99">
        <f>IF(ISNUMBER('General Info'!$B$42), (SamplingData[[#This Row],[Running (cumulative) sum]] * ('General Info'!$B$42 -'General Info'!$B$43 + 1)) + 'General Info'!$B$43 - 1, 0)</f>
        <v>311428.81786454405</v>
      </c>
      <c r="AI331" s="99" t="str">
        <f>IF(ISERROR(MATCH(SamplingData[[#This Row],[Batch by Type (p)]],SelectedPrecincts[Batch Name], 0)), "", INDEX(SelectedPrecincts[Draw], MATCH(SamplingData[[#This Row],[Batch by Type (p)]],SelectedPrecincts[Batch Name], 0)))</f>
        <v/>
      </c>
      <c r="AJ331" s="100">
        <f>IF(COUNTIF(SelectedPrecincts[Batch Name],SamplingData[[#This Row],[Batch by Type (p)]]) &lt;&gt; 0, COUNTIF(SelectedPrecincts[Batch Name],SamplingData[[#This Row],[Batch by Type (p)]]), 0)</f>
        <v>0</v>
      </c>
    </row>
    <row r="332" spans="1:36" ht="15" customHeight="1" x14ac:dyDescent="0.35">
      <c r="A332" s="97" t="s">
        <v>545</v>
      </c>
      <c r="B332" s="97">
        <v>88</v>
      </c>
      <c r="C332" s="97">
        <v>99</v>
      </c>
      <c r="D332" s="92"/>
      <c r="E332" s="92"/>
      <c r="F332" s="92"/>
      <c r="G332" s="96"/>
      <c r="H332" s="96"/>
      <c r="I332" s="92"/>
      <c r="J332" s="92"/>
      <c r="K332" s="92"/>
      <c r="L332" s="92"/>
      <c r="M332" s="92"/>
      <c r="N332" s="97">
        <v>1</v>
      </c>
      <c r="O332" s="97">
        <v>8</v>
      </c>
      <c r="P332" s="98">
        <f>SUM(SamplingData[[#This Row],[Winning Candidate]:[Under Votes]])</f>
        <v>196</v>
      </c>
      <c r="Q332" s="99">
        <f>IF(AND(SamplingData[[#This Row],[Total]]&lt;&gt; 0, NOT(ISBLANK(SamplingData[[#This Row],[Losing Candidate]]))),(SamplingData[[#This Row],[Total]]+SamplingData[[#This Row],[Winning Candidate]]-SamplingData[[#This Row],[Losing Candidate]])/(SamplingData[[#Totals],[Winning Candidate]]-SamplingData[[#Totals],[Losing Candidate]]), 0)</f>
        <v>7.8509590901374975E-3</v>
      </c>
      <c r="R332" s="99">
        <f>IF(AND(SamplingData[[#This Row],[Total]]&lt;&gt; 0, NOT(ISBLANK(SamplingData[[#This Row],[Candidate 3]]))),(SamplingData[[#This Row],[Total]]+SamplingData[[#This Row],[Winning Candidate]]-SamplingData[[#This Row],[Candidate 3]])/(SamplingData[[#Totals],[Winning Candidate]]-SamplingData[[#Totals],[Candidate 3]]), 0)</f>
        <v>0</v>
      </c>
      <c r="S332" s="99">
        <f>IF(AND(SamplingData[[#This Row],[Total]]&lt;&gt; 0, NOT(ISBLANK(SamplingData[[#This Row],[Candidate 4]]))),(SamplingData[[#This Row],[Total]]+SamplingData[[#This Row],[Winning Candidate]]-SamplingData[[#This Row],[Candidate 4]])/(SamplingData[[#Totals],[Winning Candidate]]-SamplingData[[#Totals],[Candidate 4]]), 0)</f>
        <v>0</v>
      </c>
      <c r="T332" s="99">
        <f>IF(AND(SamplingData[[#This Row],[Total]]&lt;&gt; 0, NOT(ISBLANK(SamplingData[[#This Row],[Candidate 5]]))),(SamplingData[[#This Row],[Total]]+SamplingData[[#This Row],[Winning Candidate]]-SamplingData[[#This Row],[Candidate 5]])/(SamplingData[[#Totals],[Winning Candidate]]-SamplingData[[#Totals],[Candidate 5]]), 0)</f>
        <v>0</v>
      </c>
      <c r="U332" s="99">
        <f>IF(AND(SamplingData[[#This Row],[Total]]&lt;&gt; 0, NOT(ISBLANK(SamplingData[[#This Row],[Candidate 6]]))),(SamplingData[[#This Row],[Total]]+SamplingData[[#This Row],[Losing Candidate]]-SamplingData[[#This Row],[Candidate 6]])/(SamplingData[[#Totals],[Winning Candidate]]-SamplingData[[#Totals],[Candidate 6]]), 0)</f>
        <v>0</v>
      </c>
      <c r="V332" s="99">
        <f>IF(AND(SamplingData[[#This Row],[Total]]&lt;&gt; 0, NOT(ISBLANK(SamplingData[[#This Row],[Candidate 7]]))),(SamplingData[[#This Row],[Total]]+SamplingData[[#This Row],[Winning Candidate]]-SamplingData[[#This Row],[Candidate 7]])/(SamplingData[[#Totals],[Winning Candidate]]-SamplingData[[#Totals],[Candidate 7]]), 0)</f>
        <v>0</v>
      </c>
      <c r="W332" s="99">
        <f>IF(AND(SamplingData[[#This Row],[Total]]&lt;&gt; 0, NOT(ISBLANK(SamplingData[[#This Row],[Candidate 8]]))),(SamplingData[[#This Row],[Total]]+SamplingData[[#This Row],[Winning Candidate]]-SamplingData[[#This Row],[Candidate 8]])/(SamplingData[[#Totals],[Winning Candidate]]-SamplingData[[#Totals],[Candidate 8]]), 0)</f>
        <v>0</v>
      </c>
      <c r="X3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2" s="99">
        <f>MAX(SamplingData[[#This Row],[Error Bound (up) - Max. possible relative overstatement - Losing Candidate]:[Error Bound (up) - Max. possible relative overstatement - Candidate 12]])</f>
        <v>7.8509590901374975E-3</v>
      </c>
      <c r="AC332" s="99">
        <f>IF(SamplingData[[#This Row],[Max Error Bound (up)]] = 0,0,SamplingData[[#This Row],[Max Error Bound (up)]]/SamplingData[[#Totals],[Max Error Bound (up)]])</f>
        <v>4.2034754789689951E-4</v>
      </c>
      <c r="AD332" s="103">
        <f>SUM($AC$5:AC332)</f>
        <v>0.31185016541244093</v>
      </c>
      <c r="AE332" s="99" t="str" cm="1">
        <f t="array" ref="AE332">IF(SamplingData[[#This Row],[up/U Selection Probability]] = 0, "Zero", TEXT(SamplingData[[#This Row],[Lower Range]], REPT("0",LEN('General Info'!$B$42))) &amp; " - " &amp; TEXT(SamplingData[[#This Row],[Upper Range]], REPT("0",LEN('General Info'!$B$42))))</f>
        <v>311430 - 311849</v>
      </c>
      <c r="AF332" s="99">
        <f>SamplingData[[#This Row],[Upper Range]]-SamplingData[[#This Row],[Span]]</f>
        <v>311429.81786454405</v>
      </c>
      <c r="AG332" s="99">
        <f>IF(ISNUMBER('General Info'!$B$42), ((SamplingData[[#This Row],[up/U Selection Probability]]) * 'General Info'!$B$44) - 1, 0)</f>
        <v>419.34754789689953</v>
      </c>
      <c r="AH332" s="99">
        <f>IF(ISNUMBER('General Info'!$B$42), (SamplingData[[#This Row],[Running (cumulative) sum]] * ('General Info'!$B$42 -'General Info'!$B$43 + 1)) + 'General Info'!$B$43 - 1, 0)</f>
        <v>311849.16541244095</v>
      </c>
      <c r="AI332" s="99" t="str">
        <f>IF(ISERROR(MATCH(SamplingData[[#This Row],[Batch by Type (p)]],SelectedPrecincts[Batch Name], 0)), "", INDEX(SelectedPrecincts[Draw], MATCH(SamplingData[[#This Row],[Batch by Type (p)]],SelectedPrecincts[Batch Name], 0)))</f>
        <v/>
      </c>
      <c r="AJ332" s="100">
        <f>IF(COUNTIF(SelectedPrecincts[Batch Name],SamplingData[[#This Row],[Batch by Type (p)]]) &lt;&gt; 0, COUNTIF(SelectedPrecincts[Batch Name],SamplingData[[#This Row],[Batch by Type (p)]]), 0)</f>
        <v>0</v>
      </c>
    </row>
    <row r="333" spans="1:36" ht="15" customHeight="1" x14ac:dyDescent="0.35">
      <c r="A333" s="97" t="s">
        <v>546</v>
      </c>
      <c r="B333" s="97">
        <v>178</v>
      </c>
      <c r="C333" s="97">
        <v>144</v>
      </c>
      <c r="D333" s="92"/>
      <c r="E333" s="92"/>
      <c r="F333" s="92"/>
      <c r="G333" s="96"/>
      <c r="H333" s="96"/>
      <c r="I333" s="92"/>
      <c r="J333" s="92"/>
      <c r="K333" s="92"/>
      <c r="L333" s="92"/>
      <c r="M333" s="92"/>
      <c r="N333" s="97">
        <v>0</v>
      </c>
      <c r="O333" s="97">
        <v>19</v>
      </c>
      <c r="P333" s="98">
        <f>SUM(SamplingData[[#This Row],[Winning Candidate]:[Under Votes]])</f>
        <v>341</v>
      </c>
      <c r="Q333" s="99">
        <f>IF(AND(SamplingData[[#This Row],[Total]]&lt;&gt; 0, NOT(ISBLANK(SamplingData[[#This Row],[Losing Candidate]]))),(SamplingData[[#This Row],[Total]]+SamplingData[[#This Row],[Winning Candidate]]-SamplingData[[#This Row],[Losing Candidate]])/(SamplingData[[#Totals],[Winning Candidate]]-SamplingData[[#Totals],[Losing Candidate]]), 0)</f>
        <v>1.5914106263792225E-2</v>
      </c>
      <c r="R333" s="99">
        <f>IF(AND(SamplingData[[#This Row],[Total]]&lt;&gt; 0, NOT(ISBLANK(SamplingData[[#This Row],[Candidate 3]]))),(SamplingData[[#This Row],[Total]]+SamplingData[[#This Row],[Winning Candidate]]-SamplingData[[#This Row],[Candidate 3]])/(SamplingData[[#Totals],[Winning Candidate]]-SamplingData[[#Totals],[Candidate 3]]), 0)</f>
        <v>0</v>
      </c>
      <c r="S333" s="99">
        <f>IF(AND(SamplingData[[#This Row],[Total]]&lt;&gt; 0, NOT(ISBLANK(SamplingData[[#This Row],[Candidate 4]]))),(SamplingData[[#This Row],[Total]]+SamplingData[[#This Row],[Winning Candidate]]-SamplingData[[#This Row],[Candidate 4]])/(SamplingData[[#Totals],[Winning Candidate]]-SamplingData[[#Totals],[Candidate 4]]), 0)</f>
        <v>0</v>
      </c>
      <c r="T333" s="99">
        <f>IF(AND(SamplingData[[#This Row],[Total]]&lt;&gt; 0, NOT(ISBLANK(SamplingData[[#This Row],[Candidate 5]]))),(SamplingData[[#This Row],[Total]]+SamplingData[[#This Row],[Winning Candidate]]-SamplingData[[#This Row],[Candidate 5]])/(SamplingData[[#Totals],[Winning Candidate]]-SamplingData[[#Totals],[Candidate 5]]), 0)</f>
        <v>0</v>
      </c>
      <c r="U333" s="99">
        <f>IF(AND(SamplingData[[#This Row],[Total]]&lt;&gt; 0, NOT(ISBLANK(SamplingData[[#This Row],[Candidate 6]]))),(SamplingData[[#This Row],[Total]]+SamplingData[[#This Row],[Losing Candidate]]-SamplingData[[#This Row],[Candidate 6]])/(SamplingData[[#Totals],[Winning Candidate]]-SamplingData[[#Totals],[Candidate 6]]), 0)</f>
        <v>0</v>
      </c>
      <c r="V333" s="99">
        <f>IF(AND(SamplingData[[#This Row],[Total]]&lt;&gt; 0, NOT(ISBLANK(SamplingData[[#This Row],[Candidate 7]]))),(SamplingData[[#This Row],[Total]]+SamplingData[[#This Row],[Winning Candidate]]-SamplingData[[#This Row],[Candidate 7]])/(SamplingData[[#Totals],[Winning Candidate]]-SamplingData[[#Totals],[Candidate 7]]), 0)</f>
        <v>0</v>
      </c>
      <c r="W333" s="99">
        <f>IF(AND(SamplingData[[#This Row],[Total]]&lt;&gt; 0, NOT(ISBLANK(SamplingData[[#This Row],[Candidate 8]]))),(SamplingData[[#This Row],[Total]]+SamplingData[[#This Row],[Winning Candidate]]-SamplingData[[#This Row],[Candidate 8]])/(SamplingData[[#Totals],[Winning Candidate]]-SamplingData[[#Totals],[Candidate 8]]), 0)</f>
        <v>0</v>
      </c>
      <c r="X3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3" s="99">
        <f>MAX(SamplingData[[#This Row],[Error Bound (up) - Max. possible relative overstatement - Losing Candidate]:[Error Bound (up) - Max. possible relative overstatement - Candidate 12]])</f>
        <v>1.5914106263792225E-2</v>
      </c>
      <c r="AC333" s="99">
        <f>IF(SamplingData[[#This Row],[Max Error Bound (up)]] = 0,0,SamplingData[[#This Row],[Max Error Bound (up)]]/SamplingData[[#Totals],[Max Error Bound (up)]])</f>
        <v>8.5205584033155304E-4</v>
      </c>
      <c r="AD333" s="103">
        <f>SUM($AC$5:AC333)</f>
        <v>0.31270222125277247</v>
      </c>
      <c r="AE333" s="99" t="str" cm="1">
        <f t="array" ref="AE333">IF(SamplingData[[#This Row],[up/U Selection Probability]] = 0, "Zero", TEXT(SamplingData[[#This Row],[Lower Range]], REPT("0",LEN('General Info'!$B$42))) &amp; " - " &amp; TEXT(SamplingData[[#This Row],[Upper Range]], REPT("0",LEN('General Info'!$B$42))))</f>
        <v>311850 - 312701</v>
      </c>
      <c r="AF333" s="99">
        <f>SamplingData[[#This Row],[Upper Range]]-SamplingData[[#This Row],[Span]]</f>
        <v>311850.16541244095</v>
      </c>
      <c r="AG333" s="99">
        <f>IF(ISNUMBER('General Info'!$B$42), ((SamplingData[[#This Row],[up/U Selection Probability]]) * 'General Info'!$B$44) - 1, 0)</f>
        <v>851.05584033155299</v>
      </c>
      <c r="AH333" s="99">
        <f>IF(ISNUMBER('General Info'!$B$42), (SamplingData[[#This Row],[Running (cumulative) sum]] * ('General Info'!$B$42 -'General Info'!$B$43 + 1)) + 'General Info'!$B$43 - 1, 0)</f>
        <v>312701.22125277249</v>
      </c>
      <c r="AI333" s="99" t="str">
        <f>IF(ISERROR(MATCH(SamplingData[[#This Row],[Batch by Type (p)]],SelectedPrecincts[Batch Name], 0)), "", INDEX(SelectedPrecincts[Draw], MATCH(SamplingData[[#This Row],[Batch by Type (p)]],SelectedPrecincts[Batch Name], 0)))</f>
        <v/>
      </c>
      <c r="AJ333" s="100">
        <f>IF(COUNTIF(SelectedPrecincts[Batch Name],SamplingData[[#This Row],[Batch by Type (p)]]) &lt;&gt; 0, COUNTIF(SelectedPrecincts[Batch Name],SamplingData[[#This Row],[Batch by Type (p)]]), 0)</f>
        <v>0</v>
      </c>
    </row>
    <row r="334" spans="1:36" ht="15" customHeight="1" x14ac:dyDescent="0.35">
      <c r="A334" s="97" t="s">
        <v>547</v>
      </c>
      <c r="B334" s="97">
        <v>154</v>
      </c>
      <c r="C334" s="97">
        <v>166</v>
      </c>
      <c r="D334" s="92"/>
      <c r="E334" s="92"/>
      <c r="F334" s="92"/>
      <c r="G334" s="96"/>
      <c r="H334" s="96"/>
      <c r="I334" s="92"/>
      <c r="J334" s="92"/>
      <c r="K334" s="92"/>
      <c r="L334" s="92"/>
      <c r="M334" s="92"/>
      <c r="N334" s="97">
        <v>1</v>
      </c>
      <c r="O334" s="97">
        <v>23</v>
      </c>
      <c r="P334" s="98">
        <f>SUM(SamplingData[[#This Row],[Winning Candidate]:[Under Votes]])</f>
        <v>344</v>
      </c>
      <c r="Q334" s="99">
        <f>IF(AND(SamplingData[[#This Row],[Total]]&lt;&gt; 0, NOT(ISBLANK(SamplingData[[#This Row],[Losing Candidate]]))),(SamplingData[[#This Row],[Total]]+SamplingData[[#This Row],[Winning Candidate]]-SamplingData[[#This Row],[Losing Candidate]])/(SamplingData[[#Totals],[Winning Candidate]]-SamplingData[[#Totals],[Losing Candidate]]), 0)</f>
        <v>1.408928874554405E-2</v>
      </c>
      <c r="R334" s="99">
        <f>IF(AND(SamplingData[[#This Row],[Total]]&lt;&gt; 0, NOT(ISBLANK(SamplingData[[#This Row],[Candidate 3]]))),(SamplingData[[#This Row],[Total]]+SamplingData[[#This Row],[Winning Candidate]]-SamplingData[[#This Row],[Candidate 3]])/(SamplingData[[#Totals],[Winning Candidate]]-SamplingData[[#Totals],[Candidate 3]]), 0)</f>
        <v>0</v>
      </c>
      <c r="S334" s="99">
        <f>IF(AND(SamplingData[[#This Row],[Total]]&lt;&gt; 0, NOT(ISBLANK(SamplingData[[#This Row],[Candidate 4]]))),(SamplingData[[#This Row],[Total]]+SamplingData[[#This Row],[Winning Candidate]]-SamplingData[[#This Row],[Candidate 4]])/(SamplingData[[#Totals],[Winning Candidate]]-SamplingData[[#Totals],[Candidate 4]]), 0)</f>
        <v>0</v>
      </c>
      <c r="T334" s="99">
        <f>IF(AND(SamplingData[[#This Row],[Total]]&lt;&gt; 0, NOT(ISBLANK(SamplingData[[#This Row],[Candidate 5]]))),(SamplingData[[#This Row],[Total]]+SamplingData[[#This Row],[Winning Candidate]]-SamplingData[[#This Row],[Candidate 5]])/(SamplingData[[#Totals],[Winning Candidate]]-SamplingData[[#Totals],[Candidate 5]]), 0)</f>
        <v>0</v>
      </c>
      <c r="U334" s="99">
        <f>IF(AND(SamplingData[[#This Row],[Total]]&lt;&gt; 0, NOT(ISBLANK(SamplingData[[#This Row],[Candidate 6]]))),(SamplingData[[#This Row],[Total]]+SamplingData[[#This Row],[Losing Candidate]]-SamplingData[[#This Row],[Candidate 6]])/(SamplingData[[#Totals],[Winning Candidate]]-SamplingData[[#Totals],[Candidate 6]]), 0)</f>
        <v>0</v>
      </c>
      <c r="V334" s="99">
        <f>IF(AND(SamplingData[[#This Row],[Total]]&lt;&gt; 0, NOT(ISBLANK(SamplingData[[#This Row],[Candidate 7]]))),(SamplingData[[#This Row],[Total]]+SamplingData[[#This Row],[Winning Candidate]]-SamplingData[[#This Row],[Candidate 7]])/(SamplingData[[#Totals],[Winning Candidate]]-SamplingData[[#Totals],[Candidate 7]]), 0)</f>
        <v>0</v>
      </c>
      <c r="W334" s="99">
        <f>IF(AND(SamplingData[[#This Row],[Total]]&lt;&gt; 0, NOT(ISBLANK(SamplingData[[#This Row],[Candidate 8]]))),(SamplingData[[#This Row],[Total]]+SamplingData[[#This Row],[Winning Candidate]]-SamplingData[[#This Row],[Candidate 8]])/(SamplingData[[#Totals],[Winning Candidate]]-SamplingData[[#Totals],[Candidate 8]]), 0)</f>
        <v>0</v>
      </c>
      <c r="X3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4" s="99">
        <f>MAX(SamplingData[[#This Row],[Error Bound (up) - Max. possible relative overstatement - Losing Candidate]:[Error Bound (up) - Max. possible relative overstatement - Candidate 12]])</f>
        <v>1.408928874554405E-2</v>
      </c>
      <c r="AC334" s="99">
        <f>IF(SamplingData[[#This Row],[Max Error Bound (up)]] = 0,0,SamplingData[[#This Row],[Max Error Bound (up)]]/SamplingData[[#Totals],[Max Error Bound (up)]])</f>
        <v>7.5435343730686827E-4</v>
      </c>
      <c r="AD334" s="103">
        <f>SUM($AC$5:AC334)</f>
        <v>0.31345657469007931</v>
      </c>
      <c r="AE334" s="99" t="str" cm="1">
        <f t="array" ref="AE334">IF(SamplingData[[#This Row],[up/U Selection Probability]] = 0, "Zero", TEXT(SamplingData[[#This Row],[Lower Range]], REPT("0",LEN('General Info'!$B$42))) &amp; " - " &amp; TEXT(SamplingData[[#This Row],[Upper Range]], REPT("0",LEN('General Info'!$B$42))))</f>
        <v>312702 - 313456</v>
      </c>
      <c r="AF334" s="99">
        <f>SamplingData[[#This Row],[Upper Range]]-SamplingData[[#This Row],[Span]]</f>
        <v>312702.22125277243</v>
      </c>
      <c r="AG334" s="99">
        <f>IF(ISNUMBER('General Info'!$B$42), ((SamplingData[[#This Row],[up/U Selection Probability]]) * 'General Info'!$B$44) - 1, 0)</f>
        <v>753.35343730686827</v>
      </c>
      <c r="AH334" s="99">
        <f>IF(ISNUMBER('General Info'!$B$42), (SamplingData[[#This Row],[Running (cumulative) sum]] * ('General Info'!$B$42 -'General Info'!$B$43 + 1)) + 'General Info'!$B$43 - 1, 0)</f>
        <v>313455.57469007932</v>
      </c>
      <c r="AI334" s="99" t="str">
        <f>IF(ISERROR(MATCH(SamplingData[[#This Row],[Batch by Type (p)]],SelectedPrecincts[Batch Name], 0)), "", INDEX(SelectedPrecincts[Draw], MATCH(SamplingData[[#This Row],[Batch by Type (p)]],SelectedPrecincts[Batch Name], 0)))</f>
        <v/>
      </c>
      <c r="AJ334" s="100">
        <f>IF(COUNTIF(SelectedPrecincts[Batch Name],SamplingData[[#This Row],[Batch by Type (p)]]) &lt;&gt; 0, COUNTIF(SelectedPrecincts[Batch Name],SamplingData[[#This Row],[Batch by Type (p)]]), 0)</f>
        <v>0</v>
      </c>
    </row>
    <row r="335" spans="1:36" ht="15" customHeight="1" x14ac:dyDescent="0.35">
      <c r="A335" s="97" t="s">
        <v>548</v>
      </c>
      <c r="B335" s="97">
        <v>73</v>
      </c>
      <c r="C335" s="97">
        <v>103</v>
      </c>
      <c r="D335" s="92"/>
      <c r="E335" s="92"/>
      <c r="F335" s="92"/>
      <c r="G335" s="96"/>
      <c r="H335" s="96"/>
      <c r="I335" s="92"/>
      <c r="J335" s="92"/>
      <c r="K335" s="92"/>
      <c r="L335" s="92"/>
      <c r="M335" s="92"/>
      <c r="N335" s="97">
        <v>0</v>
      </c>
      <c r="O335" s="97">
        <v>10</v>
      </c>
      <c r="P335" s="98">
        <f>SUM(SamplingData[[#This Row],[Winning Candidate]:[Under Votes]])</f>
        <v>186</v>
      </c>
      <c r="Q335" s="99">
        <f>IF(AND(SamplingData[[#This Row],[Total]]&lt;&gt; 0, NOT(ISBLANK(SamplingData[[#This Row],[Losing Candidate]]))),(SamplingData[[#This Row],[Total]]+SamplingData[[#This Row],[Winning Candidate]]-SamplingData[[#This Row],[Losing Candidate]])/(SamplingData[[#Totals],[Winning Candidate]]-SamplingData[[#Totals],[Losing Candidate]]), 0)</f>
        <v>6.6202682057375662E-3</v>
      </c>
      <c r="R335" s="99">
        <f>IF(AND(SamplingData[[#This Row],[Total]]&lt;&gt; 0, NOT(ISBLANK(SamplingData[[#This Row],[Candidate 3]]))),(SamplingData[[#This Row],[Total]]+SamplingData[[#This Row],[Winning Candidate]]-SamplingData[[#This Row],[Candidate 3]])/(SamplingData[[#Totals],[Winning Candidate]]-SamplingData[[#Totals],[Candidate 3]]), 0)</f>
        <v>0</v>
      </c>
      <c r="S335" s="99">
        <f>IF(AND(SamplingData[[#This Row],[Total]]&lt;&gt; 0, NOT(ISBLANK(SamplingData[[#This Row],[Candidate 4]]))),(SamplingData[[#This Row],[Total]]+SamplingData[[#This Row],[Winning Candidate]]-SamplingData[[#This Row],[Candidate 4]])/(SamplingData[[#Totals],[Winning Candidate]]-SamplingData[[#Totals],[Candidate 4]]), 0)</f>
        <v>0</v>
      </c>
      <c r="T335" s="99">
        <f>IF(AND(SamplingData[[#This Row],[Total]]&lt;&gt; 0, NOT(ISBLANK(SamplingData[[#This Row],[Candidate 5]]))),(SamplingData[[#This Row],[Total]]+SamplingData[[#This Row],[Winning Candidate]]-SamplingData[[#This Row],[Candidate 5]])/(SamplingData[[#Totals],[Winning Candidate]]-SamplingData[[#Totals],[Candidate 5]]), 0)</f>
        <v>0</v>
      </c>
      <c r="U335" s="99">
        <f>IF(AND(SamplingData[[#This Row],[Total]]&lt;&gt; 0, NOT(ISBLANK(SamplingData[[#This Row],[Candidate 6]]))),(SamplingData[[#This Row],[Total]]+SamplingData[[#This Row],[Losing Candidate]]-SamplingData[[#This Row],[Candidate 6]])/(SamplingData[[#Totals],[Winning Candidate]]-SamplingData[[#Totals],[Candidate 6]]), 0)</f>
        <v>0</v>
      </c>
      <c r="V335" s="99">
        <f>IF(AND(SamplingData[[#This Row],[Total]]&lt;&gt; 0, NOT(ISBLANK(SamplingData[[#This Row],[Candidate 7]]))),(SamplingData[[#This Row],[Total]]+SamplingData[[#This Row],[Winning Candidate]]-SamplingData[[#This Row],[Candidate 7]])/(SamplingData[[#Totals],[Winning Candidate]]-SamplingData[[#Totals],[Candidate 7]]), 0)</f>
        <v>0</v>
      </c>
      <c r="W335" s="99">
        <f>IF(AND(SamplingData[[#This Row],[Total]]&lt;&gt; 0, NOT(ISBLANK(SamplingData[[#This Row],[Candidate 8]]))),(SamplingData[[#This Row],[Total]]+SamplingData[[#This Row],[Winning Candidate]]-SamplingData[[#This Row],[Candidate 8]])/(SamplingData[[#Totals],[Winning Candidate]]-SamplingData[[#Totals],[Candidate 8]]), 0)</f>
        <v>0</v>
      </c>
      <c r="X3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5" s="99">
        <f>MAX(SamplingData[[#This Row],[Error Bound (up) - Max. possible relative overstatement - Losing Candidate]:[Error Bound (up) - Max. possible relative overstatement - Candidate 12]])</f>
        <v>6.6202682057375662E-3</v>
      </c>
      <c r="AC335" s="99">
        <f>IF(SamplingData[[#This Row],[Max Error Bound (up)]] = 0,0,SamplingData[[#This Row],[Max Error Bound (up)]]/SamplingData[[#Totals],[Max Error Bound (up)]])</f>
        <v>3.5445522957792611E-4</v>
      </c>
      <c r="AD335" s="103">
        <f>SUM($AC$5:AC335)</f>
        <v>0.31381102991965726</v>
      </c>
      <c r="AE335" s="99" t="str" cm="1">
        <f t="array" ref="AE335">IF(SamplingData[[#This Row],[up/U Selection Probability]] = 0, "Zero", TEXT(SamplingData[[#This Row],[Lower Range]], REPT("0",LEN('General Info'!$B$42))) &amp; " - " &amp; TEXT(SamplingData[[#This Row],[Upper Range]], REPT("0",LEN('General Info'!$B$42))))</f>
        <v>313457 - 313810</v>
      </c>
      <c r="AF335" s="99">
        <f>SamplingData[[#This Row],[Upper Range]]-SamplingData[[#This Row],[Span]]</f>
        <v>313456.57469007937</v>
      </c>
      <c r="AG335" s="99">
        <f>IF(ISNUMBER('General Info'!$B$42), ((SamplingData[[#This Row],[up/U Selection Probability]]) * 'General Info'!$B$44) - 1, 0)</f>
        <v>353.4552295779261</v>
      </c>
      <c r="AH335" s="99">
        <f>IF(ISNUMBER('General Info'!$B$42), (SamplingData[[#This Row],[Running (cumulative) sum]] * ('General Info'!$B$42 -'General Info'!$B$43 + 1)) + 'General Info'!$B$43 - 1, 0)</f>
        <v>313810.02991965727</v>
      </c>
      <c r="AI335" s="99" t="str">
        <f>IF(ISERROR(MATCH(SamplingData[[#This Row],[Batch by Type (p)]],SelectedPrecincts[Batch Name], 0)), "", INDEX(SelectedPrecincts[Draw], MATCH(SamplingData[[#This Row],[Batch by Type (p)]],SelectedPrecincts[Batch Name], 0)))</f>
        <v/>
      </c>
      <c r="AJ335" s="100">
        <f>IF(COUNTIF(SelectedPrecincts[Batch Name],SamplingData[[#This Row],[Batch by Type (p)]]) &lt;&gt; 0, COUNTIF(SelectedPrecincts[Batch Name],SamplingData[[#This Row],[Batch by Type (p)]]), 0)</f>
        <v>0</v>
      </c>
    </row>
    <row r="336" spans="1:36" ht="15" customHeight="1" x14ac:dyDescent="0.35">
      <c r="A336" s="97" t="s">
        <v>549</v>
      </c>
      <c r="B336" s="97">
        <v>190</v>
      </c>
      <c r="C336" s="97">
        <v>190</v>
      </c>
      <c r="D336" s="92"/>
      <c r="E336" s="92"/>
      <c r="F336" s="92"/>
      <c r="G336" s="96"/>
      <c r="H336" s="96"/>
      <c r="I336" s="92"/>
      <c r="J336" s="92"/>
      <c r="K336" s="92"/>
      <c r="L336" s="92"/>
      <c r="M336" s="92"/>
      <c r="N336" s="97">
        <v>0</v>
      </c>
      <c r="O336" s="97">
        <v>23</v>
      </c>
      <c r="P336" s="98">
        <f>SUM(SamplingData[[#This Row],[Winning Candidate]:[Under Votes]])</f>
        <v>403</v>
      </c>
      <c r="Q336" s="99">
        <f>IF(AND(SamplingData[[#This Row],[Total]]&lt;&gt; 0, NOT(ISBLANK(SamplingData[[#This Row],[Losing Candidate]]))),(SamplingData[[#This Row],[Total]]+SamplingData[[#This Row],[Winning Candidate]]-SamplingData[[#This Row],[Losing Candidate]])/(SamplingData[[#Totals],[Winning Candidate]]-SamplingData[[#Totals],[Losing Candidate]]), 0)</f>
        <v>1.7102359531488712E-2</v>
      </c>
      <c r="R336" s="99">
        <f>IF(AND(SamplingData[[#This Row],[Total]]&lt;&gt; 0, NOT(ISBLANK(SamplingData[[#This Row],[Candidate 3]]))),(SamplingData[[#This Row],[Total]]+SamplingData[[#This Row],[Winning Candidate]]-SamplingData[[#This Row],[Candidate 3]])/(SamplingData[[#Totals],[Winning Candidate]]-SamplingData[[#Totals],[Candidate 3]]), 0)</f>
        <v>0</v>
      </c>
      <c r="S336" s="99">
        <f>IF(AND(SamplingData[[#This Row],[Total]]&lt;&gt; 0, NOT(ISBLANK(SamplingData[[#This Row],[Candidate 4]]))),(SamplingData[[#This Row],[Total]]+SamplingData[[#This Row],[Winning Candidate]]-SamplingData[[#This Row],[Candidate 4]])/(SamplingData[[#Totals],[Winning Candidate]]-SamplingData[[#Totals],[Candidate 4]]), 0)</f>
        <v>0</v>
      </c>
      <c r="T336" s="99">
        <f>IF(AND(SamplingData[[#This Row],[Total]]&lt;&gt; 0, NOT(ISBLANK(SamplingData[[#This Row],[Candidate 5]]))),(SamplingData[[#This Row],[Total]]+SamplingData[[#This Row],[Winning Candidate]]-SamplingData[[#This Row],[Candidate 5]])/(SamplingData[[#Totals],[Winning Candidate]]-SamplingData[[#Totals],[Candidate 5]]), 0)</f>
        <v>0</v>
      </c>
      <c r="U336" s="99">
        <f>IF(AND(SamplingData[[#This Row],[Total]]&lt;&gt; 0, NOT(ISBLANK(SamplingData[[#This Row],[Candidate 6]]))),(SamplingData[[#This Row],[Total]]+SamplingData[[#This Row],[Losing Candidate]]-SamplingData[[#This Row],[Candidate 6]])/(SamplingData[[#Totals],[Winning Candidate]]-SamplingData[[#Totals],[Candidate 6]]), 0)</f>
        <v>0</v>
      </c>
      <c r="V336" s="99">
        <f>IF(AND(SamplingData[[#This Row],[Total]]&lt;&gt; 0, NOT(ISBLANK(SamplingData[[#This Row],[Candidate 7]]))),(SamplingData[[#This Row],[Total]]+SamplingData[[#This Row],[Winning Candidate]]-SamplingData[[#This Row],[Candidate 7]])/(SamplingData[[#Totals],[Winning Candidate]]-SamplingData[[#Totals],[Candidate 7]]), 0)</f>
        <v>0</v>
      </c>
      <c r="W336" s="99">
        <f>IF(AND(SamplingData[[#This Row],[Total]]&lt;&gt; 0, NOT(ISBLANK(SamplingData[[#This Row],[Candidate 8]]))),(SamplingData[[#This Row],[Total]]+SamplingData[[#This Row],[Winning Candidate]]-SamplingData[[#This Row],[Candidate 8]])/(SamplingData[[#Totals],[Winning Candidate]]-SamplingData[[#Totals],[Candidate 8]]), 0)</f>
        <v>0</v>
      </c>
      <c r="X3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6" s="99">
        <f>MAX(SamplingData[[#This Row],[Error Bound (up) - Max. possible relative overstatement - Losing Candidate]:[Error Bound (up) - Max. possible relative overstatement - Candidate 12]])</f>
        <v>1.7102359531488712E-2</v>
      </c>
      <c r="AC336" s="99">
        <f>IF(SamplingData[[#This Row],[Max Error Bound (up)]] = 0,0,SamplingData[[#This Row],[Max Error Bound (up)]]/SamplingData[[#Totals],[Max Error Bound (up)]])</f>
        <v>9.1567600974297567E-4</v>
      </c>
      <c r="AD336" s="103">
        <f>SUM($AC$5:AC336)</f>
        <v>0.31472670592940022</v>
      </c>
      <c r="AE336" s="99" t="str" cm="1">
        <f t="array" ref="AE336">IF(SamplingData[[#This Row],[up/U Selection Probability]] = 0, "Zero", TEXT(SamplingData[[#This Row],[Lower Range]], REPT("0",LEN('General Info'!$B$42))) &amp; " - " &amp; TEXT(SamplingData[[#This Row],[Upper Range]], REPT("0",LEN('General Info'!$B$42))))</f>
        <v>313811 - 314726</v>
      </c>
      <c r="AF336" s="99">
        <f>SamplingData[[#This Row],[Upper Range]]-SamplingData[[#This Row],[Span]]</f>
        <v>313811.02991965727</v>
      </c>
      <c r="AG336" s="99">
        <f>IF(ISNUMBER('General Info'!$B$42), ((SamplingData[[#This Row],[up/U Selection Probability]]) * 'General Info'!$B$44) - 1, 0)</f>
        <v>914.67600974297568</v>
      </c>
      <c r="AH336" s="99">
        <f>IF(ISNUMBER('General Info'!$B$42), (SamplingData[[#This Row],[Running (cumulative) sum]] * ('General Info'!$B$42 -'General Info'!$B$43 + 1)) + 'General Info'!$B$43 - 1, 0)</f>
        <v>314725.70592940022</v>
      </c>
      <c r="AI336" s="99" t="str">
        <f>IF(ISERROR(MATCH(SamplingData[[#This Row],[Batch by Type (p)]],SelectedPrecincts[Batch Name], 0)), "", INDEX(SelectedPrecincts[Draw], MATCH(SamplingData[[#This Row],[Batch by Type (p)]],SelectedPrecincts[Batch Name], 0)))</f>
        <v/>
      </c>
      <c r="AJ336" s="100">
        <f>IF(COUNTIF(SelectedPrecincts[Batch Name],SamplingData[[#This Row],[Batch by Type (p)]]) &lt;&gt; 0, COUNTIF(SelectedPrecincts[Batch Name],SamplingData[[#This Row],[Batch by Type (p)]]), 0)</f>
        <v>0</v>
      </c>
    </row>
    <row r="337" spans="1:36" ht="15" customHeight="1" x14ac:dyDescent="0.35">
      <c r="A337" s="97" t="s">
        <v>550</v>
      </c>
      <c r="B337" s="97">
        <v>186</v>
      </c>
      <c r="C337" s="97">
        <v>204</v>
      </c>
      <c r="D337" s="92"/>
      <c r="E337" s="92"/>
      <c r="F337" s="92"/>
      <c r="G337" s="96"/>
      <c r="H337" s="96"/>
      <c r="I337" s="92"/>
      <c r="J337" s="92"/>
      <c r="K337" s="92"/>
      <c r="L337" s="92"/>
      <c r="M337" s="92"/>
      <c r="N337" s="97">
        <v>0</v>
      </c>
      <c r="O337" s="97">
        <v>31</v>
      </c>
      <c r="P337" s="98">
        <f>SUM(SamplingData[[#This Row],[Winning Candidate]:[Under Votes]])</f>
        <v>421</v>
      </c>
      <c r="Q337" s="99">
        <f>IF(AND(SamplingData[[#This Row],[Total]]&lt;&gt; 0, NOT(ISBLANK(SamplingData[[#This Row],[Losing Candidate]]))),(SamplingData[[#This Row],[Total]]+SamplingData[[#This Row],[Winning Candidate]]-SamplingData[[#This Row],[Losing Candidate]])/(SamplingData[[#Totals],[Winning Candidate]]-SamplingData[[#Totals],[Losing Candidate]]), 0)</f>
        <v>1.7102359531488712E-2</v>
      </c>
      <c r="R337" s="99">
        <f>IF(AND(SamplingData[[#This Row],[Total]]&lt;&gt; 0, NOT(ISBLANK(SamplingData[[#This Row],[Candidate 3]]))),(SamplingData[[#This Row],[Total]]+SamplingData[[#This Row],[Winning Candidate]]-SamplingData[[#This Row],[Candidate 3]])/(SamplingData[[#Totals],[Winning Candidate]]-SamplingData[[#Totals],[Candidate 3]]), 0)</f>
        <v>0</v>
      </c>
      <c r="S337" s="99">
        <f>IF(AND(SamplingData[[#This Row],[Total]]&lt;&gt; 0, NOT(ISBLANK(SamplingData[[#This Row],[Candidate 4]]))),(SamplingData[[#This Row],[Total]]+SamplingData[[#This Row],[Winning Candidate]]-SamplingData[[#This Row],[Candidate 4]])/(SamplingData[[#Totals],[Winning Candidate]]-SamplingData[[#Totals],[Candidate 4]]), 0)</f>
        <v>0</v>
      </c>
      <c r="T337" s="99">
        <f>IF(AND(SamplingData[[#This Row],[Total]]&lt;&gt; 0, NOT(ISBLANK(SamplingData[[#This Row],[Candidate 5]]))),(SamplingData[[#This Row],[Total]]+SamplingData[[#This Row],[Winning Candidate]]-SamplingData[[#This Row],[Candidate 5]])/(SamplingData[[#Totals],[Winning Candidate]]-SamplingData[[#Totals],[Candidate 5]]), 0)</f>
        <v>0</v>
      </c>
      <c r="U337" s="99">
        <f>IF(AND(SamplingData[[#This Row],[Total]]&lt;&gt; 0, NOT(ISBLANK(SamplingData[[#This Row],[Candidate 6]]))),(SamplingData[[#This Row],[Total]]+SamplingData[[#This Row],[Losing Candidate]]-SamplingData[[#This Row],[Candidate 6]])/(SamplingData[[#Totals],[Winning Candidate]]-SamplingData[[#Totals],[Candidate 6]]), 0)</f>
        <v>0</v>
      </c>
      <c r="V337" s="99">
        <f>IF(AND(SamplingData[[#This Row],[Total]]&lt;&gt; 0, NOT(ISBLANK(SamplingData[[#This Row],[Candidate 7]]))),(SamplingData[[#This Row],[Total]]+SamplingData[[#This Row],[Winning Candidate]]-SamplingData[[#This Row],[Candidate 7]])/(SamplingData[[#Totals],[Winning Candidate]]-SamplingData[[#Totals],[Candidate 7]]), 0)</f>
        <v>0</v>
      </c>
      <c r="W337" s="99">
        <f>IF(AND(SamplingData[[#This Row],[Total]]&lt;&gt; 0, NOT(ISBLANK(SamplingData[[#This Row],[Candidate 8]]))),(SamplingData[[#This Row],[Total]]+SamplingData[[#This Row],[Winning Candidate]]-SamplingData[[#This Row],[Candidate 8]])/(SamplingData[[#Totals],[Winning Candidate]]-SamplingData[[#Totals],[Candidate 8]]), 0)</f>
        <v>0</v>
      </c>
      <c r="X3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7" s="99">
        <f>MAX(SamplingData[[#This Row],[Error Bound (up) - Max. possible relative overstatement - Losing Candidate]:[Error Bound (up) - Max. possible relative overstatement - Candidate 12]])</f>
        <v>1.7102359531488712E-2</v>
      </c>
      <c r="AC337" s="99">
        <f>IF(SamplingData[[#This Row],[Max Error Bound (up)]] = 0,0,SamplingData[[#This Row],[Max Error Bound (up)]]/SamplingData[[#Totals],[Max Error Bound (up)]])</f>
        <v>9.1567600974297567E-4</v>
      </c>
      <c r="AD337" s="103">
        <f>SUM($AC$5:AC337)</f>
        <v>0.31564238193914318</v>
      </c>
      <c r="AE337" s="99" t="str" cm="1">
        <f t="array" ref="AE337">IF(SamplingData[[#This Row],[up/U Selection Probability]] = 0, "Zero", TEXT(SamplingData[[#This Row],[Lower Range]], REPT("0",LEN('General Info'!$B$42))) &amp; " - " &amp; TEXT(SamplingData[[#This Row],[Upper Range]], REPT("0",LEN('General Info'!$B$42))))</f>
        <v>314727 - 315641</v>
      </c>
      <c r="AF337" s="99">
        <f>SamplingData[[#This Row],[Upper Range]]-SamplingData[[#This Row],[Span]]</f>
        <v>314726.70592940022</v>
      </c>
      <c r="AG337" s="99">
        <f>IF(ISNUMBER('General Info'!$B$42), ((SamplingData[[#This Row],[up/U Selection Probability]]) * 'General Info'!$B$44) - 1, 0)</f>
        <v>914.67600974297568</v>
      </c>
      <c r="AH337" s="99">
        <f>IF(ISNUMBER('General Info'!$B$42), (SamplingData[[#This Row],[Running (cumulative) sum]] * ('General Info'!$B$42 -'General Info'!$B$43 + 1)) + 'General Info'!$B$43 - 1, 0)</f>
        <v>315641.38193914318</v>
      </c>
      <c r="AI337" s="99" t="str">
        <f>IF(ISERROR(MATCH(SamplingData[[#This Row],[Batch by Type (p)]],SelectedPrecincts[Batch Name], 0)), "", INDEX(SelectedPrecincts[Draw], MATCH(SamplingData[[#This Row],[Batch by Type (p)]],SelectedPrecincts[Batch Name], 0)))</f>
        <v/>
      </c>
      <c r="AJ337" s="100">
        <f>IF(COUNTIF(SelectedPrecincts[Batch Name],SamplingData[[#This Row],[Batch by Type (p)]]) &lt;&gt; 0, COUNTIF(SelectedPrecincts[Batch Name],SamplingData[[#This Row],[Batch by Type (p)]]), 0)</f>
        <v>0</v>
      </c>
    </row>
    <row r="338" spans="1:36" ht="15" customHeight="1" x14ac:dyDescent="0.35">
      <c r="A338" s="97" t="s">
        <v>551</v>
      </c>
      <c r="B338" s="97">
        <v>193</v>
      </c>
      <c r="C338" s="97">
        <v>185</v>
      </c>
      <c r="D338" s="92"/>
      <c r="E338" s="92"/>
      <c r="F338" s="92"/>
      <c r="G338" s="96"/>
      <c r="H338" s="96"/>
      <c r="I338" s="92"/>
      <c r="J338" s="92"/>
      <c r="K338" s="92"/>
      <c r="L338" s="92"/>
      <c r="M338" s="92"/>
      <c r="N338" s="97">
        <v>0</v>
      </c>
      <c r="O338" s="97">
        <v>20</v>
      </c>
      <c r="P338" s="98">
        <f>SUM(SamplingData[[#This Row],[Winning Candidate]:[Under Votes]])</f>
        <v>398</v>
      </c>
      <c r="Q338" s="99">
        <f>IF(AND(SamplingData[[#This Row],[Total]]&lt;&gt; 0, NOT(ISBLANK(SamplingData[[#This Row],[Losing Candidate]]))),(SamplingData[[#This Row],[Total]]+SamplingData[[#This Row],[Winning Candidate]]-SamplingData[[#This Row],[Losing Candidate]])/(SamplingData[[#Totals],[Winning Candidate]]-SamplingData[[#Totals],[Losing Candidate]]), 0)</f>
        <v>1.7229672381599049E-2</v>
      </c>
      <c r="R338" s="99">
        <f>IF(AND(SamplingData[[#This Row],[Total]]&lt;&gt; 0, NOT(ISBLANK(SamplingData[[#This Row],[Candidate 3]]))),(SamplingData[[#This Row],[Total]]+SamplingData[[#This Row],[Winning Candidate]]-SamplingData[[#This Row],[Candidate 3]])/(SamplingData[[#Totals],[Winning Candidate]]-SamplingData[[#Totals],[Candidate 3]]), 0)</f>
        <v>0</v>
      </c>
      <c r="S338" s="99">
        <f>IF(AND(SamplingData[[#This Row],[Total]]&lt;&gt; 0, NOT(ISBLANK(SamplingData[[#This Row],[Candidate 4]]))),(SamplingData[[#This Row],[Total]]+SamplingData[[#This Row],[Winning Candidate]]-SamplingData[[#This Row],[Candidate 4]])/(SamplingData[[#Totals],[Winning Candidate]]-SamplingData[[#Totals],[Candidate 4]]), 0)</f>
        <v>0</v>
      </c>
      <c r="T338" s="99">
        <f>IF(AND(SamplingData[[#This Row],[Total]]&lt;&gt; 0, NOT(ISBLANK(SamplingData[[#This Row],[Candidate 5]]))),(SamplingData[[#This Row],[Total]]+SamplingData[[#This Row],[Winning Candidate]]-SamplingData[[#This Row],[Candidate 5]])/(SamplingData[[#Totals],[Winning Candidate]]-SamplingData[[#Totals],[Candidate 5]]), 0)</f>
        <v>0</v>
      </c>
      <c r="U338" s="99">
        <f>IF(AND(SamplingData[[#This Row],[Total]]&lt;&gt; 0, NOT(ISBLANK(SamplingData[[#This Row],[Candidate 6]]))),(SamplingData[[#This Row],[Total]]+SamplingData[[#This Row],[Losing Candidate]]-SamplingData[[#This Row],[Candidate 6]])/(SamplingData[[#Totals],[Winning Candidate]]-SamplingData[[#Totals],[Candidate 6]]), 0)</f>
        <v>0</v>
      </c>
      <c r="V338" s="99">
        <f>IF(AND(SamplingData[[#This Row],[Total]]&lt;&gt; 0, NOT(ISBLANK(SamplingData[[#This Row],[Candidate 7]]))),(SamplingData[[#This Row],[Total]]+SamplingData[[#This Row],[Winning Candidate]]-SamplingData[[#This Row],[Candidate 7]])/(SamplingData[[#Totals],[Winning Candidate]]-SamplingData[[#Totals],[Candidate 7]]), 0)</f>
        <v>0</v>
      </c>
      <c r="W338" s="99">
        <f>IF(AND(SamplingData[[#This Row],[Total]]&lt;&gt; 0, NOT(ISBLANK(SamplingData[[#This Row],[Candidate 8]]))),(SamplingData[[#This Row],[Total]]+SamplingData[[#This Row],[Winning Candidate]]-SamplingData[[#This Row],[Candidate 8]])/(SamplingData[[#Totals],[Winning Candidate]]-SamplingData[[#Totals],[Candidate 8]]), 0)</f>
        <v>0</v>
      </c>
      <c r="X3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8" s="99">
        <f>MAX(SamplingData[[#This Row],[Error Bound (up) - Max. possible relative overstatement - Losing Candidate]:[Error Bound (up) - Max. possible relative overstatement - Candidate 12]])</f>
        <v>1.7229672381599049E-2</v>
      </c>
      <c r="AC338" s="99">
        <f>IF(SamplingData[[#This Row],[Max Error Bound (up)]] = 0,0,SamplingData[[#This Row],[Max Error Bound (up)]]/SamplingData[[#Totals],[Max Error Bound (up)]])</f>
        <v>9.2249245646562812E-4</v>
      </c>
      <c r="AD338" s="103">
        <f>SUM($AC$5:AC338)</f>
        <v>0.31656487439560882</v>
      </c>
      <c r="AE338" s="99" t="str" cm="1">
        <f t="array" ref="AE338">IF(SamplingData[[#This Row],[up/U Selection Probability]] = 0, "Zero", TEXT(SamplingData[[#This Row],[Lower Range]], REPT("0",LEN('General Info'!$B$42))) &amp; " - " &amp; TEXT(SamplingData[[#This Row],[Upper Range]], REPT("0",LEN('General Info'!$B$42))))</f>
        <v>315642 - 316564</v>
      </c>
      <c r="AF338" s="99">
        <f>SamplingData[[#This Row],[Upper Range]]-SamplingData[[#This Row],[Span]]</f>
        <v>315642.38193914323</v>
      </c>
      <c r="AG338" s="99">
        <f>IF(ISNUMBER('General Info'!$B$42), ((SamplingData[[#This Row],[up/U Selection Probability]]) * 'General Info'!$B$44) - 1, 0)</f>
        <v>921.49245646562815</v>
      </c>
      <c r="AH338" s="99">
        <f>IF(ISNUMBER('General Info'!$B$42), (SamplingData[[#This Row],[Running (cumulative) sum]] * ('General Info'!$B$42 -'General Info'!$B$43 + 1)) + 'General Info'!$B$43 - 1, 0)</f>
        <v>316563.87439560884</v>
      </c>
      <c r="AI338" s="99" t="str">
        <f>IF(ISERROR(MATCH(SamplingData[[#This Row],[Batch by Type (p)]],SelectedPrecincts[Batch Name], 0)), "", INDEX(SelectedPrecincts[Draw], MATCH(SamplingData[[#This Row],[Batch by Type (p)]],SelectedPrecincts[Batch Name], 0)))</f>
        <v/>
      </c>
      <c r="AJ338" s="100">
        <f>IF(COUNTIF(SelectedPrecincts[Batch Name],SamplingData[[#This Row],[Batch by Type (p)]]) &lt;&gt; 0, COUNTIF(SelectedPrecincts[Batch Name],SamplingData[[#This Row],[Batch by Type (p)]]), 0)</f>
        <v>0</v>
      </c>
    </row>
    <row r="339" spans="1:36" ht="15" customHeight="1" x14ac:dyDescent="0.35">
      <c r="A339" s="97" t="s">
        <v>552</v>
      </c>
      <c r="B339" s="97">
        <v>97</v>
      </c>
      <c r="C339" s="97">
        <v>145</v>
      </c>
      <c r="D339" s="92"/>
      <c r="E339" s="92"/>
      <c r="F339" s="92"/>
      <c r="G339" s="96"/>
      <c r="H339" s="96"/>
      <c r="I339" s="92"/>
      <c r="J339" s="92"/>
      <c r="K339" s="92"/>
      <c r="L339" s="92"/>
      <c r="M339" s="92"/>
      <c r="N339" s="97">
        <v>0</v>
      </c>
      <c r="O339" s="97">
        <v>20</v>
      </c>
      <c r="P339" s="98">
        <f>SUM(SamplingData[[#This Row],[Winning Candidate]:[Under Votes]])</f>
        <v>262</v>
      </c>
      <c r="Q339" s="99">
        <f>IF(AND(SamplingData[[#This Row],[Total]]&lt;&gt; 0, NOT(ISBLANK(SamplingData[[#This Row],[Losing Candidate]]))),(SamplingData[[#This Row],[Total]]+SamplingData[[#This Row],[Winning Candidate]]-SamplingData[[#This Row],[Losing Candidate]])/(SamplingData[[#Totals],[Winning Candidate]]-SamplingData[[#Totals],[Losing Candidate]]), 0)</f>
        <v>9.0816499745374306E-3</v>
      </c>
      <c r="R339" s="99">
        <f>IF(AND(SamplingData[[#This Row],[Total]]&lt;&gt; 0, NOT(ISBLANK(SamplingData[[#This Row],[Candidate 3]]))),(SamplingData[[#This Row],[Total]]+SamplingData[[#This Row],[Winning Candidate]]-SamplingData[[#This Row],[Candidate 3]])/(SamplingData[[#Totals],[Winning Candidate]]-SamplingData[[#Totals],[Candidate 3]]), 0)</f>
        <v>0</v>
      </c>
      <c r="S339" s="99">
        <f>IF(AND(SamplingData[[#This Row],[Total]]&lt;&gt; 0, NOT(ISBLANK(SamplingData[[#This Row],[Candidate 4]]))),(SamplingData[[#This Row],[Total]]+SamplingData[[#This Row],[Winning Candidate]]-SamplingData[[#This Row],[Candidate 4]])/(SamplingData[[#Totals],[Winning Candidate]]-SamplingData[[#Totals],[Candidate 4]]), 0)</f>
        <v>0</v>
      </c>
      <c r="T339" s="99">
        <f>IF(AND(SamplingData[[#This Row],[Total]]&lt;&gt; 0, NOT(ISBLANK(SamplingData[[#This Row],[Candidate 5]]))),(SamplingData[[#This Row],[Total]]+SamplingData[[#This Row],[Winning Candidate]]-SamplingData[[#This Row],[Candidate 5]])/(SamplingData[[#Totals],[Winning Candidate]]-SamplingData[[#Totals],[Candidate 5]]), 0)</f>
        <v>0</v>
      </c>
      <c r="U339" s="99">
        <f>IF(AND(SamplingData[[#This Row],[Total]]&lt;&gt; 0, NOT(ISBLANK(SamplingData[[#This Row],[Candidate 6]]))),(SamplingData[[#This Row],[Total]]+SamplingData[[#This Row],[Losing Candidate]]-SamplingData[[#This Row],[Candidate 6]])/(SamplingData[[#Totals],[Winning Candidate]]-SamplingData[[#Totals],[Candidate 6]]), 0)</f>
        <v>0</v>
      </c>
      <c r="V339" s="99">
        <f>IF(AND(SamplingData[[#This Row],[Total]]&lt;&gt; 0, NOT(ISBLANK(SamplingData[[#This Row],[Candidate 7]]))),(SamplingData[[#This Row],[Total]]+SamplingData[[#This Row],[Winning Candidate]]-SamplingData[[#This Row],[Candidate 7]])/(SamplingData[[#Totals],[Winning Candidate]]-SamplingData[[#Totals],[Candidate 7]]), 0)</f>
        <v>0</v>
      </c>
      <c r="W339" s="99">
        <f>IF(AND(SamplingData[[#This Row],[Total]]&lt;&gt; 0, NOT(ISBLANK(SamplingData[[#This Row],[Candidate 8]]))),(SamplingData[[#This Row],[Total]]+SamplingData[[#This Row],[Winning Candidate]]-SamplingData[[#This Row],[Candidate 8]])/(SamplingData[[#Totals],[Winning Candidate]]-SamplingData[[#Totals],[Candidate 8]]), 0)</f>
        <v>0</v>
      </c>
      <c r="X3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9" s="99">
        <f>MAX(SamplingData[[#This Row],[Error Bound (up) - Max. possible relative overstatement - Losing Candidate]:[Error Bound (up) - Max. possible relative overstatement - Candidate 12]])</f>
        <v>9.0816499745374306E-3</v>
      </c>
      <c r="AC339" s="99">
        <f>IF(SamplingData[[#This Row],[Max Error Bound (up)]] = 0,0,SamplingData[[#This Row],[Max Error Bound (up)]]/SamplingData[[#Totals],[Max Error Bound (up)]])</f>
        <v>4.8623986621587297E-4</v>
      </c>
      <c r="AD339" s="103">
        <f>SUM($AC$5:AC339)</f>
        <v>0.3170511142618247</v>
      </c>
      <c r="AE339" s="99" t="str" cm="1">
        <f t="array" ref="AE339">IF(SamplingData[[#This Row],[up/U Selection Probability]] = 0, "Zero", TEXT(SamplingData[[#This Row],[Lower Range]], REPT("0",LEN('General Info'!$B$42))) &amp; " - " &amp; TEXT(SamplingData[[#This Row],[Upper Range]], REPT("0",LEN('General Info'!$B$42))))</f>
        <v>316565 - 317050</v>
      </c>
      <c r="AF339" s="99">
        <f>SamplingData[[#This Row],[Upper Range]]-SamplingData[[#This Row],[Span]]</f>
        <v>316564.87439560884</v>
      </c>
      <c r="AG339" s="99">
        <f>IF(ISNUMBER('General Info'!$B$42), ((SamplingData[[#This Row],[up/U Selection Probability]]) * 'General Info'!$B$44) - 1, 0)</f>
        <v>485.23986621587295</v>
      </c>
      <c r="AH339" s="99">
        <f>IF(ISNUMBER('General Info'!$B$42), (SamplingData[[#This Row],[Running (cumulative) sum]] * ('General Info'!$B$42 -'General Info'!$B$43 + 1)) + 'General Info'!$B$43 - 1, 0)</f>
        <v>317050.1142618247</v>
      </c>
      <c r="AI339" s="99" t="str">
        <f>IF(ISERROR(MATCH(SamplingData[[#This Row],[Batch by Type (p)]],SelectedPrecincts[Batch Name], 0)), "", INDEX(SelectedPrecincts[Draw], MATCH(SamplingData[[#This Row],[Batch by Type (p)]],SelectedPrecincts[Batch Name], 0)))</f>
        <v/>
      </c>
      <c r="AJ339" s="100">
        <f>IF(COUNTIF(SelectedPrecincts[Batch Name],SamplingData[[#This Row],[Batch by Type (p)]]) &lt;&gt; 0, COUNTIF(SelectedPrecincts[Batch Name],SamplingData[[#This Row],[Batch by Type (p)]]), 0)</f>
        <v>0</v>
      </c>
    </row>
    <row r="340" spans="1:36" ht="15" customHeight="1" x14ac:dyDescent="0.35">
      <c r="A340" s="97" t="s">
        <v>553</v>
      </c>
      <c r="B340" s="97">
        <v>159</v>
      </c>
      <c r="C340" s="97">
        <v>171</v>
      </c>
      <c r="D340" s="92"/>
      <c r="E340" s="92"/>
      <c r="F340" s="92"/>
      <c r="G340" s="96"/>
      <c r="H340" s="96"/>
      <c r="I340" s="92"/>
      <c r="J340" s="92"/>
      <c r="K340" s="92"/>
      <c r="L340" s="92"/>
      <c r="M340" s="92"/>
      <c r="N340" s="97">
        <v>1</v>
      </c>
      <c r="O340" s="97">
        <v>24</v>
      </c>
      <c r="P340" s="98">
        <f>SUM(SamplingData[[#This Row],[Winning Candidate]:[Under Votes]])</f>
        <v>355</v>
      </c>
      <c r="Q340" s="99">
        <f>IF(AND(SamplingData[[#This Row],[Total]]&lt;&gt; 0, NOT(ISBLANK(SamplingData[[#This Row],[Losing Candidate]]))),(SamplingData[[#This Row],[Total]]+SamplingData[[#This Row],[Winning Candidate]]-SamplingData[[#This Row],[Losing Candidate]])/(SamplingData[[#Totals],[Winning Candidate]]-SamplingData[[#Totals],[Losing Candidate]]), 0)</f>
        <v>1.4556102529281956E-2</v>
      </c>
      <c r="R340" s="99">
        <f>IF(AND(SamplingData[[#This Row],[Total]]&lt;&gt; 0, NOT(ISBLANK(SamplingData[[#This Row],[Candidate 3]]))),(SamplingData[[#This Row],[Total]]+SamplingData[[#This Row],[Winning Candidate]]-SamplingData[[#This Row],[Candidate 3]])/(SamplingData[[#Totals],[Winning Candidate]]-SamplingData[[#Totals],[Candidate 3]]), 0)</f>
        <v>0</v>
      </c>
      <c r="S340" s="99">
        <f>IF(AND(SamplingData[[#This Row],[Total]]&lt;&gt; 0, NOT(ISBLANK(SamplingData[[#This Row],[Candidate 4]]))),(SamplingData[[#This Row],[Total]]+SamplingData[[#This Row],[Winning Candidate]]-SamplingData[[#This Row],[Candidate 4]])/(SamplingData[[#Totals],[Winning Candidate]]-SamplingData[[#Totals],[Candidate 4]]), 0)</f>
        <v>0</v>
      </c>
      <c r="T340" s="99">
        <f>IF(AND(SamplingData[[#This Row],[Total]]&lt;&gt; 0, NOT(ISBLANK(SamplingData[[#This Row],[Candidate 5]]))),(SamplingData[[#This Row],[Total]]+SamplingData[[#This Row],[Winning Candidate]]-SamplingData[[#This Row],[Candidate 5]])/(SamplingData[[#Totals],[Winning Candidate]]-SamplingData[[#Totals],[Candidate 5]]), 0)</f>
        <v>0</v>
      </c>
      <c r="U340" s="99">
        <f>IF(AND(SamplingData[[#This Row],[Total]]&lt;&gt; 0, NOT(ISBLANK(SamplingData[[#This Row],[Candidate 6]]))),(SamplingData[[#This Row],[Total]]+SamplingData[[#This Row],[Losing Candidate]]-SamplingData[[#This Row],[Candidate 6]])/(SamplingData[[#Totals],[Winning Candidate]]-SamplingData[[#Totals],[Candidate 6]]), 0)</f>
        <v>0</v>
      </c>
      <c r="V340" s="99">
        <f>IF(AND(SamplingData[[#This Row],[Total]]&lt;&gt; 0, NOT(ISBLANK(SamplingData[[#This Row],[Candidate 7]]))),(SamplingData[[#This Row],[Total]]+SamplingData[[#This Row],[Winning Candidate]]-SamplingData[[#This Row],[Candidate 7]])/(SamplingData[[#Totals],[Winning Candidate]]-SamplingData[[#Totals],[Candidate 7]]), 0)</f>
        <v>0</v>
      </c>
      <c r="W340" s="99">
        <f>IF(AND(SamplingData[[#This Row],[Total]]&lt;&gt; 0, NOT(ISBLANK(SamplingData[[#This Row],[Candidate 8]]))),(SamplingData[[#This Row],[Total]]+SamplingData[[#This Row],[Winning Candidate]]-SamplingData[[#This Row],[Candidate 8]])/(SamplingData[[#Totals],[Winning Candidate]]-SamplingData[[#Totals],[Candidate 8]]), 0)</f>
        <v>0</v>
      </c>
      <c r="X3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0" s="99">
        <f>MAX(SamplingData[[#This Row],[Error Bound (up) - Max. possible relative overstatement - Losing Candidate]:[Error Bound (up) - Max. possible relative overstatement - Candidate 12]])</f>
        <v>1.4556102529281956E-2</v>
      </c>
      <c r="AC340" s="99">
        <f>IF(SamplingData[[#This Row],[Max Error Bound (up)]] = 0,0,SamplingData[[#This Row],[Max Error Bound (up)]]/SamplingData[[#Totals],[Max Error Bound (up)]])</f>
        <v>7.7934707528992729E-4</v>
      </c>
      <c r="AD340" s="103">
        <f>SUM($AC$5:AC340)</f>
        <v>0.31783046133711462</v>
      </c>
      <c r="AE340" s="99" t="str" cm="1">
        <f t="array" ref="AE340">IF(SamplingData[[#This Row],[up/U Selection Probability]] = 0, "Zero", TEXT(SamplingData[[#This Row],[Lower Range]], REPT("0",LEN('General Info'!$B$42))) &amp; " - " &amp; TEXT(SamplingData[[#This Row],[Upper Range]], REPT("0",LEN('General Info'!$B$42))))</f>
        <v>317051 - 317829</v>
      </c>
      <c r="AF340" s="99">
        <f>SamplingData[[#This Row],[Upper Range]]-SamplingData[[#This Row],[Span]]</f>
        <v>317051.1142618247</v>
      </c>
      <c r="AG340" s="99">
        <f>IF(ISNUMBER('General Info'!$B$42), ((SamplingData[[#This Row],[up/U Selection Probability]]) * 'General Info'!$B$44) - 1, 0)</f>
        <v>778.34707528992726</v>
      </c>
      <c r="AH340" s="99">
        <f>IF(ISNUMBER('General Info'!$B$42), (SamplingData[[#This Row],[Running (cumulative) sum]] * ('General Info'!$B$42 -'General Info'!$B$43 + 1)) + 'General Info'!$B$43 - 1, 0)</f>
        <v>317829.46133711463</v>
      </c>
      <c r="AI340" s="99" t="str">
        <f>IF(ISERROR(MATCH(SamplingData[[#This Row],[Batch by Type (p)]],SelectedPrecincts[Batch Name], 0)), "", INDEX(SelectedPrecincts[Draw], MATCH(SamplingData[[#This Row],[Batch by Type (p)]],SelectedPrecincts[Batch Name], 0)))</f>
        <v/>
      </c>
      <c r="AJ340" s="100">
        <f>IF(COUNTIF(SelectedPrecincts[Batch Name],SamplingData[[#This Row],[Batch by Type (p)]]) &lt;&gt; 0, COUNTIF(SelectedPrecincts[Batch Name],SamplingData[[#This Row],[Batch by Type (p)]]), 0)</f>
        <v>0</v>
      </c>
    </row>
    <row r="341" spans="1:36" ht="15" customHeight="1" x14ac:dyDescent="0.35">
      <c r="A341" s="97" t="s">
        <v>554</v>
      </c>
      <c r="B341" s="97">
        <v>95</v>
      </c>
      <c r="C341" s="97">
        <v>96</v>
      </c>
      <c r="D341" s="92"/>
      <c r="E341" s="92"/>
      <c r="F341" s="92"/>
      <c r="G341" s="96"/>
      <c r="H341" s="96"/>
      <c r="I341" s="92"/>
      <c r="J341" s="92"/>
      <c r="K341" s="92"/>
      <c r="L341" s="92"/>
      <c r="M341" s="92"/>
      <c r="N341" s="97">
        <v>0</v>
      </c>
      <c r="O341" s="97">
        <v>11</v>
      </c>
      <c r="P341" s="98">
        <f>SUM(SamplingData[[#This Row],[Winning Candidate]:[Under Votes]])</f>
        <v>202</v>
      </c>
      <c r="Q341" s="99">
        <f>IF(AND(SamplingData[[#This Row],[Total]]&lt;&gt; 0, NOT(ISBLANK(SamplingData[[#This Row],[Losing Candidate]]))),(SamplingData[[#This Row],[Total]]+SamplingData[[#This Row],[Winning Candidate]]-SamplingData[[#This Row],[Losing Candidate]])/(SamplingData[[#Totals],[Winning Candidate]]-SamplingData[[#Totals],[Losing Candidate]]), 0)</f>
        <v>8.5299609573926335E-3</v>
      </c>
      <c r="R341" s="99">
        <f>IF(AND(SamplingData[[#This Row],[Total]]&lt;&gt; 0, NOT(ISBLANK(SamplingData[[#This Row],[Candidate 3]]))),(SamplingData[[#This Row],[Total]]+SamplingData[[#This Row],[Winning Candidate]]-SamplingData[[#This Row],[Candidate 3]])/(SamplingData[[#Totals],[Winning Candidate]]-SamplingData[[#Totals],[Candidate 3]]), 0)</f>
        <v>0</v>
      </c>
      <c r="S341" s="99">
        <f>IF(AND(SamplingData[[#This Row],[Total]]&lt;&gt; 0, NOT(ISBLANK(SamplingData[[#This Row],[Candidate 4]]))),(SamplingData[[#This Row],[Total]]+SamplingData[[#This Row],[Winning Candidate]]-SamplingData[[#This Row],[Candidate 4]])/(SamplingData[[#Totals],[Winning Candidate]]-SamplingData[[#Totals],[Candidate 4]]), 0)</f>
        <v>0</v>
      </c>
      <c r="T341" s="99">
        <f>IF(AND(SamplingData[[#This Row],[Total]]&lt;&gt; 0, NOT(ISBLANK(SamplingData[[#This Row],[Candidate 5]]))),(SamplingData[[#This Row],[Total]]+SamplingData[[#This Row],[Winning Candidate]]-SamplingData[[#This Row],[Candidate 5]])/(SamplingData[[#Totals],[Winning Candidate]]-SamplingData[[#Totals],[Candidate 5]]), 0)</f>
        <v>0</v>
      </c>
      <c r="U341" s="99">
        <f>IF(AND(SamplingData[[#This Row],[Total]]&lt;&gt; 0, NOT(ISBLANK(SamplingData[[#This Row],[Candidate 6]]))),(SamplingData[[#This Row],[Total]]+SamplingData[[#This Row],[Losing Candidate]]-SamplingData[[#This Row],[Candidate 6]])/(SamplingData[[#Totals],[Winning Candidate]]-SamplingData[[#Totals],[Candidate 6]]), 0)</f>
        <v>0</v>
      </c>
      <c r="V341" s="99">
        <f>IF(AND(SamplingData[[#This Row],[Total]]&lt;&gt; 0, NOT(ISBLANK(SamplingData[[#This Row],[Candidate 7]]))),(SamplingData[[#This Row],[Total]]+SamplingData[[#This Row],[Winning Candidate]]-SamplingData[[#This Row],[Candidate 7]])/(SamplingData[[#Totals],[Winning Candidate]]-SamplingData[[#Totals],[Candidate 7]]), 0)</f>
        <v>0</v>
      </c>
      <c r="W341" s="99">
        <f>IF(AND(SamplingData[[#This Row],[Total]]&lt;&gt; 0, NOT(ISBLANK(SamplingData[[#This Row],[Candidate 8]]))),(SamplingData[[#This Row],[Total]]+SamplingData[[#This Row],[Winning Candidate]]-SamplingData[[#This Row],[Candidate 8]])/(SamplingData[[#Totals],[Winning Candidate]]-SamplingData[[#Totals],[Candidate 8]]), 0)</f>
        <v>0</v>
      </c>
      <c r="X3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1" s="99">
        <f>MAX(SamplingData[[#This Row],[Error Bound (up) - Max. possible relative overstatement - Losing Candidate]:[Error Bound (up) - Max. possible relative overstatement - Candidate 12]])</f>
        <v>8.5299609573926335E-3</v>
      </c>
      <c r="AC341" s="99">
        <f>IF(SamplingData[[#This Row],[Max Error Bound (up)]] = 0,0,SamplingData[[#This Row],[Max Error Bound (up)]]/SamplingData[[#Totals],[Max Error Bound (up)]])</f>
        <v>4.567019304177125E-4</v>
      </c>
      <c r="AD341" s="103">
        <f>SUM($AC$5:AC341)</f>
        <v>0.31828716326753231</v>
      </c>
      <c r="AE341" s="99" t="str" cm="1">
        <f t="array" ref="AE341">IF(SamplingData[[#This Row],[up/U Selection Probability]] = 0, "Zero", TEXT(SamplingData[[#This Row],[Lower Range]], REPT("0",LEN('General Info'!$B$42))) &amp; " - " &amp; TEXT(SamplingData[[#This Row],[Upper Range]], REPT("0",LEN('General Info'!$B$42))))</f>
        <v>317830 - 318286</v>
      </c>
      <c r="AF341" s="99">
        <f>SamplingData[[#This Row],[Upper Range]]-SamplingData[[#This Row],[Span]]</f>
        <v>317830.46133711457</v>
      </c>
      <c r="AG341" s="99">
        <f>IF(ISNUMBER('General Info'!$B$42), ((SamplingData[[#This Row],[up/U Selection Probability]]) * 'General Info'!$B$44) - 1, 0)</f>
        <v>455.7019304177125</v>
      </c>
      <c r="AH341" s="99">
        <f>IF(ISNUMBER('General Info'!$B$42), (SamplingData[[#This Row],[Running (cumulative) sum]] * ('General Info'!$B$42 -'General Info'!$B$43 + 1)) + 'General Info'!$B$43 - 1, 0)</f>
        <v>318286.16326753231</v>
      </c>
      <c r="AI341" s="99" t="str">
        <f>IF(ISERROR(MATCH(SamplingData[[#This Row],[Batch by Type (p)]],SelectedPrecincts[Batch Name], 0)), "", INDEX(SelectedPrecincts[Draw], MATCH(SamplingData[[#This Row],[Batch by Type (p)]],SelectedPrecincts[Batch Name], 0)))</f>
        <v/>
      </c>
      <c r="AJ341" s="100">
        <f>IF(COUNTIF(SelectedPrecincts[Batch Name],SamplingData[[#This Row],[Batch by Type (p)]]) &lt;&gt; 0, COUNTIF(SelectedPrecincts[Batch Name],SamplingData[[#This Row],[Batch by Type (p)]]), 0)</f>
        <v>0</v>
      </c>
    </row>
    <row r="342" spans="1:36" ht="15" customHeight="1" x14ac:dyDescent="0.35">
      <c r="A342" s="97" t="s">
        <v>555</v>
      </c>
      <c r="B342" s="97">
        <v>195</v>
      </c>
      <c r="C342" s="97">
        <v>171</v>
      </c>
      <c r="D342" s="92"/>
      <c r="E342" s="92"/>
      <c r="F342" s="92"/>
      <c r="G342" s="96"/>
      <c r="H342" s="96"/>
      <c r="I342" s="92"/>
      <c r="J342" s="92"/>
      <c r="K342" s="92"/>
      <c r="L342" s="92"/>
      <c r="M342" s="92"/>
      <c r="N342" s="97">
        <v>0</v>
      </c>
      <c r="O342" s="97">
        <v>18</v>
      </c>
      <c r="P342" s="98">
        <f>SUM(SamplingData[[#This Row],[Winning Candidate]:[Under Votes]])</f>
        <v>384</v>
      </c>
      <c r="Q342" s="99">
        <f>IF(AND(SamplingData[[#This Row],[Total]]&lt;&gt; 0, NOT(ISBLANK(SamplingData[[#This Row],[Losing Candidate]]))),(SamplingData[[#This Row],[Total]]+SamplingData[[#This Row],[Winning Candidate]]-SamplingData[[#This Row],[Losing Candidate]])/(SamplingData[[#Totals],[Winning Candidate]]-SamplingData[[#Totals],[Losing Candidate]]), 0)</f>
        <v>1.7314547615005942E-2</v>
      </c>
      <c r="R342" s="99">
        <f>IF(AND(SamplingData[[#This Row],[Total]]&lt;&gt; 0, NOT(ISBLANK(SamplingData[[#This Row],[Candidate 3]]))),(SamplingData[[#This Row],[Total]]+SamplingData[[#This Row],[Winning Candidate]]-SamplingData[[#This Row],[Candidate 3]])/(SamplingData[[#Totals],[Winning Candidate]]-SamplingData[[#Totals],[Candidate 3]]), 0)</f>
        <v>0</v>
      </c>
      <c r="S342" s="99">
        <f>IF(AND(SamplingData[[#This Row],[Total]]&lt;&gt; 0, NOT(ISBLANK(SamplingData[[#This Row],[Candidate 4]]))),(SamplingData[[#This Row],[Total]]+SamplingData[[#This Row],[Winning Candidate]]-SamplingData[[#This Row],[Candidate 4]])/(SamplingData[[#Totals],[Winning Candidate]]-SamplingData[[#Totals],[Candidate 4]]), 0)</f>
        <v>0</v>
      </c>
      <c r="T342" s="99">
        <f>IF(AND(SamplingData[[#This Row],[Total]]&lt;&gt; 0, NOT(ISBLANK(SamplingData[[#This Row],[Candidate 5]]))),(SamplingData[[#This Row],[Total]]+SamplingData[[#This Row],[Winning Candidate]]-SamplingData[[#This Row],[Candidate 5]])/(SamplingData[[#Totals],[Winning Candidate]]-SamplingData[[#Totals],[Candidate 5]]), 0)</f>
        <v>0</v>
      </c>
      <c r="U342" s="99">
        <f>IF(AND(SamplingData[[#This Row],[Total]]&lt;&gt; 0, NOT(ISBLANK(SamplingData[[#This Row],[Candidate 6]]))),(SamplingData[[#This Row],[Total]]+SamplingData[[#This Row],[Losing Candidate]]-SamplingData[[#This Row],[Candidate 6]])/(SamplingData[[#Totals],[Winning Candidate]]-SamplingData[[#Totals],[Candidate 6]]), 0)</f>
        <v>0</v>
      </c>
      <c r="V342" s="99">
        <f>IF(AND(SamplingData[[#This Row],[Total]]&lt;&gt; 0, NOT(ISBLANK(SamplingData[[#This Row],[Candidate 7]]))),(SamplingData[[#This Row],[Total]]+SamplingData[[#This Row],[Winning Candidate]]-SamplingData[[#This Row],[Candidate 7]])/(SamplingData[[#Totals],[Winning Candidate]]-SamplingData[[#Totals],[Candidate 7]]), 0)</f>
        <v>0</v>
      </c>
      <c r="W342" s="99">
        <f>IF(AND(SamplingData[[#This Row],[Total]]&lt;&gt; 0, NOT(ISBLANK(SamplingData[[#This Row],[Candidate 8]]))),(SamplingData[[#This Row],[Total]]+SamplingData[[#This Row],[Winning Candidate]]-SamplingData[[#This Row],[Candidate 8]])/(SamplingData[[#Totals],[Winning Candidate]]-SamplingData[[#Totals],[Candidate 8]]), 0)</f>
        <v>0</v>
      </c>
      <c r="X3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2" s="99">
        <f>MAX(SamplingData[[#This Row],[Error Bound (up) - Max. possible relative overstatement - Losing Candidate]:[Error Bound (up) - Max. possible relative overstatement - Candidate 12]])</f>
        <v>1.7314547615005942E-2</v>
      </c>
      <c r="AC342" s="99">
        <f>IF(SamplingData[[#This Row],[Max Error Bound (up)]] = 0,0,SamplingData[[#This Row],[Max Error Bound (up)]]/SamplingData[[#Totals],[Max Error Bound (up)]])</f>
        <v>9.2703675428072979E-4</v>
      </c>
      <c r="AD342" s="103">
        <f>SUM($AC$5:AC342)</f>
        <v>0.31921420002181305</v>
      </c>
      <c r="AE342" s="99" t="str" cm="1">
        <f t="array" ref="AE342">IF(SamplingData[[#This Row],[up/U Selection Probability]] = 0, "Zero", TEXT(SamplingData[[#This Row],[Lower Range]], REPT("0",LEN('General Info'!$B$42))) &amp; " - " &amp; TEXT(SamplingData[[#This Row],[Upper Range]], REPT("0",LEN('General Info'!$B$42))))</f>
        <v>318287 - 319213</v>
      </c>
      <c r="AF342" s="99">
        <f>SamplingData[[#This Row],[Upper Range]]-SamplingData[[#This Row],[Span]]</f>
        <v>318287.16326753231</v>
      </c>
      <c r="AG342" s="99">
        <f>IF(ISNUMBER('General Info'!$B$42), ((SamplingData[[#This Row],[up/U Selection Probability]]) * 'General Info'!$B$44) - 1, 0)</f>
        <v>926.03675428072984</v>
      </c>
      <c r="AH342" s="99">
        <f>IF(ISNUMBER('General Info'!$B$42), (SamplingData[[#This Row],[Running (cumulative) sum]] * ('General Info'!$B$42 -'General Info'!$B$43 + 1)) + 'General Info'!$B$43 - 1, 0)</f>
        <v>319213.20002181304</v>
      </c>
      <c r="AI342" s="99" t="str">
        <f>IF(ISERROR(MATCH(SamplingData[[#This Row],[Batch by Type (p)]],SelectedPrecincts[Batch Name], 0)), "", INDEX(SelectedPrecincts[Draw], MATCH(SamplingData[[#This Row],[Batch by Type (p)]],SelectedPrecincts[Batch Name], 0)))</f>
        <v/>
      </c>
      <c r="AJ342" s="100">
        <f>IF(COUNTIF(SelectedPrecincts[Batch Name],SamplingData[[#This Row],[Batch by Type (p)]]) &lt;&gt; 0, COUNTIF(SelectedPrecincts[Batch Name],SamplingData[[#This Row],[Batch by Type (p)]]), 0)</f>
        <v>0</v>
      </c>
    </row>
    <row r="343" spans="1:36" ht="15" customHeight="1" x14ac:dyDescent="0.35">
      <c r="A343" s="97" t="s">
        <v>556</v>
      </c>
      <c r="B343" s="97">
        <v>94</v>
      </c>
      <c r="C343" s="97">
        <v>109</v>
      </c>
      <c r="D343" s="92"/>
      <c r="E343" s="92"/>
      <c r="F343" s="92"/>
      <c r="G343" s="96"/>
      <c r="H343" s="96"/>
      <c r="I343" s="92"/>
      <c r="J343" s="92"/>
      <c r="K343" s="92"/>
      <c r="L343" s="92"/>
      <c r="M343" s="92"/>
      <c r="N343" s="97">
        <v>0</v>
      </c>
      <c r="O343" s="97">
        <v>7</v>
      </c>
      <c r="P343" s="98">
        <f>SUM(SamplingData[[#This Row],[Winning Candidate]:[Under Votes]])</f>
        <v>210</v>
      </c>
      <c r="Q343" s="99">
        <f>IF(AND(SamplingData[[#This Row],[Total]]&lt;&gt; 0, NOT(ISBLANK(SamplingData[[#This Row],[Losing Candidate]]))),(SamplingData[[#This Row],[Total]]+SamplingData[[#This Row],[Winning Candidate]]-SamplingData[[#This Row],[Losing Candidate]])/(SamplingData[[#Totals],[Winning Candidate]]-SamplingData[[#Totals],[Losing Candidate]]), 0)</f>
        <v>8.2753352571719573E-3</v>
      </c>
      <c r="R343" s="99">
        <f>IF(AND(SamplingData[[#This Row],[Total]]&lt;&gt; 0, NOT(ISBLANK(SamplingData[[#This Row],[Candidate 3]]))),(SamplingData[[#This Row],[Total]]+SamplingData[[#This Row],[Winning Candidate]]-SamplingData[[#This Row],[Candidate 3]])/(SamplingData[[#Totals],[Winning Candidate]]-SamplingData[[#Totals],[Candidate 3]]), 0)</f>
        <v>0</v>
      </c>
      <c r="S343" s="99">
        <f>IF(AND(SamplingData[[#This Row],[Total]]&lt;&gt; 0, NOT(ISBLANK(SamplingData[[#This Row],[Candidate 4]]))),(SamplingData[[#This Row],[Total]]+SamplingData[[#This Row],[Winning Candidate]]-SamplingData[[#This Row],[Candidate 4]])/(SamplingData[[#Totals],[Winning Candidate]]-SamplingData[[#Totals],[Candidate 4]]), 0)</f>
        <v>0</v>
      </c>
      <c r="T343" s="99">
        <f>IF(AND(SamplingData[[#This Row],[Total]]&lt;&gt; 0, NOT(ISBLANK(SamplingData[[#This Row],[Candidate 5]]))),(SamplingData[[#This Row],[Total]]+SamplingData[[#This Row],[Winning Candidate]]-SamplingData[[#This Row],[Candidate 5]])/(SamplingData[[#Totals],[Winning Candidate]]-SamplingData[[#Totals],[Candidate 5]]), 0)</f>
        <v>0</v>
      </c>
      <c r="U343" s="99">
        <f>IF(AND(SamplingData[[#This Row],[Total]]&lt;&gt; 0, NOT(ISBLANK(SamplingData[[#This Row],[Candidate 6]]))),(SamplingData[[#This Row],[Total]]+SamplingData[[#This Row],[Losing Candidate]]-SamplingData[[#This Row],[Candidate 6]])/(SamplingData[[#Totals],[Winning Candidate]]-SamplingData[[#Totals],[Candidate 6]]), 0)</f>
        <v>0</v>
      </c>
      <c r="V343" s="99">
        <f>IF(AND(SamplingData[[#This Row],[Total]]&lt;&gt; 0, NOT(ISBLANK(SamplingData[[#This Row],[Candidate 7]]))),(SamplingData[[#This Row],[Total]]+SamplingData[[#This Row],[Winning Candidate]]-SamplingData[[#This Row],[Candidate 7]])/(SamplingData[[#Totals],[Winning Candidate]]-SamplingData[[#Totals],[Candidate 7]]), 0)</f>
        <v>0</v>
      </c>
      <c r="W343" s="99">
        <f>IF(AND(SamplingData[[#This Row],[Total]]&lt;&gt; 0, NOT(ISBLANK(SamplingData[[#This Row],[Candidate 8]]))),(SamplingData[[#This Row],[Total]]+SamplingData[[#This Row],[Winning Candidate]]-SamplingData[[#This Row],[Candidate 8]])/(SamplingData[[#Totals],[Winning Candidate]]-SamplingData[[#Totals],[Candidate 8]]), 0)</f>
        <v>0</v>
      </c>
      <c r="X3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3" s="99">
        <f>MAX(SamplingData[[#This Row],[Error Bound (up) - Max. possible relative overstatement - Losing Candidate]:[Error Bound (up) - Max. possible relative overstatement - Candidate 12]])</f>
        <v>8.2753352571719573E-3</v>
      </c>
      <c r="AC343" s="99">
        <f>IF(SamplingData[[#This Row],[Max Error Bound (up)]] = 0,0,SamplingData[[#This Row],[Max Error Bound (up)]]/SamplingData[[#Totals],[Max Error Bound (up)]])</f>
        <v>4.4306903697240759E-4</v>
      </c>
      <c r="AD343" s="103">
        <f>SUM($AC$5:AC343)</f>
        <v>0.31965726905878544</v>
      </c>
      <c r="AE343" s="99" t="str" cm="1">
        <f t="array" ref="AE343">IF(SamplingData[[#This Row],[up/U Selection Probability]] = 0, "Zero", TEXT(SamplingData[[#This Row],[Lower Range]], REPT("0",LEN('General Info'!$B$42))) &amp; " - " &amp; TEXT(SamplingData[[#This Row],[Upper Range]], REPT("0",LEN('General Info'!$B$42))))</f>
        <v>319214 - 319656</v>
      </c>
      <c r="AF343" s="99">
        <f>SamplingData[[#This Row],[Upper Range]]-SamplingData[[#This Row],[Span]]</f>
        <v>319214.20002181304</v>
      </c>
      <c r="AG343" s="99">
        <f>IF(ISNUMBER('General Info'!$B$42), ((SamplingData[[#This Row],[up/U Selection Probability]]) * 'General Info'!$B$44) - 1, 0)</f>
        <v>442.06903697240762</v>
      </c>
      <c r="AH343" s="99">
        <f>IF(ISNUMBER('General Info'!$B$42), (SamplingData[[#This Row],[Running (cumulative) sum]] * ('General Info'!$B$42 -'General Info'!$B$43 + 1)) + 'General Info'!$B$43 - 1, 0)</f>
        <v>319656.26905878546</v>
      </c>
      <c r="AI343" s="99" t="str">
        <f>IF(ISERROR(MATCH(SamplingData[[#This Row],[Batch by Type (p)]],SelectedPrecincts[Batch Name], 0)), "", INDEX(SelectedPrecincts[Draw], MATCH(SamplingData[[#This Row],[Batch by Type (p)]],SelectedPrecincts[Batch Name], 0)))</f>
        <v/>
      </c>
      <c r="AJ343" s="100">
        <f>IF(COUNTIF(SelectedPrecincts[Batch Name],SamplingData[[#This Row],[Batch by Type (p)]]) &lt;&gt; 0, COUNTIF(SelectedPrecincts[Batch Name],SamplingData[[#This Row],[Batch by Type (p)]]), 0)</f>
        <v>0</v>
      </c>
    </row>
    <row r="344" spans="1:36" ht="15" customHeight="1" x14ac:dyDescent="0.35">
      <c r="A344" s="97" t="s">
        <v>557</v>
      </c>
      <c r="B344" s="97">
        <v>74</v>
      </c>
      <c r="C344" s="97">
        <v>136</v>
      </c>
      <c r="D344" s="92"/>
      <c r="E344" s="92"/>
      <c r="F344" s="92"/>
      <c r="G344" s="96"/>
      <c r="H344" s="96"/>
      <c r="I344" s="92"/>
      <c r="J344" s="92"/>
      <c r="K344" s="92"/>
      <c r="L344" s="92"/>
      <c r="M344" s="92"/>
      <c r="N344" s="97">
        <v>0</v>
      </c>
      <c r="O344" s="97">
        <v>10</v>
      </c>
      <c r="P344" s="98">
        <f>SUM(SamplingData[[#This Row],[Winning Candidate]:[Under Votes]])</f>
        <v>220</v>
      </c>
      <c r="Q344" s="99">
        <f>IF(AND(SamplingData[[#This Row],[Total]]&lt;&gt; 0, NOT(ISBLANK(SamplingData[[#This Row],[Losing Candidate]]))),(SamplingData[[#This Row],[Total]]+SamplingData[[#This Row],[Winning Candidate]]-SamplingData[[#This Row],[Losing Candidate]])/(SamplingData[[#Totals],[Winning Candidate]]-SamplingData[[#Totals],[Losing Candidate]]), 0)</f>
        <v>6.705143439144458E-3</v>
      </c>
      <c r="R344" s="99">
        <f>IF(AND(SamplingData[[#This Row],[Total]]&lt;&gt; 0, NOT(ISBLANK(SamplingData[[#This Row],[Candidate 3]]))),(SamplingData[[#This Row],[Total]]+SamplingData[[#This Row],[Winning Candidate]]-SamplingData[[#This Row],[Candidate 3]])/(SamplingData[[#Totals],[Winning Candidate]]-SamplingData[[#Totals],[Candidate 3]]), 0)</f>
        <v>0</v>
      </c>
      <c r="S344" s="99">
        <f>IF(AND(SamplingData[[#This Row],[Total]]&lt;&gt; 0, NOT(ISBLANK(SamplingData[[#This Row],[Candidate 4]]))),(SamplingData[[#This Row],[Total]]+SamplingData[[#This Row],[Winning Candidate]]-SamplingData[[#This Row],[Candidate 4]])/(SamplingData[[#Totals],[Winning Candidate]]-SamplingData[[#Totals],[Candidate 4]]), 0)</f>
        <v>0</v>
      </c>
      <c r="T344" s="99">
        <f>IF(AND(SamplingData[[#This Row],[Total]]&lt;&gt; 0, NOT(ISBLANK(SamplingData[[#This Row],[Candidate 5]]))),(SamplingData[[#This Row],[Total]]+SamplingData[[#This Row],[Winning Candidate]]-SamplingData[[#This Row],[Candidate 5]])/(SamplingData[[#Totals],[Winning Candidate]]-SamplingData[[#Totals],[Candidate 5]]), 0)</f>
        <v>0</v>
      </c>
      <c r="U344" s="99">
        <f>IF(AND(SamplingData[[#This Row],[Total]]&lt;&gt; 0, NOT(ISBLANK(SamplingData[[#This Row],[Candidate 6]]))),(SamplingData[[#This Row],[Total]]+SamplingData[[#This Row],[Losing Candidate]]-SamplingData[[#This Row],[Candidate 6]])/(SamplingData[[#Totals],[Winning Candidate]]-SamplingData[[#Totals],[Candidate 6]]), 0)</f>
        <v>0</v>
      </c>
      <c r="V344" s="99">
        <f>IF(AND(SamplingData[[#This Row],[Total]]&lt;&gt; 0, NOT(ISBLANK(SamplingData[[#This Row],[Candidate 7]]))),(SamplingData[[#This Row],[Total]]+SamplingData[[#This Row],[Winning Candidate]]-SamplingData[[#This Row],[Candidate 7]])/(SamplingData[[#Totals],[Winning Candidate]]-SamplingData[[#Totals],[Candidate 7]]), 0)</f>
        <v>0</v>
      </c>
      <c r="W344" s="99">
        <f>IF(AND(SamplingData[[#This Row],[Total]]&lt;&gt; 0, NOT(ISBLANK(SamplingData[[#This Row],[Candidate 8]]))),(SamplingData[[#This Row],[Total]]+SamplingData[[#This Row],[Winning Candidate]]-SamplingData[[#This Row],[Candidate 8]])/(SamplingData[[#Totals],[Winning Candidate]]-SamplingData[[#Totals],[Candidate 8]]), 0)</f>
        <v>0</v>
      </c>
      <c r="X3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4" s="99">
        <f>MAX(SamplingData[[#This Row],[Error Bound (up) - Max. possible relative overstatement - Losing Candidate]:[Error Bound (up) - Max. possible relative overstatement - Candidate 12]])</f>
        <v>6.705143439144458E-3</v>
      </c>
      <c r="AC344" s="99">
        <f>IF(SamplingData[[#This Row],[Max Error Bound (up)]] = 0,0,SamplingData[[#This Row],[Max Error Bound (up)]]/SamplingData[[#Totals],[Max Error Bound (up)]])</f>
        <v>3.5899952739302772E-4</v>
      </c>
      <c r="AD344" s="103">
        <f>SUM($AC$5:AC344)</f>
        <v>0.32001626858617849</v>
      </c>
      <c r="AE344" s="99" t="str" cm="1">
        <f t="array" ref="AE344">IF(SamplingData[[#This Row],[up/U Selection Probability]] = 0, "Zero", TEXT(SamplingData[[#This Row],[Lower Range]], REPT("0",LEN('General Info'!$B$42))) &amp; " - " &amp; TEXT(SamplingData[[#This Row],[Upper Range]], REPT("0",LEN('General Info'!$B$42))))</f>
        <v>319657 - 320015</v>
      </c>
      <c r="AF344" s="99">
        <f>SamplingData[[#This Row],[Upper Range]]-SamplingData[[#This Row],[Span]]</f>
        <v>319657.26905878546</v>
      </c>
      <c r="AG344" s="99">
        <f>IF(ISNUMBER('General Info'!$B$42), ((SamplingData[[#This Row],[up/U Selection Probability]]) * 'General Info'!$B$44) - 1, 0)</f>
        <v>357.99952739302773</v>
      </c>
      <c r="AH344" s="99">
        <f>IF(ISNUMBER('General Info'!$B$42), (SamplingData[[#This Row],[Running (cumulative) sum]] * ('General Info'!$B$42 -'General Info'!$B$43 + 1)) + 'General Info'!$B$43 - 1, 0)</f>
        <v>320015.26858617848</v>
      </c>
      <c r="AI344" s="99" t="str">
        <f>IF(ISERROR(MATCH(SamplingData[[#This Row],[Batch by Type (p)]],SelectedPrecincts[Batch Name], 0)), "", INDEX(SelectedPrecincts[Draw], MATCH(SamplingData[[#This Row],[Batch by Type (p)]],SelectedPrecincts[Batch Name], 0)))</f>
        <v/>
      </c>
      <c r="AJ344" s="100">
        <f>IF(COUNTIF(SelectedPrecincts[Batch Name],SamplingData[[#This Row],[Batch by Type (p)]]) &lt;&gt; 0, COUNTIF(SelectedPrecincts[Batch Name],SamplingData[[#This Row],[Batch by Type (p)]]), 0)</f>
        <v>0</v>
      </c>
    </row>
    <row r="345" spans="1:36" ht="15" customHeight="1" x14ac:dyDescent="0.35">
      <c r="A345" s="97" t="s">
        <v>558</v>
      </c>
      <c r="B345" s="97">
        <v>173</v>
      </c>
      <c r="C345" s="97">
        <v>175</v>
      </c>
      <c r="D345" s="92"/>
      <c r="E345" s="92"/>
      <c r="F345" s="92"/>
      <c r="G345" s="96"/>
      <c r="H345" s="96"/>
      <c r="I345" s="92"/>
      <c r="J345" s="92"/>
      <c r="K345" s="92"/>
      <c r="L345" s="92"/>
      <c r="M345" s="92"/>
      <c r="N345" s="97">
        <v>0</v>
      </c>
      <c r="O345" s="97">
        <v>16</v>
      </c>
      <c r="P345" s="98">
        <f>SUM(SamplingData[[#This Row],[Winning Candidate]:[Under Votes]])</f>
        <v>364</v>
      </c>
      <c r="Q345" s="99">
        <f>IF(AND(SamplingData[[#This Row],[Total]]&lt;&gt; 0, NOT(ISBLANK(SamplingData[[#This Row],[Losing Candidate]]))),(SamplingData[[#This Row],[Total]]+SamplingData[[#This Row],[Winning Candidate]]-SamplingData[[#This Row],[Losing Candidate]])/(SamplingData[[#Totals],[Winning Candidate]]-SamplingData[[#Totals],[Losing Candidate]]), 0)</f>
        <v>1.5362417246647428E-2</v>
      </c>
      <c r="R345" s="99">
        <f>IF(AND(SamplingData[[#This Row],[Total]]&lt;&gt; 0, NOT(ISBLANK(SamplingData[[#This Row],[Candidate 3]]))),(SamplingData[[#This Row],[Total]]+SamplingData[[#This Row],[Winning Candidate]]-SamplingData[[#This Row],[Candidate 3]])/(SamplingData[[#Totals],[Winning Candidate]]-SamplingData[[#Totals],[Candidate 3]]), 0)</f>
        <v>0</v>
      </c>
      <c r="S345" s="99">
        <f>IF(AND(SamplingData[[#This Row],[Total]]&lt;&gt; 0, NOT(ISBLANK(SamplingData[[#This Row],[Candidate 4]]))),(SamplingData[[#This Row],[Total]]+SamplingData[[#This Row],[Winning Candidate]]-SamplingData[[#This Row],[Candidate 4]])/(SamplingData[[#Totals],[Winning Candidate]]-SamplingData[[#Totals],[Candidate 4]]), 0)</f>
        <v>0</v>
      </c>
      <c r="T345" s="99">
        <f>IF(AND(SamplingData[[#This Row],[Total]]&lt;&gt; 0, NOT(ISBLANK(SamplingData[[#This Row],[Candidate 5]]))),(SamplingData[[#This Row],[Total]]+SamplingData[[#This Row],[Winning Candidate]]-SamplingData[[#This Row],[Candidate 5]])/(SamplingData[[#Totals],[Winning Candidate]]-SamplingData[[#Totals],[Candidate 5]]), 0)</f>
        <v>0</v>
      </c>
      <c r="U345" s="99">
        <f>IF(AND(SamplingData[[#This Row],[Total]]&lt;&gt; 0, NOT(ISBLANK(SamplingData[[#This Row],[Candidate 6]]))),(SamplingData[[#This Row],[Total]]+SamplingData[[#This Row],[Losing Candidate]]-SamplingData[[#This Row],[Candidate 6]])/(SamplingData[[#Totals],[Winning Candidate]]-SamplingData[[#Totals],[Candidate 6]]), 0)</f>
        <v>0</v>
      </c>
      <c r="V345" s="99">
        <f>IF(AND(SamplingData[[#This Row],[Total]]&lt;&gt; 0, NOT(ISBLANK(SamplingData[[#This Row],[Candidate 7]]))),(SamplingData[[#This Row],[Total]]+SamplingData[[#This Row],[Winning Candidate]]-SamplingData[[#This Row],[Candidate 7]])/(SamplingData[[#Totals],[Winning Candidate]]-SamplingData[[#Totals],[Candidate 7]]), 0)</f>
        <v>0</v>
      </c>
      <c r="W345" s="99">
        <f>IF(AND(SamplingData[[#This Row],[Total]]&lt;&gt; 0, NOT(ISBLANK(SamplingData[[#This Row],[Candidate 8]]))),(SamplingData[[#This Row],[Total]]+SamplingData[[#This Row],[Winning Candidate]]-SamplingData[[#This Row],[Candidate 8]])/(SamplingData[[#Totals],[Winning Candidate]]-SamplingData[[#Totals],[Candidate 8]]), 0)</f>
        <v>0</v>
      </c>
      <c r="X3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5" s="99">
        <f>MAX(SamplingData[[#This Row],[Error Bound (up) - Max. possible relative overstatement - Losing Candidate]:[Error Bound (up) - Max. possible relative overstatement - Candidate 12]])</f>
        <v>1.5362417246647428E-2</v>
      </c>
      <c r="AC345" s="99">
        <f>IF(SamplingData[[#This Row],[Max Error Bound (up)]] = 0,0,SamplingData[[#This Row],[Max Error Bound (up)]]/SamplingData[[#Totals],[Max Error Bound (up)]])</f>
        <v>8.2251790453339256E-4</v>
      </c>
      <c r="AD345" s="103">
        <f>SUM($AC$5:AC345)</f>
        <v>0.3208387864907119</v>
      </c>
      <c r="AE345" s="99" t="str" cm="1">
        <f t="array" ref="AE345">IF(SamplingData[[#This Row],[up/U Selection Probability]] = 0, "Zero", TEXT(SamplingData[[#This Row],[Lower Range]], REPT("0",LEN('General Info'!$B$42))) &amp; " - " &amp; TEXT(SamplingData[[#This Row],[Upper Range]], REPT("0",LEN('General Info'!$B$42))))</f>
        <v>320016 - 320838</v>
      </c>
      <c r="AF345" s="99">
        <f>SamplingData[[#This Row],[Upper Range]]-SamplingData[[#This Row],[Span]]</f>
        <v>320016.26858617854</v>
      </c>
      <c r="AG345" s="99">
        <f>IF(ISNUMBER('General Info'!$B$42), ((SamplingData[[#This Row],[up/U Selection Probability]]) * 'General Info'!$B$44) - 1, 0)</f>
        <v>821.51790453339254</v>
      </c>
      <c r="AH345" s="99">
        <f>IF(ISNUMBER('General Info'!$B$42), (SamplingData[[#This Row],[Running (cumulative) sum]] * ('General Info'!$B$42 -'General Info'!$B$43 + 1)) + 'General Info'!$B$43 - 1, 0)</f>
        <v>320837.78649071191</v>
      </c>
      <c r="AI345" s="99" t="str">
        <f>IF(ISERROR(MATCH(SamplingData[[#This Row],[Batch by Type (p)]],SelectedPrecincts[Batch Name], 0)), "", INDEX(SelectedPrecincts[Draw], MATCH(SamplingData[[#This Row],[Batch by Type (p)]],SelectedPrecincts[Batch Name], 0)))</f>
        <v/>
      </c>
      <c r="AJ345" s="100">
        <f>IF(COUNTIF(SelectedPrecincts[Batch Name],SamplingData[[#This Row],[Batch by Type (p)]]) &lt;&gt; 0, COUNTIF(SelectedPrecincts[Batch Name],SamplingData[[#This Row],[Batch by Type (p)]]), 0)</f>
        <v>0</v>
      </c>
    </row>
    <row r="346" spans="1:36" ht="15" customHeight="1" x14ac:dyDescent="0.35">
      <c r="A346" s="97" t="s">
        <v>559</v>
      </c>
      <c r="B346" s="97">
        <v>186</v>
      </c>
      <c r="C346" s="97">
        <v>153</v>
      </c>
      <c r="D346" s="92"/>
      <c r="E346" s="92"/>
      <c r="F346" s="92"/>
      <c r="G346" s="96"/>
      <c r="H346" s="96"/>
      <c r="I346" s="92"/>
      <c r="J346" s="92"/>
      <c r="K346" s="92"/>
      <c r="L346" s="92"/>
      <c r="M346" s="92"/>
      <c r="N346" s="97">
        <v>0</v>
      </c>
      <c r="O346" s="97">
        <v>14</v>
      </c>
      <c r="P346" s="98">
        <f>SUM(SamplingData[[#This Row],[Winning Candidate]:[Under Votes]])</f>
        <v>353</v>
      </c>
      <c r="Q346" s="99">
        <f>IF(AND(SamplingData[[#This Row],[Total]]&lt;&gt; 0, NOT(ISBLANK(SamplingData[[#This Row],[Losing Candidate]]))),(SamplingData[[#This Row],[Total]]+SamplingData[[#This Row],[Winning Candidate]]-SamplingData[[#This Row],[Losing Candidate]])/(SamplingData[[#Totals],[Winning Candidate]]-SamplingData[[#Totals],[Losing Candidate]]), 0)</f>
        <v>1.6380920047530129E-2</v>
      </c>
      <c r="R346" s="99">
        <f>IF(AND(SamplingData[[#This Row],[Total]]&lt;&gt; 0, NOT(ISBLANK(SamplingData[[#This Row],[Candidate 3]]))),(SamplingData[[#This Row],[Total]]+SamplingData[[#This Row],[Winning Candidate]]-SamplingData[[#This Row],[Candidate 3]])/(SamplingData[[#Totals],[Winning Candidate]]-SamplingData[[#Totals],[Candidate 3]]), 0)</f>
        <v>0</v>
      </c>
      <c r="S346" s="99">
        <f>IF(AND(SamplingData[[#This Row],[Total]]&lt;&gt; 0, NOT(ISBLANK(SamplingData[[#This Row],[Candidate 4]]))),(SamplingData[[#This Row],[Total]]+SamplingData[[#This Row],[Winning Candidate]]-SamplingData[[#This Row],[Candidate 4]])/(SamplingData[[#Totals],[Winning Candidate]]-SamplingData[[#Totals],[Candidate 4]]), 0)</f>
        <v>0</v>
      </c>
      <c r="T346" s="99">
        <f>IF(AND(SamplingData[[#This Row],[Total]]&lt;&gt; 0, NOT(ISBLANK(SamplingData[[#This Row],[Candidate 5]]))),(SamplingData[[#This Row],[Total]]+SamplingData[[#This Row],[Winning Candidate]]-SamplingData[[#This Row],[Candidate 5]])/(SamplingData[[#Totals],[Winning Candidate]]-SamplingData[[#Totals],[Candidate 5]]), 0)</f>
        <v>0</v>
      </c>
      <c r="U346" s="99">
        <f>IF(AND(SamplingData[[#This Row],[Total]]&lt;&gt; 0, NOT(ISBLANK(SamplingData[[#This Row],[Candidate 6]]))),(SamplingData[[#This Row],[Total]]+SamplingData[[#This Row],[Losing Candidate]]-SamplingData[[#This Row],[Candidate 6]])/(SamplingData[[#Totals],[Winning Candidate]]-SamplingData[[#Totals],[Candidate 6]]), 0)</f>
        <v>0</v>
      </c>
      <c r="V346" s="99">
        <f>IF(AND(SamplingData[[#This Row],[Total]]&lt;&gt; 0, NOT(ISBLANK(SamplingData[[#This Row],[Candidate 7]]))),(SamplingData[[#This Row],[Total]]+SamplingData[[#This Row],[Winning Candidate]]-SamplingData[[#This Row],[Candidate 7]])/(SamplingData[[#Totals],[Winning Candidate]]-SamplingData[[#Totals],[Candidate 7]]), 0)</f>
        <v>0</v>
      </c>
      <c r="W346" s="99">
        <f>IF(AND(SamplingData[[#This Row],[Total]]&lt;&gt; 0, NOT(ISBLANK(SamplingData[[#This Row],[Candidate 8]]))),(SamplingData[[#This Row],[Total]]+SamplingData[[#This Row],[Winning Candidate]]-SamplingData[[#This Row],[Candidate 8]])/(SamplingData[[#Totals],[Winning Candidate]]-SamplingData[[#Totals],[Candidate 8]]), 0)</f>
        <v>0</v>
      </c>
      <c r="X3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6" s="99">
        <f>MAX(SamplingData[[#This Row],[Error Bound (up) - Max. possible relative overstatement - Losing Candidate]:[Error Bound (up) - Max. possible relative overstatement - Candidate 12]])</f>
        <v>1.6380920047530129E-2</v>
      </c>
      <c r="AC346" s="99">
        <f>IF(SamplingData[[#This Row],[Max Error Bound (up)]] = 0,0,SamplingData[[#This Row],[Max Error Bound (up)]]/SamplingData[[#Totals],[Max Error Bound (up)]])</f>
        <v>8.7704947831461185E-4</v>
      </c>
      <c r="AD346" s="103">
        <f>SUM($AC$5:AC346)</f>
        <v>0.32171583596902653</v>
      </c>
      <c r="AE346" s="99" t="str" cm="1">
        <f t="array" ref="AE346">IF(SamplingData[[#This Row],[up/U Selection Probability]] = 0, "Zero", TEXT(SamplingData[[#This Row],[Lower Range]], REPT("0",LEN('General Info'!$B$42))) &amp; " - " &amp; TEXT(SamplingData[[#This Row],[Upper Range]], REPT("0",LEN('General Info'!$B$42))))</f>
        <v>320839 - 321715</v>
      </c>
      <c r="AF346" s="99">
        <f>SamplingData[[#This Row],[Upper Range]]-SamplingData[[#This Row],[Span]]</f>
        <v>320838.78649071197</v>
      </c>
      <c r="AG346" s="99">
        <f>IF(ISNUMBER('General Info'!$B$42), ((SamplingData[[#This Row],[up/U Selection Probability]]) * 'General Info'!$B$44) - 1, 0)</f>
        <v>876.04947831461186</v>
      </c>
      <c r="AH346" s="99">
        <f>IF(ISNUMBER('General Info'!$B$42), (SamplingData[[#This Row],[Running (cumulative) sum]] * ('General Info'!$B$42 -'General Info'!$B$43 + 1)) + 'General Info'!$B$43 - 1, 0)</f>
        <v>321714.83596902655</v>
      </c>
      <c r="AI346" s="99" t="str">
        <f>IF(ISERROR(MATCH(SamplingData[[#This Row],[Batch by Type (p)]],SelectedPrecincts[Batch Name], 0)), "", INDEX(SelectedPrecincts[Draw], MATCH(SamplingData[[#This Row],[Batch by Type (p)]],SelectedPrecincts[Batch Name], 0)))</f>
        <v/>
      </c>
      <c r="AJ346" s="100">
        <f>IF(COUNTIF(SelectedPrecincts[Batch Name],SamplingData[[#This Row],[Batch by Type (p)]]) &lt;&gt; 0, COUNTIF(SelectedPrecincts[Batch Name],SamplingData[[#This Row],[Batch by Type (p)]]), 0)</f>
        <v>0</v>
      </c>
    </row>
    <row r="347" spans="1:36" ht="15" customHeight="1" x14ac:dyDescent="0.35">
      <c r="A347" s="97" t="s">
        <v>560</v>
      </c>
      <c r="B347" s="97">
        <v>94</v>
      </c>
      <c r="C347" s="97">
        <v>105</v>
      </c>
      <c r="D347" s="92"/>
      <c r="E347" s="92"/>
      <c r="F347" s="92"/>
      <c r="G347" s="96"/>
      <c r="H347" s="96"/>
      <c r="I347" s="92"/>
      <c r="J347" s="92"/>
      <c r="K347" s="92"/>
      <c r="L347" s="92"/>
      <c r="M347" s="92"/>
      <c r="N347" s="97">
        <v>0</v>
      </c>
      <c r="O347" s="97">
        <v>11</v>
      </c>
      <c r="P347" s="98">
        <f>SUM(SamplingData[[#This Row],[Winning Candidate]:[Under Votes]])</f>
        <v>210</v>
      </c>
      <c r="Q347" s="99">
        <f>IF(AND(SamplingData[[#This Row],[Total]]&lt;&gt; 0, NOT(ISBLANK(SamplingData[[#This Row],[Losing Candidate]]))),(SamplingData[[#This Row],[Total]]+SamplingData[[#This Row],[Winning Candidate]]-SamplingData[[#This Row],[Losing Candidate]])/(SamplingData[[#Totals],[Winning Candidate]]-SamplingData[[#Totals],[Losing Candidate]]), 0)</f>
        <v>8.4450857239857409E-3</v>
      </c>
      <c r="R347" s="99">
        <f>IF(AND(SamplingData[[#This Row],[Total]]&lt;&gt; 0, NOT(ISBLANK(SamplingData[[#This Row],[Candidate 3]]))),(SamplingData[[#This Row],[Total]]+SamplingData[[#This Row],[Winning Candidate]]-SamplingData[[#This Row],[Candidate 3]])/(SamplingData[[#Totals],[Winning Candidate]]-SamplingData[[#Totals],[Candidate 3]]), 0)</f>
        <v>0</v>
      </c>
      <c r="S347" s="99">
        <f>IF(AND(SamplingData[[#This Row],[Total]]&lt;&gt; 0, NOT(ISBLANK(SamplingData[[#This Row],[Candidate 4]]))),(SamplingData[[#This Row],[Total]]+SamplingData[[#This Row],[Winning Candidate]]-SamplingData[[#This Row],[Candidate 4]])/(SamplingData[[#Totals],[Winning Candidate]]-SamplingData[[#Totals],[Candidate 4]]), 0)</f>
        <v>0</v>
      </c>
      <c r="T347" s="99">
        <f>IF(AND(SamplingData[[#This Row],[Total]]&lt;&gt; 0, NOT(ISBLANK(SamplingData[[#This Row],[Candidate 5]]))),(SamplingData[[#This Row],[Total]]+SamplingData[[#This Row],[Winning Candidate]]-SamplingData[[#This Row],[Candidate 5]])/(SamplingData[[#Totals],[Winning Candidate]]-SamplingData[[#Totals],[Candidate 5]]), 0)</f>
        <v>0</v>
      </c>
      <c r="U347" s="99">
        <f>IF(AND(SamplingData[[#This Row],[Total]]&lt;&gt; 0, NOT(ISBLANK(SamplingData[[#This Row],[Candidate 6]]))),(SamplingData[[#This Row],[Total]]+SamplingData[[#This Row],[Losing Candidate]]-SamplingData[[#This Row],[Candidate 6]])/(SamplingData[[#Totals],[Winning Candidate]]-SamplingData[[#Totals],[Candidate 6]]), 0)</f>
        <v>0</v>
      </c>
      <c r="V347" s="99">
        <f>IF(AND(SamplingData[[#This Row],[Total]]&lt;&gt; 0, NOT(ISBLANK(SamplingData[[#This Row],[Candidate 7]]))),(SamplingData[[#This Row],[Total]]+SamplingData[[#This Row],[Winning Candidate]]-SamplingData[[#This Row],[Candidate 7]])/(SamplingData[[#Totals],[Winning Candidate]]-SamplingData[[#Totals],[Candidate 7]]), 0)</f>
        <v>0</v>
      </c>
      <c r="W347" s="99">
        <f>IF(AND(SamplingData[[#This Row],[Total]]&lt;&gt; 0, NOT(ISBLANK(SamplingData[[#This Row],[Candidate 8]]))),(SamplingData[[#This Row],[Total]]+SamplingData[[#This Row],[Winning Candidate]]-SamplingData[[#This Row],[Candidate 8]])/(SamplingData[[#Totals],[Winning Candidate]]-SamplingData[[#Totals],[Candidate 8]]), 0)</f>
        <v>0</v>
      </c>
      <c r="X3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7" s="99">
        <f>MAX(SamplingData[[#This Row],[Error Bound (up) - Max. possible relative overstatement - Losing Candidate]:[Error Bound (up) - Max. possible relative overstatement - Candidate 12]])</f>
        <v>8.4450857239857409E-3</v>
      </c>
      <c r="AC347" s="99">
        <f>IF(SamplingData[[#This Row],[Max Error Bound (up)]] = 0,0,SamplingData[[#This Row],[Max Error Bound (up)]]/SamplingData[[#Totals],[Max Error Bound (up)]])</f>
        <v>4.5215763260261083E-4</v>
      </c>
      <c r="AD347" s="103">
        <f>SUM($AC$5:AC347)</f>
        <v>0.32216799360162912</v>
      </c>
      <c r="AE347" s="99" t="str" cm="1">
        <f t="array" ref="AE347">IF(SamplingData[[#This Row],[up/U Selection Probability]] = 0, "Zero", TEXT(SamplingData[[#This Row],[Lower Range]], REPT("0",LEN('General Info'!$B$42))) &amp; " - " &amp; TEXT(SamplingData[[#This Row],[Upper Range]], REPT("0",LEN('General Info'!$B$42))))</f>
        <v>321716 - 322167</v>
      </c>
      <c r="AF347" s="99">
        <f>SamplingData[[#This Row],[Upper Range]]-SamplingData[[#This Row],[Span]]</f>
        <v>321715.83596902649</v>
      </c>
      <c r="AG347" s="99">
        <f>IF(ISNUMBER('General Info'!$B$42), ((SamplingData[[#This Row],[up/U Selection Probability]]) * 'General Info'!$B$44) - 1, 0)</f>
        <v>451.15763260261082</v>
      </c>
      <c r="AH347" s="99">
        <f>IF(ISNUMBER('General Info'!$B$42), (SamplingData[[#This Row],[Running (cumulative) sum]] * ('General Info'!$B$42 -'General Info'!$B$43 + 1)) + 'General Info'!$B$43 - 1, 0)</f>
        <v>322166.9936016291</v>
      </c>
      <c r="AI347" s="99" t="str">
        <f>IF(ISERROR(MATCH(SamplingData[[#This Row],[Batch by Type (p)]],SelectedPrecincts[Batch Name], 0)), "", INDEX(SelectedPrecincts[Draw], MATCH(SamplingData[[#This Row],[Batch by Type (p)]],SelectedPrecincts[Batch Name], 0)))</f>
        <v/>
      </c>
      <c r="AJ347" s="100">
        <f>IF(COUNTIF(SelectedPrecincts[Batch Name],SamplingData[[#This Row],[Batch by Type (p)]]) &lt;&gt; 0, COUNTIF(SelectedPrecincts[Batch Name],SamplingData[[#This Row],[Batch by Type (p)]]), 0)</f>
        <v>0</v>
      </c>
    </row>
    <row r="348" spans="1:36" ht="15" customHeight="1" x14ac:dyDescent="0.35">
      <c r="A348" s="97" t="s">
        <v>561</v>
      </c>
      <c r="B348" s="97">
        <v>102</v>
      </c>
      <c r="C348" s="97">
        <v>109</v>
      </c>
      <c r="D348" s="92"/>
      <c r="E348" s="92"/>
      <c r="F348" s="92"/>
      <c r="G348" s="96"/>
      <c r="H348" s="96"/>
      <c r="I348" s="92"/>
      <c r="J348" s="92"/>
      <c r="K348" s="92"/>
      <c r="L348" s="92"/>
      <c r="M348" s="92"/>
      <c r="N348" s="97">
        <v>1</v>
      </c>
      <c r="O348" s="97">
        <v>17</v>
      </c>
      <c r="P348" s="98">
        <f>SUM(SamplingData[[#This Row],[Winning Candidate]:[Under Votes]])</f>
        <v>229</v>
      </c>
      <c r="Q348" s="99">
        <f>IF(AND(SamplingData[[#This Row],[Total]]&lt;&gt; 0, NOT(ISBLANK(SamplingData[[#This Row],[Losing Candidate]]))),(SamplingData[[#This Row],[Total]]+SamplingData[[#This Row],[Winning Candidate]]-SamplingData[[#This Row],[Losing Candidate]])/(SamplingData[[#Totals],[Winning Candidate]]-SamplingData[[#Totals],[Losing Candidate]]), 0)</f>
        <v>9.4211509081649977E-3</v>
      </c>
      <c r="R348" s="99">
        <f>IF(AND(SamplingData[[#This Row],[Total]]&lt;&gt; 0, NOT(ISBLANK(SamplingData[[#This Row],[Candidate 3]]))),(SamplingData[[#This Row],[Total]]+SamplingData[[#This Row],[Winning Candidate]]-SamplingData[[#This Row],[Candidate 3]])/(SamplingData[[#Totals],[Winning Candidate]]-SamplingData[[#Totals],[Candidate 3]]), 0)</f>
        <v>0</v>
      </c>
      <c r="S348" s="99">
        <f>IF(AND(SamplingData[[#This Row],[Total]]&lt;&gt; 0, NOT(ISBLANK(SamplingData[[#This Row],[Candidate 4]]))),(SamplingData[[#This Row],[Total]]+SamplingData[[#This Row],[Winning Candidate]]-SamplingData[[#This Row],[Candidate 4]])/(SamplingData[[#Totals],[Winning Candidate]]-SamplingData[[#Totals],[Candidate 4]]), 0)</f>
        <v>0</v>
      </c>
      <c r="T348" s="99">
        <f>IF(AND(SamplingData[[#This Row],[Total]]&lt;&gt; 0, NOT(ISBLANK(SamplingData[[#This Row],[Candidate 5]]))),(SamplingData[[#This Row],[Total]]+SamplingData[[#This Row],[Winning Candidate]]-SamplingData[[#This Row],[Candidate 5]])/(SamplingData[[#Totals],[Winning Candidate]]-SamplingData[[#Totals],[Candidate 5]]), 0)</f>
        <v>0</v>
      </c>
      <c r="U348" s="99">
        <f>IF(AND(SamplingData[[#This Row],[Total]]&lt;&gt; 0, NOT(ISBLANK(SamplingData[[#This Row],[Candidate 6]]))),(SamplingData[[#This Row],[Total]]+SamplingData[[#This Row],[Losing Candidate]]-SamplingData[[#This Row],[Candidate 6]])/(SamplingData[[#Totals],[Winning Candidate]]-SamplingData[[#Totals],[Candidate 6]]), 0)</f>
        <v>0</v>
      </c>
      <c r="V348" s="99">
        <f>IF(AND(SamplingData[[#This Row],[Total]]&lt;&gt; 0, NOT(ISBLANK(SamplingData[[#This Row],[Candidate 7]]))),(SamplingData[[#This Row],[Total]]+SamplingData[[#This Row],[Winning Candidate]]-SamplingData[[#This Row],[Candidate 7]])/(SamplingData[[#Totals],[Winning Candidate]]-SamplingData[[#Totals],[Candidate 7]]), 0)</f>
        <v>0</v>
      </c>
      <c r="W348" s="99">
        <f>IF(AND(SamplingData[[#This Row],[Total]]&lt;&gt; 0, NOT(ISBLANK(SamplingData[[#This Row],[Candidate 8]]))),(SamplingData[[#This Row],[Total]]+SamplingData[[#This Row],[Winning Candidate]]-SamplingData[[#This Row],[Candidate 8]])/(SamplingData[[#Totals],[Winning Candidate]]-SamplingData[[#Totals],[Candidate 8]]), 0)</f>
        <v>0</v>
      </c>
      <c r="X3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8" s="99">
        <f>MAX(SamplingData[[#This Row],[Error Bound (up) - Max. possible relative overstatement - Losing Candidate]:[Error Bound (up) - Max. possible relative overstatement - Candidate 12]])</f>
        <v>9.4211509081649977E-3</v>
      </c>
      <c r="AC348" s="99">
        <f>IF(SamplingData[[#This Row],[Max Error Bound (up)]] = 0,0,SamplingData[[#This Row],[Max Error Bound (up)]]/SamplingData[[#Totals],[Max Error Bound (up)]])</f>
        <v>5.0441705747627944E-4</v>
      </c>
      <c r="AD348" s="103">
        <f>SUM($AC$5:AC348)</f>
        <v>0.3226724106591054</v>
      </c>
      <c r="AE348" s="99" t="str" cm="1">
        <f t="array" ref="AE348">IF(SamplingData[[#This Row],[up/U Selection Probability]] = 0, "Zero", TEXT(SamplingData[[#This Row],[Lower Range]], REPT("0",LEN('General Info'!$B$42))) &amp; " - " &amp; TEXT(SamplingData[[#This Row],[Upper Range]], REPT("0",LEN('General Info'!$B$42))))</f>
        <v>322168 - 322671</v>
      </c>
      <c r="AF348" s="99">
        <f>SamplingData[[#This Row],[Upper Range]]-SamplingData[[#This Row],[Span]]</f>
        <v>322167.9936016291</v>
      </c>
      <c r="AG348" s="99">
        <f>IF(ISNUMBER('General Info'!$B$42), ((SamplingData[[#This Row],[up/U Selection Probability]]) * 'General Info'!$B$44) - 1, 0)</f>
        <v>503.41705747627941</v>
      </c>
      <c r="AH348" s="99">
        <f>IF(ISNUMBER('General Info'!$B$42), (SamplingData[[#This Row],[Running (cumulative) sum]] * ('General Info'!$B$42 -'General Info'!$B$43 + 1)) + 'General Info'!$B$43 - 1, 0)</f>
        <v>322671.4106591054</v>
      </c>
      <c r="AI348" s="99" t="str">
        <f>IF(ISERROR(MATCH(SamplingData[[#This Row],[Batch by Type (p)]],SelectedPrecincts[Batch Name], 0)), "", INDEX(SelectedPrecincts[Draw], MATCH(SamplingData[[#This Row],[Batch by Type (p)]],SelectedPrecincts[Batch Name], 0)))</f>
        <v/>
      </c>
      <c r="AJ348" s="100">
        <f>IF(COUNTIF(SelectedPrecincts[Batch Name],SamplingData[[#This Row],[Batch by Type (p)]]) &lt;&gt; 0, COUNTIF(SelectedPrecincts[Batch Name],SamplingData[[#This Row],[Batch by Type (p)]]), 0)</f>
        <v>0</v>
      </c>
    </row>
    <row r="349" spans="1:36" ht="15" customHeight="1" x14ac:dyDescent="0.35">
      <c r="A349" s="97" t="s">
        <v>562</v>
      </c>
      <c r="B349" s="97">
        <v>153</v>
      </c>
      <c r="C349" s="97">
        <v>143</v>
      </c>
      <c r="D349" s="92"/>
      <c r="E349" s="92"/>
      <c r="F349" s="92"/>
      <c r="G349" s="96"/>
      <c r="H349" s="96"/>
      <c r="I349" s="92"/>
      <c r="J349" s="92"/>
      <c r="K349" s="92"/>
      <c r="L349" s="92"/>
      <c r="M349" s="92"/>
      <c r="N349" s="97">
        <v>0</v>
      </c>
      <c r="O349" s="97">
        <v>9</v>
      </c>
      <c r="P349" s="98">
        <f>SUM(SamplingData[[#This Row],[Winning Candidate]:[Under Votes]])</f>
        <v>305</v>
      </c>
      <c r="Q349" s="99">
        <f>IF(AND(SamplingData[[#This Row],[Total]]&lt;&gt; 0, NOT(ISBLANK(SamplingData[[#This Row],[Losing Candidate]]))),(SamplingData[[#This Row],[Total]]+SamplingData[[#This Row],[Winning Candidate]]-SamplingData[[#This Row],[Losing Candidate]])/(SamplingData[[#Totals],[Winning Candidate]]-SamplingData[[#Totals],[Losing Candidate]]), 0)</f>
        <v>1.336784926158547E-2</v>
      </c>
      <c r="R349" s="99">
        <f>IF(AND(SamplingData[[#This Row],[Total]]&lt;&gt; 0, NOT(ISBLANK(SamplingData[[#This Row],[Candidate 3]]))),(SamplingData[[#This Row],[Total]]+SamplingData[[#This Row],[Winning Candidate]]-SamplingData[[#This Row],[Candidate 3]])/(SamplingData[[#Totals],[Winning Candidate]]-SamplingData[[#Totals],[Candidate 3]]), 0)</f>
        <v>0</v>
      </c>
      <c r="S349" s="99">
        <f>IF(AND(SamplingData[[#This Row],[Total]]&lt;&gt; 0, NOT(ISBLANK(SamplingData[[#This Row],[Candidate 4]]))),(SamplingData[[#This Row],[Total]]+SamplingData[[#This Row],[Winning Candidate]]-SamplingData[[#This Row],[Candidate 4]])/(SamplingData[[#Totals],[Winning Candidate]]-SamplingData[[#Totals],[Candidate 4]]), 0)</f>
        <v>0</v>
      </c>
      <c r="T349" s="99">
        <f>IF(AND(SamplingData[[#This Row],[Total]]&lt;&gt; 0, NOT(ISBLANK(SamplingData[[#This Row],[Candidate 5]]))),(SamplingData[[#This Row],[Total]]+SamplingData[[#This Row],[Winning Candidate]]-SamplingData[[#This Row],[Candidate 5]])/(SamplingData[[#Totals],[Winning Candidate]]-SamplingData[[#Totals],[Candidate 5]]), 0)</f>
        <v>0</v>
      </c>
      <c r="U349" s="99">
        <f>IF(AND(SamplingData[[#This Row],[Total]]&lt;&gt; 0, NOT(ISBLANK(SamplingData[[#This Row],[Candidate 6]]))),(SamplingData[[#This Row],[Total]]+SamplingData[[#This Row],[Losing Candidate]]-SamplingData[[#This Row],[Candidate 6]])/(SamplingData[[#Totals],[Winning Candidate]]-SamplingData[[#Totals],[Candidate 6]]), 0)</f>
        <v>0</v>
      </c>
      <c r="V349" s="99">
        <f>IF(AND(SamplingData[[#This Row],[Total]]&lt;&gt; 0, NOT(ISBLANK(SamplingData[[#This Row],[Candidate 7]]))),(SamplingData[[#This Row],[Total]]+SamplingData[[#This Row],[Winning Candidate]]-SamplingData[[#This Row],[Candidate 7]])/(SamplingData[[#Totals],[Winning Candidate]]-SamplingData[[#Totals],[Candidate 7]]), 0)</f>
        <v>0</v>
      </c>
      <c r="W349" s="99">
        <f>IF(AND(SamplingData[[#This Row],[Total]]&lt;&gt; 0, NOT(ISBLANK(SamplingData[[#This Row],[Candidate 8]]))),(SamplingData[[#This Row],[Total]]+SamplingData[[#This Row],[Winning Candidate]]-SamplingData[[#This Row],[Candidate 8]])/(SamplingData[[#Totals],[Winning Candidate]]-SamplingData[[#Totals],[Candidate 8]]), 0)</f>
        <v>0</v>
      </c>
      <c r="X3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9" s="99">
        <f>MAX(SamplingData[[#This Row],[Error Bound (up) - Max. possible relative overstatement - Losing Candidate]:[Error Bound (up) - Max. possible relative overstatement - Candidate 12]])</f>
        <v>1.336784926158547E-2</v>
      </c>
      <c r="AC349" s="99">
        <f>IF(SamplingData[[#This Row],[Max Error Bound (up)]] = 0,0,SamplingData[[#This Row],[Max Error Bound (up)]]/SamplingData[[#Totals],[Max Error Bound (up)]])</f>
        <v>7.1572690587850456E-4</v>
      </c>
      <c r="AD349" s="103">
        <f>SUM($AC$5:AC349)</f>
        <v>0.32338813756498391</v>
      </c>
      <c r="AE349" s="99" t="str" cm="1">
        <f t="array" ref="AE349">IF(SamplingData[[#This Row],[up/U Selection Probability]] = 0, "Zero", TEXT(SamplingData[[#This Row],[Lower Range]], REPT("0",LEN('General Info'!$B$42))) &amp; " - " &amp; TEXT(SamplingData[[#This Row],[Upper Range]], REPT("0",LEN('General Info'!$B$42))))</f>
        <v>322672 - 323387</v>
      </c>
      <c r="AF349" s="99">
        <f>SamplingData[[#This Row],[Upper Range]]-SamplingData[[#This Row],[Span]]</f>
        <v>322672.4106591054</v>
      </c>
      <c r="AG349" s="99">
        <f>IF(ISNUMBER('General Info'!$B$42), ((SamplingData[[#This Row],[up/U Selection Probability]]) * 'General Info'!$B$44) - 1, 0)</f>
        <v>714.72690587850457</v>
      </c>
      <c r="AH349" s="99">
        <f>IF(ISNUMBER('General Info'!$B$42), (SamplingData[[#This Row],[Running (cumulative) sum]] * ('General Info'!$B$42 -'General Info'!$B$43 + 1)) + 'General Info'!$B$43 - 1, 0)</f>
        <v>323387.13756498392</v>
      </c>
      <c r="AI349" s="99" t="str">
        <f>IF(ISERROR(MATCH(SamplingData[[#This Row],[Batch by Type (p)]],SelectedPrecincts[Batch Name], 0)), "", INDEX(SelectedPrecincts[Draw], MATCH(SamplingData[[#This Row],[Batch by Type (p)]],SelectedPrecincts[Batch Name], 0)))</f>
        <v/>
      </c>
      <c r="AJ349" s="100">
        <f>IF(COUNTIF(SelectedPrecincts[Batch Name],SamplingData[[#This Row],[Batch by Type (p)]]) &lt;&gt; 0, COUNTIF(SelectedPrecincts[Batch Name],SamplingData[[#This Row],[Batch by Type (p)]]), 0)</f>
        <v>0</v>
      </c>
    </row>
    <row r="350" spans="1:36" ht="15" customHeight="1" x14ac:dyDescent="0.35">
      <c r="A350" s="97" t="s">
        <v>563</v>
      </c>
      <c r="B350" s="97">
        <v>102</v>
      </c>
      <c r="C350" s="97">
        <v>100</v>
      </c>
      <c r="D350" s="92"/>
      <c r="E350" s="92"/>
      <c r="F350" s="92"/>
      <c r="G350" s="96"/>
      <c r="H350" s="96"/>
      <c r="I350" s="92"/>
      <c r="J350" s="92"/>
      <c r="K350" s="92"/>
      <c r="L350" s="92"/>
      <c r="M350" s="92"/>
      <c r="N350" s="97">
        <v>0</v>
      </c>
      <c r="O350" s="97">
        <v>10</v>
      </c>
      <c r="P350" s="98">
        <f>SUM(SamplingData[[#This Row],[Winning Candidate]:[Under Votes]])</f>
        <v>212</v>
      </c>
      <c r="Q350" s="99">
        <f>IF(AND(SamplingData[[#This Row],[Total]]&lt;&gt; 0, NOT(ISBLANK(SamplingData[[#This Row],[Losing Candidate]]))),(SamplingData[[#This Row],[Total]]+SamplingData[[#This Row],[Winning Candidate]]-SamplingData[[#This Row],[Losing Candidate]])/(SamplingData[[#Totals],[Winning Candidate]]-SamplingData[[#Totals],[Losing Candidate]]), 0)</f>
        <v>9.0816499745374306E-3</v>
      </c>
      <c r="R350" s="99">
        <f>IF(AND(SamplingData[[#This Row],[Total]]&lt;&gt; 0, NOT(ISBLANK(SamplingData[[#This Row],[Candidate 3]]))),(SamplingData[[#This Row],[Total]]+SamplingData[[#This Row],[Winning Candidate]]-SamplingData[[#This Row],[Candidate 3]])/(SamplingData[[#Totals],[Winning Candidate]]-SamplingData[[#Totals],[Candidate 3]]), 0)</f>
        <v>0</v>
      </c>
      <c r="S350" s="99">
        <f>IF(AND(SamplingData[[#This Row],[Total]]&lt;&gt; 0, NOT(ISBLANK(SamplingData[[#This Row],[Candidate 4]]))),(SamplingData[[#This Row],[Total]]+SamplingData[[#This Row],[Winning Candidate]]-SamplingData[[#This Row],[Candidate 4]])/(SamplingData[[#Totals],[Winning Candidate]]-SamplingData[[#Totals],[Candidate 4]]), 0)</f>
        <v>0</v>
      </c>
      <c r="T350" s="99">
        <f>IF(AND(SamplingData[[#This Row],[Total]]&lt;&gt; 0, NOT(ISBLANK(SamplingData[[#This Row],[Candidate 5]]))),(SamplingData[[#This Row],[Total]]+SamplingData[[#This Row],[Winning Candidate]]-SamplingData[[#This Row],[Candidate 5]])/(SamplingData[[#Totals],[Winning Candidate]]-SamplingData[[#Totals],[Candidate 5]]), 0)</f>
        <v>0</v>
      </c>
      <c r="U350" s="99">
        <f>IF(AND(SamplingData[[#This Row],[Total]]&lt;&gt; 0, NOT(ISBLANK(SamplingData[[#This Row],[Candidate 6]]))),(SamplingData[[#This Row],[Total]]+SamplingData[[#This Row],[Losing Candidate]]-SamplingData[[#This Row],[Candidate 6]])/(SamplingData[[#Totals],[Winning Candidate]]-SamplingData[[#Totals],[Candidate 6]]), 0)</f>
        <v>0</v>
      </c>
      <c r="V350" s="99">
        <f>IF(AND(SamplingData[[#This Row],[Total]]&lt;&gt; 0, NOT(ISBLANK(SamplingData[[#This Row],[Candidate 7]]))),(SamplingData[[#This Row],[Total]]+SamplingData[[#This Row],[Winning Candidate]]-SamplingData[[#This Row],[Candidate 7]])/(SamplingData[[#Totals],[Winning Candidate]]-SamplingData[[#Totals],[Candidate 7]]), 0)</f>
        <v>0</v>
      </c>
      <c r="W350" s="99">
        <f>IF(AND(SamplingData[[#This Row],[Total]]&lt;&gt; 0, NOT(ISBLANK(SamplingData[[#This Row],[Candidate 8]]))),(SamplingData[[#This Row],[Total]]+SamplingData[[#This Row],[Winning Candidate]]-SamplingData[[#This Row],[Candidate 8]])/(SamplingData[[#Totals],[Winning Candidate]]-SamplingData[[#Totals],[Candidate 8]]), 0)</f>
        <v>0</v>
      </c>
      <c r="X3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0" s="99">
        <f>MAX(SamplingData[[#This Row],[Error Bound (up) - Max. possible relative overstatement - Losing Candidate]:[Error Bound (up) - Max. possible relative overstatement - Candidate 12]])</f>
        <v>9.0816499745374306E-3</v>
      </c>
      <c r="AC350" s="99">
        <f>IF(SamplingData[[#This Row],[Max Error Bound (up)]] = 0,0,SamplingData[[#This Row],[Max Error Bound (up)]]/SamplingData[[#Totals],[Max Error Bound (up)]])</f>
        <v>4.8623986621587297E-4</v>
      </c>
      <c r="AD350" s="103">
        <f>SUM($AC$5:AC350)</f>
        <v>0.32387437743119979</v>
      </c>
      <c r="AE350" s="99" t="str" cm="1">
        <f t="array" ref="AE350">IF(SamplingData[[#This Row],[up/U Selection Probability]] = 0, "Zero", TEXT(SamplingData[[#This Row],[Lower Range]], REPT("0",LEN('General Info'!$B$42))) &amp; " - " &amp; TEXT(SamplingData[[#This Row],[Upper Range]], REPT("0",LEN('General Info'!$B$42))))</f>
        <v>323388 - 323873</v>
      </c>
      <c r="AF350" s="99">
        <f>SamplingData[[#This Row],[Upper Range]]-SamplingData[[#This Row],[Span]]</f>
        <v>323388.13756498392</v>
      </c>
      <c r="AG350" s="99">
        <f>IF(ISNUMBER('General Info'!$B$42), ((SamplingData[[#This Row],[up/U Selection Probability]]) * 'General Info'!$B$44) - 1, 0)</f>
        <v>485.23986621587295</v>
      </c>
      <c r="AH350" s="99">
        <f>IF(ISNUMBER('General Info'!$B$42), (SamplingData[[#This Row],[Running (cumulative) sum]] * ('General Info'!$B$42 -'General Info'!$B$43 + 1)) + 'General Info'!$B$43 - 1, 0)</f>
        <v>323873.37743119977</v>
      </c>
      <c r="AI350" s="99" t="str">
        <f>IF(ISERROR(MATCH(SamplingData[[#This Row],[Batch by Type (p)]],SelectedPrecincts[Batch Name], 0)), "", INDEX(SelectedPrecincts[Draw], MATCH(SamplingData[[#This Row],[Batch by Type (p)]],SelectedPrecincts[Batch Name], 0)))</f>
        <v/>
      </c>
      <c r="AJ350" s="100">
        <f>IF(COUNTIF(SelectedPrecincts[Batch Name],SamplingData[[#This Row],[Batch by Type (p)]]) &lt;&gt; 0, COUNTIF(SelectedPrecincts[Batch Name],SamplingData[[#This Row],[Batch by Type (p)]]), 0)</f>
        <v>0</v>
      </c>
    </row>
    <row r="351" spans="1:36" ht="15" customHeight="1" x14ac:dyDescent="0.35">
      <c r="A351" s="97" t="s">
        <v>564</v>
      </c>
      <c r="B351" s="97">
        <v>203</v>
      </c>
      <c r="C351" s="97">
        <v>197</v>
      </c>
      <c r="D351" s="92"/>
      <c r="E351" s="92"/>
      <c r="F351" s="92"/>
      <c r="G351" s="96"/>
      <c r="H351" s="96"/>
      <c r="I351" s="92"/>
      <c r="J351" s="92"/>
      <c r="K351" s="92"/>
      <c r="L351" s="92"/>
      <c r="M351" s="92"/>
      <c r="N351" s="97">
        <v>0</v>
      </c>
      <c r="O351" s="97">
        <v>24</v>
      </c>
      <c r="P351" s="98">
        <f>SUM(SamplingData[[#This Row],[Winning Candidate]:[Under Votes]])</f>
        <v>424</v>
      </c>
      <c r="Q351" s="99">
        <f>IF(AND(SamplingData[[#This Row],[Total]]&lt;&gt; 0, NOT(ISBLANK(SamplingData[[#This Row],[Losing Candidate]]))),(SamplingData[[#This Row],[Total]]+SamplingData[[#This Row],[Winning Candidate]]-SamplingData[[#This Row],[Losing Candidate]])/(SamplingData[[#Totals],[Winning Candidate]]-SamplingData[[#Totals],[Losing Candidate]]), 0)</f>
        <v>1.824817518248175E-2</v>
      </c>
      <c r="R351" s="99">
        <f>IF(AND(SamplingData[[#This Row],[Total]]&lt;&gt; 0, NOT(ISBLANK(SamplingData[[#This Row],[Candidate 3]]))),(SamplingData[[#This Row],[Total]]+SamplingData[[#This Row],[Winning Candidate]]-SamplingData[[#This Row],[Candidate 3]])/(SamplingData[[#Totals],[Winning Candidate]]-SamplingData[[#Totals],[Candidate 3]]), 0)</f>
        <v>0</v>
      </c>
      <c r="S351" s="99">
        <f>IF(AND(SamplingData[[#This Row],[Total]]&lt;&gt; 0, NOT(ISBLANK(SamplingData[[#This Row],[Candidate 4]]))),(SamplingData[[#This Row],[Total]]+SamplingData[[#This Row],[Winning Candidate]]-SamplingData[[#This Row],[Candidate 4]])/(SamplingData[[#Totals],[Winning Candidate]]-SamplingData[[#Totals],[Candidate 4]]), 0)</f>
        <v>0</v>
      </c>
      <c r="T351" s="99">
        <f>IF(AND(SamplingData[[#This Row],[Total]]&lt;&gt; 0, NOT(ISBLANK(SamplingData[[#This Row],[Candidate 5]]))),(SamplingData[[#This Row],[Total]]+SamplingData[[#This Row],[Winning Candidate]]-SamplingData[[#This Row],[Candidate 5]])/(SamplingData[[#Totals],[Winning Candidate]]-SamplingData[[#Totals],[Candidate 5]]), 0)</f>
        <v>0</v>
      </c>
      <c r="U351" s="99">
        <f>IF(AND(SamplingData[[#This Row],[Total]]&lt;&gt; 0, NOT(ISBLANK(SamplingData[[#This Row],[Candidate 6]]))),(SamplingData[[#This Row],[Total]]+SamplingData[[#This Row],[Losing Candidate]]-SamplingData[[#This Row],[Candidate 6]])/(SamplingData[[#Totals],[Winning Candidate]]-SamplingData[[#Totals],[Candidate 6]]), 0)</f>
        <v>0</v>
      </c>
      <c r="V351" s="99">
        <f>IF(AND(SamplingData[[#This Row],[Total]]&lt;&gt; 0, NOT(ISBLANK(SamplingData[[#This Row],[Candidate 7]]))),(SamplingData[[#This Row],[Total]]+SamplingData[[#This Row],[Winning Candidate]]-SamplingData[[#This Row],[Candidate 7]])/(SamplingData[[#Totals],[Winning Candidate]]-SamplingData[[#Totals],[Candidate 7]]), 0)</f>
        <v>0</v>
      </c>
      <c r="W351" s="99">
        <f>IF(AND(SamplingData[[#This Row],[Total]]&lt;&gt; 0, NOT(ISBLANK(SamplingData[[#This Row],[Candidate 8]]))),(SamplingData[[#This Row],[Total]]+SamplingData[[#This Row],[Winning Candidate]]-SamplingData[[#This Row],[Candidate 8]])/(SamplingData[[#Totals],[Winning Candidate]]-SamplingData[[#Totals],[Candidate 8]]), 0)</f>
        <v>0</v>
      </c>
      <c r="X3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1" s="99">
        <f>MAX(SamplingData[[#This Row],[Error Bound (up) - Max. possible relative overstatement - Losing Candidate]:[Error Bound (up) - Max. possible relative overstatement - Candidate 12]])</f>
        <v>1.824817518248175E-2</v>
      </c>
      <c r="AC351" s="99">
        <f>IF(SamplingData[[#This Row],[Max Error Bound (up)]] = 0,0,SamplingData[[#This Row],[Max Error Bound (up)]]/SamplingData[[#Totals],[Max Error Bound (up)]])</f>
        <v>9.7702403024684751E-4</v>
      </c>
      <c r="AD351" s="103">
        <f>SUM($AC$5:AC351)</f>
        <v>0.32485140146144664</v>
      </c>
      <c r="AE351" s="99" t="str" cm="1">
        <f t="array" ref="AE351">IF(SamplingData[[#This Row],[up/U Selection Probability]] = 0, "Zero", TEXT(SamplingData[[#This Row],[Lower Range]], REPT("0",LEN('General Info'!$B$42))) &amp; " - " &amp; TEXT(SamplingData[[#This Row],[Upper Range]], REPT("0",LEN('General Info'!$B$42))))</f>
        <v>323874 - 324850</v>
      </c>
      <c r="AF351" s="99">
        <f>SamplingData[[#This Row],[Upper Range]]-SamplingData[[#This Row],[Span]]</f>
        <v>323874.37743119983</v>
      </c>
      <c r="AG351" s="99">
        <f>IF(ISNUMBER('General Info'!$B$42), ((SamplingData[[#This Row],[up/U Selection Probability]]) * 'General Info'!$B$44) - 1, 0)</f>
        <v>976.02403024684747</v>
      </c>
      <c r="AH351" s="99">
        <f>IF(ISNUMBER('General Info'!$B$42), (SamplingData[[#This Row],[Running (cumulative) sum]] * ('General Info'!$B$42 -'General Info'!$B$43 + 1)) + 'General Info'!$B$43 - 1, 0)</f>
        <v>324850.40146144666</v>
      </c>
      <c r="AI351" s="99" t="str">
        <f>IF(ISERROR(MATCH(SamplingData[[#This Row],[Batch by Type (p)]],SelectedPrecincts[Batch Name], 0)), "", INDEX(SelectedPrecincts[Draw], MATCH(SamplingData[[#This Row],[Batch by Type (p)]],SelectedPrecincts[Batch Name], 0)))</f>
        <v/>
      </c>
      <c r="AJ351" s="100">
        <f>IF(COUNTIF(SelectedPrecincts[Batch Name],SamplingData[[#This Row],[Batch by Type (p)]]) &lt;&gt; 0, COUNTIF(SelectedPrecincts[Batch Name],SamplingData[[#This Row],[Batch by Type (p)]]), 0)</f>
        <v>0</v>
      </c>
    </row>
    <row r="352" spans="1:36" ht="15" customHeight="1" x14ac:dyDescent="0.35">
      <c r="A352" s="97" t="s">
        <v>565</v>
      </c>
      <c r="B352" s="97">
        <v>29</v>
      </c>
      <c r="C352" s="97">
        <v>29</v>
      </c>
      <c r="D352" s="92"/>
      <c r="E352" s="92"/>
      <c r="F352" s="92"/>
      <c r="G352" s="96"/>
      <c r="H352" s="96"/>
      <c r="I352" s="92"/>
      <c r="J352" s="92"/>
      <c r="K352" s="92"/>
      <c r="L352" s="92"/>
      <c r="M352" s="92"/>
      <c r="N352" s="97">
        <v>0</v>
      </c>
      <c r="O352" s="97">
        <v>1</v>
      </c>
      <c r="P352" s="98">
        <f>SUM(SamplingData[[#This Row],[Winning Candidate]:[Under Votes]])</f>
        <v>59</v>
      </c>
      <c r="Q352" s="99">
        <f>IF(AND(SamplingData[[#This Row],[Total]]&lt;&gt; 0, NOT(ISBLANK(SamplingData[[#This Row],[Losing Candidate]]))),(SamplingData[[#This Row],[Total]]+SamplingData[[#This Row],[Winning Candidate]]-SamplingData[[#This Row],[Losing Candidate]])/(SamplingData[[#Totals],[Winning Candidate]]-SamplingData[[#Totals],[Losing Candidate]]), 0)</f>
        <v>2.5038193855033103E-3</v>
      </c>
      <c r="R352" s="99">
        <f>IF(AND(SamplingData[[#This Row],[Total]]&lt;&gt; 0, NOT(ISBLANK(SamplingData[[#This Row],[Candidate 3]]))),(SamplingData[[#This Row],[Total]]+SamplingData[[#This Row],[Winning Candidate]]-SamplingData[[#This Row],[Candidate 3]])/(SamplingData[[#Totals],[Winning Candidate]]-SamplingData[[#Totals],[Candidate 3]]), 0)</f>
        <v>0</v>
      </c>
      <c r="S352" s="99">
        <f>IF(AND(SamplingData[[#This Row],[Total]]&lt;&gt; 0, NOT(ISBLANK(SamplingData[[#This Row],[Candidate 4]]))),(SamplingData[[#This Row],[Total]]+SamplingData[[#This Row],[Winning Candidate]]-SamplingData[[#This Row],[Candidate 4]])/(SamplingData[[#Totals],[Winning Candidate]]-SamplingData[[#Totals],[Candidate 4]]), 0)</f>
        <v>0</v>
      </c>
      <c r="T352" s="99">
        <f>IF(AND(SamplingData[[#This Row],[Total]]&lt;&gt; 0, NOT(ISBLANK(SamplingData[[#This Row],[Candidate 5]]))),(SamplingData[[#This Row],[Total]]+SamplingData[[#This Row],[Winning Candidate]]-SamplingData[[#This Row],[Candidate 5]])/(SamplingData[[#Totals],[Winning Candidate]]-SamplingData[[#Totals],[Candidate 5]]), 0)</f>
        <v>0</v>
      </c>
      <c r="U352" s="99">
        <f>IF(AND(SamplingData[[#This Row],[Total]]&lt;&gt; 0, NOT(ISBLANK(SamplingData[[#This Row],[Candidate 6]]))),(SamplingData[[#This Row],[Total]]+SamplingData[[#This Row],[Losing Candidate]]-SamplingData[[#This Row],[Candidate 6]])/(SamplingData[[#Totals],[Winning Candidate]]-SamplingData[[#Totals],[Candidate 6]]), 0)</f>
        <v>0</v>
      </c>
      <c r="V352" s="99">
        <f>IF(AND(SamplingData[[#This Row],[Total]]&lt;&gt; 0, NOT(ISBLANK(SamplingData[[#This Row],[Candidate 7]]))),(SamplingData[[#This Row],[Total]]+SamplingData[[#This Row],[Winning Candidate]]-SamplingData[[#This Row],[Candidate 7]])/(SamplingData[[#Totals],[Winning Candidate]]-SamplingData[[#Totals],[Candidate 7]]), 0)</f>
        <v>0</v>
      </c>
      <c r="W352" s="99">
        <f>IF(AND(SamplingData[[#This Row],[Total]]&lt;&gt; 0, NOT(ISBLANK(SamplingData[[#This Row],[Candidate 8]]))),(SamplingData[[#This Row],[Total]]+SamplingData[[#This Row],[Winning Candidate]]-SamplingData[[#This Row],[Candidate 8]])/(SamplingData[[#Totals],[Winning Candidate]]-SamplingData[[#Totals],[Candidate 8]]), 0)</f>
        <v>0</v>
      </c>
      <c r="X3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2" s="99">
        <f>MAX(SamplingData[[#This Row],[Error Bound (up) - Max. possible relative overstatement - Losing Candidate]:[Error Bound (up) - Max. possible relative overstatement - Candidate 12]])</f>
        <v>2.5038193855033103E-3</v>
      </c>
      <c r="AC352" s="99">
        <f>IF(SamplingData[[#This Row],[Max Error Bound (up)]] = 0,0,SamplingData[[#This Row],[Max Error Bound (up)]]/SamplingData[[#Totals],[Max Error Bound (up)]])</f>
        <v>1.340567855454977E-4</v>
      </c>
      <c r="AD352" s="103">
        <f>SUM($AC$5:AC352)</f>
        <v>0.32498545824699215</v>
      </c>
      <c r="AE352" s="99" t="str" cm="1">
        <f t="array" ref="AE352">IF(SamplingData[[#This Row],[up/U Selection Probability]] = 0, "Zero", TEXT(SamplingData[[#This Row],[Lower Range]], REPT("0",LEN('General Info'!$B$42))) &amp; " - " &amp; TEXT(SamplingData[[#This Row],[Upper Range]], REPT("0",LEN('General Info'!$B$42))))</f>
        <v>324851 - 324984</v>
      </c>
      <c r="AF352" s="99">
        <f>SamplingData[[#This Row],[Upper Range]]-SamplingData[[#This Row],[Span]]</f>
        <v>324851.40146144666</v>
      </c>
      <c r="AG352" s="99">
        <f>IF(ISNUMBER('General Info'!$B$42), ((SamplingData[[#This Row],[up/U Selection Probability]]) * 'General Info'!$B$44) - 1, 0)</f>
        <v>133.05678554549769</v>
      </c>
      <c r="AH352" s="99">
        <f>IF(ISNUMBER('General Info'!$B$42), (SamplingData[[#This Row],[Running (cumulative) sum]] * ('General Info'!$B$42 -'General Info'!$B$43 + 1)) + 'General Info'!$B$43 - 1, 0)</f>
        <v>324984.45824699214</v>
      </c>
      <c r="AI352" s="99" t="str">
        <f>IF(ISERROR(MATCH(SamplingData[[#This Row],[Batch by Type (p)]],SelectedPrecincts[Batch Name], 0)), "", INDEX(SelectedPrecincts[Draw], MATCH(SamplingData[[#This Row],[Batch by Type (p)]],SelectedPrecincts[Batch Name], 0)))</f>
        <v/>
      </c>
      <c r="AJ352" s="100">
        <f>IF(COUNTIF(SelectedPrecincts[Batch Name],SamplingData[[#This Row],[Batch by Type (p)]]) &lt;&gt; 0, COUNTIF(SelectedPrecincts[Batch Name],SamplingData[[#This Row],[Batch by Type (p)]]), 0)</f>
        <v>0</v>
      </c>
    </row>
    <row r="353" spans="1:36" ht="15" customHeight="1" x14ac:dyDescent="0.35">
      <c r="A353" s="97" t="s">
        <v>566</v>
      </c>
      <c r="B353" s="97">
        <v>105</v>
      </c>
      <c r="C353" s="97">
        <v>271</v>
      </c>
      <c r="D353" s="92"/>
      <c r="E353" s="92"/>
      <c r="F353" s="92"/>
      <c r="G353" s="96"/>
      <c r="H353" s="96"/>
      <c r="I353" s="92"/>
      <c r="J353" s="92"/>
      <c r="K353" s="92"/>
      <c r="L353" s="92"/>
      <c r="M353" s="92"/>
      <c r="N353" s="97">
        <v>0</v>
      </c>
      <c r="O353" s="97">
        <v>22</v>
      </c>
      <c r="P353" s="98">
        <f>SUM(SamplingData[[#This Row],[Winning Candidate]:[Under Votes]])</f>
        <v>398</v>
      </c>
      <c r="Q353" s="99">
        <f>IF(AND(SamplingData[[#This Row],[Total]]&lt;&gt; 0, NOT(ISBLANK(SamplingData[[#This Row],[Losing Candidate]]))),(SamplingData[[#This Row],[Total]]+SamplingData[[#This Row],[Winning Candidate]]-SamplingData[[#This Row],[Losing Candidate]])/(SamplingData[[#Totals],[Winning Candidate]]-SamplingData[[#Totals],[Losing Candidate]]), 0)</f>
        <v>9.8455270751994575E-3</v>
      </c>
      <c r="R353" s="99">
        <f>IF(AND(SamplingData[[#This Row],[Total]]&lt;&gt; 0, NOT(ISBLANK(SamplingData[[#This Row],[Candidate 3]]))),(SamplingData[[#This Row],[Total]]+SamplingData[[#This Row],[Winning Candidate]]-SamplingData[[#This Row],[Candidate 3]])/(SamplingData[[#Totals],[Winning Candidate]]-SamplingData[[#Totals],[Candidate 3]]), 0)</f>
        <v>0</v>
      </c>
      <c r="S353" s="99">
        <f>IF(AND(SamplingData[[#This Row],[Total]]&lt;&gt; 0, NOT(ISBLANK(SamplingData[[#This Row],[Candidate 4]]))),(SamplingData[[#This Row],[Total]]+SamplingData[[#This Row],[Winning Candidate]]-SamplingData[[#This Row],[Candidate 4]])/(SamplingData[[#Totals],[Winning Candidate]]-SamplingData[[#Totals],[Candidate 4]]), 0)</f>
        <v>0</v>
      </c>
      <c r="T353" s="99">
        <f>IF(AND(SamplingData[[#This Row],[Total]]&lt;&gt; 0, NOT(ISBLANK(SamplingData[[#This Row],[Candidate 5]]))),(SamplingData[[#This Row],[Total]]+SamplingData[[#This Row],[Winning Candidate]]-SamplingData[[#This Row],[Candidate 5]])/(SamplingData[[#Totals],[Winning Candidate]]-SamplingData[[#Totals],[Candidate 5]]), 0)</f>
        <v>0</v>
      </c>
      <c r="U353" s="99">
        <f>IF(AND(SamplingData[[#This Row],[Total]]&lt;&gt; 0, NOT(ISBLANK(SamplingData[[#This Row],[Candidate 6]]))),(SamplingData[[#This Row],[Total]]+SamplingData[[#This Row],[Losing Candidate]]-SamplingData[[#This Row],[Candidate 6]])/(SamplingData[[#Totals],[Winning Candidate]]-SamplingData[[#Totals],[Candidate 6]]), 0)</f>
        <v>0</v>
      </c>
      <c r="V353" s="99">
        <f>IF(AND(SamplingData[[#This Row],[Total]]&lt;&gt; 0, NOT(ISBLANK(SamplingData[[#This Row],[Candidate 7]]))),(SamplingData[[#This Row],[Total]]+SamplingData[[#This Row],[Winning Candidate]]-SamplingData[[#This Row],[Candidate 7]])/(SamplingData[[#Totals],[Winning Candidate]]-SamplingData[[#Totals],[Candidate 7]]), 0)</f>
        <v>0</v>
      </c>
      <c r="W353" s="99">
        <f>IF(AND(SamplingData[[#This Row],[Total]]&lt;&gt; 0, NOT(ISBLANK(SamplingData[[#This Row],[Candidate 8]]))),(SamplingData[[#This Row],[Total]]+SamplingData[[#This Row],[Winning Candidate]]-SamplingData[[#This Row],[Candidate 8]])/(SamplingData[[#Totals],[Winning Candidate]]-SamplingData[[#Totals],[Candidate 8]]), 0)</f>
        <v>0</v>
      </c>
      <c r="X3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3" s="99">
        <f>MAX(SamplingData[[#This Row],[Error Bound (up) - Max. possible relative overstatement - Losing Candidate]:[Error Bound (up) - Max. possible relative overstatement - Candidate 12]])</f>
        <v>9.8455270751994575E-3</v>
      </c>
      <c r="AC353" s="99">
        <f>IF(SamplingData[[#This Row],[Max Error Bound (up)]] = 0,0,SamplingData[[#This Row],[Max Error Bound (up)]]/SamplingData[[#Totals],[Max Error Bound (up)]])</f>
        <v>5.2713854655178757E-4</v>
      </c>
      <c r="AD353" s="103">
        <f>SUM($AC$5:AC353)</f>
        <v>0.32551259679354394</v>
      </c>
      <c r="AE353" s="99" t="str" cm="1">
        <f t="array" ref="AE353">IF(SamplingData[[#This Row],[up/U Selection Probability]] = 0, "Zero", TEXT(SamplingData[[#This Row],[Lower Range]], REPT("0",LEN('General Info'!$B$42))) &amp; " - " &amp; TEXT(SamplingData[[#This Row],[Upper Range]], REPT("0",LEN('General Info'!$B$42))))</f>
        <v>324985 - 325512</v>
      </c>
      <c r="AF353" s="99">
        <f>SamplingData[[#This Row],[Upper Range]]-SamplingData[[#This Row],[Span]]</f>
        <v>324985.45824699214</v>
      </c>
      <c r="AG353" s="99">
        <f>IF(ISNUMBER('General Info'!$B$42), ((SamplingData[[#This Row],[up/U Selection Probability]]) * 'General Info'!$B$44) - 1, 0)</f>
        <v>526.13854655178761</v>
      </c>
      <c r="AH353" s="99">
        <f>IF(ISNUMBER('General Info'!$B$42), (SamplingData[[#This Row],[Running (cumulative) sum]] * ('General Info'!$B$42 -'General Info'!$B$43 + 1)) + 'General Info'!$B$43 - 1, 0)</f>
        <v>325511.59679354395</v>
      </c>
      <c r="AI353" s="99" t="str">
        <f>IF(ISERROR(MATCH(SamplingData[[#This Row],[Batch by Type (p)]],SelectedPrecincts[Batch Name], 0)), "", INDEX(SelectedPrecincts[Draw], MATCH(SamplingData[[#This Row],[Batch by Type (p)]],SelectedPrecincts[Batch Name], 0)))</f>
        <v/>
      </c>
      <c r="AJ353" s="100">
        <f>IF(COUNTIF(SelectedPrecincts[Batch Name],SamplingData[[#This Row],[Batch by Type (p)]]) &lt;&gt; 0, COUNTIF(SelectedPrecincts[Batch Name],SamplingData[[#This Row],[Batch by Type (p)]]), 0)</f>
        <v>0</v>
      </c>
    </row>
    <row r="354" spans="1:36" ht="15" customHeight="1" x14ac:dyDescent="0.35">
      <c r="A354" s="97" t="s">
        <v>567</v>
      </c>
      <c r="B354" s="97">
        <v>124</v>
      </c>
      <c r="C354" s="97">
        <v>80</v>
      </c>
      <c r="D354" s="92"/>
      <c r="E354" s="92"/>
      <c r="F354" s="92"/>
      <c r="G354" s="96"/>
      <c r="H354" s="96"/>
      <c r="I354" s="92"/>
      <c r="J354" s="92"/>
      <c r="K354" s="92"/>
      <c r="L354" s="92"/>
      <c r="M354" s="92"/>
      <c r="N354" s="97">
        <v>0</v>
      </c>
      <c r="O354" s="97">
        <v>7</v>
      </c>
      <c r="P354" s="98">
        <f>SUM(SamplingData[[#This Row],[Winning Candidate]:[Under Votes]])</f>
        <v>211</v>
      </c>
      <c r="Q354" s="99">
        <f>IF(AND(SamplingData[[#This Row],[Total]]&lt;&gt; 0, NOT(ISBLANK(SamplingData[[#This Row],[Losing Candidate]]))),(SamplingData[[#This Row],[Total]]+SamplingData[[#This Row],[Winning Candidate]]-SamplingData[[#This Row],[Losing Candidate]])/(SamplingData[[#Totals],[Winning Candidate]]-SamplingData[[#Totals],[Losing Candidate]]), 0)</f>
        <v>1.0821592259378713E-2</v>
      </c>
      <c r="R354" s="99">
        <f>IF(AND(SamplingData[[#This Row],[Total]]&lt;&gt; 0, NOT(ISBLANK(SamplingData[[#This Row],[Candidate 3]]))),(SamplingData[[#This Row],[Total]]+SamplingData[[#This Row],[Winning Candidate]]-SamplingData[[#This Row],[Candidate 3]])/(SamplingData[[#Totals],[Winning Candidate]]-SamplingData[[#Totals],[Candidate 3]]), 0)</f>
        <v>0</v>
      </c>
      <c r="S354" s="99">
        <f>IF(AND(SamplingData[[#This Row],[Total]]&lt;&gt; 0, NOT(ISBLANK(SamplingData[[#This Row],[Candidate 4]]))),(SamplingData[[#This Row],[Total]]+SamplingData[[#This Row],[Winning Candidate]]-SamplingData[[#This Row],[Candidate 4]])/(SamplingData[[#Totals],[Winning Candidate]]-SamplingData[[#Totals],[Candidate 4]]), 0)</f>
        <v>0</v>
      </c>
      <c r="T354" s="99">
        <f>IF(AND(SamplingData[[#This Row],[Total]]&lt;&gt; 0, NOT(ISBLANK(SamplingData[[#This Row],[Candidate 5]]))),(SamplingData[[#This Row],[Total]]+SamplingData[[#This Row],[Winning Candidate]]-SamplingData[[#This Row],[Candidate 5]])/(SamplingData[[#Totals],[Winning Candidate]]-SamplingData[[#Totals],[Candidate 5]]), 0)</f>
        <v>0</v>
      </c>
      <c r="U354" s="99">
        <f>IF(AND(SamplingData[[#This Row],[Total]]&lt;&gt; 0, NOT(ISBLANK(SamplingData[[#This Row],[Candidate 6]]))),(SamplingData[[#This Row],[Total]]+SamplingData[[#This Row],[Losing Candidate]]-SamplingData[[#This Row],[Candidate 6]])/(SamplingData[[#Totals],[Winning Candidate]]-SamplingData[[#Totals],[Candidate 6]]), 0)</f>
        <v>0</v>
      </c>
      <c r="V354" s="99">
        <f>IF(AND(SamplingData[[#This Row],[Total]]&lt;&gt; 0, NOT(ISBLANK(SamplingData[[#This Row],[Candidate 7]]))),(SamplingData[[#This Row],[Total]]+SamplingData[[#This Row],[Winning Candidate]]-SamplingData[[#This Row],[Candidate 7]])/(SamplingData[[#Totals],[Winning Candidate]]-SamplingData[[#Totals],[Candidate 7]]), 0)</f>
        <v>0</v>
      </c>
      <c r="W354" s="99">
        <f>IF(AND(SamplingData[[#This Row],[Total]]&lt;&gt; 0, NOT(ISBLANK(SamplingData[[#This Row],[Candidate 8]]))),(SamplingData[[#This Row],[Total]]+SamplingData[[#This Row],[Winning Candidate]]-SamplingData[[#This Row],[Candidate 8]])/(SamplingData[[#Totals],[Winning Candidate]]-SamplingData[[#Totals],[Candidate 8]]), 0)</f>
        <v>0</v>
      </c>
      <c r="X3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4" s="99">
        <f>MAX(SamplingData[[#This Row],[Error Bound (up) - Max. possible relative overstatement - Losing Candidate]:[Error Bound (up) - Max. possible relative overstatement - Candidate 12]])</f>
        <v>1.0821592259378713E-2</v>
      </c>
      <c r="AC354" s="99">
        <f>IF(SamplingData[[#This Row],[Max Error Bound (up)]] = 0,0,SamplingData[[#This Row],[Max Error Bound (up)]]/SamplingData[[#Totals],[Max Error Bound (up)]])</f>
        <v>5.7939797142545608E-4</v>
      </c>
      <c r="AD354" s="103">
        <f>SUM($AC$5:AC354)</f>
        <v>0.32609199476496942</v>
      </c>
      <c r="AE354" s="99" t="str" cm="1">
        <f t="array" ref="AE354">IF(SamplingData[[#This Row],[up/U Selection Probability]] = 0, "Zero", TEXT(SamplingData[[#This Row],[Lower Range]], REPT("0",LEN('General Info'!$B$42))) &amp; " - " &amp; TEXT(SamplingData[[#This Row],[Upper Range]], REPT("0",LEN('General Info'!$B$42))))</f>
        <v>325513 - 326091</v>
      </c>
      <c r="AF354" s="99">
        <f>SamplingData[[#This Row],[Upper Range]]-SamplingData[[#This Row],[Span]]</f>
        <v>325512.59679354395</v>
      </c>
      <c r="AG354" s="99">
        <f>IF(ISNUMBER('General Info'!$B$42), ((SamplingData[[#This Row],[up/U Selection Probability]]) * 'General Info'!$B$44) - 1, 0)</f>
        <v>578.39797142545603</v>
      </c>
      <c r="AH354" s="99">
        <f>IF(ISNUMBER('General Info'!$B$42), (SamplingData[[#This Row],[Running (cumulative) sum]] * ('General Info'!$B$42 -'General Info'!$B$43 + 1)) + 'General Info'!$B$43 - 1, 0)</f>
        <v>326090.99476496939</v>
      </c>
      <c r="AI354" s="99" t="str">
        <f>IF(ISERROR(MATCH(SamplingData[[#This Row],[Batch by Type (p)]],SelectedPrecincts[Batch Name], 0)), "", INDEX(SelectedPrecincts[Draw], MATCH(SamplingData[[#This Row],[Batch by Type (p)]],SelectedPrecincts[Batch Name], 0)))</f>
        <v/>
      </c>
      <c r="AJ354" s="100">
        <f>IF(COUNTIF(SelectedPrecincts[Batch Name],SamplingData[[#This Row],[Batch by Type (p)]]) &lt;&gt; 0, COUNTIF(SelectedPrecincts[Batch Name],SamplingData[[#This Row],[Batch by Type (p)]]), 0)</f>
        <v>0</v>
      </c>
    </row>
    <row r="355" spans="1:36" ht="15" customHeight="1" x14ac:dyDescent="0.35">
      <c r="A355" s="97" t="s">
        <v>568</v>
      </c>
      <c r="B355" s="97">
        <v>125</v>
      </c>
      <c r="C355" s="97">
        <v>129</v>
      </c>
      <c r="D355" s="92"/>
      <c r="E355" s="92"/>
      <c r="F355" s="92"/>
      <c r="G355" s="96"/>
      <c r="H355" s="96"/>
      <c r="I355" s="92"/>
      <c r="J355" s="92"/>
      <c r="K355" s="92"/>
      <c r="L355" s="92"/>
      <c r="M355" s="92"/>
      <c r="N355" s="97">
        <v>0</v>
      </c>
      <c r="O355" s="97">
        <v>8</v>
      </c>
      <c r="P355" s="98">
        <f>SUM(SamplingData[[#This Row],[Winning Candidate]:[Under Votes]])</f>
        <v>262</v>
      </c>
      <c r="Q355" s="99">
        <f>IF(AND(SamplingData[[#This Row],[Total]]&lt;&gt; 0, NOT(ISBLANK(SamplingData[[#This Row],[Losing Candidate]]))),(SamplingData[[#This Row],[Total]]+SamplingData[[#This Row],[Winning Candidate]]-SamplingData[[#This Row],[Losing Candidate]])/(SamplingData[[#Totals],[Winning Candidate]]-SamplingData[[#Totals],[Losing Candidate]]), 0)</f>
        <v>1.0948905109489052E-2</v>
      </c>
      <c r="R355" s="99">
        <f>IF(AND(SamplingData[[#This Row],[Total]]&lt;&gt; 0, NOT(ISBLANK(SamplingData[[#This Row],[Candidate 3]]))),(SamplingData[[#This Row],[Total]]+SamplingData[[#This Row],[Winning Candidate]]-SamplingData[[#This Row],[Candidate 3]])/(SamplingData[[#Totals],[Winning Candidate]]-SamplingData[[#Totals],[Candidate 3]]), 0)</f>
        <v>0</v>
      </c>
      <c r="S355" s="99">
        <f>IF(AND(SamplingData[[#This Row],[Total]]&lt;&gt; 0, NOT(ISBLANK(SamplingData[[#This Row],[Candidate 4]]))),(SamplingData[[#This Row],[Total]]+SamplingData[[#This Row],[Winning Candidate]]-SamplingData[[#This Row],[Candidate 4]])/(SamplingData[[#Totals],[Winning Candidate]]-SamplingData[[#Totals],[Candidate 4]]), 0)</f>
        <v>0</v>
      </c>
      <c r="T355" s="99">
        <f>IF(AND(SamplingData[[#This Row],[Total]]&lt;&gt; 0, NOT(ISBLANK(SamplingData[[#This Row],[Candidate 5]]))),(SamplingData[[#This Row],[Total]]+SamplingData[[#This Row],[Winning Candidate]]-SamplingData[[#This Row],[Candidate 5]])/(SamplingData[[#Totals],[Winning Candidate]]-SamplingData[[#Totals],[Candidate 5]]), 0)</f>
        <v>0</v>
      </c>
      <c r="U355" s="99">
        <f>IF(AND(SamplingData[[#This Row],[Total]]&lt;&gt; 0, NOT(ISBLANK(SamplingData[[#This Row],[Candidate 6]]))),(SamplingData[[#This Row],[Total]]+SamplingData[[#This Row],[Losing Candidate]]-SamplingData[[#This Row],[Candidate 6]])/(SamplingData[[#Totals],[Winning Candidate]]-SamplingData[[#Totals],[Candidate 6]]), 0)</f>
        <v>0</v>
      </c>
      <c r="V355" s="99">
        <f>IF(AND(SamplingData[[#This Row],[Total]]&lt;&gt; 0, NOT(ISBLANK(SamplingData[[#This Row],[Candidate 7]]))),(SamplingData[[#This Row],[Total]]+SamplingData[[#This Row],[Winning Candidate]]-SamplingData[[#This Row],[Candidate 7]])/(SamplingData[[#Totals],[Winning Candidate]]-SamplingData[[#Totals],[Candidate 7]]), 0)</f>
        <v>0</v>
      </c>
      <c r="W355" s="99">
        <f>IF(AND(SamplingData[[#This Row],[Total]]&lt;&gt; 0, NOT(ISBLANK(SamplingData[[#This Row],[Candidate 8]]))),(SamplingData[[#This Row],[Total]]+SamplingData[[#This Row],[Winning Candidate]]-SamplingData[[#This Row],[Candidate 8]])/(SamplingData[[#Totals],[Winning Candidate]]-SamplingData[[#Totals],[Candidate 8]]), 0)</f>
        <v>0</v>
      </c>
      <c r="X3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5" s="99">
        <f>MAX(SamplingData[[#This Row],[Error Bound (up) - Max. possible relative overstatement - Losing Candidate]:[Error Bound (up) - Max. possible relative overstatement - Candidate 12]])</f>
        <v>1.0948905109489052E-2</v>
      </c>
      <c r="AC355" s="99">
        <f>IF(SamplingData[[#This Row],[Max Error Bound (up)]] = 0,0,SamplingData[[#This Row],[Max Error Bound (up)]]/SamplingData[[#Totals],[Max Error Bound (up)]])</f>
        <v>5.8621441814810853E-4</v>
      </c>
      <c r="AD355" s="103">
        <f>SUM($AC$5:AC355)</f>
        <v>0.32667820918311752</v>
      </c>
      <c r="AE355" s="99" t="str" cm="1">
        <f t="array" ref="AE355">IF(SamplingData[[#This Row],[up/U Selection Probability]] = 0, "Zero", TEXT(SamplingData[[#This Row],[Lower Range]], REPT("0",LEN('General Info'!$B$42))) &amp; " - " &amp; TEXT(SamplingData[[#This Row],[Upper Range]], REPT("0",LEN('General Info'!$B$42))))</f>
        <v>326092 - 326677</v>
      </c>
      <c r="AF355" s="99">
        <f>SamplingData[[#This Row],[Upper Range]]-SamplingData[[#This Row],[Span]]</f>
        <v>326091.99476496939</v>
      </c>
      <c r="AG355" s="99">
        <f>IF(ISNUMBER('General Info'!$B$42), ((SamplingData[[#This Row],[up/U Selection Probability]]) * 'General Info'!$B$44) - 1, 0)</f>
        <v>585.21441814810851</v>
      </c>
      <c r="AH355" s="99">
        <f>IF(ISNUMBER('General Info'!$B$42), (SamplingData[[#This Row],[Running (cumulative) sum]] * ('General Info'!$B$42 -'General Info'!$B$43 + 1)) + 'General Info'!$B$43 - 1, 0)</f>
        <v>326677.20918311749</v>
      </c>
      <c r="AI355" s="99" t="str">
        <f>IF(ISERROR(MATCH(SamplingData[[#This Row],[Batch by Type (p)]],SelectedPrecincts[Batch Name], 0)), "", INDEX(SelectedPrecincts[Draw], MATCH(SamplingData[[#This Row],[Batch by Type (p)]],SelectedPrecincts[Batch Name], 0)))</f>
        <v/>
      </c>
      <c r="AJ355" s="100">
        <f>IF(COUNTIF(SelectedPrecincts[Batch Name],SamplingData[[#This Row],[Batch by Type (p)]]) &lt;&gt; 0, COUNTIF(SelectedPrecincts[Batch Name],SamplingData[[#This Row],[Batch by Type (p)]]), 0)</f>
        <v>0</v>
      </c>
    </row>
    <row r="356" spans="1:36" ht="15" customHeight="1" x14ac:dyDescent="0.35">
      <c r="A356" s="97" t="s">
        <v>569</v>
      </c>
      <c r="B356" s="97">
        <v>115</v>
      </c>
      <c r="C356" s="97">
        <v>54</v>
      </c>
      <c r="D356" s="92"/>
      <c r="E356" s="92"/>
      <c r="F356" s="92"/>
      <c r="G356" s="96"/>
      <c r="H356" s="96"/>
      <c r="I356" s="92"/>
      <c r="J356" s="92"/>
      <c r="K356" s="92"/>
      <c r="L356" s="92"/>
      <c r="M356" s="92"/>
      <c r="N356" s="97">
        <v>1</v>
      </c>
      <c r="O356" s="97">
        <v>6</v>
      </c>
      <c r="P356" s="98">
        <f>SUM(SamplingData[[#This Row],[Winning Candidate]:[Under Votes]])</f>
        <v>176</v>
      </c>
      <c r="Q356" s="99">
        <f>IF(AND(SamplingData[[#This Row],[Total]]&lt;&gt; 0, NOT(ISBLANK(SamplingData[[#This Row],[Losing Candidate]]))),(SamplingData[[#This Row],[Total]]+SamplingData[[#This Row],[Winning Candidate]]-SamplingData[[#This Row],[Losing Candidate]])/(SamplingData[[#Totals],[Winning Candidate]]-SamplingData[[#Totals],[Losing Candidate]]), 0)</f>
        <v>1.0057715158716686E-2</v>
      </c>
      <c r="R356" s="99">
        <f>IF(AND(SamplingData[[#This Row],[Total]]&lt;&gt; 0, NOT(ISBLANK(SamplingData[[#This Row],[Candidate 3]]))),(SamplingData[[#This Row],[Total]]+SamplingData[[#This Row],[Winning Candidate]]-SamplingData[[#This Row],[Candidate 3]])/(SamplingData[[#Totals],[Winning Candidate]]-SamplingData[[#Totals],[Candidate 3]]), 0)</f>
        <v>0</v>
      </c>
      <c r="S356" s="99">
        <f>IF(AND(SamplingData[[#This Row],[Total]]&lt;&gt; 0, NOT(ISBLANK(SamplingData[[#This Row],[Candidate 4]]))),(SamplingData[[#This Row],[Total]]+SamplingData[[#This Row],[Winning Candidate]]-SamplingData[[#This Row],[Candidate 4]])/(SamplingData[[#Totals],[Winning Candidate]]-SamplingData[[#Totals],[Candidate 4]]), 0)</f>
        <v>0</v>
      </c>
      <c r="T356" s="99">
        <f>IF(AND(SamplingData[[#This Row],[Total]]&lt;&gt; 0, NOT(ISBLANK(SamplingData[[#This Row],[Candidate 5]]))),(SamplingData[[#This Row],[Total]]+SamplingData[[#This Row],[Winning Candidate]]-SamplingData[[#This Row],[Candidate 5]])/(SamplingData[[#Totals],[Winning Candidate]]-SamplingData[[#Totals],[Candidate 5]]), 0)</f>
        <v>0</v>
      </c>
      <c r="U356" s="99">
        <f>IF(AND(SamplingData[[#This Row],[Total]]&lt;&gt; 0, NOT(ISBLANK(SamplingData[[#This Row],[Candidate 6]]))),(SamplingData[[#This Row],[Total]]+SamplingData[[#This Row],[Losing Candidate]]-SamplingData[[#This Row],[Candidate 6]])/(SamplingData[[#Totals],[Winning Candidate]]-SamplingData[[#Totals],[Candidate 6]]), 0)</f>
        <v>0</v>
      </c>
      <c r="V356" s="99">
        <f>IF(AND(SamplingData[[#This Row],[Total]]&lt;&gt; 0, NOT(ISBLANK(SamplingData[[#This Row],[Candidate 7]]))),(SamplingData[[#This Row],[Total]]+SamplingData[[#This Row],[Winning Candidate]]-SamplingData[[#This Row],[Candidate 7]])/(SamplingData[[#Totals],[Winning Candidate]]-SamplingData[[#Totals],[Candidate 7]]), 0)</f>
        <v>0</v>
      </c>
      <c r="W356" s="99">
        <f>IF(AND(SamplingData[[#This Row],[Total]]&lt;&gt; 0, NOT(ISBLANK(SamplingData[[#This Row],[Candidate 8]]))),(SamplingData[[#This Row],[Total]]+SamplingData[[#This Row],[Winning Candidate]]-SamplingData[[#This Row],[Candidate 8]])/(SamplingData[[#Totals],[Winning Candidate]]-SamplingData[[#Totals],[Candidate 8]]), 0)</f>
        <v>0</v>
      </c>
      <c r="X3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6" s="99">
        <f>MAX(SamplingData[[#This Row],[Error Bound (up) - Max. possible relative overstatement - Losing Candidate]:[Error Bound (up) - Max. possible relative overstatement - Candidate 12]])</f>
        <v>1.0057715158716686E-2</v>
      </c>
      <c r="AC356" s="99">
        <f>IF(SamplingData[[#This Row],[Max Error Bound (up)]] = 0,0,SamplingData[[#This Row],[Max Error Bound (up)]]/SamplingData[[#Totals],[Max Error Bound (up)]])</f>
        <v>5.3849929108954148E-4</v>
      </c>
      <c r="AD356" s="103">
        <f>SUM($AC$5:AC356)</f>
        <v>0.32721670847420709</v>
      </c>
      <c r="AE356" s="99" t="str" cm="1">
        <f t="array" ref="AE356">IF(SamplingData[[#This Row],[up/U Selection Probability]] = 0, "Zero", TEXT(SamplingData[[#This Row],[Lower Range]], REPT("0",LEN('General Info'!$B$42))) &amp; " - " &amp; TEXT(SamplingData[[#This Row],[Upper Range]], REPT("0",LEN('General Info'!$B$42))))</f>
        <v>326678 - 327216</v>
      </c>
      <c r="AF356" s="99">
        <f>SamplingData[[#This Row],[Upper Range]]-SamplingData[[#This Row],[Span]]</f>
        <v>326678.20918311755</v>
      </c>
      <c r="AG356" s="99">
        <f>IF(ISNUMBER('General Info'!$B$42), ((SamplingData[[#This Row],[up/U Selection Probability]]) * 'General Info'!$B$44) - 1, 0)</f>
        <v>537.49929108954143</v>
      </c>
      <c r="AH356" s="99">
        <f>IF(ISNUMBER('General Info'!$B$42), (SamplingData[[#This Row],[Running (cumulative) sum]] * ('General Info'!$B$42 -'General Info'!$B$43 + 1)) + 'General Info'!$B$43 - 1, 0)</f>
        <v>327215.70847420709</v>
      </c>
      <c r="AI356" s="99" t="str">
        <f>IF(ISERROR(MATCH(SamplingData[[#This Row],[Batch by Type (p)]],SelectedPrecincts[Batch Name], 0)), "", INDEX(SelectedPrecincts[Draw], MATCH(SamplingData[[#This Row],[Batch by Type (p)]],SelectedPrecincts[Batch Name], 0)))</f>
        <v/>
      </c>
      <c r="AJ356" s="100">
        <f>IF(COUNTIF(SelectedPrecincts[Batch Name],SamplingData[[#This Row],[Batch by Type (p)]]) &lt;&gt; 0, COUNTIF(SelectedPrecincts[Batch Name],SamplingData[[#This Row],[Batch by Type (p)]]), 0)</f>
        <v>0</v>
      </c>
    </row>
    <row r="357" spans="1:36" ht="15" customHeight="1" x14ac:dyDescent="0.35">
      <c r="A357" s="97" t="s">
        <v>570</v>
      </c>
      <c r="B357" s="97">
        <v>155</v>
      </c>
      <c r="C357" s="97">
        <v>364</v>
      </c>
      <c r="D357" s="92"/>
      <c r="E357" s="92"/>
      <c r="F357" s="92"/>
      <c r="G357" s="96"/>
      <c r="H357" s="96"/>
      <c r="I357" s="92"/>
      <c r="J357" s="92"/>
      <c r="K357" s="92"/>
      <c r="L357" s="92"/>
      <c r="M357" s="92"/>
      <c r="N357" s="97">
        <v>1</v>
      </c>
      <c r="O357" s="97">
        <v>34</v>
      </c>
      <c r="P357" s="98">
        <f>SUM(SamplingData[[#This Row],[Winning Candidate]:[Under Votes]])</f>
        <v>554</v>
      </c>
      <c r="Q357" s="99">
        <f>IF(AND(SamplingData[[#This Row],[Total]]&lt;&gt; 0, NOT(ISBLANK(SamplingData[[#This Row],[Losing Candidate]]))),(SamplingData[[#This Row],[Total]]+SamplingData[[#This Row],[Winning Candidate]]-SamplingData[[#This Row],[Losing Candidate]])/(SamplingData[[#Totals],[Winning Candidate]]-SamplingData[[#Totals],[Losing Candidate]]), 0)</f>
        <v>1.4640977762688847E-2</v>
      </c>
      <c r="R357" s="99">
        <f>IF(AND(SamplingData[[#This Row],[Total]]&lt;&gt; 0, NOT(ISBLANK(SamplingData[[#This Row],[Candidate 3]]))),(SamplingData[[#This Row],[Total]]+SamplingData[[#This Row],[Winning Candidate]]-SamplingData[[#This Row],[Candidate 3]])/(SamplingData[[#Totals],[Winning Candidate]]-SamplingData[[#Totals],[Candidate 3]]), 0)</f>
        <v>0</v>
      </c>
      <c r="S357" s="99">
        <f>IF(AND(SamplingData[[#This Row],[Total]]&lt;&gt; 0, NOT(ISBLANK(SamplingData[[#This Row],[Candidate 4]]))),(SamplingData[[#This Row],[Total]]+SamplingData[[#This Row],[Winning Candidate]]-SamplingData[[#This Row],[Candidate 4]])/(SamplingData[[#Totals],[Winning Candidate]]-SamplingData[[#Totals],[Candidate 4]]), 0)</f>
        <v>0</v>
      </c>
      <c r="T357" s="99">
        <f>IF(AND(SamplingData[[#This Row],[Total]]&lt;&gt; 0, NOT(ISBLANK(SamplingData[[#This Row],[Candidate 5]]))),(SamplingData[[#This Row],[Total]]+SamplingData[[#This Row],[Winning Candidate]]-SamplingData[[#This Row],[Candidate 5]])/(SamplingData[[#Totals],[Winning Candidate]]-SamplingData[[#Totals],[Candidate 5]]), 0)</f>
        <v>0</v>
      </c>
      <c r="U357" s="99">
        <f>IF(AND(SamplingData[[#This Row],[Total]]&lt;&gt; 0, NOT(ISBLANK(SamplingData[[#This Row],[Candidate 6]]))),(SamplingData[[#This Row],[Total]]+SamplingData[[#This Row],[Losing Candidate]]-SamplingData[[#This Row],[Candidate 6]])/(SamplingData[[#Totals],[Winning Candidate]]-SamplingData[[#Totals],[Candidate 6]]), 0)</f>
        <v>0</v>
      </c>
      <c r="V357" s="99">
        <f>IF(AND(SamplingData[[#This Row],[Total]]&lt;&gt; 0, NOT(ISBLANK(SamplingData[[#This Row],[Candidate 7]]))),(SamplingData[[#This Row],[Total]]+SamplingData[[#This Row],[Winning Candidate]]-SamplingData[[#This Row],[Candidate 7]])/(SamplingData[[#Totals],[Winning Candidate]]-SamplingData[[#Totals],[Candidate 7]]), 0)</f>
        <v>0</v>
      </c>
      <c r="W357" s="99">
        <f>IF(AND(SamplingData[[#This Row],[Total]]&lt;&gt; 0, NOT(ISBLANK(SamplingData[[#This Row],[Candidate 8]]))),(SamplingData[[#This Row],[Total]]+SamplingData[[#This Row],[Winning Candidate]]-SamplingData[[#This Row],[Candidate 8]])/(SamplingData[[#Totals],[Winning Candidate]]-SamplingData[[#Totals],[Candidate 8]]), 0)</f>
        <v>0</v>
      </c>
      <c r="X3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7" s="99">
        <f>MAX(SamplingData[[#This Row],[Error Bound (up) - Max. possible relative overstatement - Losing Candidate]:[Error Bound (up) - Max. possible relative overstatement - Candidate 12]])</f>
        <v>1.4640977762688847E-2</v>
      </c>
      <c r="AC357" s="99">
        <f>IF(SamplingData[[#This Row],[Max Error Bound (up)]] = 0,0,SamplingData[[#This Row],[Max Error Bound (up)]]/SamplingData[[#Totals],[Max Error Bound (up)]])</f>
        <v>7.8389137310502885E-4</v>
      </c>
      <c r="AD357" s="103">
        <f>SUM($AC$5:AC357)</f>
        <v>0.32800059984731211</v>
      </c>
      <c r="AE357" s="99" t="str" cm="1">
        <f t="array" ref="AE357">IF(SamplingData[[#This Row],[up/U Selection Probability]] = 0, "Zero", TEXT(SamplingData[[#This Row],[Lower Range]], REPT("0",LEN('General Info'!$B$42))) &amp; " - " &amp; TEXT(SamplingData[[#This Row],[Upper Range]], REPT("0",LEN('General Info'!$B$42))))</f>
        <v>327217 - 328000</v>
      </c>
      <c r="AF357" s="99">
        <f>SamplingData[[#This Row],[Upper Range]]-SamplingData[[#This Row],[Span]]</f>
        <v>327216.70847420703</v>
      </c>
      <c r="AG357" s="99">
        <f>IF(ISNUMBER('General Info'!$B$42), ((SamplingData[[#This Row],[up/U Selection Probability]]) * 'General Info'!$B$44) - 1, 0)</f>
        <v>782.89137310502883</v>
      </c>
      <c r="AH357" s="99">
        <f>IF(ISNUMBER('General Info'!$B$42), (SamplingData[[#This Row],[Running (cumulative) sum]] * ('General Info'!$B$42 -'General Info'!$B$43 + 1)) + 'General Info'!$B$43 - 1, 0)</f>
        <v>327999.59984731209</v>
      </c>
      <c r="AI357" s="99" t="str">
        <f>IF(ISERROR(MATCH(SamplingData[[#This Row],[Batch by Type (p)]],SelectedPrecincts[Batch Name], 0)), "", INDEX(SelectedPrecincts[Draw], MATCH(SamplingData[[#This Row],[Batch by Type (p)]],SelectedPrecincts[Batch Name], 0)))</f>
        <v/>
      </c>
      <c r="AJ357" s="100">
        <f>IF(COUNTIF(SelectedPrecincts[Batch Name],SamplingData[[#This Row],[Batch by Type (p)]]) &lt;&gt; 0, COUNTIF(SelectedPrecincts[Batch Name],SamplingData[[#This Row],[Batch by Type (p)]]), 0)</f>
        <v>0</v>
      </c>
    </row>
    <row r="358" spans="1:36" ht="15" customHeight="1" x14ac:dyDescent="0.35">
      <c r="A358" s="97" t="s">
        <v>571</v>
      </c>
      <c r="B358" s="97">
        <v>101</v>
      </c>
      <c r="C358" s="97">
        <v>266</v>
      </c>
      <c r="D358" s="92"/>
      <c r="E358" s="92"/>
      <c r="F358" s="92"/>
      <c r="G358" s="96"/>
      <c r="H358" s="96"/>
      <c r="I358" s="92"/>
      <c r="J358" s="92"/>
      <c r="K358" s="92"/>
      <c r="L358" s="92"/>
      <c r="M358" s="92"/>
      <c r="N358" s="97">
        <v>0</v>
      </c>
      <c r="O358" s="97">
        <v>18</v>
      </c>
      <c r="P358" s="98">
        <f>SUM(SamplingData[[#This Row],[Winning Candidate]:[Under Votes]])</f>
        <v>385</v>
      </c>
      <c r="Q358" s="99">
        <f>IF(AND(SamplingData[[#This Row],[Total]]&lt;&gt; 0, NOT(ISBLANK(SamplingData[[#This Row],[Losing Candidate]]))),(SamplingData[[#This Row],[Total]]+SamplingData[[#This Row],[Winning Candidate]]-SamplingData[[#This Row],[Losing Candidate]])/(SamplingData[[#Totals],[Winning Candidate]]-SamplingData[[#Totals],[Losing Candidate]]), 0)</f>
        <v>9.3362756747581051E-3</v>
      </c>
      <c r="R358" s="99">
        <f>IF(AND(SamplingData[[#This Row],[Total]]&lt;&gt; 0, NOT(ISBLANK(SamplingData[[#This Row],[Candidate 3]]))),(SamplingData[[#This Row],[Total]]+SamplingData[[#This Row],[Winning Candidate]]-SamplingData[[#This Row],[Candidate 3]])/(SamplingData[[#Totals],[Winning Candidate]]-SamplingData[[#Totals],[Candidate 3]]), 0)</f>
        <v>0</v>
      </c>
      <c r="S358" s="99">
        <f>IF(AND(SamplingData[[#This Row],[Total]]&lt;&gt; 0, NOT(ISBLANK(SamplingData[[#This Row],[Candidate 4]]))),(SamplingData[[#This Row],[Total]]+SamplingData[[#This Row],[Winning Candidate]]-SamplingData[[#This Row],[Candidate 4]])/(SamplingData[[#Totals],[Winning Candidate]]-SamplingData[[#Totals],[Candidate 4]]), 0)</f>
        <v>0</v>
      </c>
      <c r="T358" s="99">
        <f>IF(AND(SamplingData[[#This Row],[Total]]&lt;&gt; 0, NOT(ISBLANK(SamplingData[[#This Row],[Candidate 5]]))),(SamplingData[[#This Row],[Total]]+SamplingData[[#This Row],[Winning Candidate]]-SamplingData[[#This Row],[Candidate 5]])/(SamplingData[[#Totals],[Winning Candidate]]-SamplingData[[#Totals],[Candidate 5]]), 0)</f>
        <v>0</v>
      </c>
      <c r="U358" s="99">
        <f>IF(AND(SamplingData[[#This Row],[Total]]&lt;&gt; 0, NOT(ISBLANK(SamplingData[[#This Row],[Candidate 6]]))),(SamplingData[[#This Row],[Total]]+SamplingData[[#This Row],[Losing Candidate]]-SamplingData[[#This Row],[Candidate 6]])/(SamplingData[[#Totals],[Winning Candidate]]-SamplingData[[#Totals],[Candidate 6]]), 0)</f>
        <v>0</v>
      </c>
      <c r="V358" s="99">
        <f>IF(AND(SamplingData[[#This Row],[Total]]&lt;&gt; 0, NOT(ISBLANK(SamplingData[[#This Row],[Candidate 7]]))),(SamplingData[[#This Row],[Total]]+SamplingData[[#This Row],[Winning Candidate]]-SamplingData[[#This Row],[Candidate 7]])/(SamplingData[[#Totals],[Winning Candidate]]-SamplingData[[#Totals],[Candidate 7]]), 0)</f>
        <v>0</v>
      </c>
      <c r="W358" s="99">
        <f>IF(AND(SamplingData[[#This Row],[Total]]&lt;&gt; 0, NOT(ISBLANK(SamplingData[[#This Row],[Candidate 8]]))),(SamplingData[[#This Row],[Total]]+SamplingData[[#This Row],[Winning Candidate]]-SamplingData[[#This Row],[Candidate 8]])/(SamplingData[[#Totals],[Winning Candidate]]-SamplingData[[#Totals],[Candidate 8]]), 0)</f>
        <v>0</v>
      </c>
      <c r="X3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8" s="99">
        <f>MAX(SamplingData[[#This Row],[Error Bound (up) - Max. possible relative overstatement - Losing Candidate]:[Error Bound (up) - Max. possible relative overstatement - Candidate 12]])</f>
        <v>9.3362756747581051E-3</v>
      </c>
      <c r="AC358" s="99">
        <f>IF(SamplingData[[#This Row],[Max Error Bound (up)]] = 0,0,SamplingData[[#This Row],[Max Error Bound (up)]]/SamplingData[[#Totals],[Max Error Bound (up)]])</f>
        <v>4.9987275966117777E-4</v>
      </c>
      <c r="AD358" s="103">
        <f>SUM($AC$5:AC358)</f>
        <v>0.32850047260697329</v>
      </c>
      <c r="AE358" s="99" t="str" cm="1">
        <f t="array" ref="AE358">IF(SamplingData[[#This Row],[up/U Selection Probability]] = 0, "Zero", TEXT(SamplingData[[#This Row],[Lower Range]], REPT("0",LEN('General Info'!$B$42))) &amp; " - " &amp; TEXT(SamplingData[[#This Row],[Upper Range]], REPT("0",LEN('General Info'!$B$42))))</f>
        <v>328001 - 328499</v>
      </c>
      <c r="AF358" s="99">
        <f>SamplingData[[#This Row],[Upper Range]]-SamplingData[[#This Row],[Span]]</f>
        <v>328000.59984731214</v>
      </c>
      <c r="AG358" s="99">
        <f>IF(ISNUMBER('General Info'!$B$42), ((SamplingData[[#This Row],[up/U Selection Probability]]) * 'General Info'!$B$44) - 1, 0)</f>
        <v>498.87275966117778</v>
      </c>
      <c r="AH358" s="99">
        <f>IF(ISNUMBER('General Info'!$B$42), (SamplingData[[#This Row],[Running (cumulative) sum]] * ('General Info'!$B$42 -'General Info'!$B$43 + 1)) + 'General Info'!$B$43 - 1, 0)</f>
        <v>328499.47260697332</v>
      </c>
      <c r="AI358" s="99" t="str">
        <f>IF(ISERROR(MATCH(SamplingData[[#This Row],[Batch by Type (p)]],SelectedPrecincts[Batch Name], 0)), "", INDEX(SelectedPrecincts[Draw], MATCH(SamplingData[[#This Row],[Batch by Type (p)]],SelectedPrecincts[Batch Name], 0)))</f>
        <v/>
      </c>
      <c r="AJ358" s="100">
        <f>IF(COUNTIF(SelectedPrecincts[Batch Name],SamplingData[[#This Row],[Batch by Type (p)]]) &lt;&gt; 0, COUNTIF(SelectedPrecincts[Batch Name],SamplingData[[#This Row],[Batch by Type (p)]]), 0)</f>
        <v>0</v>
      </c>
    </row>
    <row r="359" spans="1:36" ht="15" customHeight="1" x14ac:dyDescent="0.35">
      <c r="A359" s="97" t="s">
        <v>572</v>
      </c>
      <c r="B359" s="97">
        <v>99</v>
      </c>
      <c r="C359" s="97">
        <v>234</v>
      </c>
      <c r="D359" s="92"/>
      <c r="E359" s="92"/>
      <c r="F359" s="92"/>
      <c r="G359" s="96"/>
      <c r="H359" s="96"/>
      <c r="I359" s="92"/>
      <c r="J359" s="92"/>
      <c r="K359" s="92"/>
      <c r="L359" s="92"/>
      <c r="M359" s="92"/>
      <c r="N359" s="97">
        <v>0</v>
      </c>
      <c r="O359" s="97">
        <v>12</v>
      </c>
      <c r="P359" s="98">
        <f>SUM(SamplingData[[#This Row],[Winning Candidate]:[Under Votes]])</f>
        <v>345</v>
      </c>
      <c r="Q359" s="99">
        <f>IF(AND(SamplingData[[#This Row],[Total]]&lt;&gt; 0, NOT(ISBLANK(SamplingData[[#This Row],[Losing Candidate]]))),(SamplingData[[#This Row],[Total]]+SamplingData[[#This Row],[Winning Candidate]]-SamplingData[[#This Row],[Losing Candidate]])/(SamplingData[[#Totals],[Winning Candidate]]-SamplingData[[#Totals],[Losing Candidate]]), 0)</f>
        <v>8.911899507723647E-3</v>
      </c>
      <c r="R359" s="99">
        <f>IF(AND(SamplingData[[#This Row],[Total]]&lt;&gt; 0, NOT(ISBLANK(SamplingData[[#This Row],[Candidate 3]]))),(SamplingData[[#This Row],[Total]]+SamplingData[[#This Row],[Winning Candidate]]-SamplingData[[#This Row],[Candidate 3]])/(SamplingData[[#Totals],[Winning Candidate]]-SamplingData[[#Totals],[Candidate 3]]), 0)</f>
        <v>0</v>
      </c>
      <c r="S359" s="99">
        <f>IF(AND(SamplingData[[#This Row],[Total]]&lt;&gt; 0, NOT(ISBLANK(SamplingData[[#This Row],[Candidate 4]]))),(SamplingData[[#This Row],[Total]]+SamplingData[[#This Row],[Winning Candidate]]-SamplingData[[#This Row],[Candidate 4]])/(SamplingData[[#Totals],[Winning Candidate]]-SamplingData[[#Totals],[Candidate 4]]), 0)</f>
        <v>0</v>
      </c>
      <c r="T359" s="99">
        <f>IF(AND(SamplingData[[#This Row],[Total]]&lt;&gt; 0, NOT(ISBLANK(SamplingData[[#This Row],[Candidate 5]]))),(SamplingData[[#This Row],[Total]]+SamplingData[[#This Row],[Winning Candidate]]-SamplingData[[#This Row],[Candidate 5]])/(SamplingData[[#Totals],[Winning Candidate]]-SamplingData[[#Totals],[Candidate 5]]), 0)</f>
        <v>0</v>
      </c>
      <c r="U359" s="99">
        <f>IF(AND(SamplingData[[#This Row],[Total]]&lt;&gt; 0, NOT(ISBLANK(SamplingData[[#This Row],[Candidate 6]]))),(SamplingData[[#This Row],[Total]]+SamplingData[[#This Row],[Losing Candidate]]-SamplingData[[#This Row],[Candidate 6]])/(SamplingData[[#Totals],[Winning Candidate]]-SamplingData[[#Totals],[Candidate 6]]), 0)</f>
        <v>0</v>
      </c>
      <c r="V359" s="99">
        <f>IF(AND(SamplingData[[#This Row],[Total]]&lt;&gt; 0, NOT(ISBLANK(SamplingData[[#This Row],[Candidate 7]]))),(SamplingData[[#This Row],[Total]]+SamplingData[[#This Row],[Winning Candidate]]-SamplingData[[#This Row],[Candidate 7]])/(SamplingData[[#Totals],[Winning Candidate]]-SamplingData[[#Totals],[Candidate 7]]), 0)</f>
        <v>0</v>
      </c>
      <c r="W359" s="99">
        <f>IF(AND(SamplingData[[#This Row],[Total]]&lt;&gt; 0, NOT(ISBLANK(SamplingData[[#This Row],[Candidate 8]]))),(SamplingData[[#This Row],[Total]]+SamplingData[[#This Row],[Winning Candidate]]-SamplingData[[#This Row],[Candidate 8]])/(SamplingData[[#Totals],[Winning Candidate]]-SamplingData[[#Totals],[Candidate 8]]), 0)</f>
        <v>0</v>
      </c>
      <c r="X3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9" s="99">
        <f>MAX(SamplingData[[#This Row],[Error Bound (up) - Max. possible relative overstatement - Losing Candidate]:[Error Bound (up) - Max. possible relative overstatement - Candidate 12]])</f>
        <v>8.911899507723647E-3</v>
      </c>
      <c r="AC359" s="99">
        <f>IF(SamplingData[[#This Row],[Max Error Bound (up)]] = 0,0,SamplingData[[#This Row],[Max Error Bound (up)]]/SamplingData[[#Totals],[Max Error Bound (up)]])</f>
        <v>4.7715127058566974E-4</v>
      </c>
      <c r="AD359" s="103">
        <f>SUM($AC$5:AC359)</f>
        <v>0.32897762387755897</v>
      </c>
      <c r="AE359" s="99" t="str" cm="1">
        <f t="array" ref="AE359">IF(SamplingData[[#This Row],[up/U Selection Probability]] = 0, "Zero", TEXT(SamplingData[[#This Row],[Lower Range]], REPT("0",LEN('General Info'!$B$42))) &amp; " - " &amp; TEXT(SamplingData[[#This Row],[Upper Range]], REPT("0",LEN('General Info'!$B$42))))</f>
        <v>328500 - 328977</v>
      </c>
      <c r="AF359" s="99">
        <f>SamplingData[[#This Row],[Upper Range]]-SamplingData[[#This Row],[Span]]</f>
        <v>328500.47260697332</v>
      </c>
      <c r="AG359" s="99">
        <f>IF(ISNUMBER('General Info'!$B$42), ((SamplingData[[#This Row],[up/U Selection Probability]]) * 'General Info'!$B$44) - 1, 0)</f>
        <v>476.15127058566975</v>
      </c>
      <c r="AH359" s="99">
        <f>IF(ISNUMBER('General Info'!$B$42), (SamplingData[[#This Row],[Running (cumulative) sum]] * ('General Info'!$B$42 -'General Info'!$B$43 + 1)) + 'General Info'!$B$43 - 1, 0)</f>
        <v>328976.62387755897</v>
      </c>
      <c r="AI359" s="99" t="str">
        <f>IF(ISERROR(MATCH(SamplingData[[#This Row],[Batch by Type (p)]],SelectedPrecincts[Batch Name], 0)), "", INDEX(SelectedPrecincts[Draw], MATCH(SamplingData[[#This Row],[Batch by Type (p)]],SelectedPrecincts[Batch Name], 0)))</f>
        <v/>
      </c>
      <c r="AJ359" s="100">
        <f>IF(COUNTIF(SelectedPrecincts[Batch Name],SamplingData[[#This Row],[Batch by Type (p)]]) &lt;&gt; 0, COUNTIF(SelectedPrecincts[Batch Name],SamplingData[[#This Row],[Batch by Type (p)]]), 0)</f>
        <v>0</v>
      </c>
    </row>
    <row r="360" spans="1:36" ht="15" customHeight="1" x14ac:dyDescent="0.35">
      <c r="A360" s="97" t="s">
        <v>573</v>
      </c>
      <c r="B360" s="97">
        <v>218</v>
      </c>
      <c r="C360" s="97">
        <v>217</v>
      </c>
      <c r="D360" s="92"/>
      <c r="E360" s="92"/>
      <c r="F360" s="92"/>
      <c r="G360" s="96"/>
      <c r="H360" s="96"/>
      <c r="I360" s="92"/>
      <c r="J360" s="92"/>
      <c r="K360" s="92"/>
      <c r="L360" s="92"/>
      <c r="M360" s="92"/>
      <c r="N360" s="97">
        <v>0</v>
      </c>
      <c r="O360" s="97">
        <v>19</v>
      </c>
      <c r="P360" s="98">
        <f>SUM(SamplingData[[#This Row],[Winning Candidate]:[Under Votes]])</f>
        <v>454</v>
      </c>
      <c r="Q360" s="99">
        <f>IF(AND(SamplingData[[#This Row],[Total]]&lt;&gt; 0, NOT(ISBLANK(SamplingData[[#This Row],[Losing Candidate]]))),(SamplingData[[#This Row],[Total]]+SamplingData[[#This Row],[Winning Candidate]]-SamplingData[[#This Row],[Losing Candidate]])/(SamplingData[[#Totals],[Winning Candidate]]-SamplingData[[#Totals],[Losing Candidate]]), 0)</f>
        <v>1.93091156000679E-2</v>
      </c>
      <c r="R360" s="99">
        <f>IF(AND(SamplingData[[#This Row],[Total]]&lt;&gt; 0, NOT(ISBLANK(SamplingData[[#This Row],[Candidate 3]]))),(SamplingData[[#This Row],[Total]]+SamplingData[[#This Row],[Winning Candidate]]-SamplingData[[#This Row],[Candidate 3]])/(SamplingData[[#Totals],[Winning Candidate]]-SamplingData[[#Totals],[Candidate 3]]), 0)</f>
        <v>0</v>
      </c>
      <c r="S360" s="99">
        <f>IF(AND(SamplingData[[#This Row],[Total]]&lt;&gt; 0, NOT(ISBLANK(SamplingData[[#This Row],[Candidate 4]]))),(SamplingData[[#This Row],[Total]]+SamplingData[[#This Row],[Winning Candidate]]-SamplingData[[#This Row],[Candidate 4]])/(SamplingData[[#Totals],[Winning Candidate]]-SamplingData[[#Totals],[Candidate 4]]), 0)</f>
        <v>0</v>
      </c>
      <c r="T360" s="99">
        <f>IF(AND(SamplingData[[#This Row],[Total]]&lt;&gt; 0, NOT(ISBLANK(SamplingData[[#This Row],[Candidate 5]]))),(SamplingData[[#This Row],[Total]]+SamplingData[[#This Row],[Winning Candidate]]-SamplingData[[#This Row],[Candidate 5]])/(SamplingData[[#Totals],[Winning Candidate]]-SamplingData[[#Totals],[Candidate 5]]), 0)</f>
        <v>0</v>
      </c>
      <c r="U360" s="99">
        <f>IF(AND(SamplingData[[#This Row],[Total]]&lt;&gt; 0, NOT(ISBLANK(SamplingData[[#This Row],[Candidate 6]]))),(SamplingData[[#This Row],[Total]]+SamplingData[[#This Row],[Losing Candidate]]-SamplingData[[#This Row],[Candidate 6]])/(SamplingData[[#Totals],[Winning Candidate]]-SamplingData[[#Totals],[Candidate 6]]), 0)</f>
        <v>0</v>
      </c>
      <c r="V360" s="99">
        <f>IF(AND(SamplingData[[#This Row],[Total]]&lt;&gt; 0, NOT(ISBLANK(SamplingData[[#This Row],[Candidate 7]]))),(SamplingData[[#This Row],[Total]]+SamplingData[[#This Row],[Winning Candidate]]-SamplingData[[#This Row],[Candidate 7]])/(SamplingData[[#Totals],[Winning Candidate]]-SamplingData[[#Totals],[Candidate 7]]), 0)</f>
        <v>0</v>
      </c>
      <c r="W360" s="99">
        <f>IF(AND(SamplingData[[#This Row],[Total]]&lt;&gt; 0, NOT(ISBLANK(SamplingData[[#This Row],[Candidate 8]]))),(SamplingData[[#This Row],[Total]]+SamplingData[[#This Row],[Winning Candidate]]-SamplingData[[#This Row],[Candidate 8]])/(SamplingData[[#Totals],[Winning Candidate]]-SamplingData[[#Totals],[Candidate 8]]), 0)</f>
        <v>0</v>
      </c>
      <c r="X3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0" s="99">
        <f>MAX(SamplingData[[#This Row],[Error Bound (up) - Max. possible relative overstatement - Losing Candidate]:[Error Bound (up) - Max. possible relative overstatement - Candidate 12]])</f>
        <v>1.93091156000679E-2</v>
      </c>
      <c r="AC360" s="99">
        <f>IF(SamplingData[[#This Row],[Max Error Bound (up)]] = 0,0,SamplingData[[#This Row],[Max Error Bound (up)]]/SamplingData[[#Totals],[Max Error Bound (up)]])</f>
        <v>1.0338277529356177E-3</v>
      </c>
      <c r="AD360" s="103">
        <f>SUM($AC$5:AC360)</f>
        <v>0.33001145163049461</v>
      </c>
      <c r="AE360" s="99" t="str" cm="1">
        <f t="array" ref="AE360">IF(SamplingData[[#This Row],[up/U Selection Probability]] = 0, "Zero", TEXT(SamplingData[[#This Row],[Lower Range]], REPT("0",LEN('General Info'!$B$42))) &amp; " - " &amp; TEXT(SamplingData[[#This Row],[Upper Range]], REPT("0",LEN('General Info'!$B$42))))</f>
        <v>328978 - 330010</v>
      </c>
      <c r="AF360" s="99">
        <f>SamplingData[[#This Row],[Upper Range]]-SamplingData[[#This Row],[Span]]</f>
        <v>328977.62387755897</v>
      </c>
      <c r="AG360" s="99">
        <f>IF(ISNUMBER('General Info'!$B$42), ((SamplingData[[#This Row],[up/U Selection Probability]]) * 'General Info'!$B$44) - 1, 0)</f>
        <v>1032.8277529356176</v>
      </c>
      <c r="AH360" s="99">
        <f>IF(ISNUMBER('General Info'!$B$42), (SamplingData[[#This Row],[Running (cumulative) sum]] * ('General Info'!$B$42 -'General Info'!$B$43 + 1)) + 'General Info'!$B$43 - 1, 0)</f>
        <v>330010.45163049462</v>
      </c>
      <c r="AI360" s="99" t="str">
        <f>IF(ISERROR(MATCH(SamplingData[[#This Row],[Batch by Type (p)]],SelectedPrecincts[Batch Name], 0)), "", INDEX(SelectedPrecincts[Draw], MATCH(SamplingData[[#This Row],[Batch by Type (p)]],SelectedPrecincts[Batch Name], 0)))</f>
        <v/>
      </c>
      <c r="AJ360" s="100">
        <f>IF(COUNTIF(SelectedPrecincts[Batch Name],SamplingData[[#This Row],[Batch by Type (p)]]) &lt;&gt; 0, COUNTIF(SelectedPrecincts[Batch Name],SamplingData[[#This Row],[Batch by Type (p)]]), 0)</f>
        <v>0</v>
      </c>
    </row>
    <row r="361" spans="1:36" ht="15" customHeight="1" x14ac:dyDescent="0.35">
      <c r="A361" s="97" t="s">
        <v>574</v>
      </c>
      <c r="B361" s="97">
        <v>67</v>
      </c>
      <c r="C361" s="97">
        <v>155</v>
      </c>
      <c r="D361" s="92"/>
      <c r="E361" s="92"/>
      <c r="F361" s="92"/>
      <c r="G361" s="96"/>
      <c r="H361" s="96"/>
      <c r="I361" s="92"/>
      <c r="J361" s="92"/>
      <c r="K361" s="92"/>
      <c r="L361" s="92"/>
      <c r="M361" s="92"/>
      <c r="N361" s="97">
        <v>0</v>
      </c>
      <c r="O361" s="97">
        <v>10</v>
      </c>
      <c r="P361" s="98">
        <f>SUM(SamplingData[[#This Row],[Winning Candidate]:[Under Votes]])</f>
        <v>232</v>
      </c>
      <c r="Q361" s="99">
        <f>IF(AND(SamplingData[[#This Row],[Total]]&lt;&gt; 0, NOT(ISBLANK(SamplingData[[#This Row],[Losing Candidate]]))),(SamplingData[[#This Row],[Total]]+SamplingData[[#This Row],[Winning Candidate]]-SamplingData[[#This Row],[Losing Candidate]])/(SamplingData[[#Totals],[Winning Candidate]]-SamplingData[[#Totals],[Losing Candidate]]), 0)</f>
        <v>6.1110168052962146E-3</v>
      </c>
      <c r="R361" s="99">
        <f>IF(AND(SamplingData[[#This Row],[Total]]&lt;&gt; 0, NOT(ISBLANK(SamplingData[[#This Row],[Candidate 3]]))),(SamplingData[[#This Row],[Total]]+SamplingData[[#This Row],[Winning Candidate]]-SamplingData[[#This Row],[Candidate 3]])/(SamplingData[[#Totals],[Winning Candidate]]-SamplingData[[#Totals],[Candidate 3]]), 0)</f>
        <v>0</v>
      </c>
      <c r="S361" s="99">
        <f>IF(AND(SamplingData[[#This Row],[Total]]&lt;&gt; 0, NOT(ISBLANK(SamplingData[[#This Row],[Candidate 4]]))),(SamplingData[[#This Row],[Total]]+SamplingData[[#This Row],[Winning Candidate]]-SamplingData[[#This Row],[Candidate 4]])/(SamplingData[[#Totals],[Winning Candidate]]-SamplingData[[#Totals],[Candidate 4]]), 0)</f>
        <v>0</v>
      </c>
      <c r="T361" s="99">
        <f>IF(AND(SamplingData[[#This Row],[Total]]&lt;&gt; 0, NOT(ISBLANK(SamplingData[[#This Row],[Candidate 5]]))),(SamplingData[[#This Row],[Total]]+SamplingData[[#This Row],[Winning Candidate]]-SamplingData[[#This Row],[Candidate 5]])/(SamplingData[[#Totals],[Winning Candidate]]-SamplingData[[#Totals],[Candidate 5]]), 0)</f>
        <v>0</v>
      </c>
      <c r="U361" s="99">
        <f>IF(AND(SamplingData[[#This Row],[Total]]&lt;&gt; 0, NOT(ISBLANK(SamplingData[[#This Row],[Candidate 6]]))),(SamplingData[[#This Row],[Total]]+SamplingData[[#This Row],[Losing Candidate]]-SamplingData[[#This Row],[Candidate 6]])/(SamplingData[[#Totals],[Winning Candidate]]-SamplingData[[#Totals],[Candidate 6]]), 0)</f>
        <v>0</v>
      </c>
      <c r="V361" s="99">
        <f>IF(AND(SamplingData[[#This Row],[Total]]&lt;&gt; 0, NOT(ISBLANK(SamplingData[[#This Row],[Candidate 7]]))),(SamplingData[[#This Row],[Total]]+SamplingData[[#This Row],[Winning Candidate]]-SamplingData[[#This Row],[Candidate 7]])/(SamplingData[[#Totals],[Winning Candidate]]-SamplingData[[#Totals],[Candidate 7]]), 0)</f>
        <v>0</v>
      </c>
      <c r="W361" s="99">
        <f>IF(AND(SamplingData[[#This Row],[Total]]&lt;&gt; 0, NOT(ISBLANK(SamplingData[[#This Row],[Candidate 8]]))),(SamplingData[[#This Row],[Total]]+SamplingData[[#This Row],[Winning Candidate]]-SamplingData[[#This Row],[Candidate 8]])/(SamplingData[[#Totals],[Winning Candidate]]-SamplingData[[#Totals],[Candidate 8]]), 0)</f>
        <v>0</v>
      </c>
      <c r="X3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1" s="99">
        <f>MAX(SamplingData[[#This Row],[Error Bound (up) - Max. possible relative overstatement - Losing Candidate]:[Error Bound (up) - Max. possible relative overstatement - Candidate 12]])</f>
        <v>6.1110168052962146E-3</v>
      </c>
      <c r="AC361" s="99">
        <f>IF(SamplingData[[#This Row],[Max Error Bound (up)]] = 0,0,SamplingData[[#This Row],[Max Error Bound (up)]]/SamplingData[[#Totals],[Max Error Bound (up)]])</f>
        <v>3.2718944268731636E-4</v>
      </c>
      <c r="AD361" s="103">
        <f>SUM($AC$5:AC361)</f>
        <v>0.33033864107318195</v>
      </c>
      <c r="AE361" s="99" t="str" cm="1">
        <f t="array" ref="AE361">IF(SamplingData[[#This Row],[up/U Selection Probability]] = 0, "Zero", TEXT(SamplingData[[#This Row],[Lower Range]], REPT("0",LEN('General Info'!$B$42))) &amp; " - " &amp; TEXT(SamplingData[[#This Row],[Upper Range]], REPT("0",LEN('General Info'!$B$42))))</f>
        <v>330011 - 330338</v>
      </c>
      <c r="AF361" s="99">
        <f>SamplingData[[#This Row],[Upper Range]]-SamplingData[[#This Row],[Span]]</f>
        <v>330011.45163049462</v>
      </c>
      <c r="AG361" s="99">
        <f>IF(ISNUMBER('General Info'!$B$42), ((SamplingData[[#This Row],[up/U Selection Probability]]) * 'General Info'!$B$44) - 1, 0)</f>
        <v>326.18944268731633</v>
      </c>
      <c r="AH361" s="99">
        <f>IF(ISNUMBER('General Info'!$B$42), (SamplingData[[#This Row],[Running (cumulative) sum]] * ('General Info'!$B$42 -'General Info'!$B$43 + 1)) + 'General Info'!$B$43 - 1, 0)</f>
        <v>330337.64107318193</v>
      </c>
      <c r="AI361" s="99" t="str">
        <f>IF(ISERROR(MATCH(SamplingData[[#This Row],[Batch by Type (p)]],SelectedPrecincts[Batch Name], 0)), "", INDEX(SelectedPrecincts[Draw], MATCH(SamplingData[[#This Row],[Batch by Type (p)]],SelectedPrecincts[Batch Name], 0)))</f>
        <v/>
      </c>
      <c r="AJ361" s="100">
        <f>IF(COUNTIF(SelectedPrecincts[Batch Name],SamplingData[[#This Row],[Batch by Type (p)]]) &lt;&gt; 0, COUNTIF(SelectedPrecincts[Batch Name],SamplingData[[#This Row],[Batch by Type (p)]]), 0)</f>
        <v>0</v>
      </c>
    </row>
    <row r="362" spans="1:36" ht="15" customHeight="1" x14ac:dyDescent="0.35">
      <c r="A362" s="97" t="s">
        <v>575</v>
      </c>
      <c r="B362" s="97">
        <v>146</v>
      </c>
      <c r="C362" s="97">
        <v>138</v>
      </c>
      <c r="D362" s="92"/>
      <c r="E362" s="92"/>
      <c r="F362" s="92"/>
      <c r="G362" s="96"/>
      <c r="H362" s="96"/>
      <c r="I362" s="92"/>
      <c r="J362" s="92"/>
      <c r="K362" s="92"/>
      <c r="L362" s="92"/>
      <c r="M362" s="92"/>
      <c r="N362" s="97">
        <v>0</v>
      </c>
      <c r="O362" s="97">
        <v>19</v>
      </c>
      <c r="P362" s="98">
        <f>SUM(SamplingData[[#This Row],[Winning Candidate]:[Under Votes]])</f>
        <v>303</v>
      </c>
      <c r="Q362" s="99">
        <f>IF(AND(SamplingData[[#This Row],[Total]]&lt;&gt; 0, NOT(ISBLANK(SamplingData[[#This Row],[Losing Candidate]]))),(SamplingData[[#This Row],[Total]]+SamplingData[[#This Row],[Winning Candidate]]-SamplingData[[#This Row],[Losing Candidate]])/(SamplingData[[#Totals],[Winning Candidate]]-SamplingData[[#Totals],[Losing Candidate]]), 0)</f>
        <v>1.3198098794771686E-2</v>
      </c>
      <c r="R362" s="99">
        <f>IF(AND(SamplingData[[#This Row],[Total]]&lt;&gt; 0, NOT(ISBLANK(SamplingData[[#This Row],[Candidate 3]]))),(SamplingData[[#This Row],[Total]]+SamplingData[[#This Row],[Winning Candidate]]-SamplingData[[#This Row],[Candidate 3]])/(SamplingData[[#Totals],[Winning Candidate]]-SamplingData[[#Totals],[Candidate 3]]), 0)</f>
        <v>0</v>
      </c>
      <c r="S362" s="99">
        <f>IF(AND(SamplingData[[#This Row],[Total]]&lt;&gt; 0, NOT(ISBLANK(SamplingData[[#This Row],[Candidate 4]]))),(SamplingData[[#This Row],[Total]]+SamplingData[[#This Row],[Winning Candidate]]-SamplingData[[#This Row],[Candidate 4]])/(SamplingData[[#Totals],[Winning Candidate]]-SamplingData[[#Totals],[Candidate 4]]), 0)</f>
        <v>0</v>
      </c>
      <c r="T362" s="99">
        <f>IF(AND(SamplingData[[#This Row],[Total]]&lt;&gt; 0, NOT(ISBLANK(SamplingData[[#This Row],[Candidate 5]]))),(SamplingData[[#This Row],[Total]]+SamplingData[[#This Row],[Winning Candidate]]-SamplingData[[#This Row],[Candidate 5]])/(SamplingData[[#Totals],[Winning Candidate]]-SamplingData[[#Totals],[Candidate 5]]), 0)</f>
        <v>0</v>
      </c>
      <c r="U362" s="99">
        <f>IF(AND(SamplingData[[#This Row],[Total]]&lt;&gt; 0, NOT(ISBLANK(SamplingData[[#This Row],[Candidate 6]]))),(SamplingData[[#This Row],[Total]]+SamplingData[[#This Row],[Losing Candidate]]-SamplingData[[#This Row],[Candidate 6]])/(SamplingData[[#Totals],[Winning Candidate]]-SamplingData[[#Totals],[Candidate 6]]), 0)</f>
        <v>0</v>
      </c>
      <c r="V362" s="99">
        <f>IF(AND(SamplingData[[#This Row],[Total]]&lt;&gt; 0, NOT(ISBLANK(SamplingData[[#This Row],[Candidate 7]]))),(SamplingData[[#This Row],[Total]]+SamplingData[[#This Row],[Winning Candidate]]-SamplingData[[#This Row],[Candidate 7]])/(SamplingData[[#Totals],[Winning Candidate]]-SamplingData[[#Totals],[Candidate 7]]), 0)</f>
        <v>0</v>
      </c>
      <c r="W362" s="99">
        <f>IF(AND(SamplingData[[#This Row],[Total]]&lt;&gt; 0, NOT(ISBLANK(SamplingData[[#This Row],[Candidate 8]]))),(SamplingData[[#This Row],[Total]]+SamplingData[[#This Row],[Winning Candidate]]-SamplingData[[#This Row],[Candidate 8]])/(SamplingData[[#Totals],[Winning Candidate]]-SamplingData[[#Totals],[Candidate 8]]), 0)</f>
        <v>0</v>
      </c>
      <c r="X3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2" s="99">
        <f>MAX(SamplingData[[#This Row],[Error Bound (up) - Max. possible relative overstatement - Losing Candidate]:[Error Bound (up) - Max. possible relative overstatement - Candidate 12]])</f>
        <v>1.3198098794771686E-2</v>
      </c>
      <c r="AC362" s="99">
        <f>IF(SamplingData[[#This Row],[Max Error Bound (up)]] = 0,0,SamplingData[[#This Row],[Max Error Bound (up)]]/SamplingData[[#Totals],[Max Error Bound (up)]])</f>
        <v>7.0663831024830133E-4</v>
      </c>
      <c r="AD362" s="103">
        <f>SUM($AC$5:AC362)</f>
        <v>0.33104527938343026</v>
      </c>
      <c r="AE362" s="99" t="str" cm="1">
        <f t="array" ref="AE362">IF(SamplingData[[#This Row],[up/U Selection Probability]] = 0, "Zero", TEXT(SamplingData[[#This Row],[Lower Range]], REPT("0",LEN('General Info'!$B$42))) &amp; " - " &amp; TEXT(SamplingData[[#This Row],[Upper Range]], REPT("0",LEN('General Info'!$B$42))))</f>
        <v>330339 - 331044</v>
      </c>
      <c r="AF362" s="99">
        <f>SamplingData[[#This Row],[Upper Range]]-SamplingData[[#This Row],[Span]]</f>
        <v>330338.64107318193</v>
      </c>
      <c r="AG362" s="99">
        <f>IF(ISNUMBER('General Info'!$B$42), ((SamplingData[[#This Row],[up/U Selection Probability]]) * 'General Info'!$B$44) - 1, 0)</f>
        <v>705.63831024830131</v>
      </c>
      <c r="AH362" s="99">
        <f>IF(ISNUMBER('General Info'!$B$42), (SamplingData[[#This Row],[Running (cumulative) sum]] * ('General Info'!$B$42 -'General Info'!$B$43 + 1)) + 'General Info'!$B$43 - 1, 0)</f>
        <v>331044.27938343026</v>
      </c>
      <c r="AI362" s="99" t="str">
        <f>IF(ISERROR(MATCH(SamplingData[[#This Row],[Batch by Type (p)]],SelectedPrecincts[Batch Name], 0)), "", INDEX(SelectedPrecincts[Draw], MATCH(SamplingData[[#This Row],[Batch by Type (p)]],SelectedPrecincts[Batch Name], 0)))</f>
        <v/>
      </c>
      <c r="AJ362" s="100">
        <f>IF(COUNTIF(SelectedPrecincts[Batch Name],SamplingData[[#This Row],[Batch by Type (p)]]) &lt;&gt; 0, COUNTIF(SelectedPrecincts[Batch Name],SamplingData[[#This Row],[Batch by Type (p)]]), 0)</f>
        <v>0</v>
      </c>
    </row>
    <row r="363" spans="1:36" ht="15" customHeight="1" x14ac:dyDescent="0.35">
      <c r="A363" s="97" t="s">
        <v>576</v>
      </c>
      <c r="B363" s="97">
        <v>127</v>
      </c>
      <c r="C363" s="97">
        <v>148</v>
      </c>
      <c r="D363" s="92"/>
      <c r="E363" s="92"/>
      <c r="F363" s="92"/>
      <c r="G363" s="96"/>
      <c r="H363" s="96"/>
      <c r="I363" s="92"/>
      <c r="J363" s="92"/>
      <c r="K363" s="92"/>
      <c r="L363" s="92"/>
      <c r="M363" s="92"/>
      <c r="N363" s="97">
        <v>0</v>
      </c>
      <c r="O363" s="97">
        <v>11</v>
      </c>
      <c r="P363" s="98">
        <f>SUM(SamplingData[[#This Row],[Winning Candidate]:[Under Votes]])</f>
        <v>286</v>
      </c>
      <c r="Q363" s="99">
        <f>IF(AND(SamplingData[[#This Row],[Total]]&lt;&gt; 0, NOT(ISBLANK(SamplingData[[#This Row],[Losing Candidate]]))),(SamplingData[[#This Row],[Total]]+SamplingData[[#This Row],[Winning Candidate]]-SamplingData[[#This Row],[Losing Candidate]])/(SamplingData[[#Totals],[Winning Candidate]]-SamplingData[[#Totals],[Losing Candidate]]), 0)</f>
        <v>1.1245968426413172E-2</v>
      </c>
      <c r="R363" s="99">
        <f>IF(AND(SamplingData[[#This Row],[Total]]&lt;&gt; 0, NOT(ISBLANK(SamplingData[[#This Row],[Candidate 3]]))),(SamplingData[[#This Row],[Total]]+SamplingData[[#This Row],[Winning Candidate]]-SamplingData[[#This Row],[Candidate 3]])/(SamplingData[[#Totals],[Winning Candidate]]-SamplingData[[#Totals],[Candidate 3]]), 0)</f>
        <v>0</v>
      </c>
      <c r="S363" s="99">
        <f>IF(AND(SamplingData[[#This Row],[Total]]&lt;&gt; 0, NOT(ISBLANK(SamplingData[[#This Row],[Candidate 4]]))),(SamplingData[[#This Row],[Total]]+SamplingData[[#This Row],[Winning Candidate]]-SamplingData[[#This Row],[Candidate 4]])/(SamplingData[[#Totals],[Winning Candidate]]-SamplingData[[#Totals],[Candidate 4]]), 0)</f>
        <v>0</v>
      </c>
      <c r="T363" s="99">
        <f>IF(AND(SamplingData[[#This Row],[Total]]&lt;&gt; 0, NOT(ISBLANK(SamplingData[[#This Row],[Candidate 5]]))),(SamplingData[[#This Row],[Total]]+SamplingData[[#This Row],[Winning Candidate]]-SamplingData[[#This Row],[Candidate 5]])/(SamplingData[[#Totals],[Winning Candidate]]-SamplingData[[#Totals],[Candidate 5]]), 0)</f>
        <v>0</v>
      </c>
      <c r="U363" s="99">
        <f>IF(AND(SamplingData[[#This Row],[Total]]&lt;&gt; 0, NOT(ISBLANK(SamplingData[[#This Row],[Candidate 6]]))),(SamplingData[[#This Row],[Total]]+SamplingData[[#This Row],[Losing Candidate]]-SamplingData[[#This Row],[Candidate 6]])/(SamplingData[[#Totals],[Winning Candidate]]-SamplingData[[#Totals],[Candidate 6]]), 0)</f>
        <v>0</v>
      </c>
      <c r="V363" s="99">
        <f>IF(AND(SamplingData[[#This Row],[Total]]&lt;&gt; 0, NOT(ISBLANK(SamplingData[[#This Row],[Candidate 7]]))),(SamplingData[[#This Row],[Total]]+SamplingData[[#This Row],[Winning Candidate]]-SamplingData[[#This Row],[Candidate 7]])/(SamplingData[[#Totals],[Winning Candidate]]-SamplingData[[#Totals],[Candidate 7]]), 0)</f>
        <v>0</v>
      </c>
      <c r="W363" s="99">
        <f>IF(AND(SamplingData[[#This Row],[Total]]&lt;&gt; 0, NOT(ISBLANK(SamplingData[[#This Row],[Candidate 8]]))),(SamplingData[[#This Row],[Total]]+SamplingData[[#This Row],[Winning Candidate]]-SamplingData[[#This Row],[Candidate 8]])/(SamplingData[[#Totals],[Winning Candidate]]-SamplingData[[#Totals],[Candidate 8]]), 0)</f>
        <v>0</v>
      </c>
      <c r="X3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3" s="99">
        <f>MAX(SamplingData[[#This Row],[Error Bound (up) - Max. possible relative overstatement - Losing Candidate]:[Error Bound (up) - Max. possible relative overstatement - Candidate 12]])</f>
        <v>1.1245968426413172E-2</v>
      </c>
      <c r="AC363" s="99">
        <f>IF(SamplingData[[#This Row],[Max Error Bound (up)]] = 0,0,SamplingData[[#This Row],[Max Error Bound (up)]]/SamplingData[[#Totals],[Max Error Bound (up)]])</f>
        <v>6.021194605009641E-4</v>
      </c>
      <c r="AD363" s="103">
        <f>SUM($AC$5:AC363)</f>
        <v>0.33164739884393124</v>
      </c>
      <c r="AE363" s="99" t="str" cm="1">
        <f t="array" ref="AE363">IF(SamplingData[[#This Row],[up/U Selection Probability]] = 0, "Zero", TEXT(SamplingData[[#This Row],[Lower Range]], REPT("0",LEN('General Info'!$B$42))) &amp; " - " &amp; TEXT(SamplingData[[#This Row],[Upper Range]], REPT("0",LEN('General Info'!$B$42))))</f>
        <v>331045 - 331646</v>
      </c>
      <c r="AF363" s="99">
        <f>SamplingData[[#This Row],[Upper Range]]-SamplingData[[#This Row],[Span]]</f>
        <v>331045.27938343032</v>
      </c>
      <c r="AG363" s="99">
        <f>IF(ISNUMBER('General Info'!$B$42), ((SamplingData[[#This Row],[up/U Selection Probability]]) * 'General Info'!$B$44) - 1, 0)</f>
        <v>601.11946050096412</v>
      </c>
      <c r="AH363" s="99">
        <f>IF(ISNUMBER('General Info'!$B$42), (SamplingData[[#This Row],[Running (cumulative) sum]] * ('General Info'!$B$42 -'General Info'!$B$43 + 1)) + 'General Info'!$B$43 - 1, 0)</f>
        <v>331646.39884393127</v>
      </c>
      <c r="AI363" s="99" t="str">
        <f>IF(ISERROR(MATCH(SamplingData[[#This Row],[Batch by Type (p)]],SelectedPrecincts[Batch Name], 0)), "", INDEX(SelectedPrecincts[Draw], MATCH(SamplingData[[#This Row],[Batch by Type (p)]],SelectedPrecincts[Batch Name], 0)))</f>
        <v/>
      </c>
      <c r="AJ363" s="100">
        <f>IF(COUNTIF(SelectedPrecincts[Batch Name],SamplingData[[#This Row],[Batch by Type (p)]]) &lt;&gt; 0, COUNTIF(SelectedPrecincts[Batch Name],SamplingData[[#This Row],[Batch by Type (p)]]), 0)</f>
        <v>0</v>
      </c>
    </row>
    <row r="364" spans="1:36" ht="15" customHeight="1" x14ac:dyDescent="0.35">
      <c r="A364" s="97" t="s">
        <v>577</v>
      </c>
      <c r="B364" s="97">
        <v>112</v>
      </c>
      <c r="C364" s="97">
        <v>340</v>
      </c>
      <c r="D364" s="92"/>
      <c r="E364" s="92"/>
      <c r="F364" s="92"/>
      <c r="G364" s="96"/>
      <c r="H364" s="96"/>
      <c r="I364" s="92"/>
      <c r="J364" s="92"/>
      <c r="K364" s="92"/>
      <c r="L364" s="92"/>
      <c r="M364" s="92"/>
      <c r="N364" s="97">
        <v>0</v>
      </c>
      <c r="O364" s="97">
        <v>14</v>
      </c>
      <c r="P364" s="98">
        <f>SUM(SamplingData[[#This Row],[Winning Candidate]:[Under Votes]])</f>
        <v>466</v>
      </c>
      <c r="Q364" s="99">
        <f>IF(AND(SamplingData[[#This Row],[Total]]&lt;&gt; 0, NOT(ISBLANK(SamplingData[[#This Row],[Losing Candidate]]))),(SamplingData[[#This Row],[Total]]+SamplingData[[#This Row],[Winning Candidate]]-SamplingData[[#This Row],[Losing Candidate]])/(SamplingData[[#Totals],[Winning Candidate]]-SamplingData[[#Totals],[Losing Candidate]]), 0)</f>
        <v>1.0100152775420132E-2</v>
      </c>
      <c r="R364" s="99">
        <f>IF(AND(SamplingData[[#This Row],[Total]]&lt;&gt; 0, NOT(ISBLANK(SamplingData[[#This Row],[Candidate 3]]))),(SamplingData[[#This Row],[Total]]+SamplingData[[#This Row],[Winning Candidate]]-SamplingData[[#This Row],[Candidate 3]])/(SamplingData[[#Totals],[Winning Candidate]]-SamplingData[[#Totals],[Candidate 3]]), 0)</f>
        <v>0</v>
      </c>
      <c r="S364" s="99">
        <f>IF(AND(SamplingData[[#This Row],[Total]]&lt;&gt; 0, NOT(ISBLANK(SamplingData[[#This Row],[Candidate 4]]))),(SamplingData[[#This Row],[Total]]+SamplingData[[#This Row],[Winning Candidate]]-SamplingData[[#This Row],[Candidate 4]])/(SamplingData[[#Totals],[Winning Candidate]]-SamplingData[[#Totals],[Candidate 4]]), 0)</f>
        <v>0</v>
      </c>
      <c r="T364" s="99">
        <f>IF(AND(SamplingData[[#This Row],[Total]]&lt;&gt; 0, NOT(ISBLANK(SamplingData[[#This Row],[Candidate 5]]))),(SamplingData[[#This Row],[Total]]+SamplingData[[#This Row],[Winning Candidate]]-SamplingData[[#This Row],[Candidate 5]])/(SamplingData[[#Totals],[Winning Candidate]]-SamplingData[[#Totals],[Candidate 5]]), 0)</f>
        <v>0</v>
      </c>
      <c r="U364" s="99">
        <f>IF(AND(SamplingData[[#This Row],[Total]]&lt;&gt; 0, NOT(ISBLANK(SamplingData[[#This Row],[Candidate 6]]))),(SamplingData[[#This Row],[Total]]+SamplingData[[#This Row],[Losing Candidate]]-SamplingData[[#This Row],[Candidate 6]])/(SamplingData[[#Totals],[Winning Candidate]]-SamplingData[[#Totals],[Candidate 6]]), 0)</f>
        <v>0</v>
      </c>
      <c r="V364" s="99">
        <f>IF(AND(SamplingData[[#This Row],[Total]]&lt;&gt; 0, NOT(ISBLANK(SamplingData[[#This Row],[Candidate 7]]))),(SamplingData[[#This Row],[Total]]+SamplingData[[#This Row],[Winning Candidate]]-SamplingData[[#This Row],[Candidate 7]])/(SamplingData[[#Totals],[Winning Candidate]]-SamplingData[[#Totals],[Candidate 7]]), 0)</f>
        <v>0</v>
      </c>
      <c r="W364" s="99">
        <f>IF(AND(SamplingData[[#This Row],[Total]]&lt;&gt; 0, NOT(ISBLANK(SamplingData[[#This Row],[Candidate 8]]))),(SamplingData[[#This Row],[Total]]+SamplingData[[#This Row],[Winning Candidate]]-SamplingData[[#This Row],[Candidate 8]])/(SamplingData[[#Totals],[Winning Candidate]]-SamplingData[[#Totals],[Candidate 8]]), 0)</f>
        <v>0</v>
      </c>
      <c r="X3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4" s="99">
        <f>MAX(SamplingData[[#This Row],[Error Bound (up) - Max. possible relative overstatement - Losing Candidate]:[Error Bound (up) - Max. possible relative overstatement - Candidate 12]])</f>
        <v>1.0100152775420132E-2</v>
      </c>
      <c r="AC364" s="99">
        <f>IF(SamplingData[[#This Row],[Max Error Bound (up)]] = 0,0,SamplingData[[#This Row],[Max Error Bound (up)]]/SamplingData[[#Totals],[Max Error Bound (up)]])</f>
        <v>5.4077143999709237E-4</v>
      </c>
      <c r="AD364" s="103">
        <f>SUM($AC$5:AC364)</f>
        <v>0.33218817028392833</v>
      </c>
      <c r="AE364" s="99" t="str" cm="1">
        <f t="array" ref="AE364">IF(SamplingData[[#This Row],[up/U Selection Probability]] = 0, "Zero", TEXT(SamplingData[[#This Row],[Lower Range]], REPT("0",LEN('General Info'!$B$42))) &amp; " - " &amp; TEXT(SamplingData[[#This Row],[Upper Range]], REPT("0",LEN('General Info'!$B$42))))</f>
        <v>331647 - 332187</v>
      </c>
      <c r="AF364" s="99">
        <f>SamplingData[[#This Row],[Upper Range]]-SamplingData[[#This Row],[Span]]</f>
        <v>331647.39884393127</v>
      </c>
      <c r="AG364" s="99">
        <f>IF(ISNUMBER('General Info'!$B$42), ((SamplingData[[#This Row],[up/U Selection Probability]]) * 'General Info'!$B$44) - 1, 0)</f>
        <v>539.77143999709233</v>
      </c>
      <c r="AH364" s="99">
        <f>IF(ISNUMBER('General Info'!$B$42), (SamplingData[[#This Row],[Running (cumulative) sum]] * ('General Info'!$B$42 -'General Info'!$B$43 + 1)) + 'General Info'!$B$43 - 1, 0)</f>
        <v>332187.17028392834</v>
      </c>
      <c r="AI364" s="99" t="str">
        <f>IF(ISERROR(MATCH(SamplingData[[#This Row],[Batch by Type (p)]],SelectedPrecincts[Batch Name], 0)), "", INDEX(SelectedPrecincts[Draw], MATCH(SamplingData[[#This Row],[Batch by Type (p)]],SelectedPrecincts[Batch Name], 0)))</f>
        <v/>
      </c>
      <c r="AJ364" s="100">
        <f>IF(COUNTIF(SelectedPrecincts[Batch Name],SamplingData[[#This Row],[Batch by Type (p)]]) &lt;&gt; 0, COUNTIF(SelectedPrecincts[Batch Name],SamplingData[[#This Row],[Batch by Type (p)]]), 0)</f>
        <v>0</v>
      </c>
    </row>
    <row r="365" spans="1:36" ht="15" customHeight="1" x14ac:dyDescent="0.35">
      <c r="A365" s="97" t="s">
        <v>578</v>
      </c>
      <c r="B365" s="97">
        <v>100</v>
      </c>
      <c r="C365" s="97">
        <v>104</v>
      </c>
      <c r="D365" s="92"/>
      <c r="E365" s="92"/>
      <c r="F365" s="92"/>
      <c r="G365" s="96"/>
      <c r="H365" s="96"/>
      <c r="I365" s="92"/>
      <c r="J365" s="92"/>
      <c r="K365" s="92"/>
      <c r="L365" s="92"/>
      <c r="M365" s="92"/>
      <c r="N365" s="97">
        <v>1</v>
      </c>
      <c r="O365" s="97">
        <v>6</v>
      </c>
      <c r="P365" s="98">
        <f>SUM(SamplingData[[#This Row],[Winning Candidate]:[Under Votes]])</f>
        <v>211</v>
      </c>
      <c r="Q365" s="99">
        <f>IF(AND(SamplingData[[#This Row],[Total]]&lt;&gt; 0, NOT(ISBLANK(SamplingData[[#This Row],[Losing Candidate]]))),(SamplingData[[#This Row],[Total]]+SamplingData[[#This Row],[Winning Candidate]]-SamplingData[[#This Row],[Losing Candidate]])/(SamplingData[[#Totals],[Winning Candidate]]-SamplingData[[#Totals],[Losing Candidate]]), 0)</f>
        <v>8.784586657613308E-3</v>
      </c>
      <c r="R365" s="99">
        <f>IF(AND(SamplingData[[#This Row],[Total]]&lt;&gt; 0, NOT(ISBLANK(SamplingData[[#This Row],[Candidate 3]]))),(SamplingData[[#This Row],[Total]]+SamplingData[[#This Row],[Winning Candidate]]-SamplingData[[#This Row],[Candidate 3]])/(SamplingData[[#Totals],[Winning Candidate]]-SamplingData[[#Totals],[Candidate 3]]), 0)</f>
        <v>0</v>
      </c>
      <c r="S365" s="99">
        <f>IF(AND(SamplingData[[#This Row],[Total]]&lt;&gt; 0, NOT(ISBLANK(SamplingData[[#This Row],[Candidate 4]]))),(SamplingData[[#This Row],[Total]]+SamplingData[[#This Row],[Winning Candidate]]-SamplingData[[#This Row],[Candidate 4]])/(SamplingData[[#Totals],[Winning Candidate]]-SamplingData[[#Totals],[Candidate 4]]), 0)</f>
        <v>0</v>
      </c>
      <c r="T365" s="99">
        <f>IF(AND(SamplingData[[#This Row],[Total]]&lt;&gt; 0, NOT(ISBLANK(SamplingData[[#This Row],[Candidate 5]]))),(SamplingData[[#This Row],[Total]]+SamplingData[[#This Row],[Winning Candidate]]-SamplingData[[#This Row],[Candidate 5]])/(SamplingData[[#Totals],[Winning Candidate]]-SamplingData[[#Totals],[Candidate 5]]), 0)</f>
        <v>0</v>
      </c>
      <c r="U365" s="99">
        <f>IF(AND(SamplingData[[#This Row],[Total]]&lt;&gt; 0, NOT(ISBLANK(SamplingData[[#This Row],[Candidate 6]]))),(SamplingData[[#This Row],[Total]]+SamplingData[[#This Row],[Losing Candidate]]-SamplingData[[#This Row],[Candidate 6]])/(SamplingData[[#Totals],[Winning Candidate]]-SamplingData[[#Totals],[Candidate 6]]), 0)</f>
        <v>0</v>
      </c>
      <c r="V365" s="99">
        <f>IF(AND(SamplingData[[#This Row],[Total]]&lt;&gt; 0, NOT(ISBLANK(SamplingData[[#This Row],[Candidate 7]]))),(SamplingData[[#This Row],[Total]]+SamplingData[[#This Row],[Winning Candidate]]-SamplingData[[#This Row],[Candidate 7]])/(SamplingData[[#Totals],[Winning Candidate]]-SamplingData[[#Totals],[Candidate 7]]), 0)</f>
        <v>0</v>
      </c>
      <c r="W365" s="99">
        <f>IF(AND(SamplingData[[#This Row],[Total]]&lt;&gt; 0, NOT(ISBLANK(SamplingData[[#This Row],[Candidate 8]]))),(SamplingData[[#This Row],[Total]]+SamplingData[[#This Row],[Winning Candidate]]-SamplingData[[#This Row],[Candidate 8]])/(SamplingData[[#Totals],[Winning Candidate]]-SamplingData[[#Totals],[Candidate 8]]), 0)</f>
        <v>0</v>
      </c>
      <c r="X3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5" s="99">
        <f>MAX(SamplingData[[#This Row],[Error Bound (up) - Max. possible relative overstatement - Losing Candidate]:[Error Bound (up) - Max. possible relative overstatement - Candidate 12]])</f>
        <v>8.784586657613308E-3</v>
      </c>
      <c r="AC365" s="99">
        <f>IF(SamplingData[[#This Row],[Max Error Bound (up)]] = 0,0,SamplingData[[#This Row],[Max Error Bound (up)]]/SamplingData[[#Totals],[Max Error Bound (up)]])</f>
        <v>4.7033482386301729E-4</v>
      </c>
      <c r="AD365" s="103">
        <f>SUM($AC$5:AC365)</f>
        <v>0.33265850510779132</v>
      </c>
      <c r="AE365" s="99" t="str" cm="1">
        <f t="array" ref="AE365">IF(SamplingData[[#This Row],[up/U Selection Probability]] = 0, "Zero", TEXT(SamplingData[[#This Row],[Lower Range]], REPT("0",LEN('General Info'!$B$42))) &amp; " - " &amp; TEXT(SamplingData[[#This Row],[Upper Range]], REPT("0",LEN('General Info'!$B$42))))</f>
        <v>332188 - 332658</v>
      </c>
      <c r="AF365" s="99">
        <f>SamplingData[[#This Row],[Upper Range]]-SamplingData[[#This Row],[Span]]</f>
        <v>332188.17028392834</v>
      </c>
      <c r="AG365" s="99">
        <f>IF(ISNUMBER('General Info'!$B$42), ((SamplingData[[#This Row],[up/U Selection Probability]]) * 'General Info'!$B$44) - 1, 0)</f>
        <v>469.33482386301728</v>
      </c>
      <c r="AH365" s="99">
        <f>IF(ISNUMBER('General Info'!$B$42), (SamplingData[[#This Row],[Running (cumulative) sum]] * ('General Info'!$B$42 -'General Info'!$B$43 + 1)) + 'General Info'!$B$43 - 1, 0)</f>
        <v>332657.50510779134</v>
      </c>
      <c r="AI365" s="99" t="str">
        <f>IF(ISERROR(MATCH(SamplingData[[#This Row],[Batch by Type (p)]],SelectedPrecincts[Batch Name], 0)), "", INDEX(SelectedPrecincts[Draw], MATCH(SamplingData[[#This Row],[Batch by Type (p)]],SelectedPrecincts[Batch Name], 0)))</f>
        <v/>
      </c>
      <c r="AJ365" s="100">
        <f>IF(COUNTIF(SelectedPrecincts[Batch Name],SamplingData[[#This Row],[Batch by Type (p)]]) &lt;&gt; 0, COUNTIF(SelectedPrecincts[Batch Name],SamplingData[[#This Row],[Batch by Type (p)]]), 0)</f>
        <v>0</v>
      </c>
    </row>
    <row r="366" spans="1:36" ht="15" customHeight="1" x14ac:dyDescent="0.35">
      <c r="A366" s="97" t="s">
        <v>579</v>
      </c>
      <c r="B366" s="97">
        <v>154</v>
      </c>
      <c r="C366" s="97">
        <v>242</v>
      </c>
      <c r="D366" s="92"/>
      <c r="E366" s="92"/>
      <c r="F366" s="92"/>
      <c r="G366" s="96"/>
      <c r="H366" s="96"/>
      <c r="I366" s="92"/>
      <c r="J366" s="92"/>
      <c r="K366" s="92"/>
      <c r="L366" s="92"/>
      <c r="M366" s="92"/>
      <c r="N366" s="97">
        <v>0</v>
      </c>
      <c r="O366" s="97">
        <v>24</v>
      </c>
      <c r="P366" s="98">
        <f>SUM(SamplingData[[#This Row],[Winning Candidate]:[Under Votes]])</f>
        <v>420</v>
      </c>
      <c r="Q366" s="99">
        <f>IF(AND(SamplingData[[#This Row],[Total]]&lt;&gt; 0, NOT(ISBLANK(SamplingData[[#This Row],[Losing Candidate]]))),(SamplingData[[#This Row],[Total]]+SamplingData[[#This Row],[Winning Candidate]]-SamplingData[[#This Row],[Losing Candidate]])/(SamplingData[[#Totals],[Winning Candidate]]-SamplingData[[#Totals],[Losing Candidate]]), 0)</f>
        <v>1.408928874554405E-2</v>
      </c>
      <c r="R366" s="99">
        <f>IF(AND(SamplingData[[#This Row],[Total]]&lt;&gt; 0, NOT(ISBLANK(SamplingData[[#This Row],[Candidate 3]]))),(SamplingData[[#This Row],[Total]]+SamplingData[[#This Row],[Winning Candidate]]-SamplingData[[#This Row],[Candidate 3]])/(SamplingData[[#Totals],[Winning Candidate]]-SamplingData[[#Totals],[Candidate 3]]), 0)</f>
        <v>0</v>
      </c>
      <c r="S366" s="99">
        <f>IF(AND(SamplingData[[#This Row],[Total]]&lt;&gt; 0, NOT(ISBLANK(SamplingData[[#This Row],[Candidate 4]]))),(SamplingData[[#This Row],[Total]]+SamplingData[[#This Row],[Winning Candidate]]-SamplingData[[#This Row],[Candidate 4]])/(SamplingData[[#Totals],[Winning Candidate]]-SamplingData[[#Totals],[Candidate 4]]), 0)</f>
        <v>0</v>
      </c>
      <c r="T366" s="99">
        <f>IF(AND(SamplingData[[#This Row],[Total]]&lt;&gt; 0, NOT(ISBLANK(SamplingData[[#This Row],[Candidate 5]]))),(SamplingData[[#This Row],[Total]]+SamplingData[[#This Row],[Winning Candidate]]-SamplingData[[#This Row],[Candidate 5]])/(SamplingData[[#Totals],[Winning Candidate]]-SamplingData[[#Totals],[Candidate 5]]), 0)</f>
        <v>0</v>
      </c>
      <c r="U366" s="99">
        <f>IF(AND(SamplingData[[#This Row],[Total]]&lt;&gt; 0, NOT(ISBLANK(SamplingData[[#This Row],[Candidate 6]]))),(SamplingData[[#This Row],[Total]]+SamplingData[[#This Row],[Losing Candidate]]-SamplingData[[#This Row],[Candidate 6]])/(SamplingData[[#Totals],[Winning Candidate]]-SamplingData[[#Totals],[Candidate 6]]), 0)</f>
        <v>0</v>
      </c>
      <c r="V366" s="99">
        <f>IF(AND(SamplingData[[#This Row],[Total]]&lt;&gt; 0, NOT(ISBLANK(SamplingData[[#This Row],[Candidate 7]]))),(SamplingData[[#This Row],[Total]]+SamplingData[[#This Row],[Winning Candidate]]-SamplingData[[#This Row],[Candidate 7]])/(SamplingData[[#Totals],[Winning Candidate]]-SamplingData[[#Totals],[Candidate 7]]), 0)</f>
        <v>0</v>
      </c>
      <c r="W366" s="99">
        <f>IF(AND(SamplingData[[#This Row],[Total]]&lt;&gt; 0, NOT(ISBLANK(SamplingData[[#This Row],[Candidate 8]]))),(SamplingData[[#This Row],[Total]]+SamplingData[[#This Row],[Winning Candidate]]-SamplingData[[#This Row],[Candidate 8]])/(SamplingData[[#Totals],[Winning Candidate]]-SamplingData[[#Totals],[Candidate 8]]), 0)</f>
        <v>0</v>
      </c>
      <c r="X3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6" s="99">
        <f>MAX(SamplingData[[#This Row],[Error Bound (up) - Max. possible relative overstatement - Losing Candidate]:[Error Bound (up) - Max. possible relative overstatement - Candidate 12]])</f>
        <v>1.408928874554405E-2</v>
      </c>
      <c r="AC366" s="99">
        <f>IF(SamplingData[[#This Row],[Max Error Bound (up)]] = 0,0,SamplingData[[#This Row],[Max Error Bound (up)]]/SamplingData[[#Totals],[Max Error Bound (up)]])</f>
        <v>7.5435343730686827E-4</v>
      </c>
      <c r="AD366" s="103">
        <f>SUM($AC$5:AC366)</f>
        <v>0.33341285854509817</v>
      </c>
      <c r="AE366" s="99" t="str" cm="1">
        <f t="array" ref="AE366">IF(SamplingData[[#This Row],[up/U Selection Probability]] = 0, "Zero", TEXT(SamplingData[[#This Row],[Lower Range]], REPT("0",LEN('General Info'!$B$42))) &amp; " - " &amp; TEXT(SamplingData[[#This Row],[Upper Range]], REPT("0",LEN('General Info'!$B$42))))</f>
        <v>332659 - 333412</v>
      </c>
      <c r="AF366" s="99">
        <f>SamplingData[[#This Row],[Upper Range]]-SamplingData[[#This Row],[Span]]</f>
        <v>332658.50510779128</v>
      </c>
      <c r="AG366" s="99">
        <f>IF(ISNUMBER('General Info'!$B$42), ((SamplingData[[#This Row],[up/U Selection Probability]]) * 'General Info'!$B$44) - 1, 0)</f>
        <v>753.35343730686827</v>
      </c>
      <c r="AH366" s="99">
        <f>IF(ISNUMBER('General Info'!$B$42), (SamplingData[[#This Row],[Running (cumulative) sum]] * ('General Info'!$B$42 -'General Info'!$B$43 + 1)) + 'General Info'!$B$43 - 1, 0)</f>
        <v>333411.85854509816</v>
      </c>
      <c r="AI366" s="99">
        <f>IF(ISERROR(MATCH(SamplingData[[#This Row],[Batch by Type (p)]],SelectedPrecincts[Batch Name], 0)), "", INDEX(SelectedPrecincts[Draw], MATCH(SamplingData[[#This Row],[Batch by Type (p)]],SelectedPrecincts[Batch Name], 0)))</f>
        <v>5</v>
      </c>
      <c r="AJ366" s="100">
        <f>IF(COUNTIF(SelectedPrecincts[Batch Name],SamplingData[[#This Row],[Batch by Type (p)]]) &lt;&gt; 0, COUNTIF(SelectedPrecincts[Batch Name],SamplingData[[#This Row],[Batch by Type (p)]]), 0)</f>
        <v>1</v>
      </c>
    </row>
    <row r="367" spans="1:36" ht="15" customHeight="1" x14ac:dyDescent="0.35">
      <c r="A367" s="97" t="s">
        <v>580</v>
      </c>
      <c r="B367" s="97">
        <v>50</v>
      </c>
      <c r="C367" s="97">
        <v>85</v>
      </c>
      <c r="D367" s="92"/>
      <c r="E367" s="92"/>
      <c r="F367" s="92"/>
      <c r="G367" s="96"/>
      <c r="H367" s="96"/>
      <c r="I367" s="92"/>
      <c r="J367" s="92"/>
      <c r="K367" s="92"/>
      <c r="L367" s="92"/>
      <c r="M367" s="92"/>
      <c r="N367" s="97">
        <v>0</v>
      </c>
      <c r="O367" s="97">
        <v>11</v>
      </c>
      <c r="P367" s="98">
        <f>SUM(SamplingData[[#This Row],[Winning Candidate]:[Under Votes]])</f>
        <v>146</v>
      </c>
      <c r="Q367" s="99">
        <f>IF(AND(SamplingData[[#This Row],[Total]]&lt;&gt; 0, NOT(ISBLANK(SamplingData[[#This Row],[Losing Candidate]]))),(SamplingData[[#This Row],[Total]]+SamplingData[[#This Row],[Winning Candidate]]-SamplingData[[#This Row],[Losing Candidate]])/(SamplingData[[#Totals],[Winning Candidate]]-SamplingData[[#Totals],[Losing Candidate]]), 0)</f>
        <v>4.7105754540824989E-3</v>
      </c>
      <c r="R367" s="99">
        <f>IF(AND(SamplingData[[#This Row],[Total]]&lt;&gt; 0, NOT(ISBLANK(SamplingData[[#This Row],[Candidate 3]]))),(SamplingData[[#This Row],[Total]]+SamplingData[[#This Row],[Winning Candidate]]-SamplingData[[#This Row],[Candidate 3]])/(SamplingData[[#Totals],[Winning Candidate]]-SamplingData[[#Totals],[Candidate 3]]), 0)</f>
        <v>0</v>
      </c>
      <c r="S367" s="99">
        <f>IF(AND(SamplingData[[#This Row],[Total]]&lt;&gt; 0, NOT(ISBLANK(SamplingData[[#This Row],[Candidate 4]]))),(SamplingData[[#This Row],[Total]]+SamplingData[[#This Row],[Winning Candidate]]-SamplingData[[#This Row],[Candidate 4]])/(SamplingData[[#Totals],[Winning Candidate]]-SamplingData[[#Totals],[Candidate 4]]), 0)</f>
        <v>0</v>
      </c>
      <c r="T367" s="99">
        <f>IF(AND(SamplingData[[#This Row],[Total]]&lt;&gt; 0, NOT(ISBLANK(SamplingData[[#This Row],[Candidate 5]]))),(SamplingData[[#This Row],[Total]]+SamplingData[[#This Row],[Winning Candidate]]-SamplingData[[#This Row],[Candidate 5]])/(SamplingData[[#Totals],[Winning Candidate]]-SamplingData[[#Totals],[Candidate 5]]), 0)</f>
        <v>0</v>
      </c>
      <c r="U367" s="99">
        <f>IF(AND(SamplingData[[#This Row],[Total]]&lt;&gt; 0, NOT(ISBLANK(SamplingData[[#This Row],[Candidate 6]]))),(SamplingData[[#This Row],[Total]]+SamplingData[[#This Row],[Losing Candidate]]-SamplingData[[#This Row],[Candidate 6]])/(SamplingData[[#Totals],[Winning Candidate]]-SamplingData[[#Totals],[Candidate 6]]), 0)</f>
        <v>0</v>
      </c>
      <c r="V367" s="99">
        <f>IF(AND(SamplingData[[#This Row],[Total]]&lt;&gt; 0, NOT(ISBLANK(SamplingData[[#This Row],[Candidate 7]]))),(SamplingData[[#This Row],[Total]]+SamplingData[[#This Row],[Winning Candidate]]-SamplingData[[#This Row],[Candidate 7]])/(SamplingData[[#Totals],[Winning Candidate]]-SamplingData[[#Totals],[Candidate 7]]), 0)</f>
        <v>0</v>
      </c>
      <c r="W367" s="99">
        <f>IF(AND(SamplingData[[#This Row],[Total]]&lt;&gt; 0, NOT(ISBLANK(SamplingData[[#This Row],[Candidate 8]]))),(SamplingData[[#This Row],[Total]]+SamplingData[[#This Row],[Winning Candidate]]-SamplingData[[#This Row],[Candidate 8]])/(SamplingData[[#Totals],[Winning Candidate]]-SamplingData[[#Totals],[Candidate 8]]), 0)</f>
        <v>0</v>
      </c>
      <c r="X3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7" s="99">
        <f>MAX(SamplingData[[#This Row],[Error Bound (up) - Max. possible relative overstatement - Losing Candidate]:[Error Bound (up) - Max. possible relative overstatement - Candidate 12]])</f>
        <v>4.7105754540824989E-3</v>
      </c>
      <c r="AC367" s="99">
        <f>IF(SamplingData[[#This Row],[Max Error Bound (up)]] = 0,0,SamplingData[[#This Row],[Max Error Bound (up)]]/SamplingData[[#Totals],[Max Error Bound (up)]])</f>
        <v>2.5220852873813972E-4</v>
      </c>
      <c r="AD367" s="103">
        <f>SUM($AC$5:AC367)</f>
        <v>0.33366506707383631</v>
      </c>
      <c r="AE367" s="99" t="str" cm="1">
        <f t="array" ref="AE367">IF(SamplingData[[#This Row],[up/U Selection Probability]] = 0, "Zero", TEXT(SamplingData[[#This Row],[Lower Range]], REPT("0",LEN('General Info'!$B$42))) &amp; " - " &amp; TEXT(SamplingData[[#This Row],[Upper Range]], REPT("0",LEN('General Info'!$B$42))))</f>
        <v>333413 - 333664</v>
      </c>
      <c r="AF367" s="99">
        <f>SamplingData[[#This Row],[Upper Range]]-SamplingData[[#This Row],[Span]]</f>
        <v>333412.85854509816</v>
      </c>
      <c r="AG367" s="99">
        <f>IF(ISNUMBER('General Info'!$B$42), ((SamplingData[[#This Row],[up/U Selection Probability]]) * 'General Info'!$B$44) - 1, 0)</f>
        <v>251.20852873813971</v>
      </c>
      <c r="AH367" s="99">
        <f>IF(ISNUMBER('General Info'!$B$42), (SamplingData[[#This Row],[Running (cumulative) sum]] * ('General Info'!$B$42 -'General Info'!$B$43 + 1)) + 'General Info'!$B$43 - 1, 0)</f>
        <v>333664.06707383628</v>
      </c>
      <c r="AI367" s="99" t="str">
        <f>IF(ISERROR(MATCH(SamplingData[[#This Row],[Batch by Type (p)]],SelectedPrecincts[Batch Name], 0)), "", INDEX(SelectedPrecincts[Draw], MATCH(SamplingData[[#This Row],[Batch by Type (p)]],SelectedPrecincts[Batch Name], 0)))</f>
        <v/>
      </c>
      <c r="AJ367" s="100">
        <f>IF(COUNTIF(SelectedPrecincts[Batch Name],SamplingData[[#This Row],[Batch by Type (p)]]) &lt;&gt; 0, COUNTIF(SelectedPrecincts[Batch Name],SamplingData[[#This Row],[Batch by Type (p)]]), 0)</f>
        <v>0</v>
      </c>
    </row>
    <row r="368" spans="1:36" ht="15" customHeight="1" x14ac:dyDescent="0.35">
      <c r="A368" s="97" t="s">
        <v>581</v>
      </c>
      <c r="B368" s="97">
        <v>86</v>
      </c>
      <c r="C368" s="97">
        <v>32</v>
      </c>
      <c r="D368" s="92"/>
      <c r="E368" s="92"/>
      <c r="F368" s="92"/>
      <c r="G368" s="96"/>
      <c r="H368" s="96"/>
      <c r="I368" s="92"/>
      <c r="J368" s="92"/>
      <c r="K368" s="92"/>
      <c r="L368" s="92"/>
      <c r="M368" s="92"/>
      <c r="N368" s="97">
        <v>0</v>
      </c>
      <c r="O368" s="97">
        <v>2</v>
      </c>
      <c r="P368" s="98">
        <f>SUM(SamplingData[[#This Row],[Winning Candidate]:[Under Votes]])</f>
        <v>120</v>
      </c>
      <c r="Q368" s="99">
        <f>IF(AND(SamplingData[[#This Row],[Total]]&lt;&gt; 0, NOT(ISBLANK(SamplingData[[#This Row],[Losing Candidate]]))),(SamplingData[[#This Row],[Total]]+SamplingData[[#This Row],[Winning Candidate]]-SamplingData[[#This Row],[Losing Candidate]])/(SamplingData[[#Totals],[Winning Candidate]]-SamplingData[[#Totals],[Losing Candidate]]), 0)</f>
        <v>7.3841453063995923E-3</v>
      </c>
      <c r="R368" s="99">
        <f>IF(AND(SamplingData[[#This Row],[Total]]&lt;&gt; 0, NOT(ISBLANK(SamplingData[[#This Row],[Candidate 3]]))),(SamplingData[[#This Row],[Total]]+SamplingData[[#This Row],[Winning Candidate]]-SamplingData[[#This Row],[Candidate 3]])/(SamplingData[[#Totals],[Winning Candidate]]-SamplingData[[#Totals],[Candidate 3]]), 0)</f>
        <v>0</v>
      </c>
      <c r="S368" s="99">
        <f>IF(AND(SamplingData[[#This Row],[Total]]&lt;&gt; 0, NOT(ISBLANK(SamplingData[[#This Row],[Candidate 4]]))),(SamplingData[[#This Row],[Total]]+SamplingData[[#This Row],[Winning Candidate]]-SamplingData[[#This Row],[Candidate 4]])/(SamplingData[[#Totals],[Winning Candidate]]-SamplingData[[#Totals],[Candidate 4]]), 0)</f>
        <v>0</v>
      </c>
      <c r="T368" s="99">
        <f>IF(AND(SamplingData[[#This Row],[Total]]&lt;&gt; 0, NOT(ISBLANK(SamplingData[[#This Row],[Candidate 5]]))),(SamplingData[[#This Row],[Total]]+SamplingData[[#This Row],[Winning Candidate]]-SamplingData[[#This Row],[Candidate 5]])/(SamplingData[[#Totals],[Winning Candidate]]-SamplingData[[#Totals],[Candidate 5]]), 0)</f>
        <v>0</v>
      </c>
      <c r="U368" s="99">
        <f>IF(AND(SamplingData[[#This Row],[Total]]&lt;&gt; 0, NOT(ISBLANK(SamplingData[[#This Row],[Candidate 6]]))),(SamplingData[[#This Row],[Total]]+SamplingData[[#This Row],[Losing Candidate]]-SamplingData[[#This Row],[Candidate 6]])/(SamplingData[[#Totals],[Winning Candidate]]-SamplingData[[#Totals],[Candidate 6]]), 0)</f>
        <v>0</v>
      </c>
      <c r="V368" s="99">
        <f>IF(AND(SamplingData[[#This Row],[Total]]&lt;&gt; 0, NOT(ISBLANK(SamplingData[[#This Row],[Candidate 7]]))),(SamplingData[[#This Row],[Total]]+SamplingData[[#This Row],[Winning Candidate]]-SamplingData[[#This Row],[Candidate 7]])/(SamplingData[[#Totals],[Winning Candidate]]-SamplingData[[#Totals],[Candidate 7]]), 0)</f>
        <v>0</v>
      </c>
      <c r="W368" s="99">
        <f>IF(AND(SamplingData[[#This Row],[Total]]&lt;&gt; 0, NOT(ISBLANK(SamplingData[[#This Row],[Candidate 8]]))),(SamplingData[[#This Row],[Total]]+SamplingData[[#This Row],[Winning Candidate]]-SamplingData[[#This Row],[Candidate 8]])/(SamplingData[[#Totals],[Winning Candidate]]-SamplingData[[#Totals],[Candidate 8]]), 0)</f>
        <v>0</v>
      </c>
      <c r="X3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8" s="99">
        <f>MAX(SamplingData[[#This Row],[Error Bound (up) - Max. possible relative overstatement - Losing Candidate]:[Error Bound (up) - Max. possible relative overstatement - Candidate 12]])</f>
        <v>7.3841453063995923E-3</v>
      </c>
      <c r="AC368" s="99">
        <f>IF(SamplingData[[#This Row],[Max Error Bound (up)]] = 0,0,SamplingData[[#This Row],[Max Error Bound (up)]]/SamplingData[[#Totals],[Max Error Bound (up)]])</f>
        <v>3.953539099138406E-4</v>
      </c>
      <c r="AD368" s="103">
        <f>SUM($AC$5:AC368)</f>
        <v>0.33406042098375016</v>
      </c>
      <c r="AE368" s="99" t="str" cm="1">
        <f t="array" ref="AE368">IF(SamplingData[[#This Row],[up/U Selection Probability]] = 0, "Zero", TEXT(SamplingData[[#This Row],[Lower Range]], REPT("0",LEN('General Info'!$B$42))) &amp; " - " &amp; TEXT(SamplingData[[#This Row],[Upper Range]], REPT("0",LEN('General Info'!$B$42))))</f>
        <v>333665 - 334059</v>
      </c>
      <c r="AF368" s="99">
        <f>SamplingData[[#This Row],[Upper Range]]-SamplingData[[#This Row],[Span]]</f>
        <v>333665.06707383628</v>
      </c>
      <c r="AG368" s="99">
        <f>IF(ISNUMBER('General Info'!$B$42), ((SamplingData[[#This Row],[up/U Selection Probability]]) * 'General Info'!$B$44) - 1, 0)</f>
        <v>394.3539099138406</v>
      </c>
      <c r="AH368" s="99">
        <f>IF(ISNUMBER('General Info'!$B$42), (SamplingData[[#This Row],[Running (cumulative) sum]] * ('General Info'!$B$42 -'General Info'!$B$43 + 1)) + 'General Info'!$B$43 - 1, 0)</f>
        <v>334059.42098375014</v>
      </c>
      <c r="AI368" s="99" t="str">
        <f>IF(ISERROR(MATCH(SamplingData[[#This Row],[Batch by Type (p)]],SelectedPrecincts[Batch Name], 0)), "", INDEX(SelectedPrecincts[Draw], MATCH(SamplingData[[#This Row],[Batch by Type (p)]],SelectedPrecincts[Batch Name], 0)))</f>
        <v/>
      </c>
      <c r="AJ368" s="100">
        <f>IF(COUNTIF(SelectedPrecincts[Batch Name],SamplingData[[#This Row],[Batch by Type (p)]]) &lt;&gt; 0, COUNTIF(SelectedPrecincts[Batch Name],SamplingData[[#This Row],[Batch by Type (p)]]), 0)</f>
        <v>0</v>
      </c>
    </row>
    <row r="369" spans="1:36" ht="15" customHeight="1" x14ac:dyDescent="0.35">
      <c r="A369" s="97" t="s">
        <v>582</v>
      </c>
      <c r="B369" s="97">
        <v>102</v>
      </c>
      <c r="C369" s="97">
        <v>301</v>
      </c>
      <c r="D369" s="92"/>
      <c r="E369" s="92"/>
      <c r="F369" s="92"/>
      <c r="G369" s="96"/>
      <c r="H369" s="96"/>
      <c r="I369" s="92"/>
      <c r="J369" s="92"/>
      <c r="K369" s="92"/>
      <c r="L369" s="92"/>
      <c r="M369" s="92"/>
      <c r="N369" s="97">
        <v>0</v>
      </c>
      <c r="O369" s="97">
        <v>18</v>
      </c>
      <c r="P369" s="98">
        <f>SUM(SamplingData[[#This Row],[Winning Candidate]:[Under Votes]])</f>
        <v>421</v>
      </c>
      <c r="Q369" s="99">
        <f>IF(AND(SamplingData[[#This Row],[Total]]&lt;&gt; 0, NOT(ISBLANK(SamplingData[[#This Row],[Losing Candidate]]))),(SamplingData[[#This Row],[Total]]+SamplingData[[#This Row],[Winning Candidate]]-SamplingData[[#This Row],[Losing Candidate]])/(SamplingData[[#Totals],[Winning Candidate]]-SamplingData[[#Totals],[Losing Candidate]]), 0)</f>
        <v>9.4211509081649977E-3</v>
      </c>
      <c r="R369" s="99">
        <f>IF(AND(SamplingData[[#This Row],[Total]]&lt;&gt; 0, NOT(ISBLANK(SamplingData[[#This Row],[Candidate 3]]))),(SamplingData[[#This Row],[Total]]+SamplingData[[#This Row],[Winning Candidate]]-SamplingData[[#This Row],[Candidate 3]])/(SamplingData[[#Totals],[Winning Candidate]]-SamplingData[[#Totals],[Candidate 3]]), 0)</f>
        <v>0</v>
      </c>
      <c r="S369" s="99">
        <f>IF(AND(SamplingData[[#This Row],[Total]]&lt;&gt; 0, NOT(ISBLANK(SamplingData[[#This Row],[Candidate 4]]))),(SamplingData[[#This Row],[Total]]+SamplingData[[#This Row],[Winning Candidate]]-SamplingData[[#This Row],[Candidate 4]])/(SamplingData[[#Totals],[Winning Candidate]]-SamplingData[[#Totals],[Candidate 4]]), 0)</f>
        <v>0</v>
      </c>
      <c r="T369" s="99">
        <f>IF(AND(SamplingData[[#This Row],[Total]]&lt;&gt; 0, NOT(ISBLANK(SamplingData[[#This Row],[Candidate 5]]))),(SamplingData[[#This Row],[Total]]+SamplingData[[#This Row],[Winning Candidate]]-SamplingData[[#This Row],[Candidate 5]])/(SamplingData[[#Totals],[Winning Candidate]]-SamplingData[[#Totals],[Candidate 5]]), 0)</f>
        <v>0</v>
      </c>
      <c r="U369" s="99">
        <f>IF(AND(SamplingData[[#This Row],[Total]]&lt;&gt; 0, NOT(ISBLANK(SamplingData[[#This Row],[Candidate 6]]))),(SamplingData[[#This Row],[Total]]+SamplingData[[#This Row],[Losing Candidate]]-SamplingData[[#This Row],[Candidate 6]])/(SamplingData[[#Totals],[Winning Candidate]]-SamplingData[[#Totals],[Candidate 6]]), 0)</f>
        <v>0</v>
      </c>
      <c r="V369" s="99">
        <f>IF(AND(SamplingData[[#This Row],[Total]]&lt;&gt; 0, NOT(ISBLANK(SamplingData[[#This Row],[Candidate 7]]))),(SamplingData[[#This Row],[Total]]+SamplingData[[#This Row],[Winning Candidate]]-SamplingData[[#This Row],[Candidate 7]])/(SamplingData[[#Totals],[Winning Candidate]]-SamplingData[[#Totals],[Candidate 7]]), 0)</f>
        <v>0</v>
      </c>
      <c r="W369" s="99">
        <f>IF(AND(SamplingData[[#This Row],[Total]]&lt;&gt; 0, NOT(ISBLANK(SamplingData[[#This Row],[Candidate 8]]))),(SamplingData[[#This Row],[Total]]+SamplingData[[#This Row],[Winning Candidate]]-SamplingData[[#This Row],[Candidate 8]])/(SamplingData[[#Totals],[Winning Candidate]]-SamplingData[[#Totals],[Candidate 8]]), 0)</f>
        <v>0</v>
      </c>
      <c r="X3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9" s="99">
        <f>MAX(SamplingData[[#This Row],[Error Bound (up) - Max. possible relative overstatement - Losing Candidate]:[Error Bound (up) - Max. possible relative overstatement - Candidate 12]])</f>
        <v>9.4211509081649977E-3</v>
      </c>
      <c r="AC369" s="99">
        <f>IF(SamplingData[[#This Row],[Max Error Bound (up)]] = 0,0,SamplingData[[#This Row],[Max Error Bound (up)]]/SamplingData[[#Totals],[Max Error Bound (up)]])</f>
        <v>5.0441705747627944E-4</v>
      </c>
      <c r="AD369" s="103">
        <f>SUM($AC$5:AC369)</f>
        <v>0.33456483804122644</v>
      </c>
      <c r="AE369" s="99" t="str" cm="1">
        <f t="array" ref="AE369">IF(SamplingData[[#This Row],[up/U Selection Probability]] = 0, "Zero", TEXT(SamplingData[[#This Row],[Lower Range]], REPT("0",LEN('General Info'!$B$42))) &amp; " - " &amp; TEXT(SamplingData[[#This Row],[Upper Range]], REPT("0",LEN('General Info'!$B$42))))</f>
        <v>334060 - 334564</v>
      </c>
      <c r="AF369" s="99">
        <f>SamplingData[[#This Row],[Upper Range]]-SamplingData[[#This Row],[Span]]</f>
        <v>334060.42098375014</v>
      </c>
      <c r="AG369" s="99">
        <f>IF(ISNUMBER('General Info'!$B$42), ((SamplingData[[#This Row],[up/U Selection Probability]]) * 'General Info'!$B$44) - 1, 0)</f>
        <v>503.41705747627941</v>
      </c>
      <c r="AH369" s="99">
        <f>IF(ISNUMBER('General Info'!$B$42), (SamplingData[[#This Row],[Running (cumulative) sum]] * ('General Info'!$B$42 -'General Info'!$B$43 + 1)) + 'General Info'!$B$43 - 1, 0)</f>
        <v>334563.83804122644</v>
      </c>
      <c r="AI369" s="99" t="str">
        <f>IF(ISERROR(MATCH(SamplingData[[#This Row],[Batch by Type (p)]],SelectedPrecincts[Batch Name], 0)), "", INDEX(SelectedPrecincts[Draw], MATCH(SamplingData[[#This Row],[Batch by Type (p)]],SelectedPrecincts[Batch Name], 0)))</f>
        <v/>
      </c>
      <c r="AJ369" s="100">
        <f>IF(COUNTIF(SelectedPrecincts[Batch Name],SamplingData[[#This Row],[Batch by Type (p)]]) &lt;&gt; 0, COUNTIF(SelectedPrecincts[Batch Name],SamplingData[[#This Row],[Batch by Type (p)]]), 0)</f>
        <v>0</v>
      </c>
    </row>
    <row r="370" spans="1:36" ht="15" customHeight="1" x14ac:dyDescent="0.35">
      <c r="A370" s="97" t="s">
        <v>583</v>
      </c>
      <c r="B370" s="97">
        <v>142</v>
      </c>
      <c r="C370" s="97">
        <v>144</v>
      </c>
      <c r="D370" s="92"/>
      <c r="E370" s="92"/>
      <c r="F370" s="92"/>
      <c r="G370" s="96"/>
      <c r="H370" s="96"/>
      <c r="I370" s="92"/>
      <c r="J370" s="92"/>
      <c r="K370" s="92"/>
      <c r="L370" s="92"/>
      <c r="M370" s="92"/>
      <c r="N370" s="97">
        <v>0</v>
      </c>
      <c r="O370" s="97">
        <v>21</v>
      </c>
      <c r="P370" s="98">
        <f>SUM(SamplingData[[#This Row],[Winning Candidate]:[Under Votes]])</f>
        <v>307</v>
      </c>
      <c r="Q370" s="99">
        <f>IF(AND(SamplingData[[#This Row],[Total]]&lt;&gt; 0, NOT(ISBLANK(SamplingData[[#This Row],[Losing Candidate]]))),(SamplingData[[#This Row],[Total]]+SamplingData[[#This Row],[Winning Candidate]]-SamplingData[[#This Row],[Losing Candidate]])/(SamplingData[[#Totals],[Winning Candidate]]-SamplingData[[#Totals],[Losing Candidate]]), 0)</f>
        <v>1.294347309455101E-2</v>
      </c>
      <c r="R370" s="99">
        <f>IF(AND(SamplingData[[#This Row],[Total]]&lt;&gt; 0, NOT(ISBLANK(SamplingData[[#This Row],[Candidate 3]]))),(SamplingData[[#This Row],[Total]]+SamplingData[[#This Row],[Winning Candidate]]-SamplingData[[#This Row],[Candidate 3]])/(SamplingData[[#Totals],[Winning Candidate]]-SamplingData[[#Totals],[Candidate 3]]), 0)</f>
        <v>0</v>
      </c>
      <c r="S370" s="99">
        <f>IF(AND(SamplingData[[#This Row],[Total]]&lt;&gt; 0, NOT(ISBLANK(SamplingData[[#This Row],[Candidate 4]]))),(SamplingData[[#This Row],[Total]]+SamplingData[[#This Row],[Winning Candidate]]-SamplingData[[#This Row],[Candidate 4]])/(SamplingData[[#Totals],[Winning Candidate]]-SamplingData[[#Totals],[Candidate 4]]), 0)</f>
        <v>0</v>
      </c>
      <c r="T370" s="99">
        <f>IF(AND(SamplingData[[#This Row],[Total]]&lt;&gt; 0, NOT(ISBLANK(SamplingData[[#This Row],[Candidate 5]]))),(SamplingData[[#This Row],[Total]]+SamplingData[[#This Row],[Winning Candidate]]-SamplingData[[#This Row],[Candidate 5]])/(SamplingData[[#Totals],[Winning Candidate]]-SamplingData[[#Totals],[Candidate 5]]), 0)</f>
        <v>0</v>
      </c>
      <c r="U370" s="99">
        <f>IF(AND(SamplingData[[#This Row],[Total]]&lt;&gt; 0, NOT(ISBLANK(SamplingData[[#This Row],[Candidate 6]]))),(SamplingData[[#This Row],[Total]]+SamplingData[[#This Row],[Losing Candidate]]-SamplingData[[#This Row],[Candidate 6]])/(SamplingData[[#Totals],[Winning Candidate]]-SamplingData[[#Totals],[Candidate 6]]), 0)</f>
        <v>0</v>
      </c>
      <c r="V370" s="99">
        <f>IF(AND(SamplingData[[#This Row],[Total]]&lt;&gt; 0, NOT(ISBLANK(SamplingData[[#This Row],[Candidate 7]]))),(SamplingData[[#This Row],[Total]]+SamplingData[[#This Row],[Winning Candidate]]-SamplingData[[#This Row],[Candidate 7]])/(SamplingData[[#Totals],[Winning Candidate]]-SamplingData[[#Totals],[Candidate 7]]), 0)</f>
        <v>0</v>
      </c>
      <c r="W370" s="99">
        <f>IF(AND(SamplingData[[#This Row],[Total]]&lt;&gt; 0, NOT(ISBLANK(SamplingData[[#This Row],[Candidate 8]]))),(SamplingData[[#This Row],[Total]]+SamplingData[[#This Row],[Winning Candidate]]-SamplingData[[#This Row],[Candidate 8]])/(SamplingData[[#Totals],[Winning Candidate]]-SamplingData[[#Totals],[Candidate 8]]), 0)</f>
        <v>0</v>
      </c>
      <c r="X3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0" s="99">
        <f>MAX(SamplingData[[#This Row],[Error Bound (up) - Max. possible relative overstatement - Losing Candidate]:[Error Bound (up) - Max. possible relative overstatement - Candidate 12]])</f>
        <v>1.294347309455101E-2</v>
      </c>
      <c r="AC370" s="99">
        <f>IF(SamplingData[[#This Row],[Max Error Bound (up)]] = 0,0,SamplingData[[#This Row],[Max Error Bound (up)]]/SamplingData[[#Totals],[Max Error Bound (up)]])</f>
        <v>6.9300541680299653E-4</v>
      </c>
      <c r="AD370" s="103">
        <f>SUM($AC$5:AC370)</f>
        <v>0.33525784345802945</v>
      </c>
      <c r="AE370" s="99" t="str" cm="1">
        <f t="array" ref="AE370">IF(SamplingData[[#This Row],[up/U Selection Probability]] = 0, "Zero", TEXT(SamplingData[[#This Row],[Lower Range]], REPT("0",LEN('General Info'!$B$42))) &amp; " - " &amp; TEXT(SamplingData[[#This Row],[Upper Range]], REPT("0",LEN('General Info'!$B$42))))</f>
        <v>334565 - 335257</v>
      </c>
      <c r="AF370" s="99">
        <f>SamplingData[[#This Row],[Upper Range]]-SamplingData[[#This Row],[Span]]</f>
        <v>334564.83804122644</v>
      </c>
      <c r="AG370" s="99">
        <f>IF(ISNUMBER('General Info'!$B$42), ((SamplingData[[#This Row],[up/U Selection Probability]]) * 'General Info'!$B$44) - 1, 0)</f>
        <v>692.00541680299648</v>
      </c>
      <c r="AH370" s="99">
        <f>IF(ISNUMBER('General Info'!$B$42), (SamplingData[[#This Row],[Running (cumulative) sum]] * ('General Info'!$B$42 -'General Info'!$B$43 + 1)) + 'General Info'!$B$43 - 1, 0)</f>
        <v>335256.84345802944</v>
      </c>
      <c r="AI370" s="99" t="str">
        <f>IF(ISERROR(MATCH(SamplingData[[#This Row],[Batch by Type (p)]],SelectedPrecincts[Batch Name], 0)), "", INDEX(SelectedPrecincts[Draw], MATCH(SamplingData[[#This Row],[Batch by Type (p)]],SelectedPrecincts[Batch Name], 0)))</f>
        <v/>
      </c>
      <c r="AJ370" s="100">
        <f>IF(COUNTIF(SelectedPrecincts[Batch Name],SamplingData[[#This Row],[Batch by Type (p)]]) &lt;&gt; 0, COUNTIF(SelectedPrecincts[Batch Name],SamplingData[[#This Row],[Batch by Type (p)]]), 0)</f>
        <v>0</v>
      </c>
    </row>
    <row r="371" spans="1:36" ht="15" customHeight="1" x14ac:dyDescent="0.35">
      <c r="A371" s="97" t="s">
        <v>584</v>
      </c>
      <c r="B371" s="97">
        <v>91</v>
      </c>
      <c r="C371" s="97">
        <v>169</v>
      </c>
      <c r="D371" s="92"/>
      <c r="E371" s="92"/>
      <c r="F371" s="92"/>
      <c r="G371" s="96"/>
      <c r="H371" s="96"/>
      <c r="I371" s="92"/>
      <c r="J371" s="92"/>
      <c r="K371" s="92"/>
      <c r="L371" s="92"/>
      <c r="M371" s="92"/>
      <c r="N371" s="97">
        <v>0</v>
      </c>
      <c r="O371" s="97">
        <v>11</v>
      </c>
      <c r="P371" s="98">
        <f>SUM(SamplingData[[#This Row],[Winning Candidate]:[Under Votes]])</f>
        <v>271</v>
      </c>
      <c r="Q371" s="99">
        <f>IF(AND(SamplingData[[#This Row],[Total]]&lt;&gt; 0, NOT(ISBLANK(SamplingData[[#This Row],[Losing Candidate]]))),(SamplingData[[#This Row],[Total]]+SamplingData[[#This Row],[Winning Candidate]]-SamplingData[[#This Row],[Losing Candidate]])/(SamplingData[[#Totals],[Winning Candidate]]-SamplingData[[#Totals],[Losing Candidate]]), 0)</f>
        <v>8.1904600237650647E-3</v>
      </c>
      <c r="R371" s="99">
        <f>IF(AND(SamplingData[[#This Row],[Total]]&lt;&gt; 0, NOT(ISBLANK(SamplingData[[#This Row],[Candidate 3]]))),(SamplingData[[#This Row],[Total]]+SamplingData[[#This Row],[Winning Candidate]]-SamplingData[[#This Row],[Candidate 3]])/(SamplingData[[#Totals],[Winning Candidate]]-SamplingData[[#Totals],[Candidate 3]]), 0)</f>
        <v>0</v>
      </c>
      <c r="S371" s="99">
        <f>IF(AND(SamplingData[[#This Row],[Total]]&lt;&gt; 0, NOT(ISBLANK(SamplingData[[#This Row],[Candidate 4]]))),(SamplingData[[#This Row],[Total]]+SamplingData[[#This Row],[Winning Candidate]]-SamplingData[[#This Row],[Candidate 4]])/(SamplingData[[#Totals],[Winning Candidate]]-SamplingData[[#Totals],[Candidate 4]]), 0)</f>
        <v>0</v>
      </c>
      <c r="T371" s="99">
        <f>IF(AND(SamplingData[[#This Row],[Total]]&lt;&gt; 0, NOT(ISBLANK(SamplingData[[#This Row],[Candidate 5]]))),(SamplingData[[#This Row],[Total]]+SamplingData[[#This Row],[Winning Candidate]]-SamplingData[[#This Row],[Candidate 5]])/(SamplingData[[#Totals],[Winning Candidate]]-SamplingData[[#Totals],[Candidate 5]]), 0)</f>
        <v>0</v>
      </c>
      <c r="U371" s="99">
        <f>IF(AND(SamplingData[[#This Row],[Total]]&lt;&gt; 0, NOT(ISBLANK(SamplingData[[#This Row],[Candidate 6]]))),(SamplingData[[#This Row],[Total]]+SamplingData[[#This Row],[Losing Candidate]]-SamplingData[[#This Row],[Candidate 6]])/(SamplingData[[#Totals],[Winning Candidate]]-SamplingData[[#Totals],[Candidate 6]]), 0)</f>
        <v>0</v>
      </c>
      <c r="V371" s="99">
        <f>IF(AND(SamplingData[[#This Row],[Total]]&lt;&gt; 0, NOT(ISBLANK(SamplingData[[#This Row],[Candidate 7]]))),(SamplingData[[#This Row],[Total]]+SamplingData[[#This Row],[Winning Candidate]]-SamplingData[[#This Row],[Candidate 7]])/(SamplingData[[#Totals],[Winning Candidate]]-SamplingData[[#Totals],[Candidate 7]]), 0)</f>
        <v>0</v>
      </c>
      <c r="W371" s="99">
        <f>IF(AND(SamplingData[[#This Row],[Total]]&lt;&gt; 0, NOT(ISBLANK(SamplingData[[#This Row],[Candidate 8]]))),(SamplingData[[#This Row],[Total]]+SamplingData[[#This Row],[Winning Candidate]]-SamplingData[[#This Row],[Candidate 8]])/(SamplingData[[#Totals],[Winning Candidate]]-SamplingData[[#Totals],[Candidate 8]]), 0)</f>
        <v>0</v>
      </c>
      <c r="X3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1" s="99">
        <f>MAX(SamplingData[[#This Row],[Error Bound (up) - Max. possible relative overstatement - Losing Candidate]:[Error Bound (up) - Max. possible relative overstatement - Candidate 12]])</f>
        <v>8.1904600237650647E-3</v>
      </c>
      <c r="AC371" s="99">
        <f>IF(SamplingData[[#This Row],[Max Error Bound (up)]] = 0,0,SamplingData[[#This Row],[Max Error Bound (up)]]/SamplingData[[#Totals],[Max Error Bound (up)]])</f>
        <v>4.3852473915730592E-4</v>
      </c>
      <c r="AD371" s="103">
        <f>SUM($AC$5:AC371)</f>
        <v>0.33569636819718673</v>
      </c>
      <c r="AE371" s="99" t="str" cm="1">
        <f t="array" ref="AE371">IF(SamplingData[[#This Row],[up/U Selection Probability]] = 0, "Zero", TEXT(SamplingData[[#This Row],[Lower Range]], REPT("0",LEN('General Info'!$B$42))) &amp; " - " &amp; TEXT(SamplingData[[#This Row],[Upper Range]], REPT("0",LEN('General Info'!$B$42))))</f>
        <v>335258 - 335695</v>
      </c>
      <c r="AF371" s="99">
        <f>SamplingData[[#This Row],[Upper Range]]-SamplingData[[#This Row],[Span]]</f>
        <v>335257.84345802944</v>
      </c>
      <c r="AG371" s="99">
        <f>IF(ISNUMBER('General Info'!$B$42), ((SamplingData[[#This Row],[up/U Selection Probability]]) * 'General Info'!$B$44) - 1, 0)</f>
        <v>437.52473915730593</v>
      </c>
      <c r="AH371" s="99">
        <f>IF(ISNUMBER('General Info'!$B$42), (SamplingData[[#This Row],[Running (cumulative) sum]] * ('General Info'!$B$42 -'General Info'!$B$43 + 1)) + 'General Info'!$B$43 - 1, 0)</f>
        <v>335695.36819718673</v>
      </c>
      <c r="AI371" s="99" t="str">
        <f>IF(ISERROR(MATCH(SamplingData[[#This Row],[Batch by Type (p)]],SelectedPrecincts[Batch Name], 0)), "", INDEX(SelectedPrecincts[Draw], MATCH(SamplingData[[#This Row],[Batch by Type (p)]],SelectedPrecincts[Batch Name], 0)))</f>
        <v/>
      </c>
      <c r="AJ371" s="100">
        <f>IF(COUNTIF(SelectedPrecincts[Batch Name],SamplingData[[#This Row],[Batch by Type (p)]]) &lt;&gt; 0, COUNTIF(SelectedPrecincts[Batch Name],SamplingData[[#This Row],[Batch by Type (p)]]), 0)</f>
        <v>0</v>
      </c>
    </row>
    <row r="372" spans="1:36" ht="15" customHeight="1" x14ac:dyDescent="0.35">
      <c r="A372" s="97" t="s">
        <v>585</v>
      </c>
      <c r="B372" s="97">
        <v>177</v>
      </c>
      <c r="C372" s="97">
        <v>78</v>
      </c>
      <c r="D372" s="92"/>
      <c r="E372" s="92"/>
      <c r="F372" s="92"/>
      <c r="G372" s="96"/>
      <c r="H372" s="96"/>
      <c r="I372" s="92"/>
      <c r="J372" s="92"/>
      <c r="K372" s="92"/>
      <c r="L372" s="92"/>
      <c r="M372" s="92"/>
      <c r="N372" s="97">
        <v>0</v>
      </c>
      <c r="O372" s="97">
        <v>16</v>
      </c>
      <c r="P372" s="98">
        <f>SUM(SamplingData[[#This Row],[Winning Candidate]:[Under Votes]])</f>
        <v>271</v>
      </c>
      <c r="Q372" s="99">
        <f>IF(AND(SamplingData[[#This Row],[Total]]&lt;&gt; 0, NOT(ISBLANK(SamplingData[[#This Row],[Losing Candidate]]))),(SamplingData[[#This Row],[Total]]+SamplingData[[#This Row],[Winning Candidate]]-SamplingData[[#This Row],[Losing Candidate]])/(SamplingData[[#Totals],[Winning Candidate]]-SamplingData[[#Totals],[Losing Candidate]]), 0)</f>
        <v>1.5701918180274995E-2</v>
      </c>
      <c r="R372" s="99">
        <f>IF(AND(SamplingData[[#This Row],[Total]]&lt;&gt; 0, NOT(ISBLANK(SamplingData[[#This Row],[Candidate 3]]))),(SamplingData[[#This Row],[Total]]+SamplingData[[#This Row],[Winning Candidate]]-SamplingData[[#This Row],[Candidate 3]])/(SamplingData[[#Totals],[Winning Candidate]]-SamplingData[[#Totals],[Candidate 3]]), 0)</f>
        <v>0</v>
      </c>
      <c r="S372" s="99">
        <f>IF(AND(SamplingData[[#This Row],[Total]]&lt;&gt; 0, NOT(ISBLANK(SamplingData[[#This Row],[Candidate 4]]))),(SamplingData[[#This Row],[Total]]+SamplingData[[#This Row],[Winning Candidate]]-SamplingData[[#This Row],[Candidate 4]])/(SamplingData[[#Totals],[Winning Candidate]]-SamplingData[[#Totals],[Candidate 4]]), 0)</f>
        <v>0</v>
      </c>
      <c r="T372" s="99">
        <f>IF(AND(SamplingData[[#This Row],[Total]]&lt;&gt; 0, NOT(ISBLANK(SamplingData[[#This Row],[Candidate 5]]))),(SamplingData[[#This Row],[Total]]+SamplingData[[#This Row],[Winning Candidate]]-SamplingData[[#This Row],[Candidate 5]])/(SamplingData[[#Totals],[Winning Candidate]]-SamplingData[[#Totals],[Candidate 5]]), 0)</f>
        <v>0</v>
      </c>
      <c r="U372" s="99">
        <f>IF(AND(SamplingData[[#This Row],[Total]]&lt;&gt; 0, NOT(ISBLANK(SamplingData[[#This Row],[Candidate 6]]))),(SamplingData[[#This Row],[Total]]+SamplingData[[#This Row],[Losing Candidate]]-SamplingData[[#This Row],[Candidate 6]])/(SamplingData[[#Totals],[Winning Candidate]]-SamplingData[[#Totals],[Candidate 6]]), 0)</f>
        <v>0</v>
      </c>
      <c r="V372" s="99">
        <f>IF(AND(SamplingData[[#This Row],[Total]]&lt;&gt; 0, NOT(ISBLANK(SamplingData[[#This Row],[Candidate 7]]))),(SamplingData[[#This Row],[Total]]+SamplingData[[#This Row],[Winning Candidate]]-SamplingData[[#This Row],[Candidate 7]])/(SamplingData[[#Totals],[Winning Candidate]]-SamplingData[[#Totals],[Candidate 7]]), 0)</f>
        <v>0</v>
      </c>
      <c r="W372" s="99">
        <f>IF(AND(SamplingData[[#This Row],[Total]]&lt;&gt; 0, NOT(ISBLANK(SamplingData[[#This Row],[Candidate 8]]))),(SamplingData[[#This Row],[Total]]+SamplingData[[#This Row],[Winning Candidate]]-SamplingData[[#This Row],[Candidate 8]])/(SamplingData[[#Totals],[Winning Candidate]]-SamplingData[[#Totals],[Candidate 8]]), 0)</f>
        <v>0</v>
      </c>
      <c r="X3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2" s="99">
        <f>MAX(SamplingData[[#This Row],[Error Bound (up) - Max. possible relative overstatement - Losing Candidate]:[Error Bound (up) - Max. possible relative overstatement - Candidate 12]])</f>
        <v>1.5701918180274995E-2</v>
      </c>
      <c r="AC372" s="99">
        <f>IF(SamplingData[[#This Row],[Max Error Bound (up)]] = 0,0,SamplingData[[#This Row],[Max Error Bound (up)]]/SamplingData[[#Totals],[Max Error Bound (up)]])</f>
        <v>8.4069509579379903E-4</v>
      </c>
      <c r="AD372" s="103">
        <f>SUM($AC$5:AC372)</f>
        <v>0.33653706329298055</v>
      </c>
      <c r="AE372" s="99" t="str" cm="1">
        <f t="array" ref="AE372">IF(SamplingData[[#This Row],[up/U Selection Probability]] = 0, "Zero", TEXT(SamplingData[[#This Row],[Lower Range]], REPT("0",LEN('General Info'!$B$42))) &amp; " - " &amp; TEXT(SamplingData[[#This Row],[Upper Range]], REPT("0",LEN('General Info'!$B$42))))</f>
        <v>335696 - 336536</v>
      </c>
      <c r="AF372" s="99">
        <f>SamplingData[[#This Row],[Upper Range]]-SamplingData[[#This Row],[Span]]</f>
        <v>335696.36819718673</v>
      </c>
      <c r="AG372" s="99">
        <f>IF(ISNUMBER('General Info'!$B$42), ((SamplingData[[#This Row],[up/U Selection Probability]]) * 'General Info'!$B$44) - 1, 0)</f>
        <v>839.69509579379906</v>
      </c>
      <c r="AH372" s="99">
        <f>IF(ISNUMBER('General Info'!$B$42), (SamplingData[[#This Row],[Running (cumulative) sum]] * ('General Info'!$B$42 -'General Info'!$B$43 + 1)) + 'General Info'!$B$43 - 1, 0)</f>
        <v>336536.06329298054</v>
      </c>
      <c r="AI372" s="99" t="str">
        <f>IF(ISERROR(MATCH(SamplingData[[#This Row],[Batch by Type (p)]],SelectedPrecincts[Batch Name], 0)), "", INDEX(SelectedPrecincts[Draw], MATCH(SamplingData[[#This Row],[Batch by Type (p)]],SelectedPrecincts[Batch Name], 0)))</f>
        <v/>
      </c>
      <c r="AJ372" s="100">
        <f>IF(COUNTIF(SelectedPrecincts[Batch Name],SamplingData[[#This Row],[Batch by Type (p)]]) &lt;&gt; 0, COUNTIF(SelectedPrecincts[Batch Name],SamplingData[[#This Row],[Batch by Type (p)]]), 0)</f>
        <v>0</v>
      </c>
    </row>
    <row r="373" spans="1:36" ht="15" customHeight="1" x14ac:dyDescent="0.35">
      <c r="A373" s="97" t="s">
        <v>586</v>
      </c>
      <c r="B373" s="97">
        <v>173</v>
      </c>
      <c r="C373" s="97">
        <v>113</v>
      </c>
      <c r="D373" s="92"/>
      <c r="E373" s="92"/>
      <c r="F373" s="92"/>
      <c r="G373" s="96"/>
      <c r="H373" s="96"/>
      <c r="I373" s="92"/>
      <c r="J373" s="92"/>
      <c r="K373" s="92"/>
      <c r="L373" s="92"/>
      <c r="M373" s="92"/>
      <c r="N373" s="97">
        <v>0</v>
      </c>
      <c r="O373" s="97">
        <v>18</v>
      </c>
      <c r="P373" s="98">
        <f>SUM(SamplingData[[#This Row],[Winning Candidate]:[Under Votes]])</f>
        <v>304</v>
      </c>
      <c r="Q373" s="99">
        <f>IF(AND(SamplingData[[#This Row],[Total]]&lt;&gt; 0, NOT(ISBLANK(SamplingData[[#This Row],[Losing Candidate]]))),(SamplingData[[#This Row],[Total]]+SamplingData[[#This Row],[Winning Candidate]]-SamplingData[[#This Row],[Losing Candidate]])/(SamplingData[[#Totals],[Winning Candidate]]-SamplingData[[#Totals],[Losing Candidate]]), 0)</f>
        <v>1.5447292480054321E-2</v>
      </c>
      <c r="R373" s="99">
        <f>IF(AND(SamplingData[[#This Row],[Total]]&lt;&gt; 0, NOT(ISBLANK(SamplingData[[#This Row],[Candidate 3]]))),(SamplingData[[#This Row],[Total]]+SamplingData[[#This Row],[Winning Candidate]]-SamplingData[[#This Row],[Candidate 3]])/(SamplingData[[#Totals],[Winning Candidate]]-SamplingData[[#Totals],[Candidate 3]]), 0)</f>
        <v>0</v>
      </c>
      <c r="S373" s="99">
        <f>IF(AND(SamplingData[[#This Row],[Total]]&lt;&gt; 0, NOT(ISBLANK(SamplingData[[#This Row],[Candidate 4]]))),(SamplingData[[#This Row],[Total]]+SamplingData[[#This Row],[Winning Candidate]]-SamplingData[[#This Row],[Candidate 4]])/(SamplingData[[#Totals],[Winning Candidate]]-SamplingData[[#Totals],[Candidate 4]]), 0)</f>
        <v>0</v>
      </c>
      <c r="T373" s="99">
        <f>IF(AND(SamplingData[[#This Row],[Total]]&lt;&gt; 0, NOT(ISBLANK(SamplingData[[#This Row],[Candidate 5]]))),(SamplingData[[#This Row],[Total]]+SamplingData[[#This Row],[Winning Candidate]]-SamplingData[[#This Row],[Candidate 5]])/(SamplingData[[#Totals],[Winning Candidate]]-SamplingData[[#Totals],[Candidate 5]]), 0)</f>
        <v>0</v>
      </c>
      <c r="U373" s="99">
        <f>IF(AND(SamplingData[[#This Row],[Total]]&lt;&gt; 0, NOT(ISBLANK(SamplingData[[#This Row],[Candidate 6]]))),(SamplingData[[#This Row],[Total]]+SamplingData[[#This Row],[Losing Candidate]]-SamplingData[[#This Row],[Candidate 6]])/(SamplingData[[#Totals],[Winning Candidate]]-SamplingData[[#Totals],[Candidate 6]]), 0)</f>
        <v>0</v>
      </c>
      <c r="V373" s="99">
        <f>IF(AND(SamplingData[[#This Row],[Total]]&lt;&gt; 0, NOT(ISBLANK(SamplingData[[#This Row],[Candidate 7]]))),(SamplingData[[#This Row],[Total]]+SamplingData[[#This Row],[Winning Candidate]]-SamplingData[[#This Row],[Candidate 7]])/(SamplingData[[#Totals],[Winning Candidate]]-SamplingData[[#Totals],[Candidate 7]]), 0)</f>
        <v>0</v>
      </c>
      <c r="W373" s="99">
        <f>IF(AND(SamplingData[[#This Row],[Total]]&lt;&gt; 0, NOT(ISBLANK(SamplingData[[#This Row],[Candidate 8]]))),(SamplingData[[#This Row],[Total]]+SamplingData[[#This Row],[Winning Candidate]]-SamplingData[[#This Row],[Candidate 8]])/(SamplingData[[#Totals],[Winning Candidate]]-SamplingData[[#Totals],[Candidate 8]]), 0)</f>
        <v>0</v>
      </c>
      <c r="X3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3" s="99">
        <f>MAX(SamplingData[[#This Row],[Error Bound (up) - Max. possible relative overstatement - Losing Candidate]:[Error Bound (up) - Max. possible relative overstatement - Candidate 12]])</f>
        <v>1.5447292480054321E-2</v>
      </c>
      <c r="AC373" s="99">
        <f>IF(SamplingData[[#This Row],[Max Error Bound (up)]] = 0,0,SamplingData[[#This Row],[Max Error Bound (up)]]/SamplingData[[#Totals],[Max Error Bound (up)]])</f>
        <v>8.2706220234849423E-4</v>
      </c>
      <c r="AD373" s="103">
        <f>SUM($AC$5:AC373)</f>
        <v>0.33736412549532907</v>
      </c>
      <c r="AE373" s="99" t="str" cm="1">
        <f t="array" ref="AE373">IF(SamplingData[[#This Row],[up/U Selection Probability]] = 0, "Zero", TEXT(SamplingData[[#This Row],[Lower Range]], REPT("0",LEN('General Info'!$B$42))) &amp; " - " &amp; TEXT(SamplingData[[#This Row],[Upper Range]], REPT("0",LEN('General Info'!$B$42))))</f>
        <v>336537 - 337363</v>
      </c>
      <c r="AF373" s="99">
        <f>SamplingData[[#This Row],[Upper Range]]-SamplingData[[#This Row],[Span]]</f>
        <v>336537.0632929806</v>
      </c>
      <c r="AG373" s="99">
        <f>IF(ISNUMBER('General Info'!$B$42), ((SamplingData[[#This Row],[up/U Selection Probability]]) * 'General Info'!$B$44) - 1, 0)</f>
        <v>826.06220234849422</v>
      </c>
      <c r="AH373" s="99">
        <f>IF(ISNUMBER('General Info'!$B$42), (SamplingData[[#This Row],[Running (cumulative) sum]] * ('General Info'!$B$42 -'General Info'!$B$43 + 1)) + 'General Info'!$B$43 - 1, 0)</f>
        <v>337363.12549532909</v>
      </c>
      <c r="AI373" s="99" t="str">
        <f>IF(ISERROR(MATCH(SamplingData[[#This Row],[Batch by Type (p)]],SelectedPrecincts[Batch Name], 0)), "", INDEX(SelectedPrecincts[Draw], MATCH(SamplingData[[#This Row],[Batch by Type (p)]],SelectedPrecincts[Batch Name], 0)))</f>
        <v/>
      </c>
      <c r="AJ373" s="100">
        <f>IF(COUNTIF(SelectedPrecincts[Batch Name],SamplingData[[#This Row],[Batch by Type (p)]]) &lt;&gt; 0, COUNTIF(SelectedPrecincts[Batch Name],SamplingData[[#This Row],[Batch by Type (p)]]), 0)</f>
        <v>0</v>
      </c>
    </row>
    <row r="374" spans="1:36" ht="15" customHeight="1" x14ac:dyDescent="0.35">
      <c r="A374" s="97" t="s">
        <v>587</v>
      </c>
      <c r="B374" s="97">
        <v>91</v>
      </c>
      <c r="C374" s="97">
        <v>118</v>
      </c>
      <c r="D374" s="92"/>
      <c r="E374" s="92"/>
      <c r="F374" s="92"/>
      <c r="G374" s="96"/>
      <c r="H374" s="96"/>
      <c r="I374" s="92"/>
      <c r="J374" s="92"/>
      <c r="K374" s="92"/>
      <c r="L374" s="92"/>
      <c r="M374" s="92"/>
      <c r="N374" s="97">
        <v>0</v>
      </c>
      <c r="O374" s="97">
        <v>11</v>
      </c>
      <c r="P374" s="98">
        <f>SUM(SamplingData[[#This Row],[Winning Candidate]:[Under Votes]])</f>
        <v>220</v>
      </c>
      <c r="Q374" s="99">
        <f>IF(AND(SamplingData[[#This Row],[Total]]&lt;&gt; 0, NOT(ISBLANK(SamplingData[[#This Row],[Losing Candidate]]))),(SamplingData[[#This Row],[Total]]+SamplingData[[#This Row],[Winning Candidate]]-SamplingData[[#This Row],[Losing Candidate]])/(SamplingData[[#Totals],[Winning Candidate]]-SamplingData[[#Totals],[Losing Candidate]]), 0)</f>
        <v>8.1904600237650647E-3</v>
      </c>
      <c r="R374" s="99">
        <f>IF(AND(SamplingData[[#This Row],[Total]]&lt;&gt; 0, NOT(ISBLANK(SamplingData[[#This Row],[Candidate 3]]))),(SamplingData[[#This Row],[Total]]+SamplingData[[#This Row],[Winning Candidate]]-SamplingData[[#This Row],[Candidate 3]])/(SamplingData[[#Totals],[Winning Candidate]]-SamplingData[[#Totals],[Candidate 3]]), 0)</f>
        <v>0</v>
      </c>
      <c r="S374" s="99">
        <f>IF(AND(SamplingData[[#This Row],[Total]]&lt;&gt; 0, NOT(ISBLANK(SamplingData[[#This Row],[Candidate 4]]))),(SamplingData[[#This Row],[Total]]+SamplingData[[#This Row],[Winning Candidate]]-SamplingData[[#This Row],[Candidate 4]])/(SamplingData[[#Totals],[Winning Candidate]]-SamplingData[[#Totals],[Candidate 4]]), 0)</f>
        <v>0</v>
      </c>
      <c r="T374" s="99">
        <f>IF(AND(SamplingData[[#This Row],[Total]]&lt;&gt; 0, NOT(ISBLANK(SamplingData[[#This Row],[Candidate 5]]))),(SamplingData[[#This Row],[Total]]+SamplingData[[#This Row],[Winning Candidate]]-SamplingData[[#This Row],[Candidate 5]])/(SamplingData[[#Totals],[Winning Candidate]]-SamplingData[[#Totals],[Candidate 5]]), 0)</f>
        <v>0</v>
      </c>
      <c r="U374" s="99">
        <f>IF(AND(SamplingData[[#This Row],[Total]]&lt;&gt; 0, NOT(ISBLANK(SamplingData[[#This Row],[Candidate 6]]))),(SamplingData[[#This Row],[Total]]+SamplingData[[#This Row],[Losing Candidate]]-SamplingData[[#This Row],[Candidate 6]])/(SamplingData[[#Totals],[Winning Candidate]]-SamplingData[[#Totals],[Candidate 6]]), 0)</f>
        <v>0</v>
      </c>
      <c r="V374" s="99">
        <f>IF(AND(SamplingData[[#This Row],[Total]]&lt;&gt; 0, NOT(ISBLANK(SamplingData[[#This Row],[Candidate 7]]))),(SamplingData[[#This Row],[Total]]+SamplingData[[#This Row],[Winning Candidate]]-SamplingData[[#This Row],[Candidate 7]])/(SamplingData[[#Totals],[Winning Candidate]]-SamplingData[[#Totals],[Candidate 7]]), 0)</f>
        <v>0</v>
      </c>
      <c r="W374" s="99">
        <f>IF(AND(SamplingData[[#This Row],[Total]]&lt;&gt; 0, NOT(ISBLANK(SamplingData[[#This Row],[Candidate 8]]))),(SamplingData[[#This Row],[Total]]+SamplingData[[#This Row],[Winning Candidate]]-SamplingData[[#This Row],[Candidate 8]])/(SamplingData[[#Totals],[Winning Candidate]]-SamplingData[[#Totals],[Candidate 8]]), 0)</f>
        <v>0</v>
      </c>
      <c r="X3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4" s="99">
        <f>MAX(SamplingData[[#This Row],[Error Bound (up) - Max. possible relative overstatement - Losing Candidate]:[Error Bound (up) - Max. possible relative overstatement - Candidate 12]])</f>
        <v>8.1904600237650647E-3</v>
      </c>
      <c r="AC374" s="99">
        <f>IF(SamplingData[[#This Row],[Max Error Bound (up)]] = 0,0,SamplingData[[#This Row],[Max Error Bound (up)]]/SamplingData[[#Totals],[Max Error Bound (up)]])</f>
        <v>4.3852473915730592E-4</v>
      </c>
      <c r="AD374" s="103">
        <f>SUM($AC$5:AC374)</f>
        <v>0.33780265023448636</v>
      </c>
      <c r="AE374" s="99" t="str" cm="1">
        <f t="array" ref="AE374">IF(SamplingData[[#This Row],[up/U Selection Probability]] = 0, "Zero", TEXT(SamplingData[[#This Row],[Lower Range]], REPT("0",LEN('General Info'!$B$42))) &amp; " - " &amp; TEXT(SamplingData[[#This Row],[Upper Range]], REPT("0",LEN('General Info'!$B$42))))</f>
        <v>337364 - 337802</v>
      </c>
      <c r="AF374" s="99">
        <f>SamplingData[[#This Row],[Upper Range]]-SamplingData[[#This Row],[Span]]</f>
        <v>337364.12549532909</v>
      </c>
      <c r="AG374" s="99">
        <f>IF(ISNUMBER('General Info'!$B$42), ((SamplingData[[#This Row],[up/U Selection Probability]]) * 'General Info'!$B$44) - 1, 0)</f>
        <v>437.52473915730593</v>
      </c>
      <c r="AH374" s="99">
        <f>IF(ISNUMBER('General Info'!$B$42), (SamplingData[[#This Row],[Running (cumulative) sum]] * ('General Info'!$B$42 -'General Info'!$B$43 + 1)) + 'General Info'!$B$43 - 1, 0)</f>
        <v>337801.65023448638</v>
      </c>
      <c r="AI374" s="99" t="str">
        <f>IF(ISERROR(MATCH(SamplingData[[#This Row],[Batch by Type (p)]],SelectedPrecincts[Batch Name], 0)), "", INDEX(SelectedPrecincts[Draw], MATCH(SamplingData[[#This Row],[Batch by Type (p)]],SelectedPrecincts[Batch Name], 0)))</f>
        <v/>
      </c>
      <c r="AJ374" s="100">
        <f>IF(COUNTIF(SelectedPrecincts[Batch Name],SamplingData[[#This Row],[Batch by Type (p)]]) &lt;&gt; 0, COUNTIF(SelectedPrecincts[Batch Name],SamplingData[[#This Row],[Batch by Type (p)]]), 0)</f>
        <v>0</v>
      </c>
    </row>
    <row r="375" spans="1:36" ht="15" customHeight="1" x14ac:dyDescent="0.35">
      <c r="A375" s="97" t="s">
        <v>588</v>
      </c>
      <c r="B375" s="97">
        <v>61</v>
      </c>
      <c r="C375" s="97">
        <v>40</v>
      </c>
      <c r="D375" s="92"/>
      <c r="E375" s="92"/>
      <c r="F375" s="92"/>
      <c r="G375" s="96"/>
      <c r="H375" s="96"/>
      <c r="I375" s="92"/>
      <c r="J375" s="92"/>
      <c r="K375" s="92"/>
      <c r="L375" s="92"/>
      <c r="M375" s="92"/>
      <c r="N375" s="97">
        <v>0</v>
      </c>
      <c r="O375" s="97">
        <v>7</v>
      </c>
      <c r="P375" s="98">
        <f>SUM(SamplingData[[#This Row],[Winning Candidate]:[Under Votes]])</f>
        <v>108</v>
      </c>
      <c r="Q375" s="99">
        <f>IF(AND(SamplingData[[#This Row],[Total]]&lt;&gt; 0, NOT(ISBLANK(SamplingData[[#This Row],[Losing Candidate]]))),(SamplingData[[#This Row],[Total]]+SamplingData[[#This Row],[Winning Candidate]]-SamplingData[[#This Row],[Losing Candidate]])/(SamplingData[[#Totals],[Winning Candidate]]-SamplingData[[#Totals],[Losing Candidate]]), 0)</f>
        <v>5.4744525547445258E-3</v>
      </c>
      <c r="R375" s="99">
        <f>IF(AND(SamplingData[[#This Row],[Total]]&lt;&gt; 0, NOT(ISBLANK(SamplingData[[#This Row],[Candidate 3]]))),(SamplingData[[#This Row],[Total]]+SamplingData[[#This Row],[Winning Candidate]]-SamplingData[[#This Row],[Candidate 3]])/(SamplingData[[#Totals],[Winning Candidate]]-SamplingData[[#Totals],[Candidate 3]]), 0)</f>
        <v>0</v>
      </c>
      <c r="S375" s="99">
        <f>IF(AND(SamplingData[[#This Row],[Total]]&lt;&gt; 0, NOT(ISBLANK(SamplingData[[#This Row],[Candidate 4]]))),(SamplingData[[#This Row],[Total]]+SamplingData[[#This Row],[Winning Candidate]]-SamplingData[[#This Row],[Candidate 4]])/(SamplingData[[#Totals],[Winning Candidate]]-SamplingData[[#Totals],[Candidate 4]]), 0)</f>
        <v>0</v>
      </c>
      <c r="T375" s="99">
        <f>IF(AND(SamplingData[[#This Row],[Total]]&lt;&gt; 0, NOT(ISBLANK(SamplingData[[#This Row],[Candidate 5]]))),(SamplingData[[#This Row],[Total]]+SamplingData[[#This Row],[Winning Candidate]]-SamplingData[[#This Row],[Candidate 5]])/(SamplingData[[#Totals],[Winning Candidate]]-SamplingData[[#Totals],[Candidate 5]]), 0)</f>
        <v>0</v>
      </c>
      <c r="U375" s="99">
        <f>IF(AND(SamplingData[[#This Row],[Total]]&lt;&gt; 0, NOT(ISBLANK(SamplingData[[#This Row],[Candidate 6]]))),(SamplingData[[#This Row],[Total]]+SamplingData[[#This Row],[Losing Candidate]]-SamplingData[[#This Row],[Candidate 6]])/(SamplingData[[#Totals],[Winning Candidate]]-SamplingData[[#Totals],[Candidate 6]]), 0)</f>
        <v>0</v>
      </c>
      <c r="V375" s="99">
        <f>IF(AND(SamplingData[[#This Row],[Total]]&lt;&gt; 0, NOT(ISBLANK(SamplingData[[#This Row],[Candidate 7]]))),(SamplingData[[#This Row],[Total]]+SamplingData[[#This Row],[Winning Candidate]]-SamplingData[[#This Row],[Candidate 7]])/(SamplingData[[#Totals],[Winning Candidate]]-SamplingData[[#Totals],[Candidate 7]]), 0)</f>
        <v>0</v>
      </c>
      <c r="W375" s="99">
        <f>IF(AND(SamplingData[[#This Row],[Total]]&lt;&gt; 0, NOT(ISBLANK(SamplingData[[#This Row],[Candidate 8]]))),(SamplingData[[#This Row],[Total]]+SamplingData[[#This Row],[Winning Candidate]]-SamplingData[[#This Row],[Candidate 8]])/(SamplingData[[#Totals],[Winning Candidate]]-SamplingData[[#Totals],[Candidate 8]]), 0)</f>
        <v>0</v>
      </c>
      <c r="X3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5" s="99">
        <f>MAX(SamplingData[[#This Row],[Error Bound (up) - Max. possible relative overstatement - Losing Candidate]:[Error Bound (up) - Max. possible relative overstatement - Candidate 12]])</f>
        <v>5.4744525547445258E-3</v>
      </c>
      <c r="AC375" s="99">
        <f>IF(SamplingData[[#This Row],[Max Error Bound (up)]] = 0,0,SamplingData[[#This Row],[Max Error Bound (up)]]/SamplingData[[#Totals],[Max Error Bound (up)]])</f>
        <v>2.9310720907405426E-4</v>
      </c>
      <c r="AD375" s="103">
        <f>SUM($AC$5:AC375)</f>
        <v>0.33809575744356041</v>
      </c>
      <c r="AE375" s="99" t="str" cm="1">
        <f t="array" ref="AE375">IF(SamplingData[[#This Row],[up/U Selection Probability]] = 0, "Zero", TEXT(SamplingData[[#This Row],[Lower Range]], REPT("0",LEN('General Info'!$B$42))) &amp; " - " &amp; TEXT(SamplingData[[#This Row],[Upper Range]], REPT("0",LEN('General Info'!$B$42))))</f>
        <v>337803 - 338095</v>
      </c>
      <c r="AF375" s="99">
        <f>SamplingData[[#This Row],[Upper Range]]-SamplingData[[#This Row],[Span]]</f>
        <v>337802.65023448633</v>
      </c>
      <c r="AG375" s="99">
        <f>IF(ISNUMBER('General Info'!$B$42), ((SamplingData[[#This Row],[up/U Selection Probability]]) * 'General Info'!$B$44) - 1, 0)</f>
        <v>292.10720907405425</v>
      </c>
      <c r="AH375" s="99">
        <f>IF(ISNUMBER('General Info'!$B$42), (SamplingData[[#This Row],[Running (cumulative) sum]] * ('General Info'!$B$42 -'General Info'!$B$43 + 1)) + 'General Info'!$B$43 - 1, 0)</f>
        <v>338094.7574435604</v>
      </c>
      <c r="AI375" s="99" t="str">
        <f>IF(ISERROR(MATCH(SamplingData[[#This Row],[Batch by Type (p)]],SelectedPrecincts[Batch Name], 0)), "", INDEX(SelectedPrecincts[Draw], MATCH(SamplingData[[#This Row],[Batch by Type (p)]],SelectedPrecincts[Batch Name], 0)))</f>
        <v/>
      </c>
      <c r="AJ375" s="100">
        <f>IF(COUNTIF(SelectedPrecincts[Batch Name],SamplingData[[#This Row],[Batch by Type (p)]]) &lt;&gt; 0, COUNTIF(SelectedPrecincts[Batch Name],SamplingData[[#This Row],[Batch by Type (p)]]), 0)</f>
        <v>0</v>
      </c>
    </row>
    <row r="376" spans="1:36" ht="15" customHeight="1" x14ac:dyDescent="0.35">
      <c r="A376" s="97" t="s">
        <v>589</v>
      </c>
      <c r="B376" s="97">
        <v>124</v>
      </c>
      <c r="C376" s="97">
        <v>77</v>
      </c>
      <c r="D376" s="92"/>
      <c r="E376" s="92"/>
      <c r="F376" s="92"/>
      <c r="G376" s="96"/>
      <c r="H376" s="96"/>
      <c r="I376" s="92"/>
      <c r="J376" s="92"/>
      <c r="K376" s="92"/>
      <c r="L376" s="92"/>
      <c r="M376" s="92"/>
      <c r="N376" s="97">
        <v>0</v>
      </c>
      <c r="O376" s="97">
        <v>5</v>
      </c>
      <c r="P376" s="98">
        <f>SUM(SamplingData[[#This Row],[Winning Candidate]:[Under Votes]])</f>
        <v>206</v>
      </c>
      <c r="Q376" s="99">
        <f>IF(AND(SamplingData[[#This Row],[Total]]&lt;&gt; 0, NOT(ISBLANK(SamplingData[[#This Row],[Losing Candidate]]))),(SamplingData[[#This Row],[Total]]+SamplingData[[#This Row],[Winning Candidate]]-SamplingData[[#This Row],[Losing Candidate]])/(SamplingData[[#Totals],[Winning Candidate]]-SamplingData[[#Totals],[Losing Candidate]]), 0)</f>
        <v>1.0736717025971822E-2</v>
      </c>
      <c r="R376" s="99">
        <f>IF(AND(SamplingData[[#This Row],[Total]]&lt;&gt; 0, NOT(ISBLANK(SamplingData[[#This Row],[Candidate 3]]))),(SamplingData[[#This Row],[Total]]+SamplingData[[#This Row],[Winning Candidate]]-SamplingData[[#This Row],[Candidate 3]])/(SamplingData[[#Totals],[Winning Candidate]]-SamplingData[[#Totals],[Candidate 3]]), 0)</f>
        <v>0</v>
      </c>
      <c r="S376" s="99">
        <f>IF(AND(SamplingData[[#This Row],[Total]]&lt;&gt; 0, NOT(ISBLANK(SamplingData[[#This Row],[Candidate 4]]))),(SamplingData[[#This Row],[Total]]+SamplingData[[#This Row],[Winning Candidate]]-SamplingData[[#This Row],[Candidate 4]])/(SamplingData[[#Totals],[Winning Candidate]]-SamplingData[[#Totals],[Candidate 4]]), 0)</f>
        <v>0</v>
      </c>
      <c r="T376" s="99">
        <f>IF(AND(SamplingData[[#This Row],[Total]]&lt;&gt; 0, NOT(ISBLANK(SamplingData[[#This Row],[Candidate 5]]))),(SamplingData[[#This Row],[Total]]+SamplingData[[#This Row],[Winning Candidate]]-SamplingData[[#This Row],[Candidate 5]])/(SamplingData[[#Totals],[Winning Candidate]]-SamplingData[[#Totals],[Candidate 5]]), 0)</f>
        <v>0</v>
      </c>
      <c r="U376" s="99">
        <f>IF(AND(SamplingData[[#This Row],[Total]]&lt;&gt; 0, NOT(ISBLANK(SamplingData[[#This Row],[Candidate 6]]))),(SamplingData[[#This Row],[Total]]+SamplingData[[#This Row],[Losing Candidate]]-SamplingData[[#This Row],[Candidate 6]])/(SamplingData[[#Totals],[Winning Candidate]]-SamplingData[[#Totals],[Candidate 6]]), 0)</f>
        <v>0</v>
      </c>
      <c r="V376" s="99">
        <f>IF(AND(SamplingData[[#This Row],[Total]]&lt;&gt; 0, NOT(ISBLANK(SamplingData[[#This Row],[Candidate 7]]))),(SamplingData[[#This Row],[Total]]+SamplingData[[#This Row],[Winning Candidate]]-SamplingData[[#This Row],[Candidate 7]])/(SamplingData[[#Totals],[Winning Candidate]]-SamplingData[[#Totals],[Candidate 7]]), 0)</f>
        <v>0</v>
      </c>
      <c r="W376" s="99">
        <f>IF(AND(SamplingData[[#This Row],[Total]]&lt;&gt; 0, NOT(ISBLANK(SamplingData[[#This Row],[Candidate 8]]))),(SamplingData[[#This Row],[Total]]+SamplingData[[#This Row],[Winning Candidate]]-SamplingData[[#This Row],[Candidate 8]])/(SamplingData[[#Totals],[Winning Candidate]]-SamplingData[[#Totals],[Candidate 8]]), 0)</f>
        <v>0</v>
      </c>
      <c r="X3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6" s="99">
        <f>MAX(SamplingData[[#This Row],[Error Bound (up) - Max. possible relative overstatement - Losing Candidate]:[Error Bound (up) - Max. possible relative overstatement - Candidate 12]])</f>
        <v>1.0736717025971822E-2</v>
      </c>
      <c r="AC376" s="99">
        <f>IF(SamplingData[[#This Row],[Max Error Bound (up)]] = 0,0,SamplingData[[#This Row],[Max Error Bound (up)]]/SamplingData[[#Totals],[Max Error Bound (up)]])</f>
        <v>5.7485367361035451E-4</v>
      </c>
      <c r="AD376" s="103">
        <f>SUM($AC$5:AC376)</f>
        <v>0.33867061111717078</v>
      </c>
      <c r="AE376" s="99" t="str" cm="1">
        <f t="array" ref="AE376">IF(SamplingData[[#This Row],[up/U Selection Probability]] = 0, "Zero", TEXT(SamplingData[[#This Row],[Lower Range]], REPT("0",LEN('General Info'!$B$42))) &amp; " - " &amp; TEXT(SamplingData[[#This Row],[Upper Range]], REPT("0",LEN('General Info'!$B$42))))</f>
        <v>338096 - 338670</v>
      </c>
      <c r="AF376" s="99">
        <f>SamplingData[[#This Row],[Upper Range]]-SamplingData[[#This Row],[Span]]</f>
        <v>338095.7574435604</v>
      </c>
      <c r="AG376" s="99">
        <f>IF(ISNUMBER('General Info'!$B$42), ((SamplingData[[#This Row],[up/U Selection Probability]]) * 'General Info'!$B$44) - 1, 0)</f>
        <v>573.85367361035446</v>
      </c>
      <c r="AH376" s="99">
        <f>IF(ISNUMBER('General Info'!$B$42), (SamplingData[[#This Row],[Running (cumulative) sum]] * ('General Info'!$B$42 -'General Info'!$B$43 + 1)) + 'General Info'!$B$43 - 1, 0)</f>
        <v>338669.61111717077</v>
      </c>
      <c r="AI376" s="99" t="str">
        <f>IF(ISERROR(MATCH(SamplingData[[#This Row],[Batch by Type (p)]],SelectedPrecincts[Batch Name], 0)), "", INDEX(SelectedPrecincts[Draw], MATCH(SamplingData[[#This Row],[Batch by Type (p)]],SelectedPrecincts[Batch Name], 0)))</f>
        <v/>
      </c>
      <c r="AJ376" s="100">
        <f>IF(COUNTIF(SelectedPrecincts[Batch Name],SamplingData[[#This Row],[Batch by Type (p)]]) &lt;&gt; 0, COUNTIF(SelectedPrecincts[Batch Name],SamplingData[[#This Row],[Batch by Type (p)]]), 0)</f>
        <v>0</v>
      </c>
    </row>
    <row r="377" spans="1:36" ht="15" customHeight="1" x14ac:dyDescent="0.35">
      <c r="A377" s="97" t="s">
        <v>590</v>
      </c>
      <c r="B377" s="97">
        <v>193</v>
      </c>
      <c r="C377" s="97">
        <v>92</v>
      </c>
      <c r="D377" s="92"/>
      <c r="E377" s="92"/>
      <c r="F377" s="92"/>
      <c r="G377" s="96"/>
      <c r="H377" s="96"/>
      <c r="I377" s="92"/>
      <c r="J377" s="92"/>
      <c r="K377" s="92"/>
      <c r="L377" s="92"/>
      <c r="M377" s="92"/>
      <c r="N377" s="97">
        <v>0</v>
      </c>
      <c r="O377" s="97">
        <v>14</v>
      </c>
      <c r="P377" s="98">
        <f>SUM(SamplingData[[#This Row],[Winning Candidate]:[Under Votes]])</f>
        <v>299</v>
      </c>
      <c r="Q377" s="99">
        <f>IF(AND(SamplingData[[#This Row],[Total]]&lt;&gt; 0, NOT(ISBLANK(SamplingData[[#This Row],[Losing Candidate]]))),(SamplingData[[#This Row],[Total]]+SamplingData[[#This Row],[Winning Candidate]]-SamplingData[[#This Row],[Losing Candidate]])/(SamplingData[[#Totals],[Winning Candidate]]-SamplingData[[#Totals],[Losing Candidate]]), 0)</f>
        <v>1.6975046681378374E-2</v>
      </c>
      <c r="R377" s="99">
        <f>IF(AND(SamplingData[[#This Row],[Total]]&lt;&gt; 0, NOT(ISBLANK(SamplingData[[#This Row],[Candidate 3]]))),(SamplingData[[#This Row],[Total]]+SamplingData[[#This Row],[Winning Candidate]]-SamplingData[[#This Row],[Candidate 3]])/(SamplingData[[#Totals],[Winning Candidate]]-SamplingData[[#Totals],[Candidate 3]]), 0)</f>
        <v>0</v>
      </c>
      <c r="S377" s="99">
        <f>IF(AND(SamplingData[[#This Row],[Total]]&lt;&gt; 0, NOT(ISBLANK(SamplingData[[#This Row],[Candidate 4]]))),(SamplingData[[#This Row],[Total]]+SamplingData[[#This Row],[Winning Candidate]]-SamplingData[[#This Row],[Candidate 4]])/(SamplingData[[#Totals],[Winning Candidate]]-SamplingData[[#Totals],[Candidate 4]]), 0)</f>
        <v>0</v>
      </c>
      <c r="T377" s="99">
        <f>IF(AND(SamplingData[[#This Row],[Total]]&lt;&gt; 0, NOT(ISBLANK(SamplingData[[#This Row],[Candidate 5]]))),(SamplingData[[#This Row],[Total]]+SamplingData[[#This Row],[Winning Candidate]]-SamplingData[[#This Row],[Candidate 5]])/(SamplingData[[#Totals],[Winning Candidate]]-SamplingData[[#Totals],[Candidate 5]]), 0)</f>
        <v>0</v>
      </c>
      <c r="U377" s="99">
        <f>IF(AND(SamplingData[[#This Row],[Total]]&lt;&gt; 0, NOT(ISBLANK(SamplingData[[#This Row],[Candidate 6]]))),(SamplingData[[#This Row],[Total]]+SamplingData[[#This Row],[Losing Candidate]]-SamplingData[[#This Row],[Candidate 6]])/(SamplingData[[#Totals],[Winning Candidate]]-SamplingData[[#Totals],[Candidate 6]]), 0)</f>
        <v>0</v>
      </c>
      <c r="V377" s="99">
        <f>IF(AND(SamplingData[[#This Row],[Total]]&lt;&gt; 0, NOT(ISBLANK(SamplingData[[#This Row],[Candidate 7]]))),(SamplingData[[#This Row],[Total]]+SamplingData[[#This Row],[Winning Candidate]]-SamplingData[[#This Row],[Candidate 7]])/(SamplingData[[#Totals],[Winning Candidate]]-SamplingData[[#Totals],[Candidate 7]]), 0)</f>
        <v>0</v>
      </c>
      <c r="W377" s="99">
        <f>IF(AND(SamplingData[[#This Row],[Total]]&lt;&gt; 0, NOT(ISBLANK(SamplingData[[#This Row],[Candidate 8]]))),(SamplingData[[#This Row],[Total]]+SamplingData[[#This Row],[Winning Candidate]]-SamplingData[[#This Row],[Candidate 8]])/(SamplingData[[#Totals],[Winning Candidate]]-SamplingData[[#Totals],[Candidate 8]]), 0)</f>
        <v>0</v>
      </c>
      <c r="X3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7" s="99">
        <f>MAX(SamplingData[[#This Row],[Error Bound (up) - Max. possible relative overstatement - Losing Candidate]:[Error Bound (up) - Max. possible relative overstatement - Candidate 12]])</f>
        <v>1.6975046681378374E-2</v>
      </c>
      <c r="AC377" s="99">
        <f>IF(SamplingData[[#This Row],[Max Error Bound (up)]] = 0,0,SamplingData[[#This Row],[Max Error Bound (up)]]/SamplingData[[#Totals],[Max Error Bound (up)]])</f>
        <v>9.0885956302032332E-4</v>
      </c>
      <c r="AD377" s="103">
        <f>SUM($AC$5:AC377)</f>
        <v>0.33957947068019112</v>
      </c>
      <c r="AE377" s="99" t="str" cm="1">
        <f t="array" ref="AE377">IF(SamplingData[[#This Row],[up/U Selection Probability]] = 0, "Zero", TEXT(SamplingData[[#This Row],[Lower Range]], REPT("0",LEN('General Info'!$B$42))) &amp; " - " &amp; TEXT(SamplingData[[#This Row],[Upper Range]], REPT("0",LEN('General Info'!$B$42))))</f>
        <v>338671 - 339578</v>
      </c>
      <c r="AF377" s="99">
        <f>SamplingData[[#This Row],[Upper Range]]-SamplingData[[#This Row],[Span]]</f>
        <v>338670.61111717077</v>
      </c>
      <c r="AG377" s="99">
        <f>IF(ISNUMBER('General Info'!$B$42), ((SamplingData[[#This Row],[up/U Selection Probability]]) * 'General Info'!$B$44) - 1, 0)</f>
        <v>907.85956302032332</v>
      </c>
      <c r="AH377" s="99">
        <f>IF(ISNUMBER('General Info'!$B$42), (SamplingData[[#This Row],[Running (cumulative) sum]] * ('General Info'!$B$42 -'General Info'!$B$43 + 1)) + 'General Info'!$B$43 - 1, 0)</f>
        <v>339578.47068019112</v>
      </c>
      <c r="AI377" s="99" t="str">
        <f>IF(ISERROR(MATCH(SamplingData[[#This Row],[Batch by Type (p)]],SelectedPrecincts[Batch Name], 0)), "", INDEX(SelectedPrecincts[Draw], MATCH(SamplingData[[#This Row],[Batch by Type (p)]],SelectedPrecincts[Batch Name], 0)))</f>
        <v/>
      </c>
      <c r="AJ377" s="100">
        <f>IF(COUNTIF(SelectedPrecincts[Batch Name],SamplingData[[#This Row],[Batch by Type (p)]]) &lt;&gt; 0, COUNTIF(SelectedPrecincts[Batch Name],SamplingData[[#This Row],[Batch by Type (p)]]), 0)</f>
        <v>0</v>
      </c>
    </row>
    <row r="378" spans="1:36" ht="15" customHeight="1" x14ac:dyDescent="0.35">
      <c r="A378" s="97" t="s">
        <v>591</v>
      </c>
      <c r="B378" s="97">
        <v>168</v>
      </c>
      <c r="C378" s="97">
        <v>92</v>
      </c>
      <c r="D378" s="92"/>
      <c r="E378" s="92"/>
      <c r="F378" s="92"/>
      <c r="G378" s="96"/>
      <c r="H378" s="96"/>
      <c r="I378" s="92"/>
      <c r="J378" s="92"/>
      <c r="K378" s="92"/>
      <c r="L378" s="92"/>
      <c r="M378" s="92"/>
      <c r="N378" s="97">
        <v>0</v>
      </c>
      <c r="O378" s="97">
        <v>6</v>
      </c>
      <c r="P378" s="98">
        <f>SUM(SamplingData[[#This Row],[Winning Candidate]:[Under Votes]])</f>
        <v>266</v>
      </c>
      <c r="Q378" s="99">
        <f>IF(AND(SamplingData[[#This Row],[Total]]&lt;&gt; 0, NOT(ISBLANK(SamplingData[[#This Row],[Losing Candidate]]))),(SamplingData[[#This Row],[Total]]+SamplingData[[#This Row],[Winning Candidate]]-SamplingData[[#This Row],[Losing Candidate]])/(SamplingData[[#Totals],[Winning Candidate]]-SamplingData[[#Totals],[Losing Candidate]]), 0)</f>
        <v>1.451366491257851E-2</v>
      </c>
      <c r="R378" s="99">
        <f>IF(AND(SamplingData[[#This Row],[Total]]&lt;&gt; 0, NOT(ISBLANK(SamplingData[[#This Row],[Candidate 3]]))),(SamplingData[[#This Row],[Total]]+SamplingData[[#This Row],[Winning Candidate]]-SamplingData[[#This Row],[Candidate 3]])/(SamplingData[[#Totals],[Winning Candidate]]-SamplingData[[#Totals],[Candidate 3]]), 0)</f>
        <v>0</v>
      </c>
      <c r="S378" s="99">
        <f>IF(AND(SamplingData[[#This Row],[Total]]&lt;&gt; 0, NOT(ISBLANK(SamplingData[[#This Row],[Candidate 4]]))),(SamplingData[[#This Row],[Total]]+SamplingData[[#This Row],[Winning Candidate]]-SamplingData[[#This Row],[Candidate 4]])/(SamplingData[[#Totals],[Winning Candidate]]-SamplingData[[#Totals],[Candidate 4]]), 0)</f>
        <v>0</v>
      </c>
      <c r="T378" s="99">
        <f>IF(AND(SamplingData[[#This Row],[Total]]&lt;&gt; 0, NOT(ISBLANK(SamplingData[[#This Row],[Candidate 5]]))),(SamplingData[[#This Row],[Total]]+SamplingData[[#This Row],[Winning Candidate]]-SamplingData[[#This Row],[Candidate 5]])/(SamplingData[[#Totals],[Winning Candidate]]-SamplingData[[#Totals],[Candidate 5]]), 0)</f>
        <v>0</v>
      </c>
      <c r="U378" s="99">
        <f>IF(AND(SamplingData[[#This Row],[Total]]&lt;&gt; 0, NOT(ISBLANK(SamplingData[[#This Row],[Candidate 6]]))),(SamplingData[[#This Row],[Total]]+SamplingData[[#This Row],[Losing Candidate]]-SamplingData[[#This Row],[Candidate 6]])/(SamplingData[[#Totals],[Winning Candidate]]-SamplingData[[#Totals],[Candidate 6]]), 0)</f>
        <v>0</v>
      </c>
      <c r="V378" s="99">
        <f>IF(AND(SamplingData[[#This Row],[Total]]&lt;&gt; 0, NOT(ISBLANK(SamplingData[[#This Row],[Candidate 7]]))),(SamplingData[[#This Row],[Total]]+SamplingData[[#This Row],[Winning Candidate]]-SamplingData[[#This Row],[Candidate 7]])/(SamplingData[[#Totals],[Winning Candidate]]-SamplingData[[#Totals],[Candidate 7]]), 0)</f>
        <v>0</v>
      </c>
      <c r="W378" s="99">
        <f>IF(AND(SamplingData[[#This Row],[Total]]&lt;&gt; 0, NOT(ISBLANK(SamplingData[[#This Row],[Candidate 8]]))),(SamplingData[[#This Row],[Total]]+SamplingData[[#This Row],[Winning Candidate]]-SamplingData[[#This Row],[Candidate 8]])/(SamplingData[[#Totals],[Winning Candidate]]-SamplingData[[#Totals],[Candidate 8]]), 0)</f>
        <v>0</v>
      </c>
      <c r="X3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8" s="99">
        <f>MAX(SamplingData[[#This Row],[Error Bound (up) - Max. possible relative overstatement - Losing Candidate]:[Error Bound (up) - Max. possible relative overstatement - Candidate 12]])</f>
        <v>1.451366491257851E-2</v>
      </c>
      <c r="AC378" s="99">
        <f>IF(SamplingData[[#This Row],[Max Error Bound (up)]] = 0,0,SamplingData[[#This Row],[Max Error Bound (up)]]/SamplingData[[#Totals],[Max Error Bound (up)]])</f>
        <v>7.770749263823764E-4</v>
      </c>
      <c r="AD378" s="103">
        <f>SUM($AC$5:AC378)</f>
        <v>0.34035654560657352</v>
      </c>
      <c r="AE378" s="99" t="str" cm="1">
        <f t="array" ref="AE378">IF(SamplingData[[#This Row],[up/U Selection Probability]] = 0, "Zero", TEXT(SamplingData[[#This Row],[Lower Range]], REPT("0",LEN('General Info'!$B$42))) &amp; " - " &amp; TEXT(SamplingData[[#This Row],[Upper Range]], REPT("0",LEN('General Info'!$B$42))))</f>
        <v>339579 - 340356</v>
      </c>
      <c r="AF378" s="99">
        <f>SamplingData[[#This Row],[Upper Range]]-SamplingData[[#This Row],[Span]]</f>
        <v>339579.47068019112</v>
      </c>
      <c r="AG378" s="99">
        <f>IF(ISNUMBER('General Info'!$B$42), ((SamplingData[[#This Row],[up/U Selection Probability]]) * 'General Info'!$B$44) - 1, 0)</f>
        <v>776.07492638237636</v>
      </c>
      <c r="AH378" s="99">
        <f>IF(ISNUMBER('General Info'!$B$42), (SamplingData[[#This Row],[Running (cumulative) sum]] * ('General Info'!$B$42 -'General Info'!$B$43 + 1)) + 'General Info'!$B$43 - 1, 0)</f>
        <v>340355.54560657352</v>
      </c>
      <c r="AI378" s="99" t="str">
        <f>IF(ISERROR(MATCH(SamplingData[[#This Row],[Batch by Type (p)]],SelectedPrecincts[Batch Name], 0)), "", INDEX(SelectedPrecincts[Draw], MATCH(SamplingData[[#This Row],[Batch by Type (p)]],SelectedPrecincts[Batch Name], 0)))</f>
        <v/>
      </c>
      <c r="AJ378" s="100">
        <f>IF(COUNTIF(SelectedPrecincts[Batch Name],SamplingData[[#This Row],[Batch by Type (p)]]) &lt;&gt; 0, COUNTIF(SelectedPrecincts[Batch Name],SamplingData[[#This Row],[Batch by Type (p)]]), 0)</f>
        <v>0</v>
      </c>
    </row>
    <row r="379" spans="1:36" ht="15" customHeight="1" x14ac:dyDescent="0.35">
      <c r="A379" s="97" t="s">
        <v>592</v>
      </c>
      <c r="B379" s="97">
        <v>123</v>
      </c>
      <c r="C379" s="97">
        <v>342</v>
      </c>
      <c r="D379" s="92"/>
      <c r="E379" s="92"/>
      <c r="F379" s="92"/>
      <c r="G379" s="96"/>
      <c r="H379" s="96"/>
      <c r="I379" s="92"/>
      <c r="J379" s="92"/>
      <c r="K379" s="92"/>
      <c r="L379" s="92"/>
      <c r="M379" s="92"/>
      <c r="N379" s="97">
        <v>0</v>
      </c>
      <c r="O379" s="97">
        <v>30</v>
      </c>
      <c r="P379" s="98">
        <f>SUM(SamplingData[[#This Row],[Winning Candidate]:[Under Votes]])</f>
        <v>495</v>
      </c>
      <c r="Q379" s="99">
        <f>IF(AND(SamplingData[[#This Row],[Total]]&lt;&gt; 0, NOT(ISBLANK(SamplingData[[#This Row],[Losing Candidate]]))),(SamplingData[[#This Row],[Total]]+SamplingData[[#This Row],[Winning Candidate]]-SamplingData[[#This Row],[Losing Candidate]])/(SamplingData[[#Totals],[Winning Candidate]]-SamplingData[[#Totals],[Losing Candidate]]), 0)</f>
        <v>1.1712782210151079E-2</v>
      </c>
      <c r="R379" s="99">
        <f>IF(AND(SamplingData[[#This Row],[Total]]&lt;&gt; 0, NOT(ISBLANK(SamplingData[[#This Row],[Candidate 3]]))),(SamplingData[[#This Row],[Total]]+SamplingData[[#This Row],[Winning Candidate]]-SamplingData[[#This Row],[Candidate 3]])/(SamplingData[[#Totals],[Winning Candidate]]-SamplingData[[#Totals],[Candidate 3]]), 0)</f>
        <v>0</v>
      </c>
      <c r="S379" s="99">
        <f>IF(AND(SamplingData[[#This Row],[Total]]&lt;&gt; 0, NOT(ISBLANK(SamplingData[[#This Row],[Candidate 4]]))),(SamplingData[[#This Row],[Total]]+SamplingData[[#This Row],[Winning Candidate]]-SamplingData[[#This Row],[Candidate 4]])/(SamplingData[[#Totals],[Winning Candidate]]-SamplingData[[#Totals],[Candidate 4]]), 0)</f>
        <v>0</v>
      </c>
      <c r="T379" s="99">
        <f>IF(AND(SamplingData[[#This Row],[Total]]&lt;&gt; 0, NOT(ISBLANK(SamplingData[[#This Row],[Candidate 5]]))),(SamplingData[[#This Row],[Total]]+SamplingData[[#This Row],[Winning Candidate]]-SamplingData[[#This Row],[Candidate 5]])/(SamplingData[[#Totals],[Winning Candidate]]-SamplingData[[#Totals],[Candidate 5]]), 0)</f>
        <v>0</v>
      </c>
      <c r="U379" s="99">
        <f>IF(AND(SamplingData[[#This Row],[Total]]&lt;&gt; 0, NOT(ISBLANK(SamplingData[[#This Row],[Candidate 6]]))),(SamplingData[[#This Row],[Total]]+SamplingData[[#This Row],[Losing Candidate]]-SamplingData[[#This Row],[Candidate 6]])/(SamplingData[[#Totals],[Winning Candidate]]-SamplingData[[#Totals],[Candidate 6]]), 0)</f>
        <v>0</v>
      </c>
      <c r="V379" s="99">
        <f>IF(AND(SamplingData[[#This Row],[Total]]&lt;&gt; 0, NOT(ISBLANK(SamplingData[[#This Row],[Candidate 7]]))),(SamplingData[[#This Row],[Total]]+SamplingData[[#This Row],[Winning Candidate]]-SamplingData[[#This Row],[Candidate 7]])/(SamplingData[[#Totals],[Winning Candidate]]-SamplingData[[#Totals],[Candidate 7]]), 0)</f>
        <v>0</v>
      </c>
      <c r="W379" s="99">
        <f>IF(AND(SamplingData[[#This Row],[Total]]&lt;&gt; 0, NOT(ISBLANK(SamplingData[[#This Row],[Candidate 8]]))),(SamplingData[[#This Row],[Total]]+SamplingData[[#This Row],[Winning Candidate]]-SamplingData[[#This Row],[Candidate 8]])/(SamplingData[[#Totals],[Winning Candidate]]-SamplingData[[#Totals],[Candidate 8]]), 0)</f>
        <v>0</v>
      </c>
      <c r="X3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9" s="99">
        <f>MAX(SamplingData[[#This Row],[Error Bound (up) - Max. possible relative overstatement - Losing Candidate]:[Error Bound (up) - Max. possible relative overstatement - Candidate 12]])</f>
        <v>1.1712782210151079E-2</v>
      </c>
      <c r="AC379" s="99">
        <f>IF(SamplingData[[#This Row],[Max Error Bound (up)]] = 0,0,SamplingData[[#This Row],[Max Error Bound (up)]]/SamplingData[[#Totals],[Max Error Bound (up)]])</f>
        <v>6.2711309848402313E-4</v>
      </c>
      <c r="AD379" s="103">
        <f>SUM($AC$5:AC379)</f>
        <v>0.34098365870505754</v>
      </c>
      <c r="AE379" s="99" t="str" cm="1">
        <f t="array" ref="AE379">IF(SamplingData[[#This Row],[up/U Selection Probability]] = 0, "Zero", TEXT(SamplingData[[#This Row],[Lower Range]], REPT("0",LEN('General Info'!$B$42))) &amp; " - " &amp; TEXT(SamplingData[[#This Row],[Upper Range]], REPT("0",LEN('General Info'!$B$42))))</f>
        <v>340357 - 340983</v>
      </c>
      <c r="AF379" s="99">
        <f>SamplingData[[#This Row],[Upper Range]]-SamplingData[[#This Row],[Span]]</f>
        <v>340356.54560657352</v>
      </c>
      <c r="AG379" s="99">
        <f>IF(ISNUMBER('General Info'!$B$42), ((SamplingData[[#This Row],[up/U Selection Probability]]) * 'General Info'!$B$44) - 1, 0)</f>
        <v>626.11309848402311</v>
      </c>
      <c r="AH379" s="99">
        <f>IF(ISNUMBER('General Info'!$B$42), (SamplingData[[#This Row],[Running (cumulative) sum]] * ('General Info'!$B$42 -'General Info'!$B$43 + 1)) + 'General Info'!$B$43 - 1, 0)</f>
        <v>340982.65870505752</v>
      </c>
      <c r="AI379" s="99" t="str">
        <f>IF(ISERROR(MATCH(SamplingData[[#This Row],[Batch by Type (p)]],SelectedPrecincts[Batch Name], 0)), "", INDEX(SelectedPrecincts[Draw], MATCH(SamplingData[[#This Row],[Batch by Type (p)]],SelectedPrecincts[Batch Name], 0)))</f>
        <v/>
      </c>
      <c r="AJ379" s="100">
        <f>IF(COUNTIF(SelectedPrecincts[Batch Name],SamplingData[[#This Row],[Batch by Type (p)]]) &lt;&gt; 0, COUNTIF(SelectedPrecincts[Batch Name],SamplingData[[#This Row],[Batch by Type (p)]]), 0)</f>
        <v>0</v>
      </c>
    </row>
    <row r="380" spans="1:36" ht="15" customHeight="1" x14ac:dyDescent="0.35">
      <c r="A380" s="97" t="s">
        <v>593</v>
      </c>
      <c r="B380" s="97">
        <v>110</v>
      </c>
      <c r="C380" s="97">
        <v>224</v>
      </c>
      <c r="D380" s="92"/>
      <c r="E380" s="92"/>
      <c r="F380" s="92"/>
      <c r="G380" s="96"/>
      <c r="H380" s="96"/>
      <c r="I380" s="92"/>
      <c r="J380" s="92"/>
      <c r="K380" s="92"/>
      <c r="L380" s="92"/>
      <c r="M380" s="92"/>
      <c r="N380" s="97">
        <v>0</v>
      </c>
      <c r="O380" s="97">
        <v>19</v>
      </c>
      <c r="P380" s="98">
        <f>SUM(SamplingData[[#This Row],[Winning Candidate]:[Under Votes]])</f>
        <v>353</v>
      </c>
      <c r="Q380" s="99">
        <f>IF(AND(SamplingData[[#This Row],[Total]]&lt;&gt; 0, NOT(ISBLANK(SamplingData[[#This Row],[Losing Candidate]]))),(SamplingData[[#This Row],[Total]]+SamplingData[[#This Row],[Winning Candidate]]-SamplingData[[#This Row],[Losing Candidate]])/(SamplingData[[#Totals],[Winning Candidate]]-SamplingData[[#Totals],[Losing Candidate]]), 0)</f>
        <v>1.0142590392123578E-2</v>
      </c>
      <c r="R380" s="99">
        <f>IF(AND(SamplingData[[#This Row],[Total]]&lt;&gt; 0, NOT(ISBLANK(SamplingData[[#This Row],[Candidate 3]]))),(SamplingData[[#This Row],[Total]]+SamplingData[[#This Row],[Winning Candidate]]-SamplingData[[#This Row],[Candidate 3]])/(SamplingData[[#Totals],[Winning Candidate]]-SamplingData[[#Totals],[Candidate 3]]), 0)</f>
        <v>0</v>
      </c>
      <c r="S380" s="99">
        <f>IF(AND(SamplingData[[#This Row],[Total]]&lt;&gt; 0, NOT(ISBLANK(SamplingData[[#This Row],[Candidate 4]]))),(SamplingData[[#This Row],[Total]]+SamplingData[[#This Row],[Winning Candidate]]-SamplingData[[#This Row],[Candidate 4]])/(SamplingData[[#Totals],[Winning Candidate]]-SamplingData[[#Totals],[Candidate 4]]), 0)</f>
        <v>0</v>
      </c>
      <c r="T380" s="99">
        <f>IF(AND(SamplingData[[#This Row],[Total]]&lt;&gt; 0, NOT(ISBLANK(SamplingData[[#This Row],[Candidate 5]]))),(SamplingData[[#This Row],[Total]]+SamplingData[[#This Row],[Winning Candidate]]-SamplingData[[#This Row],[Candidate 5]])/(SamplingData[[#Totals],[Winning Candidate]]-SamplingData[[#Totals],[Candidate 5]]), 0)</f>
        <v>0</v>
      </c>
      <c r="U380" s="99">
        <f>IF(AND(SamplingData[[#This Row],[Total]]&lt;&gt; 0, NOT(ISBLANK(SamplingData[[#This Row],[Candidate 6]]))),(SamplingData[[#This Row],[Total]]+SamplingData[[#This Row],[Losing Candidate]]-SamplingData[[#This Row],[Candidate 6]])/(SamplingData[[#Totals],[Winning Candidate]]-SamplingData[[#Totals],[Candidate 6]]), 0)</f>
        <v>0</v>
      </c>
      <c r="V380" s="99">
        <f>IF(AND(SamplingData[[#This Row],[Total]]&lt;&gt; 0, NOT(ISBLANK(SamplingData[[#This Row],[Candidate 7]]))),(SamplingData[[#This Row],[Total]]+SamplingData[[#This Row],[Winning Candidate]]-SamplingData[[#This Row],[Candidate 7]])/(SamplingData[[#Totals],[Winning Candidate]]-SamplingData[[#Totals],[Candidate 7]]), 0)</f>
        <v>0</v>
      </c>
      <c r="W380" s="99">
        <f>IF(AND(SamplingData[[#This Row],[Total]]&lt;&gt; 0, NOT(ISBLANK(SamplingData[[#This Row],[Candidate 8]]))),(SamplingData[[#This Row],[Total]]+SamplingData[[#This Row],[Winning Candidate]]-SamplingData[[#This Row],[Candidate 8]])/(SamplingData[[#Totals],[Winning Candidate]]-SamplingData[[#Totals],[Candidate 8]]), 0)</f>
        <v>0</v>
      </c>
      <c r="X3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0" s="99">
        <f>MAX(SamplingData[[#This Row],[Error Bound (up) - Max. possible relative overstatement - Losing Candidate]:[Error Bound (up) - Max. possible relative overstatement - Candidate 12]])</f>
        <v>1.0142590392123578E-2</v>
      </c>
      <c r="AC380" s="99">
        <f>IF(SamplingData[[#This Row],[Max Error Bound (up)]] = 0,0,SamplingData[[#This Row],[Max Error Bound (up)]]/SamplingData[[#Totals],[Max Error Bound (up)]])</f>
        <v>5.4304358890464315E-4</v>
      </c>
      <c r="AD380" s="103">
        <f>SUM($AC$5:AC380)</f>
        <v>0.3415267022939622</v>
      </c>
      <c r="AE380" s="99" t="str" cm="1">
        <f t="array" ref="AE380">IF(SamplingData[[#This Row],[up/U Selection Probability]] = 0, "Zero", TEXT(SamplingData[[#This Row],[Lower Range]], REPT("0",LEN('General Info'!$B$42))) &amp; " - " &amp; TEXT(SamplingData[[#This Row],[Upper Range]], REPT("0",LEN('General Info'!$B$42))))</f>
        <v>340984 - 341526</v>
      </c>
      <c r="AF380" s="99">
        <f>SamplingData[[#This Row],[Upper Range]]-SamplingData[[#This Row],[Span]]</f>
        <v>340983.65870505752</v>
      </c>
      <c r="AG380" s="99">
        <f>IF(ISNUMBER('General Info'!$B$42), ((SamplingData[[#This Row],[up/U Selection Probability]]) * 'General Info'!$B$44) - 1, 0)</f>
        <v>542.04358890464312</v>
      </c>
      <c r="AH380" s="99">
        <f>IF(ISNUMBER('General Info'!$B$42), (SamplingData[[#This Row],[Running (cumulative) sum]] * ('General Info'!$B$42 -'General Info'!$B$43 + 1)) + 'General Info'!$B$43 - 1, 0)</f>
        <v>341525.70229396218</v>
      </c>
      <c r="AI380" s="99" t="str">
        <f>IF(ISERROR(MATCH(SamplingData[[#This Row],[Batch by Type (p)]],SelectedPrecincts[Batch Name], 0)), "", INDEX(SelectedPrecincts[Draw], MATCH(SamplingData[[#This Row],[Batch by Type (p)]],SelectedPrecincts[Batch Name], 0)))</f>
        <v/>
      </c>
      <c r="AJ380" s="100">
        <f>IF(COUNTIF(SelectedPrecincts[Batch Name],SamplingData[[#This Row],[Batch by Type (p)]]) &lt;&gt; 0, COUNTIF(SelectedPrecincts[Batch Name],SamplingData[[#This Row],[Batch by Type (p)]]), 0)</f>
        <v>0</v>
      </c>
    </row>
    <row r="381" spans="1:36" ht="15" customHeight="1" x14ac:dyDescent="0.35">
      <c r="A381" s="97" t="s">
        <v>594</v>
      </c>
      <c r="B381" s="97">
        <v>91</v>
      </c>
      <c r="C381" s="97">
        <v>78</v>
      </c>
      <c r="D381" s="92"/>
      <c r="E381" s="92"/>
      <c r="F381" s="92"/>
      <c r="G381" s="96"/>
      <c r="H381" s="96"/>
      <c r="I381" s="92"/>
      <c r="J381" s="92"/>
      <c r="K381" s="92"/>
      <c r="L381" s="92"/>
      <c r="M381" s="92"/>
      <c r="N381" s="97">
        <v>0</v>
      </c>
      <c r="O381" s="97">
        <v>8</v>
      </c>
      <c r="P381" s="98">
        <f>SUM(SamplingData[[#This Row],[Winning Candidate]:[Under Votes]])</f>
        <v>177</v>
      </c>
      <c r="Q381" s="99">
        <f>IF(AND(SamplingData[[#This Row],[Total]]&lt;&gt; 0, NOT(ISBLANK(SamplingData[[#This Row],[Losing Candidate]]))),(SamplingData[[#This Row],[Total]]+SamplingData[[#This Row],[Winning Candidate]]-SamplingData[[#This Row],[Losing Candidate]])/(SamplingData[[#Totals],[Winning Candidate]]-SamplingData[[#Totals],[Losing Candidate]]), 0)</f>
        <v>8.0631471736547274E-3</v>
      </c>
      <c r="R381" s="99">
        <f>IF(AND(SamplingData[[#This Row],[Total]]&lt;&gt; 0, NOT(ISBLANK(SamplingData[[#This Row],[Candidate 3]]))),(SamplingData[[#This Row],[Total]]+SamplingData[[#This Row],[Winning Candidate]]-SamplingData[[#This Row],[Candidate 3]])/(SamplingData[[#Totals],[Winning Candidate]]-SamplingData[[#Totals],[Candidate 3]]), 0)</f>
        <v>0</v>
      </c>
      <c r="S381" s="99">
        <f>IF(AND(SamplingData[[#This Row],[Total]]&lt;&gt; 0, NOT(ISBLANK(SamplingData[[#This Row],[Candidate 4]]))),(SamplingData[[#This Row],[Total]]+SamplingData[[#This Row],[Winning Candidate]]-SamplingData[[#This Row],[Candidate 4]])/(SamplingData[[#Totals],[Winning Candidate]]-SamplingData[[#Totals],[Candidate 4]]), 0)</f>
        <v>0</v>
      </c>
      <c r="T381" s="99">
        <f>IF(AND(SamplingData[[#This Row],[Total]]&lt;&gt; 0, NOT(ISBLANK(SamplingData[[#This Row],[Candidate 5]]))),(SamplingData[[#This Row],[Total]]+SamplingData[[#This Row],[Winning Candidate]]-SamplingData[[#This Row],[Candidate 5]])/(SamplingData[[#Totals],[Winning Candidate]]-SamplingData[[#Totals],[Candidate 5]]), 0)</f>
        <v>0</v>
      </c>
      <c r="U381" s="99">
        <f>IF(AND(SamplingData[[#This Row],[Total]]&lt;&gt; 0, NOT(ISBLANK(SamplingData[[#This Row],[Candidate 6]]))),(SamplingData[[#This Row],[Total]]+SamplingData[[#This Row],[Losing Candidate]]-SamplingData[[#This Row],[Candidate 6]])/(SamplingData[[#Totals],[Winning Candidate]]-SamplingData[[#Totals],[Candidate 6]]), 0)</f>
        <v>0</v>
      </c>
      <c r="V381" s="99">
        <f>IF(AND(SamplingData[[#This Row],[Total]]&lt;&gt; 0, NOT(ISBLANK(SamplingData[[#This Row],[Candidate 7]]))),(SamplingData[[#This Row],[Total]]+SamplingData[[#This Row],[Winning Candidate]]-SamplingData[[#This Row],[Candidate 7]])/(SamplingData[[#Totals],[Winning Candidate]]-SamplingData[[#Totals],[Candidate 7]]), 0)</f>
        <v>0</v>
      </c>
      <c r="W381" s="99">
        <f>IF(AND(SamplingData[[#This Row],[Total]]&lt;&gt; 0, NOT(ISBLANK(SamplingData[[#This Row],[Candidate 8]]))),(SamplingData[[#This Row],[Total]]+SamplingData[[#This Row],[Winning Candidate]]-SamplingData[[#This Row],[Candidate 8]])/(SamplingData[[#Totals],[Winning Candidate]]-SamplingData[[#Totals],[Candidate 8]]), 0)</f>
        <v>0</v>
      </c>
      <c r="X3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1" s="99">
        <f>MAX(SamplingData[[#This Row],[Error Bound (up) - Max. possible relative overstatement - Losing Candidate]:[Error Bound (up) - Max. possible relative overstatement - Candidate 12]])</f>
        <v>8.0631471736547274E-3</v>
      </c>
      <c r="AC381" s="99">
        <f>IF(SamplingData[[#This Row],[Max Error Bound (up)]] = 0,0,SamplingData[[#This Row],[Max Error Bound (up)]]/SamplingData[[#Totals],[Max Error Bound (up)]])</f>
        <v>4.3170829243465353E-4</v>
      </c>
      <c r="AD381" s="103">
        <f>SUM($AC$5:AC381)</f>
        <v>0.34195841058639687</v>
      </c>
      <c r="AE381" s="99" t="str" cm="1">
        <f t="array" ref="AE381">IF(SamplingData[[#This Row],[up/U Selection Probability]] = 0, "Zero", TEXT(SamplingData[[#This Row],[Lower Range]], REPT("0",LEN('General Info'!$B$42))) &amp; " - " &amp; TEXT(SamplingData[[#This Row],[Upper Range]], REPT("0",LEN('General Info'!$B$42))))</f>
        <v>341527 - 341957</v>
      </c>
      <c r="AF381" s="99">
        <f>SamplingData[[#This Row],[Upper Range]]-SamplingData[[#This Row],[Span]]</f>
        <v>341526.70229396224</v>
      </c>
      <c r="AG381" s="99">
        <f>IF(ISNUMBER('General Info'!$B$42), ((SamplingData[[#This Row],[up/U Selection Probability]]) * 'General Info'!$B$44) - 1, 0)</f>
        <v>430.70829243465352</v>
      </c>
      <c r="AH381" s="99">
        <f>IF(ISNUMBER('General Info'!$B$42), (SamplingData[[#This Row],[Running (cumulative) sum]] * ('General Info'!$B$42 -'General Info'!$B$43 + 1)) + 'General Info'!$B$43 - 1, 0)</f>
        <v>341957.41058639687</v>
      </c>
      <c r="AI381" s="99" t="str">
        <f>IF(ISERROR(MATCH(SamplingData[[#This Row],[Batch by Type (p)]],SelectedPrecincts[Batch Name], 0)), "", INDEX(SelectedPrecincts[Draw], MATCH(SamplingData[[#This Row],[Batch by Type (p)]],SelectedPrecincts[Batch Name], 0)))</f>
        <v/>
      </c>
      <c r="AJ381" s="100">
        <f>IF(COUNTIF(SelectedPrecincts[Batch Name],SamplingData[[#This Row],[Batch by Type (p)]]) &lt;&gt; 0, COUNTIF(SelectedPrecincts[Batch Name],SamplingData[[#This Row],[Batch by Type (p)]]), 0)</f>
        <v>0</v>
      </c>
    </row>
    <row r="382" spans="1:36" ht="15" customHeight="1" x14ac:dyDescent="0.35">
      <c r="A382" s="97" t="s">
        <v>595</v>
      </c>
      <c r="B382" s="97">
        <v>175</v>
      </c>
      <c r="C382" s="97">
        <v>34</v>
      </c>
      <c r="D382" s="92"/>
      <c r="E382" s="92"/>
      <c r="F382" s="92"/>
      <c r="G382" s="96"/>
      <c r="H382" s="96"/>
      <c r="I382" s="92"/>
      <c r="J382" s="92"/>
      <c r="K382" s="92"/>
      <c r="L382" s="92"/>
      <c r="M382" s="92"/>
      <c r="N382" s="97">
        <v>0</v>
      </c>
      <c r="O382" s="97">
        <v>10</v>
      </c>
      <c r="P382" s="98">
        <f>SUM(SamplingData[[#This Row],[Winning Candidate]:[Under Votes]])</f>
        <v>219</v>
      </c>
      <c r="Q382" s="99">
        <f>IF(AND(SamplingData[[#This Row],[Total]]&lt;&gt; 0, NOT(ISBLANK(SamplingData[[#This Row],[Losing Candidate]]))),(SamplingData[[#This Row],[Total]]+SamplingData[[#This Row],[Winning Candidate]]-SamplingData[[#This Row],[Losing Candidate]])/(SamplingData[[#Totals],[Winning Candidate]]-SamplingData[[#Totals],[Losing Candidate]]), 0)</f>
        <v>1.5277542013240537E-2</v>
      </c>
      <c r="R382" s="99">
        <f>IF(AND(SamplingData[[#This Row],[Total]]&lt;&gt; 0, NOT(ISBLANK(SamplingData[[#This Row],[Candidate 3]]))),(SamplingData[[#This Row],[Total]]+SamplingData[[#This Row],[Winning Candidate]]-SamplingData[[#This Row],[Candidate 3]])/(SamplingData[[#Totals],[Winning Candidate]]-SamplingData[[#Totals],[Candidate 3]]), 0)</f>
        <v>0</v>
      </c>
      <c r="S382" s="99">
        <f>IF(AND(SamplingData[[#This Row],[Total]]&lt;&gt; 0, NOT(ISBLANK(SamplingData[[#This Row],[Candidate 4]]))),(SamplingData[[#This Row],[Total]]+SamplingData[[#This Row],[Winning Candidate]]-SamplingData[[#This Row],[Candidate 4]])/(SamplingData[[#Totals],[Winning Candidate]]-SamplingData[[#Totals],[Candidate 4]]), 0)</f>
        <v>0</v>
      </c>
      <c r="T382" s="99">
        <f>IF(AND(SamplingData[[#This Row],[Total]]&lt;&gt; 0, NOT(ISBLANK(SamplingData[[#This Row],[Candidate 5]]))),(SamplingData[[#This Row],[Total]]+SamplingData[[#This Row],[Winning Candidate]]-SamplingData[[#This Row],[Candidate 5]])/(SamplingData[[#Totals],[Winning Candidate]]-SamplingData[[#Totals],[Candidate 5]]), 0)</f>
        <v>0</v>
      </c>
      <c r="U382" s="99">
        <f>IF(AND(SamplingData[[#This Row],[Total]]&lt;&gt; 0, NOT(ISBLANK(SamplingData[[#This Row],[Candidate 6]]))),(SamplingData[[#This Row],[Total]]+SamplingData[[#This Row],[Losing Candidate]]-SamplingData[[#This Row],[Candidate 6]])/(SamplingData[[#Totals],[Winning Candidate]]-SamplingData[[#Totals],[Candidate 6]]), 0)</f>
        <v>0</v>
      </c>
      <c r="V382" s="99">
        <f>IF(AND(SamplingData[[#This Row],[Total]]&lt;&gt; 0, NOT(ISBLANK(SamplingData[[#This Row],[Candidate 7]]))),(SamplingData[[#This Row],[Total]]+SamplingData[[#This Row],[Winning Candidate]]-SamplingData[[#This Row],[Candidate 7]])/(SamplingData[[#Totals],[Winning Candidate]]-SamplingData[[#Totals],[Candidate 7]]), 0)</f>
        <v>0</v>
      </c>
      <c r="W382" s="99">
        <f>IF(AND(SamplingData[[#This Row],[Total]]&lt;&gt; 0, NOT(ISBLANK(SamplingData[[#This Row],[Candidate 8]]))),(SamplingData[[#This Row],[Total]]+SamplingData[[#This Row],[Winning Candidate]]-SamplingData[[#This Row],[Candidate 8]])/(SamplingData[[#Totals],[Winning Candidate]]-SamplingData[[#Totals],[Candidate 8]]), 0)</f>
        <v>0</v>
      </c>
      <c r="X3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2" s="99">
        <f>MAX(SamplingData[[#This Row],[Error Bound (up) - Max. possible relative overstatement - Losing Candidate]:[Error Bound (up) - Max. possible relative overstatement - Candidate 12]])</f>
        <v>1.5277542013240537E-2</v>
      </c>
      <c r="AC382" s="99">
        <f>IF(SamplingData[[#This Row],[Max Error Bound (up)]] = 0,0,SamplingData[[#This Row],[Max Error Bound (up)]]/SamplingData[[#Totals],[Max Error Bound (up)]])</f>
        <v>8.17973606718291E-4</v>
      </c>
      <c r="AD382" s="103">
        <f>SUM($AC$5:AC382)</f>
        <v>0.34277638419311518</v>
      </c>
      <c r="AE382" s="99" t="str" cm="1">
        <f t="array" ref="AE382">IF(SamplingData[[#This Row],[up/U Selection Probability]] = 0, "Zero", TEXT(SamplingData[[#This Row],[Lower Range]], REPT("0",LEN('General Info'!$B$42))) &amp; " - " &amp; TEXT(SamplingData[[#This Row],[Upper Range]], REPT("0",LEN('General Info'!$B$42))))</f>
        <v>341958 - 342775</v>
      </c>
      <c r="AF382" s="99">
        <f>SamplingData[[#This Row],[Upper Range]]-SamplingData[[#This Row],[Span]]</f>
        <v>341958.41058639687</v>
      </c>
      <c r="AG382" s="99">
        <f>IF(ISNUMBER('General Info'!$B$42), ((SamplingData[[#This Row],[up/U Selection Probability]]) * 'General Info'!$B$44) - 1, 0)</f>
        <v>816.97360671829097</v>
      </c>
      <c r="AH382" s="99">
        <f>IF(ISNUMBER('General Info'!$B$42), (SamplingData[[#This Row],[Running (cumulative) sum]] * ('General Info'!$B$42 -'General Info'!$B$43 + 1)) + 'General Info'!$B$43 - 1, 0)</f>
        <v>342775.38419311517</v>
      </c>
      <c r="AI382" s="99" t="str">
        <f>IF(ISERROR(MATCH(SamplingData[[#This Row],[Batch by Type (p)]],SelectedPrecincts[Batch Name], 0)), "", INDEX(SelectedPrecincts[Draw], MATCH(SamplingData[[#This Row],[Batch by Type (p)]],SelectedPrecincts[Batch Name], 0)))</f>
        <v/>
      </c>
      <c r="AJ382" s="100">
        <f>IF(COUNTIF(SelectedPrecincts[Batch Name],SamplingData[[#This Row],[Batch by Type (p)]]) &lt;&gt; 0, COUNTIF(SelectedPrecincts[Batch Name],SamplingData[[#This Row],[Batch by Type (p)]]), 0)</f>
        <v>0</v>
      </c>
    </row>
    <row r="383" spans="1:36" ht="15" customHeight="1" x14ac:dyDescent="0.35">
      <c r="A383" s="97" t="s">
        <v>596</v>
      </c>
      <c r="B383" s="97">
        <v>116</v>
      </c>
      <c r="C383" s="97">
        <v>143</v>
      </c>
      <c r="D383" s="92"/>
      <c r="E383" s="92"/>
      <c r="F383" s="92"/>
      <c r="G383" s="96"/>
      <c r="H383" s="96"/>
      <c r="I383" s="92"/>
      <c r="J383" s="92"/>
      <c r="K383" s="92"/>
      <c r="L383" s="92"/>
      <c r="M383" s="92"/>
      <c r="N383" s="97">
        <v>0</v>
      </c>
      <c r="O383" s="97">
        <v>17</v>
      </c>
      <c r="P383" s="98">
        <f>SUM(SamplingData[[#This Row],[Winning Candidate]:[Under Votes]])</f>
        <v>276</v>
      </c>
      <c r="Q383" s="99">
        <f>IF(AND(SamplingData[[#This Row],[Total]]&lt;&gt; 0, NOT(ISBLANK(SamplingData[[#This Row],[Losing Candidate]]))),(SamplingData[[#This Row],[Total]]+SamplingData[[#This Row],[Winning Candidate]]-SamplingData[[#This Row],[Losing Candidate]])/(SamplingData[[#Totals],[Winning Candidate]]-SamplingData[[#Totals],[Losing Candidate]]), 0)</f>
        <v>1.0566966559158038E-2</v>
      </c>
      <c r="R383" s="99">
        <f>IF(AND(SamplingData[[#This Row],[Total]]&lt;&gt; 0, NOT(ISBLANK(SamplingData[[#This Row],[Candidate 3]]))),(SamplingData[[#This Row],[Total]]+SamplingData[[#This Row],[Winning Candidate]]-SamplingData[[#This Row],[Candidate 3]])/(SamplingData[[#Totals],[Winning Candidate]]-SamplingData[[#Totals],[Candidate 3]]), 0)</f>
        <v>0</v>
      </c>
      <c r="S383" s="99">
        <f>IF(AND(SamplingData[[#This Row],[Total]]&lt;&gt; 0, NOT(ISBLANK(SamplingData[[#This Row],[Candidate 4]]))),(SamplingData[[#This Row],[Total]]+SamplingData[[#This Row],[Winning Candidate]]-SamplingData[[#This Row],[Candidate 4]])/(SamplingData[[#Totals],[Winning Candidate]]-SamplingData[[#Totals],[Candidate 4]]), 0)</f>
        <v>0</v>
      </c>
      <c r="T383" s="99">
        <f>IF(AND(SamplingData[[#This Row],[Total]]&lt;&gt; 0, NOT(ISBLANK(SamplingData[[#This Row],[Candidate 5]]))),(SamplingData[[#This Row],[Total]]+SamplingData[[#This Row],[Winning Candidate]]-SamplingData[[#This Row],[Candidate 5]])/(SamplingData[[#Totals],[Winning Candidate]]-SamplingData[[#Totals],[Candidate 5]]), 0)</f>
        <v>0</v>
      </c>
      <c r="U383" s="99">
        <f>IF(AND(SamplingData[[#This Row],[Total]]&lt;&gt; 0, NOT(ISBLANK(SamplingData[[#This Row],[Candidate 6]]))),(SamplingData[[#This Row],[Total]]+SamplingData[[#This Row],[Losing Candidate]]-SamplingData[[#This Row],[Candidate 6]])/(SamplingData[[#Totals],[Winning Candidate]]-SamplingData[[#Totals],[Candidate 6]]), 0)</f>
        <v>0</v>
      </c>
      <c r="V383" s="99">
        <f>IF(AND(SamplingData[[#This Row],[Total]]&lt;&gt; 0, NOT(ISBLANK(SamplingData[[#This Row],[Candidate 7]]))),(SamplingData[[#This Row],[Total]]+SamplingData[[#This Row],[Winning Candidate]]-SamplingData[[#This Row],[Candidate 7]])/(SamplingData[[#Totals],[Winning Candidate]]-SamplingData[[#Totals],[Candidate 7]]), 0)</f>
        <v>0</v>
      </c>
      <c r="W383" s="99">
        <f>IF(AND(SamplingData[[#This Row],[Total]]&lt;&gt; 0, NOT(ISBLANK(SamplingData[[#This Row],[Candidate 8]]))),(SamplingData[[#This Row],[Total]]+SamplingData[[#This Row],[Winning Candidate]]-SamplingData[[#This Row],[Candidate 8]])/(SamplingData[[#Totals],[Winning Candidate]]-SamplingData[[#Totals],[Candidate 8]]), 0)</f>
        <v>0</v>
      </c>
      <c r="X3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3" s="99">
        <f>MAX(SamplingData[[#This Row],[Error Bound (up) - Max. possible relative overstatement - Losing Candidate]:[Error Bound (up) - Max. possible relative overstatement - Candidate 12]])</f>
        <v>1.0566966559158038E-2</v>
      </c>
      <c r="AC383" s="99">
        <f>IF(SamplingData[[#This Row],[Max Error Bound (up)]] = 0,0,SamplingData[[#This Row],[Max Error Bound (up)]]/SamplingData[[#Totals],[Max Error Bound (up)]])</f>
        <v>5.6576507798015128E-4</v>
      </c>
      <c r="AD383" s="103">
        <f>SUM($AC$5:AC383)</f>
        <v>0.34334214927109535</v>
      </c>
      <c r="AE383" s="99" t="str" cm="1">
        <f t="array" ref="AE383">IF(SamplingData[[#This Row],[up/U Selection Probability]] = 0, "Zero", TEXT(SamplingData[[#This Row],[Lower Range]], REPT("0",LEN('General Info'!$B$42))) &amp; " - " &amp; TEXT(SamplingData[[#This Row],[Upper Range]], REPT("0",LEN('General Info'!$B$42))))</f>
        <v>342776 - 343341</v>
      </c>
      <c r="AF383" s="99">
        <f>SamplingData[[#This Row],[Upper Range]]-SamplingData[[#This Row],[Span]]</f>
        <v>342776.38419311517</v>
      </c>
      <c r="AG383" s="99">
        <f>IF(ISNUMBER('General Info'!$B$42), ((SamplingData[[#This Row],[up/U Selection Probability]]) * 'General Info'!$B$44) - 1, 0)</f>
        <v>564.76507798015132</v>
      </c>
      <c r="AH383" s="99">
        <f>IF(ISNUMBER('General Info'!$B$42), (SamplingData[[#This Row],[Running (cumulative) sum]] * ('General Info'!$B$42 -'General Info'!$B$43 + 1)) + 'General Info'!$B$43 - 1, 0)</f>
        <v>343341.14927109535</v>
      </c>
      <c r="AI383" s="99" t="str">
        <f>IF(ISERROR(MATCH(SamplingData[[#This Row],[Batch by Type (p)]],SelectedPrecincts[Batch Name], 0)), "", INDEX(SelectedPrecincts[Draw], MATCH(SamplingData[[#This Row],[Batch by Type (p)]],SelectedPrecincts[Batch Name], 0)))</f>
        <v/>
      </c>
      <c r="AJ383" s="100">
        <f>IF(COUNTIF(SelectedPrecincts[Batch Name],SamplingData[[#This Row],[Batch by Type (p)]]) &lt;&gt; 0, COUNTIF(SelectedPrecincts[Batch Name],SamplingData[[#This Row],[Batch by Type (p)]]), 0)</f>
        <v>0</v>
      </c>
    </row>
    <row r="384" spans="1:36" ht="15" customHeight="1" x14ac:dyDescent="0.35">
      <c r="A384" s="97" t="s">
        <v>597</v>
      </c>
      <c r="B384" s="97">
        <v>37</v>
      </c>
      <c r="C384" s="97">
        <v>55</v>
      </c>
      <c r="D384" s="92"/>
      <c r="E384" s="92"/>
      <c r="F384" s="92"/>
      <c r="G384" s="96"/>
      <c r="H384" s="96"/>
      <c r="I384" s="92"/>
      <c r="J384" s="92"/>
      <c r="K384" s="92"/>
      <c r="L384" s="92"/>
      <c r="M384" s="92"/>
      <c r="N384" s="97">
        <v>0</v>
      </c>
      <c r="O384" s="97">
        <v>6</v>
      </c>
      <c r="P384" s="98">
        <f>SUM(SamplingData[[#This Row],[Winning Candidate]:[Under Votes]])</f>
        <v>98</v>
      </c>
      <c r="Q384" s="99">
        <f>IF(AND(SamplingData[[#This Row],[Total]]&lt;&gt; 0, NOT(ISBLANK(SamplingData[[#This Row],[Losing Candidate]]))),(SamplingData[[#This Row],[Total]]+SamplingData[[#This Row],[Winning Candidate]]-SamplingData[[#This Row],[Losing Candidate]])/(SamplingData[[#Totals],[Winning Candidate]]-SamplingData[[#Totals],[Losing Candidate]]), 0)</f>
        <v>3.3950093362756749E-3</v>
      </c>
      <c r="R384" s="99">
        <f>IF(AND(SamplingData[[#This Row],[Total]]&lt;&gt; 0, NOT(ISBLANK(SamplingData[[#This Row],[Candidate 3]]))),(SamplingData[[#This Row],[Total]]+SamplingData[[#This Row],[Winning Candidate]]-SamplingData[[#This Row],[Candidate 3]])/(SamplingData[[#Totals],[Winning Candidate]]-SamplingData[[#Totals],[Candidate 3]]), 0)</f>
        <v>0</v>
      </c>
      <c r="S384" s="99">
        <f>IF(AND(SamplingData[[#This Row],[Total]]&lt;&gt; 0, NOT(ISBLANK(SamplingData[[#This Row],[Candidate 4]]))),(SamplingData[[#This Row],[Total]]+SamplingData[[#This Row],[Winning Candidate]]-SamplingData[[#This Row],[Candidate 4]])/(SamplingData[[#Totals],[Winning Candidate]]-SamplingData[[#Totals],[Candidate 4]]), 0)</f>
        <v>0</v>
      </c>
      <c r="T384" s="99">
        <f>IF(AND(SamplingData[[#This Row],[Total]]&lt;&gt; 0, NOT(ISBLANK(SamplingData[[#This Row],[Candidate 5]]))),(SamplingData[[#This Row],[Total]]+SamplingData[[#This Row],[Winning Candidate]]-SamplingData[[#This Row],[Candidate 5]])/(SamplingData[[#Totals],[Winning Candidate]]-SamplingData[[#Totals],[Candidate 5]]), 0)</f>
        <v>0</v>
      </c>
      <c r="U384" s="99">
        <f>IF(AND(SamplingData[[#This Row],[Total]]&lt;&gt; 0, NOT(ISBLANK(SamplingData[[#This Row],[Candidate 6]]))),(SamplingData[[#This Row],[Total]]+SamplingData[[#This Row],[Losing Candidate]]-SamplingData[[#This Row],[Candidate 6]])/(SamplingData[[#Totals],[Winning Candidate]]-SamplingData[[#Totals],[Candidate 6]]), 0)</f>
        <v>0</v>
      </c>
      <c r="V384" s="99">
        <f>IF(AND(SamplingData[[#This Row],[Total]]&lt;&gt; 0, NOT(ISBLANK(SamplingData[[#This Row],[Candidate 7]]))),(SamplingData[[#This Row],[Total]]+SamplingData[[#This Row],[Winning Candidate]]-SamplingData[[#This Row],[Candidate 7]])/(SamplingData[[#Totals],[Winning Candidate]]-SamplingData[[#Totals],[Candidate 7]]), 0)</f>
        <v>0</v>
      </c>
      <c r="W384" s="99">
        <f>IF(AND(SamplingData[[#This Row],[Total]]&lt;&gt; 0, NOT(ISBLANK(SamplingData[[#This Row],[Candidate 8]]))),(SamplingData[[#This Row],[Total]]+SamplingData[[#This Row],[Winning Candidate]]-SamplingData[[#This Row],[Candidate 8]])/(SamplingData[[#Totals],[Winning Candidate]]-SamplingData[[#Totals],[Candidate 8]]), 0)</f>
        <v>0</v>
      </c>
      <c r="X3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4" s="99">
        <f>MAX(SamplingData[[#This Row],[Error Bound (up) - Max. possible relative overstatement - Losing Candidate]:[Error Bound (up) - Max. possible relative overstatement - Candidate 12]])</f>
        <v>3.3950093362756749E-3</v>
      </c>
      <c r="AC384" s="99">
        <f>IF(SamplingData[[#This Row],[Max Error Bound (up)]] = 0,0,SamplingData[[#This Row],[Max Error Bound (up)]]/SamplingData[[#Totals],[Max Error Bound (up)]])</f>
        <v>1.8177191260406467E-4</v>
      </c>
      <c r="AD384" s="103">
        <f>SUM($AC$5:AC384)</f>
        <v>0.3435239211836994</v>
      </c>
      <c r="AE384" s="99" t="str" cm="1">
        <f t="array" ref="AE384">IF(SamplingData[[#This Row],[up/U Selection Probability]] = 0, "Zero", TEXT(SamplingData[[#This Row],[Lower Range]], REPT("0",LEN('General Info'!$B$42))) &amp; " - " &amp; TEXT(SamplingData[[#This Row],[Upper Range]], REPT("0",LEN('General Info'!$B$42))))</f>
        <v>343342 - 343523</v>
      </c>
      <c r="AF384" s="99">
        <f>SamplingData[[#This Row],[Upper Range]]-SamplingData[[#This Row],[Span]]</f>
        <v>343342.14927109535</v>
      </c>
      <c r="AG384" s="99">
        <f>IF(ISNUMBER('General Info'!$B$42), ((SamplingData[[#This Row],[up/U Selection Probability]]) * 'General Info'!$B$44) - 1, 0)</f>
        <v>180.77191260406468</v>
      </c>
      <c r="AH384" s="99">
        <f>IF(ISNUMBER('General Info'!$B$42), (SamplingData[[#This Row],[Running (cumulative) sum]] * ('General Info'!$B$42 -'General Info'!$B$43 + 1)) + 'General Info'!$B$43 - 1, 0)</f>
        <v>343522.92118369939</v>
      </c>
      <c r="AI384" s="99" t="str">
        <f>IF(ISERROR(MATCH(SamplingData[[#This Row],[Batch by Type (p)]],SelectedPrecincts[Batch Name], 0)), "", INDEX(SelectedPrecincts[Draw], MATCH(SamplingData[[#This Row],[Batch by Type (p)]],SelectedPrecincts[Batch Name], 0)))</f>
        <v/>
      </c>
      <c r="AJ384" s="100">
        <f>IF(COUNTIF(SelectedPrecincts[Batch Name],SamplingData[[#This Row],[Batch by Type (p)]]) &lt;&gt; 0, COUNTIF(SelectedPrecincts[Batch Name],SamplingData[[#This Row],[Batch by Type (p)]]), 0)</f>
        <v>0</v>
      </c>
    </row>
    <row r="385" spans="1:36" ht="15" customHeight="1" x14ac:dyDescent="0.35">
      <c r="A385" s="97" t="s">
        <v>598</v>
      </c>
      <c r="B385" s="97">
        <v>169</v>
      </c>
      <c r="C385" s="97">
        <v>120</v>
      </c>
      <c r="D385" s="92"/>
      <c r="E385" s="92"/>
      <c r="F385" s="92"/>
      <c r="G385" s="96"/>
      <c r="H385" s="96"/>
      <c r="I385" s="92"/>
      <c r="J385" s="92"/>
      <c r="K385" s="92"/>
      <c r="L385" s="92"/>
      <c r="M385" s="92"/>
      <c r="N385" s="97">
        <v>0</v>
      </c>
      <c r="O385" s="97">
        <v>9</v>
      </c>
      <c r="P385" s="98">
        <f>SUM(SamplingData[[#This Row],[Winning Candidate]:[Under Votes]])</f>
        <v>298</v>
      </c>
      <c r="Q385" s="99">
        <f>IF(AND(SamplingData[[#This Row],[Total]]&lt;&gt; 0, NOT(ISBLANK(SamplingData[[#This Row],[Losing Candidate]]))),(SamplingData[[#This Row],[Total]]+SamplingData[[#This Row],[Winning Candidate]]-SamplingData[[#This Row],[Losing Candidate]])/(SamplingData[[#Totals],[Winning Candidate]]-SamplingData[[#Totals],[Losing Candidate]]), 0)</f>
        <v>1.472585299609574E-2</v>
      </c>
      <c r="R385" s="99">
        <f>IF(AND(SamplingData[[#This Row],[Total]]&lt;&gt; 0, NOT(ISBLANK(SamplingData[[#This Row],[Candidate 3]]))),(SamplingData[[#This Row],[Total]]+SamplingData[[#This Row],[Winning Candidate]]-SamplingData[[#This Row],[Candidate 3]])/(SamplingData[[#Totals],[Winning Candidate]]-SamplingData[[#Totals],[Candidate 3]]), 0)</f>
        <v>0</v>
      </c>
      <c r="S385" s="99">
        <f>IF(AND(SamplingData[[#This Row],[Total]]&lt;&gt; 0, NOT(ISBLANK(SamplingData[[#This Row],[Candidate 4]]))),(SamplingData[[#This Row],[Total]]+SamplingData[[#This Row],[Winning Candidate]]-SamplingData[[#This Row],[Candidate 4]])/(SamplingData[[#Totals],[Winning Candidate]]-SamplingData[[#Totals],[Candidate 4]]), 0)</f>
        <v>0</v>
      </c>
      <c r="T385" s="99">
        <f>IF(AND(SamplingData[[#This Row],[Total]]&lt;&gt; 0, NOT(ISBLANK(SamplingData[[#This Row],[Candidate 5]]))),(SamplingData[[#This Row],[Total]]+SamplingData[[#This Row],[Winning Candidate]]-SamplingData[[#This Row],[Candidate 5]])/(SamplingData[[#Totals],[Winning Candidate]]-SamplingData[[#Totals],[Candidate 5]]), 0)</f>
        <v>0</v>
      </c>
      <c r="U385" s="99">
        <f>IF(AND(SamplingData[[#This Row],[Total]]&lt;&gt; 0, NOT(ISBLANK(SamplingData[[#This Row],[Candidate 6]]))),(SamplingData[[#This Row],[Total]]+SamplingData[[#This Row],[Losing Candidate]]-SamplingData[[#This Row],[Candidate 6]])/(SamplingData[[#Totals],[Winning Candidate]]-SamplingData[[#Totals],[Candidate 6]]), 0)</f>
        <v>0</v>
      </c>
      <c r="V385" s="99">
        <f>IF(AND(SamplingData[[#This Row],[Total]]&lt;&gt; 0, NOT(ISBLANK(SamplingData[[#This Row],[Candidate 7]]))),(SamplingData[[#This Row],[Total]]+SamplingData[[#This Row],[Winning Candidate]]-SamplingData[[#This Row],[Candidate 7]])/(SamplingData[[#Totals],[Winning Candidate]]-SamplingData[[#Totals],[Candidate 7]]), 0)</f>
        <v>0</v>
      </c>
      <c r="W385" s="99">
        <f>IF(AND(SamplingData[[#This Row],[Total]]&lt;&gt; 0, NOT(ISBLANK(SamplingData[[#This Row],[Candidate 8]]))),(SamplingData[[#This Row],[Total]]+SamplingData[[#This Row],[Winning Candidate]]-SamplingData[[#This Row],[Candidate 8]])/(SamplingData[[#Totals],[Winning Candidate]]-SamplingData[[#Totals],[Candidate 8]]), 0)</f>
        <v>0</v>
      </c>
      <c r="X3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5" s="99">
        <f>MAX(SamplingData[[#This Row],[Error Bound (up) - Max. possible relative overstatement - Losing Candidate]:[Error Bound (up) - Max. possible relative overstatement - Candidate 12]])</f>
        <v>1.472585299609574E-2</v>
      </c>
      <c r="AC385" s="99">
        <f>IF(SamplingData[[#This Row],[Max Error Bound (up)]] = 0,0,SamplingData[[#This Row],[Max Error Bound (up)]]/SamplingData[[#Totals],[Max Error Bound (up)]])</f>
        <v>7.8843567092013042E-4</v>
      </c>
      <c r="AD385" s="103">
        <f>SUM($AC$5:AC385)</f>
        <v>0.34431235685461953</v>
      </c>
      <c r="AE385" s="99" t="str" cm="1">
        <f t="array" ref="AE385">IF(SamplingData[[#This Row],[up/U Selection Probability]] = 0, "Zero", TEXT(SamplingData[[#This Row],[Lower Range]], REPT("0",LEN('General Info'!$B$42))) &amp; " - " &amp; TEXT(SamplingData[[#This Row],[Upper Range]], REPT("0",LEN('General Info'!$B$42))))</f>
        <v>343524 - 344311</v>
      </c>
      <c r="AF385" s="99">
        <f>SamplingData[[#This Row],[Upper Range]]-SamplingData[[#This Row],[Span]]</f>
        <v>343523.92118369939</v>
      </c>
      <c r="AG385" s="99">
        <f>IF(ISNUMBER('General Info'!$B$42), ((SamplingData[[#This Row],[up/U Selection Probability]]) * 'General Info'!$B$44) - 1, 0)</f>
        <v>787.43567092013041</v>
      </c>
      <c r="AH385" s="99">
        <f>IF(ISNUMBER('General Info'!$B$42), (SamplingData[[#This Row],[Running (cumulative) sum]] * ('General Info'!$B$42 -'General Info'!$B$43 + 1)) + 'General Info'!$B$43 - 1, 0)</f>
        <v>344311.35685461952</v>
      </c>
      <c r="AI385" s="99" t="str">
        <f>IF(ISERROR(MATCH(SamplingData[[#This Row],[Batch by Type (p)]],SelectedPrecincts[Batch Name], 0)), "", INDEX(SelectedPrecincts[Draw], MATCH(SamplingData[[#This Row],[Batch by Type (p)]],SelectedPrecincts[Batch Name], 0)))</f>
        <v/>
      </c>
      <c r="AJ385" s="100">
        <f>IF(COUNTIF(SelectedPrecincts[Batch Name],SamplingData[[#This Row],[Batch by Type (p)]]) &lt;&gt; 0, COUNTIF(SelectedPrecincts[Batch Name],SamplingData[[#This Row],[Batch by Type (p)]]), 0)</f>
        <v>0</v>
      </c>
    </row>
    <row r="386" spans="1:36" ht="15" customHeight="1" x14ac:dyDescent="0.35">
      <c r="A386" s="97" t="s">
        <v>599</v>
      </c>
      <c r="B386" s="97">
        <v>135</v>
      </c>
      <c r="C386" s="97">
        <v>86</v>
      </c>
      <c r="D386" s="92"/>
      <c r="E386" s="92"/>
      <c r="F386" s="92"/>
      <c r="G386" s="96"/>
      <c r="H386" s="96"/>
      <c r="I386" s="92"/>
      <c r="J386" s="92"/>
      <c r="K386" s="92"/>
      <c r="L386" s="92"/>
      <c r="M386" s="92"/>
      <c r="N386" s="97">
        <v>1</v>
      </c>
      <c r="O386" s="97">
        <v>12</v>
      </c>
      <c r="P386" s="98">
        <f>SUM(SamplingData[[#This Row],[Winning Candidate]:[Under Votes]])</f>
        <v>234</v>
      </c>
      <c r="Q386" s="99">
        <f>IF(AND(SamplingData[[#This Row],[Total]]&lt;&gt; 0, NOT(ISBLANK(SamplingData[[#This Row],[Losing Candidate]]))),(SamplingData[[#This Row],[Total]]+SamplingData[[#This Row],[Winning Candidate]]-SamplingData[[#This Row],[Losing Candidate]])/(SamplingData[[#Totals],[Winning Candidate]]-SamplingData[[#Totals],[Losing Candidate]]), 0)</f>
        <v>1.2009845527075199E-2</v>
      </c>
      <c r="R386" s="99">
        <f>IF(AND(SamplingData[[#This Row],[Total]]&lt;&gt; 0, NOT(ISBLANK(SamplingData[[#This Row],[Candidate 3]]))),(SamplingData[[#This Row],[Total]]+SamplingData[[#This Row],[Winning Candidate]]-SamplingData[[#This Row],[Candidate 3]])/(SamplingData[[#Totals],[Winning Candidate]]-SamplingData[[#Totals],[Candidate 3]]), 0)</f>
        <v>0</v>
      </c>
      <c r="S386" s="99">
        <f>IF(AND(SamplingData[[#This Row],[Total]]&lt;&gt; 0, NOT(ISBLANK(SamplingData[[#This Row],[Candidate 4]]))),(SamplingData[[#This Row],[Total]]+SamplingData[[#This Row],[Winning Candidate]]-SamplingData[[#This Row],[Candidate 4]])/(SamplingData[[#Totals],[Winning Candidate]]-SamplingData[[#Totals],[Candidate 4]]), 0)</f>
        <v>0</v>
      </c>
      <c r="T386" s="99">
        <f>IF(AND(SamplingData[[#This Row],[Total]]&lt;&gt; 0, NOT(ISBLANK(SamplingData[[#This Row],[Candidate 5]]))),(SamplingData[[#This Row],[Total]]+SamplingData[[#This Row],[Winning Candidate]]-SamplingData[[#This Row],[Candidate 5]])/(SamplingData[[#Totals],[Winning Candidate]]-SamplingData[[#Totals],[Candidate 5]]), 0)</f>
        <v>0</v>
      </c>
      <c r="U386" s="99">
        <f>IF(AND(SamplingData[[#This Row],[Total]]&lt;&gt; 0, NOT(ISBLANK(SamplingData[[#This Row],[Candidate 6]]))),(SamplingData[[#This Row],[Total]]+SamplingData[[#This Row],[Losing Candidate]]-SamplingData[[#This Row],[Candidate 6]])/(SamplingData[[#Totals],[Winning Candidate]]-SamplingData[[#Totals],[Candidate 6]]), 0)</f>
        <v>0</v>
      </c>
      <c r="V386" s="99">
        <f>IF(AND(SamplingData[[#This Row],[Total]]&lt;&gt; 0, NOT(ISBLANK(SamplingData[[#This Row],[Candidate 7]]))),(SamplingData[[#This Row],[Total]]+SamplingData[[#This Row],[Winning Candidate]]-SamplingData[[#This Row],[Candidate 7]])/(SamplingData[[#Totals],[Winning Candidate]]-SamplingData[[#Totals],[Candidate 7]]), 0)</f>
        <v>0</v>
      </c>
      <c r="W386" s="99">
        <f>IF(AND(SamplingData[[#This Row],[Total]]&lt;&gt; 0, NOT(ISBLANK(SamplingData[[#This Row],[Candidate 8]]))),(SamplingData[[#This Row],[Total]]+SamplingData[[#This Row],[Winning Candidate]]-SamplingData[[#This Row],[Candidate 8]])/(SamplingData[[#Totals],[Winning Candidate]]-SamplingData[[#Totals],[Candidate 8]]), 0)</f>
        <v>0</v>
      </c>
      <c r="X3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6" s="99">
        <f>MAX(SamplingData[[#This Row],[Error Bound (up) - Max. possible relative overstatement - Losing Candidate]:[Error Bound (up) - Max. possible relative overstatement - Candidate 12]])</f>
        <v>1.2009845527075199E-2</v>
      </c>
      <c r="AC386" s="99">
        <f>IF(SamplingData[[#This Row],[Max Error Bound (up)]] = 0,0,SamplingData[[#This Row],[Max Error Bound (up)]]/SamplingData[[#Totals],[Max Error Bound (up)]])</f>
        <v>6.430181408368787E-4</v>
      </c>
      <c r="AD386" s="103">
        <f>SUM($AC$5:AC386)</f>
        <v>0.34495537499545642</v>
      </c>
      <c r="AE386" s="99" t="str" cm="1">
        <f t="array" ref="AE386">IF(SamplingData[[#This Row],[up/U Selection Probability]] = 0, "Zero", TEXT(SamplingData[[#This Row],[Lower Range]], REPT("0",LEN('General Info'!$B$42))) &amp; " - " &amp; TEXT(SamplingData[[#This Row],[Upper Range]], REPT("0",LEN('General Info'!$B$42))))</f>
        <v>344312 - 344954</v>
      </c>
      <c r="AF386" s="99">
        <f>SamplingData[[#This Row],[Upper Range]]-SamplingData[[#This Row],[Span]]</f>
        <v>344312.35685461957</v>
      </c>
      <c r="AG386" s="99">
        <f>IF(ISNUMBER('General Info'!$B$42), ((SamplingData[[#This Row],[up/U Selection Probability]]) * 'General Info'!$B$44) - 1, 0)</f>
        <v>642.01814083687873</v>
      </c>
      <c r="AH386" s="99">
        <f>IF(ISNUMBER('General Info'!$B$42), (SamplingData[[#This Row],[Running (cumulative) sum]] * ('General Info'!$B$42 -'General Info'!$B$43 + 1)) + 'General Info'!$B$43 - 1, 0)</f>
        <v>344954.37499545643</v>
      </c>
      <c r="AI386" s="99" t="str">
        <f>IF(ISERROR(MATCH(SamplingData[[#This Row],[Batch by Type (p)]],SelectedPrecincts[Batch Name], 0)), "", INDEX(SelectedPrecincts[Draw], MATCH(SamplingData[[#This Row],[Batch by Type (p)]],SelectedPrecincts[Batch Name], 0)))</f>
        <v/>
      </c>
      <c r="AJ386" s="100">
        <f>IF(COUNTIF(SelectedPrecincts[Batch Name],SamplingData[[#This Row],[Batch by Type (p)]]) &lt;&gt; 0, COUNTIF(SelectedPrecincts[Batch Name],SamplingData[[#This Row],[Batch by Type (p)]]), 0)</f>
        <v>0</v>
      </c>
    </row>
    <row r="387" spans="1:36" ht="15" customHeight="1" x14ac:dyDescent="0.35">
      <c r="A387" s="97" t="s">
        <v>600</v>
      </c>
      <c r="B387" s="97">
        <v>39</v>
      </c>
      <c r="C387" s="97">
        <v>35</v>
      </c>
      <c r="D387" s="92"/>
      <c r="E387" s="92"/>
      <c r="F387" s="92"/>
      <c r="G387" s="96"/>
      <c r="H387" s="96"/>
      <c r="I387" s="92"/>
      <c r="J387" s="92"/>
      <c r="K387" s="92"/>
      <c r="L387" s="92"/>
      <c r="M387" s="92"/>
      <c r="N387" s="97">
        <v>0</v>
      </c>
      <c r="O387" s="97">
        <v>5</v>
      </c>
      <c r="P387" s="98">
        <f>SUM(SamplingData[[#This Row],[Winning Candidate]:[Under Votes]])</f>
        <v>79</v>
      </c>
      <c r="Q387" s="99">
        <f>IF(AND(SamplingData[[#This Row],[Total]]&lt;&gt; 0, NOT(ISBLANK(SamplingData[[#This Row],[Losing Candidate]]))),(SamplingData[[#This Row],[Total]]+SamplingData[[#This Row],[Winning Candidate]]-SamplingData[[#This Row],[Losing Candidate]])/(SamplingData[[#Totals],[Winning Candidate]]-SamplingData[[#Totals],[Losing Candidate]]), 0)</f>
        <v>3.5223221863860126E-3</v>
      </c>
      <c r="R387" s="99">
        <f>IF(AND(SamplingData[[#This Row],[Total]]&lt;&gt; 0, NOT(ISBLANK(SamplingData[[#This Row],[Candidate 3]]))),(SamplingData[[#This Row],[Total]]+SamplingData[[#This Row],[Winning Candidate]]-SamplingData[[#This Row],[Candidate 3]])/(SamplingData[[#Totals],[Winning Candidate]]-SamplingData[[#Totals],[Candidate 3]]), 0)</f>
        <v>0</v>
      </c>
      <c r="S387" s="99">
        <f>IF(AND(SamplingData[[#This Row],[Total]]&lt;&gt; 0, NOT(ISBLANK(SamplingData[[#This Row],[Candidate 4]]))),(SamplingData[[#This Row],[Total]]+SamplingData[[#This Row],[Winning Candidate]]-SamplingData[[#This Row],[Candidate 4]])/(SamplingData[[#Totals],[Winning Candidate]]-SamplingData[[#Totals],[Candidate 4]]), 0)</f>
        <v>0</v>
      </c>
      <c r="T387" s="99">
        <f>IF(AND(SamplingData[[#This Row],[Total]]&lt;&gt; 0, NOT(ISBLANK(SamplingData[[#This Row],[Candidate 5]]))),(SamplingData[[#This Row],[Total]]+SamplingData[[#This Row],[Winning Candidate]]-SamplingData[[#This Row],[Candidate 5]])/(SamplingData[[#Totals],[Winning Candidate]]-SamplingData[[#Totals],[Candidate 5]]), 0)</f>
        <v>0</v>
      </c>
      <c r="U387" s="99">
        <f>IF(AND(SamplingData[[#This Row],[Total]]&lt;&gt; 0, NOT(ISBLANK(SamplingData[[#This Row],[Candidate 6]]))),(SamplingData[[#This Row],[Total]]+SamplingData[[#This Row],[Losing Candidate]]-SamplingData[[#This Row],[Candidate 6]])/(SamplingData[[#Totals],[Winning Candidate]]-SamplingData[[#Totals],[Candidate 6]]), 0)</f>
        <v>0</v>
      </c>
      <c r="V387" s="99">
        <f>IF(AND(SamplingData[[#This Row],[Total]]&lt;&gt; 0, NOT(ISBLANK(SamplingData[[#This Row],[Candidate 7]]))),(SamplingData[[#This Row],[Total]]+SamplingData[[#This Row],[Winning Candidate]]-SamplingData[[#This Row],[Candidate 7]])/(SamplingData[[#Totals],[Winning Candidate]]-SamplingData[[#Totals],[Candidate 7]]), 0)</f>
        <v>0</v>
      </c>
      <c r="W387" s="99">
        <f>IF(AND(SamplingData[[#This Row],[Total]]&lt;&gt; 0, NOT(ISBLANK(SamplingData[[#This Row],[Candidate 8]]))),(SamplingData[[#This Row],[Total]]+SamplingData[[#This Row],[Winning Candidate]]-SamplingData[[#This Row],[Candidate 8]])/(SamplingData[[#Totals],[Winning Candidate]]-SamplingData[[#Totals],[Candidate 8]]), 0)</f>
        <v>0</v>
      </c>
      <c r="X3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7" s="99">
        <f>MAX(SamplingData[[#This Row],[Error Bound (up) - Max. possible relative overstatement - Losing Candidate]:[Error Bound (up) - Max. possible relative overstatement - Candidate 12]])</f>
        <v>3.5223221863860126E-3</v>
      </c>
      <c r="AC387" s="99">
        <f>IF(SamplingData[[#This Row],[Max Error Bound (up)]] = 0,0,SamplingData[[#This Row],[Max Error Bound (up)]]/SamplingData[[#Totals],[Max Error Bound (up)]])</f>
        <v>1.8858835932671707E-4</v>
      </c>
      <c r="AD387" s="103">
        <f>SUM($AC$5:AC387)</f>
        <v>0.34514396335478315</v>
      </c>
      <c r="AE387" s="99" t="str" cm="1">
        <f t="array" ref="AE387">IF(SamplingData[[#This Row],[up/U Selection Probability]] = 0, "Zero", TEXT(SamplingData[[#This Row],[Lower Range]], REPT("0",LEN('General Info'!$B$42))) &amp; " - " &amp; TEXT(SamplingData[[#This Row],[Upper Range]], REPT("0",LEN('General Info'!$B$42))))</f>
        <v>344955 - 345143</v>
      </c>
      <c r="AF387" s="99">
        <f>SamplingData[[#This Row],[Upper Range]]-SamplingData[[#This Row],[Span]]</f>
        <v>344955.37499545643</v>
      </c>
      <c r="AG387" s="99">
        <f>IF(ISNUMBER('General Info'!$B$42), ((SamplingData[[#This Row],[up/U Selection Probability]]) * 'General Info'!$B$44) - 1, 0)</f>
        <v>187.58835932671707</v>
      </c>
      <c r="AH387" s="99">
        <f>IF(ISNUMBER('General Info'!$B$42), (SamplingData[[#This Row],[Running (cumulative) sum]] * ('General Info'!$B$42 -'General Info'!$B$43 + 1)) + 'General Info'!$B$43 - 1, 0)</f>
        <v>345142.96335478313</v>
      </c>
      <c r="AI387" s="99" t="str">
        <f>IF(ISERROR(MATCH(SamplingData[[#This Row],[Batch by Type (p)]],SelectedPrecincts[Batch Name], 0)), "", INDEX(SelectedPrecincts[Draw], MATCH(SamplingData[[#This Row],[Batch by Type (p)]],SelectedPrecincts[Batch Name], 0)))</f>
        <v/>
      </c>
      <c r="AJ387" s="100">
        <f>IF(COUNTIF(SelectedPrecincts[Batch Name],SamplingData[[#This Row],[Batch by Type (p)]]) &lt;&gt; 0, COUNTIF(SelectedPrecincts[Batch Name],SamplingData[[#This Row],[Batch by Type (p)]]), 0)</f>
        <v>0</v>
      </c>
    </row>
    <row r="388" spans="1:36" ht="15" customHeight="1" x14ac:dyDescent="0.35">
      <c r="A388" s="97" t="s">
        <v>601</v>
      </c>
      <c r="B388" s="97">
        <v>123</v>
      </c>
      <c r="C388" s="97">
        <v>100</v>
      </c>
      <c r="D388" s="92"/>
      <c r="E388" s="92"/>
      <c r="F388" s="92"/>
      <c r="G388" s="96"/>
      <c r="H388" s="96"/>
      <c r="I388" s="92"/>
      <c r="J388" s="92"/>
      <c r="K388" s="92"/>
      <c r="L388" s="92"/>
      <c r="M388" s="92"/>
      <c r="N388" s="97">
        <v>0</v>
      </c>
      <c r="O388" s="97">
        <v>10</v>
      </c>
      <c r="P388" s="98">
        <f>SUM(SamplingData[[#This Row],[Winning Candidate]:[Under Votes]])</f>
        <v>233</v>
      </c>
      <c r="Q388" s="99">
        <f>IF(AND(SamplingData[[#This Row],[Total]]&lt;&gt; 0, NOT(ISBLANK(SamplingData[[#This Row],[Losing Candidate]]))),(SamplingData[[#This Row],[Total]]+SamplingData[[#This Row],[Winning Candidate]]-SamplingData[[#This Row],[Losing Candidate]])/(SamplingData[[#Totals],[Winning Candidate]]-SamplingData[[#Totals],[Losing Candidate]]), 0)</f>
        <v>1.0864029876082159E-2</v>
      </c>
      <c r="R388" s="99">
        <f>IF(AND(SamplingData[[#This Row],[Total]]&lt;&gt; 0, NOT(ISBLANK(SamplingData[[#This Row],[Candidate 3]]))),(SamplingData[[#This Row],[Total]]+SamplingData[[#This Row],[Winning Candidate]]-SamplingData[[#This Row],[Candidate 3]])/(SamplingData[[#Totals],[Winning Candidate]]-SamplingData[[#Totals],[Candidate 3]]), 0)</f>
        <v>0</v>
      </c>
      <c r="S388" s="99">
        <f>IF(AND(SamplingData[[#This Row],[Total]]&lt;&gt; 0, NOT(ISBLANK(SamplingData[[#This Row],[Candidate 4]]))),(SamplingData[[#This Row],[Total]]+SamplingData[[#This Row],[Winning Candidate]]-SamplingData[[#This Row],[Candidate 4]])/(SamplingData[[#Totals],[Winning Candidate]]-SamplingData[[#Totals],[Candidate 4]]), 0)</f>
        <v>0</v>
      </c>
      <c r="T388" s="99">
        <f>IF(AND(SamplingData[[#This Row],[Total]]&lt;&gt; 0, NOT(ISBLANK(SamplingData[[#This Row],[Candidate 5]]))),(SamplingData[[#This Row],[Total]]+SamplingData[[#This Row],[Winning Candidate]]-SamplingData[[#This Row],[Candidate 5]])/(SamplingData[[#Totals],[Winning Candidate]]-SamplingData[[#Totals],[Candidate 5]]), 0)</f>
        <v>0</v>
      </c>
      <c r="U388" s="99">
        <f>IF(AND(SamplingData[[#This Row],[Total]]&lt;&gt; 0, NOT(ISBLANK(SamplingData[[#This Row],[Candidate 6]]))),(SamplingData[[#This Row],[Total]]+SamplingData[[#This Row],[Losing Candidate]]-SamplingData[[#This Row],[Candidate 6]])/(SamplingData[[#Totals],[Winning Candidate]]-SamplingData[[#Totals],[Candidate 6]]), 0)</f>
        <v>0</v>
      </c>
      <c r="V388" s="99">
        <f>IF(AND(SamplingData[[#This Row],[Total]]&lt;&gt; 0, NOT(ISBLANK(SamplingData[[#This Row],[Candidate 7]]))),(SamplingData[[#This Row],[Total]]+SamplingData[[#This Row],[Winning Candidate]]-SamplingData[[#This Row],[Candidate 7]])/(SamplingData[[#Totals],[Winning Candidate]]-SamplingData[[#Totals],[Candidate 7]]), 0)</f>
        <v>0</v>
      </c>
      <c r="W388" s="99">
        <f>IF(AND(SamplingData[[#This Row],[Total]]&lt;&gt; 0, NOT(ISBLANK(SamplingData[[#This Row],[Candidate 8]]))),(SamplingData[[#This Row],[Total]]+SamplingData[[#This Row],[Winning Candidate]]-SamplingData[[#This Row],[Candidate 8]])/(SamplingData[[#Totals],[Winning Candidate]]-SamplingData[[#Totals],[Candidate 8]]), 0)</f>
        <v>0</v>
      </c>
      <c r="X3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8" s="99">
        <f>MAX(SamplingData[[#This Row],[Error Bound (up) - Max. possible relative overstatement - Losing Candidate]:[Error Bound (up) - Max. possible relative overstatement - Candidate 12]])</f>
        <v>1.0864029876082159E-2</v>
      </c>
      <c r="AC388" s="99">
        <f>IF(SamplingData[[#This Row],[Max Error Bound (up)]] = 0,0,SamplingData[[#This Row],[Max Error Bound (up)]]/SamplingData[[#Totals],[Max Error Bound (up)]])</f>
        <v>5.8167012033300686E-4</v>
      </c>
      <c r="AD388" s="103">
        <f>SUM($AC$5:AC388)</f>
        <v>0.34572563347511615</v>
      </c>
      <c r="AE388" s="99" t="str" cm="1">
        <f t="array" ref="AE388">IF(SamplingData[[#This Row],[up/U Selection Probability]] = 0, "Zero", TEXT(SamplingData[[#This Row],[Lower Range]], REPT("0",LEN('General Info'!$B$42))) &amp; " - " &amp; TEXT(SamplingData[[#This Row],[Upper Range]], REPT("0",LEN('General Info'!$B$42))))</f>
        <v>345144 - 345725</v>
      </c>
      <c r="AF388" s="99">
        <f>SamplingData[[#This Row],[Upper Range]]-SamplingData[[#This Row],[Span]]</f>
        <v>345143.96335478313</v>
      </c>
      <c r="AG388" s="99">
        <f>IF(ISNUMBER('General Info'!$B$42), ((SamplingData[[#This Row],[up/U Selection Probability]]) * 'General Info'!$B$44) - 1, 0)</f>
        <v>580.67012033300682</v>
      </c>
      <c r="AH388" s="99">
        <f>IF(ISNUMBER('General Info'!$B$42), (SamplingData[[#This Row],[Running (cumulative) sum]] * ('General Info'!$B$42 -'General Info'!$B$43 + 1)) + 'General Info'!$B$43 - 1, 0)</f>
        <v>345724.63347511616</v>
      </c>
      <c r="AI388" s="99" t="str">
        <f>IF(ISERROR(MATCH(SamplingData[[#This Row],[Batch by Type (p)]],SelectedPrecincts[Batch Name], 0)), "", INDEX(SelectedPrecincts[Draw], MATCH(SamplingData[[#This Row],[Batch by Type (p)]],SelectedPrecincts[Batch Name], 0)))</f>
        <v/>
      </c>
      <c r="AJ388" s="100">
        <f>IF(COUNTIF(SelectedPrecincts[Batch Name],SamplingData[[#This Row],[Batch by Type (p)]]) &lt;&gt; 0, COUNTIF(SelectedPrecincts[Batch Name],SamplingData[[#This Row],[Batch by Type (p)]]), 0)</f>
        <v>0</v>
      </c>
    </row>
    <row r="389" spans="1:36" ht="15" customHeight="1" x14ac:dyDescent="0.35">
      <c r="A389" s="97" t="s">
        <v>602</v>
      </c>
      <c r="B389" s="97">
        <v>256</v>
      </c>
      <c r="C389" s="97">
        <v>114</v>
      </c>
      <c r="D389" s="92"/>
      <c r="E389" s="92"/>
      <c r="F389" s="92"/>
      <c r="G389" s="96"/>
      <c r="H389" s="96"/>
      <c r="I389" s="92"/>
      <c r="J389" s="92"/>
      <c r="K389" s="92"/>
      <c r="L389" s="92"/>
      <c r="M389" s="92"/>
      <c r="N389" s="97">
        <v>0</v>
      </c>
      <c r="O389" s="97">
        <v>16</v>
      </c>
      <c r="P389" s="98">
        <f>SUM(SamplingData[[#This Row],[Winning Candidate]:[Under Votes]])</f>
        <v>386</v>
      </c>
      <c r="Q389" s="99">
        <f>IF(AND(SamplingData[[#This Row],[Total]]&lt;&gt; 0, NOT(ISBLANK(SamplingData[[#This Row],[Losing Candidate]]))),(SamplingData[[#This Row],[Total]]+SamplingData[[#This Row],[Winning Candidate]]-SamplingData[[#This Row],[Losing Candidate]])/(SamplingData[[#Totals],[Winning Candidate]]-SamplingData[[#Totals],[Losing Candidate]]), 0)</f>
        <v>2.2407061619419452E-2</v>
      </c>
      <c r="R389" s="99">
        <f>IF(AND(SamplingData[[#This Row],[Total]]&lt;&gt; 0, NOT(ISBLANK(SamplingData[[#This Row],[Candidate 3]]))),(SamplingData[[#This Row],[Total]]+SamplingData[[#This Row],[Winning Candidate]]-SamplingData[[#This Row],[Candidate 3]])/(SamplingData[[#Totals],[Winning Candidate]]-SamplingData[[#Totals],[Candidate 3]]), 0)</f>
        <v>0</v>
      </c>
      <c r="S389" s="99">
        <f>IF(AND(SamplingData[[#This Row],[Total]]&lt;&gt; 0, NOT(ISBLANK(SamplingData[[#This Row],[Candidate 4]]))),(SamplingData[[#This Row],[Total]]+SamplingData[[#This Row],[Winning Candidate]]-SamplingData[[#This Row],[Candidate 4]])/(SamplingData[[#Totals],[Winning Candidate]]-SamplingData[[#Totals],[Candidate 4]]), 0)</f>
        <v>0</v>
      </c>
      <c r="T389" s="99">
        <f>IF(AND(SamplingData[[#This Row],[Total]]&lt;&gt; 0, NOT(ISBLANK(SamplingData[[#This Row],[Candidate 5]]))),(SamplingData[[#This Row],[Total]]+SamplingData[[#This Row],[Winning Candidate]]-SamplingData[[#This Row],[Candidate 5]])/(SamplingData[[#Totals],[Winning Candidate]]-SamplingData[[#Totals],[Candidate 5]]), 0)</f>
        <v>0</v>
      </c>
      <c r="U389" s="99">
        <f>IF(AND(SamplingData[[#This Row],[Total]]&lt;&gt; 0, NOT(ISBLANK(SamplingData[[#This Row],[Candidate 6]]))),(SamplingData[[#This Row],[Total]]+SamplingData[[#This Row],[Losing Candidate]]-SamplingData[[#This Row],[Candidate 6]])/(SamplingData[[#Totals],[Winning Candidate]]-SamplingData[[#Totals],[Candidate 6]]), 0)</f>
        <v>0</v>
      </c>
      <c r="V389" s="99">
        <f>IF(AND(SamplingData[[#This Row],[Total]]&lt;&gt; 0, NOT(ISBLANK(SamplingData[[#This Row],[Candidate 7]]))),(SamplingData[[#This Row],[Total]]+SamplingData[[#This Row],[Winning Candidate]]-SamplingData[[#This Row],[Candidate 7]])/(SamplingData[[#Totals],[Winning Candidate]]-SamplingData[[#Totals],[Candidate 7]]), 0)</f>
        <v>0</v>
      </c>
      <c r="W389" s="99">
        <f>IF(AND(SamplingData[[#This Row],[Total]]&lt;&gt; 0, NOT(ISBLANK(SamplingData[[#This Row],[Candidate 8]]))),(SamplingData[[#This Row],[Total]]+SamplingData[[#This Row],[Winning Candidate]]-SamplingData[[#This Row],[Candidate 8]])/(SamplingData[[#Totals],[Winning Candidate]]-SamplingData[[#Totals],[Candidate 8]]), 0)</f>
        <v>0</v>
      </c>
      <c r="X3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9" s="99">
        <f>MAX(SamplingData[[#This Row],[Error Bound (up) - Max. possible relative overstatement - Losing Candidate]:[Error Bound (up) - Max. possible relative overstatement - Candidate 12]])</f>
        <v>2.2407061619419452E-2</v>
      </c>
      <c r="AC389" s="99">
        <f>IF(SamplingData[[#This Row],[Max Error Bound (up)]] = 0,0,SamplingData[[#This Row],[Max Error Bound (up)]]/SamplingData[[#Totals],[Max Error Bound (up)]])</f>
        <v>1.1996946231868266E-3</v>
      </c>
      <c r="AD389" s="103">
        <f>SUM($AC$5:AC389)</f>
        <v>0.34692532809830295</v>
      </c>
      <c r="AE389" s="99" t="str" cm="1">
        <f t="array" ref="AE389">IF(SamplingData[[#This Row],[up/U Selection Probability]] = 0, "Zero", TEXT(SamplingData[[#This Row],[Lower Range]], REPT("0",LEN('General Info'!$B$42))) &amp; " - " &amp; TEXT(SamplingData[[#This Row],[Upper Range]], REPT("0",LEN('General Info'!$B$42))))</f>
        <v>345726 - 346924</v>
      </c>
      <c r="AF389" s="99">
        <f>SamplingData[[#This Row],[Upper Range]]-SamplingData[[#This Row],[Span]]</f>
        <v>345725.6334751161</v>
      </c>
      <c r="AG389" s="99">
        <f>IF(ISNUMBER('General Info'!$B$42), ((SamplingData[[#This Row],[up/U Selection Probability]]) * 'General Info'!$B$44) - 1, 0)</f>
        <v>1198.6946231868267</v>
      </c>
      <c r="AH389" s="99">
        <f>IF(ISNUMBER('General Info'!$B$42), (SamplingData[[#This Row],[Running (cumulative) sum]] * ('General Info'!$B$42 -'General Info'!$B$43 + 1)) + 'General Info'!$B$43 - 1, 0)</f>
        <v>346924.32809830294</v>
      </c>
      <c r="AI389" s="99" t="str">
        <f>IF(ISERROR(MATCH(SamplingData[[#This Row],[Batch by Type (p)]],SelectedPrecincts[Batch Name], 0)), "", INDEX(SelectedPrecincts[Draw], MATCH(SamplingData[[#This Row],[Batch by Type (p)]],SelectedPrecincts[Batch Name], 0)))</f>
        <v/>
      </c>
      <c r="AJ389" s="100">
        <f>IF(COUNTIF(SelectedPrecincts[Batch Name],SamplingData[[#This Row],[Batch by Type (p)]]) &lt;&gt; 0, COUNTIF(SelectedPrecincts[Batch Name],SamplingData[[#This Row],[Batch by Type (p)]]), 0)</f>
        <v>0</v>
      </c>
    </row>
    <row r="390" spans="1:36" ht="15" customHeight="1" x14ac:dyDescent="0.35">
      <c r="A390" s="97" t="s">
        <v>603</v>
      </c>
      <c r="B390" s="97">
        <v>87</v>
      </c>
      <c r="C390" s="97">
        <v>57</v>
      </c>
      <c r="D390" s="92"/>
      <c r="E390" s="92"/>
      <c r="F390" s="92"/>
      <c r="G390" s="96"/>
      <c r="H390" s="96"/>
      <c r="I390" s="92"/>
      <c r="J390" s="92"/>
      <c r="K390" s="92"/>
      <c r="L390" s="92"/>
      <c r="M390" s="92"/>
      <c r="N390" s="97">
        <v>0</v>
      </c>
      <c r="O390" s="97">
        <v>5</v>
      </c>
      <c r="P390" s="98">
        <f>SUM(SamplingData[[#This Row],[Winning Candidate]:[Under Votes]])</f>
        <v>149</v>
      </c>
      <c r="Q390" s="99">
        <f>IF(AND(SamplingData[[#This Row],[Total]]&lt;&gt; 0, NOT(ISBLANK(SamplingData[[#This Row],[Losing Candidate]]))),(SamplingData[[#This Row],[Total]]+SamplingData[[#This Row],[Winning Candidate]]-SamplingData[[#This Row],[Losing Candidate]])/(SamplingData[[#Totals],[Winning Candidate]]-SamplingData[[#Totals],[Losing Candidate]]), 0)</f>
        <v>7.5963333899168222E-3</v>
      </c>
      <c r="R390" s="99">
        <f>IF(AND(SamplingData[[#This Row],[Total]]&lt;&gt; 0, NOT(ISBLANK(SamplingData[[#This Row],[Candidate 3]]))),(SamplingData[[#This Row],[Total]]+SamplingData[[#This Row],[Winning Candidate]]-SamplingData[[#This Row],[Candidate 3]])/(SamplingData[[#Totals],[Winning Candidate]]-SamplingData[[#Totals],[Candidate 3]]), 0)</f>
        <v>0</v>
      </c>
      <c r="S390" s="99">
        <f>IF(AND(SamplingData[[#This Row],[Total]]&lt;&gt; 0, NOT(ISBLANK(SamplingData[[#This Row],[Candidate 4]]))),(SamplingData[[#This Row],[Total]]+SamplingData[[#This Row],[Winning Candidate]]-SamplingData[[#This Row],[Candidate 4]])/(SamplingData[[#Totals],[Winning Candidate]]-SamplingData[[#Totals],[Candidate 4]]), 0)</f>
        <v>0</v>
      </c>
      <c r="T390" s="99">
        <f>IF(AND(SamplingData[[#This Row],[Total]]&lt;&gt; 0, NOT(ISBLANK(SamplingData[[#This Row],[Candidate 5]]))),(SamplingData[[#This Row],[Total]]+SamplingData[[#This Row],[Winning Candidate]]-SamplingData[[#This Row],[Candidate 5]])/(SamplingData[[#Totals],[Winning Candidate]]-SamplingData[[#Totals],[Candidate 5]]), 0)</f>
        <v>0</v>
      </c>
      <c r="U390" s="99">
        <f>IF(AND(SamplingData[[#This Row],[Total]]&lt;&gt; 0, NOT(ISBLANK(SamplingData[[#This Row],[Candidate 6]]))),(SamplingData[[#This Row],[Total]]+SamplingData[[#This Row],[Losing Candidate]]-SamplingData[[#This Row],[Candidate 6]])/(SamplingData[[#Totals],[Winning Candidate]]-SamplingData[[#Totals],[Candidate 6]]), 0)</f>
        <v>0</v>
      </c>
      <c r="V390" s="99">
        <f>IF(AND(SamplingData[[#This Row],[Total]]&lt;&gt; 0, NOT(ISBLANK(SamplingData[[#This Row],[Candidate 7]]))),(SamplingData[[#This Row],[Total]]+SamplingData[[#This Row],[Winning Candidate]]-SamplingData[[#This Row],[Candidate 7]])/(SamplingData[[#Totals],[Winning Candidate]]-SamplingData[[#Totals],[Candidate 7]]), 0)</f>
        <v>0</v>
      </c>
      <c r="W390" s="99">
        <f>IF(AND(SamplingData[[#This Row],[Total]]&lt;&gt; 0, NOT(ISBLANK(SamplingData[[#This Row],[Candidate 8]]))),(SamplingData[[#This Row],[Total]]+SamplingData[[#This Row],[Winning Candidate]]-SamplingData[[#This Row],[Candidate 8]])/(SamplingData[[#Totals],[Winning Candidate]]-SamplingData[[#Totals],[Candidate 8]]), 0)</f>
        <v>0</v>
      </c>
      <c r="X3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0" s="99">
        <f>MAX(SamplingData[[#This Row],[Error Bound (up) - Max. possible relative overstatement - Losing Candidate]:[Error Bound (up) - Max. possible relative overstatement - Candidate 12]])</f>
        <v>7.5963333899168222E-3</v>
      </c>
      <c r="AC390" s="99">
        <f>IF(SamplingData[[#This Row],[Max Error Bound (up)]] = 0,0,SamplingData[[#This Row],[Max Error Bound (up)]]/SamplingData[[#Totals],[Max Error Bound (up)]])</f>
        <v>4.0671465445159467E-4</v>
      </c>
      <c r="AD390" s="103">
        <f>SUM($AC$5:AC390)</f>
        <v>0.34733204275275453</v>
      </c>
      <c r="AE390" s="99" t="str" cm="1">
        <f t="array" ref="AE390">IF(SamplingData[[#This Row],[up/U Selection Probability]] = 0, "Zero", TEXT(SamplingData[[#This Row],[Lower Range]], REPT("0",LEN('General Info'!$B$42))) &amp; " - " &amp; TEXT(SamplingData[[#This Row],[Upper Range]], REPT("0",LEN('General Info'!$B$42))))</f>
        <v>346925 - 347331</v>
      </c>
      <c r="AF390" s="99">
        <f>SamplingData[[#This Row],[Upper Range]]-SamplingData[[#This Row],[Span]]</f>
        <v>346925.32809830294</v>
      </c>
      <c r="AG390" s="99">
        <f>IF(ISNUMBER('General Info'!$B$42), ((SamplingData[[#This Row],[up/U Selection Probability]]) * 'General Info'!$B$44) - 1, 0)</f>
        <v>405.71465445159464</v>
      </c>
      <c r="AH390" s="99">
        <f>IF(ISNUMBER('General Info'!$B$42), (SamplingData[[#This Row],[Running (cumulative) sum]] * ('General Info'!$B$42 -'General Info'!$B$43 + 1)) + 'General Info'!$B$43 - 1, 0)</f>
        <v>347331.04275275453</v>
      </c>
      <c r="AI390" s="99" t="str">
        <f>IF(ISERROR(MATCH(SamplingData[[#This Row],[Batch by Type (p)]],SelectedPrecincts[Batch Name], 0)), "", INDEX(SelectedPrecincts[Draw], MATCH(SamplingData[[#This Row],[Batch by Type (p)]],SelectedPrecincts[Batch Name], 0)))</f>
        <v/>
      </c>
      <c r="AJ390" s="100">
        <f>IF(COUNTIF(SelectedPrecincts[Batch Name],SamplingData[[#This Row],[Batch by Type (p)]]) &lt;&gt; 0, COUNTIF(SelectedPrecincts[Batch Name],SamplingData[[#This Row],[Batch by Type (p)]]), 0)</f>
        <v>0</v>
      </c>
    </row>
    <row r="391" spans="1:36" ht="15" customHeight="1" x14ac:dyDescent="0.35">
      <c r="A391" s="97" t="s">
        <v>604</v>
      </c>
      <c r="B391" s="97">
        <v>42</v>
      </c>
      <c r="C391" s="97">
        <v>16</v>
      </c>
      <c r="D391" s="92"/>
      <c r="E391" s="92"/>
      <c r="F391" s="92"/>
      <c r="G391" s="96"/>
      <c r="H391" s="96"/>
      <c r="I391" s="92"/>
      <c r="J391" s="92"/>
      <c r="K391" s="92"/>
      <c r="L391" s="92"/>
      <c r="M391" s="92"/>
      <c r="N391" s="97">
        <v>0</v>
      </c>
      <c r="O391" s="97">
        <v>4</v>
      </c>
      <c r="P391" s="98">
        <f>SUM(SamplingData[[#This Row],[Winning Candidate]:[Under Votes]])</f>
        <v>62</v>
      </c>
      <c r="Q391" s="99">
        <f>IF(AND(SamplingData[[#This Row],[Total]]&lt;&gt; 0, NOT(ISBLANK(SamplingData[[#This Row],[Losing Candidate]]))),(SamplingData[[#This Row],[Total]]+SamplingData[[#This Row],[Winning Candidate]]-SamplingData[[#This Row],[Losing Candidate]])/(SamplingData[[#Totals],[Winning Candidate]]-SamplingData[[#Totals],[Losing Candidate]]), 0)</f>
        <v>3.734510269903242E-3</v>
      </c>
      <c r="R391" s="99">
        <f>IF(AND(SamplingData[[#This Row],[Total]]&lt;&gt; 0, NOT(ISBLANK(SamplingData[[#This Row],[Candidate 3]]))),(SamplingData[[#This Row],[Total]]+SamplingData[[#This Row],[Winning Candidate]]-SamplingData[[#This Row],[Candidate 3]])/(SamplingData[[#Totals],[Winning Candidate]]-SamplingData[[#Totals],[Candidate 3]]), 0)</f>
        <v>0</v>
      </c>
      <c r="S391" s="99">
        <f>IF(AND(SamplingData[[#This Row],[Total]]&lt;&gt; 0, NOT(ISBLANK(SamplingData[[#This Row],[Candidate 4]]))),(SamplingData[[#This Row],[Total]]+SamplingData[[#This Row],[Winning Candidate]]-SamplingData[[#This Row],[Candidate 4]])/(SamplingData[[#Totals],[Winning Candidate]]-SamplingData[[#Totals],[Candidate 4]]), 0)</f>
        <v>0</v>
      </c>
      <c r="T391" s="99">
        <f>IF(AND(SamplingData[[#This Row],[Total]]&lt;&gt; 0, NOT(ISBLANK(SamplingData[[#This Row],[Candidate 5]]))),(SamplingData[[#This Row],[Total]]+SamplingData[[#This Row],[Winning Candidate]]-SamplingData[[#This Row],[Candidate 5]])/(SamplingData[[#Totals],[Winning Candidate]]-SamplingData[[#Totals],[Candidate 5]]), 0)</f>
        <v>0</v>
      </c>
      <c r="U391" s="99">
        <f>IF(AND(SamplingData[[#This Row],[Total]]&lt;&gt; 0, NOT(ISBLANK(SamplingData[[#This Row],[Candidate 6]]))),(SamplingData[[#This Row],[Total]]+SamplingData[[#This Row],[Losing Candidate]]-SamplingData[[#This Row],[Candidate 6]])/(SamplingData[[#Totals],[Winning Candidate]]-SamplingData[[#Totals],[Candidate 6]]), 0)</f>
        <v>0</v>
      </c>
      <c r="V391" s="99">
        <f>IF(AND(SamplingData[[#This Row],[Total]]&lt;&gt; 0, NOT(ISBLANK(SamplingData[[#This Row],[Candidate 7]]))),(SamplingData[[#This Row],[Total]]+SamplingData[[#This Row],[Winning Candidate]]-SamplingData[[#This Row],[Candidate 7]])/(SamplingData[[#Totals],[Winning Candidate]]-SamplingData[[#Totals],[Candidate 7]]), 0)</f>
        <v>0</v>
      </c>
      <c r="W391" s="99">
        <f>IF(AND(SamplingData[[#This Row],[Total]]&lt;&gt; 0, NOT(ISBLANK(SamplingData[[#This Row],[Candidate 8]]))),(SamplingData[[#This Row],[Total]]+SamplingData[[#This Row],[Winning Candidate]]-SamplingData[[#This Row],[Candidate 8]])/(SamplingData[[#Totals],[Winning Candidate]]-SamplingData[[#Totals],[Candidate 8]]), 0)</f>
        <v>0</v>
      </c>
      <c r="X3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1" s="99">
        <f>MAX(SamplingData[[#This Row],[Error Bound (up) - Max. possible relative overstatement - Losing Candidate]:[Error Bound (up) - Max. possible relative overstatement - Candidate 12]])</f>
        <v>3.734510269903242E-3</v>
      </c>
      <c r="AC391" s="99">
        <f>IF(SamplingData[[#This Row],[Max Error Bound (up)]] = 0,0,SamplingData[[#This Row],[Max Error Bound (up)]]/SamplingData[[#Totals],[Max Error Bound (up)]])</f>
        <v>1.9994910386447111E-4</v>
      </c>
      <c r="AD391" s="103">
        <f>SUM($AC$5:AC391)</f>
        <v>0.34753199185661898</v>
      </c>
      <c r="AE391" s="99" t="str" cm="1">
        <f t="array" ref="AE391">IF(SamplingData[[#This Row],[up/U Selection Probability]] = 0, "Zero", TEXT(SamplingData[[#This Row],[Lower Range]], REPT("0",LEN('General Info'!$B$42))) &amp; " - " &amp; TEXT(SamplingData[[#This Row],[Upper Range]], REPT("0",LEN('General Info'!$B$42))))</f>
        <v>347332 - 347531</v>
      </c>
      <c r="AF391" s="99">
        <f>SamplingData[[#This Row],[Upper Range]]-SamplingData[[#This Row],[Span]]</f>
        <v>347332.04275275447</v>
      </c>
      <c r="AG391" s="99">
        <f>IF(ISNUMBER('General Info'!$B$42), ((SamplingData[[#This Row],[up/U Selection Probability]]) * 'General Info'!$B$44) - 1, 0)</f>
        <v>198.94910386447111</v>
      </c>
      <c r="AH391" s="99">
        <f>IF(ISNUMBER('General Info'!$B$42), (SamplingData[[#This Row],[Running (cumulative) sum]] * ('General Info'!$B$42 -'General Info'!$B$43 + 1)) + 'General Info'!$B$43 - 1, 0)</f>
        <v>347530.99185661896</v>
      </c>
      <c r="AI391" s="99" t="str">
        <f>IF(ISERROR(MATCH(SamplingData[[#This Row],[Batch by Type (p)]],SelectedPrecincts[Batch Name], 0)), "", INDEX(SelectedPrecincts[Draw], MATCH(SamplingData[[#This Row],[Batch by Type (p)]],SelectedPrecincts[Batch Name], 0)))</f>
        <v/>
      </c>
      <c r="AJ391" s="100">
        <f>IF(COUNTIF(SelectedPrecincts[Batch Name],SamplingData[[#This Row],[Batch by Type (p)]]) &lt;&gt; 0, COUNTIF(SelectedPrecincts[Batch Name],SamplingData[[#This Row],[Batch by Type (p)]]), 0)</f>
        <v>0</v>
      </c>
    </row>
    <row r="392" spans="1:36" ht="15" customHeight="1" x14ac:dyDescent="0.35">
      <c r="A392" s="97" t="s">
        <v>605</v>
      </c>
      <c r="B392" s="97">
        <v>91</v>
      </c>
      <c r="C392" s="97">
        <v>46</v>
      </c>
      <c r="D392" s="92"/>
      <c r="E392" s="92"/>
      <c r="F392" s="92"/>
      <c r="G392" s="96"/>
      <c r="H392" s="96"/>
      <c r="I392" s="92"/>
      <c r="J392" s="92"/>
      <c r="K392" s="92"/>
      <c r="L392" s="92"/>
      <c r="M392" s="92"/>
      <c r="N392" s="97">
        <v>0</v>
      </c>
      <c r="O392" s="97">
        <v>6</v>
      </c>
      <c r="P392" s="98">
        <f>SUM(SamplingData[[#This Row],[Winning Candidate]:[Under Votes]])</f>
        <v>143</v>
      </c>
      <c r="Q392" s="99">
        <f>IF(AND(SamplingData[[#This Row],[Total]]&lt;&gt; 0, NOT(ISBLANK(SamplingData[[#This Row],[Losing Candidate]]))),(SamplingData[[#This Row],[Total]]+SamplingData[[#This Row],[Winning Candidate]]-SamplingData[[#This Row],[Losing Candidate]])/(SamplingData[[#Totals],[Winning Candidate]]-SamplingData[[#Totals],[Losing Candidate]]), 0)</f>
        <v>7.9782719402478365E-3</v>
      </c>
      <c r="R392" s="99">
        <f>IF(AND(SamplingData[[#This Row],[Total]]&lt;&gt; 0, NOT(ISBLANK(SamplingData[[#This Row],[Candidate 3]]))),(SamplingData[[#This Row],[Total]]+SamplingData[[#This Row],[Winning Candidate]]-SamplingData[[#This Row],[Candidate 3]])/(SamplingData[[#Totals],[Winning Candidate]]-SamplingData[[#Totals],[Candidate 3]]), 0)</f>
        <v>0</v>
      </c>
      <c r="S392" s="99">
        <f>IF(AND(SamplingData[[#This Row],[Total]]&lt;&gt; 0, NOT(ISBLANK(SamplingData[[#This Row],[Candidate 4]]))),(SamplingData[[#This Row],[Total]]+SamplingData[[#This Row],[Winning Candidate]]-SamplingData[[#This Row],[Candidate 4]])/(SamplingData[[#Totals],[Winning Candidate]]-SamplingData[[#Totals],[Candidate 4]]), 0)</f>
        <v>0</v>
      </c>
      <c r="T392" s="99">
        <f>IF(AND(SamplingData[[#This Row],[Total]]&lt;&gt; 0, NOT(ISBLANK(SamplingData[[#This Row],[Candidate 5]]))),(SamplingData[[#This Row],[Total]]+SamplingData[[#This Row],[Winning Candidate]]-SamplingData[[#This Row],[Candidate 5]])/(SamplingData[[#Totals],[Winning Candidate]]-SamplingData[[#Totals],[Candidate 5]]), 0)</f>
        <v>0</v>
      </c>
      <c r="U392" s="99">
        <f>IF(AND(SamplingData[[#This Row],[Total]]&lt;&gt; 0, NOT(ISBLANK(SamplingData[[#This Row],[Candidate 6]]))),(SamplingData[[#This Row],[Total]]+SamplingData[[#This Row],[Losing Candidate]]-SamplingData[[#This Row],[Candidate 6]])/(SamplingData[[#Totals],[Winning Candidate]]-SamplingData[[#Totals],[Candidate 6]]), 0)</f>
        <v>0</v>
      </c>
      <c r="V392" s="99">
        <f>IF(AND(SamplingData[[#This Row],[Total]]&lt;&gt; 0, NOT(ISBLANK(SamplingData[[#This Row],[Candidate 7]]))),(SamplingData[[#This Row],[Total]]+SamplingData[[#This Row],[Winning Candidate]]-SamplingData[[#This Row],[Candidate 7]])/(SamplingData[[#Totals],[Winning Candidate]]-SamplingData[[#Totals],[Candidate 7]]), 0)</f>
        <v>0</v>
      </c>
      <c r="W392" s="99">
        <f>IF(AND(SamplingData[[#This Row],[Total]]&lt;&gt; 0, NOT(ISBLANK(SamplingData[[#This Row],[Candidate 8]]))),(SamplingData[[#This Row],[Total]]+SamplingData[[#This Row],[Winning Candidate]]-SamplingData[[#This Row],[Candidate 8]])/(SamplingData[[#Totals],[Winning Candidate]]-SamplingData[[#Totals],[Candidate 8]]), 0)</f>
        <v>0</v>
      </c>
      <c r="X3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2" s="99">
        <f>MAX(SamplingData[[#This Row],[Error Bound (up) - Max. possible relative overstatement - Losing Candidate]:[Error Bound (up) - Max. possible relative overstatement - Candidate 12]])</f>
        <v>7.9782719402478365E-3</v>
      </c>
      <c r="AC392" s="99">
        <f>IF(SamplingData[[#This Row],[Max Error Bound (up)]] = 0,0,SamplingData[[#This Row],[Max Error Bound (up)]]/SamplingData[[#Totals],[Max Error Bound (up)]])</f>
        <v>4.2716399461955196E-4</v>
      </c>
      <c r="AD392" s="103">
        <f>SUM($AC$5:AC392)</f>
        <v>0.34795915585123854</v>
      </c>
      <c r="AE392" s="99" t="str" cm="1">
        <f t="array" ref="AE392">IF(SamplingData[[#This Row],[up/U Selection Probability]] = 0, "Zero", TEXT(SamplingData[[#This Row],[Lower Range]], REPT("0",LEN('General Info'!$B$42))) &amp; " - " &amp; TEXT(SamplingData[[#This Row],[Upper Range]], REPT("0",LEN('General Info'!$B$42))))</f>
        <v>347532 - 347958</v>
      </c>
      <c r="AF392" s="99">
        <f>SamplingData[[#This Row],[Upper Range]]-SamplingData[[#This Row],[Span]]</f>
        <v>347531.99185661896</v>
      </c>
      <c r="AG392" s="99">
        <f>IF(ISNUMBER('General Info'!$B$42), ((SamplingData[[#This Row],[up/U Selection Probability]]) * 'General Info'!$B$44) - 1, 0)</f>
        <v>426.16399461955194</v>
      </c>
      <c r="AH392" s="99">
        <f>IF(ISNUMBER('General Info'!$B$42), (SamplingData[[#This Row],[Running (cumulative) sum]] * ('General Info'!$B$42 -'General Info'!$B$43 + 1)) + 'General Info'!$B$43 - 1, 0)</f>
        <v>347958.15585123852</v>
      </c>
      <c r="AI392" s="99" t="str">
        <f>IF(ISERROR(MATCH(SamplingData[[#This Row],[Batch by Type (p)]],SelectedPrecincts[Batch Name], 0)), "", INDEX(SelectedPrecincts[Draw], MATCH(SamplingData[[#This Row],[Batch by Type (p)]],SelectedPrecincts[Batch Name], 0)))</f>
        <v/>
      </c>
      <c r="AJ392" s="100">
        <f>IF(COUNTIF(SelectedPrecincts[Batch Name],SamplingData[[#This Row],[Batch by Type (p)]]) &lt;&gt; 0, COUNTIF(SelectedPrecincts[Batch Name],SamplingData[[#This Row],[Batch by Type (p)]]), 0)</f>
        <v>0</v>
      </c>
    </row>
    <row r="393" spans="1:36" ht="15" customHeight="1" x14ac:dyDescent="0.35">
      <c r="A393" s="97" t="s">
        <v>606</v>
      </c>
      <c r="B393" s="97">
        <v>155</v>
      </c>
      <c r="C393" s="97">
        <v>48</v>
      </c>
      <c r="D393" s="92"/>
      <c r="E393" s="92"/>
      <c r="F393" s="92"/>
      <c r="G393" s="96"/>
      <c r="H393" s="96"/>
      <c r="I393" s="92"/>
      <c r="J393" s="92"/>
      <c r="K393" s="92"/>
      <c r="L393" s="92"/>
      <c r="M393" s="92"/>
      <c r="N393" s="97">
        <v>0</v>
      </c>
      <c r="O393" s="97">
        <v>9</v>
      </c>
      <c r="P393" s="98">
        <f>SUM(SamplingData[[#This Row],[Winning Candidate]:[Under Votes]])</f>
        <v>212</v>
      </c>
      <c r="Q393" s="99">
        <f>IF(AND(SamplingData[[#This Row],[Total]]&lt;&gt; 0, NOT(ISBLANK(SamplingData[[#This Row],[Losing Candidate]]))),(SamplingData[[#This Row],[Total]]+SamplingData[[#This Row],[Winning Candidate]]-SamplingData[[#This Row],[Losing Candidate]])/(SamplingData[[#Totals],[Winning Candidate]]-SamplingData[[#Totals],[Losing Candidate]]), 0)</f>
        <v>1.3537599728399253E-2</v>
      </c>
      <c r="R393" s="99">
        <f>IF(AND(SamplingData[[#This Row],[Total]]&lt;&gt; 0, NOT(ISBLANK(SamplingData[[#This Row],[Candidate 3]]))),(SamplingData[[#This Row],[Total]]+SamplingData[[#This Row],[Winning Candidate]]-SamplingData[[#This Row],[Candidate 3]])/(SamplingData[[#Totals],[Winning Candidate]]-SamplingData[[#Totals],[Candidate 3]]), 0)</f>
        <v>0</v>
      </c>
      <c r="S393" s="99">
        <f>IF(AND(SamplingData[[#This Row],[Total]]&lt;&gt; 0, NOT(ISBLANK(SamplingData[[#This Row],[Candidate 4]]))),(SamplingData[[#This Row],[Total]]+SamplingData[[#This Row],[Winning Candidate]]-SamplingData[[#This Row],[Candidate 4]])/(SamplingData[[#Totals],[Winning Candidate]]-SamplingData[[#Totals],[Candidate 4]]), 0)</f>
        <v>0</v>
      </c>
      <c r="T393" s="99">
        <f>IF(AND(SamplingData[[#This Row],[Total]]&lt;&gt; 0, NOT(ISBLANK(SamplingData[[#This Row],[Candidate 5]]))),(SamplingData[[#This Row],[Total]]+SamplingData[[#This Row],[Winning Candidate]]-SamplingData[[#This Row],[Candidate 5]])/(SamplingData[[#Totals],[Winning Candidate]]-SamplingData[[#Totals],[Candidate 5]]), 0)</f>
        <v>0</v>
      </c>
      <c r="U393" s="99">
        <f>IF(AND(SamplingData[[#This Row],[Total]]&lt;&gt; 0, NOT(ISBLANK(SamplingData[[#This Row],[Candidate 6]]))),(SamplingData[[#This Row],[Total]]+SamplingData[[#This Row],[Losing Candidate]]-SamplingData[[#This Row],[Candidate 6]])/(SamplingData[[#Totals],[Winning Candidate]]-SamplingData[[#Totals],[Candidate 6]]), 0)</f>
        <v>0</v>
      </c>
      <c r="V393" s="99">
        <f>IF(AND(SamplingData[[#This Row],[Total]]&lt;&gt; 0, NOT(ISBLANK(SamplingData[[#This Row],[Candidate 7]]))),(SamplingData[[#This Row],[Total]]+SamplingData[[#This Row],[Winning Candidate]]-SamplingData[[#This Row],[Candidate 7]])/(SamplingData[[#Totals],[Winning Candidate]]-SamplingData[[#Totals],[Candidate 7]]), 0)</f>
        <v>0</v>
      </c>
      <c r="W393" s="99">
        <f>IF(AND(SamplingData[[#This Row],[Total]]&lt;&gt; 0, NOT(ISBLANK(SamplingData[[#This Row],[Candidate 8]]))),(SamplingData[[#This Row],[Total]]+SamplingData[[#This Row],[Winning Candidate]]-SamplingData[[#This Row],[Candidate 8]])/(SamplingData[[#Totals],[Winning Candidate]]-SamplingData[[#Totals],[Candidate 8]]), 0)</f>
        <v>0</v>
      </c>
      <c r="X3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3" s="99">
        <f>MAX(SamplingData[[#This Row],[Error Bound (up) - Max. possible relative overstatement - Losing Candidate]:[Error Bound (up) - Max. possible relative overstatement - Candidate 12]])</f>
        <v>1.3537599728399253E-2</v>
      </c>
      <c r="AC393" s="99">
        <f>IF(SamplingData[[#This Row],[Max Error Bound (up)]] = 0,0,SamplingData[[#This Row],[Max Error Bound (up)]]/SamplingData[[#Totals],[Max Error Bound (up)]])</f>
        <v>7.2481550150870779E-4</v>
      </c>
      <c r="AD393" s="103">
        <f>SUM($AC$5:AC393)</f>
        <v>0.34868397135274726</v>
      </c>
      <c r="AE393" s="99" t="str" cm="1">
        <f t="array" ref="AE393">IF(SamplingData[[#This Row],[up/U Selection Probability]] = 0, "Zero", TEXT(SamplingData[[#This Row],[Lower Range]], REPT("0",LEN('General Info'!$B$42))) &amp; " - " &amp; TEXT(SamplingData[[#This Row],[Upper Range]], REPT("0",LEN('General Info'!$B$42))))</f>
        <v>347959 - 348683</v>
      </c>
      <c r="AF393" s="99">
        <f>SamplingData[[#This Row],[Upper Range]]-SamplingData[[#This Row],[Span]]</f>
        <v>347959.15585123852</v>
      </c>
      <c r="AG393" s="99">
        <f>IF(ISNUMBER('General Info'!$B$42), ((SamplingData[[#This Row],[up/U Selection Probability]]) * 'General Info'!$B$44) - 1, 0)</f>
        <v>723.81550150870783</v>
      </c>
      <c r="AH393" s="99">
        <f>IF(ISNUMBER('General Info'!$B$42), (SamplingData[[#This Row],[Running (cumulative) sum]] * ('General Info'!$B$42 -'General Info'!$B$43 + 1)) + 'General Info'!$B$43 - 1, 0)</f>
        <v>348682.97135274723</v>
      </c>
      <c r="AI393" s="99" t="str">
        <f>IF(ISERROR(MATCH(SamplingData[[#This Row],[Batch by Type (p)]],SelectedPrecincts[Batch Name], 0)), "", INDEX(SelectedPrecincts[Draw], MATCH(SamplingData[[#This Row],[Batch by Type (p)]],SelectedPrecincts[Batch Name], 0)))</f>
        <v/>
      </c>
      <c r="AJ393" s="100">
        <f>IF(COUNTIF(SelectedPrecincts[Batch Name],SamplingData[[#This Row],[Batch by Type (p)]]) &lt;&gt; 0, COUNTIF(SelectedPrecincts[Batch Name],SamplingData[[#This Row],[Batch by Type (p)]]), 0)</f>
        <v>0</v>
      </c>
    </row>
    <row r="394" spans="1:36" ht="15" customHeight="1" x14ac:dyDescent="0.35">
      <c r="A394" s="97" t="s">
        <v>607</v>
      </c>
      <c r="B394" s="97">
        <v>133</v>
      </c>
      <c r="C394" s="97">
        <v>19</v>
      </c>
      <c r="D394" s="92"/>
      <c r="E394" s="92"/>
      <c r="F394" s="92"/>
      <c r="G394" s="96"/>
      <c r="H394" s="96"/>
      <c r="I394" s="92"/>
      <c r="J394" s="92"/>
      <c r="K394" s="92"/>
      <c r="L394" s="92"/>
      <c r="M394" s="92"/>
      <c r="N394" s="97">
        <v>1</v>
      </c>
      <c r="O394" s="97">
        <v>13</v>
      </c>
      <c r="P394" s="98">
        <f>SUM(SamplingData[[#This Row],[Winning Candidate]:[Under Votes]])</f>
        <v>166</v>
      </c>
      <c r="Q394" s="99">
        <f>IF(AND(SamplingData[[#This Row],[Total]]&lt;&gt; 0, NOT(ISBLANK(SamplingData[[#This Row],[Losing Candidate]]))),(SamplingData[[#This Row],[Total]]+SamplingData[[#This Row],[Winning Candidate]]-SamplingData[[#This Row],[Losing Candidate]])/(SamplingData[[#Totals],[Winning Candidate]]-SamplingData[[#Totals],[Losing Candidate]]), 0)</f>
        <v>1.1882532676964862E-2</v>
      </c>
      <c r="R394" s="99">
        <f>IF(AND(SamplingData[[#This Row],[Total]]&lt;&gt; 0, NOT(ISBLANK(SamplingData[[#This Row],[Candidate 3]]))),(SamplingData[[#This Row],[Total]]+SamplingData[[#This Row],[Winning Candidate]]-SamplingData[[#This Row],[Candidate 3]])/(SamplingData[[#Totals],[Winning Candidate]]-SamplingData[[#Totals],[Candidate 3]]), 0)</f>
        <v>0</v>
      </c>
      <c r="S394" s="99">
        <f>IF(AND(SamplingData[[#This Row],[Total]]&lt;&gt; 0, NOT(ISBLANK(SamplingData[[#This Row],[Candidate 4]]))),(SamplingData[[#This Row],[Total]]+SamplingData[[#This Row],[Winning Candidate]]-SamplingData[[#This Row],[Candidate 4]])/(SamplingData[[#Totals],[Winning Candidate]]-SamplingData[[#Totals],[Candidate 4]]), 0)</f>
        <v>0</v>
      </c>
      <c r="T394" s="99">
        <f>IF(AND(SamplingData[[#This Row],[Total]]&lt;&gt; 0, NOT(ISBLANK(SamplingData[[#This Row],[Candidate 5]]))),(SamplingData[[#This Row],[Total]]+SamplingData[[#This Row],[Winning Candidate]]-SamplingData[[#This Row],[Candidate 5]])/(SamplingData[[#Totals],[Winning Candidate]]-SamplingData[[#Totals],[Candidate 5]]), 0)</f>
        <v>0</v>
      </c>
      <c r="U394" s="99">
        <f>IF(AND(SamplingData[[#This Row],[Total]]&lt;&gt; 0, NOT(ISBLANK(SamplingData[[#This Row],[Candidate 6]]))),(SamplingData[[#This Row],[Total]]+SamplingData[[#This Row],[Losing Candidate]]-SamplingData[[#This Row],[Candidate 6]])/(SamplingData[[#Totals],[Winning Candidate]]-SamplingData[[#Totals],[Candidate 6]]), 0)</f>
        <v>0</v>
      </c>
      <c r="V394" s="99">
        <f>IF(AND(SamplingData[[#This Row],[Total]]&lt;&gt; 0, NOT(ISBLANK(SamplingData[[#This Row],[Candidate 7]]))),(SamplingData[[#This Row],[Total]]+SamplingData[[#This Row],[Winning Candidate]]-SamplingData[[#This Row],[Candidate 7]])/(SamplingData[[#Totals],[Winning Candidate]]-SamplingData[[#Totals],[Candidate 7]]), 0)</f>
        <v>0</v>
      </c>
      <c r="W394" s="99">
        <f>IF(AND(SamplingData[[#This Row],[Total]]&lt;&gt; 0, NOT(ISBLANK(SamplingData[[#This Row],[Candidate 8]]))),(SamplingData[[#This Row],[Total]]+SamplingData[[#This Row],[Winning Candidate]]-SamplingData[[#This Row],[Candidate 8]])/(SamplingData[[#Totals],[Winning Candidate]]-SamplingData[[#Totals],[Candidate 8]]), 0)</f>
        <v>0</v>
      </c>
      <c r="X3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4" s="99">
        <f>MAX(SamplingData[[#This Row],[Error Bound (up) - Max. possible relative overstatement - Losing Candidate]:[Error Bound (up) - Max. possible relative overstatement - Candidate 12]])</f>
        <v>1.1882532676964862E-2</v>
      </c>
      <c r="AC394" s="99">
        <f>IF(SamplingData[[#This Row],[Max Error Bound (up)]] = 0,0,SamplingData[[#This Row],[Max Error Bound (up)]]/SamplingData[[#Totals],[Max Error Bound (up)]])</f>
        <v>6.3620169411422636E-4</v>
      </c>
      <c r="AD394" s="103">
        <f>SUM($AC$5:AC394)</f>
        <v>0.34932017304686147</v>
      </c>
      <c r="AE394" s="99" t="str" cm="1">
        <f t="array" ref="AE394">IF(SamplingData[[#This Row],[up/U Selection Probability]] = 0, "Zero", TEXT(SamplingData[[#This Row],[Lower Range]], REPT("0",LEN('General Info'!$B$42))) &amp; " - " &amp; TEXT(SamplingData[[#This Row],[Upper Range]], REPT("0",LEN('General Info'!$B$42))))</f>
        <v>348684 - 349319</v>
      </c>
      <c r="AF394" s="99">
        <f>SamplingData[[#This Row],[Upper Range]]-SamplingData[[#This Row],[Span]]</f>
        <v>348683.97135274723</v>
      </c>
      <c r="AG394" s="99">
        <f>IF(ISNUMBER('General Info'!$B$42), ((SamplingData[[#This Row],[up/U Selection Probability]]) * 'General Info'!$B$44) - 1, 0)</f>
        <v>635.20169411422637</v>
      </c>
      <c r="AH394" s="99">
        <f>IF(ISNUMBER('General Info'!$B$42), (SamplingData[[#This Row],[Running (cumulative) sum]] * ('General Info'!$B$42 -'General Info'!$B$43 + 1)) + 'General Info'!$B$43 - 1, 0)</f>
        <v>349319.17304686148</v>
      </c>
      <c r="AI394" s="99" t="str">
        <f>IF(ISERROR(MATCH(SamplingData[[#This Row],[Batch by Type (p)]],SelectedPrecincts[Batch Name], 0)), "", INDEX(SelectedPrecincts[Draw], MATCH(SamplingData[[#This Row],[Batch by Type (p)]],SelectedPrecincts[Batch Name], 0)))</f>
        <v/>
      </c>
      <c r="AJ394" s="100">
        <f>IF(COUNTIF(SelectedPrecincts[Batch Name],SamplingData[[#This Row],[Batch by Type (p)]]) &lt;&gt; 0, COUNTIF(SelectedPrecincts[Batch Name],SamplingData[[#This Row],[Batch by Type (p)]]), 0)</f>
        <v>0</v>
      </c>
    </row>
    <row r="395" spans="1:36" ht="15" customHeight="1" x14ac:dyDescent="0.35">
      <c r="A395" s="97" t="s">
        <v>608</v>
      </c>
      <c r="B395" s="97">
        <v>76</v>
      </c>
      <c r="C395" s="97">
        <v>53</v>
      </c>
      <c r="D395" s="92"/>
      <c r="E395" s="92"/>
      <c r="F395" s="92"/>
      <c r="G395" s="96"/>
      <c r="H395" s="96"/>
      <c r="I395" s="92"/>
      <c r="J395" s="92"/>
      <c r="K395" s="92"/>
      <c r="L395" s="92"/>
      <c r="M395" s="92"/>
      <c r="N395" s="97">
        <v>0</v>
      </c>
      <c r="O395" s="97">
        <v>7</v>
      </c>
      <c r="P395" s="98">
        <f>SUM(SamplingData[[#This Row],[Winning Candidate]:[Under Votes]])</f>
        <v>136</v>
      </c>
      <c r="Q395" s="99">
        <f>IF(AND(SamplingData[[#This Row],[Total]]&lt;&gt; 0, NOT(ISBLANK(SamplingData[[#This Row],[Losing Candidate]]))),(SamplingData[[#This Row],[Total]]+SamplingData[[#This Row],[Winning Candidate]]-SamplingData[[#This Row],[Losing Candidate]])/(SamplingData[[#Totals],[Winning Candidate]]-SamplingData[[#Totals],[Losing Candidate]]), 0)</f>
        <v>6.7475810558479035E-3</v>
      </c>
      <c r="R395" s="99">
        <f>IF(AND(SamplingData[[#This Row],[Total]]&lt;&gt; 0, NOT(ISBLANK(SamplingData[[#This Row],[Candidate 3]]))),(SamplingData[[#This Row],[Total]]+SamplingData[[#This Row],[Winning Candidate]]-SamplingData[[#This Row],[Candidate 3]])/(SamplingData[[#Totals],[Winning Candidate]]-SamplingData[[#Totals],[Candidate 3]]), 0)</f>
        <v>0</v>
      </c>
      <c r="S395" s="99">
        <f>IF(AND(SamplingData[[#This Row],[Total]]&lt;&gt; 0, NOT(ISBLANK(SamplingData[[#This Row],[Candidate 4]]))),(SamplingData[[#This Row],[Total]]+SamplingData[[#This Row],[Winning Candidate]]-SamplingData[[#This Row],[Candidate 4]])/(SamplingData[[#Totals],[Winning Candidate]]-SamplingData[[#Totals],[Candidate 4]]), 0)</f>
        <v>0</v>
      </c>
      <c r="T395" s="99">
        <f>IF(AND(SamplingData[[#This Row],[Total]]&lt;&gt; 0, NOT(ISBLANK(SamplingData[[#This Row],[Candidate 5]]))),(SamplingData[[#This Row],[Total]]+SamplingData[[#This Row],[Winning Candidate]]-SamplingData[[#This Row],[Candidate 5]])/(SamplingData[[#Totals],[Winning Candidate]]-SamplingData[[#Totals],[Candidate 5]]), 0)</f>
        <v>0</v>
      </c>
      <c r="U395" s="99">
        <f>IF(AND(SamplingData[[#This Row],[Total]]&lt;&gt; 0, NOT(ISBLANK(SamplingData[[#This Row],[Candidate 6]]))),(SamplingData[[#This Row],[Total]]+SamplingData[[#This Row],[Losing Candidate]]-SamplingData[[#This Row],[Candidate 6]])/(SamplingData[[#Totals],[Winning Candidate]]-SamplingData[[#Totals],[Candidate 6]]), 0)</f>
        <v>0</v>
      </c>
      <c r="V395" s="99">
        <f>IF(AND(SamplingData[[#This Row],[Total]]&lt;&gt; 0, NOT(ISBLANK(SamplingData[[#This Row],[Candidate 7]]))),(SamplingData[[#This Row],[Total]]+SamplingData[[#This Row],[Winning Candidate]]-SamplingData[[#This Row],[Candidate 7]])/(SamplingData[[#Totals],[Winning Candidate]]-SamplingData[[#Totals],[Candidate 7]]), 0)</f>
        <v>0</v>
      </c>
      <c r="W395" s="99">
        <f>IF(AND(SamplingData[[#This Row],[Total]]&lt;&gt; 0, NOT(ISBLANK(SamplingData[[#This Row],[Candidate 8]]))),(SamplingData[[#This Row],[Total]]+SamplingData[[#This Row],[Winning Candidate]]-SamplingData[[#This Row],[Candidate 8]])/(SamplingData[[#Totals],[Winning Candidate]]-SamplingData[[#Totals],[Candidate 8]]), 0)</f>
        <v>0</v>
      </c>
      <c r="X3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5" s="99">
        <f>MAX(SamplingData[[#This Row],[Error Bound (up) - Max. possible relative overstatement - Losing Candidate]:[Error Bound (up) - Max. possible relative overstatement - Candidate 12]])</f>
        <v>6.7475810558479035E-3</v>
      </c>
      <c r="AC395" s="99">
        <f>IF(SamplingData[[#This Row],[Max Error Bound (up)]] = 0,0,SamplingData[[#This Row],[Max Error Bound (up)]]/SamplingData[[#Totals],[Max Error Bound (up)]])</f>
        <v>3.612716763005785E-4</v>
      </c>
      <c r="AD395" s="103">
        <f>SUM($AC$5:AC395)</f>
        <v>0.34968144472316204</v>
      </c>
      <c r="AE395" s="99" t="str" cm="1">
        <f t="array" ref="AE395">IF(SamplingData[[#This Row],[up/U Selection Probability]] = 0, "Zero", TEXT(SamplingData[[#This Row],[Lower Range]], REPT("0",LEN('General Info'!$B$42))) &amp; " - " &amp; TEXT(SamplingData[[#This Row],[Upper Range]], REPT("0",LEN('General Info'!$B$42))))</f>
        <v>349320 - 349680</v>
      </c>
      <c r="AF395" s="99">
        <f>SamplingData[[#This Row],[Upper Range]]-SamplingData[[#This Row],[Span]]</f>
        <v>349320.17304686148</v>
      </c>
      <c r="AG395" s="99">
        <f>IF(ISNUMBER('General Info'!$B$42), ((SamplingData[[#This Row],[up/U Selection Probability]]) * 'General Info'!$B$44) - 1, 0)</f>
        <v>360.27167630057852</v>
      </c>
      <c r="AH395" s="99">
        <f>IF(ISNUMBER('General Info'!$B$42), (SamplingData[[#This Row],[Running (cumulative) sum]] * ('General Info'!$B$42 -'General Info'!$B$43 + 1)) + 'General Info'!$B$43 - 1, 0)</f>
        <v>349680.44472316204</v>
      </c>
      <c r="AI395" s="99" t="str">
        <f>IF(ISERROR(MATCH(SamplingData[[#This Row],[Batch by Type (p)]],SelectedPrecincts[Batch Name], 0)), "", INDEX(SelectedPrecincts[Draw], MATCH(SamplingData[[#This Row],[Batch by Type (p)]],SelectedPrecincts[Batch Name], 0)))</f>
        <v/>
      </c>
      <c r="AJ395" s="100">
        <f>IF(COUNTIF(SelectedPrecincts[Batch Name],SamplingData[[#This Row],[Batch by Type (p)]]) &lt;&gt; 0, COUNTIF(SelectedPrecincts[Batch Name],SamplingData[[#This Row],[Batch by Type (p)]]), 0)</f>
        <v>0</v>
      </c>
    </row>
    <row r="396" spans="1:36" ht="15" customHeight="1" x14ac:dyDescent="0.35">
      <c r="A396" s="97" t="s">
        <v>609</v>
      </c>
      <c r="B396" s="97">
        <v>113</v>
      </c>
      <c r="C396" s="97">
        <v>99</v>
      </c>
      <c r="D396" s="92"/>
      <c r="E396" s="92"/>
      <c r="F396" s="92"/>
      <c r="G396" s="96"/>
      <c r="H396" s="96"/>
      <c r="I396" s="92"/>
      <c r="J396" s="92"/>
      <c r="K396" s="92"/>
      <c r="L396" s="92"/>
      <c r="M396" s="92"/>
      <c r="N396" s="97">
        <v>0</v>
      </c>
      <c r="O396" s="97">
        <v>20</v>
      </c>
      <c r="P396" s="98">
        <f>SUM(SamplingData[[#This Row],[Winning Candidate]:[Under Votes]])</f>
        <v>232</v>
      </c>
      <c r="Q396" s="99">
        <f>IF(AND(SamplingData[[#This Row],[Total]]&lt;&gt; 0, NOT(ISBLANK(SamplingData[[#This Row],[Losing Candidate]]))),(SamplingData[[#This Row],[Total]]+SamplingData[[#This Row],[Winning Candidate]]-SamplingData[[#This Row],[Losing Candidate]])/(SamplingData[[#Totals],[Winning Candidate]]-SamplingData[[#Totals],[Losing Candidate]]), 0)</f>
        <v>1.0439653709047699E-2</v>
      </c>
      <c r="R396" s="99">
        <f>IF(AND(SamplingData[[#This Row],[Total]]&lt;&gt; 0, NOT(ISBLANK(SamplingData[[#This Row],[Candidate 3]]))),(SamplingData[[#This Row],[Total]]+SamplingData[[#This Row],[Winning Candidate]]-SamplingData[[#This Row],[Candidate 3]])/(SamplingData[[#Totals],[Winning Candidate]]-SamplingData[[#Totals],[Candidate 3]]), 0)</f>
        <v>0</v>
      </c>
      <c r="S396" s="99">
        <f>IF(AND(SamplingData[[#This Row],[Total]]&lt;&gt; 0, NOT(ISBLANK(SamplingData[[#This Row],[Candidate 4]]))),(SamplingData[[#This Row],[Total]]+SamplingData[[#This Row],[Winning Candidate]]-SamplingData[[#This Row],[Candidate 4]])/(SamplingData[[#Totals],[Winning Candidate]]-SamplingData[[#Totals],[Candidate 4]]), 0)</f>
        <v>0</v>
      </c>
      <c r="T396" s="99">
        <f>IF(AND(SamplingData[[#This Row],[Total]]&lt;&gt; 0, NOT(ISBLANK(SamplingData[[#This Row],[Candidate 5]]))),(SamplingData[[#This Row],[Total]]+SamplingData[[#This Row],[Winning Candidate]]-SamplingData[[#This Row],[Candidate 5]])/(SamplingData[[#Totals],[Winning Candidate]]-SamplingData[[#Totals],[Candidate 5]]), 0)</f>
        <v>0</v>
      </c>
      <c r="U396" s="99">
        <f>IF(AND(SamplingData[[#This Row],[Total]]&lt;&gt; 0, NOT(ISBLANK(SamplingData[[#This Row],[Candidate 6]]))),(SamplingData[[#This Row],[Total]]+SamplingData[[#This Row],[Losing Candidate]]-SamplingData[[#This Row],[Candidate 6]])/(SamplingData[[#Totals],[Winning Candidate]]-SamplingData[[#Totals],[Candidate 6]]), 0)</f>
        <v>0</v>
      </c>
      <c r="V396" s="99">
        <f>IF(AND(SamplingData[[#This Row],[Total]]&lt;&gt; 0, NOT(ISBLANK(SamplingData[[#This Row],[Candidate 7]]))),(SamplingData[[#This Row],[Total]]+SamplingData[[#This Row],[Winning Candidate]]-SamplingData[[#This Row],[Candidate 7]])/(SamplingData[[#Totals],[Winning Candidate]]-SamplingData[[#Totals],[Candidate 7]]), 0)</f>
        <v>0</v>
      </c>
      <c r="W396" s="99">
        <f>IF(AND(SamplingData[[#This Row],[Total]]&lt;&gt; 0, NOT(ISBLANK(SamplingData[[#This Row],[Candidate 8]]))),(SamplingData[[#This Row],[Total]]+SamplingData[[#This Row],[Winning Candidate]]-SamplingData[[#This Row],[Candidate 8]])/(SamplingData[[#Totals],[Winning Candidate]]-SamplingData[[#Totals],[Candidate 8]]), 0)</f>
        <v>0</v>
      </c>
      <c r="X3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6" s="99">
        <f>MAX(SamplingData[[#This Row],[Error Bound (up) - Max. possible relative overstatement - Losing Candidate]:[Error Bound (up) - Max. possible relative overstatement - Candidate 12]])</f>
        <v>1.0439653709047699E-2</v>
      </c>
      <c r="AC396" s="99">
        <f>IF(SamplingData[[#This Row],[Max Error Bound (up)]] = 0,0,SamplingData[[#This Row],[Max Error Bound (up)]]/SamplingData[[#Totals],[Max Error Bound (up)]])</f>
        <v>5.5894863125749872E-4</v>
      </c>
      <c r="AD396" s="103">
        <f>SUM($AC$5:AC396)</f>
        <v>0.35024039335441953</v>
      </c>
      <c r="AE396" s="99" t="str" cm="1">
        <f t="array" ref="AE396">IF(SamplingData[[#This Row],[up/U Selection Probability]] = 0, "Zero", TEXT(SamplingData[[#This Row],[Lower Range]], REPT("0",LEN('General Info'!$B$42))) &amp; " - " &amp; TEXT(SamplingData[[#This Row],[Upper Range]], REPT("0",LEN('General Info'!$B$42))))</f>
        <v>349681 - 350239</v>
      </c>
      <c r="AF396" s="99">
        <f>SamplingData[[#This Row],[Upper Range]]-SamplingData[[#This Row],[Span]]</f>
        <v>349681.44472316204</v>
      </c>
      <c r="AG396" s="99">
        <f>IF(ISNUMBER('General Info'!$B$42), ((SamplingData[[#This Row],[up/U Selection Probability]]) * 'General Info'!$B$44) - 1, 0)</f>
        <v>557.94863125749873</v>
      </c>
      <c r="AH396" s="99">
        <f>IF(ISNUMBER('General Info'!$B$42), (SamplingData[[#This Row],[Running (cumulative) sum]] * ('General Info'!$B$42 -'General Info'!$B$43 + 1)) + 'General Info'!$B$43 - 1, 0)</f>
        <v>350239.39335441956</v>
      </c>
      <c r="AI396" s="99" t="str">
        <f>IF(ISERROR(MATCH(SamplingData[[#This Row],[Batch by Type (p)]],SelectedPrecincts[Batch Name], 0)), "", INDEX(SelectedPrecincts[Draw], MATCH(SamplingData[[#This Row],[Batch by Type (p)]],SelectedPrecincts[Batch Name], 0)))</f>
        <v/>
      </c>
      <c r="AJ396" s="100">
        <f>IF(COUNTIF(SelectedPrecincts[Batch Name],SamplingData[[#This Row],[Batch by Type (p)]]) &lt;&gt; 0, COUNTIF(SelectedPrecincts[Batch Name],SamplingData[[#This Row],[Batch by Type (p)]]), 0)</f>
        <v>0</v>
      </c>
    </row>
    <row r="397" spans="1:36" ht="15" customHeight="1" x14ac:dyDescent="0.35">
      <c r="A397" s="97" t="s">
        <v>610</v>
      </c>
      <c r="B397" s="97">
        <v>159</v>
      </c>
      <c r="C397" s="97">
        <v>99</v>
      </c>
      <c r="D397" s="92"/>
      <c r="E397" s="92"/>
      <c r="F397" s="92"/>
      <c r="G397" s="96"/>
      <c r="H397" s="96"/>
      <c r="I397" s="92"/>
      <c r="J397" s="92"/>
      <c r="K397" s="92"/>
      <c r="L397" s="92"/>
      <c r="M397" s="92"/>
      <c r="N397" s="97">
        <v>0</v>
      </c>
      <c r="O397" s="97">
        <v>17</v>
      </c>
      <c r="P397" s="98">
        <f>SUM(SamplingData[[#This Row],[Winning Candidate]:[Under Votes]])</f>
        <v>275</v>
      </c>
      <c r="Q397" s="99">
        <f>IF(AND(SamplingData[[#This Row],[Total]]&lt;&gt; 0, NOT(ISBLANK(SamplingData[[#This Row],[Losing Candidate]]))),(SamplingData[[#This Row],[Total]]+SamplingData[[#This Row],[Winning Candidate]]-SamplingData[[#This Row],[Losing Candidate]])/(SamplingData[[#Totals],[Winning Candidate]]-SamplingData[[#Totals],[Losing Candidate]]), 0)</f>
        <v>1.4216601595654388E-2</v>
      </c>
      <c r="R397" s="99">
        <f>IF(AND(SamplingData[[#This Row],[Total]]&lt;&gt; 0, NOT(ISBLANK(SamplingData[[#This Row],[Candidate 3]]))),(SamplingData[[#This Row],[Total]]+SamplingData[[#This Row],[Winning Candidate]]-SamplingData[[#This Row],[Candidate 3]])/(SamplingData[[#Totals],[Winning Candidate]]-SamplingData[[#Totals],[Candidate 3]]), 0)</f>
        <v>0</v>
      </c>
      <c r="S397" s="99">
        <f>IF(AND(SamplingData[[#This Row],[Total]]&lt;&gt; 0, NOT(ISBLANK(SamplingData[[#This Row],[Candidate 4]]))),(SamplingData[[#This Row],[Total]]+SamplingData[[#This Row],[Winning Candidate]]-SamplingData[[#This Row],[Candidate 4]])/(SamplingData[[#Totals],[Winning Candidate]]-SamplingData[[#Totals],[Candidate 4]]), 0)</f>
        <v>0</v>
      </c>
      <c r="T397" s="99">
        <f>IF(AND(SamplingData[[#This Row],[Total]]&lt;&gt; 0, NOT(ISBLANK(SamplingData[[#This Row],[Candidate 5]]))),(SamplingData[[#This Row],[Total]]+SamplingData[[#This Row],[Winning Candidate]]-SamplingData[[#This Row],[Candidate 5]])/(SamplingData[[#Totals],[Winning Candidate]]-SamplingData[[#Totals],[Candidate 5]]), 0)</f>
        <v>0</v>
      </c>
      <c r="U397" s="99">
        <f>IF(AND(SamplingData[[#This Row],[Total]]&lt;&gt; 0, NOT(ISBLANK(SamplingData[[#This Row],[Candidate 6]]))),(SamplingData[[#This Row],[Total]]+SamplingData[[#This Row],[Losing Candidate]]-SamplingData[[#This Row],[Candidate 6]])/(SamplingData[[#Totals],[Winning Candidate]]-SamplingData[[#Totals],[Candidate 6]]), 0)</f>
        <v>0</v>
      </c>
      <c r="V397" s="99">
        <f>IF(AND(SamplingData[[#This Row],[Total]]&lt;&gt; 0, NOT(ISBLANK(SamplingData[[#This Row],[Candidate 7]]))),(SamplingData[[#This Row],[Total]]+SamplingData[[#This Row],[Winning Candidate]]-SamplingData[[#This Row],[Candidate 7]])/(SamplingData[[#Totals],[Winning Candidate]]-SamplingData[[#Totals],[Candidate 7]]), 0)</f>
        <v>0</v>
      </c>
      <c r="W397" s="99">
        <f>IF(AND(SamplingData[[#This Row],[Total]]&lt;&gt; 0, NOT(ISBLANK(SamplingData[[#This Row],[Candidate 8]]))),(SamplingData[[#This Row],[Total]]+SamplingData[[#This Row],[Winning Candidate]]-SamplingData[[#This Row],[Candidate 8]])/(SamplingData[[#Totals],[Winning Candidate]]-SamplingData[[#Totals],[Candidate 8]]), 0)</f>
        <v>0</v>
      </c>
      <c r="X3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7" s="99">
        <f>MAX(SamplingData[[#This Row],[Error Bound (up) - Max. possible relative overstatement - Losing Candidate]:[Error Bound (up) - Max. possible relative overstatement - Candidate 12]])</f>
        <v>1.4216601595654388E-2</v>
      </c>
      <c r="AC397" s="99">
        <f>IF(SamplingData[[#This Row],[Max Error Bound (up)]] = 0,0,SamplingData[[#This Row],[Max Error Bound (up)]]/SamplingData[[#Totals],[Max Error Bound (up)]])</f>
        <v>7.6116988402952072E-4</v>
      </c>
      <c r="AD397" s="103">
        <f>SUM($AC$5:AC397)</f>
        <v>0.35100156323844905</v>
      </c>
      <c r="AE397" s="99" t="str" cm="1">
        <f t="array" ref="AE397">IF(SamplingData[[#This Row],[up/U Selection Probability]] = 0, "Zero", TEXT(SamplingData[[#This Row],[Lower Range]], REPT("0",LEN('General Info'!$B$42))) &amp; " - " &amp; TEXT(SamplingData[[#This Row],[Upper Range]], REPT("0",LEN('General Info'!$B$42))))</f>
        <v>350240 - 351001</v>
      </c>
      <c r="AF397" s="99">
        <f>SamplingData[[#This Row],[Upper Range]]-SamplingData[[#This Row],[Span]]</f>
        <v>350240.3933544195</v>
      </c>
      <c r="AG397" s="99">
        <f>IF(ISNUMBER('General Info'!$B$42), ((SamplingData[[#This Row],[up/U Selection Probability]]) * 'General Info'!$B$44) - 1, 0)</f>
        <v>760.16988402952074</v>
      </c>
      <c r="AH397" s="99">
        <f>IF(ISNUMBER('General Info'!$B$42), (SamplingData[[#This Row],[Running (cumulative) sum]] * ('General Info'!$B$42 -'General Info'!$B$43 + 1)) + 'General Info'!$B$43 - 1, 0)</f>
        <v>351000.56323844905</v>
      </c>
      <c r="AI397" s="99" t="str">
        <f>IF(ISERROR(MATCH(SamplingData[[#This Row],[Batch by Type (p)]],SelectedPrecincts[Batch Name], 0)), "", INDEX(SelectedPrecincts[Draw], MATCH(SamplingData[[#This Row],[Batch by Type (p)]],SelectedPrecincts[Batch Name], 0)))</f>
        <v/>
      </c>
      <c r="AJ397" s="100">
        <f>IF(COUNTIF(SelectedPrecincts[Batch Name],SamplingData[[#This Row],[Batch by Type (p)]]) &lt;&gt; 0, COUNTIF(SelectedPrecincts[Batch Name],SamplingData[[#This Row],[Batch by Type (p)]]), 0)</f>
        <v>0</v>
      </c>
    </row>
    <row r="398" spans="1:36" ht="15" customHeight="1" x14ac:dyDescent="0.35">
      <c r="A398" s="97" t="s">
        <v>611</v>
      </c>
      <c r="B398" s="97">
        <v>0</v>
      </c>
      <c r="C398" s="97">
        <v>0</v>
      </c>
      <c r="D398" s="92"/>
      <c r="E398" s="92"/>
      <c r="F398" s="92"/>
      <c r="G398" s="96"/>
      <c r="H398" s="96"/>
      <c r="I398" s="92"/>
      <c r="J398" s="92"/>
      <c r="K398" s="92"/>
      <c r="L398" s="92"/>
      <c r="M398" s="92"/>
      <c r="N398" s="97">
        <v>0</v>
      </c>
      <c r="O398" s="97">
        <v>0</v>
      </c>
      <c r="P398" s="98">
        <f>SUM(SamplingData[[#This Row],[Winning Candidate]:[Under Votes]])</f>
        <v>0</v>
      </c>
      <c r="Q398" s="99">
        <f>IF(AND(SamplingData[[#This Row],[Total]]&lt;&gt; 0, NOT(ISBLANK(SamplingData[[#This Row],[Losing Candidate]]))),(SamplingData[[#This Row],[Total]]+SamplingData[[#This Row],[Winning Candidate]]-SamplingData[[#This Row],[Losing Candidate]])/(SamplingData[[#Totals],[Winning Candidate]]-SamplingData[[#Totals],[Losing Candidate]]), 0)</f>
        <v>0</v>
      </c>
      <c r="R398" s="99">
        <f>IF(AND(SamplingData[[#This Row],[Total]]&lt;&gt; 0, NOT(ISBLANK(SamplingData[[#This Row],[Candidate 3]]))),(SamplingData[[#This Row],[Total]]+SamplingData[[#This Row],[Winning Candidate]]-SamplingData[[#This Row],[Candidate 3]])/(SamplingData[[#Totals],[Winning Candidate]]-SamplingData[[#Totals],[Candidate 3]]), 0)</f>
        <v>0</v>
      </c>
      <c r="S398" s="99">
        <f>IF(AND(SamplingData[[#This Row],[Total]]&lt;&gt; 0, NOT(ISBLANK(SamplingData[[#This Row],[Candidate 4]]))),(SamplingData[[#This Row],[Total]]+SamplingData[[#This Row],[Winning Candidate]]-SamplingData[[#This Row],[Candidate 4]])/(SamplingData[[#Totals],[Winning Candidate]]-SamplingData[[#Totals],[Candidate 4]]), 0)</f>
        <v>0</v>
      </c>
      <c r="T398" s="99">
        <f>IF(AND(SamplingData[[#This Row],[Total]]&lt;&gt; 0, NOT(ISBLANK(SamplingData[[#This Row],[Candidate 5]]))),(SamplingData[[#This Row],[Total]]+SamplingData[[#This Row],[Winning Candidate]]-SamplingData[[#This Row],[Candidate 5]])/(SamplingData[[#Totals],[Winning Candidate]]-SamplingData[[#Totals],[Candidate 5]]), 0)</f>
        <v>0</v>
      </c>
      <c r="U398" s="99">
        <f>IF(AND(SamplingData[[#This Row],[Total]]&lt;&gt; 0, NOT(ISBLANK(SamplingData[[#This Row],[Candidate 6]]))),(SamplingData[[#This Row],[Total]]+SamplingData[[#This Row],[Losing Candidate]]-SamplingData[[#This Row],[Candidate 6]])/(SamplingData[[#Totals],[Winning Candidate]]-SamplingData[[#Totals],[Candidate 6]]), 0)</f>
        <v>0</v>
      </c>
      <c r="V398" s="99">
        <f>IF(AND(SamplingData[[#This Row],[Total]]&lt;&gt; 0, NOT(ISBLANK(SamplingData[[#This Row],[Candidate 7]]))),(SamplingData[[#This Row],[Total]]+SamplingData[[#This Row],[Winning Candidate]]-SamplingData[[#This Row],[Candidate 7]])/(SamplingData[[#Totals],[Winning Candidate]]-SamplingData[[#Totals],[Candidate 7]]), 0)</f>
        <v>0</v>
      </c>
      <c r="W398" s="99">
        <f>IF(AND(SamplingData[[#This Row],[Total]]&lt;&gt; 0, NOT(ISBLANK(SamplingData[[#This Row],[Candidate 8]]))),(SamplingData[[#This Row],[Total]]+SamplingData[[#This Row],[Winning Candidate]]-SamplingData[[#This Row],[Candidate 8]])/(SamplingData[[#Totals],[Winning Candidate]]-SamplingData[[#Totals],[Candidate 8]]), 0)</f>
        <v>0</v>
      </c>
      <c r="X3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8" s="99">
        <f>MAX(SamplingData[[#This Row],[Error Bound (up) - Max. possible relative overstatement - Losing Candidate]:[Error Bound (up) - Max. possible relative overstatement - Candidate 12]])</f>
        <v>0</v>
      </c>
      <c r="AC398" s="99">
        <f>IF(SamplingData[[#This Row],[Max Error Bound (up)]] = 0,0,SamplingData[[#This Row],[Max Error Bound (up)]]/SamplingData[[#Totals],[Max Error Bound (up)]])</f>
        <v>0</v>
      </c>
      <c r="AD398" s="103">
        <f>SUM($AC$5:AC398)</f>
        <v>0.35100156323844905</v>
      </c>
      <c r="AE398" s="99" t="str" cm="1">
        <f t="array" ref="AE398">IF(SamplingData[[#This Row],[up/U Selection Probability]] = 0, "Zero", TEXT(SamplingData[[#This Row],[Lower Range]], REPT("0",LEN('General Info'!$B$42))) &amp; " - " &amp; TEXT(SamplingData[[#This Row],[Upper Range]], REPT("0",LEN('General Info'!$B$42))))</f>
        <v>Zero</v>
      </c>
      <c r="AF398" s="99">
        <f>SamplingData[[#This Row],[Upper Range]]-SamplingData[[#This Row],[Span]]</f>
        <v>351001.56323844905</v>
      </c>
      <c r="AG398" s="99">
        <f>IF(ISNUMBER('General Info'!$B$42), ((SamplingData[[#This Row],[up/U Selection Probability]]) * 'General Info'!$B$44) - 1, 0)</f>
        <v>-1</v>
      </c>
      <c r="AH398" s="99">
        <f>IF(ISNUMBER('General Info'!$B$42), (SamplingData[[#This Row],[Running (cumulative) sum]] * ('General Info'!$B$42 -'General Info'!$B$43 + 1)) + 'General Info'!$B$43 - 1, 0)</f>
        <v>351000.56323844905</v>
      </c>
      <c r="AI398" s="99" t="str">
        <f>IF(ISERROR(MATCH(SamplingData[[#This Row],[Batch by Type (p)]],SelectedPrecincts[Batch Name], 0)), "", INDEX(SelectedPrecincts[Draw], MATCH(SamplingData[[#This Row],[Batch by Type (p)]],SelectedPrecincts[Batch Name], 0)))</f>
        <v/>
      </c>
      <c r="AJ398" s="100">
        <f>IF(COUNTIF(SelectedPrecincts[Batch Name],SamplingData[[#This Row],[Batch by Type (p)]]) &lt;&gt; 0, COUNTIF(SelectedPrecincts[Batch Name],SamplingData[[#This Row],[Batch by Type (p)]]), 0)</f>
        <v>0</v>
      </c>
    </row>
    <row r="399" spans="1:36" ht="15" customHeight="1" x14ac:dyDescent="0.35">
      <c r="A399" s="97" t="s">
        <v>612</v>
      </c>
      <c r="B399" s="97">
        <v>18</v>
      </c>
      <c r="C399" s="97">
        <v>9</v>
      </c>
      <c r="D399" s="92"/>
      <c r="E399" s="92"/>
      <c r="F399" s="92"/>
      <c r="G399" s="96"/>
      <c r="H399" s="96"/>
      <c r="I399" s="92"/>
      <c r="J399" s="92"/>
      <c r="K399" s="92"/>
      <c r="L399" s="92"/>
      <c r="M399" s="92"/>
      <c r="N399" s="97">
        <v>0</v>
      </c>
      <c r="O399" s="97">
        <v>1</v>
      </c>
      <c r="P399" s="98">
        <f>SUM(SamplingData[[#This Row],[Winning Candidate]:[Under Votes]])</f>
        <v>28</v>
      </c>
      <c r="Q399" s="99">
        <f>IF(AND(SamplingData[[#This Row],[Total]]&lt;&gt; 0, NOT(ISBLANK(SamplingData[[#This Row],[Losing Candidate]]))),(SamplingData[[#This Row],[Total]]+SamplingData[[#This Row],[Winning Candidate]]-SamplingData[[#This Row],[Losing Candidate]])/(SamplingData[[#Totals],[Winning Candidate]]-SamplingData[[#Totals],[Losing Candidate]]), 0)</f>
        <v>1.5701918180274995E-3</v>
      </c>
      <c r="R399" s="99">
        <f>IF(AND(SamplingData[[#This Row],[Total]]&lt;&gt; 0, NOT(ISBLANK(SamplingData[[#This Row],[Candidate 3]]))),(SamplingData[[#This Row],[Total]]+SamplingData[[#This Row],[Winning Candidate]]-SamplingData[[#This Row],[Candidate 3]])/(SamplingData[[#Totals],[Winning Candidate]]-SamplingData[[#Totals],[Candidate 3]]), 0)</f>
        <v>0</v>
      </c>
      <c r="S399" s="99">
        <f>IF(AND(SamplingData[[#This Row],[Total]]&lt;&gt; 0, NOT(ISBLANK(SamplingData[[#This Row],[Candidate 4]]))),(SamplingData[[#This Row],[Total]]+SamplingData[[#This Row],[Winning Candidate]]-SamplingData[[#This Row],[Candidate 4]])/(SamplingData[[#Totals],[Winning Candidate]]-SamplingData[[#Totals],[Candidate 4]]), 0)</f>
        <v>0</v>
      </c>
      <c r="T399" s="99">
        <f>IF(AND(SamplingData[[#This Row],[Total]]&lt;&gt; 0, NOT(ISBLANK(SamplingData[[#This Row],[Candidate 5]]))),(SamplingData[[#This Row],[Total]]+SamplingData[[#This Row],[Winning Candidate]]-SamplingData[[#This Row],[Candidate 5]])/(SamplingData[[#Totals],[Winning Candidate]]-SamplingData[[#Totals],[Candidate 5]]), 0)</f>
        <v>0</v>
      </c>
      <c r="U399" s="99">
        <f>IF(AND(SamplingData[[#This Row],[Total]]&lt;&gt; 0, NOT(ISBLANK(SamplingData[[#This Row],[Candidate 6]]))),(SamplingData[[#This Row],[Total]]+SamplingData[[#This Row],[Losing Candidate]]-SamplingData[[#This Row],[Candidate 6]])/(SamplingData[[#Totals],[Winning Candidate]]-SamplingData[[#Totals],[Candidate 6]]), 0)</f>
        <v>0</v>
      </c>
      <c r="V399" s="99">
        <f>IF(AND(SamplingData[[#This Row],[Total]]&lt;&gt; 0, NOT(ISBLANK(SamplingData[[#This Row],[Candidate 7]]))),(SamplingData[[#This Row],[Total]]+SamplingData[[#This Row],[Winning Candidate]]-SamplingData[[#This Row],[Candidate 7]])/(SamplingData[[#Totals],[Winning Candidate]]-SamplingData[[#Totals],[Candidate 7]]), 0)</f>
        <v>0</v>
      </c>
      <c r="W399" s="99">
        <f>IF(AND(SamplingData[[#This Row],[Total]]&lt;&gt; 0, NOT(ISBLANK(SamplingData[[#This Row],[Candidate 8]]))),(SamplingData[[#This Row],[Total]]+SamplingData[[#This Row],[Winning Candidate]]-SamplingData[[#This Row],[Candidate 8]])/(SamplingData[[#Totals],[Winning Candidate]]-SamplingData[[#Totals],[Candidate 8]]), 0)</f>
        <v>0</v>
      </c>
      <c r="X3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9" s="99">
        <f>MAX(SamplingData[[#This Row],[Error Bound (up) - Max. possible relative overstatement - Losing Candidate]:[Error Bound (up) - Max. possible relative overstatement - Candidate 12]])</f>
        <v>1.5701918180274995E-3</v>
      </c>
      <c r="AC399" s="99">
        <f>IF(SamplingData[[#This Row],[Max Error Bound (up)]] = 0,0,SamplingData[[#This Row],[Max Error Bound (up)]]/SamplingData[[#Totals],[Max Error Bound (up)]])</f>
        <v>8.4069509579379897E-5</v>
      </c>
      <c r="AD399" s="103">
        <f>SUM($AC$5:AC399)</f>
        <v>0.35108563274802845</v>
      </c>
      <c r="AE399" s="99" t="str" cm="1">
        <f t="array" ref="AE399">IF(SamplingData[[#This Row],[up/U Selection Probability]] = 0, "Zero", TEXT(SamplingData[[#This Row],[Lower Range]], REPT("0",LEN('General Info'!$B$42))) &amp; " - " &amp; TEXT(SamplingData[[#This Row],[Upper Range]], REPT("0",LEN('General Info'!$B$42))))</f>
        <v>351002 - 351085</v>
      </c>
      <c r="AF399" s="99">
        <f>SamplingData[[#This Row],[Upper Range]]-SamplingData[[#This Row],[Span]]</f>
        <v>351001.56323844905</v>
      </c>
      <c r="AG399" s="99">
        <f>IF(ISNUMBER('General Info'!$B$42), ((SamplingData[[#This Row],[up/U Selection Probability]]) * 'General Info'!$B$44) - 1, 0)</f>
        <v>83.069509579379897</v>
      </c>
      <c r="AH399" s="99">
        <f>IF(ISNUMBER('General Info'!$B$42), (SamplingData[[#This Row],[Running (cumulative) sum]] * ('General Info'!$B$42 -'General Info'!$B$43 + 1)) + 'General Info'!$B$43 - 1, 0)</f>
        <v>351084.63274802844</v>
      </c>
      <c r="AI399" s="99" t="str">
        <f>IF(ISERROR(MATCH(SamplingData[[#This Row],[Batch by Type (p)]],SelectedPrecincts[Batch Name], 0)), "", INDEX(SelectedPrecincts[Draw], MATCH(SamplingData[[#This Row],[Batch by Type (p)]],SelectedPrecincts[Batch Name], 0)))</f>
        <v/>
      </c>
      <c r="AJ399" s="100">
        <f>IF(COUNTIF(SelectedPrecincts[Batch Name],SamplingData[[#This Row],[Batch by Type (p)]]) &lt;&gt; 0, COUNTIF(SelectedPrecincts[Batch Name],SamplingData[[#This Row],[Batch by Type (p)]]), 0)</f>
        <v>0</v>
      </c>
    </row>
    <row r="400" spans="1:36" ht="15" customHeight="1" x14ac:dyDescent="0.35">
      <c r="A400" s="97" t="s">
        <v>613</v>
      </c>
      <c r="B400" s="97">
        <v>87</v>
      </c>
      <c r="C400" s="97">
        <v>215</v>
      </c>
      <c r="D400" s="92"/>
      <c r="E400" s="92"/>
      <c r="F400" s="92"/>
      <c r="G400" s="96"/>
      <c r="H400" s="96"/>
      <c r="I400" s="92"/>
      <c r="J400" s="92"/>
      <c r="K400" s="92"/>
      <c r="L400" s="92"/>
      <c r="M400" s="92"/>
      <c r="N400" s="97">
        <v>0</v>
      </c>
      <c r="O400" s="97">
        <v>22</v>
      </c>
      <c r="P400" s="98">
        <f>SUM(SamplingData[[#This Row],[Winning Candidate]:[Under Votes]])</f>
        <v>324</v>
      </c>
      <c r="Q400" s="99">
        <f>IF(AND(SamplingData[[#This Row],[Total]]&lt;&gt; 0, NOT(ISBLANK(SamplingData[[#This Row],[Losing Candidate]]))),(SamplingData[[#This Row],[Total]]+SamplingData[[#This Row],[Winning Candidate]]-SamplingData[[#This Row],[Losing Candidate]])/(SamplingData[[#Totals],[Winning Candidate]]-SamplingData[[#Totals],[Losing Candidate]]), 0)</f>
        <v>8.3177728738754036E-3</v>
      </c>
      <c r="R400" s="99">
        <f>IF(AND(SamplingData[[#This Row],[Total]]&lt;&gt; 0, NOT(ISBLANK(SamplingData[[#This Row],[Candidate 3]]))),(SamplingData[[#This Row],[Total]]+SamplingData[[#This Row],[Winning Candidate]]-SamplingData[[#This Row],[Candidate 3]])/(SamplingData[[#Totals],[Winning Candidate]]-SamplingData[[#Totals],[Candidate 3]]), 0)</f>
        <v>0</v>
      </c>
      <c r="S400" s="99">
        <f>IF(AND(SamplingData[[#This Row],[Total]]&lt;&gt; 0, NOT(ISBLANK(SamplingData[[#This Row],[Candidate 4]]))),(SamplingData[[#This Row],[Total]]+SamplingData[[#This Row],[Winning Candidate]]-SamplingData[[#This Row],[Candidate 4]])/(SamplingData[[#Totals],[Winning Candidate]]-SamplingData[[#Totals],[Candidate 4]]), 0)</f>
        <v>0</v>
      </c>
      <c r="T400" s="99">
        <f>IF(AND(SamplingData[[#This Row],[Total]]&lt;&gt; 0, NOT(ISBLANK(SamplingData[[#This Row],[Candidate 5]]))),(SamplingData[[#This Row],[Total]]+SamplingData[[#This Row],[Winning Candidate]]-SamplingData[[#This Row],[Candidate 5]])/(SamplingData[[#Totals],[Winning Candidate]]-SamplingData[[#Totals],[Candidate 5]]), 0)</f>
        <v>0</v>
      </c>
      <c r="U400" s="99">
        <f>IF(AND(SamplingData[[#This Row],[Total]]&lt;&gt; 0, NOT(ISBLANK(SamplingData[[#This Row],[Candidate 6]]))),(SamplingData[[#This Row],[Total]]+SamplingData[[#This Row],[Losing Candidate]]-SamplingData[[#This Row],[Candidate 6]])/(SamplingData[[#Totals],[Winning Candidate]]-SamplingData[[#Totals],[Candidate 6]]), 0)</f>
        <v>0</v>
      </c>
      <c r="V400" s="99">
        <f>IF(AND(SamplingData[[#This Row],[Total]]&lt;&gt; 0, NOT(ISBLANK(SamplingData[[#This Row],[Candidate 7]]))),(SamplingData[[#This Row],[Total]]+SamplingData[[#This Row],[Winning Candidate]]-SamplingData[[#This Row],[Candidate 7]])/(SamplingData[[#Totals],[Winning Candidate]]-SamplingData[[#Totals],[Candidate 7]]), 0)</f>
        <v>0</v>
      </c>
      <c r="W400" s="99">
        <f>IF(AND(SamplingData[[#This Row],[Total]]&lt;&gt; 0, NOT(ISBLANK(SamplingData[[#This Row],[Candidate 8]]))),(SamplingData[[#This Row],[Total]]+SamplingData[[#This Row],[Winning Candidate]]-SamplingData[[#This Row],[Candidate 8]])/(SamplingData[[#Totals],[Winning Candidate]]-SamplingData[[#Totals],[Candidate 8]]), 0)</f>
        <v>0</v>
      </c>
      <c r="X4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0" s="99">
        <f>MAX(SamplingData[[#This Row],[Error Bound (up) - Max. possible relative overstatement - Losing Candidate]:[Error Bound (up) - Max. possible relative overstatement - Candidate 12]])</f>
        <v>8.3177728738754036E-3</v>
      </c>
      <c r="AC400" s="99">
        <f>IF(SamplingData[[#This Row],[Max Error Bound (up)]] = 0,0,SamplingData[[#This Row],[Max Error Bound (up)]]/SamplingData[[#Totals],[Max Error Bound (up)]])</f>
        <v>4.4534118587995843E-4</v>
      </c>
      <c r="AD400" s="103">
        <f>SUM($AC$5:AC400)</f>
        <v>0.35153097393390842</v>
      </c>
      <c r="AE400" s="99" t="str" cm="1">
        <f t="array" ref="AE400">IF(SamplingData[[#This Row],[up/U Selection Probability]] = 0, "Zero", TEXT(SamplingData[[#This Row],[Lower Range]], REPT("0",LEN('General Info'!$B$42))) &amp; " - " &amp; TEXT(SamplingData[[#This Row],[Upper Range]], REPT("0",LEN('General Info'!$B$42))))</f>
        <v>351086 - 351530</v>
      </c>
      <c r="AF400" s="99">
        <f>SamplingData[[#This Row],[Upper Range]]-SamplingData[[#This Row],[Span]]</f>
        <v>351085.6327480285</v>
      </c>
      <c r="AG400" s="99">
        <f>IF(ISNUMBER('General Info'!$B$42), ((SamplingData[[#This Row],[up/U Selection Probability]]) * 'General Info'!$B$44) - 1, 0)</f>
        <v>444.3411858799584</v>
      </c>
      <c r="AH400" s="99">
        <f>IF(ISNUMBER('General Info'!$B$42), (SamplingData[[#This Row],[Running (cumulative) sum]] * ('General Info'!$B$42 -'General Info'!$B$43 + 1)) + 'General Info'!$B$43 - 1, 0)</f>
        <v>351529.97393390845</v>
      </c>
      <c r="AI400" s="99" t="str">
        <f>IF(ISERROR(MATCH(SamplingData[[#This Row],[Batch by Type (p)]],SelectedPrecincts[Batch Name], 0)), "", INDEX(SelectedPrecincts[Draw], MATCH(SamplingData[[#This Row],[Batch by Type (p)]],SelectedPrecincts[Batch Name], 0)))</f>
        <v/>
      </c>
      <c r="AJ400" s="100">
        <f>IF(COUNTIF(SelectedPrecincts[Batch Name],SamplingData[[#This Row],[Batch by Type (p)]]) &lt;&gt; 0, COUNTIF(SelectedPrecincts[Batch Name],SamplingData[[#This Row],[Batch by Type (p)]]), 0)</f>
        <v>0</v>
      </c>
    </row>
    <row r="401" spans="1:36" ht="15" customHeight="1" x14ac:dyDescent="0.35">
      <c r="A401" s="97" t="s">
        <v>614</v>
      </c>
      <c r="B401" s="97">
        <v>58</v>
      </c>
      <c r="C401" s="97">
        <v>224</v>
      </c>
      <c r="D401" s="92"/>
      <c r="E401" s="92"/>
      <c r="F401" s="92"/>
      <c r="G401" s="96"/>
      <c r="H401" s="96"/>
      <c r="I401" s="92"/>
      <c r="J401" s="92"/>
      <c r="K401" s="92"/>
      <c r="L401" s="92"/>
      <c r="M401" s="92"/>
      <c r="N401" s="97">
        <v>1</v>
      </c>
      <c r="O401" s="97">
        <v>18</v>
      </c>
      <c r="P401" s="98">
        <f>SUM(SamplingData[[#This Row],[Winning Candidate]:[Under Votes]])</f>
        <v>301</v>
      </c>
      <c r="Q401" s="99">
        <f>IF(AND(SamplingData[[#This Row],[Total]]&lt;&gt; 0, NOT(ISBLANK(SamplingData[[#This Row],[Losing Candidate]]))),(SamplingData[[#This Row],[Total]]+SamplingData[[#This Row],[Winning Candidate]]-SamplingData[[#This Row],[Losing Candidate]])/(SamplingData[[#Totals],[Winning Candidate]]-SamplingData[[#Totals],[Losing Candidate]]), 0)</f>
        <v>5.7290782549652012E-3</v>
      </c>
      <c r="R401" s="99">
        <f>IF(AND(SamplingData[[#This Row],[Total]]&lt;&gt; 0, NOT(ISBLANK(SamplingData[[#This Row],[Candidate 3]]))),(SamplingData[[#This Row],[Total]]+SamplingData[[#This Row],[Winning Candidate]]-SamplingData[[#This Row],[Candidate 3]])/(SamplingData[[#Totals],[Winning Candidate]]-SamplingData[[#Totals],[Candidate 3]]), 0)</f>
        <v>0</v>
      </c>
      <c r="S401" s="99">
        <f>IF(AND(SamplingData[[#This Row],[Total]]&lt;&gt; 0, NOT(ISBLANK(SamplingData[[#This Row],[Candidate 4]]))),(SamplingData[[#This Row],[Total]]+SamplingData[[#This Row],[Winning Candidate]]-SamplingData[[#This Row],[Candidate 4]])/(SamplingData[[#Totals],[Winning Candidate]]-SamplingData[[#Totals],[Candidate 4]]), 0)</f>
        <v>0</v>
      </c>
      <c r="T401" s="99">
        <f>IF(AND(SamplingData[[#This Row],[Total]]&lt;&gt; 0, NOT(ISBLANK(SamplingData[[#This Row],[Candidate 5]]))),(SamplingData[[#This Row],[Total]]+SamplingData[[#This Row],[Winning Candidate]]-SamplingData[[#This Row],[Candidate 5]])/(SamplingData[[#Totals],[Winning Candidate]]-SamplingData[[#Totals],[Candidate 5]]), 0)</f>
        <v>0</v>
      </c>
      <c r="U401" s="99">
        <f>IF(AND(SamplingData[[#This Row],[Total]]&lt;&gt; 0, NOT(ISBLANK(SamplingData[[#This Row],[Candidate 6]]))),(SamplingData[[#This Row],[Total]]+SamplingData[[#This Row],[Losing Candidate]]-SamplingData[[#This Row],[Candidate 6]])/(SamplingData[[#Totals],[Winning Candidate]]-SamplingData[[#Totals],[Candidate 6]]), 0)</f>
        <v>0</v>
      </c>
      <c r="V401" s="99">
        <f>IF(AND(SamplingData[[#This Row],[Total]]&lt;&gt; 0, NOT(ISBLANK(SamplingData[[#This Row],[Candidate 7]]))),(SamplingData[[#This Row],[Total]]+SamplingData[[#This Row],[Winning Candidate]]-SamplingData[[#This Row],[Candidate 7]])/(SamplingData[[#Totals],[Winning Candidate]]-SamplingData[[#Totals],[Candidate 7]]), 0)</f>
        <v>0</v>
      </c>
      <c r="W401" s="99">
        <f>IF(AND(SamplingData[[#This Row],[Total]]&lt;&gt; 0, NOT(ISBLANK(SamplingData[[#This Row],[Candidate 8]]))),(SamplingData[[#This Row],[Total]]+SamplingData[[#This Row],[Winning Candidate]]-SamplingData[[#This Row],[Candidate 8]])/(SamplingData[[#Totals],[Winning Candidate]]-SamplingData[[#Totals],[Candidate 8]]), 0)</f>
        <v>0</v>
      </c>
      <c r="X4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1" s="99">
        <f>MAX(SamplingData[[#This Row],[Error Bound (up) - Max. possible relative overstatement - Losing Candidate]:[Error Bound (up) - Max. possible relative overstatement - Candidate 12]])</f>
        <v>5.7290782549652012E-3</v>
      </c>
      <c r="AC401" s="99">
        <f>IF(SamplingData[[#This Row],[Max Error Bound (up)]] = 0,0,SamplingData[[#This Row],[Max Error Bound (up)]]/SamplingData[[#Totals],[Max Error Bound (up)]])</f>
        <v>3.0674010251935911E-4</v>
      </c>
      <c r="AD401" s="103">
        <f>SUM($AC$5:AC401)</f>
        <v>0.35183771403642777</v>
      </c>
      <c r="AE401" s="99" t="str" cm="1">
        <f t="array" ref="AE401">IF(SamplingData[[#This Row],[up/U Selection Probability]] = 0, "Zero", TEXT(SamplingData[[#This Row],[Lower Range]], REPT("0",LEN('General Info'!$B$42))) &amp; " - " &amp; TEXT(SamplingData[[#This Row],[Upper Range]], REPT("0",LEN('General Info'!$B$42))))</f>
        <v>351531 - 351837</v>
      </c>
      <c r="AF401" s="99">
        <f>SamplingData[[#This Row],[Upper Range]]-SamplingData[[#This Row],[Span]]</f>
        <v>351530.97393390845</v>
      </c>
      <c r="AG401" s="99">
        <f>IF(ISNUMBER('General Info'!$B$42), ((SamplingData[[#This Row],[up/U Selection Probability]]) * 'General Info'!$B$44) - 1, 0)</f>
        <v>305.74010251935908</v>
      </c>
      <c r="AH401" s="99">
        <f>IF(ISNUMBER('General Info'!$B$42), (SamplingData[[#This Row],[Running (cumulative) sum]] * ('General Info'!$B$42 -'General Info'!$B$43 + 1)) + 'General Info'!$B$43 - 1, 0)</f>
        <v>351836.71403642779</v>
      </c>
      <c r="AI401" s="99" t="str">
        <f>IF(ISERROR(MATCH(SamplingData[[#This Row],[Batch by Type (p)]],SelectedPrecincts[Batch Name], 0)), "", INDEX(SelectedPrecincts[Draw], MATCH(SamplingData[[#This Row],[Batch by Type (p)]],SelectedPrecincts[Batch Name], 0)))</f>
        <v/>
      </c>
      <c r="AJ401" s="100">
        <f>IF(COUNTIF(SelectedPrecincts[Batch Name],SamplingData[[#This Row],[Batch by Type (p)]]) &lt;&gt; 0, COUNTIF(SelectedPrecincts[Batch Name],SamplingData[[#This Row],[Batch by Type (p)]]), 0)</f>
        <v>0</v>
      </c>
    </row>
    <row r="402" spans="1:36" ht="15" customHeight="1" x14ac:dyDescent="0.35">
      <c r="A402" s="97" t="s">
        <v>615</v>
      </c>
      <c r="B402" s="97">
        <v>80</v>
      </c>
      <c r="C402" s="97">
        <v>110</v>
      </c>
      <c r="D402" s="92"/>
      <c r="E402" s="92"/>
      <c r="F402" s="92"/>
      <c r="G402" s="96"/>
      <c r="H402" s="96"/>
      <c r="I402" s="92"/>
      <c r="J402" s="92"/>
      <c r="K402" s="92"/>
      <c r="L402" s="92"/>
      <c r="M402" s="92"/>
      <c r="N402" s="97">
        <v>0</v>
      </c>
      <c r="O402" s="97">
        <v>5</v>
      </c>
      <c r="P402" s="98">
        <f>SUM(SamplingData[[#This Row],[Winning Candidate]:[Under Votes]])</f>
        <v>195</v>
      </c>
      <c r="Q402" s="99">
        <f>IF(AND(SamplingData[[#This Row],[Total]]&lt;&gt; 0, NOT(ISBLANK(SamplingData[[#This Row],[Losing Candidate]]))),(SamplingData[[#This Row],[Total]]+SamplingData[[#This Row],[Winning Candidate]]-SamplingData[[#This Row],[Losing Candidate]])/(SamplingData[[#Totals],[Winning Candidate]]-SamplingData[[#Totals],[Losing Candidate]]), 0)</f>
        <v>7.0022067560685788E-3</v>
      </c>
      <c r="R402" s="99">
        <f>IF(AND(SamplingData[[#This Row],[Total]]&lt;&gt; 0, NOT(ISBLANK(SamplingData[[#This Row],[Candidate 3]]))),(SamplingData[[#This Row],[Total]]+SamplingData[[#This Row],[Winning Candidate]]-SamplingData[[#This Row],[Candidate 3]])/(SamplingData[[#Totals],[Winning Candidate]]-SamplingData[[#Totals],[Candidate 3]]), 0)</f>
        <v>0</v>
      </c>
      <c r="S402" s="99">
        <f>IF(AND(SamplingData[[#This Row],[Total]]&lt;&gt; 0, NOT(ISBLANK(SamplingData[[#This Row],[Candidate 4]]))),(SamplingData[[#This Row],[Total]]+SamplingData[[#This Row],[Winning Candidate]]-SamplingData[[#This Row],[Candidate 4]])/(SamplingData[[#Totals],[Winning Candidate]]-SamplingData[[#Totals],[Candidate 4]]), 0)</f>
        <v>0</v>
      </c>
      <c r="T402" s="99">
        <f>IF(AND(SamplingData[[#This Row],[Total]]&lt;&gt; 0, NOT(ISBLANK(SamplingData[[#This Row],[Candidate 5]]))),(SamplingData[[#This Row],[Total]]+SamplingData[[#This Row],[Winning Candidate]]-SamplingData[[#This Row],[Candidate 5]])/(SamplingData[[#Totals],[Winning Candidate]]-SamplingData[[#Totals],[Candidate 5]]), 0)</f>
        <v>0</v>
      </c>
      <c r="U402" s="99">
        <f>IF(AND(SamplingData[[#This Row],[Total]]&lt;&gt; 0, NOT(ISBLANK(SamplingData[[#This Row],[Candidate 6]]))),(SamplingData[[#This Row],[Total]]+SamplingData[[#This Row],[Losing Candidate]]-SamplingData[[#This Row],[Candidate 6]])/(SamplingData[[#Totals],[Winning Candidate]]-SamplingData[[#Totals],[Candidate 6]]), 0)</f>
        <v>0</v>
      </c>
      <c r="V402" s="99">
        <f>IF(AND(SamplingData[[#This Row],[Total]]&lt;&gt; 0, NOT(ISBLANK(SamplingData[[#This Row],[Candidate 7]]))),(SamplingData[[#This Row],[Total]]+SamplingData[[#This Row],[Winning Candidate]]-SamplingData[[#This Row],[Candidate 7]])/(SamplingData[[#Totals],[Winning Candidate]]-SamplingData[[#Totals],[Candidate 7]]), 0)</f>
        <v>0</v>
      </c>
      <c r="W402" s="99">
        <f>IF(AND(SamplingData[[#This Row],[Total]]&lt;&gt; 0, NOT(ISBLANK(SamplingData[[#This Row],[Candidate 8]]))),(SamplingData[[#This Row],[Total]]+SamplingData[[#This Row],[Winning Candidate]]-SamplingData[[#This Row],[Candidate 8]])/(SamplingData[[#Totals],[Winning Candidate]]-SamplingData[[#Totals],[Candidate 8]]), 0)</f>
        <v>0</v>
      </c>
      <c r="X4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2" s="99">
        <f>MAX(SamplingData[[#This Row],[Error Bound (up) - Max. possible relative overstatement - Losing Candidate]:[Error Bound (up) - Max. possible relative overstatement - Candidate 12]])</f>
        <v>7.0022067560685788E-3</v>
      </c>
      <c r="AC402" s="99">
        <f>IF(SamplingData[[#This Row],[Max Error Bound (up)]] = 0,0,SamplingData[[#This Row],[Max Error Bound (up)]]/SamplingData[[#Totals],[Max Error Bound (up)]])</f>
        <v>3.749045697458833E-4</v>
      </c>
      <c r="AD402" s="103">
        <f>SUM($AC$5:AC402)</f>
        <v>0.35221261860617364</v>
      </c>
      <c r="AE402" s="99" t="str" cm="1">
        <f t="array" ref="AE402">IF(SamplingData[[#This Row],[up/U Selection Probability]] = 0, "Zero", TEXT(SamplingData[[#This Row],[Lower Range]], REPT("0",LEN('General Info'!$B$42))) &amp; " - " &amp; TEXT(SamplingData[[#This Row],[Upper Range]], REPT("0",LEN('General Info'!$B$42))))</f>
        <v>351838 - 352212</v>
      </c>
      <c r="AF402" s="99">
        <f>SamplingData[[#This Row],[Upper Range]]-SamplingData[[#This Row],[Span]]</f>
        <v>351837.71403642779</v>
      </c>
      <c r="AG402" s="99">
        <f>IF(ISNUMBER('General Info'!$B$42), ((SamplingData[[#This Row],[up/U Selection Probability]]) * 'General Info'!$B$44) - 1, 0)</f>
        <v>373.90456974588329</v>
      </c>
      <c r="AH402" s="99">
        <f>IF(ISNUMBER('General Info'!$B$42), (SamplingData[[#This Row],[Running (cumulative) sum]] * ('General Info'!$B$42 -'General Info'!$B$43 + 1)) + 'General Info'!$B$43 - 1, 0)</f>
        <v>352211.61860617367</v>
      </c>
      <c r="AI402" s="99" t="str">
        <f>IF(ISERROR(MATCH(SamplingData[[#This Row],[Batch by Type (p)]],SelectedPrecincts[Batch Name], 0)), "", INDEX(SelectedPrecincts[Draw], MATCH(SamplingData[[#This Row],[Batch by Type (p)]],SelectedPrecincts[Batch Name], 0)))</f>
        <v/>
      </c>
      <c r="AJ402" s="100">
        <f>IF(COUNTIF(SelectedPrecincts[Batch Name],SamplingData[[#This Row],[Batch by Type (p)]]) &lt;&gt; 0, COUNTIF(SelectedPrecincts[Batch Name],SamplingData[[#This Row],[Batch by Type (p)]]), 0)</f>
        <v>0</v>
      </c>
    </row>
    <row r="403" spans="1:36" ht="15" customHeight="1" x14ac:dyDescent="0.35">
      <c r="A403" s="97" t="s">
        <v>616</v>
      </c>
      <c r="B403" s="97">
        <v>77</v>
      </c>
      <c r="C403" s="97">
        <v>110</v>
      </c>
      <c r="D403" s="92"/>
      <c r="E403" s="92"/>
      <c r="F403" s="92"/>
      <c r="G403" s="96"/>
      <c r="H403" s="96"/>
      <c r="I403" s="92"/>
      <c r="J403" s="92"/>
      <c r="K403" s="92"/>
      <c r="L403" s="92"/>
      <c r="M403" s="92"/>
      <c r="N403" s="97">
        <v>0</v>
      </c>
      <c r="O403" s="97">
        <v>10</v>
      </c>
      <c r="P403" s="98">
        <f>SUM(SamplingData[[#This Row],[Winning Candidate]:[Under Votes]])</f>
        <v>197</v>
      </c>
      <c r="Q403" s="99">
        <f>IF(AND(SamplingData[[#This Row],[Total]]&lt;&gt; 0, NOT(ISBLANK(SamplingData[[#This Row],[Losing Candidate]]))),(SamplingData[[#This Row],[Total]]+SamplingData[[#This Row],[Winning Candidate]]-SamplingData[[#This Row],[Losing Candidate]])/(SamplingData[[#Totals],[Winning Candidate]]-SamplingData[[#Totals],[Losing Candidate]]), 0)</f>
        <v>6.9597691393651333E-3</v>
      </c>
      <c r="R403" s="99">
        <f>IF(AND(SamplingData[[#This Row],[Total]]&lt;&gt; 0, NOT(ISBLANK(SamplingData[[#This Row],[Candidate 3]]))),(SamplingData[[#This Row],[Total]]+SamplingData[[#This Row],[Winning Candidate]]-SamplingData[[#This Row],[Candidate 3]])/(SamplingData[[#Totals],[Winning Candidate]]-SamplingData[[#Totals],[Candidate 3]]), 0)</f>
        <v>0</v>
      </c>
      <c r="S403" s="99">
        <f>IF(AND(SamplingData[[#This Row],[Total]]&lt;&gt; 0, NOT(ISBLANK(SamplingData[[#This Row],[Candidate 4]]))),(SamplingData[[#This Row],[Total]]+SamplingData[[#This Row],[Winning Candidate]]-SamplingData[[#This Row],[Candidate 4]])/(SamplingData[[#Totals],[Winning Candidate]]-SamplingData[[#Totals],[Candidate 4]]), 0)</f>
        <v>0</v>
      </c>
      <c r="T403" s="99">
        <f>IF(AND(SamplingData[[#This Row],[Total]]&lt;&gt; 0, NOT(ISBLANK(SamplingData[[#This Row],[Candidate 5]]))),(SamplingData[[#This Row],[Total]]+SamplingData[[#This Row],[Winning Candidate]]-SamplingData[[#This Row],[Candidate 5]])/(SamplingData[[#Totals],[Winning Candidate]]-SamplingData[[#Totals],[Candidate 5]]), 0)</f>
        <v>0</v>
      </c>
      <c r="U403" s="99">
        <f>IF(AND(SamplingData[[#This Row],[Total]]&lt;&gt; 0, NOT(ISBLANK(SamplingData[[#This Row],[Candidate 6]]))),(SamplingData[[#This Row],[Total]]+SamplingData[[#This Row],[Losing Candidate]]-SamplingData[[#This Row],[Candidate 6]])/(SamplingData[[#Totals],[Winning Candidate]]-SamplingData[[#Totals],[Candidate 6]]), 0)</f>
        <v>0</v>
      </c>
      <c r="V403" s="99">
        <f>IF(AND(SamplingData[[#This Row],[Total]]&lt;&gt; 0, NOT(ISBLANK(SamplingData[[#This Row],[Candidate 7]]))),(SamplingData[[#This Row],[Total]]+SamplingData[[#This Row],[Winning Candidate]]-SamplingData[[#This Row],[Candidate 7]])/(SamplingData[[#Totals],[Winning Candidate]]-SamplingData[[#Totals],[Candidate 7]]), 0)</f>
        <v>0</v>
      </c>
      <c r="W403" s="99">
        <f>IF(AND(SamplingData[[#This Row],[Total]]&lt;&gt; 0, NOT(ISBLANK(SamplingData[[#This Row],[Candidate 8]]))),(SamplingData[[#This Row],[Total]]+SamplingData[[#This Row],[Winning Candidate]]-SamplingData[[#This Row],[Candidate 8]])/(SamplingData[[#Totals],[Winning Candidate]]-SamplingData[[#Totals],[Candidate 8]]), 0)</f>
        <v>0</v>
      </c>
      <c r="X4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3" s="99">
        <f>MAX(SamplingData[[#This Row],[Error Bound (up) - Max. possible relative overstatement - Losing Candidate]:[Error Bound (up) - Max. possible relative overstatement - Candidate 12]])</f>
        <v>6.9597691393651333E-3</v>
      </c>
      <c r="AC403" s="99">
        <f>IF(SamplingData[[#This Row],[Max Error Bound (up)]] = 0,0,SamplingData[[#This Row],[Max Error Bound (up)]]/SamplingData[[#Totals],[Max Error Bound (up)]])</f>
        <v>3.7263242083833252E-4</v>
      </c>
      <c r="AD403" s="103">
        <f>SUM($AC$5:AC403)</f>
        <v>0.35258525102701199</v>
      </c>
      <c r="AE403" s="99" t="str" cm="1">
        <f t="array" ref="AE403">IF(SamplingData[[#This Row],[up/U Selection Probability]] = 0, "Zero", TEXT(SamplingData[[#This Row],[Lower Range]], REPT("0",LEN('General Info'!$B$42))) &amp; " - " &amp; TEXT(SamplingData[[#This Row],[Upper Range]], REPT("0",LEN('General Info'!$B$42))))</f>
        <v>352213 - 352584</v>
      </c>
      <c r="AF403" s="99">
        <f>SamplingData[[#This Row],[Upper Range]]-SamplingData[[#This Row],[Span]]</f>
        <v>352212.61860617367</v>
      </c>
      <c r="AG403" s="99">
        <f>IF(ISNUMBER('General Info'!$B$42), ((SamplingData[[#This Row],[up/U Selection Probability]]) * 'General Info'!$B$44) - 1, 0)</f>
        <v>371.63242083833251</v>
      </c>
      <c r="AH403" s="99">
        <f>IF(ISNUMBER('General Info'!$B$42), (SamplingData[[#This Row],[Running (cumulative) sum]] * ('General Info'!$B$42 -'General Info'!$B$43 + 1)) + 'General Info'!$B$43 - 1, 0)</f>
        <v>352584.25102701201</v>
      </c>
      <c r="AI403" s="99" t="str">
        <f>IF(ISERROR(MATCH(SamplingData[[#This Row],[Batch by Type (p)]],SelectedPrecincts[Batch Name], 0)), "", INDEX(SelectedPrecincts[Draw], MATCH(SamplingData[[#This Row],[Batch by Type (p)]],SelectedPrecincts[Batch Name], 0)))</f>
        <v/>
      </c>
      <c r="AJ403" s="100">
        <f>IF(COUNTIF(SelectedPrecincts[Batch Name],SamplingData[[#This Row],[Batch by Type (p)]]) &lt;&gt; 0, COUNTIF(SelectedPrecincts[Batch Name],SamplingData[[#This Row],[Batch by Type (p)]]), 0)</f>
        <v>0</v>
      </c>
    </row>
    <row r="404" spans="1:36" ht="15" customHeight="1" x14ac:dyDescent="0.35">
      <c r="A404" s="97" t="s">
        <v>617</v>
      </c>
      <c r="B404" s="97">
        <v>77</v>
      </c>
      <c r="C404" s="97">
        <v>156</v>
      </c>
      <c r="D404" s="92"/>
      <c r="E404" s="92"/>
      <c r="F404" s="92"/>
      <c r="G404" s="96"/>
      <c r="H404" s="96"/>
      <c r="I404" s="92"/>
      <c r="J404" s="92"/>
      <c r="K404" s="92"/>
      <c r="L404" s="92"/>
      <c r="M404" s="92"/>
      <c r="N404" s="97">
        <v>0</v>
      </c>
      <c r="O404" s="97">
        <v>16</v>
      </c>
      <c r="P404" s="98">
        <f>SUM(SamplingData[[#This Row],[Winning Candidate]:[Under Votes]])</f>
        <v>249</v>
      </c>
      <c r="Q404" s="99">
        <f>IF(AND(SamplingData[[#This Row],[Total]]&lt;&gt; 0, NOT(ISBLANK(SamplingData[[#This Row],[Losing Candidate]]))),(SamplingData[[#This Row],[Total]]+SamplingData[[#This Row],[Winning Candidate]]-SamplingData[[#This Row],[Losing Candidate]])/(SamplingData[[#Totals],[Winning Candidate]]-SamplingData[[#Totals],[Losing Candidate]]), 0)</f>
        <v>7.2143948395858087E-3</v>
      </c>
      <c r="R404" s="99">
        <f>IF(AND(SamplingData[[#This Row],[Total]]&lt;&gt; 0, NOT(ISBLANK(SamplingData[[#This Row],[Candidate 3]]))),(SamplingData[[#This Row],[Total]]+SamplingData[[#This Row],[Winning Candidate]]-SamplingData[[#This Row],[Candidate 3]])/(SamplingData[[#Totals],[Winning Candidate]]-SamplingData[[#Totals],[Candidate 3]]), 0)</f>
        <v>0</v>
      </c>
      <c r="S404" s="99">
        <f>IF(AND(SamplingData[[#This Row],[Total]]&lt;&gt; 0, NOT(ISBLANK(SamplingData[[#This Row],[Candidate 4]]))),(SamplingData[[#This Row],[Total]]+SamplingData[[#This Row],[Winning Candidate]]-SamplingData[[#This Row],[Candidate 4]])/(SamplingData[[#Totals],[Winning Candidate]]-SamplingData[[#Totals],[Candidate 4]]), 0)</f>
        <v>0</v>
      </c>
      <c r="T404" s="99">
        <f>IF(AND(SamplingData[[#This Row],[Total]]&lt;&gt; 0, NOT(ISBLANK(SamplingData[[#This Row],[Candidate 5]]))),(SamplingData[[#This Row],[Total]]+SamplingData[[#This Row],[Winning Candidate]]-SamplingData[[#This Row],[Candidate 5]])/(SamplingData[[#Totals],[Winning Candidate]]-SamplingData[[#Totals],[Candidate 5]]), 0)</f>
        <v>0</v>
      </c>
      <c r="U404" s="99">
        <f>IF(AND(SamplingData[[#This Row],[Total]]&lt;&gt; 0, NOT(ISBLANK(SamplingData[[#This Row],[Candidate 6]]))),(SamplingData[[#This Row],[Total]]+SamplingData[[#This Row],[Losing Candidate]]-SamplingData[[#This Row],[Candidate 6]])/(SamplingData[[#Totals],[Winning Candidate]]-SamplingData[[#Totals],[Candidate 6]]), 0)</f>
        <v>0</v>
      </c>
      <c r="V404" s="99">
        <f>IF(AND(SamplingData[[#This Row],[Total]]&lt;&gt; 0, NOT(ISBLANK(SamplingData[[#This Row],[Candidate 7]]))),(SamplingData[[#This Row],[Total]]+SamplingData[[#This Row],[Winning Candidate]]-SamplingData[[#This Row],[Candidate 7]])/(SamplingData[[#Totals],[Winning Candidate]]-SamplingData[[#Totals],[Candidate 7]]), 0)</f>
        <v>0</v>
      </c>
      <c r="W404" s="99">
        <f>IF(AND(SamplingData[[#This Row],[Total]]&lt;&gt; 0, NOT(ISBLANK(SamplingData[[#This Row],[Candidate 8]]))),(SamplingData[[#This Row],[Total]]+SamplingData[[#This Row],[Winning Candidate]]-SamplingData[[#This Row],[Candidate 8]])/(SamplingData[[#Totals],[Winning Candidate]]-SamplingData[[#Totals],[Candidate 8]]), 0)</f>
        <v>0</v>
      </c>
      <c r="X4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4" s="99">
        <f>MAX(SamplingData[[#This Row],[Error Bound (up) - Max. possible relative overstatement - Losing Candidate]:[Error Bound (up) - Max. possible relative overstatement - Candidate 12]])</f>
        <v>7.2143948395858087E-3</v>
      </c>
      <c r="AC404" s="99">
        <f>IF(SamplingData[[#This Row],[Max Error Bound (up)]] = 0,0,SamplingData[[#This Row],[Max Error Bound (up)]]/SamplingData[[#Totals],[Max Error Bound (up)]])</f>
        <v>3.8626531428363737E-4</v>
      </c>
      <c r="AD404" s="103">
        <f>SUM($AC$5:AC404)</f>
        <v>0.35297151634129564</v>
      </c>
      <c r="AE404" s="99" t="str" cm="1">
        <f t="array" ref="AE404">IF(SamplingData[[#This Row],[up/U Selection Probability]] = 0, "Zero", TEXT(SamplingData[[#This Row],[Lower Range]], REPT("0",LEN('General Info'!$B$42))) &amp; " - " &amp; TEXT(SamplingData[[#This Row],[Upper Range]], REPT("0",LEN('General Info'!$B$42))))</f>
        <v>352585 - 352971</v>
      </c>
      <c r="AF404" s="99">
        <f>SamplingData[[#This Row],[Upper Range]]-SamplingData[[#This Row],[Span]]</f>
        <v>352585.25102701195</v>
      </c>
      <c r="AG404" s="99">
        <f>IF(ISNUMBER('General Info'!$B$42), ((SamplingData[[#This Row],[up/U Selection Probability]]) * 'General Info'!$B$44) - 1, 0)</f>
        <v>385.26531428363734</v>
      </c>
      <c r="AH404" s="99">
        <f>IF(ISNUMBER('General Info'!$B$42), (SamplingData[[#This Row],[Running (cumulative) sum]] * ('General Info'!$B$42 -'General Info'!$B$43 + 1)) + 'General Info'!$B$43 - 1, 0)</f>
        <v>352970.51634129562</v>
      </c>
      <c r="AI404" s="99" t="str">
        <f>IF(ISERROR(MATCH(SamplingData[[#This Row],[Batch by Type (p)]],SelectedPrecincts[Batch Name], 0)), "", INDEX(SelectedPrecincts[Draw], MATCH(SamplingData[[#This Row],[Batch by Type (p)]],SelectedPrecincts[Batch Name], 0)))</f>
        <v/>
      </c>
      <c r="AJ404" s="100">
        <f>IF(COUNTIF(SelectedPrecincts[Batch Name],SamplingData[[#This Row],[Batch by Type (p)]]) &lt;&gt; 0, COUNTIF(SelectedPrecincts[Batch Name],SamplingData[[#This Row],[Batch by Type (p)]]), 0)</f>
        <v>0</v>
      </c>
    </row>
    <row r="405" spans="1:36" ht="15" customHeight="1" x14ac:dyDescent="0.35">
      <c r="A405" s="97" t="s">
        <v>618</v>
      </c>
      <c r="B405" s="97">
        <v>60</v>
      </c>
      <c r="C405" s="97">
        <v>118</v>
      </c>
      <c r="D405" s="92"/>
      <c r="E405" s="92"/>
      <c r="F405" s="92"/>
      <c r="G405" s="96"/>
      <c r="H405" s="96"/>
      <c r="I405" s="92"/>
      <c r="J405" s="92"/>
      <c r="K405" s="92"/>
      <c r="L405" s="92"/>
      <c r="M405" s="92"/>
      <c r="N405" s="97">
        <v>0</v>
      </c>
      <c r="O405" s="97">
        <v>10</v>
      </c>
      <c r="P405" s="98">
        <f>SUM(SamplingData[[#This Row],[Winning Candidate]:[Under Votes]])</f>
        <v>188</v>
      </c>
      <c r="Q405" s="99">
        <f>IF(AND(SamplingData[[#This Row],[Total]]&lt;&gt; 0, NOT(ISBLANK(SamplingData[[#This Row],[Losing Candidate]]))),(SamplingData[[#This Row],[Total]]+SamplingData[[#This Row],[Winning Candidate]]-SamplingData[[#This Row],[Losing Candidate]])/(SamplingData[[#Totals],[Winning Candidate]]-SamplingData[[#Totals],[Losing Candidate]]), 0)</f>
        <v>5.5168901714479713E-3</v>
      </c>
      <c r="R405" s="99">
        <f>IF(AND(SamplingData[[#This Row],[Total]]&lt;&gt; 0, NOT(ISBLANK(SamplingData[[#This Row],[Candidate 3]]))),(SamplingData[[#This Row],[Total]]+SamplingData[[#This Row],[Winning Candidate]]-SamplingData[[#This Row],[Candidate 3]])/(SamplingData[[#Totals],[Winning Candidate]]-SamplingData[[#Totals],[Candidate 3]]), 0)</f>
        <v>0</v>
      </c>
      <c r="S405" s="99">
        <f>IF(AND(SamplingData[[#This Row],[Total]]&lt;&gt; 0, NOT(ISBLANK(SamplingData[[#This Row],[Candidate 4]]))),(SamplingData[[#This Row],[Total]]+SamplingData[[#This Row],[Winning Candidate]]-SamplingData[[#This Row],[Candidate 4]])/(SamplingData[[#Totals],[Winning Candidate]]-SamplingData[[#Totals],[Candidate 4]]), 0)</f>
        <v>0</v>
      </c>
      <c r="T405" s="99">
        <f>IF(AND(SamplingData[[#This Row],[Total]]&lt;&gt; 0, NOT(ISBLANK(SamplingData[[#This Row],[Candidate 5]]))),(SamplingData[[#This Row],[Total]]+SamplingData[[#This Row],[Winning Candidate]]-SamplingData[[#This Row],[Candidate 5]])/(SamplingData[[#Totals],[Winning Candidate]]-SamplingData[[#Totals],[Candidate 5]]), 0)</f>
        <v>0</v>
      </c>
      <c r="U405" s="99">
        <f>IF(AND(SamplingData[[#This Row],[Total]]&lt;&gt; 0, NOT(ISBLANK(SamplingData[[#This Row],[Candidate 6]]))),(SamplingData[[#This Row],[Total]]+SamplingData[[#This Row],[Losing Candidate]]-SamplingData[[#This Row],[Candidate 6]])/(SamplingData[[#Totals],[Winning Candidate]]-SamplingData[[#Totals],[Candidate 6]]), 0)</f>
        <v>0</v>
      </c>
      <c r="V405" s="99">
        <f>IF(AND(SamplingData[[#This Row],[Total]]&lt;&gt; 0, NOT(ISBLANK(SamplingData[[#This Row],[Candidate 7]]))),(SamplingData[[#This Row],[Total]]+SamplingData[[#This Row],[Winning Candidate]]-SamplingData[[#This Row],[Candidate 7]])/(SamplingData[[#Totals],[Winning Candidate]]-SamplingData[[#Totals],[Candidate 7]]), 0)</f>
        <v>0</v>
      </c>
      <c r="W405" s="99">
        <f>IF(AND(SamplingData[[#This Row],[Total]]&lt;&gt; 0, NOT(ISBLANK(SamplingData[[#This Row],[Candidate 8]]))),(SamplingData[[#This Row],[Total]]+SamplingData[[#This Row],[Winning Candidate]]-SamplingData[[#This Row],[Candidate 8]])/(SamplingData[[#Totals],[Winning Candidate]]-SamplingData[[#Totals],[Candidate 8]]), 0)</f>
        <v>0</v>
      </c>
      <c r="X4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5" s="99">
        <f>MAX(SamplingData[[#This Row],[Error Bound (up) - Max. possible relative overstatement - Losing Candidate]:[Error Bound (up) - Max. possible relative overstatement - Candidate 12]])</f>
        <v>5.5168901714479713E-3</v>
      </c>
      <c r="AC405" s="99">
        <f>IF(SamplingData[[#This Row],[Max Error Bound (up)]] = 0,0,SamplingData[[#This Row],[Max Error Bound (up)]]/SamplingData[[#Totals],[Max Error Bound (up)]])</f>
        <v>2.9537935798160504E-4</v>
      </c>
      <c r="AD405" s="103">
        <f>SUM($AC$5:AC405)</f>
        <v>0.35326689569927727</v>
      </c>
      <c r="AE405" s="99" t="str" cm="1">
        <f t="array" ref="AE405">IF(SamplingData[[#This Row],[up/U Selection Probability]] = 0, "Zero", TEXT(SamplingData[[#This Row],[Lower Range]], REPT("0",LEN('General Info'!$B$42))) &amp; " - " &amp; TEXT(SamplingData[[#This Row],[Upper Range]], REPT("0",LEN('General Info'!$B$42))))</f>
        <v>352972 - 353266</v>
      </c>
      <c r="AF405" s="99">
        <f>SamplingData[[#This Row],[Upper Range]]-SamplingData[[#This Row],[Span]]</f>
        <v>352971.51634129568</v>
      </c>
      <c r="AG405" s="99">
        <f>IF(ISNUMBER('General Info'!$B$42), ((SamplingData[[#This Row],[up/U Selection Probability]]) * 'General Info'!$B$44) - 1, 0)</f>
        <v>294.37935798160504</v>
      </c>
      <c r="AH405" s="99">
        <f>IF(ISNUMBER('General Info'!$B$42), (SamplingData[[#This Row],[Running (cumulative) sum]] * ('General Info'!$B$42 -'General Info'!$B$43 + 1)) + 'General Info'!$B$43 - 1, 0)</f>
        <v>353265.89569927729</v>
      </c>
      <c r="AI405" s="99" t="str">
        <f>IF(ISERROR(MATCH(SamplingData[[#This Row],[Batch by Type (p)]],SelectedPrecincts[Batch Name], 0)), "", INDEX(SelectedPrecincts[Draw], MATCH(SamplingData[[#This Row],[Batch by Type (p)]],SelectedPrecincts[Batch Name], 0)))</f>
        <v/>
      </c>
      <c r="AJ405" s="100">
        <f>IF(COUNTIF(SelectedPrecincts[Batch Name],SamplingData[[#This Row],[Batch by Type (p)]]) &lt;&gt; 0, COUNTIF(SelectedPrecincts[Batch Name],SamplingData[[#This Row],[Batch by Type (p)]]), 0)</f>
        <v>0</v>
      </c>
    </row>
    <row r="406" spans="1:36" ht="15" customHeight="1" x14ac:dyDescent="0.35">
      <c r="A406" s="97" t="s">
        <v>619</v>
      </c>
      <c r="B406" s="97">
        <v>44</v>
      </c>
      <c r="C406" s="97">
        <v>182</v>
      </c>
      <c r="D406" s="92"/>
      <c r="E406" s="92"/>
      <c r="F406" s="92"/>
      <c r="G406" s="96"/>
      <c r="H406" s="96"/>
      <c r="I406" s="92"/>
      <c r="J406" s="92"/>
      <c r="K406" s="92"/>
      <c r="L406" s="92"/>
      <c r="M406" s="92"/>
      <c r="N406" s="97">
        <v>0</v>
      </c>
      <c r="O406" s="97">
        <v>15</v>
      </c>
      <c r="P406" s="98">
        <f>SUM(SamplingData[[#This Row],[Winning Candidate]:[Under Votes]])</f>
        <v>241</v>
      </c>
      <c r="Q406" s="99">
        <f>IF(AND(SamplingData[[#This Row],[Total]]&lt;&gt; 0, NOT(ISBLANK(SamplingData[[#This Row],[Losing Candidate]]))),(SamplingData[[#This Row],[Total]]+SamplingData[[#This Row],[Winning Candidate]]-SamplingData[[#This Row],[Losing Candidate]])/(SamplingData[[#Totals],[Winning Candidate]]-SamplingData[[#Totals],[Losing Candidate]]), 0)</f>
        <v>4.3710745204549309E-3</v>
      </c>
      <c r="R406" s="99">
        <f>IF(AND(SamplingData[[#This Row],[Total]]&lt;&gt; 0, NOT(ISBLANK(SamplingData[[#This Row],[Candidate 3]]))),(SamplingData[[#This Row],[Total]]+SamplingData[[#This Row],[Winning Candidate]]-SamplingData[[#This Row],[Candidate 3]])/(SamplingData[[#Totals],[Winning Candidate]]-SamplingData[[#Totals],[Candidate 3]]), 0)</f>
        <v>0</v>
      </c>
      <c r="S406" s="99">
        <f>IF(AND(SamplingData[[#This Row],[Total]]&lt;&gt; 0, NOT(ISBLANK(SamplingData[[#This Row],[Candidate 4]]))),(SamplingData[[#This Row],[Total]]+SamplingData[[#This Row],[Winning Candidate]]-SamplingData[[#This Row],[Candidate 4]])/(SamplingData[[#Totals],[Winning Candidate]]-SamplingData[[#Totals],[Candidate 4]]), 0)</f>
        <v>0</v>
      </c>
      <c r="T406" s="99">
        <f>IF(AND(SamplingData[[#This Row],[Total]]&lt;&gt; 0, NOT(ISBLANK(SamplingData[[#This Row],[Candidate 5]]))),(SamplingData[[#This Row],[Total]]+SamplingData[[#This Row],[Winning Candidate]]-SamplingData[[#This Row],[Candidate 5]])/(SamplingData[[#Totals],[Winning Candidate]]-SamplingData[[#Totals],[Candidate 5]]), 0)</f>
        <v>0</v>
      </c>
      <c r="U406" s="99">
        <f>IF(AND(SamplingData[[#This Row],[Total]]&lt;&gt; 0, NOT(ISBLANK(SamplingData[[#This Row],[Candidate 6]]))),(SamplingData[[#This Row],[Total]]+SamplingData[[#This Row],[Losing Candidate]]-SamplingData[[#This Row],[Candidate 6]])/(SamplingData[[#Totals],[Winning Candidate]]-SamplingData[[#Totals],[Candidate 6]]), 0)</f>
        <v>0</v>
      </c>
      <c r="V406" s="99">
        <f>IF(AND(SamplingData[[#This Row],[Total]]&lt;&gt; 0, NOT(ISBLANK(SamplingData[[#This Row],[Candidate 7]]))),(SamplingData[[#This Row],[Total]]+SamplingData[[#This Row],[Winning Candidate]]-SamplingData[[#This Row],[Candidate 7]])/(SamplingData[[#Totals],[Winning Candidate]]-SamplingData[[#Totals],[Candidate 7]]), 0)</f>
        <v>0</v>
      </c>
      <c r="W406" s="99">
        <f>IF(AND(SamplingData[[#This Row],[Total]]&lt;&gt; 0, NOT(ISBLANK(SamplingData[[#This Row],[Candidate 8]]))),(SamplingData[[#This Row],[Total]]+SamplingData[[#This Row],[Winning Candidate]]-SamplingData[[#This Row],[Candidate 8]])/(SamplingData[[#Totals],[Winning Candidate]]-SamplingData[[#Totals],[Candidate 8]]), 0)</f>
        <v>0</v>
      </c>
      <c r="X4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6" s="99">
        <f>MAX(SamplingData[[#This Row],[Error Bound (up) - Max. possible relative overstatement - Losing Candidate]:[Error Bound (up) - Max. possible relative overstatement - Candidate 12]])</f>
        <v>4.3710745204549309E-3</v>
      </c>
      <c r="AC406" s="99">
        <f>IF(SamplingData[[#This Row],[Max Error Bound (up)]] = 0,0,SamplingData[[#This Row],[Max Error Bound (up)]]/SamplingData[[#Totals],[Max Error Bound (up)]])</f>
        <v>2.3403133747773323E-4</v>
      </c>
      <c r="AD406" s="103">
        <f>SUM($AC$5:AC406)</f>
        <v>0.35350092703675501</v>
      </c>
      <c r="AE406" s="99" t="str" cm="1">
        <f t="array" ref="AE406">IF(SamplingData[[#This Row],[up/U Selection Probability]] = 0, "Zero", TEXT(SamplingData[[#This Row],[Lower Range]], REPT("0",LEN('General Info'!$B$42))) &amp; " - " &amp; TEXT(SamplingData[[#This Row],[Upper Range]], REPT("0",LEN('General Info'!$B$42))))</f>
        <v>353267 - 353500</v>
      </c>
      <c r="AF406" s="99">
        <f>SamplingData[[#This Row],[Upper Range]]-SamplingData[[#This Row],[Span]]</f>
        <v>353266.89569927729</v>
      </c>
      <c r="AG406" s="99">
        <f>IF(ISNUMBER('General Info'!$B$42), ((SamplingData[[#This Row],[up/U Selection Probability]]) * 'General Info'!$B$44) - 1, 0)</f>
        <v>233.03133747773322</v>
      </c>
      <c r="AH406" s="99">
        <f>IF(ISNUMBER('General Info'!$B$42), (SamplingData[[#This Row],[Running (cumulative) sum]] * ('General Info'!$B$42 -'General Info'!$B$43 + 1)) + 'General Info'!$B$43 - 1, 0)</f>
        <v>353499.92703675502</v>
      </c>
      <c r="AI406" s="99" t="str">
        <f>IF(ISERROR(MATCH(SamplingData[[#This Row],[Batch by Type (p)]],SelectedPrecincts[Batch Name], 0)), "", INDEX(SelectedPrecincts[Draw], MATCH(SamplingData[[#This Row],[Batch by Type (p)]],SelectedPrecincts[Batch Name], 0)))</f>
        <v/>
      </c>
      <c r="AJ406" s="100">
        <f>IF(COUNTIF(SelectedPrecincts[Batch Name],SamplingData[[#This Row],[Batch by Type (p)]]) &lt;&gt; 0, COUNTIF(SelectedPrecincts[Batch Name],SamplingData[[#This Row],[Batch by Type (p)]]), 0)</f>
        <v>0</v>
      </c>
    </row>
    <row r="407" spans="1:36" ht="15" customHeight="1" x14ac:dyDescent="0.35">
      <c r="A407" s="97" t="s">
        <v>620</v>
      </c>
      <c r="B407" s="97">
        <v>90</v>
      </c>
      <c r="C407" s="97">
        <v>145</v>
      </c>
      <c r="D407" s="92"/>
      <c r="E407" s="92"/>
      <c r="F407" s="92"/>
      <c r="G407" s="96"/>
      <c r="H407" s="96"/>
      <c r="I407" s="92"/>
      <c r="J407" s="92"/>
      <c r="K407" s="92"/>
      <c r="L407" s="92"/>
      <c r="M407" s="92"/>
      <c r="N407" s="97">
        <v>0</v>
      </c>
      <c r="O407" s="97">
        <v>15</v>
      </c>
      <c r="P407" s="98">
        <f>SUM(SamplingData[[#This Row],[Winning Candidate]:[Under Votes]])</f>
        <v>250</v>
      </c>
      <c r="Q407" s="99">
        <f>IF(AND(SamplingData[[#This Row],[Total]]&lt;&gt; 0, NOT(ISBLANK(SamplingData[[#This Row],[Losing Candidate]]))),(SamplingData[[#This Row],[Total]]+SamplingData[[#This Row],[Winning Candidate]]-SamplingData[[#This Row],[Losing Candidate]])/(SamplingData[[#Totals],[Winning Candidate]]-SamplingData[[#Totals],[Losing Candidate]]), 0)</f>
        <v>8.2753352571719573E-3</v>
      </c>
      <c r="R407" s="99">
        <f>IF(AND(SamplingData[[#This Row],[Total]]&lt;&gt; 0, NOT(ISBLANK(SamplingData[[#This Row],[Candidate 3]]))),(SamplingData[[#This Row],[Total]]+SamplingData[[#This Row],[Winning Candidate]]-SamplingData[[#This Row],[Candidate 3]])/(SamplingData[[#Totals],[Winning Candidate]]-SamplingData[[#Totals],[Candidate 3]]), 0)</f>
        <v>0</v>
      </c>
      <c r="S407" s="99">
        <f>IF(AND(SamplingData[[#This Row],[Total]]&lt;&gt; 0, NOT(ISBLANK(SamplingData[[#This Row],[Candidate 4]]))),(SamplingData[[#This Row],[Total]]+SamplingData[[#This Row],[Winning Candidate]]-SamplingData[[#This Row],[Candidate 4]])/(SamplingData[[#Totals],[Winning Candidate]]-SamplingData[[#Totals],[Candidate 4]]), 0)</f>
        <v>0</v>
      </c>
      <c r="T407" s="99">
        <f>IF(AND(SamplingData[[#This Row],[Total]]&lt;&gt; 0, NOT(ISBLANK(SamplingData[[#This Row],[Candidate 5]]))),(SamplingData[[#This Row],[Total]]+SamplingData[[#This Row],[Winning Candidate]]-SamplingData[[#This Row],[Candidate 5]])/(SamplingData[[#Totals],[Winning Candidate]]-SamplingData[[#Totals],[Candidate 5]]), 0)</f>
        <v>0</v>
      </c>
      <c r="U407" s="99">
        <f>IF(AND(SamplingData[[#This Row],[Total]]&lt;&gt; 0, NOT(ISBLANK(SamplingData[[#This Row],[Candidate 6]]))),(SamplingData[[#This Row],[Total]]+SamplingData[[#This Row],[Losing Candidate]]-SamplingData[[#This Row],[Candidate 6]])/(SamplingData[[#Totals],[Winning Candidate]]-SamplingData[[#Totals],[Candidate 6]]), 0)</f>
        <v>0</v>
      </c>
      <c r="V407" s="99">
        <f>IF(AND(SamplingData[[#This Row],[Total]]&lt;&gt; 0, NOT(ISBLANK(SamplingData[[#This Row],[Candidate 7]]))),(SamplingData[[#This Row],[Total]]+SamplingData[[#This Row],[Winning Candidate]]-SamplingData[[#This Row],[Candidate 7]])/(SamplingData[[#Totals],[Winning Candidate]]-SamplingData[[#Totals],[Candidate 7]]), 0)</f>
        <v>0</v>
      </c>
      <c r="W407" s="99">
        <f>IF(AND(SamplingData[[#This Row],[Total]]&lt;&gt; 0, NOT(ISBLANK(SamplingData[[#This Row],[Candidate 8]]))),(SamplingData[[#This Row],[Total]]+SamplingData[[#This Row],[Winning Candidate]]-SamplingData[[#This Row],[Candidate 8]])/(SamplingData[[#Totals],[Winning Candidate]]-SamplingData[[#Totals],[Candidate 8]]), 0)</f>
        <v>0</v>
      </c>
      <c r="X4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7" s="99">
        <f>MAX(SamplingData[[#This Row],[Error Bound (up) - Max. possible relative overstatement - Losing Candidate]:[Error Bound (up) - Max. possible relative overstatement - Candidate 12]])</f>
        <v>8.2753352571719573E-3</v>
      </c>
      <c r="AC407" s="99">
        <f>IF(SamplingData[[#This Row],[Max Error Bound (up)]] = 0,0,SamplingData[[#This Row],[Max Error Bound (up)]]/SamplingData[[#Totals],[Max Error Bound (up)]])</f>
        <v>4.4306903697240759E-4</v>
      </c>
      <c r="AD407" s="103">
        <f>SUM($AC$5:AC407)</f>
        <v>0.3539439960737274</v>
      </c>
      <c r="AE407" s="99" t="str" cm="1">
        <f t="array" ref="AE407">IF(SamplingData[[#This Row],[up/U Selection Probability]] = 0, "Zero", TEXT(SamplingData[[#This Row],[Lower Range]], REPT("0",LEN('General Info'!$B$42))) &amp; " - " &amp; TEXT(SamplingData[[#This Row],[Upper Range]], REPT("0",LEN('General Info'!$B$42))))</f>
        <v>353501 - 353943</v>
      </c>
      <c r="AF407" s="99">
        <f>SamplingData[[#This Row],[Upper Range]]-SamplingData[[#This Row],[Span]]</f>
        <v>353500.92703675496</v>
      </c>
      <c r="AG407" s="99">
        <f>IF(ISNUMBER('General Info'!$B$42), ((SamplingData[[#This Row],[up/U Selection Probability]]) * 'General Info'!$B$44) - 1, 0)</f>
        <v>442.06903697240762</v>
      </c>
      <c r="AH407" s="99">
        <f>IF(ISNUMBER('General Info'!$B$42), (SamplingData[[#This Row],[Running (cumulative) sum]] * ('General Info'!$B$42 -'General Info'!$B$43 + 1)) + 'General Info'!$B$43 - 1, 0)</f>
        <v>353942.99607372738</v>
      </c>
      <c r="AI407" s="99" t="str">
        <f>IF(ISERROR(MATCH(SamplingData[[#This Row],[Batch by Type (p)]],SelectedPrecincts[Batch Name], 0)), "", INDEX(SelectedPrecincts[Draw], MATCH(SamplingData[[#This Row],[Batch by Type (p)]],SelectedPrecincts[Batch Name], 0)))</f>
        <v/>
      </c>
      <c r="AJ407" s="100">
        <f>IF(COUNTIF(SelectedPrecincts[Batch Name],SamplingData[[#This Row],[Batch by Type (p)]]) &lt;&gt; 0, COUNTIF(SelectedPrecincts[Batch Name],SamplingData[[#This Row],[Batch by Type (p)]]), 0)</f>
        <v>0</v>
      </c>
    </row>
    <row r="408" spans="1:36" ht="15" customHeight="1" x14ac:dyDescent="0.35">
      <c r="A408" s="97" t="s">
        <v>621</v>
      </c>
      <c r="B408" s="97">
        <v>63</v>
      </c>
      <c r="C408" s="97">
        <v>220</v>
      </c>
      <c r="D408" s="92"/>
      <c r="E408" s="92"/>
      <c r="F408" s="92"/>
      <c r="G408" s="96"/>
      <c r="H408" s="96"/>
      <c r="I408" s="92"/>
      <c r="J408" s="92"/>
      <c r="K408" s="92"/>
      <c r="L408" s="92"/>
      <c r="M408" s="92"/>
      <c r="N408" s="97">
        <v>0</v>
      </c>
      <c r="O408" s="97">
        <v>16</v>
      </c>
      <c r="P408" s="98">
        <f>SUM(SamplingData[[#This Row],[Winning Candidate]:[Under Votes]])</f>
        <v>299</v>
      </c>
      <c r="Q408" s="99">
        <f>IF(AND(SamplingData[[#This Row],[Total]]&lt;&gt; 0, NOT(ISBLANK(SamplingData[[#This Row],[Losing Candidate]]))),(SamplingData[[#This Row],[Total]]+SamplingData[[#This Row],[Winning Candidate]]-SamplingData[[#This Row],[Losing Candidate]])/(SamplingData[[#Totals],[Winning Candidate]]-SamplingData[[#Totals],[Losing Candidate]]), 0)</f>
        <v>6.0261415718893228E-3</v>
      </c>
      <c r="R408" s="99">
        <f>IF(AND(SamplingData[[#This Row],[Total]]&lt;&gt; 0, NOT(ISBLANK(SamplingData[[#This Row],[Candidate 3]]))),(SamplingData[[#This Row],[Total]]+SamplingData[[#This Row],[Winning Candidate]]-SamplingData[[#This Row],[Candidate 3]])/(SamplingData[[#Totals],[Winning Candidate]]-SamplingData[[#Totals],[Candidate 3]]), 0)</f>
        <v>0</v>
      </c>
      <c r="S408" s="99">
        <f>IF(AND(SamplingData[[#This Row],[Total]]&lt;&gt; 0, NOT(ISBLANK(SamplingData[[#This Row],[Candidate 4]]))),(SamplingData[[#This Row],[Total]]+SamplingData[[#This Row],[Winning Candidate]]-SamplingData[[#This Row],[Candidate 4]])/(SamplingData[[#Totals],[Winning Candidate]]-SamplingData[[#Totals],[Candidate 4]]), 0)</f>
        <v>0</v>
      </c>
      <c r="T408" s="99">
        <f>IF(AND(SamplingData[[#This Row],[Total]]&lt;&gt; 0, NOT(ISBLANK(SamplingData[[#This Row],[Candidate 5]]))),(SamplingData[[#This Row],[Total]]+SamplingData[[#This Row],[Winning Candidate]]-SamplingData[[#This Row],[Candidate 5]])/(SamplingData[[#Totals],[Winning Candidate]]-SamplingData[[#Totals],[Candidate 5]]), 0)</f>
        <v>0</v>
      </c>
      <c r="U408" s="99">
        <f>IF(AND(SamplingData[[#This Row],[Total]]&lt;&gt; 0, NOT(ISBLANK(SamplingData[[#This Row],[Candidate 6]]))),(SamplingData[[#This Row],[Total]]+SamplingData[[#This Row],[Losing Candidate]]-SamplingData[[#This Row],[Candidate 6]])/(SamplingData[[#Totals],[Winning Candidate]]-SamplingData[[#Totals],[Candidate 6]]), 0)</f>
        <v>0</v>
      </c>
      <c r="V408" s="99">
        <f>IF(AND(SamplingData[[#This Row],[Total]]&lt;&gt; 0, NOT(ISBLANK(SamplingData[[#This Row],[Candidate 7]]))),(SamplingData[[#This Row],[Total]]+SamplingData[[#This Row],[Winning Candidate]]-SamplingData[[#This Row],[Candidate 7]])/(SamplingData[[#Totals],[Winning Candidate]]-SamplingData[[#Totals],[Candidate 7]]), 0)</f>
        <v>0</v>
      </c>
      <c r="W408" s="99">
        <f>IF(AND(SamplingData[[#This Row],[Total]]&lt;&gt; 0, NOT(ISBLANK(SamplingData[[#This Row],[Candidate 8]]))),(SamplingData[[#This Row],[Total]]+SamplingData[[#This Row],[Winning Candidate]]-SamplingData[[#This Row],[Candidate 8]])/(SamplingData[[#Totals],[Winning Candidate]]-SamplingData[[#Totals],[Candidate 8]]), 0)</f>
        <v>0</v>
      </c>
      <c r="X4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8" s="99">
        <f>MAX(SamplingData[[#This Row],[Error Bound (up) - Max. possible relative overstatement - Losing Candidate]:[Error Bound (up) - Max. possible relative overstatement - Candidate 12]])</f>
        <v>6.0261415718893228E-3</v>
      </c>
      <c r="AC408" s="99">
        <f>IF(SamplingData[[#This Row],[Max Error Bound (up)]] = 0,0,SamplingData[[#This Row],[Max Error Bound (up)]]/SamplingData[[#Totals],[Max Error Bound (up)]])</f>
        <v>3.2264514487221474E-4</v>
      </c>
      <c r="AD408" s="103">
        <f>SUM($AC$5:AC408)</f>
        <v>0.35426664121859963</v>
      </c>
      <c r="AE408" s="99" t="str" cm="1">
        <f t="array" ref="AE408">IF(SamplingData[[#This Row],[up/U Selection Probability]] = 0, "Zero", TEXT(SamplingData[[#This Row],[Lower Range]], REPT("0",LEN('General Info'!$B$42))) &amp; " - " &amp; TEXT(SamplingData[[#This Row],[Upper Range]], REPT("0",LEN('General Info'!$B$42))))</f>
        <v>353944 - 354266</v>
      </c>
      <c r="AF408" s="99">
        <f>SamplingData[[#This Row],[Upper Range]]-SamplingData[[#This Row],[Span]]</f>
        <v>353943.99607372744</v>
      </c>
      <c r="AG408" s="99">
        <f>IF(ISNUMBER('General Info'!$B$42), ((SamplingData[[#This Row],[up/U Selection Probability]]) * 'General Info'!$B$44) - 1, 0)</f>
        <v>321.64514487221476</v>
      </c>
      <c r="AH408" s="99">
        <f>IF(ISNUMBER('General Info'!$B$42), (SamplingData[[#This Row],[Running (cumulative) sum]] * ('General Info'!$B$42 -'General Info'!$B$43 + 1)) + 'General Info'!$B$43 - 1, 0)</f>
        <v>354265.64121859963</v>
      </c>
      <c r="AI408" s="99" t="str">
        <f>IF(ISERROR(MATCH(SamplingData[[#This Row],[Batch by Type (p)]],SelectedPrecincts[Batch Name], 0)), "", INDEX(SelectedPrecincts[Draw], MATCH(SamplingData[[#This Row],[Batch by Type (p)]],SelectedPrecincts[Batch Name], 0)))</f>
        <v/>
      </c>
      <c r="AJ408" s="100">
        <f>IF(COUNTIF(SelectedPrecincts[Batch Name],SamplingData[[#This Row],[Batch by Type (p)]]) &lt;&gt; 0, COUNTIF(SelectedPrecincts[Batch Name],SamplingData[[#This Row],[Batch by Type (p)]]), 0)</f>
        <v>0</v>
      </c>
    </row>
    <row r="409" spans="1:36" ht="15" customHeight="1" x14ac:dyDescent="0.35">
      <c r="A409" s="97" t="s">
        <v>622</v>
      </c>
      <c r="B409" s="97">
        <v>95</v>
      </c>
      <c r="C409" s="97">
        <v>181</v>
      </c>
      <c r="D409" s="92"/>
      <c r="E409" s="92"/>
      <c r="F409" s="92"/>
      <c r="G409" s="96"/>
      <c r="H409" s="96"/>
      <c r="I409" s="92"/>
      <c r="J409" s="92"/>
      <c r="K409" s="92"/>
      <c r="L409" s="92"/>
      <c r="M409" s="92"/>
      <c r="N409" s="97">
        <v>0</v>
      </c>
      <c r="O409" s="97">
        <v>13</v>
      </c>
      <c r="P409" s="98">
        <f>SUM(SamplingData[[#This Row],[Winning Candidate]:[Under Votes]])</f>
        <v>289</v>
      </c>
      <c r="Q409" s="99">
        <f>IF(AND(SamplingData[[#This Row],[Total]]&lt;&gt; 0, NOT(ISBLANK(SamplingData[[#This Row],[Losing Candidate]]))),(SamplingData[[#This Row],[Total]]+SamplingData[[#This Row],[Winning Candidate]]-SamplingData[[#This Row],[Losing Candidate]])/(SamplingData[[#Totals],[Winning Candidate]]-SamplingData[[#Totals],[Losing Candidate]]), 0)</f>
        <v>8.6148361907995245E-3</v>
      </c>
      <c r="R409" s="99">
        <f>IF(AND(SamplingData[[#This Row],[Total]]&lt;&gt; 0, NOT(ISBLANK(SamplingData[[#This Row],[Candidate 3]]))),(SamplingData[[#This Row],[Total]]+SamplingData[[#This Row],[Winning Candidate]]-SamplingData[[#This Row],[Candidate 3]])/(SamplingData[[#Totals],[Winning Candidate]]-SamplingData[[#Totals],[Candidate 3]]), 0)</f>
        <v>0</v>
      </c>
      <c r="S409" s="99">
        <f>IF(AND(SamplingData[[#This Row],[Total]]&lt;&gt; 0, NOT(ISBLANK(SamplingData[[#This Row],[Candidate 4]]))),(SamplingData[[#This Row],[Total]]+SamplingData[[#This Row],[Winning Candidate]]-SamplingData[[#This Row],[Candidate 4]])/(SamplingData[[#Totals],[Winning Candidate]]-SamplingData[[#Totals],[Candidate 4]]), 0)</f>
        <v>0</v>
      </c>
      <c r="T409" s="99">
        <f>IF(AND(SamplingData[[#This Row],[Total]]&lt;&gt; 0, NOT(ISBLANK(SamplingData[[#This Row],[Candidate 5]]))),(SamplingData[[#This Row],[Total]]+SamplingData[[#This Row],[Winning Candidate]]-SamplingData[[#This Row],[Candidate 5]])/(SamplingData[[#Totals],[Winning Candidate]]-SamplingData[[#Totals],[Candidate 5]]), 0)</f>
        <v>0</v>
      </c>
      <c r="U409" s="99">
        <f>IF(AND(SamplingData[[#This Row],[Total]]&lt;&gt; 0, NOT(ISBLANK(SamplingData[[#This Row],[Candidate 6]]))),(SamplingData[[#This Row],[Total]]+SamplingData[[#This Row],[Losing Candidate]]-SamplingData[[#This Row],[Candidate 6]])/(SamplingData[[#Totals],[Winning Candidate]]-SamplingData[[#Totals],[Candidate 6]]), 0)</f>
        <v>0</v>
      </c>
      <c r="V409" s="99">
        <f>IF(AND(SamplingData[[#This Row],[Total]]&lt;&gt; 0, NOT(ISBLANK(SamplingData[[#This Row],[Candidate 7]]))),(SamplingData[[#This Row],[Total]]+SamplingData[[#This Row],[Winning Candidate]]-SamplingData[[#This Row],[Candidate 7]])/(SamplingData[[#Totals],[Winning Candidate]]-SamplingData[[#Totals],[Candidate 7]]), 0)</f>
        <v>0</v>
      </c>
      <c r="W409" s="99">
        <f>IF(AND(SamplingData[[#This Row],[Total]]&lt;&gt; 0, NOT(ISBLANK(SamplingData[[#This Row],[Candidate 8]]))),(SamplingData[[#This Row],[Total]]+SamplingData[[#This Row],[Winning Candidate]]-SamplingData[[#This Row],[Candidate 8]])/(SamplingData[[#Totals],[Winning Candidate]]-SamplingData[[#Totals],[Candidate 8]]), 0)</f>
        <v>0</v>
      </c>
      <c r="X4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9" s="99">
        <f>MAX(SamplingData[[#This Row],[Error Bound (up) - Max. possible relative overstatement - Losing Candidate]:[Error Bound (up) - Max. possible relative overstatement - Candidate 12]])</f>
        <v>8.6148361907995245E-3</v>
      </c>
      <c r="AC409" s="99">
        <f>IF(SamplingData[[#This Row],[Max Error Bound (up)]] = 0,0,SamplingData[[#This Row],[Max Error Bound (up)]]/SamplingData[[#Totals],[Max Error Bound (up)]])</f>
        <v>4.6124622823281406E-4</v>
      </c>
      <c r="AD409" s="103">
        <f>SUM($AC$5:AC409)</f>
        <v>0.35472788744683242</v>
      </c>
      <c r="AE409" s="99" t="str" cm="1">
        <f t="array" ref="AE409">IF(SamplingData[[#This Row],[up/U Selection Probability]] = 0, "Zero", TEXT(SamplingData[[#This Row],[Lower Range]], REPT("0",LEN('General Info'!$B$42))) &amp; " - " &amp; TEXT(SamplingData[[#This Row],[Upper Range]], REPT("0",LEN('General Info'!$B$42))))</f>
        <v>354267 - 354727</v>
      </c>
      <c r="AF409" s="99">
        <f>SamplingData[[#This Row],[Upper Range]]-SamplingData[[#This Row],[Span]]</f>
        <v>354266.64121859963</v>
      </c>
      <c r="AG409" s="99">
        <f>IF(ISNUMBER('General Info'!$B$42), ((SamplingData[[#This Row],[up/U Selection Probability]]) * 'General Info'!$B$44) - 1, 0)</f>
        <v>460.24622823281408</v>
      </c>
      <c r="AH409" s="99">
        <f>IF(ISNUMBER('General Info'!$B$42), (SamplingData[[#This Row],[Running (cumulative) sum]] * ('General Info'!$B$42 -'General Info'!$B$43 + 1)) + 'General Info'!$B$43 - 1, 0)</f>
        <v>354726.88744683244</v>
      </c>
      <c r="AI409" s="99" t="str">
        <f>IF(ISERROR(MATCH(SamplingData[[#This Row],[Batch by Type (p)]],SelectedPrecincts[Batch Name], 0)), "", INDEX(SelectedPrecincts[Draw], MATCH(SamplingData[[#This Row],[Batch by Type (p)]],SelectedPrecincts[Batch Name], 0)))</f>
        <v/>
      </c>
      <c r="AJ409" s="100">
        <f>IF(COUNTIF(SelectedPrecincts[Batch Name],SamplingData[[#This Row],[Batch by Type (p)]]) &lt;&gt; 0, COUNTIF(SelectedPrecincts[Batch Name],SamplingData[[#This Row],[Batch by Type (p)]]), 0)</f>
        <v>0</v>
      </c>
    </row>
    <row r="410" spans="1:36" ht="15" customHeight="1" x14ac:dyDescent="0.35">
      <c r="A410" s="97" t="s">
        <v>623</v>
      </c>
      <c r="B410" s="97">
        <v>49</v>
      </c>
      <c r="C410" s="97">
        <v>86</v>
      </c>
      <c r="D410" s="92"/>
      <c r="E410" s="92"/>
      <c r="F410" s="92"/>
      <c r="G410" s="96"/>
      <c r="H410" s="96"/>
      <c r="I410" s="92"/>
      <c r="J410" s="92"/>
      <c r="K410" s="92"/>
      <c r="L410" s="92"/>
      <c r="M410" s="92"/>
      <c r="N410" s="97">
        <v>0</v>
      </c>
      <c r="O410" s="97">
        <v>6</v>
      </c>
      <c r="P410" s="98">
        <f>SUM(SamplingData[[#This Row],[Winning Candidate]:[Under Votes]])</f>
        <v>141</v>
      </c>
      <c r="Q410" s="99">
        <f>IF(AND(SamplingData[[#This Row],[Total]]&lt;&gt; 0, NOT(ISBLANK(SamplingData[[#This Row],[Losing Candidate]]))),(SamplingData[[#This Row],[Total]]+SamplingData[[#This Row],[Winning Candidate]]-SamplingData[[#This Row],[Losing Candidate]])/(SamplingData[[#Totals],[Winning Candidate]]-SamplingData[[#Totals],[Losing Candidate]]), 0)</f>
        <v>4.4135121371583772E-3</v>
      </c>
      <c r="R410" s="99">
        <f>IF(AND(SamplingData[[#This Row],[Total]]&lt;&gt; 0, NOT(ISBLANK(SamplingData[[#This Row],[Candidate 3]]))),(SamplingData[[#This Row],[Total]]+SamplingData[[#This Row],[Winning Candidate]]-SamplingData[[#This Row],[Candidate 3]])/(SamplingData[[#Totals],[Winning Candidate]]-SamplingData[[#Totals],[Candidate 3]]), 0)</f>
        <v>0</v>
      </c>
      <c r="S410" s="99">
        <f>IF(AND(SamplingData[[#This Row],[Total]]&lt;&gt; 0, NOT(ISBLANK(SamplingData[[#This Row],[Candidate 4]]))),(SamplingData[[#This Row],[Total]]+SamplingData[[#This Row],[Winning Candidate]]-SamplingData[[#This Row],[Candidate 4]])/(SamplingData[[#Totals],[Winning Candidate]]-SamplingData[[#Totals],[Candidate 4]]), 0)</f>
        <v>0</v>
      </c>
      <c r="T410" s="99">
        <f>IF(AND(SamplingData[[#This Row],[Total]]&lt;&gt; 0, NOT(ISBLANK(SamplingData[[#This Row],[Candidate 5]]))),(SamplingData[[#This Row],[Total]]+SamplingData[[#This Row],[Winning Candidate]]-SamplingData[[#This Row],[Candidate 5]])/(SamplingData[[#Totals],[Winning Candidate]]-SamplingData[[#Totals],[Candidate 5]]), 0)</f>
        <v>0</v>
      </c>
      <c r="U410" s="99">
        <f>IF(AND(SamplingData[[#This Row],[Total]]&lt;&gt; 0, NOT(ISBLANK(SamplingData[[#This Row],[Candidate 6]]))),(SamplingData[[#This Row],[Total]]+SamplingData[[#This Row],[Losing Candidate]]-SamplingData[[#This Row],[Candidate 6]])/(SamplingData[[#Totals],[Winning Candidate]]-SamplingData[[#Totals],[Candidate 6]]), 0)</f>
        <v>0</v>
      </c>
      <c r="V410" s="99">
        <f>IF(AND(SamplingData[[#This Row],[Total]]&lt;&gt; 0, NOT(ISBLANK(SamplingData[[#This Row],[Candidate 7]]))),(SamplingData[[#This Row],[Total]]+SamplingData[[#This Row],[Winning Candidate]]-SamplingData[[#This Row],[Candidate 7]])/(SamplingData[[#Totals],[Winning Candidate]]-SamplingData[[#Totals],[Candidate 7]]), 0)</f>
        <v>0</v>
      </c>
      <c r="W410" s="99">
        <f>IF(AND(SamplingData[[#This Row],[Total]]&lt;&gt; 0, NOT(ISBLANK(SamplingData[[#This Row],[Candidate 8]]))),(SamplingData[[#This Row],[Total]]+SamplingData[[#This Row],[Winning Candidate]]-SamplingData[[#This Row],[Candidate 8]])/(SamplingData[[#Totals],[Winning Candidate]]-SamplingData[[#Totals],[Candidate 8]]), 0)</f>
        <v>0</v>
      </c>
      <c r="X4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0" s="99">
        <f>MAX(SamplingData[[#This Row],[Error Bound (up) - Max. possible relative overstatement - Losing Candidate]:[Error Bound (up) - Max. possible relative overstatement - Candidate 12]])</f>
        <v>4.4135121371583772E-3</v>
      </c>
      <c r="AC410" s="99">
        <f>IF(SamplingData[[#This Row],[Max Error Bound (up)]] = 0,0,SamplingData[[#This Row],[Max Error Bound (up)]]/SamplingData[[#Totals],[Max Error Bound (up)]])</f>
        <v>2.3630348638528404E-4</v>
      </c>
      <c r="AD410" s="103">
        <f>SUM($AC$5:AC410)</f>
        <v>0.35496419093321768</v>
      </c>
      <c r="AE410" s="99" t="str" cm="1">
        <f t="array" ref="AE410">IF(SamplingData[[#This Row],[up/U Selection Probability]] = 0, "Zero", TEXT(SamplingData[[#This Row],[Lower Range]], REPT("0",LEN('General Info'!$B$42))) &amp; " - " &amp; TEXT(SamplingData[[#This Row],[Upper Range]], REPT("0",LEN('General Info'!$B$42))))</f>
        <v>354728 - 354963</v>
      </c>
      <c r="AF410" s="99">
        <f>SamplingData[[#This Row],[Upper Range]]-SamplingData[[#This Row],[Span]]</f>
        <v>354727.88744683244</v>
      </c>
      <c r="AG410" s="99">
        <f>IF(ISNUMBER('General Info'!$B$42), ((SamplingData[[#This Row],[up/U Selection Probability]]) * 'General Info'!$B$44) - 1, 0)</f>
        <v>235.30348638528403</v>
      </c>
      <c r="AH410" s="99">
        <f>IF(ISNUMBER('General Info'!$B$42), (SamplingData[[#This Row],[Running (cumulative) sum]] * ('General Info'!$B$42 -'General Info'!$B$43 + 1)) + 'General Info'!$B$43 - 1, 0)</f>
        <v>354963.1909332177</v>
      </c>
      <c r="AI410" s="99" t="str">
        <f>IF(ISERROR(MATCH(SamplingData[[#This Row],[Batch by Type (p)]],SelectedPrecincts[Batch Name], 0)), "", INDEX(SelectedPrecincts[Draw], MATCH(SamplingData[[#This Row],[Batch by Type (p)]],SelectedPrecincts[Batch Name], 0)))</f>
        <v/>
      </c>
      <c r="AJ410" s="100">
        <f>IF(COUNTIF(SelectedPrecincts[Batch Name],SamplingData[[#This Row],[Batch by Type (p)]]) &lt;&gt; 0, COUNTIF(SelectedPrecincts[Batch Name],SamplingData[[#This Row],[Batch by Type (p)]]), 0)</f>
        <v>0</v>
      </c>
    </row>
    <row r="411" spans="1:36" ht="15" customHeight="1" x14ac:dyDescent="0.35">
      <c r="A411" s="97" t="s">
        <v>624</v>
      </c>
      <c r="B411" s="97">
        <v>112</v>
      </c>
      <c r="C411" s="97">
        <v>148</v>
      </c>
      <c r="D411" s="92"/>
      <c r="E411" s="92"/>
      <c r="F411" s="92"/>
      <c r="G411" s="96"/>
      <c r="H411" s="96"/>
      <c r="I411" s="92"/>
      <c r="J411" s="92"/>
      <c r="K411" s="92"/>
      <c r="L411" s="92"/>
      <c r="M411" s="92"/>
      <c r="N411" s="97">
        <v>0</v>
      </c>
      <c r="O411" s="97">
        <v>13</v>
      </c>
      <c r="P411" s="98">
        <f>SUM(SamplingData[[#This Row],[Winning Candidate]:[Under Votes]])</f>
        <v>273</v>
      </c>
      <c r="Q411" s="99">
        <f>IF(AND(SamplingData[[#This Row],[Total]]&lt;&gt; 0, NOT(ISBLANK(SamplingData[[#This Row],[Losing Candidate]]))),(SamplingData[[#This Row],[Total]]+SamplingData[[#This Row],[Winning Candidate]]-SamplingData[[#This Row],[Losing Candidate]])/(SamplingData[[#Totals],[Winning Candidate]]-SamplingData[[#Totals],[Losing Candidate]]), 0)</f>
        <v>1.0057715158716686E-2</v>
      </c>
      <c r="R411" s="99">
        <f>IF(AND(SamplingData[[#This Row],[Total]]&lt;&gt; 0, NOT(ISBLANK(SamplingData[[#This Row],[Candidate 3]]))),(SamplingData[[#This Row],[Total]]+SamplingData[[#This Row],[Winning Candidate]]-SamplingData[[#This Row],[Candidate 3]])/(SamplingData[[#Totals],[Winning Candidate]]-SamplingData[[#Totals],[Candidate 3]]), 0)</f>
        <v>0</v>
      </c>
      <c r="S411" s="99">
        <f>IF(AND(SamplingData[[#This Row],[Total]]&lt;&gt; 0, NOT(ISBLANK(SamplingData[[#This Row],[Candidate 4]]))),(SamplingData[[#This Row],[Total]]+SamplingData[[#This Row],[Winning Candidate]]-SamplingData[[#This Row],[Candidate 4]])/(SamplingData[[#Totals],[Winning Candidate]]-SamplingData[[#Totals],[Candidate 4]]), 0)</f>
        <v>0</v>
      </c>
      <c r="T411" s="99">
        <f>IF(AND(SamplingData[[#This Row],[Total]]&lt;&gt; 0, NOT(ISBLANK(SamplingData[[#This Row],[Candidate 5]]))),(SamplingData[[#This Row],[Total]]+SamplingData[[#This Row],[Winning Candidate]]-SamplingData[[#This Row],[Candidate 5]])/(SamplingData[[#Totals],[Winning Candidate]]-SamplingData[[#Totals],[Candidate 5]]), 0)</f>
        <v>0</v>
      </c>
      <c r="U411" s="99">
        <f>IF(AND(SamplingData[[#This Row],[Total]]&lt;&gt; 0, NOT(ISBLANK(SamplingData[[#This Row],[Candidate 6]]))),(SamplingData[[#This Row],[Total]]+SamplingData[[#This Row],[Losing Candidate]]-SamplingData[[#This Row],[Candidate 6]])/(SamplingData[[#Totals],[Winning Candidate]]-SamplingData[[#Totals],[Candidate 6]]), 0)</f>
        <v>0</v>
      </c>
      <c r="V411" s="99">
        <f>IF(AND(SamplingData[[#This Row],[Total]]&lt;&gt; 0, NOT(ISBLANK(SamplingData[[#This Row],[Candidate 7]]))),(SamplingData[[#This Row],[Total]]+SamplingData[[#This Row],[Winning Candidate]]-SamplingData[[#This Row],[Candidate 7]])/(SamplingData[[#Totals],[Winning Candidate]]-SamplingData[[#Totals],[Candidate 7]]), 0)</f>
        <v>0</v>
      </c>
      <c r="W411" s="99">
        <f>IF(AND(SamplingData[[#This Row],[Total]]&lt;&gt; 0, NOT(ISBLANK(SamplingData[[#This Row],[Candidate 8]]))),(SamplingData[[#This Row],[Total]]+SamplingData[[#This Row],[Winning Candidate]]-SamplingData[[#This Row],[Candidate 8]])/(SamplingData[[#Totals],[Winning Candidate]]-SamplingData[[#Totals],[Candidate 8]]), 0)</f>
        <v>0</v>
      </c>
      <c r="X4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1" s="99">
        <f>MAX(SamplingData[[#This Row],[Error Bound (up) - Max. possible relative overstatement - Losing Candidate]:[Error Bound (up) - Max. possible relative overstatement - Candidate 12]])</f>
        <v>1.0057715158716686E-2</v>
      </c>
      <c r="AC411" s="99">
        <f>IF(SamplingData[[#This Row],[Max Error Bound (up)]] = 0,0,SamplingData[[#This Row],[Max Error Bound (up)]]/SamplingData[[#Totals],[Max Error Bound (up)]])</f>
        <v>5.3849929108954148E-4</v>
      </c>
      <c r="AD411" s="103">
        <f>SUM($AC$5:AC411)</f>
        <v>0.35550269022430725</v>
      </c>
      <c r="AE411" s="99" t="str" cm="1">
        <f t="array" ref="AE411">IF(SamplingData[[#This Row],[up/U Selection Probability]] = 0, "Zero", TEXT(SamplingData[[#This Row],[Lower Range]], REPT("0",LEN('General Info'!$B$42))) &amp; " - " &amp; TEXT(SamplingData[[#This Row],[Upper Range]], REPT("0",LEN('General Info'!$B$42))))</f>
        <v>354964 - 355502</v>
      </c>
      <c r="AF411" s="99">
        <f>SamplingData[[#This Row],[Upper Range]]-SamplingData[[#This Row],[Span]]</f>
        <v>354964.1909332177</v>
      </c>
      <c r="AG411" s="99">
        <f>IF(ISNUMBER('General Info'!$B$42), ((SamplingData[[#This Row],[up/U Selection Probability]]) * 'General Info'!$B$44) - 1, 0)</f>
        <v>537.49929108954143</v>
      </c>
      <c r="AH411" s="99">
        <f>IF(ISNUMBER('General Info'!$B$42), (SamplingData[[#This Row],[Running (cumulative) sum]] * ('General Info'!$B$42 -'General Info'!$B$43 + 1)) + 'General Info'!$B$43 - 1, 0)</f>
        <v>355501.69022430724</v>
      </c>
      <c r="AI411" s="99" t="str">
        <f>IF(ISERROR(MATCH(SamplingData[[#This Row],[Batch by Type (p)]],SelectedPrecincts[Batch Name], 0)), "", INDEX(SelectedPrecincts[Draw], MATCH(SamplingData[[#This Row],[Batch by Type (p)]],SelectedPrecincts[Batch Name], 0)))</f>
        <v/>
      </c>
      <c r="AJ411" s="100">
        <f>IF(COUNTIF(SelectedPrecincts[Batch Name],SamplingData[[#This Row],[Batch by Type (p)]]) &lt;&gt; 0, COUNTIF(SelectedPrecincts[Batch Name],SamplingData[[#This Row],[Batch by Type (p)]]), 0)</f>
        <v>0</v>
      </c>
    </row>
    <row r="412" spans="1:36" ht="15" customHeight="1" x14ac:dyDescent="0.35">
      <c r="A412" s="97" t="s">
        <v>625</v>
      </c>
      <c r="B412" s="97">
        <v>70</v>
      </c>
      <c r="C412" s="97">
        <v>134</v>
      </c>
      <c r="D412" s="92"/>
      <c r="E412" s="92"/>
      <c r="F412" s="92"/>
      <c r="G412" s="96"/>
      <c r="H412" s="96"/>
      <c r="I412" s="92"/>
      <c r="J412" s="92"/>
      <c r="K412" s="92"/>
      <c r="L412" s="92"/>
      <c r="M412" s="92"/>
      <c r="N412" s="97">
        <v>0</v>
      </c>
      <c r="O412" s="97">
        <v>4</v>
      </c>
      <c r="P412" s="98">
        <f>SUM(SamplingData[[#This Row],[Winning Candidate]:[Under Votes]])</f>
        <v>208</v>
      </c>
      <c r="Q412" s="99">
        <f>IF(AND(SamplingData[[#This Row],[Total]]&lt;&gt; 0, NOT(ISBLANK(SamplingData[[#This Row],[Losing Candidate]]))),(SamplingData[[#This Row],[Total]]+SamplingData[[#This Row],[Winning Candidate]]-SamplingData[[#This Row],[Losing Candidate]])/(SamplingData[[#Totals],[Winning Candidate]]-SamplingData[[#Totals],[Losing Candidate]]), 0)</f>
        <v>6.1110168052962146E-3</v>
      </c>
      <c r="R412" s="99">
        <f>IF(AND(SamplingData[[#This Row],[Total]]&lt;&gt; 0, NOT(ISBLANK(SamplingData[[#This Row],[Candidate 3]]))),(SamplingData[[#This Row],[Total]]+SamplingData[[#This Row],[Winning Candidate]]-SamplingData[[#This Row],[Candidate 3]])/(SamplingData[[#Totals],[Winning Candidate]]-SamplingData[[#Totals],[Candidate 3]]), 0)</f>
        <v>0</v>
      </c>
      <c r="S412" s="99">
        <f>IF(AND(SamplingData[[#This Row],[Total]]&lt;&gt; 0, NOT(ISBLANK(SamplingData[[#This Row],[Candidate 4]]))),(SamplingData[[#This Row],[Total]]+SamplingData[[#This Row],[Winning Candidate]]-SamplingData[[#This Row],[Candidate 4]])/(SamplingData[[#Totals],[Winning Candidate]]-SamplingData[[#Totals],[Candidate 4]]), 0)</f>
        <v>0</v>
      </c>
      <c r="T412" s="99">
        <f>IF(AND(SamplingData[[#This Row],[Total]]&lt;&gt; 0, NOT(ISBLANK(SamplingData[[#This Row],[Candidate 5]]))),(SamplingData[[#This Row],[Total]]+SamplingData[[#This Row],[Winning Candidate]]-SamplingData[[#This Row],[Candidate 5]])/(SamplingData[[#Totals],[Winning Candidate]]-SamplingData[[#Totals],[Candidate 5]]), 0)</f>
        <v>0</v>
      </c>
      <c r="U412" s="99">
        <f>IF(AND(SamplingData[[#This Row],[Total]]&lt;&gt; 0, NOT(ISBLANK(SamplingData[[#This Row],[Candidate 6]]))),(SamplingData[[#This Row],[Total]]+SamplingData[[#This Row],[Losing Candidate]]-SamplingData[[#This Row],[Candidate 6]])/(SamplingData[[#Totals],[Winning Candidate]]-SamplingData[[#Totals],[Candidate 6]]), 0)</f>
        <v>0</v>
      </c>
      <c r="V412" s="99">
        <f>IF(AND(SamplingData[[#This Row],[Total]]&lt;&gt; 0, NOT(ISBLANK(SamplingData[[#This Row],[Candidate 7]]))),(SamplingData[[#This Row],[Total]]+SamplingData[[#This Row],[Winning Candidate]]-SamplingData[[#This Row],[Candidate 7]])/(SamplingData[[#Totals],[Winning Candidate]]-SamplingData[[#Totals],[Candidate 7]]), 0)</f>
        <v>0</v>
      </c>
      <c r="W412" s="99">
        <f>IF(AND(SamplingData[[#This Row],[Total]]&lt;&gt; 0, NOT(ISBLANK(SamplingData[[#This Row],[Candidate 8]]))),(SamplingData[[#This Row],[Total]]+SamplingData[[#This Row],[Winning Candidate]]-SamplingData[[#This Row],[Candidate 8]])/(SamplingData[[#Totals],[Winning Candidate]]-SamplingData[[#Totals],[Candidate 8]]), 0)</f>
        <v>0</v>
      </c>
      <c r="X4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2" s="99">
        <f>MAX(SamplingData[[#This Row],[Error Bound (up) - Max. possible relative overstatement - Losing Candidate]:[Error Bound (up) - Max. possible relative overstatement - Candidate 12]])</f>
        <v>6.1110168052962146E-3</v>
      </c>
      <c r="AC412" s="99">
        <f>IF(SamplingData[[#This Row],[Max Error Bound (up)]] = 0,0,SamplingData[[#This Row],[Max Error Bound (up)]]/SamplingData[[#Totals],[Max Error Bound (up)]])</f>
        <v>3.2718944268731636E-4</v>
      </c>
      <c r="AD412" s="103">
        <f>SUM($AC$5:AC412)</f>
        <v>0.35582987966699459</v>
      </c>
      <c r="AE412" s="99" t="str" cm="1">
        <f t="array" ref="AE412">IF(SamplingData[[#This Row],[up/U Selection Probability]] = 0, "Zero", TEXT(SamplingData[[#This Row],[Lower Range]], REPT("0",LEN('General Info'!$B$42))) &amp; " - " &amp; TEXT(SamplingData[[#This Row],[Upper Range]], REPT("0",LEN('General Info'!$B$42))))</f>
        <v>355503 - 355829</v>
      </c>
      <c r="AF412" s="99">
        <f>SamplingData[[#This Row],[Upper Range]]-SamplingData[[#This Row],[Span]]</f>
        <v>355502.69022430724</v>
      </c>
      <c r="AG412" s="99">
        <f>IF(ISNUMBER('General Info'!$B$42), ((SamplingData[[#This Row],[up/U Selection Probability]]) * 'General Info'!$B$44) - 1, 0)</f>
        <v>326.18944268731633</v>
      </c>
      <c r="AH412" s="99">
        <f>IF(ISNUMBER('General Info'!$B$42), (SamplingData[[#This Row],[Running (cumulative) sum]] * ('General Info'!$B$42 -'General Info'!$B$43 + 1)) + 'General Info'!$B$43 - 1, 0)</f>
        <v>355828.87966699456</v>
      </c>
      <c r="AI412" s="99" t="str">
        <f>IF(ISERROR(MATCH(SamplingData[[#This Row],[Batch by Type (p)]],SelectedPrecincts[Batch Name], 0)), "", INDEX(SelectedPrecincts[Draw], MATCH(SamplingData[[#This Row],[Batch by Type (p)]],SelectedPrecincts[Batch Name], 0)))</f>
        <v/>
      </c>
      <c r="AJ412" s="100">
        <f>IF(COUNTIF(SelectedPrecincts[Batch Name],SamplingData[[#This Row],[Batch by Type (p)]]) &lt;&gt; 0, COUNTIF(SelectedPrecincts[Batch Name],SamplingData[[#This Row],[Batch by Type (p)]]), 0)</f>
        <v>0</v>
      </c>
    </row>
    <row r="413" spans="1:36" ht="15" customHeight="1" x14ac:dyDescent="0.35">
      <c r="A413" s="97" t="s">
        <v>626</v>
      </c>
      <c r="B413" s="97">
        <v>94</v>
      </c>
      <c r="C413" s="97">
        <v>194</v>
      </c>
      <c r="D413" s="92"/>
      <c r="E413" s="92"/>
      <c r="F413" s="92"/>
      <c r="G413" s="96"/>
      <c r="H413" s="96"/>
      <c r="I413" s="92"/>
      <c r="J413" s="92"/>
      <c r="K413" s="92"/>
      <c r="L413" s="92"/>
      <c r="M413" s="92"/>
      <c r="N413" s="97">
        <v>0</v>
      </c>
      <c r="O413" s="97">
        <v>16</v>
      </c>
      <c r="P413" s="98">
        <f>SUM(SamplingData[[#This Row],[Winning Candidate]:[Under Votes]])</f>
        <v>304</v>
      </c>
      <c r="Q413" s="99">
        <f>IF(AND(SamplingData[[#This Row],[Total]]&lt;&gt; 0, NOT(ISBLANK(SamplingData[[#This Row],[Losing Candidate]]))),(SamplingData[[#This Row],[Total]]+SamplingData[[#This Row],[Winning Candidate]]-SamplingData[[#This Row],[Losing Candidate]])/(SamplingData[[#Totals],[Winning Candidate]]-SamplingData[[#Totals],[Losing Candidate]]), 0)</f>
        <v>8.6572738075029708E-3</v>
      </c>
      <c r="R413" s="99">
        <f>IF(AND(SamplingData[[#This Row],[Total]]&lt;&gt; 0, NOT(ISBLANK(SamplingData[[#This Row],[Candidate 3]]))),(SamplingData[[#This Row],[Total]]+SamplingData[[#This Row],[Winning Candidate]]-SamplingData[[#This Row],[Candidate 3]])/(SamplingData[[#Totals],[Winning Candidate]]-SamplingData[[#Totals],[Candidate 3]]), 0)</f>
        <v>0</v>
      </c>
      <c r="S413" s="99">
        <f>IF(AND(SamplingData[[#This Row],[Total]]&lt;&gt; 0, NOT(ISBLANK(SamplingData[[#This Row],[Candidate 4]]))),(SamplingData[[#This Row],[Total]]+SamplingData[[#This Row],[Winning Candidate]]-SamplingData[[#This Row],[Candidate 4]])/(SamplingData[[#Totals],[Winning Candidate]]-SamplingData[[#Totals],[Candidate 4]]), 0)</f>
        <v>0</v>
      </c>
      <c r="T413" s="99">
        <f>IF(AND(SamplingData[[#This Row],[Total]]&lt;&gt; 0, NOT(ISBLANK(SamplingData[[#This Row],[Candidate 5]]))),(SamplingData[[#This Row],[Total]]+SamplingData[[#This Row],[Winning Candidate]]-SamplingData[[#This Row],[Candidate 5]])/(SamplingData[[#Totals],[Winning Candidate]]-SamplingData[[#Totals],[Candidate 5]]), 0)</f>
        <v>0</v>
      </c>
      <c r="U413" s="99">
        <f>IF(AND(SamplingData[[#This Row],[Total]]&lt;&gt; 0, NOT(ISBLANK(SamplingData[[#This Row],[Candidate 6]]))),(SamplingData[[#This Row],[Total]]+SamplingData[[#This Row],[Losing Candidate]]-SamplingData[[#This Row],[Candidate 6]])/(SamplingData[[#Totals],[Winning Candidate]]-SamplingData[[#Totals],[Candidate 6]]), 0)</f>
        <v>0</v>
      </c>
      <c r="V413" s="99">
        <f>IF(AND(SamplingData[[#This Row],[Total]]&lt;&gt; 0, NOT(ISBLANK(SamplingData[[#This Row],[Candidate 7]]))),(SamplingData[[#This Row],[Total]]+SamplingData[[#This Row],[Winning Candidate]]-SamplingData[[#This Row],[Candidate 7]])/(SamplingData[[#Totals],[Winning Candidate]]-SamplingData[[#Totals],[Candidate 7]]), 0)</f>
        <v>0</v>
      </c>
      <c r="W413" s="99">
        <f>IF(AND(SamplingData[[#This Row],[Total]]&lt;&gt; 0, NOT(ISBLANK(SamplingData[[#This Row],[Candidate 8]]))),(SamplingData[[#This Row],[Total]]+SamplingData[[#This Row],[Winning Candidate]]-SamplingData[[#This Row],[Candidate 8]])/(SamplingData[[#Totals],[Winning Candidate]]-SamplingData[[#Totals],[Candidate 8]]), 0)</f>
        <v>0</v>
      </c>
      <c r="X4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3" s="99">
        <f>MAX(SamplingData[[#This Row],[Error Bound (up) - Max. possible relative overstatement - Losing Candidate]:[Error Bound (up) - Max. possible relative overstatement - Candidate 12]])</f>
        <v>8.6572738075029708E-3</v>
      </c>
      <c r="AC413" s="99">
        <f>IF(SamplingData[[#This Row],[Max Error Bound (up)]] = 0,0,SamplingData[[#This Row],[Max Error Bound (up)]]/SamplingData[[#Totals],[Max Error Bound (up)]])</f>
        <v>4.6351837714036489E-4</v>
      </c>
      <c r="AD413" s="103">
        <f>SUM($AC$5:AC413)</f>
        <v>0.35629339804413496</v>
      </c>
      <c r="AE413" s="99" t="str" cm="1">
        <f t="array" ref="AE413">IF(SamplingData[[#This Row],[up/U Selection Probability]] = 0, "Zero", TEXT(SamplingData[[#This Row],[Lower Range]], REPT("0",LEN('General Info'!$B$42))) &amp; " - " &amp; TEXT(SamplingData[[#This Row],[Upper Range]], REPT("0",LEN('General Info'!$B$42))))</f>
        <v>355830 - 356292</v>
      </c>
      <c r="AF413" s="99">
        <f>SamplingData[[#This Row],[Upper Range]]-SamplingData[[#This Row],[Span]]</f>
        <v>355829.87966699462</v>
      </c>
      <c r="AG413" s="99">
        <f>IF(ISNUMBER('General Info'!$B$42), ((SamplingData[[#This Row],[up/U Selection Probability]]) * 'General Info'!$B$44) - 1, 0)</f>
        <v>462.51837714036492</v>
      </c>
      <c r="AH413" s="99">
        <f>IF(ISNUMBER('General Info'!$B$42), (SamplingData[[#This Row],[Running (cumulative) sum]] * ('General Info'!$B$42 -'General Info'!$B$43 + 1)) + 'General Info'!$B$43 - 1, 0)</f>
        <v>356292.39804413496</v>
      </c>
      <c r="AI413" s="99" t="str">
        <f>IF(ISERROR(MATCH(SamplingData[[#This Row],[Batch by Type (p)]],SelectedPrecincts[Batch Name], 0)), "", INDEX(SelectedPrecincts[Draw], MATCH(SamplingData[[#This Row],[Batch by Type (p)]],SelectedPrecincts[Batch Name], 0)))</f>
        <v/>
      </c>
      <c r="AJ413" s="100">
        <f>IF(COUNTIF(SelectedPrecincts[Batch Name],SamplingData[[#This Row],[Batch by Type (p)]]) &lt;&gt; 0, COUNTIF(SelectedPrecincts[Batch Name],SamplingData[[#This Row],[Batch by Type (p)]]), 0)</f>
        <v>0</v>
      </c>
    </row>
    <row r="414" spans="1:36" ht="15" customHeight="1" x14ac:dyDescent="0.35">
      <c r="A414" s="97" t="s">
        <v>627</v>
      </c>
      <c r="B414" s="97">
        <v>108</v>
      </c>
      <c r="C414" s="97">
        <v>130</v>
      </c>
      <c r="D414" s="92"/>
      <c r="E414" s="92"/>
      <c r="F414" s="92"/>
      <c r="G414" s="96"/>
      <c r="H414" s="96"/>
      <c r="I414" s="92"/>
      <c r="J414" s="92"/>
      <c r="K414" s="92"/>
      <c r="L414" s="92"/>
      <c r="M414" s="92"/>
      <c r="N414" s="97">
        <v>0</v>
      </c>
      <c r="O414" s="97">
        <v>12</v>
      </c>
      <c r="P414" s="98">
        <f>SUM(SamplingData[[#This Row],[Winning Candidate]:[Under Votes]])</f>
        <v>250</v>
      </c>
      <c r="Q414" s="99">
        <f>IF(AND(SamplingData[[#This Row],[Total]]&lt;&gt; 0, NOT(ISBLANK(SamplingData[[#This Row],[Losing Candidate]]))),(SamplingData[[#This Row],[Total]]+SamplingData[[#This Row],[Winning Candidate]]-SamplingData[[#This Row],[Losing Candidate]])/(SamplingData[[#Totals],[Winning Candidate]]-SamplingData[[#Totals],[Losing Candidate]]), 0)</f>
        <v>9.6757766083856722E-3</v>
      </c>
      <c r="R414" s="99">
        <f>IF(AND(SamplingData[[#This Row],[Total]]&lt;&gt; 0, NOT(ISBLANK(SamplingData[[#This Row],[Candidate 3]]))),(SamplingData[[#This Row],[Total]]+SamplingData[[#This Row],[Winning Candidate]]-SamplingData[[#This Row],[Candidate 3]])/(SamplingData[[#Totals],[Winning Candidate]]-SamplingData[[#Totals],[Candidate 3]]), 0)</f>
        <v>0</v>
      </c>
      <c r="S414" s="99">
        <f>IF(AND(SamplingData[[#This Row],[Total]]&lt;&gt; 0, NOT(ISBLANK(SamplingData[[#This Row],[Candidate 4]]))),(SamplingData[[#This Row],[Total]]+SamplingData[[#This Row],[Winning Candidate]]-SamplingData[[#This Row],[Candidate 4]])/(SamplingData[[#Totals],[Winning Candidate]]-SamplingData[[#Totals],[Candidate 4]]), 0)</f>
        <v>0</v>
      </c>
      <c r="T414" s="99">
        <f>IF(AND(SamplingData[[#This Row],[Total]]&lt;&gt; 0, NOT(ISBLANK(SamplingData[[#This Row],[Candidate 5]]))),(SamplingData[[#This Row],[Total]]+SamplingData[[#This Row],[Winning Candidate]]-SamplingData[[#This Row],[Candidate 5]])/(SamplingData[[#Totals],[Winning Candidate]]-SamplingData[[#Totals],[Candidate 5]]), 0)</f>
        <v>0</v>
      </c>
      <c r="U414" s="99">
        <f>IF(AND(SamplingData[[#This Row],[Total]]&lt;&gt; 0, NOT(ISBLANK(SamplingData[[#This Row],[Candidate 6]]))),(SamplingData[[#This Row],[Total]]+SamplingData[[#This Row],[Losing Candidate]]-SamplingData[[#This Row],[Candidate 6]])/(SamplingData[[#Totals],[Winning Candidate]]-SamplingData[[#Totals],[Candidate 6]]), 0)</f>
        <v>0</v>
      </c>
      <c r="V414" s="99">
        <f>IF(AND(SamplingData[[#This Row],[Total]]&lt;&gt; 0, NOT(ISBLANK(SamplingData[[#This Row],[Candidate 7]]))),(SamplingData[[#This Row],[Total]]+SamplingData[[#This Row],[Winning Candidate]]-SamplingData[[#This Row],[Candidate 7]])/(SamplingData[[#Totals],[Winning Candidate]]-SamplingData[[#Totals],[Candidate 7]]), 0)</f>
        <v>0</v>
      </c>
      <c r="W414" s="99">
        <f>IF(AND(SamplingData[[#This Row],[Total]]&lt;&gt; 0, NOT(ISBLANK(SamplingData[[#This Row],[Candidate 8]]))),(SamplingData[[#This Row],[Total]]+SamplingData[[#This Row],[Winning Candidate]]-SamplingData[[#This Row],[Candidate 8]])/(SamplingData[[#Totals],[Winning Candidate]]-SamplingData[[#Totals],[Candidate 8]]), 0)</f>
        <v>0</v>
      </c>
      <c r="X4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4" s="99">
        <f>MAX(SamplingData[[#This Row],[Error Bound (up) - Max. possible relative overstatement - Losing Candidate]:[Error Bound (up) - Max. possible relative overstatement - Candidate 12]])</f>
        <v>9.6757766083856722E-3</v>
      </c>
      <c r="AC414" s="99">
        <f>IF(SamplingData[[#This Row],[Max Error Bound (up)]] = 0,0,SamplingData[[#This Row],[Max Error Bound (up)]]/SamplingData[[#Totals],[Max Error Bound (up)]])</f>
        <v>5.1804995092158423E-4</v>
      </c>
      <c r="AD414" s="103">
        <f>SUM($AC$5:AC414)</f>
        <v>0.35681144799505654</v>
      </c>
      <c r="AE414" s="99" t="str" cm="1">
        <f t="array" ref="AE414">IF(SamplingData[[#This Row],[up/U Selection Probability]] = 0, "Zero", TEXT(SamplingData[[#This Row],[Lower Range]], REPT("0",LEN('General Info'!$B$42))) &amp; " - " &amp; TEXT(SamplingData[[#This Row],[Upper Range]], REPT("0",LEN('General Info'!$B$42))))</f>
        <v>356293 - 356810</v>
      </c>
      <c r="AF414" s="99">
        <f>SamplingData[[#This Row],[Upper Range]]-SamplingData[[#This Row],[Span]]</f>
        <v>356293.39804413496</v>
      </c>
      <c r="AG414" s="99">
        <f>IF(ISNUMBER('General Info'!$B$42), ((SamplingData[[#This Row],[up/U Selection Probability]]) * 'General Info'!$B$44) - 1, 0)</f>
        <v>517.04995092158424</v>
      </c>
      <c r="AH414" s="99">
        <f>IF(ISNUMBER('General Info'!$B$42), (SamplingData[[#This Row],[Running (cumulative) sum]] * ('General Info'!$B$42 -'General Info'!$B$43 + 1)) + 'General Info'!$B$43 - 1, 0)</f>
        <v>356810.44799505651</v>
      </c>
      <c r="AI414" s="99" t="str">
        <f>IF(ISERROR(MATCH(SamplingData[[#This Row],[Batch by Type (p)]],SelectedPrecincts[Batch Name], 0)), "", INDEX(SelectedPrecincts[Draw], MATCH(SamplingData[[#This Row],[Batch by Type (p)]],SelectedPrecincts[Batch Name], 0)))</f>
        <v/>
      </c>
      <c r="AJ414" s="100">
        <f>IF(COUNTIF(SelectedPrecincts[Batch Name],SamplingData[[#This Row],[Batch by Type (p)]]) &lt;&gt; 0, COUNTIF(SelectedPrecincts[Batch Name],SamplingData[[#This Row],[Batch by Type (p)]]), 0)</f>
        <v>0</v>
      </c>
    </row>
    <row r="415" spans="1:36" ht="15" customHeight="1" x14ac:dyDescent="0.35">
      <c r="A415" s="97" t="s">
        <v>628</v>
      </c>
      <c r="B415" s="97">
        <v>37</v>
      </c>
      <c r="C415" s="97">
        <v>49</v>
      </c>
      <c r="D415" s="92"/>
      <c r="E415" s="92"/>
      <c r="F415" s="92"/>
      <c r="G415" s="96"/>
      <c r="H415" s="96"/>
      <c r="I415" s="92"/>
      <c r="J415" s="92"/>
      <c r="K415" s="92"/>
      <c r="L415" s="92"/>
      <c r="M415" s="92"/>
      <c r="N415" s="97">
        <v>0</v>
      </c>
      <c r="O415" s="97">
        <v>6</v>
      </c>
      <c r="P415" s="98">
        <f>SUM(SamplingData[[#This Row],[Winning Candidate]:[Under Votes]])</f>
        <v>92</v>
      </c>
      <c r="Q415" s="99">
        <f>IF(AND(SamplingData[[#This Row],[Total]]&lt;&gt; 0, NOT(ISBLANK(SamplingData[[#This Row],[Losing Candidate]]))),(SamplingData[[#This Row],[Total]]+SamplingData[[#This Row],[Winning Candidate]]-SamplingData[[#This Row],[Losing Candidate]])/(SamplingData[[#Totals],[Winning Candidate]]-SamplingData[[#Totals],[Losing Candidate]]), 0)</f>
        <v>3.3950093362756749E-3</v>
      </c>
      <c r="R415" s="99">
        <f>IF(AND(SamplingData[[#This Row],[Total]]&lt;&gt; 0, NOT(ISBLANK(SamplingData[[#This Row],[Candidate 3]]))),(SamplingData[[#This Row],[Total]]+SamplingData[[#This Row],[Winning Candidate]]-SamplingData[[#This Row],[Candidate 3]])/(SamplingData[[#Totals],[Winning Candidate]]-SamplingData[[#Totals],[Candidate 3]]), 0)</f>
        <v>0</v>
      </c>
      <c r="S415" s="99">
        <f>IF(AND(SamplingData[[#This Row],[Total]]&lt;&gt; 0, NOT(ISBLANK(SamplingData[[#This Row],[Candidate 4]]))),(SamplingData[[#This Row],[Total]]+SamplingData[[#This Row],[Winning Candidate]]-SamplingData[[#This Row],[Candidate 4]])/(SamplingData[[#Totals],[Winning Candidate]]-SamplingData[[#Totals],[Candidate 4]]), 0)</f>
        <v>0</v>
      </c>
      <c r="T415" s="99">
        <f>IF(AND(SamplingData[[#This Row],[Total]]&lt;&gt; 0, NOT(ISBLANK(SamplingData[[#This Row],[Candidate 5]]))),(SamplingData[[#This Row],[Total]]+SamplingData[[#This Row],[Winning Candidate]]-SamplingData[[#This Row],[Candidate 5]])/(SamplingData[[#Totals],[Winning Candidate]]-SamplingData[[#Totals],[Candidate 5]]), 0)</f>
        <v>0</v>
      </c>
      <c r="U415" s="99">
        <f>IF(AND(SamplingData[[#This Row],[Total]]&lt;&gt; 0, NOT(ISBLANK(SamplingData[[#This Row],[Candidate 6]]))),(SamplingData[[#This Row],[Total]]+SamplingData[[#This Row],[Losing Candidate]]-SamplingData[[#This Row],[Candidate 6]])/(SamplingData[[#Totals],[Winning Candidate]]-SamplingData[[#Totals],[Candidate 6]]), 0)</f>
        <v>0</v>
      </c>
      <c r="V415" s="99">
        <f>IF(AND(SamplingData[[#This Row],[Total]]&lt;&gt; 0, NOT(ISBLANK(SamplingData[[#This Row],[Candidate 7]]))),(SamplingData[[#This Row],[Total]]+SamplingData[[#This Row],[Winning Candidate]]-SamplingData[[#This Row],[Candidate 7]])/(SamplingData[[#Totals],[Winning Candidate]]-SamplingData[[#Totals],[Candidate 7]]), 0)</f>
        <v>0</v>
      </c>
      <c r="W415" s="99">
        <f>IF(AND(SamplingData[[#This Row],[Total]]&lt;&gt; 0, NOT(ISBLANK(SamplingData[[#This Row],[Candidate 8]]))),(SamplingData[[#This Row],[Total]]+SamplingData[[#This Row],[Winning Candidate]]-SamplingData[[#This Row],[Candidate 8]])/(SamplingData[[#Totals],[Winning Candidate]]-SamplingData[[#Totals],[Candidate 8]]), 0)</f>
        <v>0</v>
      </c>
      <c r="X4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5" s="99">
        <f>MAX(SamplingData[[#This Row],[Error Bound (up) - Max. possible relative overstatement - Losing Candidate]:[Error Bound (up) - Max. possible relative overstatement - Candidate 12]])</f>
        <v>3.3950093362756749E-3</v>
      </c>
      <c r="AC415" s="99">
        <f>IF(SamplingData[[#This Row],[Max Error Bound (up)]] = 0,0,SamplingData[[#This Row],[Max Error Bound (up)]]/SamplingData[[#Totals],[Max Error Bound (up)]])</f>
        <v>1.8177191260406467E-4</v>
      </c>
      <c r="AD415" s="103">
        <f>SUM($AC$5:AC415)</f>
        <v>0.35699321990766059</v>
      </c>
      <c r="AE415" s="99" t="str" cm="1">
        <f t="array" ref="AE415">IF(SamplingData[[#This Row],[up/U Selection Probability]] = 0, "Zero", TEXT(SamplingData[[#This Row],[Lower Range]], REPT("0",LEN('General Info'!$B$42))) &amp; " - " &amp; TEXT(SamplingData[[#This Row],[Upper Range]], REPT("0",LEN('General Info'!$B$42))))</f>
        <v>356811 - 356992</v>
      </c>
      <c r="AF415" s="99">
        <f>SamplingData[[#This Row],[Upper Range]]-SamplingData[[#This Row],[Span]]</f>
        <v>356811.44799505651</v>
      </c>
      <c r="AG415" s="99">
        <f>IF(ISNUMBER('General Info'!$B$42), ((SamplingData[[#This Row],[up/U Selection Probability]]) * 'General Info'!$B$44) - 1, 0)</f>
        <v>180.77191260406468</v>
      </c>
      <c r="AH415" s="99">
        <f>IF(ISNUMBER('General Info'!$B$42), (SamplingData[[#This Row],[Running (cumulative) sum]] * ('General Info'!$B$42 -'General Info'!$B$43 + 1)) + 'General Info'!$B$43 - 1, 0)</f>
        <v>356992.21990766056</v>
      </c>
      <c r="AI415" s="99" t="str">
        <f>IF(ISERROR(MATCH(SamplingData[[#This Row],[Batch by Type (p)]],SelectedPrecincts[Batch Name], 0)), "", INDEX(SelectedPrecincts[Draw], MATCH(SamplingData[[#This Row],[Batch by Type (p)]],SelectedPrecincts[Batch Name], 0)))</f>
        <v/>
      </c>
      <c r="AJ415" s="100">
        <f>IF(COUNTIF(SelectedPrecincts[Batch Name],SamplingData[[#This Row],[Batch by Type (p)]]) &lt;&gt; 0, COUNTIF(SelectedPrecincts[Batch Name],SamplingData[[#This Row],[Batch by Type (p)]]), 0)</f>
        <v>0</v>
      </c>
    </row>
    <row r="416" spans="1:36" ht="15" customHeight="1" x14ac:dyDescent="0.35">
      <c r="A416" s="97" t="s">
        <v>629</v>
      </c>
      <c r="B416" s="97">
        <v>94</v>
      </c>
      <c r="C416" s="97">
        <v>150</v>
      </c>
      <c r="D416" s="92"/>
      <c r="E416" s="92"/>
      <c r="F416" s="92"/>
      <c r="G416" s="96"/>
      <c r="H416" s="96"/>
      <c r="I416" s="92"/>
      <c r="J416" s="92"/>
      <c r="K416" s="92"/>
      <c r="L416" s="92"/>
      <c r="M416" s="92"/>
      <c r="N416" s="97">
        <v>0</v>
      </c>
      <c r="O416" s="97">
        <v>21</v>
      </c>
      <c r="P416" s="98">
        <f>SUM(SamplingData[[#This Row],[Winning Candidate]:[Under Votes]])</f>
        <v>265</v>
      </c>
      <c r="Q416" s="99">
        <f>IF(AND(SamplingData[[#This Row],[Total]]&lt;&gt; 0, NOT(ISBLANK(SamplingData[[#This Row],[Losing Candidate]]))),(SamplingData[[#This Row],[Total]]+SamplingData[[#This Row],[Winning Candidate]]-SamplingData[[#This Row],[Losing Candidate]])/(SamplingData[[#Totals],[Winning Candidate]]-SamplingData[[#Totals],[Losing Candidate]]), 0)</f>
        <v>8.8694618910202007E-3</v>
      </c>
      <c r="R416" s="99">
        <f>IF(AND(SamplingData[[#This Row],[Total]]&lt;&gt; 0, NOT(ISBLANK(SamplingData[[#This Row],[Candidate 3]]))),(SamplingData[[#This Row],[Total]]+SamplingData[[#This Row],[Winning Candidate]]-SamplingData[[#This Row],[Candidate 3]])/(SamplingData[[#Totals],[Winning Candidate]]-SamplingData[[#Totals],[Candidate 3]]), 0)</f>
        <v>0</v>
      </c>
      <c r="S416" s="99">
        <f>IF(AND(SamplingData[[#This Row],[Total]]&lt;&gt; 0, NOT(ISBLANK(SamplingData[[#This Row],[Candidate 4]]))),(SamplingData[[#This Row],[Total]]+SamplingData[[#This Row],[Winning Candidate]]-SamplingData[[#This Row],[Candidate 4]])/(SamplingData[[#Totals],[Winning Candidate]]-SamplingData[[#Totals],[Candidate 4]]), 0)</f>
        <v>0</v>
      </c>
      <c r="T416" s="99">
        <f>IF(AND(SamplingData[[#This Row],[Total]]&lt;&gt; 0, NOT(ISBLANK(SamplingData[[#This Row],[Candidate 5]]))),(SamplingData[[#This Row],[Total]]+SamplingData[[#This Row],[Winning Candidate]]-SamplingData[[#This Row],[Candidate 5]])/(SamplingData[[#Totals],[Winning Candidate]]-SamplingData[[#Totals],[Candidate 5]]), 0)</f>
        <v>0</v>
      </c>
      <c r="U416" s="99">
        <f>IF(AND(SamplingData[[#This Row],[Total]]&lt;&gt; 0, NOT(ISBLANK(SamplingData[[#This Row],[Candidate 6]]))),(SamplingData[[#This Row],[Total]]+SamplingData[[#This Row],[Losing Candidate]]-SamplingData[[#This Row],[Candidate 6]])/(SamplingData[[#Totals],[Winning Candidate]]-SamplingData[[#Totals],[Candidate 6]]), 0)</f>
        <v>0</v>
      </c>
      <c r="V416" s="99">
        <f>IF(AND(SamplingData[[#This Row],[Total]]&lt;&gt; 0, NOT(ISBLANK(SamplingData[[#This Row],[Candidate 7]]))),(SamplingData[[#This Row],[Total]]+SamplingData[[#This Row],[Winning Candidate]]-SamplingData[[#This Row],[Candidate 7]])/(SamplingData[[#Totals],[Winning Candidate]]-SamplingData[[#Totals],[Candidate 7]]), 0)</f>
        <v>0</v>
      </c>
      <c r="W416" s="99">
        <f>IF(AND(SamplingData[[#This Row],[Total]]&lt;&gt; 0, NOT(ISBLANK(SamplingData[[#This Row],[Candidate 8]]))),(SamplingData[[#This Row],[Total]]+SamplingData[[#This Row],[Winning Candidate]]-SamplingData[[#This Row],[Candidate 8]])/(SamplingData[[#Totals],[Winning Candidate]]-SamplingData[[#Totals],[Candidate 8]]), 0)</f>
        <v>0</v>
      </c>
      <c r="X4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6" s="99">
        <f>MAX(SamplingData[[#This Row],[Error Bound (up) - Max. possible relative overstatement - Losing Candidate]:[Error Bound (up) - Max. possible relative overstatement - Candidate 12]])</f>
        <v>8.8694618910202007E-3</v>
      </c>
      <c r="AC416" s="99">
        <f>IF(SamplingData[[#This Row],[Max Error Bound (up)]] = 0,0,SamplingData[[#This Row],[Max Error Bound (up)]]/SamplingData[[#Totals],[Max Error Bound (up)]])</f>
        <v>4.7487912167811891E-4</v>
      </c>
      <c r="AD416" s="103">
        <f>SUM($AC$5:AC416)</f>
        <v>0.35746809902933868</v>
      </c>
      <c r="AE416" s="99" t="str" cm="1">
        <f t="array" ref="AE416">IF(SamplingData[[#This Row],[up/U Selection Probability]] = 0, "Zero", TEXT(SamplingData[[#This Row],[Lower Range]], REPT("0",LEN('General Info'!$B$42))) &amp; " - " &amp; TEXT(SamplingData[[#This Row],[Upper Range]], REPT("0",LEN('General Info'!$B$42))))</f>
        <v>356993 - 357467</v>
      </c>
      <c r="AF416" s="99">
        <f>SamplingData[[#This Row],[Upper Range]]-SamplingData[[#This Row],[Span]]</f>
        <v>356993.21990766056</v>
      </c>
      <c r="AG416" s="99">
        <f>IF(ISNUMBER('General Info'!$B$42), ((SamplingData[[#This Row],[up/U Selection Probability]]) * 'General Info'!$B$44) - 1, 0)</f>
        <v>473.87912167811891</v>
      </c>
      <c r="AH416" s="99">
        <f>IF(ISNUMBER('General Info'!$B$42), (SamplingData[[#This Row],[Running (cumulative) sum]] * ('General Info'!$B$42 -'General Info'!$B$43 + 1)) + 'General Info'!$B$43 - 1, 0)</f>
        <v>357467.09902933869</v>
      </c>
      <c r="AI416" s="99" t="str">
        <f>IF(ISERROR(MATCH(SamplingData[[#This Row],[Batch by Type (p)]],SelectedPrecincts[Batch Name], 0)), "", INDEX(SelectedPrecincts[Draw], MATCH(SamplingData[[#This Row],[Batch by Type (p)]],SelectedPrecincts[Batch Name], 0)))</f>
        <v/>
      </c>
      <c r="AJ416" s="100">
        <f>IF(COUNTIF(SelectedPrecincts[Batch Name],SamplingData[[#This Row],[Batch by Type (p)]]) &lt;&gt; 0, COUNTIF(SelectedPrecincts[Batch Name],SamplingData[[#This Row],[Batch by Type (p)]]), 0)</f>
        <v>0</v>
      </c>
    </row>
    <row r="417" spans="1:36" ht="15" customHeight="1" x14ac:dyDescent="0.35">
      <c r="A417" s="97" t="s">
        <v>630</v>
      </c>
      <c r="B417" s="97">
        <v>95</v>
      </c>
      <c r="C417" s="97">
        <v>147</v>
      </c>
      <c r="D417" s="92"/>
      <c r="E417" s="92"/>
      <c r="F417" s="92"/>
      <c r="G417" s="96"/>
      <c r="H417" s="96"/>
      <c r="I417" s="92"/>
      <c r="J417" s="92"/>
      <c r="K417" s="92"/>
      <c r="L417" s="92"/>
      <c r="M417" s="92"/>
      <c r="N417" s="97">
        <v>0</v>
      </c>
      <c r="O417" s="97">
        <v>10</v>
      </c>
      <c r="P417" s="98">
        <f>SUM(SamplingData[[#This Row],[Winning Candidate]:[Under Votes]])</f>
        <v>252</v>
      </c>
      <c r="Q417" s="99">
        <f>IF(AND(SamplingData[[#This Row],[Total]]&lt;&gt; 0, NOT(ISBLANK(SamplingData[[#This Row],[Losing Candidate]]))),(SamplingData[[#This Row],[Total]]+SamplingData[[#This Row],[Winning Candidate]]-SamplingData[[#This Row],[Losing Candidate]])/(SamplingData[[#Totals],[Winning Candidate]]-SamplingData[[#Totals],[Losing Candidate]]), 0)</f>
        <v>8.4875233406891872E-3</v>
      </c>
      <c r="R417" s="99">
        <f>IF(AND(SamplingData[[#This Row],[Total]]&lt;&gt; 0, NOT(ISBLANK(SamplingData[[#This Row],[Candidate 3]]))),(SamplingData[[#This Row],[Total]]+SamplingData[[#This Row],[Winning Candidate]]-SamplingData[[#This Row],[Candidate 3]])/(SamplingData[[#Totals],[Winning Candidate]]-SamplingData[[#Totals],[Candidate 3]]), 0)</f>
        <v>0</v>
      </c>
      <c r="S417" s="99">
        <f>IF(AND(SamplingData[[#This Row],[Total]]&lt;&gt; 0, NOT(ISBLANK(SamplingData[[#This Row],[Candidate 4]]))),(SamplingData[[#This Row],[Total]]+SamplingData[[#This Row],[Winning Candidate]]-SamplingData[[#This Row],[Candidate 4]])/(SamplingData[[#Totals],[Winning Candidate]]-SamplingData[[#Totals],[Candidate 4]]), 0)</f>
        <v>0</v>
      </c>
      <c r="T417" s="99">
        <f>IF(AND(SamplingData[[#This Row],[Total]]&lt;&gt; 0, NOT(ISBLANK(SamplingData[[#This Row],[Candidate 5]]))),(SamplingData[[#This Row],[Total]]+SamplingData[[#This Row],[Winning Candidate]]-SamplingData[[#This Row],[Candidate 5]])/(SamplingData[[#Totals],[Winning Candidate]]-SamplingData[[#Totals],[Candidate 5]]), 0)</f>
        <v>0</v>
      </c>
      <c r="U417" s="99">
        <f>IF(AND(SamplingData[[#This Row],[Total]]&lt;&gt; 0, NOT(ISBLANK(SamplingData[[#This Row],[Candidate 6]]))),(SamplingData[[#This Row],[Total]]+SamplingData[[#This Row],[Losing Candidate]]-SamplingData[[#This Row],[Candidate 6]])/(SamplingData[[#Totals],[Winning Candidate]]-SamplingData[[#Totals],[Candidate 6]]), 0)</f>
        <v>0</v>
      </c>
      <c r="V417" s="99">
        <f>IF(AND(SamplingData[[#This Row],[Total]]&lt;&gt; 0, NOT(ISBLANK(SamplingData[[#This Row],[Candidate 7]]))),(SamplingData[[#This Row],[Total]]+SamplingData[[#This Row],[Winning Candidate]]-SamplingData[[#This Row],[Candidate 7]])/(SamplingData[[#Totals],[Winning Candidate]]-SamplingData[[#Totals],[Candidate 7]]), 0)</f>
        <v>0</v>
      </c>
      <c r="W417" s="99">
        <f>IF(AND(SamplingData[[#This Row],[Total]]&lt;&gt; 0, NOT(ISBLANK(SamplingData[[#This Row],[Candidate 8]]))),(SamplingData[[#This Row],[Total]]+SamplingData[[#This Row],[Winning Candidate]]-SamplingData[[#This Row],[Candidate 8]])/(SamplingData[[#Totals],[Winning Candidate]]-SamplingData[[#Totals],[Candidate 8]]), 0)</f>
        <v>0</v>
      </c>
      <c r="X4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7" s="99">
        <f>MAX(SamplingData[[#This Row],[Error Bound (up) - Max. possible relative overstatement - Losing Candidate]:[Error Bound (up) - Max. possible relative overstatement - Candidate 12]])</f>
        <v>8.4875233406891872E-3</v>
      </c>
      <c r="AC417" s="99">
        <f>IF(SamplingData[[#This Row],[Max Error Bound (up)]] = 0,0,SamplingData[[#This Row],[Max Error Bound (up)]]/SamplingData[[#Totals],[Max Error Bound (up)]])</f>
        <v>4.5442978151016166E-4</v>
      </c>
      <c r="AD417" s="103">
        <f>SUM($AC$5:AC417)</f>
        <v>0.35792252881084885</v>
      </c>
      <c r="AE417" s="99" t="str" cm="1">
        <f t="array" ref="AE417">IF(SamplingData[[#This Row],[up/U Selection Probability]] = 0, "Zero", TEXT(SamplingData[[#This Row],[Lower Range]], REPT("0",LEN('General Info'!$B$42))) &amp; " - " &amp; TEXT(SamplingData[[#This Row],[Upper Range]], REPT("0",LEN('General Info'!$B$42))))</f>
        <v>357468 - 357922</v>
      </c>
      <c r="AF417" s="99">
        <f>SamplingData[[#This Row],[Upper Range]]-SamplingData[[#This Row],[Span]]</f>
        <v>357468.09902933869</v>
      </c>
      <c r="AG417" s="99">
        <f>IF(ISNUMBER('General Info'!$B$42), ((SamplingData[[#This Row],[up/U Selection Probability]]) * 'General Info'!$B$44) - 1, 0)</f>
        <v>453.42978151016166</v>
      </c>
      <c r="AH417" s="99">
        <f>IF(ISNUMBER('General Info'!$B$42), (SamplingData[[#This Row],[Running (cumulative) sum]] * ('General Info'!$B$42 -'General Info'!$B$43 + 1)) + 'General Info'!$B$43 - 1, 0)</f>
        <v>357921.52881084883</v>
      </c>
      <c r="AI417" s="99" t="str">
        <f>IF(ISERROR(MATCH(SamplingData[[#This Row],[Batch by Type (p)]],SelectedPrecincts[Batch Name], 0)), "", INDEX(SelectedPrecincts[Draw], MATCH(SamplingData[[#This Row],[Batch by Type (p)]],SelectedPrecincts[Batch Name], 0)))</f>
        <v/>
      </c>
      <c r="AJ417" s="100">
        <f>IF(COUNTIF(SelectedPrecincts[Batch Name],SamplingData[[#This Row],[Batch by Type (p)]]) &lt;&gt; 0, COUNTIF(SelectedPrecincts[Batch Name],SamplingData[[#This Row],[Batch by Type (p)]]), 0)</f>
        <v>0</v>
      </c>
    </row>
    <row r="418" spans="1:36" ht="15" customHeight="1" x14ac:dyDescent="0.35">
      <c r="A418" s="97" t="s">
        <v>631</v>
      </c>
      <c r="B418" s="97">
        <v>73</v>
      </c>
      <c r="C418" s="97">
        <v>230</v>
      </c>
      <c r="D418" s="92"/>
      <c r="E418" s="92"/>
      <c r="F418" s="92"/>
      <c r="G418" s="96"/>
      <c r="H418" s="96"/>
      <c r="I418" s="92"/>
      <c r="J418" s="92"/>
      <c r="K418" s="92"/>
      <c r="L418" s="92"/>
      <c r="M418" s="92"/>
      <c r="N418" s="97">
        <v>1</v>
      </c>
      <c r="O418" s="97">
        <v>19</v>
      </c>
      <c r="P418" s="98">
        <f>SUM(SamplingData[[#This Row],[Winning Candidate]:[Under Votes]])</f>
        <v>323</v>
      </c>
      <c r="Q418" s="99">
        <f>IF(AND(SamplingData[[#This Row],[Total]]&lt;&gt; 0, NOT(ISBLANK(SamplingData[[#This Row],[Losing Candidate]]))),(SamplingData[[#This Row],[Total]]+SamplingData[[#This Row],[Winning Candidate]]-SamplingData[[#This Row],[Losing Candidate]])/(SamplingData[[#Totals],[Winning Candidate]]-SamplingData[[#Totals],[Losing Candidate]]), 0)</f>
        <v>7.0446443727720251E-3</v>
      </c>
      <c r="R418" s="99">
        <f>IF(AND(SamplingData[[#This Row],[Total]]&lt;&gt; 0, NOT(ISBLANK(SamplingData[[#This Row],[Candidate 3]]))),(SamplingData[[#This Row],[Total]]+SamplingData[[#This Row],[Winning Candidate]]-SamplingData[[#This Row],[Candidate 3]])/(SamplingData[[#Totals],[Winning Candidate]]-SamplingData[[#Totals],[Candidate 3]]), 0)</f>
        <v>0</v>
      </c>
      <c r="S418" s="99">
        <f>IF(AND(SamplingData[[#This Row],[Total]]&lt;&gt; 0, NOT(ISBLANK(SamplingData[[#This Row],[Candidate 4]]))),(SamplingData[[#This Row],[Total]]+SamplingData[[#This Row],[Winning Candidate]]-SamplingData[[#This Row],[Candidate 4]])/(SamplingData[[#Totals],[Winning Candidate]]-SamplingData[[#Totals],[Candidate 4]]), 0)</f>
        <v>0</v>
      </c>
      <c r="T418" s="99">
        <f>IF(AND(SamplingData[[#This Row],[Total]]&lt;&gt; 0, NOT(ISBLANK(SamplingData[[#This Row],[Candidate 5]]))),(SamplingData[[#This Row],[Total]]+SamplingData[[#This Row],[Winning Candidate]]-SamplingData[[#This Row],[Candidate 5]])/(SamplingData[[#Totals],[Winning Candidate]]-SamplingData[[#Totals],[Candidate 5]]), 0)</f>
        <v>0</v>
      </c>
      <c r="U418" s="99">
        <f>IF(AND(SamplingData[[#This Row],[Total]]&lt;&gt; 0, NOT(ISBLANK(SamplingData[[#This Row],[Candidate 6]]))),(SamplingData[[#This Row],[Total]]+SamplingData[[#This Row],[Losing Candidate]]-SamplingData[[#This Row],[Candidate 6]])/(SamplingData[[#Totals],[Winning Candidate]]-SamplingData[[#Totals],[Candidate 6]]), 0)</f>
        <v>0</v>
      </c>
      <c r="V418" s="99">
        <f>IF(AND(SamplingData[[#This Row],[Total]]&lt;&gt; 0, NOT(ISBLANK(SamplingData[[#This Row],[Candidate 7]]))),(SamplingData[[#This Row],[Total]]+SamplingData[[#This Row],[Winning Candidate]]-SamplingData[[#This Row],[Candidate 7]])/(SamplingData[[#Totals],[Winning Candidate]]-SamplingData[[#Totals],[Candidate 7]]), 0)</f>
        <v>0</v>
      </c>
      <c r="W418" s="99">
        <f>IF(AND(SamplingData[[#This Row],[Total]]&lt;&gt; 0, NOT(ISBLANK(SamplingData[[#This Row],[Candidate 8]]))),(SamplingData[[#This Row],[Total]]+SamplingData[[#This Row],[Winning Candidate]]-SamplingData[[#This Row],[Candidate 8]])/(SamplingData[[#Totals],[Winning Candidate]]-SamplingData[[#Totals],[Candidate 8]]), 0)</f>
        <v>0</v>
      </c>
      <c r="X4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8" s="99">
        <f>MAX(SamplingData[[#This Row],[Error Bound (up) - Max. possible relative overstatement - Losing Candidate]:[Error Bound (up) - Max. possible relative overstatement - Candidate 12]])</f>
        <v>7.0446443727720251E-3</v>
      </c>
      <c r="AC418" s="99">
        <f>IF(SamplingData[[#This Row],[Max Error Bound (up)]] = 0,0,SamplingData[[#This Row],[Max Error Bound (up)]]/SamplingData[[#Totals],[Max Error Bound (up)]])</f>
        <v>3.7717671865343413E-4</v>
      </c>
      <c r="AD418" s="103">
        <f>SUM($AC$5:AC418)</f>
        <v>0.3582997055295023</v>
      </c>
      <c r="AE418" s="99" t="str" cm="1">
        <f t="array" ref="AE418">IF(SamplingData[[#This Row],[up/U Selection Probability]] = 0, "Zero", TEXT(SamplingData[[#This Row],[Lower Range]], REPT("0",LEN('General Info'!$B$42))) &amp; " - " &amp; TEXT(SamplingData[[#This Row],[Upper Range]], REPT("0",LEN('General Info'!$B$42))))</f>
        <v>357923 - 358299</v>
      </c>
      <c r="AF418" s="99">
        <f>SamplingData[[#This Row],[Upper Range]]-SamplingData[[#This Row],[Span]]</f>
        <v>357922.52881084889</v>
      </c>
      <c r="AG418" s="99">
        <f>IF(ISNUMBER('General Info'!$B$42), ((SamplingData[[#This Row],[up/U Selection Probability]]) * 'General Info'!$B$44) - 1, 0)</f>
        <v>376.17671865343414</v>
      </c>
      <c r="AH418" s="99">
        <f>IF(ISNUMBER('General Info'!$B$42), (SamplingData[[#This Row],[Running (cumulative) sum]] * ('General Info'!$B$42 -'General Info'!$B$43 + 1)) + 'General Info'!$B$43 - 1, 0)</f>
        <v>358298.7055295023</v>
      </c>
      <c r="AI418" s="99" t="str">
        <f>IF(ISERROR(MATCH(SamplingData[[#This Row],[Batch by Type (p)]],SelectedPrecincts[Batch Name], 0)), "", INDEX(SelectedPrecincts[Draw], MATCH(SamplingData[[#This Row],[Batch by Type (p)]],SelectedPrecincts[Batch Name], 0)))</f>
        <v/>
      </c>
      <c r="AJ418" s="100">
        <f>IF(COUNTIF(SelectedPrecincts[Batch Name],SamplingData[[#This Row],[Batch by Type (p)]]) &lt;&gt; 0, COUNTIF(SelectedPrecincts[Batch Name],SamplingData[[#This Row],[Batch by Type (p)]]), 0)</f>
        <v>0</v>
      </c>
    </row>
    <row r="419" spans="1:36" ht="15" customHeight="1" x14ac:dyDescent="0.35">
      <c r="A419" s="97" t="s">
        <v>632</v>
      </c>
      <c r="B419" s="97">
        <v>131</v>
      </c>
      <c r="C419" s="97">
        <v>172</v>
      </c>
      <c r="D419" s="92"/>
      <c r="E419" s="92"/>
      <c r="F419" s="92"/>
      <c r="G419" s="96"/>
      <c r="H419" s="96"/>
      <c r="I419" s="92"/>
      <c r="J419" s="92"/>
      <c r="K419" s="92"/>
      <c r="L419" s="92"/>
      <c r="M419" s="92"/>
      <c r="N419" s="97">
        <v>0</v>
      </c>
      <c r="O419" s="97">
        <v>22</v>
      </c>
      <c r="P419" s="98">
        <f>SUM(SamplingData[[#This Row],[Winning Candidate]:[Under Votes]])</f>
        <v>325</v>
      </c>
      <c r="Q419" s="99">
        <f>IF(AND(SamplingData[[#This Row],[Total]]&lt;&gt; 0, NOT(ISBLANK(SamplingData[[#This Row],[Losing Candidate]]))),(SamplingData[[#This Row],[Total]]+SamplingData[[#This Row],[Winning Candidate]]-SamplingData[[#This Row],[Losing Candidate]])/(SamplingData[[#Totals],[Winning Candidate]]-SamplingData[[#Totals],[Losing Candidate]]), 0)</f>
        <v>1.2052283143778646E-2</v>
      </c>
      <c r="R419" s="99">
        <f>IF(AND(SamplingData[[#This Row],[Total]]&lt;&gt; 0, NOT(ISBLANK(SamplingData[[#This Row],[Candidate 3]]))),(SamplingData[[#This Row],[Total]]+SamplingData[[#This Row],[Winning Candidate]]-SamplingData[[#This Row],[Candidate 3]])/(SamplingData[[#Totals],[Winning Candidate]]-SamplingData[[#Totals],[Candidate 3]]), 0)</f>
        <v>0</v>
      </c>
      <c r="S419" s="99">
        <f>IF(AND(SamplingData[[#This Row],[Total]]&lt;&gt; 0, NOT(ISBLANK(SamplingData[[#This Row],[Candidate 4]]))),(SamplingData[[#This Row],[Total]]+SamplingData[[#This Row],[Winning Candidate]]-SamplingData[[#This Row],[Candidate 4]])/(SamplingData[[#Totals],[Winning Candidate]]-SamplingData[[#Totals],[Candidate 4]]), 0)</f>
        <v>0</v>
      </c>
      <c r="T419" s="99">
        <f>IF(AND(SamplingData[[#This Row],[Total]]&lt;&gt; 0, NOT(ISBLANK(SamplingData[[#This Row],[Candidate 5]]))),(SamplingData[[#This Row],[Total]]+SamplingData[[#This Row],[Winning Candidate]]-SamplingData[[#This Row],[Candidate 5]])/(SamplingData[[#Totals],[Winning Candidate]]-SamplingData[[#Totals],[Candidate 5]]), 0)</f>
        <v>0</v>
      </c>
      <c r="U419" s="99">
        <f>IF(AND(SamplingData[[#This Row],[Total]]&lt;&gt; 0, NOT(ISBLANK(SamplingData[[#This Row],[Candidate 6]]))),(SamplingData[[#This Row],[Total]]+SamplingData[[#This Row],[Losing Candidate]]-SamplingData[[#This Row],[Candidate 6]])/(SamplingData[[#Totals],[Winning Candidate]]-SamplingData[[#Totals],[Candidate 6]]), 0)</f>
        <v>0</v>
      </c>
      <c r="V419" s="99">
        <f>IF(AND(SamplingData[[#This Row],[Total]]&lt;&gt; 0, NOT(ISBLANK(SamplingData[[#This Row],[Candidate 7]]))),(SamplingData[[#This Row],[Total]]+SamplingData[[#This Row],[Winning Candidate]]-SamplingData[[#This Row],[Candidate 7]])/(SamplingData[[#Totals],[Winning Candidate]]-SamplingData[[#Totals],[Candidate 7]]), 0)</f>
        <v>0</v>
      </c>
      <c r="W419" s="99">
        <f>IF(AND(SamplingData[[#This Row],[Total]]&lt;&gt; 0, NOT(ISBLANK(SamplingData[[#This Row],[Candidate 8]]))),(SamplingData[[#This Row],[Total]]+SamplingData[[#This Row],[Winning Candidate]]-SamplingData[[#This Row],[Candidate 8]])/(SamplingData[[#Totals],[Winning Candidate]]-SamplingData[[#Totals],[Candidate 8]]), 0)</f>
        <v>0</v>
      </c>
      <c r="X4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9" s="99">
        <f>MAX(SamplingData[[#This Row],[Error Bound (up) - Max. possible relative overstatement - Losing Candidate]:[Error Bound (up) - Max. possible relative overstatement - Candidate 12]])</f>
        <v>1.2052283143778646E-2</v>
      </c>
      <c r="AC419" s="99">
        <f>IF(SamplingData[[#This Row],[Max Error Bound (up)]] = 0,0,SamplingData[[#This Row],[Max Error Bound (up)]]/SamplingData[[#Totals],[Max Error Bound (up)]])</f>
        <v>6.4529028974442948E-4</v>
      </c>
      <c r="AD419" s="103">
        <f>SUM($AC$5:AC419)</f>
        <v>0.35894499581924671</v>
      </c>
      <c r="AE419" s="99" t="str" cm="1">
        <f t="array" ref="AE419">IF(SamplingData[[#This Row],[up/U Selection Probability]] = 0, "Zero", TEXT(SamplingData[[#This Row],[Lower Range]], REPT("0",LEN('General Info'!$B$42))) &amp; " - " &amp; TEXT(SamplingData[[#This Row],[Upper Range]], REPT("0",LEN('General Info'!$B$42))))</f>
        <v>358300 - 358944</v>
      </c>
      <c r="AF419" s="99">
        <f>SamplingData[[#This Row],[Upper Range]]-SamplingData[[#This Row],[Span]]</f>
        <v>358299.70552950224</v>
      </c>
      <c r="AG419" s="99">
        <f>IF(ISNUMBER('General Info'!$B$42), ((SamplingData[[#This Row],[up/U Selection Probability]]) * 'General Info'!$B$44) - 1, 0)</f>
        <v>644.29028974442951</v>
      </c>
      <c r="AH419" s="99">
        <f>IF(ISNUMBER('General Info'!$B$42), (SamplingData[[#This Row],[Running (cumulative) sum]] * ('General Info'!$B$42 -'General Info'!$B$43 + 1)) + 'General Info'!$B$43 - 1, 0)</f>
        <v>358943.99581924669</v>
      </c>
      <c r="AI419" s="99" t="str">
        <f>IF(ISERROR(MATCH(SamplingData[[#This Row],[Batch by Type (p)]],SelectedPrecincts[Batch Name], 0)), "", INDEX(SelectedPrecincts[Draw], MATCH(SamplingData[[#This Row],[Batch by Type (p)]],SelectedPrecincts[Batch Name], 0)))</f>
        <v/>
      </c>
      <c r="AJ419" s="100">
        <f>IF(COUNTIF(SelectedPrecincts[Batch Name],SamplingData[[#This Row],[Batch by Type (p)]]) &lt;&gt; 0, COUNTIF(SelectedPrecincts[Batch Name],SamplingData[[#This Row],[Batch by Type (p)]]), 0)</f>
        <v>0</v>
      </c>
    </row>
    <row r="420" spans="1:36" ht="15" customHeight="1" x14ac:dyDescent="0.35">
      <c r="A420" s="97" t="s">
        <v>633</v>
      </c>
      <c r="B420" s="97">
        <v>89</v>
      </c>
      <c r="C420" s="97">
        <v>173</v>
      </c>
      <c r="D420" s="92"/>
      <c r="E420" s="92"/>
      <c r="F420" s="92"/>
      <c r="G420" s="96"/>
      <c r="H420" s="96"/>
      <c r="I420" s="92"/>
      <c r="J420" s="92"/>
      <c r="K420" s="92"/>
      <c r="L420" s="92"/>
      <c r="M420" s="92"/>
      <c r="N420" s="97">
        <v>0</v>
      </c>
      <c r="O420" s="97">
        <v>11</v>
      </c>
      <c r="P420" s="98">
        <f>SUM(SamplingData[[#This Row],[Winning Candidate]:[Under Votes]])</f>
        <v>273</v>
      </c>
      <c r="Q420" s="99">
        <f>IF(AND(SamplingData[[#This Row],[Total]]&lt;&gt; 0, NOT(ISBLANK(SamplingData[[#This Row],[Losing Candidate]]))),(SamplingData[[#This Row],[Total]]+SamplingData[[#This Row],[Winning Candidate]]-SamplingData[[#This Row],[Losing Candidate]])/(SamplingData[[#Totals],[Winning Candidate]]-SamplingData[[#Totals],[Losing Candidate]]), 0)</f>
        <v>8.0207095569512811E-3</v>
      </c>
      <c r="R420" s="99">
        <f>IF(AND(SamplingData[[#This Row],[Total]]&lt;&gt; 0, NOT(ISBLANK(SamplingData[[#This Row],[Candidate 3]]))),(SamplingData[[#This Row],[Total]]+SamplingData[[#This Row],[Winning Candidate]]-SamplingData[[#This Row],[Candidate 3]])/(SamplingData[[#Totals],[Winning Candidate]]-SamplingData[[#Totals],[Candidate 3]]), 0)</f>
        <v>0</v>
      </c>
      <c r="S420" s="99">
        <f>IF(AND(SamplingData[[#This Row],[Total]]&lt;&gt; 0, NOT(ISBLANK(SamplingData[[#This Row],[Candidate 4]]))),(SamplingData[[#This Row],[Total]]+SamplingData[[#This Row],[Winning Candidate]]-SamplingData[[#This Row],[Candidate 4]])/(SamplingData[[#Totals],[Winning Candidate]]-SamplingData[[#Totals],[Candidate 4]]), 0)</f>
        <v>0</v>
      </c>
      <c r="T420" s="99">
        <f>IF(AND(SamplingData[[#This Row],[Total]]&lt;&gt; 0, NOT(ISBLANK(SamplingData[[#This Row],[Candidate 5]]))),(SamplingData[[#This Row],[Total]]+SamplingData[[#This Row],[Winning Candidate]]-SamplingData[[#This Row],[Candidate 5]])/(SamplingData[[#Totals],[Winning Candidate]]-SamplingData[[#Totals],[Candidate 5]]), 0)</f>
        <v>0</v>
      </c>
      <c r="U420" s="99">
        <f>IF(AND(SamplingData[[#This Row],[Total]]&lt;&gt; 0, NOT(ISBLANK(SamplingData[[#This Row],[Candidate 6]]))),(SamplingData[[#This Row],[Total]]+SamplingData[[#This Row],[Losing Candidate]]-SamplingData[[#This Row],[Candidate 6]])/(SamplingData[[#Totals],[Winning Candidate]]-SamplingData[[#Totals],[Candidate 6]]), 0)</f>
        <v>0</v>
      </c>
      <c r="V420" s="99">
        <f>IF(AND(SamplingData[[#This Row],[Total]]&lt;&gt; 0, NOT(ISBLANK(SamplingData[[#This Row],[Candidate 7]]))),(SamplingData[[#This Row],[Total]]+SamplingData[[#This Row],[Winning Candidate]]-SamplingData[[#This Row],[Candidate 7]])/(SamplingData[[#Totals],[Winning Candidate]]-SamplingData[[#Totals],[Candidate 7]]), 0)</f>
        <v>0</v>
      </c>
      <c r="W420" s="99">
        <f>IF(AND(SamplingData[[#This Row],[Total]]&lt;&gt; 0, NOT(ISBLANK(SamplingData[[#This Row],[Candidate 8]]))),(SamplingData[[#This Row],[Total]]+SamplingData[[#This Row],[Winning Candidate]]-SamplingData[[#This Row],[Candidate 8]])/(SamplingData[[#Totals],[Winning Candidate]]-SamplingData[[#Totals],[Candidate 8]]), 0)</f>
        <v>0</v>
      </c>
      <c r="X4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0" s="99">
        <f>MAX(SamplingData[[#This Row],[Error Bound (up) - Max. possible relative overstatement - Losing Candidate]:[Error Bound (up) - Max. possible relative overstatement - Candidate 12]])</f>
        <v>8.0207095569512811E-3</v>
      </c>
      <c r="AC420" s="99">
        <f>IF(SamplingData[[#This Row],[Max Error Bound (up)]] = 0,0,SamplingData[[#This Row],[Max Error Bound (up)]]/SamplingData[[#Totals],[Max Error Bound (up)]])</f>
        <v>4.2943614352710269E-4</v>
      </c>
      <c r="AD420" s="103">
        <f>SUM($AC$5:AC420)</f>
        <v>0.3593744319627738</v>
      </c>
      <c r="AE420" s="99" t="str" cm="1">
        <f t="array" ref="AE420">IF(SamplingData[[#This Row],[up/U Selection Probability]] = 0, "Zero", TEXT(SamplingData[[#This Row],[Lower Range]], REPT("0",LEN('General Info'!$B$42))) &amp; " - " &amp; TEXT(SamplingData[[#This Row],[Upper Range]], REPT("0",LEN('General Info'!$B$42))))</f>
        <v>358945 - 359373</v>
      </c>
      <c r="AF420" s="99">
        <f>SamplingData[[#This Row],[Upper Range]]-SamplingData[[#This Row],[Span]]</f>
        <v>358944.99581924669</v>
      </c>
      <c r="AG420" s="99">
        <f>IF(ISNUMBER('General Info'!$B$42), ((SamplingData[[#This Row],[up/U Selection Probability]]) * 'General Info'!$B$44) - 1, 0)</f>
        <v>428.43614352710267</v>
      </c>
      <c r="AH420" s="99">
        <f>IF(ISNUMBER('General Info'!$B$42), (SamplingData[[#This Row],[Running (cumulative) sum]] * ('General Info'!$B$42 -'General Info'!$B$43 + 1)) + 'General Info'!$B$43 - 1, 0)</f>
        <v>359373.43196277379</v>
      </c>
      <c r="AI420" s="99" t="str">
        <f>IF(ISERROR(MATCH(SamplingData[[#This Row],[Batch by Type (p)]],SelectedPrecincts[Batch Name], 0)), "", INDEX(SelectedPrecincts[Draw], MATCH(SamplingData[[#This Row],[Batch by Type (p)]],SelectedPrecincts[Batch Name], 0)))</f>
        <v/>
      </c>
      <c r="AJ420" s="100">
        <f>IF(COUNTIF(SelectedPrecincts[Batch Name],SamplingData[[#This Row],[Batch by Type (p)]]) &lt;&gt; 0, COUNTIF(SelectedPrecincts[Batch Name],SamplingData[[#This Row],[Batch by Type (p)]]), 0)</f>
        <v>0</v>
      </c>
    </row>
    <row r="421" spans="1:36" ht="15" customHeight="1" x14ac:dyDescent="0.35">
      <c r="A421" s="97" t="s">
        <v>634</v>
      </c>
      <c r="B421" s="97">
        <v>82</v>
      </c>
      <c r="C421" s="97">
        <v>63</v>
      </c>
      <c r="D421" s="92"/>
      <c r="E421" s="92"/>
      <c r="F421" s="92"/>
      <c r="G421" s="96"/>
      <c r="H421" s="96"/>
      <c r="I421" s="92"/>
      <c r="J421" s="92"/>
      <c r="K421" s="92"/>
      <c r="L421" s="92"/>
      <c r="M421" s="92"/>
      <c r="N421" s="97">
        <v>0</v>
      </c>
      <c r="O421" s="97">
        <v>5</v>
      </c>
      <c r="P421" s="98">
        <f>SUM(SamplingData[[#This Row],[Winning Candidate]:[Under Votes]])</f>
        <v>150</v>
      </c>
      <c r="Q421" s="99">
        <f>IF(AND(SamplingData[[#This Row],[Total]]&lt;&gt; 0, NOT(ISBLANK(SamplingData[[#This Row],[Losing Candidate]]))),(SamplingData[[#This Row],[Total]]+SamplingData[[#This Row],[Winning Candidate]]-SamplingData[[#This Row],[Losing Candidate]])/(SamplingData[[#Totals],[Winning Candidate]]-SamplingData[[#Totals],[Losing Candidate]]), 0)</f>
        <v>7.1719572228823632E-3</v>
      </c>
      <c r="R421" s="99">
        <f>IF(AND(SamplingData[[#This Row],[Total]]&lt;&gt; 0, NOT(ISBLANK(SamplingData[[#This Row],[Candidate 3]]))),(SamplingData[[#This Row],[Total]]+SamplingData[[#This Row],[Winning Candidate]]-SamplingData[[#This Row],[Candidate 3]])/(SamplingData[[#Totals],[Winning Candidate]]-SamplingData[[#Totals],[Candidate 3]]), 0)</f>
        <v>0</v>
      </c>
      <c r="S421" s="99">
        <f>IF(AND(SamplingData[[#This Row],[Total]]&lt;&gt; 0, NOT(ISBLANK(SamplingData[[#This Row],[Candidate 4]]))),(SamplingData[[#This Row],[Total]]+SamplingData[[#This Row],[Winning Candidate]]-SamplingData[[#This Row],[Candidate 4]])/(SamplingData[[#Totals],[Winning Candidate]]-SamplingData[[#Totals],[Candidate 4]]), 0)</f>
        <v>0</v>
      </c>
      <c r="T421" s="99">
        <f>IF(AND(SamplingData[[#This Row],[Total]]&lt;&gt; 0, NOT(ISBLANK(SamplingData[[#This Row],[Candidate 5]]))),(SamplingData[[#This Row],[Total]]+SamplingData[[#This Row],[Winning Candidate]]-SamplingData[[#This Row],[Candidate 5]])/(SamplingData[[#Totals],[Winning Candidate]]-SamplingData[[#Totals],[Candidate 5]]), 0)</f>
        <v>0</v>
      </c>
      <c r="U421" s="99">
        <f>IF(AND(SamplingData[[#This Row],[Total]]&lt;&gt; 0, NOT(ISBLANK(SamplingData[[#This Row],[Candidate 6]]))),(SamplingData[[#This Row],[Total]]+SamplingData[[#This Row],[Losing Candidate]]-SamplingData[[#This Row],[Candidate 6]])/(SamplingData[[#Totals],[Winning Candidate]]-SamplingData[[#Totals],[Candidate 6]]), 0)</f>
        <v>0</v>
      </c>
      <c r="V421" s="99">
        <f>IF(AND(SamplingData[[#This Row],[Total]]&lt;&gt; 0, NOT(ISBLANK(SamplingData[[#This Row],[Candidate 7]]))),(SamplingData[[#This Row],[Total]]+SamplingData[[#This Row],[Winning Candidate]]-SamplingData[[#This Row],[Candidate 7]])/(SamplingData[[#Totals],[Winning Candidate]]-SamplingData[[#Totals],[Candidate 7]]), 0)</f>
        <v>0</v>
      </c>
      <c r="W421" s="99">
        <f>IF(AND(SamplingData[[#This Row],[Total]]&lt;&gt; 0, NOT(ISBLANK(SamplingData[[#This Row],[Candidate 8]]))),(SamplingData[[#This Row],[Total]]+SamplingData[[#This Row],[Winning Candidate]]-SamplingData[[#This Row],[Candidate 8]])/(SamplingData[[#Totals],[Winning Candidate]]-SamplingData[[#Totals],[Candidate 8]]), 0)</f>
        <v>0</v>
      </c>
      <c r="X4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1" s="99">
        <f>MAX(SamplingData[[#This Row],[Error Bound (up) - Max. possible relative overstatement - Losing Candidate]:[Error Bound (up) - Max. possible relative overstatement - Candidate 12]])</f>
        <v>7.1719572228823632E-3</v>
      </c>
      <c r="AC421" s="99">
        <f>IF(SamplingData[[#This Row],[Max Error Bound (up)]] = 0,0,SamplingData[[#This Row],[Max Error Bound (up)]]/SamplingData[[#Totals],[Max Error Bound (up)]])</f>
        <v>3.8399316537608659E-4</v>
      </c>
      <c r="AD421" s="103">
        <f>SUM($AC$5:AC421)</f>
        <v>0.35975842512814987</v>
      </c>
      <c r="AE421" s="99" t="str" cm="1">
        <f t="array" ref="AE421">IF(SamplingData[[#This Row],[up/U Selection Probability]] = 0, "Zero", TEXT(SamplingData[[#This Row],[Lower Range]], REPT("0",LEN('General Info'!$B$42))) &amp; " - " &amp; TEXT(SamplingData[[#This Row],[Upper Range]], REPT("0",LEN('General Info'!$B$42))))</f>
        <v>359374 - 359757</v>
      </c>
      <c r="AF421" s="99">
        <f>SamplingData[[#This Row],[Upper Range]]-SamplingData[[#This Row],[Span]]</f>
        <v>359374.43196277379</v>
      </c>
      <c r="AG421" s="99">
        <f>IF(ISNUMBER('General Info'!$B$42), ((SamplingData[[#This Row],[up/U Selection Probability]]) * 'General Info'!$B$44) - 1, 0)</f>
        <v>382.99316537608661</v>
      </c>
      <c r="AH421" s="99">
        <f>IF(ISNUMBER('General Info'!$B$42), (SamplingData[[#This Row],[Running (cumulative) sum]] * ('General Info'!$B$42 -'General Info'!$B$43 + 1)) + 'General Info'!$B$43 - 1, 0)</f>
        <v>359757.42512814986</v>
      </c>
      <c r="AI421" s="99" t="str">
        <f>IF(ISERROR(MATCH(SamplingData[[#This Row],[Batch by Type (p)]],SelectedPrecincts[Batch Name], 0)), "", INDEX(SelectedPrecincts[Draw], MATCH(SamplingData[[#This Row],[Batch by Type (p)]],SelectedPrecincts[Batch Name], 0)))</f>
        <v/>
      </c>
      <c r="AJ421" s="100">
        <f>IF(COUNTIF(SelectedPrecincts[Batch Name],SamplingData[[#This Row],[Batch by Type (p)]]) &lt;&gt; 0, COUNTIF(SelectedPrecincts[Batch Name],SamplingData[[#This Row],[Batch by Type (p)]]), 0)</f>
        <v>0</v>
      </c>
    </row>
    <row r="422" spans="1:36" ht="15" customHeight="1" x14ac:dyDescent="0.35">
      <c r="A422" s="97" t="s">
        <v>635</v>
      </c>
      <c r="B422" s="97">
        <v>215</v>
      </c>
      <c r="C422" s="97">
        <v>191</v>
      </c>
      <c r="D422" s="92"/>
      <c r="E422" s="92"/>
      <c r="F422" s="92"/>
      <c r="G422" s="96"/>
      <c r="H422" s="96"/>
      <c r="I422" s="92"/>
      <c r="J422" s="92"/>
      <c r="K422" s="92"/>
      <c r="L422" s="92"/>
      <c r="M422" s="92"/>
      <c r="N422" s="97">
        <v>0</v>
      </c>
      <c r="O422" s="97">
        <v>18</v>
      </c>
      <c r="P422" s="98">
        <f>SUM(SamplingData[[#This Row],[Winning Candidate]:[Under Votes]])</f>
        <v>424</v>
      </c>
      <c r="Q422" s="99">
        <f>IF(AND(SamplingData[[#This Row],[Total]]&lt;&gt; 0, NOT(ISBLANK(SamplingData[[#This Row],[Losing Candidate]]))),(SamplingData[[#This Row],[Total]]+SamplingData[[#This Row],[Winning Candidate]]-SamplingData[[#This Row],[Losing Candidate]])/(SamplingData[[#Totals],[Winning Candidate]]-SamplingData[[#Totals],[Losing Candidate]]), 0)</f>
        <v>1.9012052283143777E-2</v>
      </c>
      <c r="R422" s="99">
        <f>IF(AND(SamplingData[[#This Row],[Total]]&lt;&gt; 0, NOT(ISBLANK(SamplingData[[#This Row],[Candidate 3]]))),(SamplingData[[#This Row],[Total]]+SamplingData[[#This Row],[Winning Candidate]]-SamplingData[[#This Row],[Candidate 3]])/(SamplingData[[#Totals],[Winning Candidate]]-SamplingData[[#Totals],[Candidate 3]]), 0)</f>
        <v>0</v>
      </c>
      <c r="S422" s="99">
        <f>IF(AND(SamplingData[[#This Row],[Total]]&lt;&gt; 0, NOT(ISBLANK(SamplingData[[#This Row],[Candidate 4]]))),(SamplingData[[#This Row],[Total]]+SamplingData[[#This Row],[Winning Candidate]]-SamplingData[[#This Row],[Candidate 4]])/(SamplingData[[#Totals],[Winning Candidate]]-SamplingData[[#Totals],[Candidate 4]]), 0)</f>
        <v>0</v>
      </c>
      <c r="T422" s="99">
        <f>IF(AND(SamplingData[[#This Row],[Total]]&lt;&gt; 0, NOT(ISBLANK(SamplingData[[#This Row],[Candidate 5]]))),(SamplingData[[#This Row],[Total]]+SamplingData[[#This Row],[Winning Candidate]]-SamplingData[[#This Row],[Candidate 5]])/(SamplingData[[#Totals],[Winning Candidate]]-SamplingData[[#Totals],[Candidate 5]]), 0)</f>
        <v>0</v>
      </c>
      <c r="U422" s="99">
        <f>IF(AND(SamplingData[[#This Row],[Total]]&lt;&gt; 0, NOT(ISBLANK(SamplingData[[#This Row],[Candidate 6]]))),(SamplingData[[#This Row],[Total]]+SamplingData[[#This Row],[Losing Candidate]]-SamplingData[[#This Row],[Candidate 6]])/(SamplingData[[#Totals],[Winning Candidate]]-SamplingData[[#Totals],[Candidate 6]]), 0)</f>
        <v>0</v>
      </c>
      <c r="V422" s="99">
        <f>IF(AND(SamplingData[[#This Row],[Total]]&lt;&gt; 0, NOT(ISBLANK(SamplingData[[#This Row],[Candidate 7]]))),(SamplingData[[#This Row],[Total]]+SamplingData[[#This Row],[Winning Candidate]]-SamplingData[[#This Row],[Candidate 7]])/(SamplingData[[#Totals],[Winning Candidate]]-SamplingData[[#Totals],[Candidate 7]]), 0)</f>
        <v>0</v>
      </c>
      <c r="W422" s="99">
        <f>IF(AND(SamplingData[[#This Row],[Total]]&lt;&gt; 0, NOT(ISBLANK(SamplingData[[#This Row],[Candidate 8]]))),(SamplingData[[#This Row],[Total]]+SamplingData[[#This Row],[Winning Candidate]]-SamplingData[[#This Row],[Candidate 8]])/(SamplingData[[#Totals],[Winning Candidate]]-SamplingData[[#Totals],[Candidate 8]]), 0)</f>
        <v>0</v>
      </c>
      <c r="X4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2" s="99">
        <f>MAX(SamplingData[[#This Row],[Error Bound (up) - Max. possible relative overstatement - Losing Candidate]:[Error Bound (up) - Max. possible relative overstatement - Candidate 12]])</f>
        <v>1.9012052283143777E-2</v>
      </c>
      <c r="AC422" s="99">
        <f>IF(SamplingData[[#This Row],[Max Error Bound (up)]] = 0,0,SamplingData[[#This Row],[Max Error Bound (up)]]/SamplingData[[#Totals],[Max Error Bound (up)]])</f>
        <v>1.017922710582762E-3</v>
      </c>
      <c r="AD422" s="103">
        <f>SUM($AC$5:AC422)</f>
        <v>0.36077634783873264</v>
      </c>
      <c r="AE422" s="99" t="str" cm="1">
        <f t="array" ref="AE422">IF(SamplingData[[#This Row],[up/U Selection Probability]] = 0, "Zero", TEXT(SamplingData[[#This Row],[Lower Range]], REPT("0",LEN('General Info'!$B$42))) &amp; " - " &amp; TEXT(SamplingData[[#This Row],[Upper Range]], REPT("0",LEN('General Info'!$B$42))))</f>
        <v>359758 - 360775</v>
      </c>
      <c r="AF422" s="99">
        <f>SamplingData[[#This Row],[Upper Range]]-SamplingData[[#This Row],[Span]]</f>
        <v>359758.42512814986</v>
      </c>
      <c r="AG422" s="99">
        <f>IF(ISNUMBER('General Info'!$B$42), ((SamplingData[[#This Row],[up/U Selection Probability]]) * 'General Info'!$B$44) - 1, 0)</f>
        <v>1016.922710582762</v>
      </c>
      <c r="AH422" s="99">
        <f>IF(ISNUMBER('General Info'!$B$42), (SamplingData[[#This Row],[Running (cumulative) sum]] * ('General Info'!$B$42 -'General Info'!$B$43 + 1)) + 'General Info'!$B$43 - 1, 0)</f>
        <v>360775.34783873265</v>
      </c>
      <c r="AI422" s="99" t="str">
        <f>IF(ISERROR(MATCH(SamplingData[[#This Row],[Batch by Type (p)]],SelectedPrecincts[Batch Name], 0)), "", INDEX(SelectedPrecincts[Draw], MATCH(SamplingData[[#This Row],[Batch by Type (p)]],SelectedPrecincts[Batch Name], 0)))</f>
        <v/>
      </c>
      <c r="AJ422" s="100">
        <f>IF(COUNTIF(SelectedPrecincts[Batch Name],SamplingData[[#This Row],[Batch by Type (p)]]) &lt;&gt; 0, COUNTIF(SelectedPrecincts[Batch Name],SamplingData[[#This Row],[Batch by Type (p)]]), 0)</f>
        <v>0</v>
      </c>
    </row>
    <row r="423" spans="1:36" ht="15" customHeight="1" x14ac:dyDescent="0.35">
      <c r="A423" s="97" t="s">
        <v>636</v>
      </c>
      <c r="B423" s="97">
        <v>108</v>
      </c>
      <c r="C423" s="97">
        <v>162</v>
      </c>
      <c r="D423" s="92"/>
      <c r="E423" s="92"/>
      <c r="F423" s="92"/>
      <c r="G423" s="96"/>
      <c r="H423" s="96"/>
      <c r="I423" s="92"/>
      <c r="J423" s="92"/>
      <c r="K423" s="92"/>
      <c r="L423" s="92"/>
      <c r="M423" s="92"/>
      <c r="N423" s="97">
        <v>0</v>
      </c>
      <c r="O423" s="97">
        <v>24</v>
      </c>
      <c r="P423" s="98">
        <f>SUM(SamplingData[[#This Row],[Winning Candidate]:[Under Votes]])</f>
        <v>294</v>
      </c>
      <c r="Q423" s="99">
        <f>IF(AND(SamplingData[[#This Row],[Total]]&lt;&gt; 0, NOT(ISBLANK(SamplingData[[#This Row],[Losing Candidate]]))),(SamplingData[[#This Row],[Total]]+SamplingData[[#This Row],[Winning Candidate]]-SamplingData[[#This Row],[Losing Candidate]])/(SamplingData[[#Totals],[Winning Candidate]]-SamplingData[[#Totals],[Losing Candidate]]), 0)</f>
        <v>1.0185028008827025E-2</v>
      </c>
      <c r="R423" s="99">
        <f>IF(AND(SamplingData[[#This Row],[Total]]&lt;&gt; 0, NOT(ISBLANK(SamplingData[[#This Row],[Candidate 3]]))),(SamplingData[[#This Row],[Total]]+SamplingData[[#This Row],[Winning Candidate]]-SamplingData[[#This Row],[Candidate 3]])/(SamplingData[[#Totals],[Winning Candidate]]-SamplingData[[#Totals],[Candidate 3]]), 0)</f>
        <v>0</v>
      </c>
      <c r="S423" s="99">
        <f>IF(AND(SamplingData[[#This Row],[Total]]&lt;&gt; 0, NOT(ISBLANK(SamplingData[[#This Row],[Candidate 4]]))),(SamplingData[[#This Row],[Total]]+SamplingData[[#This Row],[Winning Candidate]]-SamplingData[[#This Row],[Candidate 4]])/(SamplingData[[#Totals],[Winning Candidate]]-SamplingData[[#Totals],[Candidate 4]]), 0)</f>
        <v>0</v>
      </c>
      <c r="T423" s="99">
        <f>IF(AND(SamplingData[[#This Row],[Total]]&lt;&gt; 0, NOT(ISBLANK(SamplingData[[#This Row],[Candidate 5]]))),(SamplingData[[#This Row],[Total]]+SamplingData[[#This Row],[Winning Candidate]]-SamplingData[[#This Row],[Candidate 5]])/(SamplingData[[#Totals],[Winning Candidate]]-SamplingData[[#Totals],[Candidate 5]]), 0)</f>
        <v>0</v>
      </c>
      <c r="U423" s="99">
        <f>IF(AND(SamplingData[[#This Row],[Total]]&lt;&gt; 0, NOT(ISBLANK(SamplingData[[#This Row],[Candidate 6]]))),(SamplingData[[#This Row],[Total]]+SamplingData[[#This Row],[Losing Candidate]]-SamplingData[[#This Row],[Candidate 6]])/(SamplingData[[#Totals],[Winning Candidate]]-SamplingData[[#Totals],[Candidate 6]]), 0)</f>
        <v>0</v>
      </c>
      <c r="V423" s="99">
        <f>IF(AND(SamplingData[[#This Row],[Total]]&lt;&gt; 0, NOT(ISBLANK(SamplingData[[#This Row],[Candidate 7]]))),(SamplingData[[#This Row],[Total]]+SamplingData[[#This Row],[Winning Candidate]]-SamplingData[[#This Row],[Candidate 7]])/(SamplingData[[#Totals],[Winning Candidate]]-SamplingData[[#Totals],[Candidate 7]]), 0)</f>
        <v>0</v>
      </c>
      <c r="W423" s="99">
        <f>IF(AND(SamplingData[[#This Row],[Total]]&lt;&gt; 0, NOT(ISBLANK(SamplingData[[#This Row],[Candidate 8]]))),(SamplingData[[#This Row],[Total]]+SamplingData[[#This Row],[Winning Candidate]]-SamplingData[[#This Row],[Candidate 8]])/(SamplingData[[#Totals],[Winning Candidate]]-SamplingData[[#Totals],[Candidate 8]]), 0)</f>
        <v>0</v>
      </c>
      <c r="X4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3" s="99">
        <f>MAX(SamplingData[[#This Row],[Error Bound (up) - Max. possible relative overstatement - Losing Candidate]:[Error Bound (up) - Max. possible relative overstatement - Candidate 12]])</f>
        <v>1.0185028008827025E-2</v>
      </c>
      <c r="AC423" s="99">
        <f>IF(SamplingData[[#This Row],[Max Error Bound (up)]] = 0,0,SamplingData[[#This Row],[Max Error Bound (up)]]/SamplingData[[#Totals],[Max Error Bound (up)]])</f>
        <v>5.4531573781219393E-4</v>
      </c>
      <c r="AD423" s="103">
        <f>SUM($AC$5:AC423)</f>
        <v>0.36132166357654483</v>
      </c>
      <c r="AE423" s="99" t="str" cm="1">
        <f t="array" ref="AE423">IF(SamplingData[[#This Row],[up/U Selection Probability]] = 0, "Zero", TEXT(SamplingData[[#This Row],[Lower Range]], REPT("0",LEN('General Info'!$B$42))) &amp; " - " &amp; TEXT(SamplingData[[#This Row],[Upper Range]], REPT("0",LEN('General Info'!$B$42))))</f>
        <v>360776 - 361321</v>
      </c>
      <c r="AF423" s="99">
        <f>SamplingData[[#This Row],[Upper Range]]-SamplingData[[#This Row],[Span]]</f>
        <v>360776.34783873265</v>
      </c>
      <c r="AG423" s="99">
        <f>IF(ISNUMBER('General Info'!$B$42), ((SamplingData[[#This Row],[up/U Selection Probability]]) * 'General Info'!$B$44) - 1, 0)</f>
        <v>544.3157378121939</v>
      </c>
      <c r="AH423" s="99">
        <f>IF(ISNUMBER('General Info'!$B$42), (SamplingData[[#This Row],[Running (cumulative) sum]] * ('General Info'!$B$42 -'General Info'!$B$43 + 1)) + 'General Info'!$B$43 - 1, 0)</f>
        <v>361320.66357654484</v>
      </c>
      <c r="AI423" s="99" t="str">
        <f>IF(ISERROR(MATCH(SamplingData[[#This Row],[Batch by Type (p)]],SelectedPrecincts[Batch Name], 0)), "", INDEX(SelectedPrecincts[Draw], MATCH(SamplingData[[#This Row],[Batch by Type (p)]],SelectedPrecincts[Batch Name], 0)))</f>
        <v/>
      </c>
      <c r="AJ423" s="100">
        <f>IF(COUNTIF(SelectedPrecincts[Batch Name],SamplingData[[#This Row],[Batch by Type (p)]]) &lt;&gt; 0, COUNTIF(SelectedPrecincts[Batch Name],SamplingData[[#This Row],[Batch by Type (p)]]), 0)</f>
        <v>0</v>
      </c>
    </row>
    <row r="424" spans="1:36" ht="15" customHeight="1" x14ac:dyDescent="0.35">
      <c r="A424" s="97" t="s">
        <v>637</v>
      </c>
      <c r="B424" s="97">
        <v>49</v>
      </c>
      <c r="C424" s="97">
        <v>31</v>
      </c>
      <c r="D424" s="92"/>
      <c r="E424" s="92"/>
      <c r="F424" s="92"/>
      <c r="G424" s="96"/>
      <c r="H424" s="96"/>
      <c r="I424" s="92"/>
      <c r="J424" s="92"/>
      <c r="K424" s="92"/>
      <c r="L424" s="92"/>
      <c r="M424" s="92"/>
      <c r="N424" s="97">
        <v>0</v>
      </c>
      <c r="O424" s="97">
        <v>10</v>
      </c>
      <c r="P424" s="98">
        <f>SUM(SamplingData[[#This Row],[Winning Candidate]:[Under Votes]])</f>
        <v>90</v>
      </c>
      <c r="Q424" s="99">
        <f>IF(AND(SamplingData[[#This Row],[Total]]&lt;&gt; 0, NOT(ISBLANK(SamplingData[[#This Row],[Losing Candidate]]))),(SamplingData[[#This Row],[Total]]+SamplingData[[#This Row],[Winning Candidate]]-SamplingData[[#This Row],[Losing Candidate]])/(SamplingData[[#Totals],[Winning Candidate]]-SamplingData[[#Totals],[Losing Candidate]]), 0)</f>
        <v>4.5832626039721608E-3</v>
      </c>
      <c r="R424" s="99">
        <f>IF(AND(SamplingData[[#This Row],[Total]]&lt;&gt; 0, NOT(ISBLANK(SamplingData[[#This Row],[Candidate 3]]))),(SamplingData[[#This Row],[Total]]+SamplingData[[#This Row],[Winning Candidate]]-SamplingData[[#This Row],[Candidate 3]])/(SamplingData[[#Totals],[Winning Candidate]]-SamplingData[[#Totals],[Candidate 3]]), 0)</f>
        <v>0</v>
      </c>
      <c r="S424" s="99">
        <f>IF(AND(SamplingData[[#This Row],[Total]]&lt;&gt; 0, NOT(ISBLANK(SamplingData[[#This Row],[Candidate 4]]))),(SamplingData[[#This Row],[Total]]+SamplingData[[#This Row],[Winning Candidate]]-SamplingData[[#This Row],[Candidate 4]])/(SamplingData[[#Totals],[Winning Candidate]]-SamplingData[[#Totals],[Candidate 4]]), 0)</f>
        <v>0</v>
      </c>
      <c r="T424" s="99">
        <f>IF(AND(SamplingData[[#This Row],[Total]]&lt;&gt; 0, NOT(ISBLANK(SamplingData[[#This Row],[Candidate 5]]))),(SamplingData[[#This Row],[Total]]+SamplingData[[#This Row],[Winning Candidate]]-SamplingData[[#This Row],[Candidate 5]])/(SamplingData[[#Totals],[Winning Candidate]]-SamplingData[[#Totals],[Candidate 5]]), 0)</f>
        <v>0</v>
      </c>
      <c r="U424" s="99">
        <f>IF(AND(SamplingData[[#This Row],[Total]]&lt;&gt; 0, NOT(ISBLANK(SamplingData[[#This Row],[Candidate 6]]))),(SamplingData[[#This Row],[Total]]+SamplingData[[#This Row],[Losing Candidate]]-SamplingData[[#This Row],[Candidate 6]])/(SamplingData[[#Totals],[Winning Candidate]]-SamplingData[[#Totals],[Candidate 6]]), 0)</f>
        <v>0</v>
      </c>
      <c r="V424" s="99">
        <f>IF(AND(SamplingData[[#This Row],[Total]]&lt;&gt; 0, NOT(ISBLANK(SamplingData[[#This Row],[Candidate 7]]))),(SamplingData[[#This Row],[Total]]+SamplingData[[#This Row],[Winning Candidate]]-SamplingData[[#This Row],[Candidate 7]])/(SamplingData[[#Totals],[Winning Candidate]]-SamplingData[[#Totals],[Candidate 7]]), 0)</f>
        <v>0</v>
      </c>
      <c r="W424" s="99">
        <f>IF(AND(SamplingData[[#This Row],[Total]]&lt;&gt; 0, NOT(ISBLANK(SamplingData[[#This Row],[Candidate 8]]))),(SamplingData[[#This Row],[Total]]+SamplingData[[#This Row],[Winning Candidate]]-SamplingData[[#This Row],[Candidate 8]])/(SamplingData[[#Totals],[Winning Candidate]]-SamplingData[[#Totals],[Candidate 8]]), 0)</f>
        <v>0</v>
      </c>
      <c r="X4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4" s="99">
        <f>MAX(SamplingData[[#This Row],[Error Bound (up) - Max. possible relative overstatement - Losing Candidate]:[Error Bound (up) - Max. possible relative overstatement - Candidate 12]])</f>
        <v>4.5832626039721608E-3</v>
      </c>
      <c r="AC424" s="99">
        <f>IF(SamplingData[[#This Row],[Max Error Bound (up)]] = 0,0,SamplingData[[#This Row],[Max Error Bound (up)]]/SamplingData[[#Totals],[Max Error Bound (up)]])</f>
        <v>2.4539208201548727E-4</v>
      </c>
      <c r="AD424" s="103">
        <f>SUM($AC$5:AC424)</f>
        <v>0.36156705565856029</v>
      </c>
      <c r="AE424" s="99" t="str" cm="1">
        <f t="array" ref="AE424">IF(SamplingData[[#This Row],[up/U Selection Probability]] = 0, "Zero", TEXT(SamplingData[[#This Row],[Lower Range]], REPT("0",LEN('General Info'!$B$42))) &amp; " - " &amp; TEXT(SamplingData[[#This Row],[Upper Range]], REPT("0",LEN('General Info'!$B$42))))</f>
        <v>361322 - 361566</v>
      </c>
      <c r="AF424" s="99">
        <f>SamplingData[[#This Row],[Upper Range]]-SamplingData[[#This Row],[Span]]</f>
        <v>361321.66357654484</v>
      </c>
      <c r="AG424" s="99">
        <f>IF(ISNUMBER('General Info'!$B$42), ((SamplingData[[#This Row],[up/U Selection Probability]]) * 'General Info'!$B$44) - 1, 0)</f>
        <v>244.39208201548726</v>
      </c>
      <c r="AH424" s="99">
        <f>IF(ISNUMBER('General Info'!$B$42), (SamplingData[[#This Row],[Running (cumulative) sum]] * ('General Info'!$B$42 -'General Info'!$B$43 + 1)) + 'General Info'!$B$43 - 1, 0)</f>
        <v>361566.0556585603</v>
      </c>
      <c r="AI424" s="99" t="str">
        <f>IF(ISERROR(MATCH(SamplingData[[#This Row],[Batch by Type (p)]],SelectedPrecincts[Batch Name], 0)), "", INDEX(SelectedPrecincts[Draw], MATCH(SamplingData[[#This Row],[Batch by Type (p)]],SelectedPrecincts[Batch Name], 0)))</f>
        <v/>
      </c>
      <c r="AJ424" s="100">
        <f>IF(COUNTIF(SelectedPrecincts[Batch Name],SamplingData[[#This Row],[Batch by Type (p)]]) &lt;&gt; 0, COUNTIF(SelectedPrecincts[Batch Name],SamplingData[[#This Row],[Batch by Type (p)]]), 0)</f>
        <v>0</v>
      </c>
    </row>
    <row r="425" spans="1:36" ht="15" customHeight="1" x14ac:dyDescent="0.35">
      <c r="A425" s="97" t="s">
        <v>638</v>
      </c>
      <c r="B425" s="97">
        <v>148</v>
      </c>
      <c r="C425" s="97">
        <v>98</v>
      </c>
      <c r="D425" s="92"/>
      <c r="E425" s="92"/>
      <c r="F425" s="92"/>
      <c r="G425" s="96"/>
      <c r="H425" s="96"/>
      <c r="I425" s="92"/>
      <c r="J425" s="92"/>
      <c r="K425" s="92"/>
      <c r="L425" s="92"/>
      <c r="M425" s="92"/>
      <c r="N425" s="97">
        <v>0</v>
      </c>
      <c r="O425" s="97">
        <v>10</v>
      </c>
      <c r="P425" s="98">
        <f>SUM(SamplingData[[#This Row],[Winning Candidate]:[Under Votes]])</f>
        <v>256</v>
      </c>
      <c r="Q425" s="99">
        <f>IF(AND(SamplingData[[#This Row],[Total]]&lt;&gt; 0, NOT(ISBLANK(SamplingData[[#This Row],[Losing Candidate]]))),(SamplingData[[#This Row],[Total]]+SamplingData[[#This Row],[Winning Candidate]]-SamplingData[[#This Row],[Losing Candidate]])/(SamplingData[[#Totals],[Winning Candidate]]-SamplingData[[#Totals],[Losing Candidate]]), 0)</f>
        <v>1.2985910711254456E-2</v>
      </c>
      <c r="R425" s="99">
        <f>IF(AND(SamplingData[[#This Row],[Total]]&lt;&gt; 0, NOT(ISBLANK(SamplingData[[#This Row],[Candidate 3]]))),(SamplingData[[#This Row],[Total]]+SamplingData[[#This Row],[Winning Candidate]]-SamplingData[[#This Row],[Candidate 3]])/(SamplingData[[#Totals],[Winning Candidate]]-SamplingData[[#Totals],[Candidate 3]]), 0)</f>
        <v>0</v>
      </c>
      <c r="S425" s="99">
        <f>IF(AND(SamplingData[[#This Row],[Total]]&lt;&gt; 0, NOT(ISBLANK(SamplingData[[#This Row],[Candidate 4]]))),(SamplingData[[#This Row],[Total]]+SamplingData[[#This Row],[Winning Candidate]]-SamplingData[[#This Row],[Candidate 4]])/(SamplingData[[#Totals],[Winning Candidate]]-SamplingData[[#Totals],[Candidate 4]]), 0)</f>
        <v>0</v>
      </c>
      <c r="T425" s="99">
        <f>IF(AND(SamplingData[[#This Row],[Total]]&lt;&gt; 0, NOT(ISBLANK(SamplingData[[#This Row],[Candidate 5]]))),(SamplingData[[#This Row],[Total]]+SamplingData[[#This Row],[Winning Candidate]]-SamplingData[[#This Row],[Candidate 5]])/(SamplingData[[#Totals],[Winning Candidate]]-SamplingData[[#Totals],[Candidate 5]]), 0)</f>
        <v>0</v>
      </c>
      <c r="U425" s="99">
        <f>IF(AND(SamplingData[[#This Row],[Total]]&lt;&gt; 0, NOT(ISBLANK(SamplingData[[#This Row],[Candidate 6]]))),(SamplingData[[#This Row],[Total]]+SamplingData[[#This Row],[Losing Candidate]]-SamplingData[[#This Row],[Candidate 6]])/(SamplingData[[#Totals],[Winning Candidate]]-SamplingData[[#Totals],[Candidate 6]]), 0)</f>
        <v>0</v>
      </c>
      <c r="V425" s="99">
        <f>IF(AND(SamplingData[[#This Row],[Total]]&lt;&gt; 0, NOT(ISBLANK(SamplingData[[#This Row],[Candidate 7]]))),(SamplingData[[#This Row],[Total]]+SamplingData[[#This Row],[Winning Candidate]]-SamplingData[[#This Row],[Candidate 7]])/(SamplingData[[#Totals],[Winning Candidate]]-SamplingData[[#Totals],[Candidate 7]]), 0)</f>
        <v>0</v>
      </c>
      <c r="W425" s="99">
        <f>IF(AND(SamplingData[[#This Row],[Total]]&lt;&gt; 0, NOT(ISBLANK(SamplingData[[#This Row],[Candidate 8]]))),(SamplingData[[#This Row],[Total]]+SamplingData[[#This Row],[Winning Candidate]]-SamplingData[[#This Row],[Candidate 8]])/(SamplingData[[#Totals],[Winning Candidate]]-SamplingData[[#Totals],[Candidate 8]]), 0)</f>
        <v>0</v>
      </c>
      <c r="X4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5" s="99">
        <f>MAX(SamplingData[[#This Row],[Error Bound (up) - Max. possible relative overstatement - Losing Candidate]:[Error Bound (up) - Max. possible relative overstatement - Candidate 12]])</f>
        <v>1.2985910711254456E-2</v>
      </c>
      <c r="AC425" s="99">
        <f>IF(SamplingData[[#This Row],[Max Error Bound (up)]] = 0,0,SamplingData[[#This Row],[Max Error Bound (up)]]/SamplingData[[#Totals],[Max Error Bound (up)]])</f>
        <v>6.9527756571054731E-4</v>
      </c>
      <c r="AD425" s="103">
        <f>SUM($AC$5:AC425)</f>
        <v>0.36226233322427082</v>
      </c>
      <c r="AE425" s="99" t="str" cm="1">
        <f t="array" ref="AE425">IF(SamplingData[[#This Row],[up/U Selection Probability]] = 0, "Zero", TEXT(SamplingData[[#This Row],[Lower Range]], REPT("0",LEN('General Info'!$B$42))) &amp; " - " &amp; TEXT(SamplingData[[#This Row],[Upper Range]], REPT("0",LEN('General Info'!$B$42))))</f>
        <v>361567 - 362261</v>
      </c>
      <c r="AF425" s="99">
        <f>SamplingData[[#This Row],[Upper Range]]-SamplingData[[#This Row],[Span]]</f>
        <v>361567.0556585603</v>
      </c>
      <c r="AG425" s="99">
        <f>IF(ISNUMBER('General Info'!$B$42), ((SamplingData[[#This Row],[up/U Selection Probability]]) * 'General Info'!$B$44) - 1, 0)</f>
        <v>694.27756571054726</v>
      </c>
      <c r="AH425" s="99">
        <f>IF(ISNUMBER('General Info'!$B$42), (SamplingData[[#This Row],[Running (cumulative) sum]] * ('General Info'!$B$42 -'General Info'!$B$43 + 1)) + 'General Info'!$B$43 - 1, 0)</f>
        <v>362261.33322427084</v>
      </c>
      <c r="AI425" s="99" t="str">
        <f>IF(ISERROR(MATCH(SamplingData[[#This Row],[Batch by Type (p)]],SelectedPrecincts[Batch Name], 0)), "", INDEX(SelectedPrecincts[Draw], MATCH(SamplingData[[#This Row],[Batch by Type (p)]],SelectedPrecincts[Batch Name], 0)))</f>
        <v/>
      </c>
      <c r="AJ425" s="100">
        <f>IF(COUNTIF(SelectedPrecincts[Batch Name],SamplingData[[#This Row],[Batch by Type (p)]]) &lt;&gt; 0, COUNTIF(SelectedPrecincts[Batch Name],SamplingData[[#This Row],[Batch by Type (p)]]), 0)</f>
        <v>0</v>
      </c>
    </row>
    <row r="426" spans="1:36" ht="15" customHeight="1" x14ac:dyDescent="0.35">
      <c r="A426" s="97" t="s">
        <v>639</v>
      </c>
      <c r="B426" s="97">
        <v>154</v>
      </c>
      <c r="C426" s="97">
        <v>128</v>
      </c>
      <c r="D426" s="92"/>
      <c r="E426" s="92"/>
      <c r="F426" s="92"/>
      <c r="G426" s="96"/>
      <c r="H426" s="96"/>
      <c r="I426" s="92"/>
      <c r="J426" s="92"/>
      <c r="K426" s="92"/>
      <c r="L426" s="92"/>
      <c r="M426" s="92"/>
      <c r="N426" s="97">
        <v>1</v>
      </c>
      <c r="O426" s="97">
        <v>10</v>
      </c>
      <c r="P426" s="98">
        <f>SUM(SamplingData[[#This Row],[Winning Candidate]:[Under Votes]])</f>
        <v>293</v>
      </c>
      <c r="Q426" s="99">
        <f>IF(AND(SamplingData[[#This Row],[Total]]&lt;&gt; 0, NOT(ISBLANK(SamplingData[[#This Row],[Losing Candidate]]))),(SamplingData[[#This Row],[Total]]+SamplingData[[#This Row],[Winning Candidate]]-SamplingData[[#This Row],[Losing Candidate]])/(SamplingData[[#Totals],[Winning Candidate]]-SamplingData[[#Totals],[Losing Candidate]]), 0)</f>
        <v>1.3537599728399253E-2</v>
      </c>
      <c r="R426" s="99">
        <f>IF(AND(SamplingData[[#This Row],[Total]]&lt;&gt; 0, NOT(ISBLANK(SamplingData[[#This Row],[Candidate 3]]))),(SamplingData[[#This Row],[Total]]+SamplingData[[#This Row],[Winning Candidate]]-SamplingData[[#This Row],[Candidate 3]])/(SamplingData[[#Totals],[Winning Candidate]]-SamplingData[[#Totals],[Candidate 3]]), 0)</f>
        <v>0</v>
      </c>
      <c r="S426" s="99">
        <f>IF(AND(SamplingData[[#This Row],[Total]]&lt;&gt; 0, NOT(ISBLANK(SamplingData[[#This Row],[Candidate 4]]))),(SamplingData[[#This Row],[Total]]+SamplingData[[#This Row],[Winning Candidate]]-SamplingData[[#This Row],[Candidate 4]])/(SamplingData[[#Totals],[Winning Candidate]]-SamplingData[[#Totals],[Candidate 4]]), 0)</f>
        <v>0</v>
      </c>
      <c r="T426" s="99">
        <f>IF(AND(SamplingData[[#This Row],[Total]]&lt;&gt; 0, NOT(ISBLANK(SamplingData[[#This Row],[Candidate 5]]))),(SamplingData[[#This Row],[Total]]+SamplingData[[#This Row],[Winning Candidate]]-SamplingData[[#This Row],[Candidate 5]])/(SamplingData[[#Totals],[Winning Candidate]]-SamplingData[[#Totals],[Candidate 5]]), 0)</f>
        <v>0</v>
      </c>
      <c r="U426" s="99">
        <f>IF(AND(SamplingData[[#This Row],[Total]]&lt;&gt; 0, NOT(ISBLANK(SamplingData[[#This Row],[Candidate 6]]))),(SamplingData[[#This Row],[Total]]+SamplingData[[#This Row],[Losing Candidate]]-SamplingData[[#This Row],[Candidate 6]])/(SamplingData[[#Totals],[Winning Candidate]]-SamplingData[[#Totals],[Candidate 6]]), 0)</f>
        <v>0</v>
      </c>
      <c r="V426" s="99">
        <f>IF(AND(SamplingData[[#This Row],[Total]]&lt;&gt; 0, NOT(ISBLANK(SamplingData[[#This Row],[Candidate 7]]))),(SamplingData[[#This Row],[Total]]+SamplingData[[#This Row],[Winning Candidate]]-SamplingData[[#This Row],[Candidate 7]])/(SamplingData[[#Totals],[Winning Candidate]]-SamplingData[[#Totals],[Candidate 7]]), 0)</f>
        <v>0</v>
      </c>
      <c r="W426" s="99">
        <f>IF(AND(SamplingData[[#This Row],[Total]]&lt;&gt; 0, NOT(ISBLANK(SamplingData[[#This Row],[Candidate 8]]))),(SamplingData[[#This Row],[Total]]+SamplingData[[#This Row],[Winning Candidate]]-SamplingData[[#This Row],[Candidate 8]])/(SamplingData[[#Totals],[Winning Candidate]]-SamplingData[[#Totals],[Candidate 8]]), 0)</f>
        <v>0</v>
      </c>
      <c r="X4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6" s="99">
        <f>MAX(SamplingData[[#This Row],[Error Bound (up) - Max. possible relative overstatement - Losing Candidate]:[Error Bound (up) - Max. possible relative overstatement - Candidate 12]])</f>
        <v>1.3537599728399253E-2</v>
      </c>
      <c r="AC426" s="99">
        <f>IF(SamplingData[[#This Row],[Max Error Bound (up)]] = 0,0,SamplingData[[#This Row],[Max Error Bound (up)]]/SamplingData[[#Totals],[Max Error Bound (up)]])</f>
        <v>7.2481550150870779E-4</v>
      </c>
      <c r="AD426" s="103">
        <f>SUM($AC$5:AC426)</f>
        <v>0.36298714872577953</v>
      </c>
      <c r="AE426" s="99" t="str" cm="1">
        <f t="array" ref="AE426">IF(SamplingData[[#This Row],[up/U Selection Probability]] = 0, "Zero", TEXT(SamplingData[[#This Row],[Lower Range]], REPT("0",LEN('General Info'!$B$42))) &amp; " - " &amp; TEXT(SamplingData[[#This Row],[Upper Range]], REPT("0",LEN('General Info'!$B$42))))</f>
        <v>362262 - 362986</v>
      </c>
      <c r="AF426" s="99">
        <f>SamplingData[[#This Row],[Upper Range]]-SamplingData[[#This Row],[Span]]</f>
        <v>362262.33322427084</v>
      </c>
      <c r="AG426" s="99">
        <f>IF(ISNUMBER('General Info'!$B$42), ((SamplingData[[#This Row],[up/U Selection Probability]]) * 'General Info'!$B$44) - 1, 0)</f>
        <v>723.81550150870783</v>
      </c>
      <c r="AH426" s="99">
        <f>IF(ISNUMBER('General Info'!$B$42), (SamplingData[[#This Row],[Running (cumulative) sum]] * ('General Info'!$B$42 -'General Info'!$B$43 + 1)) + 'General Info'!$B$43 - 1, 0)</f>
        <v>362986.14872577955</v>
      </c>
      <c r="AI426" s="99" t="str">
        <f>IF(ISERROR(MATCH(SamplingData[[#This Row],[Batch by Type (p)]],SelectedPrecincts[Batch Name], 0)), "", INDEX(SelectedPrecincts[Draw], MATCH(SamplingData[[#This Row],[Batch by Type (p)]],SelectedPrecincts[Batch Name], 0)))</f>
        <v/>
      </c>
      <c r="AJ426" s="100">
        <f>IF(COUNTIF(SelectedPrecincts[Batch Name],SamplingData[[#This Row],[Batch by Type (p)]]) &lt;&gt; 0, COUNTIF(SelectedPrecincts[Batch Name],SamplingData[[#This Row],[Batch by Type (p)]]), 0)</f>
        <v>0</v>
      </c>
    </row>
    <row r="427" spans="1:36" ht="15" customHeight="1" x14ac:dyDescent="0.35">
      <c r="A427" s="97" t="s">
        <v>640</v>
      </c>
      <c r="B427" s="97">
        <v>168</v>
      </c>
      <c r="C427" s="97">
        <v>134</v>
      </c>
      <c r="D427" s="92"/>
      <c r="E427" s="92"/>
      <c r="F427" s="92"/>
      <c r="G427" s="96"/>
      <c r="H427" s="96"/>
      <c r="I427" s="92"/>
      <c r="J427" s="92"/>
      <c r="K427" s="92"/>
      <c r="L427" s="92"/>
      <c r="M427" s="92"/>
      <c r="N427" s="97">
        <v>0</v>
      </c>
      <c r="O427" s="97">
        <v>15</v>
      </c>
      <c r="P427" s="98">
        <f>SUM(SamplingData[[#This Row],[Winning Candidate]:[Under Votes]])</f>
        <v>317</v>
      </c>
      <c r="Q427" s="99">
        <f>IF(AND(SamplingData[[#This Row],[Total]]&lt;&gt; 0, NOT(ISBLANK(SamplingData[[#This Row],[Losing Candidate]]))),(SamplingData[[#This Row],[Total]]+SamplingData[[#This Row],[Winning Candidate]]-SamplingData[[#This Row],[Losing Candidate]])/(SamplingData[[#Totals],[Winning Candidate]]-SamplingData[[#Totals],[Losing Candidate]]), 0)</f>
        <v>1.4895603462909524E-2</v>
      </c>
      <c r="R427" s="99">
        <f>IF(AND(SamplingData[[#This Row],[Total]]&lt;&gt; 0, NOT(ISBLANK(SamplingData[[#This Row],[Candidate 3]]))),(SamplingData[[#This Row],[Total]]+SamplingData[[#This Row],[Winning Candidate]]-SamplingData[[#This Row],[Candidate 3]])/(SamplingData[[#Totals],[Winning Candidate]]-SamplingData[[#Totals],[Candidate 3]]), 0)</f>
        <v>0</v>
      </c>
      <c r="S427" s="99">
        <f>IF(AND(SamplingData[[#This Row],[Total]]&lt;&gt; 0, NOT(ISBLANK(SamplingData[[#This Row],[Candidate 4]]))),(SamplingData[[#This Row],[Total]]+SamplingData[[#This Row],[Winning Candidate]]-SamplingData[[#This Row],[Candidate 4]])/(SamplingData[[#Totals],[Winning Candidate]]-SamplingData[[#Totals],[Candidate 4]]), 0)</f>
        <v>0</v>
      </c>
      <c r="T427" s="99">
        <f>IF(AND(SamplingData[[#This Row],[Total]]&lt;&gt; 0, NOT(ISBLANK(SamplingData[[#This Row],[Candidate 5]]))),(SamplingData[[#This Row],[Total]]+SamplingData[[#This Row],[Winning Candidate]]-SamplingData[[#This Row],[Candidate 5]])/(SamplingData[[#Totals],[Winning Candidate]]-SamplingData[[#Totals],[Candidate 5]]), 0)</f>
        <v>0</v>
      </c>
      <c r="U427" s="99">
        <f>IF(AND(SamplingData[[#This Row],[Total]]&lt;&gt; 0, NOT(ISBLANK(SamplingData[[#This Row],[Candidate 6]]))),(SamplingData[[#This Row],[Total]]+SamplingData[[#This Row],[Losing Candidate]]-SamplingData[[#This Row],[Candidate 6]])/(SamplingData[[#Totals],[Winning Candidate]]-SamplingData[[#Totals],[Candidate 6]]), 0)</f>
        <v>0</v>
      </c>
      <c r="V427" s="99">
        <f>IF(AND(SamplingData[[#This Row],[Total]]&lt;&gt; 0, NOT(ISBLANK(SamplingData[[#This Row],[Candidate 7]]))),(SamplingData[[#This Row],[Total]]+SamplingData[[#This Row],[Winning Candidate]]-SamplingData[[#This Row],[Candidate 7]])/(SamplingData[[#Totals],[Winning Candidate]]-SamplingData[[#Totals],[Candidate 7]]), 0)</f>
        <v>0</v>
      </c>
      <c r="W427" s="99">
        <f>IF(AND(SamplingData[[#This Row],[Total]]&lt;&gt; 0, NOT(ISBLANK(SamplingData[[#This Row],[Candidate 8]]))),(SamplingData[[#This Row],[Total]]+SamplingData[[#This Row],[Winning Candidate]]-SamplingData[[#This Row],[Candidate 8]])/(SamplingData[[#Totals],[Winning Candidate]]-SamplingData[[#Totals],[Candidate 8]]), 0)</f>
        <v>0</v>
      </c>
      <c r="X4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7" s="99">
        <f>MAX(SamplingData[[#This Row],[Error Bound (up) - Max. possible relative overstatement - Losing Candidate]:[Error Bound (up) - Max. possible relative overstatement - Candidate 12]])</f>
        <v>1.4895603462909524E-2</v>
      </c>
      <c r="AC427" s="99">
        <f>IF(SamplingData[[#This Row],[Max Error Bound (up)]] = 0,0,SamplingData[[#This Row],[Max Error Bound (up)]]/SamplingData[[#Totals],[Max Error Bound (up)]])</f>
        <v>7.9752426655033365E-4</v>
      </c>
      <c r="AD427" s="103">
        <f>SUM($AC$5:AC427)</f>
        <v>0.36378467299232986</v>
      </c>
      <c r="AE427" s="99" t="str" cm="1">
        <f t="array" ref="AE427">IF(SamplingData[[#This Row],[up/U Selection Probability]] = 0, "Zero", TEXT(SamplingData[[#This Row],[Lower Range]], REPT("0",LEN('General Info'!$B$42))) &amp; " - " &amp; TEXT(SamplingData[[#This Row],[Upper Range]], REPT("0",LEN('General Info'!$B$42))))</f>
        <v>362987 - 363784</v>
      </c>
      <c r="AF427" s="99">
        <f>SamplingData[[#This Row],[Upper Range]]-SamplingData[[#This Row],[Span]]</f>
        <v>362987.14872577955</v>
      </c>
      <c r="AG427" s="99">
        <f>IF(ISNUMBER('General Info'!$B$42), ((SamplingData[[#This Row],[up/U Selection Probability]]) * 'General Info'!$B$44) - 1, 0)</f>
        <v>796.52426655033366</v>
      </c>
      <c r="AH427" s="99">
        <f>IF(ISNUMBER('General Info'!$B$42), (SamplingData[[#This Row],[Running (cumulative) sum]] * ('General Info'!$B$42 -'General Info'!$B$43 + 1)) + 'General Info'!$B$43 - 1, 0)</f>
        <v>363783.67299232987</v>
      </c>
      <c r="AI427" s="99" t="str">
        <f>IF(ISERROR(MATCH(SamplingData[[#This Row],[Batch by Type (p)]],SelectedPrecincts[Batch Name], 0)), "", INDEX(SelectedPrecincts[Draw], MATCH(SamplingData[[#This Row],[Batch by Type (p)]],SelectedPrecincts[Batch Name], 0)))</f>
        <v/>
      </c>
      <c r="AJ427" s="100">
        <f>IF(COUNTIF(SelectedPrecincts[Batch Name],SamplingData[[#This Row],[Batch by Type (p)]]) &lt;&gt; 0, COUNTIF(SelectedPrecincts[Batch Name],SamplingData[[#This Row],[Batch by Type (p)]]), 0)</f>
        <v>0</v>
      </c>
    </row>
    <row r="428" spans="1:36" ht="15" customHeight="1" x14ac:dyDescent="0.35">
      <c r="A428" s="97" t="s">
        <v>641</v>
      </c>
      <c r="B428" s="97">
        <v>324</v>
      </c>
      <c r="C428" s="97">
        <v>99</v>
      </c>
      <c r="D428" s="92"/>
      <c r="E428" s="92"/>
      <c r="F428" s="92"/>
      <c r="G428" s="96"/>
      <c r="H428" s="96"/>
      <c r="I428" s="92"/>
      <c r="J428" s="92"/>
      <c r="K428" s="92"/>
      <c r="L428" s="92"/>
      <c r="M428" s="92"/>
      <c r="N428" s="97">
        <v>1</v>
      </c>
      <c r="O428" s="97">
        <v>27</v>
      </c>
      <c r="P428" s="98">
        <f>SUM(SamplingData[[#This Row],[Winning Candidate]:[Under Votes]])</f>
        <v>451</v>
      </c>
      <c r="Q428" s="99">
        <f>IF(AND(SamplingData[[#This Row],[Total]]&lt;&gt; 0, NOT(ISBLANK(SamplingData[[#This Row],[Losing Candidate]]))),(SamplingData[[#This Row],[Total]]+SamplingData[[#This Row],[Winning Candidate]]-SamplingData[[#This Row],[Losing Candidate]])/(SamplingData[[#Totals],[Winning Candidate]]-SamplingData[[#Totals],[Losing Candidate]]), 0)</f>
        <v>2.8687828891529453E-2</v>
      </c>
      <c r="R428" s="99">
        <f>IF(AND(SamplingData[[#This Row],[Total]]&lt;&gt; 0, NOT(ISBLANK(SamplingData[[#This Row],[Candidate 3]]))),(SamplingData[[#This Row],[Total]]+SamplingData[[#This Row],[Winning Candidate]]-SamplingData[[#This Row],[Candidate 3]])/(SamplingData[[#Totals],[Winning Candidate]]-SamplingData[[#Totals],[Candidate 3]]), 0)</f>
        <v>0</v>
      </c>
      <c r="S428" s="99">
        <f>IF(AND(SamplingData[[#This Row],[Total]]&lt;&gt; 0, NOT(ISBLANK(SamplingData[[#This Row],[Candidate 4]]))),(SamplingData[[#This Row],[Total]]+SamplingData[[#This Row],[Winning Candidate]]-SamplingData[[#This Row],[Candidate 4]])/(SamplingData[[#Totals],[Winning Candidate]]-SamplingData[[#Totals],[Candidate 4]]), 0)</f>
        <v>0</v>
      </c>
      <c r="T428" s="99">
        <f>IF(AND(SamplingData[[#This Row],[Total]]&lt;&gt; 0, NOT(ISBLANK(SamplingData[[#This Row],[Candidate 5]]))),(SamplingData[[#This Row],[Total]]+SamplingData[[#This Row],[Winning Candidate]]-SamplingData[[#This Row],[Candidate 5]])/(SamplingData[[#Totals],[Winning Candidate]]-SamplingData[[#Totals],[Candidate 5]]), 0)</f>
        <v>0</v>
      </c>
      <c r="U428" s="99">
        <f>IF(AND(SamplingData[[#This Row],[Total]]&lt;&gt; 0, NOT(ISBLANK(SamplingData[[#This Row],[Candidate 6]]))),(SamplingData[[#This Row],[Total]]+SamplingData[[#This Row],[Losing Candidate]]-SamplingData[[#This Row],[Candidate 6]])/(SamplingData[[#Totals],[Winning Candidate]]-SamplingData[[#Totals],[Candidate 6]]), 0)</f>
        <v>0</v>
      </c>
      <c r="V428" s="99">
        <f>IF(AND(SamplingData[[#This Row],[Total]]&lt;&gt; 0, NOT(ISBLANK(SamplingData[[#This Row],[Candidate 7]]))),(SamplingData[[#This Row],[Total]]+SamplingData[[#This Row],[Winning Candidate]]-SamplingData[[#This Row],[Candidate 7]])/(SamplingData[[#Totals],[Winning Candidate]]-SamplingData[[#Totals],[Candidate 7]]), 0)</f>
        <v>0</v>
      </c>
      <c r="W428" s="99">
        <f>IF(AND(SamplingData[[#This Row],[Total]]&lt;&gt; 0, NOT(ISBLANK(SamplingData[[#This Row],[Candidate 8]]))),(SamplingData[[#This Row],[Total]]+SamplingData[[#This Row],[Winning Candidate]]-SamplingData[[#This Row],[Candidate 8]])/(SamplingData[[#Totals],[Winning Candidate]]-SamplingData[[#Totals],[Candidate 8]]), 0)</f>
        <v>0</v>
      </c>
      <c r="X4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8" s="99">
        <f>MAX(SamplingData[[#This Row],[Error Bound (up) - Max. possible relative overstatement - Losing Candidate]:[Error Bound (up) - Max. possible relative overstatement - Candidate 12]])</f>
        <v>2.8687828891529453E-2</v>
      </c>
      <c r="AC428" s="99">
        <f>IF(SamplingData[[#This Row],[Max Error Bound (up)]] = 0,0,SamplingData[[#This Row],[Max Error Bound (up)]]/SamplingData[[#Totals],[Max Error Bound (up)]])</f>
        <v>1.5359726615043463E-3</v>
      </c>
      <c r="AD428" s="103">
        <f>SUM($AC$5:AC428)</f>
        <v>0.36532064565383421</v>
      </c>
      <c r="AE428" s="99" t="str" cm="1">
        <f t="array" ref="AE428">IF(SamplingData[[#This Row],[up/U Selection Probability]] = 0, "Zero", TEXT(SamplingData[[#This Row],[Lower Range]], REPT("0",LEN('General Info'!$B$42))) &amp; " - " &amp; TEXT(SamplingData[[#This Row],[Upper Range]], REPT("0",LEN('General Info'!$B$42))))</f>
        <v>363785 - 365320</v>
      </c>
      <c r="AF428" s="99">
        <f>SamplingData[[#This Row],[Upper Range]]-SamplingData[[#This Row],[Span]]</f>
        <v>363784.67299232987</v>
      </c>
      <c r="AG428" s="99">
        <f>IF(ISNUMBER('General Info'!$B$42), ((SamplingData[[#This Row],[up/U Selection Probability]]) * 'General Info'!$B$44) - 1, 0)</f>
        <v>1534.9726615043464</v>
      </c>
      <c r="AH428" s="99">
        <f>IF(ISNUMBER('General Info'!$B$42), (SamplingData[[#This Row],[Running (cumulative) sum]] * ('General Info'!$B$42 -'General Info'!$B$43 + 1)) + 'General Info'!$B$43 - 1, 0)</f>
        <v>365319.64565383422</v>
      </c>
      <c r="AI428" s="99" t="str">
        <f>IF(ISERROR(MATCH(SamplingData[[#This Row],[Batch by Type (p)]],SelectedPrecincts[Batch Name], 0)), "", INDEX(SelectedPrecincts[Draw], MATCH(SamplingData[[#This Row],[Batch by Type (p)]],SelectedPrecincts[Batch Name], 0)))</f>
        <v/>
      </c>
      <c r="AJ428" s="100">
        <f>IF(COUNTIF(SelectedPrecincts[Batch Name],SamplingData[[#This Row],[Batch by Type (p)]]) &lt;&gt; 0, COUNTIF(SelectedPrecincts[Batch Name],SamplingData[[#This Row],[Batch by Type (p)]]), 0)</f>
        <v>0</v>
      </c>
    </row>
    <row r="429" spans="1:36" ht="15" customHeight="1" x14ac:dyDescent="0.35">
      <c r="A429" s="97" t="s">
        <v>642</v>
      </c>
      <c r="B429" s="97">
        <v>329</v>
      </c>
      <c r="C429" s="97">
        <v>58</v>
      </c>
      <c r="D429" s="92"/>
      <c r="E429" s="92"/>
      <c r="F429" s="92"/>
      <c r="G429" s="96"/>
      <c r="H429" s="96"/>
      <c r="I429" s="92"/>
      <c r="J429" s="92"/>
      <c r="K429" s="92"/>
      <c r="L429" s="92"/>
      <c r="M429" s="92"/>
      <c r="N429" s="97">
        <v>0</v>
      </c>
      <c r="O429" s="97">
        <v>21</v>
      </c>
      <c r="P429" s="98">
        <f>SUM(SamplingData[[#This Row],[Winning Candidate]:[Under Votes]])</f>
        <v>408</v>
      </c>
      <c r="Q429" s="99">
        <f>IF(AND(SamplingData[[#This Row],[Total]]&lt;&gt; 0, NOT(ISBLANK(SamplingData[[#This Row],[Losing Candidate]]))),(SamplingData[[#This Row],[Total]]+SamplingData[[#This Row],[Winning Candidate]]-SamplingData[[#This Row],[Losing Candidate]])/(SamplingData[[#Totals],[Winning Candidate]]-SamplingData[[#Totals],[Losing Candidate]]), 0)</f>
        <v>2.881514174163979E-2</v>
      </c>
      <c r="R429" s="99">
        <f>IF(AND(SamplingData[[#This Row],[Total]]&lt;&gt; 0, NOT(ISBLANK(SamplingData[[#This Row],[Candidate 3]]))),(SamplingData[[#This Row],[Total]]+SamplingData[[#This Row],[Winning Candidate]]-SamplingData[[#This Row],[Candidate 3]])/(SamplingData[[#Totals],[Winning Candidate]]-SamplingData[[#Totals],[Candidate 3]]), 0)</f>
        <v>0</v>
      </c>
      <c r="S429" s="99">
        <f>IF(AND(SamplingData[[#This Row],[Total]]&lt;&gt; 0, NOT(ISBLANK(SamplingData[[#This Row],[Candidate 4]]))),(SamplingData[[#This Row],[Total]]+SamplingData[[#This Row],[Winning Candidate]]-SamplingData[[#This Row],[Candidate 4]])/(SamplingData[[#Totals],[Winning Candidate]]-SamplingData[[#Totals],[Candidate 4]]), 0)</f>
        <v>0</v>
      </c>
      <c r="T429" s="99">
        <f>IF(AND(SamplingData[[#This Row],[Total]]&lt;&gt; 0, NOT(ISBLANK(SamplingData[[#This Row],[Candidate 5]]))),(SamplingData[[#This Row],[Total]]+SamplingData[[#This Row],[Winning Candidate]]-SamplingData[[#This Row],[Candidate 5]])/(SamplingData[[#Totals],[Winning Candidate]]-SamplingData[[#Totals],[Candidate 5]]), 0)</f>
        <v>0</v>
      </c>
      <c r="U429" s="99">
        <f>IF(AND(SamplingData[[#This Row],[Total]]&lt;&gt; 0, NOT(ISBLANK(SamplingData[[#This Row],[Candidate 6]]))),(SamplingData[[#This Row],[Total]]+SamplingData[[#This Row],[Losing Candidate]]-SamplingData[[#This Row],[Candidate 6]])/(SamplingData[[#Totals],[Winning Candidate]]-SamplingData[[#Totals],[Candidate 6]]), 0)</f>
        <v>0</v>
      </c>
      <c r="V429" s="99">
        <f>IF(AND(SamplingData[[#This Row],[Total]]&lt;&gt; 0, NOT(ISBLANK(SamplingData[[#This Row],[Candidate 7]]))),(SamplingData[[#This Row],[Total]]+SamplingData[[#This Row],[Winning Candidate]]-SamplingData[[#This Row],[Candidate 7]])/(SamplingData[[#Totals],[Winning Candidate]]-SamplingData[[#Totals],[Candidate 7]]), 0)</f>
        <v>0</v>
      </c>
      <c r="W429" s="99">
        <f>IF(AND(SamplingData[[#This Row],[Total]]&lt;&gt; 0, NOT(ISBLANK(SamplingData[[#This Row],[Candidate 8]]))),(SamplingData[[#This Row],[Total]]+SamplingData[[#This Row],[Winning Candidate]]-SamplingData[[#This Row],[Candidate 8]])/(SamplingData[[#Totals],[Winning Candidate]]-SamplingData[[#Totals],[Candidate 8]]), 0)</f>
        <v>0</v>
      </c>
      <c r="X4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9" s="99">
        <f>MAX(SamplingData[[#This Row],[Error Bound (up) - Max. possible relative overstatement - Losing Candidate]:[Error Bound (up) - Max. possible relative overstatement - Candidate 12]])</f>
        <v>2.881514174163979E-2</v>
      </c>
      <c r="AC429" s="99">
        <f>IF(SamplingData[[#This Row],[Max Error Bound (up)]] = 0,0,SamplingData[[#This Row],[Max Error Bound (up)]]/SamplingData[[#Totals],[Max Error Bound (up)]])</f>
        <v>1.5427891082269987E-3</v>
      </c>
      <c r="AD429" s="103">
        <f>SUM($AC$5:AC429)</f>
        <v>0.36686343476206118</v>
      </c>
      <c r="AE429" s="99" t="str" cm="1">
        <f t="array" ref="AE429">IF(SamplingData[[#This Row],[up/U Selection Probability]] = 0, "Zero", TEXT(SamplingData[[#This Row],[Lower Range]], REPT("0",LEN('General Info'!$B$42))) &amp; " - " &amp; TEXT(SamplingData[[#This Row],[Upper Range]], REPT("0",LEN('General Info'!$B$42))))</f>
        <v>365321 - 366862</v>
      </c>
      <c r="AF429" s="99">
        <f>SamplingData[[#This Row],[Upper Range]]-SamplingData[[#This Row],[Span]]</f>
        <v>365320.64565383416</v>
      </c>
      <c r="AG429" s="99">
        <f>IF(ISNUMBER('General Info'!$B$42), ((SamplingData[[#This Row],[up/U Selection Probability]]) * 'General Info'!$B$44) - 1, 0)</f>
        <v>1541.7891082269987</v>
      </c>
      <c r="AH429" s="99">
        <f>IF(ISNUMBER('General Info'!$B$42), (SamplingData[[#This Row],[Running (cumulative) sum]] * ('General Info'!$B$42 -'General Info'!$B$43 + 1)) + 'General Info'!$B$43 - 1, 0)</f>
        <v>366862.43476206117</v>
      </c>
      <c r="AI429" s="99" t="str">
        <f>IF(ISERROR(MATCH(SamplingData[[#This Row],[Batch by Type (p)]],SelectedPrecincts[Batch Name], 0)), "", INDEX(SelectedPrecincts[Draw], MATCH(SamplingData[[#This Row],[Batch by Type (p)]],SelectedPrecincts[Batch Name], 0)))</f>
        <v/>
      </c>
      <c r="AJ429" s="100">
        <f>IF(COUNTIF(SelectedPrecincts[Batch Name],SamplingData[[#This Row],[Batch by Type (p)]]) &lt;&gt; 0, COUNTIF(SelectedPrecincts[Batch Name],SamplingData[[#This Row],[Batch by Type (p)]]), 0)</f>
        <v>0</v>
      </c>
    </row>
    <row r="430" spans="1:36" ht="15" customHeight="1" x14ac:dyDescent="0.35">
      <c r="A430" s="97" t="s">
        <v>643</v>
      </c>
      <c r="B430" s="97">
        <v>100</v>
      </c>
      <c r="C430" s="97">
        <v>185</v>
      </c>
      <c r="D430" s="92"/>
      <c r="E430" s="92"/>
      <c r="F430" s="92"/>
      <c r="G430" s="96"/>
      <c r="H430" s="96"/>
      <c r="I430" s="92"/>
      <c r="J430" s="92"/>
      <c r="K430" s="92"/>
      <c r="L430" s="92"/>
      <c r="M430" s="92"/>
      <c r="N430" s="97">
        <v>0</v>
      </c>
      <c r="O430" s="97">
        <v>10</v>
      </c>
      <c r="P430" s="98">
        <f>SUM(SamplingData[[#This Row],[Winning Candidate]:[Under Votes]])</f>
        <v>295</v>
      </c>
      <c r="Q430" s="99">
        <f>IF(AND(SamplingData[[#This Row],[Total]]&lt;&gt; 0, NOT(ISBLANK(SamplingData[[#This Row],[Losing Candidate]]))),(SamplingData[[#This Row],[Total]]+SamplingData[[#This Row],[Winning Candidate]]-SamplingData[[#This Row],[Losing Candidate]])/(SamplingData[[#Totals],[Winning Candidate]]-SamplingData[[#Totals],[Losing Candidate]]), 0)</f>
        <v>8.911899507723647E-3</v>
      </c>
      <c r="R430" s="99">
        <f>IF(AND(SamplingData[[#This Row],[Total]]&lt;&gt; 0, NOT(ISBLANK(SamplingData[[#This Row],[Candidate 3]]))),(SamplingData[[#This Row],[Total]]+SamplingData[[#This Row],[Winning Candidate]]-SamplingData[[#This Row],[Candidate 3]])/(SamplingData[[#Totals],[Winning Candidate]]-SamplingData[[#Totals],[Candidate 3]]), 0)</f>
        <v>0</v>
      </c>
      <c r="S430" s="99">
        <f>IF(AND(SamplingData[[#This Row],[Total]]&lt;&gt; 0, NOT(ISBLANK(SamplingData[[#This Row],[Candidate 4]]))),(SamplingData[[#This Row],[Total]]+SamplingData[[#This Row],[Winning Candidate]]-SamplingData[[#This Row],[Candidate 4]])/(SamplingData[[#Totals],[Winning Candidate]]-SamplingData[[#Totals],[Candidate 4]]), 0)</f>
        <v>0</v>
      </c>
      <c r="T430" s="99">
        <f>IF(AND(SamplingData[[#This Row],[Total]]&lt;&gt; 0, NOT(ISBLANK(SamplingData[[#This Row],[Candidate 5]]))),(SamplingData[[#This Row],[Total]]+SamplingData[[#This Row],[Winning Candidate]]-SamplingData[[#This Row],[Candidate 5]])/(SamplingData[[#Totals],[Winning Candidate]]-SamplingData[[#Totals],[Candidate 5]]), 0)</f>
        <v>0</v>
      </c>
      <c r="U430" s="99">
        <f>IF(AND(SamplingData[[#This Row],[Total]]&lt;&gt; 0, NOT(ISBLANK(SamplingData[[#This Row],[Candidate 6]]))),(SamplingData[[#This Row],[Total]]+SamplingData[[#This Row],[Losing Candidate]]-SamplingData[[#This Row],[Candidate 6]])/(SamplingData[[#Totals],[Winning Candidate]]-SamplingData[[#Totals],[Candidate 6]]), 0)</f>
        <v>0</v>
      </c>
      <c r="V430" s="99">
        <f>IF(AND(SamplingData[[#This Row],[Total]]&lt;&gt; 0, NOT(ISBLANK(SamplingData[[#This Row],[Candidate 7]]))),(SamplingData[[#This Row],[Total]]+SamplingData[[#This Row],[Winning Candidate]]-SamplingData[[#This Row],[Candidate 7]])/(SamplingData[[#Totals],[Winning Candidate]]-SamplingData[[#Totals],[Candidate 7]]), 0)</f>
        <v>0</v>
      </c>
      <c r="W430" s="99">
        <f>IF(AND(SamplingData[[#This Row],[Total]]&lt;&gt; 0, NOT(ISBLANK(SamplingData[[#This Row],[Candidate 8]]))),(SamplingData[[#This Row],[Total]]+SamplingData[[#This Row],[Winning Candidate]]-SamplingData[[#This Row],[Candidate 8]])/(SamplingData[[#Totals],[Winning Candidate]]-SamplingData[[#Totals],[Candidate 8]]), 0)</f>
        <v>0</v>
      </c>
      <c r="X4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0" s="99">
        <f>MAX(SamplingData[[#This Row],[Error Bound (up) - Max. possible relative overstatement - Losing Candidate]:[Error Bound (up) - Max. possible relative overstatement - Candidate 12]])</f>
        <v>8.911899507723647E-3</v>
      </c>
      <c r="AC430" s="99">
        <f>IF(SamplingData[[#This Row],[Max Error Bound (up)]] = 0,0,SamplingData[[#This Row],[Max Error Bound (up)]]/SamplingData[[#Totals],[Max Error Bound (up)]])</f>
        <v>4.7715127058566974E-4</v>
      </c>
      <c r="AD430" s="103">
        <f>SUM($AC$5:AC430)</f>
        <v>0.36734058603264685</v>
      </c>
      <c r="AE430" s="99" t="str" cm="1">
        <f t="array" ref="AE430">IF(SamplingData[[#This Row],[up/U Selection Probability]] = 0, "Zero", TEXT(SamplingData[[#This Row],[Lower Range]], REPT("0",LEN('General Info'!$B$42))) &amp; " - " &amp; TEXT(SamplingData[[#This Row],[Upper Range]], REPT("0",LEN('General Info'!$B$42))))</f>
        <v>366863 - 367340</v>
      </c>
      <c r="AF430" s="99">
        <f>SamplingData[[#This Row],[Upper Range]]-SamplingData[[#This Row],[Span]]</f>
        <v>366863.43476206122</v>
      </c>
      <c r="AG430" s="99">
        <f>IF(ISNUMBER('General Info'!$B$42), ((SamplingData[[#This Row],[up/U Selection Probability]]) * 'General Info'!$B$44) - 1, 0)</f>
        <v>476.15127058566975</v>
      </c>
      <c r="AH430" s="99">
        <f>IF(ISNUMBER('General Info'!$B$42), (SamplingData[[#This Row],[Running (cumulative) sum]] * ('General Info'!$B$42 -'General Info'!$B$43 + 1)) + 'General Info'!$B$43 - 1, 0)</f>
        <v>367339.58603264688</v>
      </c>
      <c r="AI430" s="99" t="str">
        <f>IF(ISERROR(MATCH(SamplingData[[#This Row],[Batch by Type (p)]],SelectedPrecincts[Batch Name], 0)), "", INDEX(SelectedPrecincts[Draw], MATCH(SamplingData[[#This Row],[Batch by Type (p)]],SelectedPrecincts[Batch Name], 0)))</f>
        <v/>
      </c>
      <c r="AJ430" s="100">
        <f>IF(COUNTIF(SelectedPrecincts[Batch Name],SamplingData[[#This Row],[Batch by Type (p)]]) &lt;&gt; 0, COUNTIF(SelectedPrecincts[Batch Name],SamplingData[[#This Row],[Batch by Type (p)]]), 0)</f>
        <v>0</v>
      </c>
    </row>
    <row r="431" spans="1:36" ht="15" customHeight="1" x14ac:dyDescent="0.35">
      <c r="A431" s="97" t="s">
        <v>644</v>
      </c>
      <c r="B431" s="97">
        <v>158</v>
      </c>
      <c r="C431" s="97">
        <v>169</v>
      </c>
      <c r="D431" s="92"/>
      <c r="E431" s="92"/>
      <c r="F431" s="92"/>
      <c r="G431" s="96"/>
      <c r="H431" s="96"/>
      <c r="I431" s="92"/>
      <c r="J431" s="92"/>
      <c r="K431" s="92"/>
      <c r="L431" s="92"/>
      <c r="M431" s="92"/>
      <c r="N431" s="97">
        <v>1</v>
      </c>
      <c r="O431" s="97">
        <v>20</v>
      </c>
      <c r="P431" s="98">
        <f>SUM(SamplingData[[#This Row],[Winning Candidate]:[Under Votes]])</f>
        <v>348</v>
      </c>
      <c r="Q431" s="99">
        <f>IF(AND(SamplingData[[#This Row],[Total]]&lt;&gt; 0, NOT(ISBLANK(SamplingData[[#This Row],[Losing Candidate]]))),(SamplingData[[#This Row],[Total]]+SamplingData[[#This Row],[Winning Candidate]]-SamplingData[[#This Row],[Losing Candidate]])/(SamplingData[[#Totals],[Winning Candidate]]-SamplingData[[#Totals],[Losing Candidate]]), 0)</f>
        <v>1.430147682906128E-2</v>
      </c>
      <c r="R431" s="99">
        <f>IF(AND(SamplingData[[#This Row],[Total]]&lt;&gt; 0, NOT(ISBLANK(SamplingData[[#This Row],[Candidate 3]]))),(SamplingData[[#This Row],[Total]]+SamplingData[[#This Row],[Winning Candidate]]-SamplingData[[#This Row],[Candidate 3]])/(SamplingData[[#Totals],[Winning Candidate]]-SamplingData[[#Totals],[Candidate 3]]), 0)</f>
        <v>0</v>
      </c>
      <c r="S431" s="99">
        <f>IF(AND(SamplingData[[#This Row],[Total]]&lt;&gt; 0, NOT(ISBLANK(SamplingData[[#This Row],[Candidate 4]]))),(SamplingData[[#This Row],[Total]]+SamplingData[[#This Row],[Winning Candidate]]-SamplingData[[#This Row],[Candidate 4]])/(SamplingData[[#Totals],[Winning Candidate]]-SamplingData[[#Totals],[Candidate 4]]), 0)</f>
        <v>0</v>
      </c>
      <c r="T431" s="99">
        <f>IF(AND(SamplingData[[#This Row],[Total]]&lt;&gt; 0, NOT(ISBLANK(SamplingData[[#This Row],[Candidate 5]]))),(SamplingData[[#This Row],[Total]]+SamplingData[[#This Row],[Winning Candidate]]-SamplingData[[#This Row],[Candidate 5]])/(SamplingData[[#Totals],[Winning Candidate]]-SamplingData[[#Totals],[Candidate 5]]), 0)</f>
        <v>0</v>
      </c>
      <c r="U431" s="99">
        <f>IF(AND(SamplingData[[#This Row],[Total]]&lt;&gt; 0, NOT(ISBLANK(SamplingData[[#This Row],[Candidate 6]]))),(SamplingData[[#This Row],[Total]]+SamplingData[[#This Row],[Losing Candidate]]-SamplingData[[#This Row],[Candidate 6]])/(SamplingData[[#Totals],[Winning Candidate]]-SamplingData[[#Totals],[Candidate 6]]), 0)</f>
        <v>0</v>
      </c>
      <c r="V431" s="99">
        <f>IF(AND(SamplingData[[#This Row],[Total]]&lt;&gt; 0, NOT(ISBLANK(SamplingData[[#This Row],[Candidate 7]]))),(SamplingData[[#This Row],[Total]]+SamplingData[[#This Row],[Winning Candidate]]-SamplingData[[#This Row],[Candidate 7]])/(SamplingData[[#Totals],[Winning Candidate]]-SamplingData[[#Totals],[Candidate 7]]), 0)</f>
        <v>0</v>
      </c>
      <c r="W431" s="99">
        <f>IF(AND(SamplingData[[#This Row],[Total]]&lt;&gt; 0, NOT(ISBLANK(SamplingData[[#This Row],[Candidate 8]]))),(SamplingData[[#This Row],[Total]]+SamplingData[[#This Row],[Winning Candidate]]-SamplingData[[#This Row],[Candidate 8]])/(SamplingData[[#Totals],[Winning Candidate]]-SamplingData[[#Totals],[Candidate 8]]), 0)</f>
        <v>0</v>
      </c>
      <c r="X4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1" s="99">
        <f>MAX(SamplingData[[#This Row],[Error Bound (up) - Max. possible relative overstatement - Losing Candidate]:[Error Bound (up) - Max. possible relative overstatement - Candidate 12]])</f>
        <v>1.430147682906128E-2</v>
      </c>
      <c r="AC431" s="99">
        <f>IF(SamplingData[[#This Row],[Max Error Bound (up)]] = 0,0,SamplingData[[#This Row],[Max Error Bound (up)]]/SamplingData[[#Totals],[Max Error Bound (up)]])</f>
        <v>7.6571418184462239E-4</v>
      </c>
      <c r="AD431" s="103">
        <f>SUM($AC$5:AC431)</f>
        <v>0.36810630021449148</v>
      </c>
      <c r="AE431" s="99" t="str" cm="1">
        <f t="array" ref="AE431">IF(SamplingData[[#This Row],[up/U Selection Probability]] = 0, "Zero", TEXT(SamplingData[[#This Row],[Lower Range]], REPT("0",LEN('General Info'!$B$42))) &amp; " - " &amp; TEXT(SamplingData[[#This Row],[Upper Range]], REPT("0",LEN('General Info'!$B$42))))</f>
        <v>367341 - 368105</v>
      </c>
      <c r="AF431" s="99">
        <f>SamplingData[[#This Row],[Upper Range]]-SamplingData[[#This Row],[Span]]</f>
        <v>367340.58603264688</v>
      </c>
      <c r="AG431" s="99">
        <f>IF(ISNUMBER('General Info'!$B$42), ((SamplingData[[#This Row],[up/U Selection Probability]]) * 'General Info'!$B$44) - 1, 0)</f>
        <v>764.71418184462243</v>
      </c>
      <c r="AH431" s="99">
        <f>IF(ISNUMBER('General Info'!$B$42), (SamplingData[[#This Row],[Running (cumulative) sum]] * ('General Info'!$B$42 -'General Info'!$B$43 + 1)) + 'General Info'!$B$43 - 1, 0)</f>
        <v>368105.30021449149</v>
      </c>
      <c r="AI431" s="99" t="str">
        <f>IF(ISERROR(MATCH(SamplingData[[#This Row],[Batch by Type (p)]],SelectedPrecincts[Batch Name], 0)), "", INDEX(SelectedPrecincts[Draw], MATCH(SamplingData[[#This Row],[Batch by Type (p)]],SelectedPrecincts[Batch Name], 0)))</f>
        <v/>
      </c>
      <c r="AJ431" s="100">
        <f>IF(COUNTIF(SelectedPrecincts[Batch Name],SamplingData[[#This Row],[Batch by Type (p)]]) &lt;&gt; 0, COUNTIF(SelectedPrecincts[Batch Name],SamplingData[[#This Row],[Batch by Type (p)]]), 0)</f>
        <v>0</v>
      </c>
    </row>
    <row r="432" spans="1:36" ht="15" customHeight="1" x14ac:dyDescent="0.35">
      <c r="A432" s="97" t="s">
        <v>645</v>
      </c>
      <c r="B432" s="97">
        <v>145</v>
      </c>
      <c r="C432" s="97">
        <v>124</v>
      </c>
      <c r="D432" s="92"/>
      <c r="E432" s="92"/>
      <c r="F432" s="92"/>
      <c r="G432" s="96"/>
      <c r="H432" s="96"/>
      <c r="I432" s="92"/>
      <c r="J432" s="92"/>
      <c r="K432" s="92"/>
      <c r="L432" s="92"/>
      <c r="M432" s="92"/>
      <c r="N432" s="97">
        <v>0</v>
      </c>
      <c r="O432" s="97">
        <v>16</v>
      </c>
      <c r="P432" s="98">
        <f>SUM(SamplingData[[#This Row],[Winning Candidate]:[Under Votes]])</f>
        <v>285</v>
      </c>
      <c r="Q432" s="99">
        <f>IF(AND(SamplingData[[#This Row],[Total]]&lt;&gt; 0, NOT(ISBLANK(SamplingData[[#This Row],[Losing Candidate]]))),(SamplingData[[#This Row],[Total]]+SamplingData[[#This Row],[Winning Candidate]]-SamplingData[[#This Row],[Losing Candidate]])/(SamplingData[[#Totals],[Winning Candidate]]-SamplingData[[#Totals],[Losing Candidate]]), 0)</f>
        <v>1.2985910711254456E-2</v>
      </c>
      <c r="R432" s="99">
        <f>IF(AND(SamplingData[[#This Row],[Total]]&lt;&gt; 0, NOT(ISBLANK(SamplingData[[#This Row],[Candidate 3]]))),(SamplingData[[#This Row],[Total]]+SamplingData[[#This Row],[Winning Candidate]]-SamplingData[[#This Row],[Candidate 3]])/(SamplingData[[#Totals],[Winning Candidate]]-SamplingData[[#Totals],[Candidate 3]]), 0)</f>
        <v>0</v>
      </c>
      <c r="S432" s="99">
        <f>IF(AND(SamplingData[[#This Row],[Total]]&lt;&gt; 0, NOT(ISBLANK(SamplingData[[#This Row],[Candidate 4]]))),(SamplingData[[#This Row],[Total]]+SamplingData[[#This Row],[Winning Candidate]]-SamplingData[[#This Row],[Candidate 4]])/(SamplingData[[#Totals],[Winning Candidate]]-SamplingData[[#Totals],[Candidate 4]]), 0)</f>
        <v>0</v>
      </c>
      <c r="T432" s="99">
        <f>IF(AND(SamplingData[[#This Row],[Total]]&lt;&gt; 0, NOT(ISBLANK(SamplingData[[#This Row],[Candidate 5]]))),(SamplingData[[#This Row],[Total]]+SamplingData[[#This Row],[Winning Candidate]]-SamplingData[[#This Row],[Candidate 5]])/(SamplingData[[#Totals],[Winning Candidate]]-SamplingData[[#Totals],[Candidate 5]]), 0)</f>
        <v>0</v>
      </c>
      <c r="U432" s="99">
        <f>IF(AND(SamplingData[[#This Row],[Total]]&lt;&gt; 0, NOT(ISBLANK(SamplingData[[#This Row],[Candidate 6]]))),(SamplingData[[#This Row],[Total]]+SamplingData[[#This Row],[Losing Candidate]]-SamplingData[[#This Row],[Candidate 6]])/(SamplingData[[#Totals],[Winning Candidate]]-SamplingData[[#Totals],[Candidate 6]]), 0)</f>
        <v>0</v>
      </c>
      <c r="V432" s="99">
        <f>IF(AND(SamplingData[[#This Row],[Total]]&lt;&gt; 0, NOT(ISBLANK(SamplingData[[#This Row],[Candidate 7]]))),(SamplingData[[#This Row],[Total]]+SamplingData[[#This Row],[Winning Candidate]]-SamplingData[[#This Row],[Candidate 7]])/(SamplingData[[#Totals],[Winning Candidate]]-SamplingData[[#Totals],[Candidate 7]]), 0)</f>
        <v>0</v>
      </c>
      <c r="W432" s="99">
        <f>IF(AND(SamplingData[[#This Row],[Total]]&lt;&gt; 0, NOT(ISBLANK(SamplingData[[#This Row],[Candidate 8]]))),(SamplingData[[#This Row],[Total]]+SamplingData[[#This Row],[Winning Candidate]]-SamplingData[[#This Row],[Candidate 8]])/(SamplingData[[#Totals],[Winning Candidate]]-SamplingData[[#Totals],[Candidate 8]]), 0)</f>
        <v>0</v>
      </c>
      <c r="X4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2" s="99">
        <f>MAX(SamplingData[[#This Row],[Error Bound (up) - Max. possible relative overstatement - Losing Candidate]:[Error Bound (up) - Max. possible relative overstatement - Candidate 12]])</f>
        <v>1.2985910711254456E-2</v>
      </c>
      <c r="AC432" s="99">
        <f>IF(SamplingData[[#This Row],[Max Error Bound (up)]] = 0,0,SamplingData[[#This Row],[Max Error Bound (up)]]/SamplingData[[#Totals],[Max Error Bound (up)]])</f>
        <v>6.9527756571054731E-4</v>
      </c>
      <c r="AD432" s="103">
        <f>SUM($AC$5:AC432)</f>
        <v>0.36880157778020201</v>
      </c>
      <c r="AE432" s="99" t="str" cm="1">
        <f t="array" ref="AE432">IF(SamplingData[[#This Row],[up/U Selection Probability]] = 0, "Zero", TEXT(SamplingData[[#This Row],[Lower Range]], REPT("0",LEN('General Info'!$B$42))) &amp; " - " &amp; TEXT(SamplingData[[#This Row],[Upper Range]], REPT("0",LEN('General Info'!$B$42))))</f>
        <v>368106 - 368801</v>
      </c>
      <c r="AF432" s="99">
        <f>SamplingData[[#This Row],[Upper Range]]-SamplingData[[#This Row],[Span]]</f>
        <v>368106.30021449149</v>
      </c>
      <c r="AG432" s="99">
        <f>IF(ISNUMBER('General Info'!$B$42), ((SamplingData[[#This Row],[up/U Selection Probability]]) * 'General Info'!$B$44) - 1, 0)</f>
        <v>694.27756571054726</v>
      </c>
      <c r="AH432" s="99">
        <f>IF(ISNUMBER('General Info'!$B$42), (SamplingData[[#This Row],[Running (cumulative) sum]] * ('General Info'!$B$42 -'General Info'!$B$43 + 1)) + 'General Info'!$B$43 - 1, 0)</f>
        <v>368800.57778020203</v>
      </c>
      <c r="AI432" s="99" t="str">
        <f>IF(ISERROR(MATCH(SamplingData[[#This Row],[Batch by Type (p)]],SelectedPrecincts[Batch Name], 0)), "", INDEX(SelectedPrecincts[Draw], MATCH(SamplingData[[#This Row],[Batch by Type (p)]],SelectedPrecincts[Batch Name], 0)))</f>
        <v/>
      </c>
      <c r="AJ432" s="100">
        <f>IF(COUNTIF(SelectedPrecincts[Batch Name],SamplingData[[#This Row],[Batch by Type (p)]]) &lt;&gt; 0, COUNTIF(SelectedPrecincts[Batch Name],SamplingData[[#This Row],[Batch by Type (p)]]), 0)</f>
        <v>0</v>
      </c>
    </row>
    <row r="433" spans="1:36" ht="15" customHeight="1" x14ac:dyDescent="0.35">
      <c r="A433" s="97" t="s">
        <v>646</v>
      </c>
      <c r="B433" s="97">
        <v>117</v>
      </c>
      <c r="C433" s="97">
        <v>245</v>
      </c>
      <c r="D433" s="92"/>
      <c r="E433" s="92"/>
      <c r="F433" s="92"/>
      <c r="G433" s="96"/>
      <c r="H433" s="96"/>
      <c r="I433" s="92"/>
      <c r="J433" s="92"/>
      <c r="K433" s="92"/>
      <c r="L433" s="92"/>
      <c r="M433" s="92"/>
      <c r="N433" s="97">
        <v>0</v>
      </c>
      <c r="O433" s="97">
        <v>23</v>
      </c>
      <c r="P433" s="98">
        <f>SUM(SamplingData[[#This Row],[Winning Candidate]:[Under Votes]])</f>
        <v>385</v>
      </c>
      <c r="Q433" s="99">
        <f>IF(AND(SamplingData[[#This Row],[Total]]&lt;&gt; 0, NOT(ISBLANK(SamplingData[[#This Row],[Losing Candidate]]))),(SamplingData[[#This Row],[Total]]+SamplingData[[#This Row],[Winning Candidate]]-SamplingData[[#This Row],[Losing Candidate]])/(SamplingData[[#Totals],[Winning Candidate]]-SamplingData[[#Totals],[Losing Candidate]]), 0)</f>
        <v>1.0906467492785605E-2</v>
      </c>
      <c r="R433" s="99">
        <f>IF(AND(SamplingData[[#This Row],[Total]]&lt;&gt; 0, NOT(ISBLANK(SamplingData[[#This Row],[Candidate 3]]))),(SamplingData[[#This Row],[Total]]+SamplingData[[#This Row],[Winning Candidate]]-SamplingData[[#This Row],[Candidate 3]])/(SamplingData[[#Totals],[Winning Candidate]]-SamplingData[[#Totals],[Candidate 3]]), 0)</f>
        <v>0</v>
      </c>
      <c r="S433" s="99">
        <f>IF(AND(SamplingData[[#This Row],[Total]]&lt;&gt; 0, NOT(ISBLANK(SamplingData[[#This Row],[Candidate 4]]))),(SamplingData[[#This Row],[Total]]+SamplingData[[#This Row],[Winning Candidate]]-SamplingData[[#This Row],[Candidate 4]])/(SamplingData[[#Totals],[Winning Candidate]]-SamplingData[[#Totals],[Candidate 4]]), 0)</f>
        <v>0</v>
      </c>
      <c r="T433" s="99">
        <f>IF(AND(SamplingData[[#This Row],[Total]]&lt;&gt; 0, NOT(ISBLANK(SamplingData[[#This Row],[Candidate 5]]))),(SamplingData[[#This Row],[Total]]+SamplingData[[#This Row],[Winning Candidate]]-SamplingData[[#This Row],[Candidate 5]])/(SamplingData[[#Totals],[Winning Candidate]]-SamplingData[[#Totals],[Candidate 5]]), 0)</f>
        <v>0</v>
      </c>
      <c r="U433" s="99">
        <f>IF(AND(SamplingData[[#This Row],[Total]]&lt;&gt; 0, NOT(ISBLANK(SamplingData[[#This Row],[Candidate 6]]))),(SamplingData[[#This Row],[Total]]+SamplingData[[#This Row],[Losing Candidate]]-SamplingData[[#This Row],[Candidate 6]])/(SamplingData[[#Totals],[Winning Candidate]]-SamplingData[[#Totals],[Candidate 6]]), 0)</f>
        <v>0</v>
      </c>
      <c r="V433" s="99">
        <f>IF(AND(SamplingData[[#This Row],[Total]]&lt;&gt; 0, NOT(ISBLANK(SamplingData[[#This Row],[Candidate 7]]))),(SamplingData[[#This Row],[Total]]+SamplingData[[#This Row],[Winning Candidate]]-SamplingData[[#This Row],[Candidate 7]])/(SamplingData[[#Totals],[Winning Candidate]]-SamplingData[[#Totals],[Candidate 7]]), 0)</f>
        <v>0</v>
      </c>
      <c r="W433" s="99">
        <f>IF(AND(SamplingData[[#This Row],[Total]]&lt;&gt; 0, NOT(ISBLANK(SamplingData[[#This Row],[Candidate 8]]))),(SamplingData[[#This Row],[Total]]+SamplingData[[#This Row],[Winning Candidate]]-SamplingData[[#This Row],[Candidate 8]])/(SamplingData[[#Totals],[Winning Candidate]]-SamplingData[[#Totals],[Candidate 8]]), 0)</f>
        <v>0</v>
      </c>
      <c r="X4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3" s="99">
        <f>MAX(SamplingData[[#This Row],[Error Bound (up) - Max. possible relative overstatement - Losing Candidate]:[Error Bound (up) - Max. possible relative overstatement - Candidate 12]])</f>
        <v>1.0906467492785605E-2</v>
      </c>
      <c r="AC433" s="99">
        <f>IF(SamplingData[[#This Row],[Max Error Bound (up)]] = 0,0,SamplingData[[#This Row],[Max Error Bound (up)]]/SamplingData[[#Totals],[Max Error Bound (up)]])</f>
        <v>5.8394226924055775E-4</v>
      </c>
      <c r="AD433" s="103">
        <f>SUM($AC$5:AC433)</f>
        <v>0.36938552004944258</v>
      </c>
      <c r="AE433" s="99" t="str" cm="1">
        <f t="array" ref="AE433">IF(SamplingData[[#This Row],[up/U Selection Probability]] = 0, "Zero", TEXT(SamplingData[[#This Row],[Lower Range]], REPT("0",LEN('General Info'!$B$42))) &amp; " - " &amp; TEXT(SamplingData[[#This Row],[Upper Range]], REPT("0",LEN('General Info'!$B$42))))</f>
        <v>368802 - 369385</v>
      </c>
      <c r="AF433" s="99">
        <f>SamplingData[[#This Row],[Upper Range]]-SamplingData[[#This Row],[Span]]</f>
        <v>368801.57778020203</v>
      </c>
      <c r="AG433" s="99">
        <f>IF(ISNUMBER('General Info'!$B$42), ((SamplingData[[#This Row],[up/U Selection Probability]]) * 'General Info'!$B$44) - 1, 0)</f>
        <v>582.94226924055772</v>
      </c>
      <c r="AH433" s="99">
        <f>IF(ISNUMBER('General Info'!$B$42), (SamplingData[[#This Row],[Running (cumulative) sum]] * ('General Info'!$B$42 -'General Info'!$B$43 + 1)) + 'General Info'!$B$43 - 1, 0)</f>
        <v>369384.5200494426</v>
      </c>
      <c r="AI433" s="99" t="str">
        <f>IF(ISERROR(MATCH(SamplingData[[#This Row],[Batch by Type (p)]],SelectedPrecincts[Batch Name], 0)), "", INDEX(SelectedPrecincts[Draw], MATCH(SamplingData[[#This Row],[Batch by Type (p)]],SelectedPrecincts[Batch Name], 0)))</f>
        <v/>
      </c>
      <c r="AJ433" s="100">
        <f>IF(COUNTIF(SelectedPrecincts[Batch Name],SamplingData[[#This Row],[Batch by Type (p)]]) &lt;&gt; 0, COUNTIF(SelectedPrecincts[Batch Name],SamplingData[[#This Row],[Batch by Type (p)]]), 0)</f>
        <v>0</v>
      </c>
    </row>
    <row r="434" spans="1:36" ht="15" customHeight="1" x14ac:dyDescent="0.35">
      <c r="A434" s="97" t="s">
        <v>647</v>
      </c>
      <c r="B434" s="97">
        <v>111</v>
      </c>
      <c r="C434" s="97">
        <v>312</v>
      </c>
      <c r="D434" s="92"/>
      <c r="E434" s="92"/>
      <c r="F434" s="92"/>
      <c r="G434" s="96"/>
      <c r="H434" s="96"/>
      <c r="I434" s="92"/>
      <c r="J434" s="92"/>
      <c r="K434" s="92"/>
      <c r="L434" s="92"/>
      <c r="M434" s="92"/>
      <c r="N434" s="97">
        <v>0</v>
      </c>
      <c r="O434" s="97">
        <v>27</v>
      </c>
      <c r="P434" s="98">
        <f>SUM(SamplingData[[#This Row],[Winning Candidate]:[Under Votes]])</f>
        <v>450</v>
      </c>
      <c r="Q434" s="99">
        <f>IF(AND(SamplingData[[#This Row],[Total]]&lt;&gt; 0, NOT(ISBLANK(SamplingData[[#This Row],[Losing Candidate]]))),(SamplingData[[#This Row],[Total]]+SamplingData[[#This Row],[Winning Candidate]]-SamplingData[[#This Row],[Losing Candidate]])/(SamplingData[[#Totals],[Winning Candidate]]-SamplingData[[#Totals],[Losing Candidate]]), 0)</f>
        <v>1.0566966559158038E-2</v>
      </c>
      <c r="R434" s="99">
        <f>IF(AND(SamplingData[[#This Row],[Total]]&lt;&gt; 0, NOT(ISBLANK(SamplingData[[#This Row],[Candidate 3]]))),(SamplingData[[#This Row],[Total]]+SamplingData[[#This Row],[Winning Candidate]]-SamplingData[[#This Row],[Candidate 3]])/(SamplingData[[#Totals],[Winning Candidate]]-SamplingData[[#Totals],[Candidate 3]]), 0)</f>
        <v>0</v>
      </c>
      <c r="S434" s="99">
        <f>IF(AND(SamplingData[[#This Row],[Total]]&lt;&gt; 0, NOT(ISBLANK(SamplingData[[#This Row],[Candidate 4]]))),(SamplingData[[#This Row],[Total]]+SamplingData[[#This Row],[Winning Candidate]]-SamplingData[[#This Row],[Candidate 4]])/(SamplingData[[#Totals],[Winning Candidate]]-SamplingData[[#Totals],[Candidate 4]]), 0)</f>
        <v>0</v>
      </c>
      <c r="T434" s="99">
        <f>IF(AND(SamplingData[[#This Row],[Total]]&lt;&gt; 0, NOT(ISBLANK(SamplingData[[#This Row],[Candidate 5]]))),(SamplingData[[#This Row],[Total]]+SamplingData[[#This Row],[Winning Candidate]]-SamplingData[[#This Row],[Candidate 5]])/(SamplingData[[#Totals],[Winning Candidate]]-SamplingData[[#Totals],[Candidate 5]]), 0)</f>
        <v>0</v>
      </c>
      <c r="U434" s="99">
        <f>IF(AND(SamplingData[[#This Row],[Total]]&lt;&gt; 0, NOT(ISBLANK(SamplingData[[#This Row],[Candidate 6]]))),(SamplingData[[#This Row],[Total]]+SamplingData[[#This Row],[Losing Candidate]]-SamplingData[[#This Row],[Candidate 6]])/(SamplingData[[#Totals],[Winning Candidate]]-SamplingData[[#Totals],[Candidate 6]]), 0)</f>
        <v>0</v>
      </c>
      <c r="V434" s="99">
        <f>IF(AND(SamplingData[[#This Row],[Total]]&lt;&gt; 0, NOT(ISBLANK(SamplingData[[#This Row],[Candidate 7]]))),(SamplingData[[#This Row],[Total]]+SamplingData[[#This Row],[Winning Candidate]]-SamplingData[[#This Row],[Candidate 7]])/(SamplingData[[#Totals],[Winning Candidate]]-SamplingData[[#Totals],[Candidate 7]]), 0)</f>
        <v>0</v>
      </c>
      <c r="W434" s="99">
        <f>IF(AND(SamplingData[[#This Row],[Total]]&lt;&gt; 0, NOT(ISBLANK(SamplingData[[#This Row],[Candidate 8]]))),(SamplingData[[#This Row],[Total]]+SamplingData[[#This Row],[Winning Candidate]]-SamplingData[[#This Row],[Candidate 8]])/(SamplingData[[#Totals],[Winning Candidate]]-SamplingData[[#Totals],[Candidate 8]]), 0)</f>
        <v>0</v>
      </c>
      <c r="X4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4" s="99">
        <f>MAX(SamplingData[[#This Row],[Error Bound (up) - Max. possible relative overstatement - Losing Candidate]:[Error Bound (up) - Max. possible relative overstatement - Candidate 12]])</f>
        <v>1.0566966559158038E-2</v>
      </c>
      <c r="AC434" s="99">
        <f>IF(SamplingData[[#This Row],[Max Error Bound (up)]] = 0,0,SamplingData[[#This Row],[Max Error Bound (up)]]/SamplingData[[#Totals],[Max Error Bound (up)]])</f>
        <v>5.6576507798015128E-4</v>
      </c>
      <c r="AD434" s="103">
        <f>SUM($AC$5:AC434)</f>
        <v>0.36995128512742276</v>
      </c>
      <c r="AE434" s="99" t="str" cm="1">
        <f t="array" ref="AE434">IF(SamplingData[[#This Row],[up/U Selection Probability]] = 0, "Zero", TEXT(SamplingData[[#This Row],[Lower Range]], REPT("0",LEN('General Info'!$B$42))) &amp; " - " &amp; TEXT(SamplingData[[#This Row],[Upper Range]], REPT("0",LEN('General Info'!$B$42))))</f>
        <v>369386 - 369950</v>
      </c>
      <c r="AF434" s="99">
        <f>SamplingData[[#This Row],[Upper Range]]-SamplingData[[#This Row],[Span]]</f>
        <v>369385.5200494426</v>
      </c>
      <c r="AG434" s="99">
        <f>IF(ISNUMBER('General Info'!$B$42), ((SamplingData[[#This Row],[up/U Selection Probability]]) * 'General Info'!$B$44) - 1, 0)</f>
        <v>564.76507798015132</v>
      </c>
      <c r="AH434" s="99">
        <f>IF(ISNUMBER('General Info'!$B$42), (SamplingData[[#This Row],[Running (cumulative) sum]] * ('General Info'!$B$42 -'General Info'!$B$43 + 1)) + 'General Info'!$B$43 - 1, 0)</f>
        <v>369950.28512742277</v>
      </c>
      <c r="AI434" s="99" t="str">
        <f>IF(ISERROR(MATCH(SamplingData[[#This Row],[Batch by Type (p)]],SelectedPrecincts[Batch Name], 0)), "", INDEX(SelectedPrecincts[Draw], MATCH(SamplingData[[#This Row],[Batch by Type (p)]],SelectedPrecincts[Batch Name], 0)))</f>
        <v/>
      </c>
      <c r="AJ434" s="100">
        <f>IF(COUNTIF(SelectedPrecincts[Batch Name],SamplingData[[#This Row],[Batch by Type (p)]]) &lt;&gt; 0, COUNTIF(SelectedPrecincts[Batch Name],SamplingData[[#This Row],[Batch by Type (p)]]), 0)</f>
        <v>0</v>
      </c>
    </row>
    <row r="435" spans="1:36" ht="15" customHeight="1" x14ac:dyDescent="0.35">
      <c r="A435" s="97" t="s">
        <v>648</v>
      </c>
      <c r="B435" s="97">
        <v>88</v>
      </c>
      <c r="C435" s="97">
        <v>158</v>
      </c>
      <c r="D435" s="92"/>
      <c r="E435" s="92"/>
      <c r="F435" s="92"/>
      <c r="G435" s="96"/>
      <c r="H435" s="96"/>
      <c r="I435" s="92"/>
      <c r="J435" s="92"/>
      <c r="K435" s="92"/>
      <c r="L435" s="92"/>
      <c r="M435" s="92"/>
      <c r="N435" s="97">
        <v>0</v>
      </c>
      <c r="O435" s="97">
        <v>23</v>
      </c>
      <c r="P435" s="98">
        <f>SUM(SamplingData[[#This Row],[Winning Candidate]:[Under Votes]])</f>
        <v>269</v>
      </c>
      <c r="Q435" s="99">
        <f>IF(AND(SamplingData[[#This Row],[Total]]&lt;&gt; 0, NOT(ISBLANK(SamplingData[[#This Row],[Losing Candidate]]))),(SamplingData[[#This Row],[Total]]+SamplingData[[#This Row],[Winning Candidate]]-SamplingData[[#This Row],[Losing Candidate]])/(SamplingData[[#Totals],[Winning Candidate]]-SamplingData[[#Totals],[Losing Candidate]]), 0)</f>
        <v>8.4450857239857409E-3</v>
      </c>
      <c r="R435" s="99">
        <f>IF(AND(SamplingData[[#This Row],[Total]]&lt;&gt; 0, NOT(ISBLANK(SamplingData[[#This Row],[Candidate 3]]))),(SamplingData[[#This Row],[Total]]+SamplingData[[#This Row],[Winning Candidate]]-SamplingData[[#This Row],[Candidate 3]])/(SamplingData[[#Totals],[Winning Candidate]]-SamplingData[[#Totals],[Candidate 3]]), 0)</f>
        <v>0</v>
      </c>
      <c r="S435" s="99">
        <f>IF(AND(SamplingData[[#This Row],[Total]]&lt;&gt; 0, NOT(ISBLANK(SamplingData[[#This Row],[Candidate 4]]))),(SamplingData[[#This Row],[Total]]+SamplingData[[#This Row],[Winning Candidate]]-SamplingData[[#This Row],[Candidate 4]])/(SamplingData[[#Totals],[Winning Candidate]]-SamplingData[[#Totals],[Candidate 4]]), 0)</f>
        <v>0</v>
      </c>
      <c r="T435" s="99">
        <f>IF(AND(SamplingData[[#This Row],[Total]]&lt;&gt; 0, NOT(ISBLANK(SamplingData[[#This Row],[Candidate 5]]))),(SamplingData[[#This Row],[Total]]+SamplingData[[#This Row],[Winning Candidate]]-SamplingData[[#This Row],[Candidate 5]])/(SamplingData[[#Totals],[Winning Candidate]]-SamplingData[[#Totals],[Candidate 5]]), 0)</f>
        <v>0</v>
      </c>
      <c r="U435" s="99">
        <f>IF(AND(SamplingData[[#This Row],[Total]]&lt;&gt; 0, NOT(ISBLANK(SamplingData[[#This Row],[Candidate 6]]))),(SamplingData[[#This Row],[Total]]+SamplingData[[#This Row],[Losing Candidate]]-SamplingData[[#This Row],[Candidate 6]])/(SamplingData[[#Totals],[Winning Candidate]]-SamplingData[[#Totals],[Candidate 6]]), 0)</f>
        <v>0</v>
      </c>
      <c r="V435" s="99">
        <f>IF(AND(SamplingData[[#This Row],[Total]]&lt;&gt; 0, NOT(ISBLANK(SamplingData[[#This Row],[Candidate 7]]))),(SamplingData[[#This Row],[Total]]+SamplingData[[#This Row],[Winning Candidate]]-SamplingData[[#This Row],[Candidate 7]])/(SamplingData[[#Totals],[Winning Candidate]]-SamplingData[[#Totals],[Candidate 7]]), 0)</f>
        <v>0</v>
      </c>
      <c r="W435" s="99">
        <f>IF(AND(SamplingData[[#This Row],[Total]]&lt;&gt; 0, NOT(ISBLANK(SamplingData[[#This Row],[Candidate 8]]))),(SamplingData[[#This Row],[Total]]+SamplingData[[#This Row],[Winning Candidate]]-SamplingData[[#This Row],[Candidate 8]])/(SamplingData[[#Totals],[Winning Candidate]]-SamplingData[[#Totals],[Candidate 8]]), 0)</f>
        <v>0</v>
      </c>
      <c r="X4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5" s="99">
        <f>MAX(SamplingData[[#This Row],[Error Bound (up) - Max. possible relative overstatement - Losing Candidate]:[Error Bound (up) - Max. possible relative overstatement - Candidate 12]])</f>
        <v>8.4450857239857409E-3</v>
      </c>
      <c r="AC435" s="99">
        <f>IF(SamplingData[[#This Row],[Max Error Bound (up)]] = 0,0,SamplingData[[#This Row],[Max Error Bound (up)]]/SamplingData[[#Totals],[Max Error Bound (up)]])</f>
        <v>4.5215763260261083E-4</v>
      </c>
      <c r="AD435" s="103">
        <f>SUM($AC$5:AC435)</f>
        <v>0.37040344276002535</v>
      </c>
      <c r="AE435" s="99" t="str" cm="1">
        <f t="array" ref="AE435">IF(SamplingData[[#This Row],[up/U Selection Probability]] = 0, "Zero", TEXT(SamplingData[[#This Row],[Lower Range]], REPT("0",LEN('General Info'!$B$42))) &amp; " - " &amp; TEXT(SamplingData[[#This Row],[Upper Range]], REPT("0",LEN('General Info'!$B$42))))</f>
        <v>369951 - 370402</v>
      </c>
      <c r="AF435" s="99">
        <f>SamplingData[[#This Row],[Upper Range]]-SamplingData[[#This Row],[Span]]</f>
        <v>369951.28512742271</v>
      </c>
      <c r="AG435" s="99">
        <f>IF(ISNUMBER('General Info'!$B$42), ((SamplingData[[#This Row],[up/U Selection Probability]]) * 'General Info'!$B$44) - 1, 0)</f>
        <v>451.15763260261082</v>
      </c>
      <c r="AH435" s="99">
        <f>IF(ISNUMBER('General Info'!$B$42), (SamplingData[[#This Row],[Running (cumulative) sum]] * ('General Info'!$B$42 -'General Info'!$B$43 + 1)) + 'General Info'!$B$43 - 1, 0)</f>
        <v>370402.44276002533</v>
      </c>
      <c r="AI435" s="99" t="str">
        <f>IF(ISERROR(MATCH(SamplingData[[#This Row],[Batch by Type (p)]],SelectedPrecincts[Batch Name], 0)), "", INDEX(SelectedPrecincts[Draw], MATCH(SamplingData[[#This Row],[Batch by Type (p)]],SelectedPrecincts[Batch Name], 0)))</f>
        <v/>
      </c>
      <c r="AJ435" s="100">
        <f>IF(COUNTIF(SelectedPrecincts[Batch Name],SamplingData[[#This Row],[Batch by Type (p)]]) &lt;&gt; 0, COUNTIF(SelectedPrecincts[Batch Name],SamplingData[[#This Row],[Batch by Type (p)]]), 0)</f>
        <v>0</v>
      </c>
    </row>
    <row r="436" spans="1:36" ht="15" customHeight="1" x14ac:dyDescent="0.35">
      <c r="A436" s="97" t="s">
        <v>649</v>
      </c>
      <c r="B436" s="97">
        <v>52</v>
      </c>
      <c r="C436" s="97">
        <v>158</v>
      </c>
      <c r="D436" s="92"/>
      <c r="E436" s="92"/>
      <c r="F436" s="92"/>
      <c r="G436" s="96"/>
      <c r="H436" s="96"/>
      <c r="I436" s="92"/>
      <c r="J436" s="92"/>
      <c r="K436" s="92"/>
      <c r="L436" s="92"/>
      <c r="M436" s="92"/>
      <c r="N436" s="97">
        <v>0</v>
      </c>
      <c r="O436" s="97">
        <v>15</v>
      </c>
      <c r="P436" s="98">
        <f>SUM(SamplingData[[#This Row],[Winning Candidate]:[Under Votes]])</f>
        <v>225</v>
      </c>
      <c r="Q436" s="99">
        <f>IF(AND(SamplingData[[#This Row],[Total]]&lt;&gt; 0, NOT(ISBLANK(SamplingData[[#This Row],[Losing Candidate]]))),(SamplingData[[#This Row],[Total]]+SamplingData[[#This Row],[Winning Candidate]]-SamplingData[[#This Row],[Losing Candidate]])/(SamplingData[[#Totals],[Winning Candidate]]-SamplingData[[#Totals],[Losing Candidate]]), 0)</f>
        <v>5.050076387710066E-3</v>
      </c>
      <c r="R436" s="99">
        <f>IF(AND(SamplingData[[#This Row],[Total]]&lt;&gt; 0, NOT(ISBLANK(SamplingData[[#This Row],[Candidate 3]]))),(SamplingData[[#This Row],[Total]]+SamplingData[[#This Row],[Winning Candidate]]-SamplingData[[#This Row],[Candidate 3]])/(SamplingData[[#Totals],[Winning Candidate]]-SamplingData[[#Totals],[Candidate 3]]), 0)</f>
        <v>0</v>
      </c>
      <c r="S436" s="99">
        <f>IF(AND(SamplingData[[#This Row],[Total]]&lt;&gt; 0, NOT(ISBLANK(SamplingData[[#This Row],[Candidate 4]]))),(SamplingData[[#This Row],[Total]]+SamplingData[[#This Row],[Winning Candidate]]-SamplingData[[#This Row],[Candidate 4]])/(SamplingData[[#Totals],[Winning Candidate]]-SamplingData[[#Totals],[Candidate 4]]), 0)</f>
        <v>0</v>
      </c>
      <c r="T436" s="99">
        <f>IF(AND(SamplingData[[#This Row],[Total]]&lt;&gt; 0, NOT(ISBLANK(SamplingData[[#This Row],[Candidate 5]]))),(SamplingData[[#This Row],[Total]]+SamplingData[[#This Row],[Winning Candidate]]-SamplingData[[#This Row],[Candidate 5]])/(SamplingData[[#Totals],[Winning Candidate]]-SamplingData[[#Totals],[Candidate 5]]), 0)</f>
        <v>0</v>
      </c>
      <c r="U436" s="99">
        <f>IF(AND(SamplingData[[#This Row],[Total]]&lt;&gt; 0, NOT(ISBLANK(SamplingData[[#This Row],[Candidate 6]]))),(SamplingData[[#This Row],[Total]]+SamplingData[[#This Row],[Losing Candidate]]-SamplingData[[#This Row],[Candidate 6]])/(SamplingData[[#Totals],[Winning Candidate]]-SamplingData[[#Totals],[Candidate 6]]), 0)</f>
        <v>0</v>
      </c>
      <c r="V436" s="99">
        <f>IF(AND(SamplingData[[#This Row],[Total]]&lt;&gt; 0, NOT(ISBLANK(SamplingData[[#This Row],[Candidate 7]]))),(SamplingData[[#This Row],[Total]]+SamplingData[[#This Row],[Winning Candidate]]-SamplingData[[#This Row],[Candidate 7]])/(SamplingData[[#Totals],[Winning Candidate]]-SamplingData[[#Totals],[Candidate 7]]), 0)</f>
        <v>0</v>
      </c>
      <c r="W436" s="99">
        <f>IF(AND(SamplingData[[#This Row],[Total]]&lt;&gt; 0, NOT(ISBLANK(SamplingData[[#This Row],[Candidate 8]]))),(SamplingData[[#This Row],[Total]]+SamplingData[[#This Row],[Winning Candidate]]-SamplingData[[#This Row],[Candidate 8]])/(SamplingData[[#Totals],[Winning Candidate]]-SamplingData[[#Totals],[Candidate 8]]), 0)</f>
        <v>0</v>
      </c>
      <c r="X4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6" s="99">
        <f>MAX(SamplingData[[#This Row],[Error Bound (up) - Max. possible relative overstatement - Losing Candidate]:[Error Bound (up) - Max. possible relative overstatement - Candidate 12]])</f>
        <v>5.050076387710066E-3</v>
      </c>
      <c r="AC436" s="99">
        <f>IF(SamplingData[[#This Row],[Max Error Bound (up)]] = 0,0,SamplingData[[#This Row],[Max Error Bound (up)]]/SamplingData[[#Totals],[Max Error Bound (up)]])</f>
        <v>2.7038571999854618E-4</v>
      </c>
      <c r="AD436" s="103">
        <f>SUM($AC$5:AC436)</f>
        <v>0.37067382848002389</v>
      </c>
      <c r="AE436" s="99" t="str" cm="1">
        <f t="array" ref="AE436">IF(SamplingData[[#This Row],[up/U Selection Probability]] = 0, "Zero", TEXT(SamplingData[[#This Row],[Lower Range]], REPT("0",LEN('General Info'!$B$42))) &amp; " - " &amp; TEXT(SamplingData[[#This Row],[Upper Range]], REPT("0",LEN('General Info'!$B$42))))</f>
        <v>370403 - 370673</v>
      </c>
      <c r="AF436" s="99">
        <f>SamplingData[[#This Row],[Upper Range]]-SamplingData[[#This Row],[Span]]</f>
        <v>370403.44276002533</v>
      </c>
      <c r="AG436" s="99">
        <f>IF(ISNUMBER('General Info'!$B$42), ((SamplingData[[#This Row],[up/U Selection Probability]]) * 'General Info'!$B$44) - 1, 0)</f>
        <v>269.38571999854616</v>
      </c>
      <c r="AH436" s="99">
        <f>IF(ISNUMBER('General Info'!$B$42), (SamplingData[[#This Row],[Running (cumulative) sum]] * ('General Info'!$B$42 -'General Info'!$B$43 + 1)) + 'General Info'!$B$43 - 1, 0)</f>
        <v>370672.82848002389</v>
      </c>
      <c r="AI436" s="99" t="str">
        <f>IF(ISERROR(MATCH(SamplingData[[#This Row],[Batch by Type (p)]],SelectedPrecincts[Batch Name], 0)), "", INDEX(SelectedPrecincts[Draw], MATCH(SamplingData[[#This Row],[Batch by Type (p)]],SelectedPrecincts[Batch Name], 0)))</f>
        <v/>
      </c>
      <c r="AJ436" s="100">
        <f>IF(COUNTIF(SelectedPrecincts[Batch Name],SamplingData[[#This Row],[Batch by Type (p)]]) &lt;&gt; 0, COUNTIF(SelectedPrecincts[Batch Name],SamplingData[[#This Row],[Batch by Type (p)]]), 0)</f>
        <v>0</v>
      </c>
    </row>
    <row r="437" spans="1:36" ht="15" customHeight="1" x14ac:dyDescent="0.35">
      <c r="A437" s="97" t="s">
        <v>650</v>
      </c>
      <c r="B437" s="97">
        <v>121</v>
      </c>
      <c r="C437" s="97">
        <v>93</v>
      </c>
      <c r="D437" s="92"/>
      <c r="E437" s="92"/>
      <c r="F437" s="92"/>
      <c r="G437" s="96"/>
      <c r="H437" s="96"/>
      <c r="I437" s="92"/>
      <c r="J437" s="92"/>
      <c r="K437" s="92"/>
      <c r="L437" s="92"/>
      <c r="M437" s="92"/>
      <c r="N437" s="97">
        <v>0</v>
      </c>
      <c r="O437" s="97">
        <v>8</v>
      </c>
      <c r="P437" s="98">
        <f>SUM(SamplingData[[#This Row],[Winning Candidate]:[Under Votes]])</f>
        <v>222</v>
      </c>
      <c r="Q437" s="99">
        <f>IF(AND(SamplingData[[#This Row],[Total]]&lt;&gt; 0, NOT(ISBLANK(SamplingData[[#This Row],[Losing Candidate]]))),(SamplingData[[#This Row],[Total]]+SamplingData[[#This Row],[Winning Candidate]]-SamplingData[[#This Row],[Losing Candidate]])/(SamplingData[[#Totals],[Winning Candidate]]-SamplingData[[#Totals],[Losing Candidate]]), 0)</f>
        <v>1.0609404175861484E-2</v>
      </c>
      <c r="R437" s="99">
        <f>IF(AND(SamplingData[[#This Row],[Total]]&lt;&gt; 0, NOT(ISBLANK(SamplingData[[#This Row],[Candidate 3]]))),(SamplingData[[#This Row],[Total]]+SamplingData[[#This Row],[Winning Candidate]]-SamplingData[[#This Row],[Candidate 3]])/(SamplingData[[#Totals],[Winning Candidate]]-SamplingData[[#Totals],[Candidate 3]]), 0)</f>
        <v>0</v>
      </c>
      <c r="S437" s="99">
        <f>IF(AND(SamplingData[[#This Row],[Total]]&lt;&gt; 0, NOT(ISBLANK(SamplingData[[#This Row],[Candidate 4]]))),(SamplingData[[#This Row],[Total]]+SamplingData[[#This Row],[Winning Candidate]]-SamplingData[[#This Row],[Candidate 4]])/(SamplingData[[#Totals],[Winning Candidate]]-SamplingData[[#Totals],[Candidate 4]]), 0)</f>
        <v>0</v>
      </c>
      <c r="T437" s="99">
        <f>IF(AND(SamplingData[[#This Row],[Total]]&lt;&gt; 0, NOT(ISBLANK(SamplingData[[#This Row],[Candidate 5]]))),(SamplingData[[#This Row],[Total]]+SamplingData[[#This Row],[Winning Candidate]]-SamplingData[[#This Row],[Candidate 5]])/(SamplingData[[#Totals],[Winning Candidate]]-SamplingData[[#Totals],[Candidate 5]]), 0)</f>
        <v>0</v>
      </c>
      <c r="U437" s="99">
        <f>IF(AND(SamplingData[[#This Row],[Total]]&lt;&gt; 0, NOT(ISBLANK(SamplingData[[#This Row],[Candidate 6]]))),(SamplingData[[#This Row],[Total]]+SamplingData[[#This Row],[Losing Candidate]]-SamplingData[[#This Row],[Candidate 6]])/(SamplingData[[#Totals],[Winning Candidate]]-SamplingData[[#Totals],[Candidate 6]]), 0)</f>
        <v>0</v>
      </c>
      <c r="V437" s="99">
        <f>IF(AND(SamplingData[[#This Row],[Total]]&lt;&gt; 0, NOT(ISBLANK(SamplingData[[#This Row],[Candidate 7]]))),(SamplingData[[#This Row],[Total]]+SamplingData[[#This Row],[Winning Candidate]]-SamplingData[[#This Row],[Candidate 7]])/(SamplingData[[#Totals],[Winning Candidate]]-SamplingData[[#Totals],[Candidate 7]]), 0)</f>
        <v>0</v>
      </c>
      <c r="W437" s="99">
        <f>IF(AND(SamplingData[[#This Row],[Total]]&lt;&gt; 0, NOT(ISBLANK(SamplingData[[#This Row],[Candidate 8]]))),(SamplingData[[#This Row],[Total]]+SamplingData[[#This Row],[Winning Candidate]]-SamplingData[[#This Row],[Candidate 8]])/(SamplingData[[#Totals],[Winning Candidate]]-SamplingData[[#Totals],[Candidate 8]]), 0)</f>
        <v>0</v>
      </c>
      <c r="X4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7" s="99">
        <f>MAX(SamplingData[[#This Row],[Error Bound (up) - Max. possible relative overstatement - Losing Candidate]:[Error Bound (up) - Max. possible relative overstatement - Candidate 12]])</f>
        <v>1.0609404175861484E-2</v>
      </c>
      <c r="AC437" s="99">
        <f>IF(SamplingData[[#This Row],[Max Error Bound (up)]] = 0,0,SamplingData[[#This Row],[Max Error Bound (up)]]/SamplingData[[#Totals],[Max Error Bound (up)]])</f>
        <v>5.6803722688770206E-4</v>
      </c>
      <c r="AD437" s="103">
        <f>SUM($AC$5:AC437)</f>
        <v>0.37124186570691159</v>
      </c>
      <c r="AE437" s="99" t="str" cm="1">
        <f t="array" ref="AE437">IF(SamplingData[[#This Row],[up/U Selection Probability]] = 0, "Zero", TEXT(SamplingData[[#This Row],[Lower Range]], REPT("0",LEN('General Info'!$B$42))) &amp; " - " &amp; TEXT(SamplingData[[#This Row],[Upper Range]], REPT("0",LEN('General Info'!$B$42))))</f>
        <v>370674 - 371241</v>
      </c>
      <c r="AF437" s="99">
        <f>SamplingData[[#This Row],[Upper Range]]-SamplingData[[#This Row],[Span]]</f>
        <v>370673.82848002389</v>
      </c>
      <c r="AG437" s="99">
        <f>IF(ISNUMBER('General Info'!$B$42), ((SamplingData[[#This Row],[up/U Selection Probability]]) * 'General Info'!$B$44) - 1, 0)</f>
        <v>567.0372268877021</v>
      </c>
      <c r="AH437" s="99">
        <f>IF(ISNUMBER('General Info'!$B$42), (SamplingData[[#This Row],[Running (cumulative) sum]] * ('General Info'!$B$42 -'General Info'!$B$43 + 1)) + 'General Info'!$B$43 - 1, 0)</f>
        <v>371240.8657069116</v>
      </c>
      <c r="AI437" s="99" t="str">
        <f>IF(ISERROR(MATCH(SamplingData[[#This Row],[Batch by Type (p)]],SelectedPrecincts[Batch Name], 0)), "", INDEX(SelectedPrecincts[Draw], MATCH(SamplingData[[#This Row],[Batch by Type (p)]],SelectedPrecincts[Batch Name], 0)))</f>
        <v/>
      </c>
      <c r="AJ437" s="100">
        <f>IF(COUNTIF(SelectedPrecincts[Batch Name],SamplingData[[#This Row],[Batch by Type (p)]]) &lt;&gt; 0, COUNTIF(SelectedPrecincts[Batch Name],SamplingData[[#This Row],[Batch by Type (p)]]), 0)</f>
        <v>0</v>
      </c>
    </row>
    <row r="438" spans="1:36" ht="15" customHeight="1" x14ac:dyDescent="0.35">
      <c r="A438" s="97" t="s">
        <v>651</v>
      </c>
      <c r="B438" s="97">
        <v>102</v>
      </c>
      <c r="C438" s="97">
        <v>168</v>
      </c>
      <c r="D438" s="92"/>
      <c r="E438" s="92"/>
      <c r="F438" s="92"/>
      <c r="G438" s="96"/>
      <c r="H438" s="96"/>
      <c r="I438" s="92"/>
      <c r="J438" s="92"/>
      <c r="K438" s="92"/>
      <c r="L438" s="92"/>
      <c r="M438" s="92"/>
      <c r="N438" s="97">
        <v>0</v>
      </c>
      <c r="O438" s="97">
        <v>12</v>
      </c>
      <c r="P438" s="98">
        <f>SUM(SamplingData[[#This Row],[Winning Candidate]:[Under Votes]])</f>
        <v>282</v>
      </c>
      <c r="Q438" s="99">
        <f>IF(AND(SamplingData[[#This Row],[Total]]&lt;&gt; 0, NOT(ISBLANK(SamplingData[[#This Row],[Losing Candidate]]))),(SamplingData[[#This Row],[Total]]+SamplingData[[#This Row],[Winning Candidate]]-SamplingData[[#This Row],[Losing Candidate]])/(SamplingData[[#Totals],[Winning Candidate]]-SamplingData[[#Totals],[Losing Candidate]]), 0)</f>
        <v>9.1665252079443215E-3</v>
      </c>
      <c r="R438" s="99">
        <f>IF(AND(SamplingData[[#This Row],[Total]]&lt;&gt; 0, NOT(ISBLANK(SamplingData[[#This Row],[Candidate 3]]))),(SamplingData[[#This Row],[Total]]+SamplingData[[#This Row],[Winning Candidate]]-SamplingData[[#This Row],[Candidate 3]])/(SamplingData[[#Totals],[Winning Candidate]]-SamplingData[[#Totals],[Candidate 3]]), 0)</f>
        <v>0</v>
      </c>
      <c r="S438" s="99">
        <f>IF(AND(SamplingData[[#This Row],[Total]]&lt;&gt; 0, NOT(ISBLANK(SamplingData[[#This Row],[Candidate 4]]))),(SamplingData[[#This Row],[Total]]+SamplingData[[#This Row],[Winning Candidate]]-SamplingData[[#This Row],[Candidate 4]])/(SamplingData[[#Totals],[Winning Candidate]]-SamplingData[[#Totals],[Candidate 4]]), 0)</f>
        <v>0</v>
      </c>
      <c r="T438" s="99">
        <f>IF(AND(SamplingData[[#This Row],[Total]]&lt;&gt; 0, NOT(ISBLANK(SamplingData[[#This Row],[Candidate 5]]))),(SamplingData[[#This Row],[Total]]+SamplingData[[#This Row],[Winning Candidate]]-SamplingData[[#This Row],[Candidate 5]])/(SamplingData[[#Totals],[Winning Candidate]]-SamplingData[[#Totals],[Candidate 5]]), 0)</f>
        <v>0</v>
      </c>
      <c r="U438" s="99">
        <f>IF(AND(SamplingData[[#This Row],[Total]]&lt;&gt; 0, NOT(ISBLANK(SamplingData[[#This Row],[Candidate 6]]))),(SamplingData[[#This Row],[Total]]+SamplingData[[#This Row],[Losing Candidate]]-SamplingData[[#This Row],[Candidate 6]])/(SamplingData[[#Totals],[Winning Candidate]]-SamplingData[[#Totals],[Candidate 6]]), 0)</f>
        <v>0</v>
      </c>
      <c r="V438" s="99">
        <f>IF(AND(SamplingData[[#This Row],[Total]]&lt;&gt; 0, NOT(ISBLANK(SamplingData[[#This Row],[Candidate 7]]))),(SamplingData[[#This Row],[Total]]+SamplingData[[#This Row],[Winning Candidate]]-SamplingData[[#This Row],[Candidate 7]])/(SamplingData[[#Totals],[Winning Candidate]]-SamplingData[[#Totals],[Candidate 7]]), 0)</f>
        <v>0</v>
      </c>
      <c r="W438" s="99">
        <f>IF(AND(SamplingData[[#This Row],[Total]]&lt;&gt; 0, NOT(ISBLANK(SamplingData[[#This Row],[Candidate 8]]))),(SamplingData[[#This Row],[Total]]+SamplingData[[#This Row],[Winning Candidate]]-SamplingData[[#This Row],[Candidate 8]])/(SamplingData[[#Totals],[Winning Candidate]]-SamplingData[[#Totals],[Candidate 8]]), 0)</f>
        <v>0</v>
      </c>
      <c r="X4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8" s="99">
        <f>MAX(SamplingData[[#This Row],[Error Bound (up) - Max. possible relative overstatement - Losing Candidate]:[Error Bound (up) - Max. possible relative overstatement - Candidate 12]])</f>
        <v>9.1665252079443215E-3</v>
      </c>
      <c r="AC438" s="99">
        <f>IF(SamplingData[[#This Row],[Max Error Bound (up)]] = 0,0,SamplingData[[#This Row],[Max Error Bound (up)]]/SamplingData[[#Totals],[Max Error Bound (up)]])</f>
        <v>4.9078416403097454E-4</v>
      </c>
      <c r="AD438" s="103">
        <f>SUM($AC$5:AC438)</f>
        <v>0.37173264987094257</v>
      </c>
      <c r="AE438" s="99" t="str" cm="1">
        <f t="array" ref="AE438">IF(SamplingData[[#This Row],[up/U Selection Probability]] = 0, "Zero", TEXT(SamplingData[[#This Row],[Lower Range]], REPT("0",LEN('General Info'!$B$42))) &amp; " - " &amp; TEXT(SamplingData[[#This Row],[Upper Range]], REPT("0",LEN('General Info'!$B$42))))</f>
        <v>371242 - 371732</v>
      </c>
      <c r="AF438" s="99">
        <f>SamplingData[[#This Row],[Upper Range]]-SamplingData[[#This Row],[Span]]</f>
        <v>371241.8657069116</v>
      </c>
      <c r="AG438" s="99">
        <f>IF(ISNUMBER('General Info'!$B$42), ((SamplingData[[#This Row],[up/U Selection Probability]]) * 'General Info'!$B$44) - 1, 0)</f>
        <v>489.78416403097452</v>
      </c>
      <c r="AH438" s="99">
        <f>IF(ISNUMBER('General Info'!$B$42), (SamplingData[[#This Row],[Running (cumulative) sum]] * ('General Info'!$B$42 -'General Info'!$B$43 + 1)) + 'General Info'!$B$43 - 1, 0)</f>
        <v>371731.64987094258</v>
      </c>
      <c r="AI438" s="99" t="str">
        <f>IF(ISERROR(MATCH(SamplingData[[#This Row],[Batch by Type (p)]],SelectedPrecincts[Batch Name], 0)), "", INDEX(SelectedPrecincts[Draw], MATCH(SamplingData[[#This Row],[Batch by Type (p)]],SelectedPrecincts[Batch Name], 0)))</f>
        <v/>
      </c>
      <c r="AJ438" s="100">
        <f>IF(COUNTIF(SelectedPrecincts[Batch Name],SamplingData[[#This Row],[Batch by Type (p)]]) &lt;&gt; 0, COUNTIF(SelectedPrecincts[Batch Name],SamplingData[[#This Row],[Batch by Type (p)]]), 0)</f>
        <v>0</v>
      </c>
    </row>
    <row r="439" spans="1:36" ht="15" customHeight="1" x14ac:dyDescent="0.35">
      <c r="A439" s="97" t="s">
        <v>652</v>
      </c>
      <c r="B439" s="97">
        <v>93</v>
      </c>
      <c r="C439" s="97">
        <v>213</v>
      </c>
      <c r="D439" s="92"/>
      <c r="E439" s="92"/>
      <c r="F439" s="92"/>
      <c r="G439" s="96"/>
      <c r="H439" s="96"/>
      <c r="I439" s="92"/>
      <c r="J439" s="92"/>
      <c r="K439" s="92"/>
      <c r="L439" s="92"/>
      <c r="M439" s="92"/>
      <c r="N439" s="97">
        <v>1</v>
      </c>
      <c r="O439" s="97">
        <v>10</v>
      </c>
      <c r="P439" s="98">
        <f>SUM(SamplingData[[#This Row],[Winning Candidate]:[Under Votes]])</f>
        <v>317</v>
      </c>
      <c r="Q439" s="99">
        <f>IF(AND(SamplingData[[#This Row],[Total]]&lt;&gt; 0, NOT(ISBLANK(SamplingData[[#This Row],[Losing Candidate]]))),(SamplingData[[#This Row],[Total]]+SamplingData[[#This Row],[Winning Candidate]]-SamplingData[[#This Row],[Losing Candidate]])/(SamplingData[[#Totals],[Winning Candidate]]-SamplingData[[#Totals],[Losing Candidate]]), 0)</f>
        <v>8.3602104905788482E-3</v>
      </c>
      <c r="R439" s="99">
        <f>IF(AND(SamplingData[[#This Row],[Total]]&lt;&gt; 0, NOT(ISBLANK(SamplingData[[#This Row],[Candidate 3]]))),(SamplingData[[#This Row],[Total]]+SamplingData[[#This Row],[Winning Candidate]]-SamplingData[[#This Row],[Candidate 3]])/(SamplingData[[#Totals],[Winning Candidate]]-SamplingData[[#Totals],[Candidate 3]]), 0)</f>
        <v>0</v>
      </c>
      <c r="S439" s="99">
        <f>IF(AND(SamplingData[[#This Row],[Total]]&lt;&gt; 0, NOT(ISBLANK(SamplingData[[#This Row],[Candidate 4]]))),(SamplingData[[#This Row],[Total]]+SamplingData[[#This Row],[Winning Candidate]]-SamplingData[[#This Row],[Candidate 4]])/(SamplingData[[#Totals],[Winning Candidate]]-SamplingData[[#Totals],[Candidate 4]]), 0)</f>
        <v>0</v>
      </c>
      <c r="T439" s="99">
        <f>IF(AND(SamplingData[[#This Row],[Total]]&lt;&gt; 0, NOT(ISBLANK(SamplingData[[#This Row],[Candidate 5]]))),(SamplingData[[#This Row],[Total]]+SamplingData[[#This Row],[Winning Candidate]]-SamplingData[[#This Row],[Candidate 5]])/(SamplingData[[#Totals],[Winning Candidate]]-SamplingData[[#Totals],[Candidate 5]]), 0)</f>
        <v>0</v>
      </c>
      <c r="U439" s="99">
        <f>IF(AND(SamplingData[[#This Row],[Total]]&lt;&gt; 0, NOT(ISBLANK(SamplingData[[#This Row],[Candidate 6]]))),(SamplingData[[#This Row],[Total]]+SamplingData[[#This Row],[Losing Candidate]]-SamplingData[[#This Row],[Candidate 6]])/(SamplingData[[#Totals],[Winning Candidate]]-SamplingData[[#Totals],[Candidate 6]]), 0)</f>
        <v>0</v>
      </c>
      <c r="V439" s="99">
        <f>IF(AND(SamplingData[[#This Row],[Total]]&lt;&gt; 0, NOT(ISBLANK(SamplingData[[#This Row],[Candidate 7]]))),(SamplingData[[#This Row],[Total]]+SamplingData[[#This Row],[Winning Candidate]]-SamplingData[[#This Row],[Candidate 7]])/(SamplingData[[#Totals],[Winning Candidate]]-SamplingData[[#Totals],[Candidate 7]]), 0)</f>
        <v>0</v>
      </c>
      <c r="W439" s="99">
        <f>IF(AND(SamplingData[[#This Row],[Total]]&lt;&gt; 0, NOT(ISBLANK(SamplingData[[#This Row],[Candidate 8]]))),(SamplingData[[#This Row],[Total]]+SamplingData[[#This Row],[Winning Candidate]]-SamplingData[[#This Row],[Candidate 8]])/(SamplingData[[#Totals],[Winning Candidate]]-SamplingData[[#Totals],[Candidate 8]]), 0)</f>
        <v>0</v>
      </c>
      <c r="X4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9" s="99">
        <f>MAX(SamplingData[[#This Row],[Error Bound (up) - Max. possible relative overstatement - Losing Candidate]:[Error Bound (up) - Max. possible relative overstatement - Candidate 12]])</f>
        <v>8.3602104905788482E-3</v>
      </c>
      <c r="AC439" s="99">
        <f>IF(SamplingData[[#This Row],[Max Error Bound (up)]] = 0,0,SamplingData[[#This Row],[Max Error Bound (up)]]/SamplingData[[#Totals],[Max Error Bound (up)]])</f>
        <v>4.4761333478750916E-4</v>
      </c>
      <c r="AD439" s="103">
        <f>SUM($AC$5:AC439)</f>
        <v>0.37218026320573006</v>
      </c>
      <c r="AE439" s="99" t="str" cm="1">
        <f t="array" ref="AE439">IF(SamplingData[[#This Row],[up/U Selection Probability]] = 0, "Zero", TEXT(SamplingData[[#This Row],[Lower Range]], REPT("0",LEN('General Info'!$B$42))) &amp; " - " &amp; TEXT(SamplingData[[#This Row],[Upper Range]], REPT("0",LEN('General Info'!$B$42))))</f>
        <v>371733 - 372179</v>
      </c>
      <c r="AF439" s="99">
        <f>SamplingData[[#This Row],[Upper Range]]-SamplingData[[#This Row],[Span]]</f>
        <v>371732.64987094258</v>
      </c>
      <c r="AG439" s="99">
        <f>IF(ISNUMBER('General Info'!$B$42), ((SamplingData[[#This Row],[up/U Selection Probability]]) * 'General Info'!$B$44) - 1, 0)</f>
        <v>446.61333478750913</v>
      </c>
      <c r="AH439" s="99">
        <f>IF(ISNUMBER('General Info'!$B$42), (SamplingData[[#This Row],[Running (cumulative) sum]] * ('General Info'!$B$42 -'General Info'!$B$43 + 1)) + 'General Info'!$B$43 - 1, 0)</f>
        <v>372179.26320573007</v>
      </c>
      <c r="AI439" s="99" t="str">
        <f>IF(ISERROR(MATCH(SamplingData[[#This Row],[Batch by Type (p)]],SelectedPrecincts[Batch Name], 0)), "", INDEX(SelectedPrecincts[Draw], MATCH(SamplingData[[#This Row],[Batch by Type (p)]],SelectedPrecincts[Batch Name], 0)))</f>
        <v/>
      </c>
      <c r="AJ439" s="100">
        <f>IF(COUNTIF(SelectedPrecincts[Batch Name],SamplingData[[#This Row],[Batch by Type (p)]]) &lt;&gt; 0, COUNTIF(SelectedPrecincts[Batch Name],SamplingData[[#This Row],[Batch by Type (p)]]), 0)</f>
        <v>0</v>
      </c>
    </row>
    <row r="440" spans="1:36" ht="15" customHeight="1" x14ac:dyDescent="0.35">
      <c r="A440" s="97" t="s">
        <v>653</v>
      </c>
      <c r="B440" s="97">
        <v>130</v>
      </c>
      <c r="C440" s="97">
        <v>295</v>
      </c>
      <c r="D440" s="92"/>
      <c r="E440" s="92"/>
      <c r="F440" s="92"/>
      <c r="G440" s="96"/>
      <c r="H440" s="96"/>
      <c r="I440" s="92"/>
      <c r="J440" s="92"/>
      <c r="K440" s="92"/>
      <c r="L440" s="92"/>
      <c r="M440" s="92"/>
      <c r="N440" s="97">
        <v>1</v>
      </c>
      <c r="O440" s="97">
        <v>18</v>
      </c>
      <c r="P440" s="98">
        <f>SUM(SamplingData[[#This Row],[Winning Candidate]:[Under Votes]])</f>
        <v>444</v>
      </c>
      <c r="Q440" s="99">
        <f>IF(AND(SamplingData[[#This Row],[Total]]&lt;&gt; 0, NOT(ISBLANK(SamplingData[[#This Row],[Losing Candidate]]))),(SamplingData[[#This Row],[Total]]+SamplingData[[#This Row],[Winning Candidate]]-SamplingData[[#This Row],[Losing Candidate]])/(SamplingData[[#Totals],[Winning Candidate]]-SamplingData[[#Totals],[Losing Candidate]]), 0)</f>
        <v>1.1840095060261416E-2</v>
      </c>
      <c r="R440" s="99">
        <f>IF(AND(SamplingData[[#This Row],[Total]]&lt;&gt; 0, NOT(ISBLANK(SamplingData[[#This Row],[Candidate 3]]))),(SamplingData[[#This Row],[Total]]+SamplingData[[#This Row],[Winning Candidate]]-SamplingData[[#This Row],[Candidate 3]])/(SamplingData[[#Totals],[Winning Candidate]]-SamplingData[[#Totals],[Candidate 3]]), 0)</f>
        <v>0</v>
      </c>
      <c r="S440" s="99">
        <f>IF(AND(SamplingData[[#This Row],[Total]]&lt;&gt; 0, NOT(ISBLANK(SamplingData[[#This Row],[Candidate 4]]))),(SamplingData[[#This Row],[Total]]+SamplingData[[#This Row],[Winning Candidate]]-SamplingData[[#This Row],[Candidate 4]])/(SamplingData[[#Totals],[Winning Candidate]]-SamplingData[[#Totals],[Candidate 4]]), 0)</f>
        <v>0</v>
      </c>
      <c r="T440" s="99">
        <f>IF(AND(SamplingData[[#This Row],[Total]]&lt;&gt; 0, NOT(ISBLANK(SamplingData[[#This Row],[Candidate 5]]))),(SamplingData[[#This Row],[Total]]+SamplingData[[#This Row],[Winning Candidate]]-SamplingData[[#This Row],[Candidate 5]])/(SamplingData[[#Totals],[Winning Candidate]]-SamplingData[[#Totals],[Candidate 5]]), 0)</f>
        <v>0</v>
      </c>
      <c r="U440" s="99">
        <f>IF(AND(SamplingData[[#This Row],[Total]]&lt;&gt; 0, NOT(ISBLANK(SamplingData[[#This Row],[Candidate 6]]))),(SamplingData[[#This Row],[Total]]+SamplingData[[#This Row],[Losing Candidate]]-SamplingData[[#This Row],[Candidate 6]])/(SamplingData[[#Totals],[Winning Candidate]]-SamplingData[[#Totals],[Candidate 6]]), 0)</f>
        <v>0</v>
      </c>
      <c r="V440" s="99">
        <f>IF(AND(SamplingData[[#This Row],[Total]]&lt;&gt; 0, NOT(ISBLANK(SamplingData[[#This Row],[Candidate 7]]))),(SamplingData[[#This Row],[Total]]+SamplingData[[#This Row],[Winning Candidate]]-SamplingData[[#This Row],[Candidate 7]])/(SamplingData[[#Totals],[Winning Candidate]]-SamplingData[[#Totals],[Candidate 7]]), 0)</f>
        <v>0</v>
      </c>
      <c r="W440" s="99">
        <f>IF(AND(SamplingData[[#This Row],[Total]]&lt;&gt; 0, NOT(ISBLANK(SamplingData[[#This Row],[Candidate 8]]))),(SamplingData[[#This Row],[Total]]+SamplingData[[#This Row],[Winning Candidate]]-SamplingData[[#This Row],[Candidate 8]])/(SamplingData[[#Totals],[Winning Candidate]]-SamplingData[[#Totals],[Candidate 8]]), 0)</f>
        <v>0</v>
      </c>
      <c r="X4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0" s="99">
        <f>MAX(SamplingData[[#This Row],[Error Bound (up) - Max. possible relative overstatement - Losing Candidate]:[Error Bound (up) - Max. possible relative overstatement - Candidate 12]])</f>
        <v>1.1840095060261416E-2</v>
      </c>
      <c r="AC440" s="99">
        <f>IF(SamplingData[[#This Row],[Max Error Bound (up)]] = 0,0,SamplingData[[#This Row],[Max Error Bound (up)]]/SamplingData[[#Totals],[Max Error Bound (up)]])</f>
        <v>6.3392954520667547E-4</v>
      </c>
      <c r="AD440" s="103">
        <f>SUM($AC$5:AC440)</f>
        <v>0.37281419275093675</v>
      </c>
      <c r="AE440" s="99" t="str" cm="1">
        <f t="array" ref="AE440">IF(SamplingData[[#This Row],[up/U Selection Probability]] = 0, "Zero", TEXT(SamplingData[[#This Row],[Lower Range]], REPT("0",LEN('General Info'!$B$42))) &amp; " - " &amp; TEXT(SamplingData[[#This Row],[Upper Range]], REPT("0",LEN('General Info'!$B$42))))</f>
        <v>372180 - 372813</v>
      </c>
      <c r="AF440" s="99">
        <f>SamplingData[[#This Row],[Upper Range]]-SamplingData[[#This Row],[Span]]</f>
        <v>372180.26320573007</v>
      </c>
      <c r="AG440" s="99">
        <f>IF(ISNUMBER('General Info'!$B$42), ((SamplingData[[#This Row],[up/U Selection Probability]]) * 'General Info'!$B$44) - 1, 0)</f>
        <v>632.92954520667547</v>
      </c>
      <c r="AH440" s="99">
        <f>IF(ISNUMBER('General Info'!$B$42), (SamplingData[[#This Row],[Running (cumulative) sum]] * ('General Info'!$B$42 -'General Info'!$B$43 + 1)) + 'General Info'!$B$43 - 1, 0)</f>
        <v>372813.19275093672</v>
      </c>
      <c r="AI440" s="99" t="str">
        <f>IF(ISERROR(MATCH(SamplingData[[#This Row],[Batch by Type (p)]],SelectedPrecincts[Batch Name], 0)), "", INDEX(SelectedPrecincts[Draw], MATCH(SamplingData[[#This Row],[Batch by Type (p)]],SelectedPrecincts[Batch Name], 0)))</f>
        <v/>
      </c>
      <c r="AJ440" s="100">
        <f>IF(COUNTIF(SelectedPrecincts[Batch Name],SamplingData[[#This Row],[Batch by Type (p)]]) &lt;&gt; 0, COUNTIF(SelectedPrecincts[Batch Name],SamplingData[[#This Row],[Batch by Type (p)]]), 0)</f>
        <v>0</v>
      </c>
    </row>
    <row r="441" spans="1:36" ht="15" customHeight="1" x14ac:dyDescent="0.35">
      <c r="A441" s="97" t="s">
        <v>654</v>
      </c>
      <c r="B441" s="97">
        <v>114</v>
      </c>
      <c r="C441" s="97">
        <v>273</v>
      </c>
      <c r="D441" s="92"/>
      <c r="E441" s="92"/>
      <c r="F441" s="92"/>
      <c r="G441" s="96"/>
      <c r="H441" s="96"/>
      <c r="I441" s="92"/>
      <c r="J441" s="92"/>
      <c r="K441" s="92"/>
      <c r="L441" s="92"/>
      <c r="M441" s="92"/>
      <c r="N441" s="97">
        <v>0</v>
      </c>
      <c r="O441" s="97">
        <v>19</v>
      </c>
      <c r="P441" s="98">
        <f>SUM(SamplingData[[#This Row],[Winning Candidate]:[Under Votes]])</f>
        <v>406</v>
      </c>
      <c r="Q441" s="99">
        <f>IF(AND(SamplingData[[#This Row],[Total]]&lt;&gt; 0, NOT(ISBLANK(SamplingData[[#This Row],[Losing Candidate]]))),(SamplingData[[#This Row],[Total]]+SamplingData[[#This Row],[Winning Candidate]]-SamplingData[[#This Row],[Losing Candidate]])/(SamplingData[[#Totals],[Winning Candidate]]-SamplingData[[#Totals],[Losing Candidate]]), 0)</f>
        <v>1.0482091325751145E-2</v>
      </c>
      <c r="R441" s="99">
        <f>IF(AND(SamplingData[[#This Row],[Total]]&lt;&gt; 0, NOT(ISBLANK(SamplingData[[#This Row],[Candidate 3]]))),(SamplingData[[#This Row],[Total]]+SamplingData[[#This Row],[Winning Candidate]]-SamplingData[[#This Row],[Candidate 3]])/(SamplingData[[#Totals],[Winning Candidate]]-SamplingData[[#Totals],[Candidate 3]]), 0)</f>
        <v>0</v>
      </c>
      <c r="S441" s="99">
        <f>IF(AND(SamplingData[[#This Row],[Total]]&lt;&gt; 0, NOT(ISBLANK(SamplingData[[#This Row],[Candidate 4]]))),(SamplingData[[#This Row],[Total]]+SamplingData[[#This Row],[Winning Candidate]]-SamplingData[[#This Row],[Candidate 4]])/(SamplingData[[#Totals],[Winning Candidate]]-SamplingData[[#Totals],[Candidate 4]]), 0)</f>
        <v>0</v>
      </c>
      <c r="T441" s="99">
        <f>IF(AND(SamplingData[[#This Row],[Total]]&lt;&gt; 0, NOT(ISBLANK(SamplingData[[#This Row],[Candidate 5]]))),(SamplingData[[#This Row],[Total]]+SamplingData[[#This Row],[Winning Candidate]]-SamplingData[[#This Row],[Candidate 5]])/(SamplingData[[#Totals],[Winning Candidate]]-SamplingData[[#Totals],[Candidate 5]]), 0)</f>
        <v>0</v>
      </c>
      <c r="U441" s="99">
        <f>IF(AND(SamplingData[[#This Row],[Total]]&lt;&gt; 0, NOT(ISBLANK(SamplingData[[#This Row],[Candidate 6]]))),(SamplingData[[#This Row],[Total]]+SamplingData[[#This Row],[Losing Candidate]]-SamplingData[[#This Row],[Candidate 6]])/(SamplingData[[#Totals],[Winning Candidate]]-SamplingData[[#Totals],[Candidate 6]]), 0)</f>
        <v>0</v>
      </c>
      <c r="V441" s="99">
        <f>IF(AND(SamplingData[[#This Row],[Total]]&lt;&gt; 0, NOT(ISBLANK(SamplingData[[#This Row],[Candidate 7]]))),(SamplingData[[#This Row],[Total]]+SamplingData[[#This Row],[Winning Candidate]]-SamplingData[[#This Row],[Candidate 7]])/(SamplingData[[#Totals],[Winning Candidate]]-SamplingData[[#Totals],[Candidate 7]]), 0)</f>
        <v>0</v>
      </c>
      <c r="W441" s="99">
        <f>IF(AND(SamplingData[[#This Row],[Total]]&lt;&gt; 0, NOT(ISBLANK(SamplingData[[#This Row],[Candidate 8]]))),(SamplingData[[#This Row],[Total]]+SamplingData[[#This Row],[Winning Candidate]]-SamplingData[[#This Row],[Candidate 8]])/(SamplingData[[#Totals],[Winning Candidate]]-SamplingData[[#Totals],[Candidate 8]]), 0)</f>
        <v>0</v>
      </c>
      <c r="X4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1" s="99">
        <f>MAX(SamplingData[[#This Row],[Error Bound (up) - Max. possible relative overstatement - Losing Candidate]:[Error Bound (up) - Max. possible relative overstatement - Candidate 12]])</f>
        <v>1.0482091325751145E-2</v>
      </c>
      <c r="AC441" s="99">
        <f>IF(SamplingData[[#This Row],[Max Error Bound (up)]] = 0,0,SamplingData[[#This Row],[Max Error Bound (up)]]/SamplingData[[#Totals],[Max Error Bound (up)]])</f>
        <v>5.6122078016504961E-4</v>
      </c>
      <c r="AD441" s="103">
        <f>SUM($AC$5:AC441)</f>
        <v>0.37337541353110182</v>
      </c>
      <c r="AE441" s="99" t="str" cm="1">
        <f t="array" ref="AE441">IF(SamplingData[[#This Row],[up/U Selection Probability]] = 0, "Zero", TEXT(SamplingData[[#This Row],[Lower Range]], REPT("0",LEN('General Info'!$B$42))) &amp; " - " &amp; TEXT(SamplingData[[#This Row],[Upper Range]], REPT("0",LEN('General Info'!$B$42))))</f>
        <v>372814 - 373374</v>
      </c>
      <c r="AF441" s="99">
        <f>SamplingData[[#This Row],[Upper Range]]-SamplingData[[#This Row],[Span]]</f>
        <v>372814.19275093678</v>
      </c>
      <c r="AG441" s="99">
        <f>IF(ISNUMBER('General Info'!$B$42), ((SamplingData[[#This Row],[up/U Selection Probability]]) * 'General Info'!$B$44) - 1, 0)</f>
        <v>560.22078016504963</v>
      </c>
      <c r="AH441" s="99">
        <f>IF(ISNUMBER('General Info'!$B$42), (SamplingData[[#This Row],[Running (cumulative) sum]] * ('General Info'!$B$42 -'General Info'!$B$43 + 1)) + 'General Info'!$B$43 - 1, 0)</f>
        <v>373374.41353110183</v>
      </c>
      <c r="AI441" s="99" t="str">
        <f>IF(ISERROR(MATCH(SamplingData[[#This Row],[Batch by Type (p)]],SelectedPrecincts[Batch Name], 0)), "", INDEX(SelectedPrecincts[Draw], MATCH(SamplingData[[#This Row],[Batch by Type (p)]],SelectedPrecincts[Batch Name], 0)))</f>
        <v/>
      </c>
      <c r="AJ441" s="100">
        <f>IF(COUNTIF(SelectedPrecincts[Batch Name],SamplingData[[#This Row],[Batch by Type (p)]]) &lt;&gt; 0, COUNTIF(SelectedPrecincts[Batch Name],SamplingData[[#This Row],[Batch by Type (p)]]), 0)</f>
        <v>0</v>
      </c>
    </row>
    <row r="442" spans="1:36" ht="15" customHeight="1" x14ac:dyDescent="0.35">
      <c r="A442" s="97" t="s">
        <v>655</v>
      </c>
      <c r="B442" s="97">
        <v>46</v>
      </c>
      <c r="C442" s="97">
        <v>160</v>
      </c>
      <c r="D442" s="92"/>
      <c r="E442" s="92"/>
      <c r="F442" s="92"/>
      <c r="G442" s="96"/>
      <c r="H442" s="96"/>
      <c r="I442" s="92"/>
      <c r="J442" s="92"/>
      <c r="K442" s="92"/>
      <c r="L442" s="92"/>
      <c r="M442" s="92"/>
      <c r="N442" s="97">
        <v>0</v>
      </c>
      <c r="O442" s="97">
        <v>8</v>
      </c>
      <c r="P442" s="98">
        <f>SUM(SamplingData[[#This Row],[Winning Candidate]:[Under Votes]])</f>
        <v>214</v>
      </c>
      <c r="Q442" s="99">
        <f>IF(AND(SamplingData[[#This Row],[Total]]&lt;&gt; 0, NOT(ISBLANK(SamplingData[[#This Row],[Losing Candidate]]))),(SamplingData[[#This Row],[Total]]+SamplingData[[#This Row],[Winning Candidate]]-SamplingData[[#This Row],[Losing Candidate]])/(SamplingData[[#Totals],[Winning Candidate]]-SamplingData[[#Totals],[Losing Candidate]]), 0)</f>
        <v>4.2437616703445936E-3</v>
      </c>
      <c r="R442" s="99">
        <f>IF(AND(SamplingData[[#This Row],[Total]]&lt;&gt; 0, NOT(ISBLANK(SamplingData[[#This Row],[Candidate 3]]))),(SamplingData[[#This Row],[Total]]+SamplingData[[#This Row],[Winning Candidate]]-SamplingData[[#This Row],[Candidate 3]])/(SamplingData[[#Totals],[Winning Candidate]]-SamplingData[[#Totals],[Candidate 3]]), 0)</f>
        <v>0</v>
      </c>
      <c r="S442" s="99">
        <f>IF(AND(SamplingData[[#This Row],[Total]]&lt;&gt; 0, NOT(ISBLANK(SamplingData[[#This Row],[Candidate 4]]))),(SamplingData[[#This Row],[Total]]+SamplingData[[#This Row],[Winning Candidate]]-SamplingData[[#This Row],[Candidate 4]])/(SamplingData[[#Totals],[Winning Candidate]]-SamplingData[[#Totals],[Candidate 4]]), 0)</f>
        <v>0</v>
      </c>
      <c r="T442" s="99">
        <f>IF(AND(SamplingData[[#This Row],[Total]]&lt;&gt; 0, NOT(ISBLANK(SamplingData[[#This Row],[Candidate 5]]))),(SamplingData[[#This Row],[Total]]+SamplingData[[#This Row],[Winning Candidate]]-SamplingData[[#This Row],[Candidate 5]])/(SamplingData[[#Totals],[Winning Candidate]]-SamplingData[[#Totals],[Candidate 5]]), 0)</f>
        <v>0</v>
      </c>
      <c r="U442" s="99">
        <f>IF(AND(SamplingData[[#This Row],[Total]]&lt;&gt; 0, NOT(ISBLANK(SamplingData[[#This Row],[Candidate 6]]))),(SamplingData[[#This Row],[Total]]+SamplingData[[#This Row],[Losing Candidate]]-SamplingData[[#This Row],[Candidate 6]])/(SamplingData[[#Totals],[Winning Candidate]]-SamplingData[[#Totals],[Candidate 6]]), 0)</f>
        <v>0</v>
      </c>
      <c r="V442" s="99">
        <f>IF(AND(SamplingData[[#This Row],[Total]]&lt;&gt; 0, NOT(ISBLANK(SamplingData[[#This Row],[Candidate 7]]))),(SamplingData[[#This Row],[Total]]+SamplingData[[#This Row],[Winning Candidate]]-SamplingData[[#This Row],[Candidate 7]])/(SamplingData[[#Totals],[Winning Candidate]]-SamplingData[[#Totals],[Candidate 7]]), 0)</f>
        <v>0</v>
      </c>
      <c r="W442" s="99">
        <f>IF(AND(SamplingData[[#This Row],[Total]]&lt;&gt; 0, NOT(ISBLANK(SamplingData[[#This Row],[Candidate 8]]))),(SamplingData[[#This Row],[Total]]+SamplingData[[#This Row],[Winning Candidate]]-SamplingData[[#This Row],[Candidate 8]])/(SamplingData[[#Totals],[Winning Candidate]]-SamplingData[[#Totals],[Candidate 8]]), 0)</f>
        <v>0</v>
      </c>
      <c r="X4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2" s="99">
        <f>MAX(SamplingData[[#This Row],[Error Bound (up) - Max. possible relative overstatement - Losing Candidate]:[Error Bound (up) - Max. possible relative overstatement - Candidate 12]])</f>
        <v>4.2437616703445936E-3</v>
      </c>
      <c r="AC442" s="99">
        <f>IF(SamplingData[[#This Row],[Max Error Bound (up)]] = 0,0,SamplingData[[#This Row],[Max Error Bound (up)]]/SamplingData[[#Totals],[Max Error Bound (up)]])</f>
        <v>2.2721489075508083E-4</v>
      </c>
      <c r="AD442" s="103">
        <f>SUM($AC$5:AC442)</f>
        <v>0.37360262842185687</v>
      </c>
      <c r="AE442" s="99" t="str" cm="1">
        <f t="array" ref="AE442">IF(SamplingData[[#This Row],[up/U Selection Probability]] = 0, "Zero", TEXT(SamplingData[[#This Row],[Lower Range]], REPT("0",LEN('General Info'!$B$42))) &amp; " - " &amp; TEXT(SamplingData[[#This Row],[Upper Range]], REPT("0",LEN('General Info'!$B$42))))</f>
        <v>373375 - 373602</v>
      </c>
      <c r="AF442" s="99">
        <f>SamplingData[[#This Row],[Upper Range]]-SamplingData[[#This Row],[Span]]</f>
        <v>373375.41353110177</v>
      </c>
      <c r="AG442" s="99">
        <f>IF(ISNUMBER('General Info'!$B$42), ((SamplingData[[#This Row],[up/U Selection Probability]]) * 'General Info'!$B$44) - 1, 0)</f>
        <v>226.21489075508083</v>
      </c>
      <c r="AH442" s="99">
        <f>IF(ISNUMBER('General Info'!$B$42), (SamplingData[[#This Row],[Running (cumulative) sum]] * ('General Info'!$B$42 -'General Info'!$B$43 + 1)) + 'General Info'!$B$43 - 1, 0)</f>
        <v>373601.62842185685</v>
      </c>
      <c r="AI442" s="99" t="str">
        <f>IF(ISERROR(MATCH(SamplingData[[#This Row],[Batch by Type (p)]],SelectedPrecincts[Batch Name], 0)), "", INDEX(SelectedPrecincts[Draw], MATCH(SamplingData[[#This Row],[Batch by Type (p)]],SelectedPrecincts[Batch Name], 0)))</f>
        <v/>
      </c>
      <c r="AJ442" s="100">
        <f>IF(COUNTIF(SelectedPrecincts[Batch Name],SamplingData[[#This Row],[Batch by Type (p)]]) &lt;&gt; 0, COUNTIF(SelectedPrecincts[Batch Name],SamplingData[[#This Row],[Batch by Type (p)]]), 0)</f>
        <v>0</v>
      </c>
    </row>
    <row r="443" spans="1:36" ht="15" customHeight="1" x14ac:dyDescent="0.35">
      <c r="A443" s="97" t="s">
        <v>656</v>
      </c>
      <c r="B443" s="97">
        <v>76</v>
      </c>
      <c r="C443" s="97">
        <v>166</v>
      </c>
      <c r="D443" s="92"/>
      <c r="E443" s="92"/>
      <c r="F443" s="92"/>
      <c r="G443" s="96"/>
      <c r="H443" s="96"/>
      <c r="I443" s="92"/>
      <c r="J443" s="92"/>
      <c r="K443" s="92"/>
      <c r="L443" s="92"/>
      <c r="M443" s="92"/>
      <c r="N443" s="97">
        <v>1</v>
      </c>
      <c r="O443" s="97">
        <v>12</v>
      </c>
      <c r="P443" s="98">
        <f>SUM(SamplingData[[#This Row],[Winning Candidate]:[Under Votes]])</f>
        <v>255</v>
      </c>
      <c r="Q443" s="99">
        <f>IF(AND(SamplingData[[#This Row],[Total]]&lt;&gt; 0, NOT(ISBLANK(SamplingData[[#This Row],[Losing Candidate]]))),(SamplingData[[#This Row],[Total]]+SamplingData[[#This Row],[Winning Candidate]]-SamplingData[[#This Row],[Losing Candidate]])/(SamplingData[[#Totals],[Winning Candidate]]-SamplingData[[#Totals],[Losing Candidate]]), 0)</f>
        <v>7.0022067560685788E-3</v>
      </c>
      <c r="R443" s="99">
        <f>IF(AND(SamplingData[[#This Row],[Total]]&lt;&gt; 0, NOT(ISBLANK(SamplingData[[#This Row],[Candidate 3]]))),(SamplingData[[#This Row],[Total]]+SamplingData[[#This Row],[Winning Candidate]]-SamplingData[[#This Row],[Candidate 3]])/(SamplingData[[#Totals],[Winning Candidate]]-SamplingData[[#Totals],[Candidate 3]]), 0)</f>
        <v>0</v>
      </c>
      <c r="S443" s="99">
        <f>IF(AND(SamplingData[[#This Row],[Total]]&lt;&gt; 0, NOT(ISBLANK(SamplingData[[#This Row],[Candidate 4]]))),(SamplingData[[#This Row],[Total]]+SamplingData[[#This Row],[Winning Candidate]]-SamplingData[[#This Row],[Candidate 4]])/(SamplingData[[#Totals],[Winning Candidate]]-SamplingData[[#Totals],[Candidate 4]]), 0)</f>
        <v>0</v>
      </c>
      <c r="T443" s="99">
        <f>IF(AND(SamplingData[[#This Row],[Total]]&lt;&gt; 0, NOT(ISBLANK(SamplingData[[#This Row],[Candidate 5]]))),(SamplingData[[#This Row],[Total]]+SamplingData[[#This Row],[Winning Candidate]]-SamplingData[[#This Row],[Candidate 5]])/(SamplingData[[#Totals],[Winning Candidate]]-SamplingData[[#Totals],[Candidate 5]]), 0)</f>
        <v>0</v>
      </c>
      <c r="U443" s="99">
        <f>IF(AND(SamplingData[[#This Row],[Total]]&lt;&gt; 0, NOT(ISBLANK(SamplingData[[#This Row],[Candidate 6]]))),(SamplingData[[#This Row],[Total]]+SamplingData[[#This Row],[Losing Candidate]]-SamplingData[[#This Row],[Candidate 6]])/(SamplingData[[#Totals],[Winning Candidate]]-SamplingData[[#Totals],[Candidate 6]]), 0)</f>
        <v>0</v>
      </c>
      <c r="V443" s="99">
        <f>IF(AND(SamplingData[[#This Row],[Total]]&lt;&gt; 0, NOT(ISBLANK(SamplingData[[#This Row],[Candidate 7]]))),(SamplingData[[#This Row],[Total]]+SamplingData[[#This Row],[Winning Candidate]]-SamplingData[[#This Row],[Candidate 7]])/(SamplingData[[#Totals],[Winning Candidate]]-SamplingData[[#Totals],[Candidate 7]]), 0)</f>
        <v>0</v>
      </c>
      <c r="W443" s="99">
        <f>IF(AND(SamplingData[[#This Row],[Total]]&lt;&gt; 0, NOT(ISBLANK(SamplingData[[#This Row],[Candidate 8]]))),(SamplingData[[#This Row],[Total]]+SamplingData[[#This Row],[Winning Candidate]]-SamplingData[[#This Row],[Candidate 8]])/(SamplingData[[#Totals],[Winning Candidate]]-SamplingData[[#Totals],[Candidate 8]]), 0)</f>
        <v>0</v>
      </c>
      <c r="X4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3" s="99">
        <f>MAX(SamplingData[[#This Row],[Error Bound (up) - Max. possible relative overstatement - Losing Candidate]:[Error Bound (up) - Max. possible relative overstatement - Candidate 12]])</f>
        <v>7.0022067560685788E-3</v>
      </c>
      <c r="AC443" s="99">
        <f>IF(SamplingData[[#This Row],[Max Error Bound (up)]] = 0,0,SamplingData[[#This Row],[Max Error Bound (up)]]/SamplingData[[#Totals],[Max Error Bound (up)]])</f>
        <v>3.749045697458833E-4</v>
      </c>
      <c r="AD443" s="103">
        <f>SUM($AC$5:AC443)</f>
        <v>0.37397753299160275</v>
      </c>
      <c r="AE443" s="99" t="str" cm="1">
        <f t="array" ref="AE443">IF(SamplingData[[#This Row],[up/U Selection Probability]] = 0, "Zero", TEXT(SamplingData[[#This Row],[Lower Range]], REPT("0",LEN('General Info'!$B$42))) &amp; " - " &amp; TEXT(SamplingData[[#This Row],[Upper Range]], REPT("0",LEN('General Info'!$B$42))))</f>
        <v>373603 - 373977</v>
      </c>
      <c r="AF443" s="99">
        <f>SamplingData[[#This Row],[Upper Range]]-SamplingData[[#This Row],[Span]]</f>
        <v>373602.62842185685</v>
      </c>
      <c r="AG443" s="99">
        <f>IF(ISNUMBER('General Info'!$B$42), ((SamplingData[[#This Row],[up/U Selection Probability]]) * 'General Info'!$B$44) - 1, 0)</f>
        <v>373.90456974588329</v>
      </c>
      <c r="AH443" s="99">
        <f>IF(ISNUMBER('General Info'!$B$42), (SamplingData[[#This Row],[Running (cumulative) sum]] * ('General Info'!$B$42 -'General Info'!$B$43 + 1)) + 'General Info'!$B$43 - 1, 0)</f>
        <v>373976.53299160273</v>
      </c>
      <c r="AI443" s="99" t="str">
        <f>IF(ISERROR(MATCH(SamplingData[[#This Row],[Batch by Type (p)]],SelectedPrecincts[Batch Name], 0)), "", INDEX(SelectedPrecincts[Draw], MATCH(SamplingData[[#This Row],[Batch by Type (p)]],SelectedPrecincts[Batch Name], 0)))</f>
        <v/>
      </c>
      <c r="AJ443" s="100">
        <f>IF(COUNTIF(SelectedPrecincts[Batch Name],SamplingData[[#This Row],[Batch by Type (p)]]) &lt;&gt; 0, COUNTIF(SelectedPrecincts[Batch Name],SamplingData[[#This Row],[Batch by Type (p)]]), 0)</f>
        <v>0</v>
      </c>
    </row>
    <row r="444" spans="1:36" ht="15" customHeight="1" x14ac:dyDescent="0.35">
      <c r="A444" s="97" t="s">
        <v>657</v>
      </c>
      <c r="B444" s="97">
        <v>175</v>
      </c>
      <c r="C444" s="97">
        <v>145</v>
      </c>
      <c r="D444" s="92"/>
      <c r="E444" s="92"/>
      <c r="F444" s="92"/>
      <c r="G444" s="96"/>
      <c r="H444" s="96"/>
      <c r="I444" s="92"/>
      <c r="J444" s="92"/>
      <c r="K444" s="92"/>
      <c r="L444" s="92"/>
      <c r="M444" s="92"/>
      <c r="N444" s="97">
        <v>1</v>
      </c>
      <c r="O444" s="97">
        <v>13</v>
      </c>
      <c r="P444" s="98">
        <f>SUM(SamplingData[[#This Row],[Winning Candidate]:[Under Votes]])</f>
        <v>334</v>
      </c>
      <c r="Q444" s="99">
        <f>IF(AND(SamplingData[[#This Row],[Total]]&lt;&gt; 0, NOT(ISBLANK(SamplingData[[#This Row],[Losing Candidate]]))),(SamplingData[[#This Row],[Total]]+SamplingData[[#This Row],[Winning Candidate]]-SamplingData[[#This Row],[Losing Candidate]])/(SamplingData[[#Totals],[Winning Candidate]]-SamplingData[[#Totals],[Losing Candidate]]), 0)</f>
        <v>1.5447292480054321E-2</v>
      </c>
      <c r="R444" s="99">
        <f>IF(AND(SamplingData[[#This Row],[Total]]&lt;&gt; 0, NOT(ISBLANK(SamplingData[[#This Row],[Candidate 3]]))),(SamplingData[[#This Row],[Total]]+SamplingData[[#This Row],[Winning Candidate]]-SamplingData[[#This Row],[Candidate 3]])/(SamplingData[[#Totals],[Winning Candidate]]-SamplingData[[#Totals],[Candidate 3]]), 0)</f>
        <v>0</v>
      </c>
      <c r="S444" s="99">
        <f>IF(AND(SamplingData[[#This Row],[Total]]&lt;&gt; 0, NOT(ISBLANK(SamplingData[[#This Row],[Candidate 4]]))),(SamplingData[[#This Row],[Total]]+SamplingData[[#This Row],[Winning Candidate]]-SamplingData[[#This Row],[Candidate 4]])/(SamplingData[[#Totals],[Winning Candidate]]-SamplingData[[#Totals],[Candidate 4]]), 0)</f>
        <v>0</v>
      </c>
      <c r="T444" s="99">
        <f>IF(AND(SamplingData[[#This Row],[Total]]&lt;&gt; 0, NOT(ISBLANK(SamplingData[[#This Row],[Candidate 5]]))),(SamplingData[[#This Row],[Total]]+SamplingData[[#This Row],[Winning Candidate]]-SamplingData[[#This Row],[Candidate 5]])/(SamplingData[[#Totals],[Winning Candidate]]-SamplingData[[#Totals],[Candidate 5]]), 0)</f>
        <v>0</v>
      </c>
      <c r="U444" s="99">
        <f>IF(AND(SamplingData[[#This Row],[Total]]&lt;&gt; 0, NOT(ISBLANK(SamplingData[[#This Row],[Candidate 6]]))),(SamplingData[[#This Row],[Total]]+SamplingData[[#This Row],[Losing Candidate]]-SamplingData[[#This Row],[Candidate 6]])/(SamplingData[[#Totals],[Winning Candidate]]-SamplingData[[#Totals],[Candidate 6]]), 0)</f>
        <v>0</v>
      </c>
      <c r="V444" s="99">
        <f>IF(AND(SamplingData[[#This Row],[Total]]&lt;&gt; 0, NOT(ISBLANK(SamplingData[[#This Row],[Candidate 7]]))),(SamplingData[[#This Row],[Total]]+SamplingData[[#This Row],[Winning Candidate]]-SamplingData[[#This Row],[Candidate 7]])/(SamplingData[[#Totals],[Winning Candidate]]-SamplingData[[#Totals],[Candidate 7]]), 0)</f>
        <v>0</v>
      </c>
      <c r="W444" s="99">
        <f>IF(AND(SamplingData[[#This Row],[Total]]&lt;&gt; 0, NOT(ISBLANK(SamplingData[[#This Row],[Candidate 8]]))),(SamplingData[[#This Row],[Total]]+SamplingData[[#This Row],[Winning Candidate]]-SamplingData[[#This Row],[Candidate 8]])/(SamplingData[[#Totals],[Winning Candidate]]-SamplingData[[#Totals],[Candidate 8]]), 0)</f>
        <v>0</v>
      </c>
      <c r="X4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4" s="99">
        <f>MAX(SamplingData[[#This Row],[Error Bound (up) - Max. possible relative overstatement - Losing Candidate]:[Error Bound (up) - Max. possible relative overstatement - Candidate 12]])</f>
        <v>1.5447292480054321E-2</v>
      </c>
      <c r="AC444" s="99">
        <f>IF(SamplingData[[#This Row],[Max Error Bound (up)]] = 0,0,SamplingData[[#This Row],[Max Error Bound (up)]]/SamplingData[[#Totals],[Max Error Bound (up)]])</f>
        <v>8.2706220234849423E-4</v>
      </c>
      <c r="AD444" s="103">
        <f>SUM($AC$5:AC444)</f>
        <v>0.37480459519395126</v>
      </c>
      <c r="AE444" s="99" t="str" cm="1">
        <f t="array" ref="AE444">IF(SamplingData[[#This Row],[up/U Selection Probability]] = 0, "Zero", TEXT(SamplingData[[#This Row],[Lower Range]], REPT("0",LEN('General Info'!$B$42))) &amp; " - " &amp; TEXT(SamplingData[[#This Row],[Upper Range]], REPT("0",LEN('General Info'!$B$42))))</f>
        <v>373978 - 374804</v>
      </c>
      <c r="AF444" s="99">
        <f>SamplingData[[#This Row],[Upper Range]]-SamplingData[[#This Row],[Span]]</f>
        <v>373977.53299160278</v>
      </c>
      <c r="AG444" s="99">
        <f>IF(ISNUMBER('General Info'!$B$42), ((SamplingData[[#This Row],[up/U Selection Probability]]) * 'General Info'!$B$44) - 1, 0)</f>
        <v>826.06220234849422</v>
      </c>
      <c r="AH444" s="99">
        <f>IF(ISNUMBER('General Info'!$B$42), (SamplingData[[#This Row],[Running (cumulative) sum]] * ('General Info'!$B$42 -'General Info'!$B$43 + 1)) + 'General Info'!$B$43 - 1, 0)</f>
        <v>374803.59519395127</v>
      </c>
      <c r="AI444" s="99" t="str">
        <f>IF(ISERROR(MATCH(SamplingData[[#This Row],[Batch by Type (p)]],SelectedPrecincts[Batch Name], 0)), "", INDEX(SelectedPrecincts[Draw], MATCH(SamplingData[[#This Row],[Batch by Type (p)]],SelectedPrecincts[Batch Name], 0)))</f>
        <v/>
      </c>
      <c r="AJ444" s="100">
        <f>IF(COUNTIF(SelectedPrecincts[Batch Name],SamplingData[[#This Row],[Batch by Type (p)]]) &lt;&gt; 0, COUNTIF(SelectedPrecincts[Batch Name],SamplingData[[#This Row],[Batch by Type (p)]]), 0)</f>
        <v>0</v>
      </c>
    </row>
    <row r="445" spans="1:36" ht="15" customHeight="1" x14ac:dyDescent="0.35">
      <c r="A445" s="97" t="s">
        <v>658</v>
      </c>
      <c r="B445" s="97">
        <v>78</v>
      </c>
      <c r="C445" s="97">
        <v>236</v>
      </c>
      <c r="D445" s="92"/>
      <c r="E445" s="92"/>
      <c r="F445" s="92"/>
      <c r="G445" s="96"/>
      <c r="H445" s="96"/>
      <c r="I445" s="92"/>
      <c r="J445" s="92"/>
      <c r="K445" s="92"/>
      <c r="L445" s="92"/>
      <c r="M445" s="92"/>
      <c r="N445" s="97">
        <v>0</v>
      </c>
      <c r="O445" s="97">
        <v>20</v>
      </c>
      <c r="P445" s="98">
        <f>SUM(SamplingData[[#This Row],[Winning Candidate]:[Under Votes]])</f>
        <v>334</v>
      </c>
      <c r="Q445" s="99">
        <f>IF(AND(SamplingData[[#This Row],[Total]]&lt;&gt; 0, NOT(ISBLANK(SamplingData[[#This Row],[Losing Candidate]]))),(SamplingData[[#This Row],[Total]]+SamplingData[[#This Row],[Winning Candidate]]-SamplingData[[#This Row],[Losing Candidate]])/(SamplingData[[#Totals],[Winning Candidate]]-SamplingData[[#Totals],[Losing Candidate]]), 0)</f>
        <v>7.4690205398064841E-3</v>
      </c>
      <c r="R445" s="99">
        <f>IF(AND(SamplingData[[#This Row],[Total]]&lt;&gt; 0, NOT(ISBLANK(SamplingData[[#This Row],[Candidate 3]]))),(SamplingData[[#This Row],[Total]]+SamplingData[[#This Row],[Winning Candidate]]-SamplingData[[#This Row],[Candidate 3]])/(SamplingData[[#Totals],[Winning Candidate]]-SamplingData[[#Totals],[Candidate 3]]), 0)</f>
        <v>0</v>
      </c>
      <c r="S445" s="99">
        <f>IF(AND(SamplingData[[#This Row],[Total]]&lt;&gt; 0, NOT(ISBLANK(SamplingData[[#This Row],[Candidate 4]]))),(SamplingData[[#This Row],[Total]]+SamplingData[[#This Row],[Winning Candidate]]-SamplingData[[#This Row],[Candidate 4]])/(SamplingData[[#Totals],[Winning Candidate]]-SamplingData[[#Totals],[Candidate 4]]), 0)</f>
        <v>0</v>
      </c>
      <c r="T445" s="99">
        <f>IF(AND(SamplingData[[#This Row],[Total]]&lt;&gt; 0, NOT(ISBLANK(SamplingData[[#This Row],[Candidate 5]]))),(SamplingData[[#This Row],[Total]]+SamplingData[[#This Row],[Winning Candidate]]-SamplingData[[#This Row],[Candidate 5]])/(SamplingData[[#Totals],[Winning Candidate]]-SamplingData[[#Totals],[Candidate 5]]), 0)</f>
        <v>0</v>
      </c>
      <c r="U445" s="99">
        <f>IF(AND(SamplingData[[#This Row],[Total]]&lt;&gt; 0, NOT(ISBLANK(SamplingData[[#This Row],[Candidate 6]]))),(SamplingData[[#This Row],[Total]]+SamplingData[[#This Row],[Losing Candidate]]-SamplingData[[#This Row],[Candidate 6]])/(SamplingData[[#Totals],[Winning Candidate]]-SamplingData[[#Totals],[Candidate 6]]), 0)</f>
        <v>0</v>
      </c>
      <c r="V445" s="99">
        <f>IF(AND(SamplingData[[#This Row],[Total]]&lt;&gt; 0, NOT(ISBLANK(SamplingData[[#This Row],[Candidate 7]]))),(SamplingData[[#This Row],[Total]]+SamplingData[[#This Row],[Winning Candidate]]-SamplingData[[#This Row],[Candidate 7]])/(SamplingData[[#Totals],[Winning Candidate]]-SamplingData[[#Totals],[Candidate 7]]), 0)</f>
        <v>0</v>
      </c>
      <c r="W445" s="99">
        <f>IF(AND(SamplingData[[#This Row],[Total]]&lt;&gt; 0, NOT(ISBLANK(SamplingData[[#This Row],[Candidate 8]]))),(SamplingData[[#This Row],[Total]]+SamplingData[[#This Row],[Winning Candidate]]-SamplingData[[#This Row],[Candidate 8]])/(SamplingData[[#Totals],[Winning Candidate]]-SamplingData[[#Totals],[Candidate 8]]), 0)</f>
        <v>0</v>
      </c>
      <c r="X4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5" s="99">
        <f>MAX(SamplingData[[#This Row],[Error Bound (up) - Max. possible relative overstatement - Losing Candidate]:[Error Bound (up) - Max. possible relative overstatement - Candidate 12]])</f>
        <v>7.4690205398064841E-3</v>
      </c>
      <c r="AC445" s="99">
        <f>IF(SamplingData[[#This Row],[Max Error Bound (up)]] = 0,0,SamplingData[[#This Row],[Max Error Bound (up)]]/SamplingData[[#Totals],[Max Error Bound (up)]])</f>
        <v>3.9989820772894221E-4</v>
      </c>
      <c r="AD445" s="103">
        <f>SUM($AC$5:AC445)</f>
        <v>0.37520449340168022</v>
      </c>
      <c r="AE445" s="99" t="str" cm="1">
        <f t="array" ref="AE445">IF(SamplingData[[#This Row],[up/U Selection Probability]] = 0, "Zero", TEXT(SamplingData[[#This Row],[Lower Range]], REPT("0",LEN('General Info'!$B$42))) &amp; " - " &amp; TEXT(SamplingData[[#This Row],[Upper Range]], REPT("0",LEN('General Info'!$B$42))))</f>
        <v>374805 - 375203</v>
      </c>
      <c r="AF445" s="99">
        <f>SamplingData[[#This Row],[Upper Range]]-SamplingData[[#This Row],[Span]]</f>
        <v>374804.59519395127</v>
      </c>
      <c r="AG445" s="99">
        <f>IF(ISNUMBER('General Info'!$B$42), ((SamplingData[[#This Row],[up/U Selection Probability]]) * 'General Info'!$B$44) - 1, 0)</f>
        <v>398.89820772894223</v>
      </c>
      <c r="AH445" s="99">
        <f>IF(ISNUMBER('General Info'!$B$42), (SamplingData[[#This Row],[Running (cumulative) sum]] * ('General Info'!$B$42 -'General Info'!$B$43 + 1)) + 'General Info'!$B$43 - 1, 0)</f>
        <v>375203.4934016802</v>
      </c>
      <c r="AI445" s="99" t="str">
        <f>IF(ISERROR(MATCH(SamplingData[[#This Row],[Batch by Type (p)]],SelectedPrecincts[Batch Name], 0)), "", INDEX(SelectedPrecincts[Draw], MATCH(SamplingData[[#This Row],[Batch by Type (p)]],SelectedPrecincts[Batch Name], 0)))</f>
        <v/>
      </c>
      <c r="AJ445" s="100">
        <f>IF(COUNTIF(SelectedPrecincts[Batch Name],SamplingData[[#This Row],[Batch by Type (p)]]) &lt;&gt; 0, COUNTIF(SelectedPrecincts[Batch Name],SamplingData[[#This Row],[Batch by Type (p)]]), 0)</f>
        <v>0</v>
      </c>
    </row>
    <row r="446" spans="1:36" ht="15" customHeight="1" x14ac:dyDescent="0.35">
      <c r="A446" s="97" t="s">
        <v>659</v>
      </c>
      <c r="B446" s="97">
        <v>84</v>
      </c>
      <c r="C446" s="97">
        <v>280</v>
      </c>
      <c r="D446" s="92"/>
      <c r="E446" s="92"/>
      <c r="F446" s="92"/>
      <c r="G446" s="96"/>
      <c r="H446" s="96"/>
      <c r="I446" s="92"/>
      <c r="J446" s="92"/>
      <c r="K446" s="92"/>
      <c r="L446" s="92"/>
      <c r="M446" s="92"/>
      <c r="N446" s="97">
        <v>0</v>
      </c>
      <c r="O446" s="97">
        <v>15</v>
      </c>
      <c r="P446" s="98">
        <f>SUM(SamplingData[[#This Row],[Winning Candidate]:[Under Votes]])</f>
        <v>379</v>
      </c>
      <c r="Q446" s="99">
        <f>IF(AND(SamplingData[[#This Row],[Total]]&lt;&gt; 0, NOT(ISBLANK(SamplingData[[#This Row],[Losing Candidate]]))),(SamplingData[[#This Row],[Total]]+SamplingData[[#This Row],[Winning Candidate]]-SamplingData[[#This Row],[Losing Candidate]])/(SamplingData[[#Totals],[Winning Candidate]]-SamplingData[[#Totals],[Losing Candidate]]), 0)</f>
        <v>7.7660838567306057E-3</v>
      </c>
      <c r="R446" s="99">
        <f>IF(AND(SamplingData[[#This Row],[Total]]&lt;&gt; 0, NOT(ISBLANK(SamplingData[[#This Row],[Candidate 3]]))),(SamplingData[[#This Row],[Total]]+SamplingData[[#This Row],[Winning Candidate]]-SamplingData[[#This Row],[Candidate 3]])/(SamplingData[[#Totals],[Winning Candidate]]-SamplingData[[#Totals],[Candidate 3]]), 0)</f>
        <v>0</v>
      </c>
      <c r="S446" s="99">
        <f>IF(AND(SamplingData[[#This Row],[Total]]&lt;&gt; 0, NOT(ISBLANK(SamplingData[[#This Row],[Candidate 4]]))),(SamplingData[[#This Row],[Total]]+SamplingData[[#This Row],[Winning Candidate]]-SamplingData[[#This Row],[Candidate 4]])/(SamplingData[[#Totals],[Winning Candidate]]-SamplingData[[#Totals],[Candidate 4]]), 0)</f>
        <v>0</v>
      </c>
      <c r="T446" s="99">
        <f>IF(AND(SamplingData[[#This Row],[Total]]&lt;&gt; 0, NOT(ISBLANK(SamplingData[[#This Row],[Candidate 5]]))),(SamplingData[[#This Row],[Total]]+SamplingData[[#This Row],[Winning Candidate]]-SamplingData[[#This Row],[Candidate 5]])/(SamplingData[[#Totals],[Winning Candidate]]-SamplingData[[#Totals],[Candidate 5]]), 0)</f>
        <v>0</v>
      </c>
      <c r="U446" s="99">
        <f>IF(AND(SamplingData[[#This Row],[Total]]&lt;&gt; 0, NOT(ISBLANK(SamplingData[[#This Row],[Candidate 6]]))),(SamplingData[[#This Row],[Total]]+SamplingData[[#This Row],[Losing Candidate]]-SamplingData[[#This Row],[Candidate 6]])/(SamplingData[[#Totals],[Winning Candidate]]-SamplingData[[#Totals],[Candidate 6]]), 0)</f>
        <v>0</v>
      </c>
      <c r="V446" s="99">
        <f>IF(AND(SamplingData[[#This Row],[Total]]&lt;&gt; 0, NOT(ISBLANK(SamplingData[[#This Row],[Candidate 7]]))),(SamplingData[[#This Row],[Total]]+SamplingData[[#This Row],[Winning Candidate]]-SamplingData[[#This Row],[Candidate 7]])/(SamplingData[[#Totals],[Winning Candidate]]-SamplingData[[#Totals],[Candidate 7]]), 0)</f>
        <v>0</v>
      </c>
      <c r="W446" s="99">
        <f>IF(AND(SamplingData[[#This Row],[Total]]&lt;&gt; 0, NOT(ISBLANK(SamplingData[[#This Row],[Candidate 8]]))),(SamplingData[[#This Row],[Total]]+SamplingData[[#This Row],[Winning Candidate]]-SamplingData[[#This Row],[Candidate 8]])/(SamplingData[[#Totals],[Winning Candidate]]-SamplingData[[#Totals],[Candidate 8]]), 0)</f>
        <v>0</v>
      </c>
      <c r="X4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6" s="99">
        <f>MAX(SamplingData[[#This Row],[Error Bound (up) - Max. possible relative overstatement - Losing Candidate]:[Error Bound (up) - Max. possible relative overstatement - Candidate 12]])</f>
        <v>7.7660838567306057E-3</v>
      </c>
      <c r="AC446" s="99">
        <f>IF(SamplingData[[#This Row],[Max Error Bound (up)]] = 0,0,SamplingData[[#This Row],[Max Error Bound (up)]]/SamplingData[[#Totals],[Max Error Bound (up)]])</f>
        <v>4.158032500817979E-4</v>
      </c>
      <c r="AD446" s="103">
        <f>SUM($AC$5:AC446)</f>
        <v>0.375620296651762</v>
      </c>
      <c r="AE446" s="99" t="str" cm="1">
        <f t="array" ref="AE446">IF(SamplingData[[#This Row],[up/U Selection Probability]] = 0, "Zero", TEXT(SamplingData[[#This Row],[Lower Range]], REPT("0",LEN('General Info'!$B$42))) &amp; " - " &amp; TEXT(SamplingData[[#This Row],[Upper Range]], REPT("0",LEN('General Info'!$B$42))))</f>
        <v>375204 - 375619</v>
      </c>
      <c r="AF446" s="99">
        <f>SamplingData[[#This Row],[Upper Range]]-SamplingData[[#This Row],[Span]]</f>
        <v>375204.4934016802</v>
      </c>
      <c r="AG446" s="99">
        <f>IF(ISNUMBER('General Info'!$B$42), ((SamplingData[[#This Row],[up/U Selection Probability]]) * 'General Info'!$B$44) - 1, 0)</f>
        <v>414.8032500817979</v>
      </c>
      <c r="AH446" s="99">
        <f>IF(ISNUMBER('General Info'!$B$42), (SamplingData[[#This Row],[Running (cumulative) sum]] * ('General Info'!$B$42 -'General Info'!$B$43 + 1)) + 'General Info'!$B$43 - 1, 0)</f>
        <v>375619.29665176198</v>
      </c>
      <c r="AI446" s="99" t="str">
        <f>IF(ISERROR(MATCH(SamplingData[[#This Row],[Batch by Type (p)]],SelectedPrecincts[Batch Name], 0)), "", INDEX(SelectedPrecincts[Draw], MATCH(SamplingData[[#This Row],[Batch by Type (p)]],SelectedPrecincts[Batch Name], 0)))</f>
        <v/>
      </c>
      <c r="AJ446" s="100">
        <f>IF(COUNTIF(SelectedPrecincts[Batch Name],SamplingData[[#This Row],[Batch by Type (p)]]) &lt;&gt; 0, COUNTIF(SelectedPrecincts[Batch Name],SamplingData[[#This Row],[Batch by Type (p)]]), 0)</f>
        <v>0</v>
      </c>
    </row>
    <row r="447" spans="1:36" ht="15" customHeight="1" x14ac:dyDescent="0.35">
      <c r="A447" s="97" t="s">
        <v>660</v>
      </c>
      <c r="B447" s="97">
        <v>43</v>
      </c>
      <c r="C447" s="97">
        <v>126</v>
      </c>
      <c r="D447" s="92"/>
      <c r="E447" s="92"/>
      <c r="F447" s="92"/>
      <c r="G447" s="96"/>
      <c r="H447" s="96"/>
      <c r="I447" s="92"/>
      <c r="J447" s="92"/>
      <c r="K447" s="92"/>
      <c r="L447" s="92"/>
      <c r="M447" s="92"/>
      <c r="N447" s="97">
        <v>0</v>
      </c>
      <c r="O447" s="97">
        <v>8</v>
      </c>
      <c r="P447" s="98">
        <f>SUM(SamplingData[[#This Row],[Winning Candidate]:[Under Votes]])</f>
        <v>177</v>
      </c>
      <c r="Q447" s="99">
        <f>IF(AND(SamplingData[[#This Row],[Total]]&lt;&gt; 0, NOT(ISBLANK(SamplingData[[#This Row],[Losing Candidate]]))),(SamplingData[[#This Row],[Total]]+SamplingData[[#This Row],[Winning Candidate]]-SamplingData[[#This Row],[Losing Candidate]])/(SamplingData[[#Totals],[Winning Candidate]]-SamplingData[[#Totals],[Losing Candidate]]), 0)</f>
        <v>3.9891359701239183E-3</v>
      </c>
      <c r="R447" s="99">
        <f>IF(AND(SamplingData[[#This Row],[Total]]&lt;&gt; 0, NOT(ISBLANK(SamplingData[[#This Row],[Candidate 3]]))),(SamplingData[[#This Row],[Total]]+SamplingData[[#This Row],[Winning Candidate]]-SamplingData[[#This Row],[Candidate 3]])/(SamplingData[[#Totals],[Winning Candidate]]-SamplingData[[#Totals],[Candidate 3]]), 0)</f>
        <v>0</v>
      </c>
      <c r="S447" s="99">
        <f>IF(AND(SamplingData[[#This Row],[Total]]&lt;&gt; 0, NOT(ISBLANK(SamplingData[[#This Row],[Candidate 4]]))),(SamplingData[[#This Row],[Total]]+SamplingData[[#This Row],[Winning Candidate]]-SamplingData[[#This Row],[Candidate 4]])/(SamplingData[[#Totals],[Winning Candidate]]-SamplingData[[#Totals],[Candidate 4]]), 0)</f>
        <v>0</v>
      </c>
      <c r="T447" s="99">
        <f>IF(AND(SamplingData[[#This Row],[Total]]&lt;&gt; 0, NOT(ISBLANK(SamplingData[[#This Row],[Candidate 5]]))),(SamplingData[[#This Row],[Total]]+SamplingData[[#This Row],[Winning Candidate]]-SamplingData[[#This Row],[Candidate 5]])/(SamplingData[[#Totals],[Winning Candidate]]-SamplingData[[#Totals],[Candidate 5]]), 0)</f>
        <v>0</v>
      </c>
      <c r="U447" s="99">
        <f>IF(AND(SamplingData[[#This Row],[Total]]&lt;&gt; 0, NOT(ISBLANK(SamplingData[[#This Row],[Candidate 6]]))),(SamplingData[[#This Row],[Total]]+SamplingData[[#This Row],[Losing Candidate]]-SamplingData[[#This Row],[Candidate 6]])/(SamplingData[[#Totals],[Winning Candidate]]-SamplingData[[#Totals],[Candidate 6]]), 0)</f>
        <v>0</v>
      </c>
      <c r="V447" s="99">
        <f>IF(AND(SamplingData[[#This Row],[Total]]&lt;&gt; 0, NOT(ISBLANK(SamplingData[[#This Row],[Candidate 7]]))),(SamplingData[[#This Row],[Total]]+SamplingData[[#This Row],[Winning Candidate]]-SamplingData[[#This Row],[Candidate 7]])/(SamplingData[[#Totals],[Winning Candidate]]-SamplingData[[#Totals],[Candidate 7]]), 0)</f>
        <v>0</v>
      </c>
      <c r="W447" s="99">
        <f>IF(AND(SamplingData[[#This Row],[Total]]&lt;&gt; 0, NOT(ISBLANK(SamplingData[[#This Row],[Candidate 8]]))),(SamplingData[[#This Row],[Total]]+SamplingData[[#This Row],[Winning Candidate]]-SamplingData[[#This Row],[Candidate 8]])/(SamplingData[[#Totals],[Winning Candidate]]-SamplingData[[#Totals],[Candidate 8]]), 0)</f>
        <v>0</v>
      </c>
      <c r="X4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7" s="99">
        <f>MAX(SamplingData[[#This Row],[Error Bound (up) - Max. possible relative overstatement - Losing Candidate]:[Error Bound (up) - Max. possible relative overstatement - Candidate 12]])</f>
        <v>3.9891359701239183E-3</v>
      </c>
      <c r="AC447" s="99">
        <f>IF(SamplingData[[#This Row],[Max Error Bound (up)]] = 0,0,SamplingData[[#This Row],[Max Error Bound (up)]]/SamplingData[[#Totals],[Max Error Bound (up)]])</f>
        <v>2.1358199730977598E-4</v>
      </c>
      <c r="AD447" s="103">
        <f>SUM($AC$5:AC447)</f>
        <v>0.37583387864907175</v>
      </c>
      <c r="AE447" s="99" t="str" cm="1">
        <f t="array" ref="AE447">IF(SamplingData[[#This Row],[up/U Selection Probability]] = 0, "Zero", TEXT(SamplingData[[#This Row],[Lower Range]], REPT("0",LEN('General Info'!$B$42))) &amp; " - " &amp; TEXT(SamplingData[[#This Row],[Upper Range]], REPT("0",LEN('General Info'!$B$42))))</f>
        <v>375620 - 375833</v>
      </c>
      <c r="AF447" s="99">
        <f>SamplingData[[#This Row],[Upper Range]]-SamplingData[[#This Row],[Span]]</f>
        <v>375620.29665176198</v>
      </c>
      <c r="AG447" s="99">
        <f>IF(ISNUMBER('General Info'!$B$42), ((SamplingData[[#This Row],[up/U Selection Probability]]) * 'General Info'!$B$44) - 1, 0)</f>
        <v>212.58199730977597</v>
      </c>
      <c r="AH447" s="99">
        <f>IF(ISNUMBER('General Info'!$B$42), (SamplingData[[#This Row],[Running (cumulative) sum]] * ('General Info'!$B$42 -'General Info'!$B$43 + 1)) + 'General Info'!$B$43 - 1, 0)</f>
        <v>375832.87864907173</v>
      </c>
      <c r="AI447" s="99" t="str">
        <f>IF(ISERROR(MATCH(SamplingData[[#This Row],[Batch by Type (p)]],SelectedPrecincts[Batch Name], 0)), "", INDEX(SelectedPrecincts[Draw], MATCH(SamplingData[[#This Row],[Batch by Type (p)]],SelectedPrecincts[Batch Name], 0)))</f>
        <v/>
      </c>
      <c r="AJ447" s="100">
        <f>IF(COUNTIF(SelectedPrecincts[Batch Name],SamplingData[[#This Row],[Batch by Type (p)]]) &lt;&gt; 0, COUNTIF(SelectedPrecincts[Batch Name],SamplingData[[#This Row],[Batch by Type (p)]]), 0)</f>
        <v>0</v>
      </c>
    </row>
    <row r="448" spans="1:36" ht="15" customHeight="1" x14ac:dyDescent="0.35">
      <c r="A448" s="97" t="s">
        <v>661</v>
      </c>
      <c r="B448" s="97">
        <v>88</v>
      </c>
      <c r="C448" s="97">
        <v>153</v>
      </c>
      <c r="D448" s="92"/>
      <c r="E448" s="92"/>
      <c r="F448" s="92"/>
      <c r="G448" s="96"/>
      <c r="H448" s="96"/>
      <c r="I448" s="92"/>
      <c r="J448" s="92"/>
      <c r="K448" s="92"/>
      <c r="L448" s="92"/>
      <c r="M448" s="92"/>
      <c r="N448" s="97">
        <v>0</v>
      </c>
      <c r="O448" s="97">
        <v>11</v>
      </c>
      <c r="P448" s="98">
        <f>SUM(SamplingData[[#This Row],[Winning Candidate]:[Under Votes]])</f>
        <v>252</v>
      </c>
      <c r="Q448" s="99">
        <f>IF(AND(SamplingData[[#This Row],[Total]]&lt;&gt; 0, NOT(ISBLANK(SamplingData[[#This Row],[Losing Candidate]]))),(SamplingData[[#This Row],[Total]]+SamplingData[[#This Row],[Winning Candidate]]-SamplingData[[#This Row],[Losing Candidate]])/(SamplingData[[#Totals],[Winning Candidate]]-SamplingData[[#Totals],[Losing Candidate]]), 0)</f>
        <v>7.9358343235443902E-3</v>
      </c>
      <c r="R448" s="99">
        <f>IF(AND(SamplingData[[#This Row],[Total]]&lt;&gt; 0, NOT(ISBLANK(SamplingData[[#This Row],[Candidate 3]]))),(SamplingData[[#This Row],[Total]]+SamplingData[[#This Row],[Winning Candidate]]-SamplingData[[#This Row],[Candidate 3]])/(SamplingData[[#Totals],[Winning Candidate]]-SamplingData[[#Totals],[Candidate 3]]), 0)</f>
        <v>0</v>
      </c>
      <c r="S448" s="99">
        <f>IF(AND(SamplingData[[#This Row],[Total]]&lt;&gt; 0, NOT(ISBLANK(SamplingData[[#This Row],[Candidate 4]]))),(SamplingData[[#This Row],[Total]]+SamplingData[[#This Row],[Winning Candidate]]-SamplingData[[#This Row],[Candidate 4]])/(SamplingData[[#Totals],[Winning Candidate]]-SamplingData[[#Totals],[Candidate 4]]), 0)</f>
        <v>0</v>
      </c>
      <c r="T448" s="99">
        <f>IF(AND(SamplingData[[#This Row],[Total]]&lt;&gt; 0, NOT(ISBLANK(SamplingData[[#This Row],[Candidate 5]]))),(SamplingData[[#This Row],[Total]]+SamplingData[[#This Row],[Winning Candidate]]-SamplingData[[#This Row],[Candidate 5]])/(SamplingData[[#Totals],[Winning Candidate]]-SamplingData[[#Totals],[Candidate 5]]), 0)</f>
        <v>0</v>
      </c>
      <c r="U448" s="99">
        <f>IF(AND(SamplingData[[#This Row],[Total]]&lt;&gt; 0, NOT(ISBLANK(SamplingData[[#This Row],[Candidate 6]]))),(SamplingData[[#This Row],[Total]]+SamplingData[[#This Row],[Losing Candidate]]-SamplingData[[#This Row],[Candidate 6]])/(SamplingData[[#Totals],[Winning Candidate]]-SamplingData[[#Totals],[Candidate 6]]), 0)</f>
        <v>0</v>
      </c>
      <c r="V448" s="99">
        <f>IF(AND(SamplingData[[#This Row],[Total]]&lt;&gt; 0, NOT(ISBLANK(SamplingData[[#This Row],[Candidate 7]]))),(SamplingData[[#This Row],[Total]]+SamplingData[[#This Row],[Winning Candidate]]-SamplingData[[#This Row],[Candidate 7]])/(SamplingData[[#Totals],[Winning Candidate]]-SamplingData[[#Totals],[Candidate 7]]), 0)</f>
        <v>0</v>
      </c>
      <c r="W448" s="99">
        <f>IF(AND(SamplingData[[#This Row],[Total]]&lt;&gt; 0, NOT(ISBLANK(SamplingData[[#This Row],[Candidate 8]]))),(SamplingData[[#This Row],[Total]]+SamplingData[[#This Row],[Winning Candidate]]-SamplingData[[#This Row],[Candidate 8]])/(SamplingData[[#Totals],[Winning Candidate]]-SamplingData[[#Totals],[Candidate 8]]), 0)</f>
        <v>0</v>
      </c>
      <c r="X4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8" s="99">
        <f>MAX(SamplingData[[#This Row],[Error Bound (up) - Max. possible relative overstatement - Losing Candidate]:[Error Bound (up) - Max. possible relative overstatement - Candidate 12]])</f>
        <v>7.9358343235443902E-3</v>
      </c>
      <c r="AC448" s="99">
        <f>IF(SamplingData[[#This Row],[Max Error Bound (up)]] = 0,0,SamplingData[[#This Row],[Max Error Bound (up)]]/SamplingData[[#Totals],[Max Error Bound (up)]])</f>
        <v>4.2489184571200113E-4</v>
      </c>
      <c r="AD448" s="103">
        <f>SUM($AC$5:AC448)</f>
        <v>0.37625877049478373</v>
      </c>
      <c r="AE448" s="99" t="str" cm="1">
        <f t="array" ref="AE448">IF(SamplingData[[#This Row],[up/U Selection Probability]] = 0, "Zero", TEXT(SamplingData[[#This Row],[Lower Range]], REPT("0",LEN('General Info'!$B$42))) &amp; " - " &amp; TEXT(SamplingData[[#This Row],[Upper Range]], REPT("0",LEN('General Info'!$B$42))))</f>
        <v>375834 - 376258</v>
      </c>
      <c r="AF448" s="99">
        <f>SamplingData[[#This Row],[Upper Range]]-SamplingData[[#This Row],[Span]]</f>
        <v>375833.87864907179</v>
      </c>
      <c r="AG448" s="99">
        <f>IF(ISNUMBER('General Info'!$B$42), ((SamplingData[[#This Row],[up/U Selection Probability]]) * 'General Info'!$B$44) - 1, 0)</f>
        <v>423.89184571200116</v>
      </c>
      <c r="AH448" s="99">
        <f>IF(ISNUMBER('General Info'!$B$42), (SamplingData[[#This Row],[Running (cumulative) sum]] * ('General Info'!$B$42 -'General Info'!$B$43 + 1)) + 'General Info'!$B$43 - 1, 0)</f>
        <v>376257.77049478376</v>
      </c>
      <c r="AI448" s="99" t="str">
        <f>IF(ISERROR(MATCH(SamplingData[[#This Row],[Batch by Type (p)]],SelectedPrecincts[Batch Name], 0)), "", INDEX(SelectedPrecincts[Draw], MATCH(SamplingData[[#This Row],[Batch by Type (p)]],SelectedPrecincts[Batch Name], 0)))</f>
        <v/>
      </c>
      <c r="AJ448" s="100">
        <f>IF(COUNTIF(SelectedPrecincts[Batch Name],SamplingData[[#This Row],[Batch by Type (p)]]) &lt;&gt; 0, COUNTIF(SelectedPrecincts[Batch Name],SamplingData[[#This Row],[Batch by Type (p)]]), 0)</f>
        <v>0</v>
      </c>
    </row>
    <row r="449" spans="1:36" ht="15" customHeight="1" x14ac:dyDescent="0.35">
      <c r="A449" s="97" t="s">
        <v>662</v>
      </c>
      <c r="B449" s="97">
        <v>39</v>
      </c>
      <c r="C449" s="97">
        <v>69</v>
      </c>
      <c r="D449" s="92"/>
      <c r="E449" s="92"/>
      <c r="F449" s="92"/>
      <c r="G449" s="96"/>
      <c r="H449" s="96"/>
      <c r="I449" s="92"/>
      <c r="J449" s="92"/>
      <c r="K449" s="92"/>
      <c r="L449" s="92"/>
      <c r="M449" s="92"/>
      <c r="N449" s="97">
        <v>1</v>
      </c>
      <c r="O449" s="97">
        <v>9</v>
      </c>
      <c r="P449" s="98">
        <f>SUM(SamplingData[[#This Row],[Winning Candidate]:[Under Votes]])</f>
        <v>118</v>
      </c>
      <c r="Q449" s="99">
        <f>IF(AND(SamplingData[[#This Row],[Total]]&lt;&gt; 0, NOT(ISBLANK(SamplingData[[#This Row],[Losing Candidate]]))),(SamplingData[[#This Row],[Total]]+SamplingData[[#This Row],[Winning Candidate]]-SamplingData[[#This Row],[Losing Candidate]])/(SamplingData[[#Totals],[Winning Candidate]]-SamplingData[[#Totals],[Losing Candidate]]), 0)</f>
        <v>3.734510269903242E-3</v>
      </c>
      <c r="R449" s="99">
        <f>IF(AND(SamplingData[[#This Row],[Total]]&lt;&gt; 0, NOT(ISBLANK(SamplingData[[#This Row],[Candidate 3]]))),(SamplingData[[#This Row],[Total]]+SamplingData[[#This Row],[Winning Candidate]]-SamplingData[[#This Row],[Candidate 3]])/(SamplingData[[#Totals],[Winning Candidate]]-SamplingData[[#Totals],[Candidate 3]]), 0)</f>
        <v>0</v>
      </c>
      <c r="S449" s="99">
        <f>IF(AND(SamplingData[[#This Row],[Total]]&lt;&gt; 0, NOT(ISBLANK(SamplingData[[#This Row],[Candidate 4]]))),(SamplingData[[#This Row],[Total]]+SamplingData[[#This Row],[Winning Candidate]]-SamplingData[[#This Row],[Candidate 4]])/(SamplingData[[#Totals],[Winning Candidate]]-SamplingData[[#Totals],[Candidate 4]]), 0)</f>
        <v>0</v>
      </c>
      <c r="T449" s="99">
        <f>IF(AND(SamplingData[[#This Row],[Total]]&lt;&gt; 0, NOT(ISBLANK(SamplingData[[#This Row],[Candidate 5]]))),(SamplingData[[#This Row],[Total]]+SamplingData[[#This Row],[Winning Candidate]]-SamplingData[[#This Row],[Candidate 5]])/(SamplingData[[#Totals],[Winning Candidate]]-SamplingData[[#Totals],[Candidate 5]]), 0)</f>
        <v>0</v>
      </c>
      <c r="U449" s="99">
        <f>IF(AND(SamplingData[[#This Row],[Total]]&lt;&gt; 0, NOT(ISBLANK(SamplingData[[#This Row],[Candidate 6]]))),(SamplingData[[#This Row],[Total]]+SamplingData[[#This Row],[Losing Candidate]]-SamplingData[[#This Row],[Candidate 6]])/(SamplingData[[#Totals],[Winning Candidate]]-SamplingData[[#Totals],[Candidate 6]]), 0)</f>
        <v>0</v>
      </c>
      <c r="V449" s="99">
        <f>IF(AND(SamplingData[[#This Row],[Total]]&lt;&gt; 0, NOT(ISBLANK(SamplingData[[#This Row],[Candidate 7]]))),(SamplingData[[#This Row],[Total]]+SamplingData[[#This Row],[Winning Candidate]]-SamplingData[[#This Row],[Candidate 7]])/(SamplingData[[#Totals],[Winning Candidate]]-SamplingData[[#Totals],[Candidate 7]]), 0)</f>
        <v>0</v>
      </c>
      <c r="W449" s="99">
        <f>IF(AND(SamplingData[[#This Row],[Total]]&lt;&gt; 0, NOT(ISBLANK(SamplingData[[#This Row],[Candidate 8]]))),(SamplingData[[#This Row],[Total]]+SamplingData[[#This Row],[Winning Candidate]]-SamplingData[[#This Row],[Candidate 8]])/(SamplingData[[#Totals],[Winning Candidate]]-SamplingData[[#Totals],[Candidate 8]]), 0)</f>
        <v>0</v>
      </c>
      <c r="X4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9" s="99">
        <f>MAX(SamplingData[[#This Row],[Error Bound (up) - Max. possible relative overstatement - Losing Candidate]:[Error Bound (up) - Max. possible relative overstatement - Candidate 12]])</f>
        <v>3.734510269903242E-3</v>
      </c>
      <c r="AC449" s="99">
        <f>IF(SamplingData[[#This Row],[Max Error Bound (up)]] = 0,0,SamplingData[[#This Row],[Max Error Bound (up)]]/SamplingData[[#Totals],[Max Error Bound (up)]])</f>
        <v>1.9994910386447111E-4</v>
      </c>
      <c r="AD449" s="103">
        <f>SUM($AC$5:AC449)</f>
        <v>0.37645871959864818</v>
      </c>
      <c r="AE449" s="99" t="str" cm="1">
        <f t="array" ref="AE449">IF(SamplingData[[#This Row],[up/U Selection Probability]] = 0, "Zero", TEXT(SamplingData[[#This Row],[Lower Range]], REPT("0",LEN('General Info'!$B$42))) &amp; " - " &amp; TEXT(SamplingData[[#This Row],[Upper Range]], REPT("0",LEN('General Info'!$B$42))))</f>
        <v>376259 - 376458</v>
      </c>
      <c r="AF449" s="99">
        <f>SamplingData[[#This Row],[Upper Range]]-SamplingData[[#This Row],[Span]]</f>
        <v>376258.7704947837</v>
      </c>
      <c r="AG449" s="99">
        <f>IF(ISNUMBER('General Info'!$B$42), ((SamplingData[[#This Row],[up/U Selection Probability]]) * 'General Info'!$B$44) - 1, 0)</f>
        <v>198.94910386447111</v>
      </c>
      <c r="AH449" s="99">
        <f>IF(ISNUMBER('General Info'!$B$42), (SamplingData[[#This Row],[Running (cumulative) sum]] * ('General Info'!$B$42 -'General Info'!$B$43 + 1)) + 'General Info'!$B$43 - 1, 0)</f>
        <v>376457.7195986482</v>
      </c>
      <c r="AI449" s="99" t="str">
        <f>IF(ISERROR(MATCH(SamplingData[[#This Row],[Batch by Type (p)]],SelectedPrecincts[Batch Name], 0)), "", INDEX(SelectedPrecincts[Draw], MATCH(SamplingData[[#This Row],[Batch by Type (p)]],SelectedPrecincts[Batch Name], 0)))</f>
        <v/>
      </c>
      <c r="AJ449" s="100">
        <f>IF(COUNTIF(SelectedPrecincts[Batch Name],SamplingData[[#This Row],[Batch by Type (p)]]) &lt;&gt; 0, COUNTIF(SelectedPrecincts[Batch Name],SamplingData[[#This Row],[Batch by Type (p)]]), 0)</f>
        <v>0</v>
      </c>
    </row>
    <row r="450" spans="1:36" ht="15" customHeight="1" x14ac:dyDescent="0.35">
      <c r="A450" s="97" t="s">
        <v>663</v>
      </c>
      <c r="B450" s="97">
        <v>50</v>
      </c>
      <c r="C450" s="97">
        <v>131</v>
      </c>
      <c r="D450" s="92"/>
      <c r="E450" s="92"/>
      <c r="F450" s="92"/>
      <c r="G450" s="96"/>
      <c r="H450" s="96"/>
      <c r="I450" s="92"/>
      <c r="J450" s="92"/>
      <c r="K450" s="92"/>
      <c r="L450" s="92"/>
      <c r="M450" s="92"/>
      <c r="N450" s="97">
        <v>0</v>
      </c>
      <c r="O450" s="97">
        <v>12</v>
      </c>
      <c r="P450" s="98">
        <f>SUM(SamplingData[[#This Row],[Winning Candidate]:[Under Votes]])</f>
        <v>193</v>
      </c>
      <c r="Q450" s="99">
        <f>IF(AND(SamplingData[[#This Row],[Total]]&lt;&gt; 0, NOT(ISBLANK(SamplingData[[#This Row],[Losing Candidate]]))),(SamplingData[[#This Row],[Total]]+SamplingData[[#This Row],[Winning Candidate]]-SamplingData[[#This Row],[Losing Candidate]])/(SamplingData[[#Totals],[Winning Candidate]]-SamplingData[[#Totals],[Losing Candidate]]), 0)</f>
        <v>4.7530130707859443E-3</v>
      </c>
      <c r="R450" s="99">
        <f>IF(AND(SamplingData[[#This Row],[Total]]&lt;&gt; 0, NOT(ISBLANK(SamplingData[[#This Row],[Candidate 3]]))),(SamplingData[[#This Row],[Total]]+SamplingData[[#This Row],[Winning Candidate]]-SamplingData[[#This Row],[Candidate 3]])/(SamplingData[[#Totals],[Winning Candidate]]-SamplingData[[#Totals],[Candidate 3]]), 0)</f>
        <v>0</v>
      </c>
      <c r="S450" s="99">
        <f>IF(AND(SamplingData[[#This Row],[Total]]&lt;&gt; 0, NOT(ISBLANK(SamplingData[[#This Row],[Candidate 4]]))),(SamplingData[[#This Row],[Total]]+SamplingData[[#This Row],[Winning Candidate]]-SamplingData[[#This Row],[Candidate 4]])/(SamplingData[[#Totals],[Winning Candidate]]-SamplingData[[#Totals],[Candidate 4]]), 0)</f>
        <v>0</v>
      </c>
      <c r="T450" s="99">
        <f>IF(AND(SamplingData[[#This Row],[Total]]&lt;&gt; 0, NOT(ISBLANK(SamplingData[[#This Row],[Candidate 5]]))),(SamplingData[[#This Row],[Total]]+SamplingData[[#This Row],[Winning Candidate]]-SamplingData[[#This Row],[Candidate 5]])/(SamplingData[[#Totals],[Winning Candidate]]-SamplingData[[#Totals],[Candidate 5]]), 0)</f>
        <v>0</v>
      </c>
      <c r="U450" s="99">
        <f>IF(AND(SamplingData[[#This Row],[Total]]&lt;&gt; 0, NOT(ISBLANK(SamplingData[[#This Row],[Candidate 6]]))),(SamplingData[[#This Row],[Total]]+SamplingData[[#This Row],[Losing Candidate]]-SamplingData[[#This Row],[Candidate 6]])/(SamplingData[[#Totals],[Winning Candidate]]-SamplingData[[#Totals],[Candidate 6]]), 0)</f>
        <v>0</v>
      </c>
      <c r="V450" s="99">
        <f>IF(AND(SamplingData[[#This Row],[Total]]&lt;&gt; 0, NOT(ISBLANK(SamplingData[[#This Row],[Candidate 7]]))),(SamplingData[[#This Row],[Total]]+SamplingData[[#This Row],[Winning Candidate]]-SamplingData[[#This Row],[Candidate 7]])/(SamplingData[[#Totals],[Winning Candidate]]-SamplingData[[#Totals],[Candidate 7]]), 0)</f>
        <v>0</v>
      </c>
      <c r="W450" s="99">
        <f>IF(AND(SamplingData[[#This Row],[Total]]&lt;&gt; 0, NOT(ISBLANK(SamplingData[[#This Row],[Candidate 8]]))),(SamplingData[[#This Row],[Total]]+SamplingData[[#This Row],[Winning Candidate]]-SamplingData[[#This Row],[Candidate 8]])/(SamplingData[[#Totals],[Winning Candidate]]-SamplingData[[#Totals],[Candidate 8]]), 0)</f>
        <v>0</v>
      </c>
      <c r="X4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0" s="99">
        <f>MAX(SamplingData[[#This Row],[Error Bound (up) - Max. possible relative overstatement - Losing Candidate]:[Error Bound (up) - Max. possible relative overstatement - Candidate 12]])</f>
        <v>4.7530130707859443E-3</v>
      </c>
      <c r="AC450" s="99">
        <f>IF(SamplingData[[#This Row],[Max Error Bound (up)]] = 0,0,SamplingData[[#This Row],[Max Error Bound (up)]]/SamplingData[[#Totals],[Max Error Bound (up)]])</f>
        <v>2.544806776456905E-4</v>
      </c>
      <c r="AD450" s="103">
        <f>SUM($AC$5:AC450)</f>
        <v>0.37671320027629385</v>
      </c>
      <c r="AE450" s="99" t="str" cm="1">
        <f t="array" ref="AE450">IF(SamplingData[[#This Row],[up/U Selection Probability]] = 0, "Zero", TEXT(SamplingData[[#This Row],[Lower Range]], REPT("0",LEN('General Info'!$B$42))) &amp; " - " &amp; TEXT(SamplingData[[#This Row],[Upper Range]], REPT("0",LEN('General Info'!$B$42))))</f>
        <v>376459 - 376712</v>
      </c>
      <c r="AF450" s="99">
        <f>SamplingData[[#This Row],[Upper Range]]-SamplingData[[#This Row],[Span]]</f>
        <v>376458.71959864814</v>
      </c>
      <c r="AG450" s="99">
        <f>IF(ISNUMBER('General Info'!$B$42), ((SamplingData[[#This Row],[up/U Selection Probability]]) * 'General Info'!$B$44) - 1, 0)</f>
        <v>253.48067764569049</v>
      </c>
      <c r="AH450" s="99">
        <f>IF(ISNUMBER('General Info'!$B$42), (SamplingData[[#This Row],[Running (cumulative) sum]] * ('General Info'!$B$42 -'General Info'!$B$43 + 1)) + 'General Info'!$B$43 - 1, 0)</f>
        <v>376712.20027629385</v>
      </c>
      <c r="AI450" s="99" t="str">
        <f>IF(ISERROR(MATCH(SamplingData[[#This Row],[Batch by Type (p)]],SelectedPrecincts[Batch Name], 0)), "", INDEX(SelectedPrecincts[Draw], MATCH(SamplingData[[#This Row],[Batch by Type (p)]],SelectedPrecincts[Batch Name], 0)))</f>
        <v/>
      </c>
      <c r="AJ450" s="100">
        <f>IF(COUNTIF(SelectedPrecincts[Batch Name],SamplingData[[#This Row],[Batch by Type (p)]]) &lt;&gt; 0, COUNTIF(SelectedPrecincts[Batch Name],SamplingData[[#This Row],[Batch by Type (p)]]), 0)</f>
        <v>0</v>
      </c>
    </row>
    <row r="451" spans="1:36" ht="15" customHeight="1" x14ac:dyDescent="0.35">
      <c r="A451" s="97" t="s">
        <v>664</v>
      </c>
      <c r="B451" s="97">
        <v>100</v>
      </c>
      <c r="C451" s="97">
        <v>141</v>
      </c>
      <c r="D451" s="92"/>
      <c r="E451" s="92"/>
      <c r="F451" s="92"/>
      <c r="G451" s="96"/>
      <c r="H451" s="96"/>
      <c r="I451" s="92"/>
      <c r="J451" s="92"/>
      <c r="K451" s="92"/>
      <c r="L451" s="92"/>
      <c r="M451" s="92"/>
      <c r="N451" s="97">
        <v>1</v>
      </c>
      <c r="O451" s="97">
        <v>8</v>
      </c>
      <c r="P451" s="98">
        <f>SUM(SamplingData[[#This Row],[Winning Candidate]:[Under Votes]])</f>
        <v>250</v>
      </c>
      <c r="Q451" s="99">
        <f>IF(AND(SamplingData[[#This Row],[Total]]&lt;&gt; 0, NOT(ISBLANK(SamplingData[[#This Row],[Losing Candidate]]))),(SamplingData[[#This Row],[Total]]+SamplingData[[#This Row],[Winning Candidate]]-SamplingData[[#This Row],[Losing Candidate]])/(SamplingData[[#Totals],[Winning Candidate]]-SamplingData[[#Totals],[Losing Candidate]]), 0)</f>
        <v>8.8694618910202007E-3</v>
      </c>
      <c r="R451" s="99">
        <f>IF(AND(SamplingData[[#This Row],[Total]]&lt;&gt; 0, NOT(ISBLANK(SamplingData[[#This Row],[Candidate 3]]))),(SamplingData[[#This Row],[Total]]+SamplingData[[#This Row],[Winning Candidate]]-SamplingData[[#This Row],[Candidate 3]])/(SamplingData[[#Totals],[Winning Candidate]]-SamplingData[[#Totals],[Candidate 3]]), 0)</f>
        <v>0</v>
      </c>
      <c r="S451" s="99">
        <f>IF(AND(SamplingData[[#This Row],[Total]]&lt;&gt; 0, NOT(ISBLANK(SamplingData[[#This Row],[Candidate 4]]))),(SamplingData[[#This Row],[Total]]+SamplingData[[#This Row],[Winning Candidate]]-SamplingData[[#This Row],[Candidate 4]])/(SamplingData[[#Totals],[Winning Candidate]]-SamplingData[[#Totals],[Candidate 4]]), 0)</f>
        <v>0</v>
      </c>
      <c r="T451" s="99">
        <f>IF(AND(SamplingData[[#This Row],[Total]]&lt;&gt; 0, NOT(ISBLANK(SamplingData[[#This Row],[Candidate 5]]))),(SamplingData[[#This Row],[Total]]+SamplingData[[#This Row],[Winning Candidate]]-SamplingData[[#This Row],[Candidate 5]])/(SamplingData[[#Totals],[Winning Candidate]]-SamplingData[[#Totals],[Candidate 5]]), 0)</f>
        <v>0</v>
      </c>
      <c r="U451" s="99">
        <f>IF(AND(SamplingData[[#This Row],[Total]]&lt;&gt; 0, NOT(ISBLANK(SamplingData[[#This Row],[Candidate 6]]))),(SamplingData[[#This Row],[Total]]+SamplingData[[#This Row],[Losing Candidate]]-SamplingData[[#This Row],[Candidate 6]])/(SamplingData[[#Totals],[Winning Candidate]]-SamplingData[[#Totals],[Candidate 6]]), 0)</f>
        <v>0</v>
      </c>
      <c r="V451" s="99">
        <f>IF(AND(SamplingData[[#This Row],[Total]]&lt;&gt; 0, NOT(ISBLANK(SamplingData[[#This Row],[Candidate 7]]))),(SamplingData[[#This Row],[Total]]+SamplingData[[#This Row],[Winning Candidate]]-SamplingData[[#This Row],[Candidate 7]])/(SamplingData[[#Totals],[Winning Candidate]]-SamplingData[[#Totals],[Candidate 7]]), 0)</f>
        <v>0</v>
      </c>
      <c r="W451" s="99">
        <f>IF(AND(SamplingData[[#This Row],[Total]]&lt;&gt; 0, NOT(ISBLANK(SamplingData[[#This Row],[Candidate 8]]))),(SamplingData[[#This Row],[Total]]+SamplingData[[#This Row],[Winning Candidate]]-SamplingData[[#This Row],[Candidate 8]])/(SamplingData[[#Totals],[Winning Candidate]]-SamplingData[[#Totals],[Candidate 8]]), 0)</f>
        <v>0</v>
      </c>
      <c r="X4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1" s="99">
        <f>MAX(SamplingData[[#This Row],[Error Bound (up) - Max. possible relative overstatement - Losing Candidate]:[Error Bound (up) - Max. possible relative overstatement - Candidate 12]])</f>
        <v>8.8694618910202007E-3</v>
      </c>
      <c r="AC451" s="99">
        <f>IF(SamplingData[[#This Row],[Max Error Bound (up)]] = 0,0,SamplingData[[#This Row],[Max Error Bound (up)]]/SamplingData[[#Totals],[Max Error Bound (up)]])</f>
        <v>4.7487912167811891E-4</v>
      </c>
      <c r="AD451" s="103">
        <f>SUM($AC$5:AC451)</f>
        <v>0.37718807939797194</v>
      </c>
      <c r="AE451" s="99" t="str" cm="1">
        <f t="array" ref="AE451">IF(SamplingData[[#This Row],[up/U Selection Probability]] = 0, "Zero", TEXT(SamplingData[[#This Row],[Lower Range]], REPT("0",LEN('General Info'!$B$42))) &amp; " - " &amp; TEXT(SamplingData[[#This Row],[Upper Range]], REPT("0",LEN('General Info'!$B$42))))</f>
        <v>376713 - 377187</v>
      </c>
      <c r="AF451" s="99">
        <f>SamplingData[[#This Row],[Upper Range]]-SamplingData[[#This Row],[Span]]</f>
        <v>376713.20027629379</v>
      </c>
      <c r="AG451" s="99">
        <f>IF(ISNUMBER('General Info'!$B$42), ((SamplingData[[#This Row],[up/U Selection Probability]]) * 'General Info'!$B$44) - 1, 0)</f>
        <v>473.87912167811891</v>
      </c>
      <c r="AH451" s="99">
        <f>IF(ISNUMBER('General Info'!$B$42), (SamplingData[[#This Row],[Running (cumulative) sum]] * ('General Info'!$B$42 -'General Info'!$B$43 + 1)) + 'General Info'!$B$43 - 1, 0)</f>
        <v>377187.07939797192</v>
      </c>
      <c r="AI451" s="99" t="str">
        <f>IF(ISERROR(MATCH(SamplingData[[#This Row],[Batch by Type (p)]],SelectedPrecincts[Batch Name], 0)), "", INDEX(SelectedPrecincts[Draw], MATCH(SamplingData[[#This Row],[Batch by Type (p)]],SelectedPrecincts[Batch Name], 0)))</f>
        <v/>
      </c>
      <c r="AJ451" s="100">
        <f>IF(COUNTIF(SelectedPrecincts[Batch Name],SamplingData[[#This Row],[Batch by Type (p)]]) &lt;&gt; 0, COUNTIF(SelectedPrecincts[Batch Name],SamplingData[[#This Row],[Batch by Type (p)]]), 0)</f>
        <v>0</v>
      </c>
    </row>
    <row r="452" spans="1:36" ht="15" customHeight="1" x14ac:dyDescent="0.35">
      <c r="A452" s="97" t="s">
        <v>665</v>
      </c>
      <c r="B452" s="97">
        <v>85</v>
      </c>
      <c r="C452" s="97">
        <v>332</v>
      </c>
      <c r="D452" s="92"/>
      <c r="E452" s="92"/>
      <c r="F452" s="92"/>
      <c r="G452" s="96"/>
      <c r="H452" s="96"/>
      <c r="I452" s="92"/>
      <c r="J452" s="92"/>
      <c r="K452" s="92"/>
      <c r="L452" s="92"/>
      <c r="M452" s="92"/>
      <c r="N452" s="97">
        <v>0</v>
      </c>
      <c r="O452" s="97">
        <v>15</v>
      </c>
      <c r="P452" s="98">
        <f>SUM(SamplingData[[#This Row],[Winning Candidate]:[Under Votes]])</f>
        <v>432</v>
      </c>
      <c r="Q452" s="99">
        <f>IF(AND(SamplingData[[#This Row],[Total]]&lt;&gt; 0, NOT(ISBLANK(SamplingData[[#This Row],[Losing Candidate]]))),(SamplingData[[#This Row],[Total]]+SamplingData[[#This Row],[Winning Candidate]]-SamplingData[[#This Row],[Losing Candidate]])/(SamplingData[[#Totals],[Winning Candidate]]-SamplingData[[#Totals],[Losing Candidate]]), 0)</f>
        <v>7.8509590901374975E-3</v>
      </c>
      <c r="R452" s="99">
        <f>IF(AND(SamplingData[[#This Row],[Total]]&lt;&gt; 0, NOT(ISBLANK(SamplingData[[#This Row],[Candidate 3]]))),(SamplingData[[#This Row],[Total]]+SamplingData[[#This Row],[Winning Candidate]]-SamplingData[[#This Row],[Candidate 3]])/(SamplingData[[#Totals],[Winning Candidate]]-SamplingData[[#Totals],[Candidate 3]]), 0)</f>
        <v>0</v>
      </c>
      <c r="S452" s="99">
        <f>IF(AND(SamplingData[[#This Row],[Total]]&lt;&gt; 0, NOT(ISBLANK(SamplingData[[#This Row],[Candidate 4]]))),(SamplingData[[#This Row],[Total]]+SamplingData[[#This Row],[Winning Candidate]]-SamplingData[[#This Row],[Candidate 4]])/(SamplingData[[#Totals],[Winning Candidate]]-SamplingData[[#Totals],[Candidate 4]]), 0)</f>
        <v>0</v>
      </c>
      <c r="T452" s="99">
        <f>IF(AND(SamplingData[[#This Row],[Total]]&lt;&gt; 0, NOT(ISBLANK(SamplingData[[#This Row],[Candidate 5]]))),(SamplingData[[#This Row],[Total]]+SamplingData[[#This Row],[Winning Candidate]]-SamplingData[[#This Row],[Candidate 5]])/(SamplingData[[#Totals],[Winning Candidate]]-SamplingData[[#Totals],[Candidate 5]]), 0)</f>
        <v>0</v>
      </c>
      <c r="U452" s="99">
        <f>IF(AND(SamplingData[[#This Row],[Total]]&lt;&gt; 0, NOT(ISBLANK(SamplingData[[#This Row],[Candidate 6]]))),(SamplingData[[#This Row],[Total]]+SamplingData[[#This Row],[Losing Candidate]]-SamplingData[[#This Row],[Candidate 6]])/(SamplingData[[#Totals],[Winning Candidate]]-SamplingData[[#Totals],[Candidate 6]]), 0)</f>
        <v>0</v>
      </c>
      <c r="V452" s="99">
        <f>IF(AND(SamplingData[[#This Row],[Total]]&lt;&gt; 0, NOT(ISBLANK(SamplingData[[#This Row],[Candidate 7]]))),(SamplingData[[#This Row],[Total]]+SamplingData[[#This Row],[Winning Candidate]]-SamplingData[[#This Row],[Candidate 7]])/(SamplingData[[#Totals],[Winning Candidate]]-SamplingData[[#Totals],[Candidate 7]]), 0)</f>
        <v>0</v>
      </c>
      <c r="W452" s="99">
        <f>IF(AND(SamplingData[[#This Row],[Total]]&lt;&gt; 0, NOT(ISBLANK(SamplingData[[#This Row],[Candidate 8]]))),(SamplingData[[#This Row],[Total]]+SamplingData[[#This Row],[Winning Candidate]]-SamplingData[[#This Row],[Candidate 8]])/(SamplingData[[#Totals],[Winning Candidate]]-SamplingData[[#Totals],[Candidate 8]]), 0)</f>
        <v>0</v>
      </c>
      <c r="X4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2" s="99">
        <f>MAX(SamplingData[[#This Row],[Error Bound (up) - Max. possible relative overstatement - Losing Candidate]:[Error Bound (up) - Max. possible relative overstatement - Candidate 12]])</f>
        <v>7.8509590901374975E-3</v>
      </c>
      <c r="AC452" s="99">
        <f>IF(SamplingData[[#This Row],[Max Error Bound (up)]] = 0,0,SamplingData[[#This Row],[Max Error Bound (up)]]/SamplingData[[#Totals],[Max Error Bound (up)]])</f>
        <v>4.2034754789689951E-4</v>
      </c>
      <c r="AD452" s="103">
        <f>SUM($AC$5:AC452)</f>
        <v>0.37760842694586882</v>
      </c>
      <c r="AE452" s="99" t="str" cm="1">
        <f t="array" ref="AE452">IF(SamplingData[[#This Row],[up/U Selection Probability]] = 0, "Zero", TEXT(SamplingData[[#This Row],[Lower Range]], REPT("0",LEN('General Info'!$B$42))) &amp; " - " &amp; TEXT(SamplingData[[#This Row],[Upper Range]], REPT("0",LEN('General Info'!$B$42))))</f>
        <v>377188 - 377607</v>
      </c>
      <c r="AF452" s="99">
        <f>SamplingData[[#This Row],[Upper Range]]-SamplingData[[#This Row],[Span]]</f>
        <v>377188.07939797192</v>
      </c>
      <c r="AG452" s="99">
        <f>IF(ISNUMBER('General Info'!$B$42), ((SamplingData[[#This Row],[up/U Selection Probability]]) * 'General Info'!$B$44) - 1, 0)</f>
        <v>419.34754789689953</v>
      </c>
      <c r="AH452" s="99">
        <f>IF(ISNUMBER('General Info'!$B$42), (SamplingData[[#This Row],[Running (cumulative) sum]] * ('General Info'!$B$42 -'General Info'!$B$43 + 1)) + 'General Info'!$B$43 - 1, 0)</f>
        <v>377607.42694586882</v>
      </c>
      <c r="AI452" s="99" t="str">
        <f>IF(ISERROR(MATCH(SamplingData[[#This Row],[Batch by Type (p)]],SelectedPrecincts[Batch Name], 0)), "", INDEX(SelectedPrecincts[Draw], MATCH(SamplingData[[#This Row],[Batch by Type (p)]],SelectedPrecincts[Batch Name], 0)))</f>
        <v/>
      </c>
      <c r="AJ452" s="100">
        <f>IF(COUNTIF(SelectedPrecincts[Batch Name],SamplingData[[#This Row],[Batch by Type (p)]]) &lt;&gt; 0, COUNTIF(SelectedPrecincts[Batch Name],SamplingData[[#This Row],[Batch by Type (p)]]), 0)</f>
        <v>0</v>
      </c>
    </row>
    <row r="453" spans="1:36" ht="15" customHeight="1" x14ac:dyDescent="0.35">
      <c r="A453" s="97" t="s">
        <v>666</v>
      </c>
      <c r="B453" s="97">
        <v>128</v>
      </c>
      <c r="C453" s="97">
        <v>290</v>
      </c>
      <c r="D453" s="92"/>
      <c r="E453" s="92"/>
      <c r="F453" s="92"/>
      <c r="G453" s="96"/>
      <c r="H453" s="96"/>
      <c r="I453" s="92"/>
      <c r="J453" s="92"/>
      <c r="K453" s="92"/>
      <c r="L453" s="92"/>
      <c r="M453" s="92"/>
      <c r="N453" s="97">
        <v>1</v>
      </c>
      <c r="O453" s="97">
        <v>21</v>
      </c>
      <c r="P453" s="98">
        <f>SUM(SamplingData[[#This Row],[Winning Candidate]:[Under Votes]])</f>
        <v>440</v>
      </c>
      <c r="Q453" s="99">
        <f>IF(AND(SamplingData[[#This Row],[Total]]&lt;&gt; 0, NOT(ISBLANK(SamplingData[[#This Row],[Losing Candidate]]))),(SamplingData[[#This Row],[Total]]+SamplingData[[#This Row],[Winning Candidate]]-SamplingData[[#This Row],[Losing Candidate]])/(SamplingData[[#Totals],[Winning Candidate]]-SamplingData[[#Totals],[Losing Candidate]]), 0)</f>
        <v>1.1797657443557969E-2</v>
      </c>
      <c r="R453" s="99">
        <f>IF(AND(SamplingData[[#This Row],[Total]]&lt;&gt; 0, NOT(ISBLANK(SamplingData[[#This Row],[Candidate 3]]))),(SamplingData[[#This Row],[Total]]+SamplingData[[#This Row],[Winning Candidate]]-SamplingData[[#This Row],[Candidate 3]])/(SamplingData[[#Totals],[Winning Candidate]]-SamplingData[[#Totals],[Candidate 3]]), 0)</f>
        <v>0</v>
      </c>
      <c r="S453" s="99">
        <f>IF(AND(SamplingData[[#This Row],[Total]]&lt;&gt; 0, NOT(ISBLANK(SamplingData[[#This Row],[Candidate 4]]))),(SamplingData[[#This Row],[Total]]+SamplingData[[#This Row],[Winning Candidate]]-SamplingData[[#This Row],[Candidate 4]])/(SamplingData[[#Totals],[Winning Candidate]]-SamplingData[[#Totals],[Candidate 4]]), 0)</f>
        <v>0</v>
      </c>
      <c r="T453" s="99">
        <f>IF(AND(SamplingData[[#This Row],[Total]]&lt;&gt; 0, NOT(ISBLANK(SamplingData[[#This Row],[Candidate 5]]))),(SamplingData[[#This Row],[Total]]+SamplingData[[#This Row],[Winning Candidate]]-SamplingData[[#This Row],[Candidate 5]])/(SamplingData[[#Totals],[Winning Candidate]]-SamplingData[[#Totals],[Candidate 5]]), 0)</f>
        <v>0</v>
      </c>
      <c r="U453" s="99">
        <f>IF(AND(SamplingData[[#This Row],[Total]]&lt;&gt; 0, NOT(ISBLANK(SamplingData[[#This Row],[Candidate 6]]))),(SamplingData[[#This Row],[Total]]+SamplingData[[#This Row],[Losing Candidate]]-SamplingData[[#This Row],[Candidate 6]])/(SamplingData[[#Totals],[Winning Candidate]]-SamplingData[[#Totals],[Candidate 6]]), 0)</f>
        <v>0</v>
      </c>
      <c r="V453" s="99">
        <f>IF(AND(SamplingData[[#This Row],[Total]]&lt;&gt; 0, NOT(ISBLANK(SamplingData[[#This Row],[Candidate 7]]))),(SamplingData[[#This Row],[Total]]+SamplingData[[#This Row],[Winning Candidate]]-SamplingData[[#This Row],[Candidate 7]])/(SamplingData[[#Totals],[Winning Candidate]]-SamplingData[[#Totals],[Candidate 7]]), 0)</f>
        <v>0</v>
      </c>
      <c r="W453" s="99">
        <f>IF(AND(SamplingData[[#This Row],[Total]]&lt;&gt; 0, NOT(ISBLANK(SamplingData[[#This Row],[Candidate 8]]))),(SamplingData[[#This Row],[Total]]+SamplingData[[#This Row],[Winning Candidate]]-SamplingData[[#This Row],[Candidate 8]])/(SamplingData[[#Totals],[Winning Candidate]]-SamplingData[[#Totals],[Candidate 8]]), 0)</f>
        <v>0</v>
      </c>
      <c r="X4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3" s="99">
        <f>MAX(SamplingData[[#This Row],[Error Bound (up) - Max. possible relative overstatement - Losing Candidate]:[Error Bound (up) - Max. possible relative overstatement - Candidate 12]])</f>
        <v>1.1797657443557969E-2</v>
      </c>
      <c r="AC453" s="99">
        <f>IF(SamplingData[[#This Row],[Max Error Bound (up)]] = 0,0,SamplingData[[#This Row],[Max Error Bound (up)]]/SamplingData[[#Totals],[Max Error Bound (up)]])</f>
        <v>6.3165739629912469E-4</v>
      </c>
      <c r="AD453" s="103">
        <f>SUM($AC$5:AC453)</f>
        <v>0.37824008434216794</v>
      </c>
      <c r="AE453" s="99" t="str" cm="1">
        <f t="array" ref="AE453">IF(SamplingData[[#This Row],[up/U Selection Probability]] = 0, "Zero", TEXT(SamplingData[[#This Row],[Lower Range]], REPT("0",LEN('General Info'!$B$42))) &amp; " - " &amp; TEXT(SamplingData[[#This Row],[Upper Range]], REPT("0",LEN('General Info'!$B$42))))</f>
        <v>377608 - 378239</v>
      </c>
      <c r="AF453" s="99">
        <f>SamplingData[[#This Row],[Upper Range]]-SamplingData[[#This Row],[Span]]</f>
        <v>377608.42694586882</v>
      </c>
      <c r="AG453" s="99">
        <f>IF(ISNUMBER('General Info'!$B$42), ((SamplingData[[#This Row],[up/U Selection Probability]]) * 'General Info'!$B$44) - 1, 0)</f>
        <v>630.65739629912468</v>
      </c>
      <c r="AH453" s="99">
        <f>IF(ISNUMBER('General Info'!$B$42), (SamplingData[[#This Row],[Running (cumulative) sum]] * ('General Info'!$B$42 -'General Info'!$B$43 + 1)) + 'General Info'!$B$43 - 1, 0)</f>
        <v>378239.08434216795</v>
      </c>
      <c r="AI453" s="99" t="str">
        <f>IF(ISERROR(MATCH(SamplingData[[#This Row],[Batch by Type (p)]],SelectedPrecincts[Batch Name], 0)), "", INDEX(SelectedPrecincts[Draw], MATCH(SamplingData[[#This Row],[Batch by Type (p)]],SelectedPrecincts[Batch Name], 0)))</f>
        <v/>
      </c>
      <c r="AJ453" s="100">
        <f>IF(COUNTIF(SelectedPrecincts[Batch Name],SamplingData[[#This Row],[Batch by Type (p)]]) &lt;&gt; 0, COUNTIF(SelectedPrecincts[Batch Name],SamplingData[[#This Row],[Batch by Type (p)]]), 0)</f>
        <v>0</v>
      </c>
    </row>
    <row r="454" spans="1:36" ht="15" customHeight="1" x14ac:dyDescent="0.35">
      <c r="A454" s="97" t="s">
        <v>667</v>
      </c>
      <c r="B454" s="97">
        <v>95</v>
      </c>
      <c r="C454" s="97">
        <v>212</v>
      </c>
      <c r="D454" s="92"/>
      <c r="E454" s="92"/>
      <c r="F454" s="92"/>
      <c r="G454" s="96"/>
      <c r="H454" s="96"/>
      <c r="I454" s="92"/>
      <c r="J454" s="92"/>
      <c r="K454" s="92"/>
      <c r="L454" s="92"/>
      <c r="M454" s="92"/>
      <c r="N454" s="97">
        <v>0</v>
      </c>
      <c r="O454" s="97">
        <v>17</v>
      </c>
      <c r="P454" s="98">
        <f>SUM(SamplingData[[#This Row],[Winning Candidate]:[Under Votes]])</f>
        <v>324</v>
      </c>
      <c r="Q454" s="99">
        <f>IF(AND(SamplingData[[#This Row],[Total]]&lt;&gt; 0, NOT(ISBLANK(SamplingData[[#This Row],[Losing Candidate]]))),(SamplingData[[#This Row],[Total]]+SamplingData[[#This Row],[Winning Candidate]]-SamplingData[[#This Row],[Losing Candidate]])/(SamplingData[[#Totals],[Winning Candidate]]-SamplingData[[#Totals],[Losing Candidate]]), 0)</f>
        <v>8.784586657613308E-3</v>
      </c>
      <c r="R454" s="99">
        <f>IF(AND(SamplingData[[#This Row],[Total]]&lt;&gt; 0, NOT(ISBLANK(SamplingData[[#This Row],[Candidate 3]]))),(SamplingData[[#This Row],[Total]]+SamplingData[[#This Row],[Winning Candidate]]-SamplingData[[#This Row],[Candidate 3]])/(SamplingData[[#Totals],[Winning Candidate]]-SamplingData[[#Totals],[Candidate 3]]), 0)</f>
        <v>0</v>
      </c>
      <c r="S454" s="99">
        <f>IF(AND(SamplingData[[#This Row],[Total]]&lt;&gt; 0, NOT(ISBLANK(SamplingData[[#This Row],[Candidate 4]]))),(SamplingData[[#This Row],[Total]]+SamplingData[[#This Row],[Winning Candidate]]-SamplingData[[#This Row],[Candidate 4]])/(SamplingData[[#Totals],[Winning Candidate]]-SamplingData[[#Totals],[Candidate 4]]), 0)</f>
        <v>0</v>
      </c>
      <c r="T454" s="99">
        <f>IF(AND(SamplingData[[#This Row],[Total]]&lt;&gt; 0, NOT(ISBLANK(SamplingData[[#This Row],[Candidate 5]]))),(SamplingData[[#This Row],[Total]]+SamplingData[[#This Row],[Winning Candidate]]-SamplingData[[#This Row],[Candidate 5]])/(SamplingData[[#Totals],[Winning Candidate]]-SamplingData[[#Totals],[Candidate 5]]), 0)</f>
        <v>0</v>
      </c>
      <c r="U454" s="99">
        <f>IF(AND(SamplingData[[#This Row],[Total]]&lt;&gt; 0, NOT(ISBLANK(SamplingData[[#This Row],[Candidate 6]]))),(SamplingData[[#This Row],[Total]]+SamplingData[[#This Row],[Losing Candidate]]-SamplingData[[#This Row],[Candidate 6]])/(SamplingData[[#Totals],[Winning Candidate]]-SamplingData[[#Totals],[Candidate 6]]), 0)</f>
        <v>0</v>
      </c>
      <c r="V454" s="99">
        <f>IF(AND(SamplingData[[#This Row],[Total]]&lt;&gt; 0, NOT(ISBLANK(SamplingData[[#This Row],[Candidate 7]]))),(SamplingData[[#This Row],[Total]]+SamplingData[[#This Row],[Winning Candidate]]-SamplingData[[#This Row],[Candidate 7]])/(SamplingData[[#Totals],[Winning Candidate]]-SamplingData[[#Totals],[Candidate 7]]), 0)</f>
        <v>0</v>
      </c>
      <c r="W454" s="99">
        <f>IF(AND(SamplingData[[#This Row],[Total]]&lt;&gt; 0, NOT(ISBLANK(SamplingData[[#This Row],[Candidate 8]]))),(SamplingData[[#This Row],[Total]]+SamplingData[[#This Row],[Winning Candidate]]-SamplingData[[#This Row],[Candidate 8]])/(SamplingData[[#Totals],[Winning Candidate]]-SamplingData[[#Totals],[Candidate 8]]), 0)</f>
        <v>0</v>
      </c>
      <c r="X4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4" s="99">
        <f>MAX(SamplingData[[#This Row],[Error Bound (up) - Max. possible relative overstatement - Losing Candidate]:[Error Bound (up) - Max. possible relative overstatement - Candidate 12]])</f>
        <v>8.784586657613308E-3</v>
      </c>
      <c r="AC454" s="99">
        <f>IF(SamplingData[[#This Row],[Max Error Bound (up)]] = 0,0,SamplingData[[#This Row],[Max Error Bound (up)]]/SamplingData[[#Totals],[Max Error Bound (up)]])</f>
        <v>4.7033482386301729E-4</v>
      </c>
      <c r="AD454" s="103">
        <f>SUM($AC$5:AC454)</f>
        <v>0.37871041916603093</v>
      </c>
      <c r="AE454" s="99" t="str" cm="1">
        <f t="array" ref="AE454">IF(SamplingData[[#This Row],[up/U Selection Probability]] = 0, "Zero", TEXT(SamplingData[[#This Row],[Lower Range]], REPT("0",LEN('General Info'!$B$42))) &amp; " - " &amp; TEXT(SamplingData[[#This Row],[Upper Range]], REPT("0",LEN('General Info'!$B$42))))</f>
        <v>378240 - 378709</v>
      </c>
      <c r="AF454" s="99">
        <f>SamplingData[[#This Row],[Upper Range]]-SamplingData[[#This Row],[Span]]</f>
        <v>378240.08434216795</v>
      </c>
      <c r="AG454" s="99">
        <f>IF(ISNUMBER('General Info'!$B$42), ((SamplingData[[#This Row],[up/U Selection Probability]]) * 'General Info'!$B$44) - 1, 0)</f>
        <v>469.33482386301728</v>
      </c>
      <c r="AH454" s="99">
        <f>IF(ISNUMBER('General Info'!$B$42), (SamplingData[[#This Row],[Running (cumulative) sum]] * ('General Info'!$B$42 -'General Info'!$B$43 + 1)) + 'General Info'!$B$43 - 1, 0)</f>
        <v>378709.41916603094</v>
      </c>
      <c r="AI454" s="99" t="str">
        <f>IF(ISERROR(MATCH(SamplingData[[#This Row],[Batch by Type (p)]],SelectedPrecincts[Batch Name], 0)), "", INDEX(SelectedPrecincts[Draw], MATCH(SamplingData[[#This Row],[Batch by Type (p)]],SelectedPrecincts[Batch Name], 0)))</f>
        <v/>
      </c>
      <c r="AJ454" s="100">
        <f>IF(COUNTIF(SelectedPrecincts[Batch Name],SamplingData[[#This Row],[Batch by Type (p)]]) &lt;&gt; 0, COUNTIF(SelectedPrecincts[Batch Name],SamplingData[[#This Row],[Batch by Type (p)]]), 0)</f>
        <v>0</v>
      </c>
    </row>
    <row r="455" spans="1:36" ht="15" customHeight="1" x14ac:dyDescent="0.35">
      <c r="A455" s="97" t="s">
        <v>668</v>
      </c>
      <c r="B455" s="97">
        <v>140</v>
      </c>
      <c r="C455" s="97">
        <v>337</v>
      </c>
      <c r="D455" s="92"/>
      <c r="E455" s="92"/>
      <c r="F455" s="92"/>
      <c r="G455" s="96"/>
      <c r="H455" s="96"/>
      <c r="I455" s="92"/>
      <c r="J455" s="92"/>
      <c r="K455" s="92"/>
      <c r="L455" s="92"/>
      <c r="M455" s="92"/>
      <c r="N455" s="97">
        <v>0</v>
      </c>
      <c r="O455" s="97">
        <v>26</v>
      </c>
      <c r="P455" s="98">
        <f>SUM(SamplingData[[#This Row],[Winning Candidate]:[Under Votes]])</f>
        <v>503</v>
      </c>
      <c r="Q455" s="99">
        <f>IF(AND(SamplingData[[#This Row],[Total]]&lt;&gt; 0, NOT(ISBLANK(SamplingData[[#This Row],[Losing Candidate]]))),(SamplingData[[#This Row],[Total]]+SamplingData[[#This Row],[Winning Candidate]]-SamplingData[[#This Row],[Losing Candidate]])/(SamplingData[[#Totals],[Winning Candidate]]-SamplingData[[#Totals],[Losing Candidate]]), 0)</f>
        <v>1.2985910711254456E-2</v>
      </c>
      <c r="R455" s="99">
        <f>IF(AND(SamplingData[[#This Row],[Total]]&lt;&gt; 0, NOT(ISBLANK(SamplingData[[#This Row],[Candidate 3]]))),(SamplingData[[#This Row],[Total]]+SamplingData[[#This Row],[Winning Candidate]]-SamplingData[[#This Row],[Candidate 3]])/(SamplingData[[#Totals],[Winning Candidate]]-SamplingData[[#Totals],[Candidate 3]]), 0)</f>
        <v>0</v>
      </c>
      <c r="S455" s="99">
        <f>IF(AND(SamplingData[[#This Row],[Total]]&lt;&gt; 0, NOT(ISBLANK(SamplingData[[#This Row],[Candidate 4]]))),(SamplingData[[#This Row],[Total]]+SamplingData[[#This Row],[Winning Candidate]]-SamplingData[[#This Row],[Candidate 4]])/(SamplingData[[#Totals],[Winning Candidate]]-SamplingData[[#Totals],[Candidate 4]]), 0)</f>
        <v>0</v>
      </c>
      <c r="T455" s="99">
        <f>IF(AND(SamplingData[[#This Row],[Total]]&lt;&gt; 0, NOT(ISBLANK(SamplingData[[#This Row],[Candidate 5]]))),(SamplingData[[#This Row],[Total]]+SamplingData[[#This Row],[Winning Candidate]]-SamplingData[[#This Row],[Candidate 5]])/(SamplingData[[#Totals],[Winning Candidate]]-SamplingData[[#Totals],[Candidate 5]]), 0)</f>
        <v>0</v>
      </c>
      <c r="U455" s="99">
        <f>IF(AND(SamplingData[[#This Row],[Total]]&lt;&gt; 0, NOT(ISBLANK(SamplingData[[#This Row],[Candidate 6]]))),(SamplingData[[#This Row],[Total]]+SamplingData[[#This Row],[Losing Candidate]]-SamplingData[[#This Row],[Candidate 6]])/(SamplingData[[#Totals],[Winning Candidate]]-SamplingData[[#Totals],[Candidate 6]]), 0)</f>
        <v>0</v>
      </c>
      <c r="V455" s="99">
        <f>IF(AND(SamplingData[[#This Row],[Total]]&lt;&gt; 0, NOT(ISBLANK(SamplingData[[#This Row],[Candidate 7]]))),(SamplingData[[#This Row],[Total]]+SamplingData[[#This Row],[Winning Candidate]]-SamplingData[[#This Row],[Candidate 7]])/(SamplingData[[#Totals],[Winning Candidate]]-SamplingData[[#Totals],[Candidate 7]]), 0)</f>
        <v>0</v>
      </c>
      <c r="W455" s="99">
        <f>IF(AND(SamplingData[[#This Row],[Total]]&lt;&gt; 0, NOT(ISBLANK(SamplingData[[#This Row],[Candidate 8]]))),(SamplingData[[#This Row],[Total]]+SamplingData[[#This Row],[Winning Candidate]]-SamplingData[[#This Row],[Candidate 8]])/(SamplingData[[#Totals],[Winning Candidate]]-SamplingData[[#Totals],[Candidate 8]]), 0)</f>
        <v>0</v>
      </c>
      <c r="X4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5" s="99">
        <f>MAX(SamplingData[[#This Row],[Error Bound (up) - Max. possible relative overstatement - Losing Candidate]:[Error Bound (up) - Max. possible relative overstatement - Candidate 12]])</f>
        <v>1.2985910711254456E-2</v>
      </c>
      <c r="AC455" s="99">
        <f>IF(SamplingData[[#This Row],[Max Error Bound (up)]] = 0,0,SamplingData[[#This Row],[Max Error Bound (up)]]/SamplingData[[#Totals],[Max Error Bound (up)]])</f>
        <v>6.9527756571054731E-4</v>
      </c>
      <c r="AD455" s="103">
        <f>SUM($AC$5:AC455)</f>
        <v>0.37940569673174146</v>
      </c>
      <c r="AE455" s="99" t="str" cm="1">
        <f t="array" ref="AE455">IF(SamplingData[[#This Row],[up/U Selection Probability]] = 0, "Zero", TEXT(SamplingData[[#This Row],[Lower Range]], REPT("0",LEN('General Info'!$B$42))) &amp; " - " &amp; TEXT(SamplingData[[#This Row],[Upper Range]], REPT("0",LEN('General Info'!$B$42))))</f>
        <v>378710 - 379405</v>
      </c>
      <c r="AF455" s="99">
        <f>SamplingData[[#This Row],[Upper Range]]-SamplingData[[#This Row],[Span]]</f>
        <v>378710.41916603094</v>
      </c>
      <c r="AG455" s="99">
        <f>IF(ISNUMBER('General Info'!$B$42), ((SamplingData[[#This Row],[up/U Selection Probability]]) * 'General Info'!$B$44) - 1, 0)</f>
        <v>694.27756571054726</v>
      </c>
      <c r="AH455" s="99">
        <f>IF(ISNUMBER('General Info'!$B$42), (SamplingData[[#This Row],[Running (cumulative) sum]] * ('General Info'!$B$42 -'General Info'!$B$43 + 1)) + 'General Info'!$B$43 - 1, 0)</f>
        <v>379404.69673174148</v>
      </c>
      <c r="AI455" s="99" t="str">
        <f>IF(ISERROR(MATCH(SamplingData[[#This Row],[Batch by Type (p)]],SelectedPrecincts[Batch Name], 0)), "", INDEX(SelectedPrecincts[Draw], MATCH(SamplingData[[#This Row],[Batch by Type (p)]],SelectedPrecincts[Batch Name], 0)))</f>
        <v/>
      </c>
      <c r="AJ455" s="100">
        <f>IF(COUNTIF(SelectedPrecincts[Batch Name],SamplingData[[#This Row],[Batch by Type (p)]]) &lt;&gt; 0, COUNTIF(SelectedPrecincts[Batch Name],SamplingData[[#This Row],[Batch by Type (p)]]), 0)</f>
        <v>0</v>
      </c>
    </row>
    <row r="456" spans="1:36" ht="15" customHeight="1" x14ac:dyDescent="0.35">
      <c r="A456" s="97" t="s">
        <v>669</v>
      </c>
      <c r="B456" s="97">
        <v>101</v>
      </c>
      <c r="C456" s="97">
        <v>184</v>
      </c>
      <c r="D456" s="92"/>
      <c r="E456" s="92"/>
      <c r="F456" s="92"/>
      <c r="G456" s="96"/>
      <c r="H456" s="96"/>
      <c r="I456" s="92"/>
      <c r="J456" s="92"/>
      <c r="K456" s="92"/>
      <c r="L456" s="92"/>
      <c r="M456" s="92"/>
      <c r="N456" s="97">
        <v>0</v>
      </c>
      <c r="O456" s="97">
        <v>11</v>
      </c>
      <c r="P456" s="98">
        <f>SUM(SamplingData[[#This Row],[Winning Candidate]:[Under Votes]])</f>
        <v>296</v>
      </c>
      <c r="Q456" s="99">
        <f>IF(AND(SamplingData[[#This Row],[Total]]&lt;&gt; 0, NOT(ISBLANK(SamplingData[[#This Row],[Losing Candidate]]))),(SamplingData[[#This Row],[Total]]+SamplingData[[#This Row],[Winning Candidate]]-SamplingData[[#This Row],[Losing Candidate]])/(SamplingData[[#Totals],[Winning Candidate]]-SamplingData[[#Totals],[Losing Candidate]]), 0)</f>
        <v>9.0392123578339843E-3</v>
      </c>
      <c r="R456" s="99">
        <f>IF(AND(SamplingData[[#This Row],[Total]]&lt;&gt; 0, NOT(ISBLANK(SamplingData[[#This Row],[Candidate 3]]))),(SamplingData[[#This Row],[Total]]+SamplingData[[#This Row],[Winning Candidate]]-SamplingData[[#This Row],[Candidate 3]])/(SamplingData[[#Totals],[Winning Candidate]]-SamplingData[[#Totals],[Candidate 3]]), 0)</f>
        <v>0</v>
      </c>
      <c r="S456" s="99">
        <f>IF(AND(SamplingData[[#This Row],[Total]]&lt;&gt; 0, NOT(ISBLANK(SamplingData[[#This Row],[Candidate 4]]))),(SamplingData[[#This Row],[Total]]+SamplingData[[#This Row],[Winning Candidate]]-SamplingData[[#This Row],[Candidate 4]])/(SamplingData[[#Totals],[Winning Candidate]]-SamplingData[[#Totals],[Candidate 4]]), 0)</f>
        <v>0</v>
      </c>
      <c r="T456" s="99">
        <f>IF(AND(SamplingData[[#This Row],[Total]]&lt;&gt; 0, NOT(ISBLANK(SamplingData[[#This Row],[Candidate 5]]))),(SamplingData[[#This Row],[Total]]+SamplingData[[#This Row],[Winning Candidate]]-SamplingData[[#This Row],[Candidate 5]])/(SamplingData[[#Totals],[Winning Candidate]]-SamplingData[[#Totals],[Candidate 5]]), 0)</f>
        <v>0</v>
      </c>
      <c r="U456" s="99">
        <f>IF(AND(SamplingData[[#This Row],[Total]]&lt;&gt; 0, NOT(ISBLANK(SamplingData[[#This Row],[Candidate 6]]))),(SamplingData[[#This Row],[Total]]+SamplingData[[#This Row],[Losing Candidate]]-SamplingData[[#This Row],[Candidate 6]])/(SamplingData[[#Totals],[Winning Candidate]]-SamplingData[[#Totals],[Candidate 6]]), 0)</f>
        <v>0</v>
      </c>
      <c r="V456" s="99">
        <f>IF(AND(SamplingData[[#This Row],[Total]]&lt;&gt; 0, NOT(ISBLANK(SamplingData[[#This Row],[Candidate 7]]))),(SamplingData[[#This Row],[Total]]+SamplingData[[#This Row],[Winning Candidate]]-SamplingData[[#This Row],[Candidate 7]])/(SamplingData[[#Totals],[Winning Candidate]]-SamplingData[[#Totals],[Candidate 7]]), 0)</f>
        <v>0</v>
      </c>
      <c r="W456" s="99">
        <f>IF(AND(SamplingData[[#This Row],[Total]]&lt;&gt; 0, NOT(ISBLANK(SamplingData[[#This Row],[Candidate 8]]))),(SamplingData[[#This Row],[Total]]+SamplingData[[#This Row],[Winning Candidate]]-SamplingData[[#This Row],[Candidate 8]])/(SamplingData[[#Totals],[Winning Candidate]]-SamplingData[[#Totals],[Candidate 8]]), 0)</f>
        <v>0</v>
      </c>
      <c r="X4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6" s="99">
        <f>MAX(SamplingData[[#This Row],[Error Bound (up) - Max. possible relative overstatement - Losing Candidate]:[Error Bound (up) - Max. possible relative overstatement - Candidate 12]])</f>
        <v>9.0392123578339843E-3</v>
      </c>
      <c r="AC456" s="99">
        <f>IF(SamplingData[[#This Row],[Max Error Bound (up)]] = 0,0,SamplingData[[#This Row],[Max Error Bound (up)]]/SamplingData[[#Totals],[Max Error Bound (up)]])</f>
        <v>4.8396771730832214E-4</v>
      </c>
      <c r="AD456" s="103">
        <f>SUM($AC$5:AC456)</f>
        <v>0.37988966444904976</v>
      </c>
      <c r="AE456" s="99" t="str" cm="1">
        <f t="array" ref="AE456">IF(SamplingData[[#This Row],[up/U Selection Probability]] = 0, "Zero", TEXT(SamplingData[[#This Row],[Lower Range]], REPT("0",LEN('General Info'!$B$42))) &amp; " - " &amp; TEXT(SamplingData[[#This Row],[Upper Range]], REPT("0",LEN('General Info'!$B$42))))</f>
        <v>379406 - 379889</v>
      </c>
      <c r="AF456" s="99">
        <f>SamplingData[[#This Row],[Upper Range]]-SamplingData[[#This Row],[Span]]</f>
        <v>379405.69673174142</v>
      </c>
      <c r="AG456" s="99">
        <f>IF(ISNUMBER('General Info'!$B$42), ((SamplingData[[#This Row],[up/U Selection Probability]]) * 'General Info'!$B$44) - 1, 0)</f>
        <v>482.96771730832216</v>
      </c>
      <c r="AH456" s="99">
        <f>IF(ISNUMBER('General Info'!$B$42), (SamplingData[[#This Row],[Running (cumulative) sum]] * ('General Info'!$B$42 -'General Info'!$B$43 + 1)) + 'General Info'!$B$43 - 1, 0)</f>
        <v>379888.66444904974</v>
      </c>
      <c r="AI456" s="99" t="str">
        <f>IF(ISERROR(MATCH(SamplingData[[#This Row],[Batch by Type (p)]],SelectedPrecincts[Batch Name], 0)), "", INDEX(SelectedPrecincts[Draw], MATCH(SamplingData[[#This Row],[Batch by Type (p)]],SelectedPrecincts[Batch Name], 0)))</f>
        <v/>
      </c>
      <c r="AJ456" s="100">
        <f>IF(COUNTIF(SelectedPrecincts[Batch Name],SamplingData[[#This Row],[Batch by Type (p)]]) &lt;&gt; 0, COUNTIF(SelectedPrecincts[Batch Name],SamplingData[[#This Row],[Batch by Type (p)]]), 0)</f>
        <v>0</v>
      </c>
    </row>
    <row r="457" spans="1:36" ht="15" customHeight="1" x14ac:dyDescent="0.35">
      <c r="A457" s="97" t="s">
        <v>670</v>
      </c>
      <c r="B457" s="97">
        <v>90</v>
      </c>
      <c r="C457" s="97">
        <v>165</v>
      </c>
      <c r="D457" s="92"/>
      <c r="E457" s="92"/>
      <c r="F457" s="92"/>
      <c r="G457" s="96"/>
      <c r="H457" s="96"/>
      <c r="I457" s="92"/>
      <c r="J457" s="92"/>
      <c r="K457" s="92"/>
      <c r="L457" s="92"/>
      <c r="M457" s="92"/>
      <c r="N457" s="97">
        <v>0</v>
      </c>
      <c r="O457" s="97">
        <v>13</v>
      </c>
      <c r="P457" s="98">
        <f>SUM(SamplingData[[#This Row],[Winning Candidate]:[Under Votes]])</f>
        <v>268</v>
      </c>
      <c r="Q457" s="99">
        <f>IF(AND(SamplingData[[#This Row],[Total]]&lt;&gt; 0, NOT(ISBLANK(SamplingData[[#This Row],[Losing Candidate]]))),(SamplingData[[#This Row],[Total]]+SamplingData[[#This Row],[Winning Candidate]]-SamplingData[[#This Row],[Losing Candidate]])/(SamplingData[[#Totals],[Winning Candidate]]-SamplingData[[#Totals],[Losing Candidate]]), 0)</f>
        <v>8.1904600237650647E-3</v>
      </c>
      <c r="R457" s="99">
        <f>IF(AND(SamplingData[[#This Row],[Total]]&lt;&gt; 0, NOT(ISBLANK(SamplingData[[#This Row],[Candidate 3]]))),(SamplingData[[#This Row],[Total]]+SamplingData[[#This Row],[Winning Candidate]]-SamplingData[[#This Row],[Candidate 3]])/(SamplingData[[#Totals],[Winning Candidate]]-SamplingData[[#Totals],[Candidate 3]]), 0)</f>
        <v>0</v>
      </c>
      <c r="S457" s="99">
        <f>IF(AND(SamplingData[[#This Row],[Total]]&lt;&gt; 0, NOT(ISBLANK(SamplingData[[#This Row],[Candidate 4]]))),(SamplingData[[#This Row],[Total]]+SamplingData[[#This Row],[Winning Candidate]]-SamplingData[[#This Row],[Candidate 4]])/(SamplingData[[#Totals],[Winning Candidate]]-SamplingData[[#Totals],[Candidate 4]]), 0)</f>
        <v>0</v>
      </c>
      <c r="T457" s="99">
        <f>IF(AND(SamplingData[[#This Row],[Total]]&lt;&gt; 0, NOT(ISBLANK(SamplingData[[#This Row],[Candidate 5]]))),(SamplingData[[#This Row],[Total]]+SamplingData[[#This Row],[Winning Candidate]]-SamplingData[[#This Row],[Candidate 5]])/(SamplingData[[#Totals],[Winning Candidate]]-SamplingData[[#Totals],[Candidate 5]]), 0)</f>
        <v>0</v>
      </c>
      <c r="U457" s="99">
        <f>IF(AND(SamplingData[[#This Row],[Total]]&lt;&gt; 0, NOT(ISBLANK(SamplingData[[#This Row],[Candidate 6]]))),(SamplingData[[#This Row],[Total]]+SamplingData[[#This Row],[Losing Candidate]]-SamplingData[[#This Row],[Candidate 6]])/(SamplingData[[#Totals],[Winning Candidate]]-SamplingData[[#Totals],[Candidate 6]]), 0)</f>
        <v>0</v>
      </c>
      <c r="V457" s="99">
        <f>IF(AND(SamplingData[[#This Row],[Total]]&lt;&gt; 0, NOT(ISBLANK(SamplingData[[#This Row],[Candidate 7]]))),(SamplingData[[#This Row],[Total]]+SamplingData[[#This Row],[Winning Candidate]]-SamplingData[[#This Row],[Candidate 7]])/(SamplingData[[#Totals],[Winning Candidate]]-SamplingData[[#Totals],[Candidate 7]]), 0)</f>
        <v>0</v>
      </c>
      <c r="W457" s="99">
        <f>IF(AND(SamplingData[[#This Row],[Total]]&lt;&gt; 0, NOT(ISBLANK(SamplingData[[#This Row],[Candidate 8]]))),(SamplingData[[#This Row],[Total]]+SamplingData[[#This Row],[Winning Candidate]]-SamplingData[[#This Row],[Candidate 8]])/(SamplingData[[#Totals],[Winning Candidate]]-SamplingData[[#Totals],[Candidate 8]]), 0)</f>
        <v>0</v>
      </c>
      <c r="X4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7" s="99">
        <f>MAX(SamplingData[[#This Row],[Error Bound (up) - Max. possible relative overstatement - Losing Candidate]:[Error Bound (up) - Max. possible relative overstatement - Candidate 12]])</f>
        <v>8.1904600237650647E-3</v>
      </c>
      <c r="AC457" s="99">
        <f>IF(SamplingData[[#This Row],[Max Error Bound (up)]] = 0,0,SamplingData[[#This Row],[Max Error Bound (up)]]/SamplingData[[#Totals],[Max Error Bound (up)]])</f>
        <v>4.3852473915730592E-4</v>
      </c>
      <c r="AD457" s="103">
        <f>SUM($AC$5:AC457)</f>
        <v>0.38032818918820704</v>
      </c>
      <c r="AE457" s="99" t="str" cm="1">
        <f t="array" ref="AE457">IF(SamplingData[[#This Row],[up/U Selection Probability]] = 0, "Zero", TEXT(SamplingData[[#This Row],[Lower Range]], REPT("0",LEN('General Info'!$B$42))) &amp; " - " &amp; TEXT(SamplingData[[#This Row],[Upper Range]], REPT("0",LEN('General Info'!$B$42))))</f>
        <v>379890 - 380327</v>
      </c>
      <c r="AF457" s="99">
        <f>SamplingData[[#This Row],[Upper Range]]-SamplingData[[#This Row],[Span]]</f>
        <v>379889.66444904974</v>
      </c>
      <c r="AG457" s="99">
        <f>IF(ISNUMBER('General Info'!$B$42), ((SamplingData[[#This Row],[up/U Selection Probability]]) * 'General Info'!$B$44) - 1, 0)</f>
        <v>437.52473915730593</v>
      </c>
      <c r="AH457" s="99">
        <f>IF(ISNUMBER('General Info'!$B$42), (SamplingData[[#This Row],[Running (cumulative) sum]] * ('General Info'!$B$42 -'General Info'!$B$43 + 1)) + 'General Info'!$B$43 - 1, 0)</f>
        <v>380327.18918820703</v>
      </c>
      <c r="AI457" s="99" t="str">
        <f>IF(ISERROR(MATCH(SamplingData[[#This Row],[Batch by Type (p)]],SelectedPrecincts[Batch Name], 0)), "", INDEX(SelectedPrecincts[Draw], MATCH(SamplingData[[#This Row],[Batch by Type (p)]],SelectedPrecincts[Batch Name], 0)))</f>
        <v/>
      </c>
      <c r="AJ457" s="100">
        <f>IF(COUNTIF(SelectedPrecincts[Batch Name],SamplingData[[#This Row],[Batch by Type (p)]]) &lt;&gt; 0, COUNTIF(SelectedPrecincts[Batch Name],SamplingData[[#This Row],[Batch by Type (p)]]), 0)</f>
        <v>0</v>
      </c>
    </row>
    <row r="458" spans="1:36" ht="15" customHeight="1" x14ac:dyDescent="0.35">
      <c r="A458" s="97" t="s">
        <v>671</v>
      </c>
      <c r="B458" s="97">
        <v>102</v>
      </c>
      <c r="C458" s="97">
        <v>207</v>
      </c>
      <c r="D458" s="92"/>
      <c r="E458" s="92"/>
      <c r="F458" s="92"/>
      <c r="G458" s="96"/>
      <c r="H458" s="96"/>
      <c r="I458" s="92"/>
      <c r="J458" s="92"/>
      <c r="K458" s="92"/>
      <c r="L458" s="92"/>
      <c r="M458" s="92"/>
      <c r="N458" s="97">
        <v>0</v>
      </c>
      <c r="O458" s="97">
        <v>14</v>
      </c>
      <c r="P458" s="98">
        <f>SUM(SamplingData[[#This Row],[Winning Candidate]:[Under Votes]])</f>
        <v>323</v>
      </c>
      <c r="Q458" s="99">
        <f>IF(AND(SamplingData[[#This Row],[Total]]&lt;&gt; 0, NOT(ISBLANK(SamplingData[[#This Row],[Losing Candidate]]))),(SamplingData[[#This Row],[Total]]+SamplingData[[#This Row],[Winning Candidate]]-SamplingData[[#This Row],[Losing Candidate]])/(SamplingData[[#Totals],[Winning Candidate]]-SamplingData[[#Totals],[Losing Candidate]]), 0)</f>
        <v>9.2514004413512142E-3</v>
      </c>
      <c r="R458" s="99">
        <f>IF(AND(SamplingData[[#This Row],[Total]]&lt;&gt; 0, NOT(ISBLANK(SamplingData[[#This Row],[Candidate 3]]))),(SamplingData[[#This Row],[Total]]+SamplingData[[#This Row],[Winning Candidate]]-SamplingData[[#This Row],[Candidate 3]])/(SamplingData[[#Totals],[Winning Candidate]]-SamplingData[[#Totals],[Candidate 3]]), 0)</f>
        <v>0</v>
      </c>
      <c r="S458" s="99">
        <f>IF(AND(SamplingData[[#This Row],[Total]]&lt;&gt; 0, NOT(ISBLANK(SamplingData[[#This Row],[Candidate 4]]))),(SamplingData[[#This Row],[Total]]+SamplingData[[#This Row],[Winning Candidate]]-SamplingData[[#This Row],[Candidate 4]])/(SamplingData[[#Totals],[Winning Candidate]]-SamplingData[[#Totals],[Candidate 4]]), 0)</f>
        <v>0</v>
      </c>
      <c r="T458" s="99">
        <f>IF(AND(SamplingData[[#This Row],[Total]]&lt;&gt; 0, NOT(ISBLANK(SamplingData[[#This Row],[Candidate 5]]))),(SamplingData[[#This Row],[Total]]+SamplingData[[#This Row],[Winning Candidate]]-SamplingData[[#This Row],[Candidate 5]])/(SamplingData[[#Totals],[Winning Candidate]]-SamplingData[[#Totals],[Candidate 5]]), 0)</f>
        <v>0</v>
      </c>
      <c r="U458" s="99">
        <f>IF(AND(SamplingData[[#This Row],[Total]]&lt;&gt; 0, NOT(ISBLANK(SamplingData[[#This Row],[Candidate 6]]))),(SamplingData[[#This Row],[Total]]+SamplingData[[#This Row],[Losing Candidate]]-SamplingData[[#This Row],[Candidate 6]])/(SamplingData[[#Totals],[Winning Candidate]]-SamplingData[[#Totals],[Candidate 6]]), 0)</f>
        <v>0</v>
      </c>
      <c r="V458" s="99">
        <f>IF(AND(SamplingData[[#This Row],[Total]]&lt;&gt; 0, NOT(ISBLANK(SamplingData[[#This Row],[Candidate 7]]))),(SamplingData[[#This Row],[Total]]+SamplingData[[#This Row],[Winning Candidate]]-SamplingData[[#This Row],[Candidate 7]])/(SamplingData[[#Totals],[Winning Candidate]]-SamplingData[[#Totals],[Candidate 7]]), 0)</f>
        <v>0</v>
      </c>
      <c r="W458" s="99">
        <f>IF(AND(SamplingData[[#This Row],[Total]]&lt;&gt; 0, NOT(ISBLANK(SamplingData[[#This Row],[Candidate 8]]))),(SamplingData[[#This Row],[Total]]+SamplingData[[#This Row],[Winning Candidate]]-SamplingData[[#This Row],[Candidate 8]])/(SamplingData[[#Totals],[Winning Candidate]]-SamplingData[[#Totals],[Candidate 8]]), 0)</f>
        <v>0</v>
      </c>
      <c r="X4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8" s="99">
        <f>MAX(SamplingData[[#This Row],[Error Bound (up) - Max. possible relative overstatement - Losing Candidate]:[Error Bound (up) - Max. possible relative overstatement - Candidate 12]])</f>
        <v>9.2514004413512142E-3</v>
      </c>
      <c r="AC458" s="99">
        <f>IF(SamplingData[[#This Row],[Max Error Bound (up)]] = 0,0,SamplingData[[#This Row],[Max Error Bound (up)]]/SamplingData[[#Totals],[Max Error Bound (up)]])</f>
        <v>4.9532846184607621E-4</v>
      </c>
      <c r="AD458" s="103">
        <f>SUM($AC$5:AC458)</f>
        <v>0.38082351765005312</v>
      </c>
      <c r="AE458" s="99" t="str" cm="1">
        <f t="array" ref="AE458">IF(SamplingData[[#This Row],[up/U Selection Probability]] = 0, "Zero", TEXT(SamplingData[[#This Row],[Lower Range]], REPT("0",LEN('General Info'!$B$42))) &amp; " - " &amp; TEXT(SamplingData[[#This Row],[Upper Range]], REPT("0",LEN('General Info'!$B$42))))</f>
        <v>380328 - 380823</v>
      </c>
      <c r="AF458" s="99">
        <f>SamplingData[[#This Row],[Upper Range]]-SamplingData[[#This Row],[Span]]</f>
        <v>380328.18918820703</v>
      </c>
      <c r="AG458" s="99">
        <f>IF(ISNUMBER('General Info'!$B$42), ((SamplingData[[#This Row],[up/U Selection Probability]]) * 'General Info'!$B$44) - 1, 0)</f>
        <v>494.32846184607621</v>
      </c>
      <c r="AH458" s="99">
        <f>IF(ISNUMBER('General Info'!$B$42), (SamplingData[[#This Row],[Running (cumulative) sum]] * ('General Info'!$B$42 -'General Info'!$B$43 + 1)) + 'General Info'!$B$43 - 1, 0)</f>
        <v>380822.51765005314</v>
      </c>
      <c r="AI458" s="99" t="str">
        <f>IF(ISERROR(MATCH(SamplingData[[#This Row],[Batch by Type (p)]],SelectedPrecincts[Batch Name], 0)), "", INDEX(SelectedPrecincts[Draw], MATCH(SamplingData[[#This Row],[Batch by Type (p)]],SelectedPrecincts[Batch Name], 0)))</f>
        <v/>
      </c>
      <c r="AJ458" s="100">
        <f>IF(COUNTIF(SelectedPrecincts[Batch Name],SamplingData[[#This Row],[Batch by Type (p)]]) &lt;&gt; 0, COUNTIF(SelectedPrecincts[Batch Name],SamplingData[[#This Row],[Batch by Type (p)]]), 0)</f>
        <v>0</v>
      </c>
    </row>
    <row r="459" spans="1:36" ht="15" customHeight="1" x14ac:dyDescent="0.35">
      <c r="A459" s="97" t="s">
        <v>672</v>
      </c>
      <c r="B459" s="97">
        <v>111</v>
      </c>
      <c r="C459" s="97">
        <v>262</v>
      </c>
      <c r="D459" s="92"/>
      <c r="E459" s="92"/>
      <c r="F459" s="92"/>
      <c r="G459" s="96"/>
      <c r="H459" s="96"/>
      <c r="I459" s="92"/>
      <c r="J459" s="92"/>
      <c r="K459" s="92"/>
      <c r="L459" s="92"/>
      <c r="M459" s="92"/>
      <c r="N459" s="97">
        <v>0</v>
      </c>
      <c r="O459" s="97">
        <v>20</v>
      </c>
      <c r="P459" s="98">
        <f>SUM(SamplingData[[#This Row],[Winning Candidate]:[Under Votes]])</f>
        <v>393</v>
      </c>
      <c r="Q459" s="99">
        <f>IF(AND(SamplingData[[#This Row],[Total]]&lt;&gt; 0, NOT(ISBLANK(SamplingData[[#This Row],[Losing Candidate]]))),(SamplingData[[#This Row],[Total]]+SamplingData[[#This Row],[Winning Candidate]]-SamplingData[[#This Row],[Losing Candidate]])/(SamplingData[[#Totals],[Winning Candidate]]-SamplingData[[#Totals],[Losing Candidate]]), 0)</f>
        <v>1.0269903242233916E-2</v>
      </c>
      <c r="R459" s="99">
        <f>IF(AND(SamplingData[[#This Row],[Total]]&lt;&gt; 0, NOT(ISBLANK(SamplingData[[#This Row],[Candidate 3]]))),(SamplingData[[#This Row],[Total]]+SamplingData[[#This Row],[Winning Candidate]]-SamplingData[[#This Row],[Candidate 3]])/(SamplingData[[#Totals],[Winning Candidate]]-SamplingData[[#Totals],[Candidate 3]]), 0)</f>
        <v>0</v>
      </c>
      <c r="S459" s="99">
        <f>IF(AND(SamplingData[[#This Row],[Total]]&lt;&gt; 0, NOT(ISBLANK(SamplingData[[#This Row],[Candidate 4]]))),(SamplingData[[#This Row],[Total]]+SamplingData[[#This Row],[Winning Candidate]]-SamplingData[[#This Row],[Candidate 4]])/(SamplingData[[#Totals],[Winning Candidate]]-SamplingData[[#Totals],[Candidate 4]]), 0)</f>
        <v>0</v>
      </c>
      <c r="T459" s="99">
        <f>IF(AND(SamplingData[[#This Row],[Total]]&lt;&gt; 0, NOT(ISBLANK(SamplingData[[#This Row],[Candidate 5]]))),(SamplingData[[#This Row],[Total]]+SamplingData[[#This Row],[Winning Candidate]]-SamplingData[[#This Row],[Candidate 5]])/(SamplingData[[#Totals],[Winning Candidate]]-SamplingData[[#Totals],[Candidate 5]]), 0)</f>
        <v>0</v>
      </c>
      <c r="U459" s="99">
        <f>IF(AND(SamplingData[[#This Row],[Total]]&lt;&gt; 0, NOT(ISBLANK(SamplingData[[#This Row],[Candidate 6]]))),(SamplingData[[#This Row],[Total]]+SamplingData[[#This Row],[Losing Candidate]]-SamplingData[[#This Row],[Candidate 6]])/(SamplingData[[#Totals],[Winning Candidate]]-SamplingData[[#Totals],[Candidate 6]]), 0)</f>
        <v>0</v>
      </c>
      <c r="V459" s="99">
        <f>IF(AND(SamplingData[[#This Row],[Total]]&lt;&gt; 0, NOT(ISBLANK(SamplingData[[#This Row],[Candidate 7]]))),(SamplingData[[#This Row],[Total]]+SamplingData[[#This Row],[Winning Candidate]]-SamplingData[[#This Row],[Candidate 7]])/(SamplingData[[#Totals],[Winning Candidate]]-SamplingData[[#Totals],[Candidate 7]]), 0)</f>
        <v>0</v>
      </c>
      <c r="W459" s="99">
        <f>IF(AND(SamplingData[[#This Row],[Total]]&lt;&gt; 0, NOT(ISBLANK(SamplingData[[#This Row],[Candidate 8]]))),(SamplingData[[#This Row],[Total]]+SamplingData[[#This Row],[Winning Candidate]]-SamplingData[[#This Row],[Candidate 8]])/(SamplingData[[#Totals],[Winning Candidate]]-SamplingData[[#Totals],[Candidate 8]]), 0)</f>
        <v>0</v>
      </c>
      <c r="X4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9" s="99">
        <f>MAX(SamplingData[[#This Row],[Error Bound (up) - Max. possible relative overstatement - Losing Candidate]:[Error Bound (up) - Max. possible relative overstatement - Candidate 12]])</f>
        <v>1.0269903242233916E-2</v>
      </c>
      <c r="AC459" s="99">
        <f>IF(SamplingData[[#This Row],[Max Error Bound (up)]] = 0,0,SamplingData[[#This Row],[Max Error Bound (up)]]/SamplingData[[#Totals],[Max Error Bound (up)]])</f>
        <v>5.4986003562729549E-4</v>
      </c>
      <c r="AD459" s="103">
        <f>SUM($AC$5:AC459)</f>
        <v>0.38137337768568041</v>
      </c>
      <c r="AE459" s="99" t="str" cm="1">
        <f t="array" ref="AE459">IF(SamplingData[[#This Row],[up/U Selection Probability]] = 0, "Zero", TEXT(SamplingData[[#This Row],[Lower Range]], REPT("0",LEN('General Info'!$B$42))) &amp; " - " &amp; TEXT(SamplingData[[#This Row],[Upper Range]], REPT("0",LEN('General Info'!$B$42))))</f>
        <v>380824 - 381372</v>
      </c>
      <c r="AF459" s="99">
        <f>SamplingData[[#This Row],[Upper Range]]-SamplingData[[#This Row],[Span]]</f>
        <v>380823.51765005308</v>
      </c>
      <c r="AG459" s="99">
        <f>IF(ISNUMBER('General Info'!$B$42), ((SamplingData[[#This Row],[up/U Selection Probability]]) * 'General Info'!$B$44) - 1, 0)</f>
        <v>548.86003562729547</v>
      </c>
      <c r="AH459" s="99">
        <f>IF(ISNUMBER('General Info'!$B$42), (SamplingData[[#This Row],[Running (cumulative) sum]] * ('General Info'!$B$42 -'General Info'!$B$43 + 1)) + 'General Info'!$B$43 - 1, 0)</f>
        <v>381372.3776856804</v>
      </c>
      <c r="AI459" s="99" t="str">
        <f>IF(ISERROR(MATCH(SamplingData[[#This Row],[Batch by Type (p)]],SelectedPrecincts[Batch Name], 0)), "", INDEX(SelectedPrecincts[Draw], MATCH(SamplingData[[#This Row],[Batch by Type (p)]],SelectedPrecincts[Batch Name], 0)))</f>
        <v/>
      </c>
      <c r="AJ459" s="100">
        <f>IF(COUNTIF(SelectedPrecincts[Batch Name],SamplingData[[#This Row],[Batch by Type (p)]]) &lt;&gt; 0, COUNTIF(SelectedPrecincts[Batch Name],SamplingData[[#This Row],[Batch by Type (p)]]), 0)</f>
        <v>0</v>
      </c>
    </row>
    <row r="460" spans="1:36" ht="15" customHeight="1" x14ac:dyDescent="0.35">
      <c r="A460" s="97" t="s">
        <v>673</v>
      </c>
      <c r="B460" s="97">
        <v>116</v>
      </c>
      <c r="C460" s="97">
        <v>166</v>
      </c>
      <c r="D460" s="92"/>
      <c r="E460" s="92"/>
      <c r="F460" s="92"/>
      <c r="G460" s="96"/>
      <c r="H460" s="96"/>
      <c r="I460" s="92"/>
      <c r="J460" s="92"/>
      <c r="K460" s="92"/>
      <c r="L460" s="92"/>
      <c r="M460" s="92"/>
      <c r="N460" s="97">
        <v>1</v>
      </c>
      <c r="O460" s="97">
        <v>19</v>
      </c>
      <c r="P460" s="98">
        <f>SUM(SamplingData[[#This Row],[Winning Candidate]:[Under Votes]])</f>
        <v>302</v>
      </c>
      <c r="Q460" s="99">
        <f>IF(AND(SamplingData[[#This Row],[Total]]&lt;&gt; 0, NOT(ISBLANK(SamplingData[[#This Row],[Losing Candidate]]))),(SamplingData[[#This Row],[Total]]+SamplingData[[#This Row],[Winning Candidate]]-SamplingData[[#This Row],[Losing Candidate]])/(SamplingData[[#Totals],[Winning Candidate]]-SamplingData[[#Totals],[Losing Candidate]]), 0)</f>
        <v>1.0694279409268375E-2</v>
      </c>
      <c r="R460" s="99">
        <f>IF(AND(SamplingData[[#This Row],[Total]]&lt;&gt; 0, NOT(ISBLANK(SamplingData[[#This Row],[Candidate 3]]))),(SamplingData[[#This Row],[Total]]+SamplingData[[#This Row],[Winning Candidate]]-SamplingData[[#This Row],[Candidate 3]])/(SamplingData[[#Totals],[Winning Candidate]]-SamplingData[[#Totals],[Candidate 3]]), 0)</f>
        <v>0</v>
      </c>
      <c r="S460" s="99">
        <f>IF(AND(SamplingData[[#This Row],[Total]]&lt;&gt; 0, NOT(ISBLANK(SamplingData[[#This Row],[Candidate 4]]))),(SamplingData[[#This Row],[Total]]+SamplingData[[#This Row],[Winning Candidate]]-SamplingData[[#This Row],[Candidate 4]])/(SamplingData[[#Totals],[Winning Candidate]]-SamplingData[[#Totals],[Candidate 4]]), 0)</f>
        <v>0</v>
      </c>
      <c r="T460" s="99">
        <f>IF(AND(SamplingData[[#This Row],[Total]]&lt;&gt; 0, NOT(ISBLANK(SamplingData[[#This Row],[Candidate 5]]))),(SamplingData[[#This Row],[Total]]+SamplingData[[#This Row],[Winning Candidate]]-SamplingData[[#This Row],[Candidate 5]])/(SamplingData[[#Totals],[Winning Candidate]]-SamplingData[[#Totals],[Candidate 5]]), 0)</f>
        <v>0</v>
      </c>
      <c r="U460" s="99">
        <f>IF(AND(SamplingData[[#This Row],[Total]]&lt;&gt; 0, NOT(ISBLANK(SamplingData[[#This Row],[Candidate 6]]))),(SamplingData[[#This Row],[Total]]+SamplingData[[#This Row],[Losing Candidate]]-SamplingData[[#This Row],[Candidate 6]])/(SamplingData[[#Totals],[Winning Candidate]]-SamplingData[[#Totals],[Candidate 6]]), 0)</f>
        <v>0</v>
      </c>
      <c r="V460" s="99">
        <f>IF(AND(SamplingData[[#This Row],[Total]]&lt;&gt; 0, NOT(ISBLANK(SamplingData[[#This Row],[Candidate 7]]))),(SamplingData[[#This Row],[Total]]+SamplingData[[#This Row],[Winning Candidate]]-SamplingData[[#This Row],[Candidate 7]])/(SamplingData[[#Totals],[Winning Candidate]]-SamplingData[[#Totals],[Candidate 7]]), 0)</f>
        <v>0</v>
      </c>
      <c r="W460" s="99">
        <f>IF(AND(SamplingData[[#This Row],[Total]]&lt;&gt; 0, NOT(ISBLANK(SamplingData[[#This Row],[Candidate 8]]))),(SamplingData[[#This Row],[Total]]+SamplingData[[#This Row],[Winning Candidate]]-SamplingData[[#This Row],[Candidate 8]])/(SamplingData[[#Totals],[Winning Candidate]]-SamplingData[[#Totals],[Candidate 8]]), 0)</f>
        <v>0</v>
      </c>
      <c r="X4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0" s="99">
        <f>MAX(SamplingData[[#This Row],[Error Bound (up) - Max. possible relative overstatement - Losing Candidate]:[Error Bound (up) - Max. possible relative overstatement - Candidate 12]])</f>
        <v>1.0694279409268375E-2</v>
      </c>
      <c r="AC460" s="99">
        <f>IF(SamplingData[[#This Row],[Max Error Bound (up)]] = 0,0,SamplingData[[#This Row],[Max Error Bound (up)]]/SamplingData[[#Totals],[Max Error Bound (up)]])</f>
        <v>5.7258152470280362E-4</v>
      </c>
      <c r="AD460" s="103">
        <f>SUM($AC$5:AC460)</f>
        <v>0.38194595921038321</v>
      </c>
      <c r="AE460" s="99" t="str" cm="1">
        <f t="array" ref="AE460">IF(SamplingData[[#This Row],[up/U Selection Probability]] = 0, "Zero", TEXT(SamplingData[[#This Row],[Lower Range]], REPT("0",LEN('General Info'!$B$42))) &amp; " - " &amp; TEXT(SamplingData[[#This Row],[Upper Range]], REPT("0",LEN('General Info'!$B$42))))</f>
        <v>381373 - 381945</v>
      </c>
      <c r="AF460" s="99">
        <f>SamplingData[[#This Row],[Upper Range]]-SamplingData[[#This Row],[Span]]</f>
        <v>381373.37768568046</v>
      </c>
      <c r="AG460" s="99">
        <f>IF(ISNUMBER('General Info'!$B$42), ((SamplingData[[#This Row],[up/U Selection Probability]]) * 'General Info'!$B$44) - 1, 0)</f>
        <v>571.58152470280368</v>
      </c>
      <c r="AH460" s="99">
        <f>IF(ISNUMBER('General Info'!$B$42), (SamplingData[[#This Row],[Running (cumulative) sum]] * ('General Info'!$B$42 -'General Info'!$B$43 + 1)) + 'General Info'!$B$43 - 1, 0)</f>
        <v>381944.95921038324</v>
      </c>
      <c r="AI460" s="99" t="str">
        <f>IF(ISERROR(MATCH(SamplingData[[#This Row],[Batch by Type (p)]],SelectedPrecincts[Batch Name], 0)), "", INDEX(SelectedPrecincts[Draw], MATCH(SamplingData[[#This Row],[Batch by Type (p)]],SelectedPrecincts[Batch Name], 0)))</f>
        <v/>
      </c>
      <c r="AJ460" s="100">
        <f>IF(COUNTIF(SelectedPrecincts[Batch Name],SamplingData[[#This Row],[Batch by Type (p)]]) &lt;&gt; 0, COUNTIF(SelectedPrecincts[Batch Name],SamplingData[[#This Row],[Batch by Type (p)]]), 0)</f>
        <v>0</v>
      </c>
    </row>
    <row r="461" spans="1:36" ht="15" customHeight="1" x14ac:dyDescent="0.35">
      <c r="A461" s="97" t="s">
        <v>674</v>
      </c>
      <c r="B461" s="97">
        <v>147</v>
      </c>
      <c r="C461" s="97">
        <v>172</v>
      </c>
      <c r="D461" s="92"/>
      <c r="E461" s="92"/>
      <c r="F461" s="92"/>
      <c r="G461" s="96"/>
      <c r="H461" s="96"/>
      <c r="I461" s="92"/>
      <c r="J461" s="92"/>
      <c r="K461" s="92"/>
      <c r="L461" s="92"/>
      <c r="M461" s="92"/>
      <c r="N461" s="97">
        <v>0</v>
      </c>
      <c r="O461" s="97">
        <v>20</v>
      </c>
      <c r="P461" s="98">
        <f>SUM(SamplingData[[#This Row],[Winning Candidate]:[Under Votes]])</f>
        <v>339</v>
      </c>
      <c r="Q461" s="99">
        <f>IF(AND(SamplingData[[#This Row],[Total]]&lt;&gt; 0, NOT(ISBLANK(SamplingData[[#This Row],[Losing Candidate]]))),(SamplingData[[#This Row],[Total]]+SamplingData[[#This Row],[Winning Candidate]]-SamplingData[[#This Row],[Losing Candidate]])/(SamplingData[[#Totals],[Winning Candidate]]-SamplingData[[#Totals],[Losing Candidate]]), 0)</f>
        <v>1.3325411644882023E-2</v>
      </c>
      <c r="R461" s="99">
        <f>IF(AND(SamplingData[[#This Row],[Total]]&lt;&gt; 0, NOT(ISBLANK(SamplingData[[#This Row],[Candidate 3]]))),(SamplingData[[#This Row],[Total]]+SamplingData[[#This Row],[Winning Candidate]]-SamplingData[[#This Row],[Candidate 3]])/(SamplingData[[#Totals],[Winning Candidate]]-SamplingData[[#Totals],[Candidate 3]]), 0)</f>
        <v>0</v>
      </c>
      <c r="S461" s="99">
        <f>IF(AND(SamplingData[[#This Row],[Total]]&lt;&gt; 0, NOT(ISBLANK(SamplingData[[#This Row],[Candidate 4]]))),(SamplingData[[#This Row],[Total]]+SamplingData[[#This Row],[Winning Candidate]]-SamplingData[[#This Row],[Candidate 4]])/(SamplingData[[#Totals],[Winning Candidate]]-SamplingData[[#Totals],[Candidate 4]]), 0)</f>
        <v>0</v>
      </c>
      <c r="T461" s="99">
        <f>IF(AND(SamplingData[[#This Row],[Total]]&lt;&gt; 0, NOT(ISBLANK(SamplingData[[#This Row],[Candidate 5]]))),(SamplingData[[#This Row],[Total]]+SamplingData[[#This Row],[Winning Candidate]]-SamplingData[[#This Row],[Candidate 5]])/(SamplingData[[#Totals],[Winning Candidate]]-SamplingData[[#Totals],[Candidate 5]]), 0)</f>
        <v>0</v>
      </c>
      <c r="U461" s="99">
        <f>IF(AND(SamplingData[[#This Row],[Total]]&lt;&gt; 0, NOT(ISBLANK(SamplingData[[#This Row],[Candidate 6]]))),(SamplingData[[#This Row],[Total]]+SamplingData[[#This Row],[Losing Candidate]]-SamplingData[[#This Row],[Candidate 6]])/(SamplingData[[#Totals],[Winning Candidate]]-SamplingData[[#Totals],[Candidate 6]]), 0)</f>
        <v>0</v>
      </c>
      <c r="V461" s="99">
        <f>IF(AND(SamplingData[[#This Row],[Total]]&lt;&gt; 0, NOT(ISBLANK(SamplingData[[#This Row],[Candidate 7]]))),(SamplingData[[#This Row],[Total]]+SamplingData[[#This Row],[Winning Candidate]]-SamplingData[[#This Row],[Candidate 7]])/(SamplingData[[#Totals],[Winning Candidate]]-SamplingData[[#Totals],[Candidate 7]]), 0)</f>
        <v>0</v>
      </c>
      <c r="W461" s="99">
        <f>IF(AND(SamplingData[[#This Row],[Total]]&lt;&gt; 0, NOT(ISBLANK(SamplingData[[#This Row],[Candidate 8]]))),(SamplingData[[#This Row],[Total]]+SamplingData[[#This Row],[Winning Candidate]]-SamplingData[[#This Row],[Candidate 8]])/(SamplingData[[#Totals],[Winning Candidate]]-SamplingData[[#Totals],[Candidate 8]]), 0)</f>
        <v>0</v>
      </c>
      <c r="X4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1" s="99">
        <f>MAX(SamplingData[[#This Row],[Error Bound (up) - Max. possible relative overstatement - Losing Candidate]:[Error Bound (up) - Max. possible relative overstatement - Candidate 12]])</f>
        <v>1.3325411644882023E-2</v>
      </c>
      <c r="AC461" s="99">
        <f>IF(SamplingData[[#This Row],[Max Error Bound (up)]] = 0,0,SamplingData[[#This Row],[Max Error Bound (up)]]/SamplingData[[#Totals],[Max Error Bound (up)]])</f>
        <v>7.1345475697095378E-4</v>
      </c>
      <c r="AD461" s="103">
        <f>SUM($AC$5:AC461)</f>
        <v>0.38265941396735415</v>
      </c>
      <c r="AE461" s="99" t="str" cm="1">
        <f t="array" ref="AE461">IF(SamplingData[[#This Row],[up/U Selection Probability]] = 0, "Zero", TEXT(SamplingData[[#This Row],[Lower Range]], REPT("0",LEN('General Info'!$B$42))) &amp; " - " &amp; TEXT(SamplingData[[#This Row],[Upper Range]], REPT("0",LEN('General Info'!$B$42))))</f>
        <v>381946 - 382658</v>
      </c>
      <c r="AF461" s="99">
        <f>SamplingData[[#This Row],[Upper Range]]-SamplingData[[#This Row],[Span]]</f>
        <v>381945.95921038324</v>
      </c>
      <c r="AG461" s="99">
        <f>IF(ISNUMBER('General Info'!$B$42), ((SamplingData[[#This Row],[up/U Selection Probability]]) * 'General Info'!$B$44) - 1, 0)</f>
        <v>712.45475697095378</v>
      </c>
      <c r="AH461" s="99">
        <f>IF(ISNUMBER('General Info'!$B$42), (SamplingData[[#This Row],[Running (cumulative) sum]] * ('General Info'!$B$42 -'General Info'!$B$43 + 1)) + 'General Info'!$B$43 - 1, 0)</f>
        <v>382658.41396735416</v>
      </c>
      <c r="AI461" s="99" t="str">
        <f>IF(ISERROR(MATCH(SamplingData[[#This Row],[Batch by Type (p)]],SelectedPrecincts[Batch Name], 0)), "", INDEX(SelectedPrecincts[Draw], MATCH(SamplingData[[#This Row],[Batch by Type (p)]],SelectedPrecincts[Batch Name], 0)))</f>
        <v/>
      </c>
      <c r="AJ461" s="100">
        <f>IF(COUNTIF(SelectedPrecincts[Batch Name],SamplingData[[#This Row],[Batch by Type (p)]]) &lt;&gt; 0, COUNTIF(SelectedPrecincts[Batch Name],SamplingData[[#This Row],[Batch by Type (p)]]), 0)</f>
        <v>0</v>
      </c>
    </row>
    <row r="462" spans="1:36" ht="15" customHeight="1" x14ac:dyDescent="0.35">
      <c r="A462" s="97" t="s">
        <v>675</v>
      </c>
      <c r="B462" s="97">
        <v>93</v>
      </c>
      <c r="C462" s="97">
        <v>256</v>
      </c>
      <c r="D462" s="92"/>
      <c r="E462" s="92"/>
      <c r="F462" s="92"/>
      <c r="G462" s="96"/>
      <c r="H462" s="96"/>
      <c r="I462" s="92"/>
      <c r="J462" s="92"/>
      <c r="K462" s="92"/>
      <c r="L462" s="92"/>
      <c r="M462" s="92"/>
      <c r="N462" s="97">
        <v>0</v>
      </c>
      <c r="O462" s="97">
        <v>12</v>
      </c>
      <c r="P462" s="98">
        <f>SUM(SamplingData[[#This Row],[Winning Candidate]:[Under Votes]])</f>
        <v>361</v>
      </c>
      <c r="Q462" s="99">
        <f>IF(AND(SamplingData[[#This Row],[Total]]&lt;&gt; 0, NOT(ISBLANK(SamplingData[[#This Row],[Losing Candidate]]))),(SamplingData[[#This Row],[Total]]+SamplingData[[#This Row],[Winning Candidate]]-SamplingData[[#This Row],[Losing Candidate]])/(SamplingData[[#Totals],[Winning Candidate]]-SamplingData[[#Totals],[Losing Candidate]]), 0)</f>
        <v>8.4026481072822946E-3</v>
      </c>
      <c r="R462" s="99">
        <f>IF(AND(SamplingData[[#This Row],[Total]]&lt;&gt; 0, NOT(ISBLANK(SamplingData[[#This Row],[Candidate 3]]))),(SamplingData[[#This Row],[Total]]+SamplingData[[#This Row],[Winning Candidate]]-SamplingData[[#This Row],[Candidate 3]])/(SamplingData[[#Totals],[Winning Candidate]]-SamplingData[[#Totals],[Candidate 3]]), 0)</f>
        <v>0</v>
      </c>
      <c r="S462" s="99">
        <f>IF(AND(SamplingData[[#This Row],[Total]]&lt;&gt; 0, NOT(ISBLANK(SamplingData[[#This Row],[Candidate 4]]))),(SamplingData[[#This Row],[Total]]+SamplingData[[#This Row],[Winning Candidate]]-SamplingData[[#This Row],[Candidate 4]])/(SamplingData[[#Totals],[Winning Candidate]]-SamplingData[[#Totals],[Candidate 4]]), 0)</f>
        <v>0</v>
      </c>
      <c r="T462" s="99">
        <f>IF(AND(SamplingData[[#This Row],[Total]]&lt;&gt; 0, NOT(ISBLANK(SamplingData[[#This Row],[Candidate 5]]))),(SamplingData[[#This Row],[Total]]+SamplingData[[#This Row],[Winning Candidate]]-SamplingData[[#This Row],[Candidate 5]])/(SamplingData[[#Totals],[Winning Candidate]]-SamplingData[[#Totals],[Candidate 5]]), 0)</f>
        <v>0</v>
      </c>
      <c r="U462" s="99">
        <f>IF(AND(SamplingData[[#This Row],[Total]]&lt;&gt; 0, NOT(ISBLANK(SamplingData[[#This Row],[Candidate 6]]))),(SamplingData[[#This Row],[Total]]+SamplingData[[#This Row],[Losing Candidate]]-SamplingData[[#This Row],[Candidate 6]])/(SamplingData[[#Totals],[Winning Candidate]]-SamplingData[[#Totals],[Candidate 6]]), 0)</f>
        <v>0</v>
      </c>
      <c r="V462" s="99">
        <f>IF(AND(SamplingData[[#This Row],[Total]]&lt;&gt; 0, NOT(ISBLANK(SamplingData[[#This Row],[Candidate 7]]))),(SamplingData[[#This Row],[Total]]+SamplingData[[#This Row],[Winning Candidate]]-SamplingData[[#This Row],[Candidate 7]])/(SamplingData[[#Totals],[Winning Candidate]]-SamplingData[[#Totals],[Candidate 7]]), 0)</f>
        <v>0</v>
      </c>
      <c r="W462" s="99">
        <f>IF(AND(SamplingData[[#This Row],[Total]]&lt;&gt; 0, NOT(ISBLANK(SamplingData[[#This Row],[Candidate 8]]))),(SamplingData[[#This Row],[Total]]+SamplingData[[#This Row],[Winning Candidate]]-SamplingData[[#This Row],[Candidate 8]])/(SamplingData[[#Totals],[Winning Candidate]]-SamplingData[[#Totals],[Candidate 8]]), 0)</f>
        <v>0</v>
      </c>
      <c r="X4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2" s="99">
        <f>MAX(SamplingData[[#This Row],[Error Bound (up) - Max. possible relative overstatement - Losing Candidate]:[Error Bound (up) - Max. possible relative overstatement - Candidate 12]])</f>
        <v>8.4026481072822946E-3</v>
      </c>
      <c r="AC462" s="99">
        <f>IF(SamplingData[[#This Row],[Max Error Bound (up)]] = 0,0,SamplingData[[#This Row],[Max Error Bound (up)]]/SamplingData[[#Totals],[Max Error Bound (up)]])</f>
        <v>4.4988548369505999E-4</v>
      </c>
      <c r="AD462" s="103">
        <f>SUM($AC$5:AC462)</f>
        <v>0.38310929945104921</v>
      </c>
      <c r="AE462" s="99" t="str" cm="1">
        <f t="array" ref="AE462">IF(SamplingData[[#This Row],[up/U Selection Probability]] = 0, "Zero", TEXT(SamplingData[[#This Row],[Lower Range]], REPT("0",LEN('General Info'!$B$42))) &amp; " - " &amp; TEXT(SamplingData[[#This Row],[Upper Range]], REPT("0",LEN('General Info'!$B$42))))</f>
        <v>382659 - 383108</v>
      </c>
      <c r="AF462" s="99">
        <f>SamplingData[[#This Row],[Upper Range]]-SamplingData[[#This Row],[Span]]</f>
        <v>382659.41396735411</v>
      </c>
      <c r="AG462" s="99">
        <f>IF(ISNUMBER('General Info'!$B$42), ((SamplingData[[#This Row],[up/U Selection Probability]]) * 'General Info'!$B$44) - 1, 0)</f>
        <v>448.88548369505997</v>
      </c>
      <c r="AH462" s="99">
        <f>IF(ISNUMBER('General Info'!$B$42), (SamplingData[[#This Row],[Running (cumulative) sum]] * ('General Info'!$B$42 -'General Info'!$B$43 + 1)) + 'General Info'!$B$43 - 1, 0)</f>
        <v>383108.29945104918</v>
      </c>
      <c r="AI462" s="99" t="str">
        <f>IF(ISERROR(MATCH(SamplingData[[#This Row],[Batch by Type (p)]],SelectedPrecincts[Batch Name], 0)), "", INDEX(SelectedPrecincts[Draw], MATCH(SamplingData[[#This Row],[Batch by Type (p)]],SelectedPrecincts[Batch Name], 0)))</f>
        <v/>
      </c>
      <c r="AJ462" s="100">
        <f>IF(COUNTIF(SelectedPrecincts[Batch Name],SamplingData[[#This Row],[Batch by Type (p)]]) &lt;&gt; 0, COUNTIF(SelectedPrecincts[Batch Name],SamplingData[[#This Row],[Batch by Type (p)]]), 0)</f>
        <v>0</v>
      </c>
    </row>
    <row r="463" spans="1:36" ht="15" customHeight="1" x14ac:dyDescent="0.35">
      <c r="A463" s="97" t="s">
        <v>676</v>
      </c>
      <c r="B463" s="97">
        <v>111</v>
      </c>
      <c r="C463" s="97">
        <v>252</v>
      </c>
      <c r="D463" s="92"/>
      <c r="E463" s="92"/>
      <c r="F463" s="92"/>
      <c r="G463" s="96"/>
      <c r="H463" s="96"/>
      <c r="I463" s="92"/>
      <c r="J463" s="92"/>
      <c r="K463" s="92"/>
      <c r="L463" s="92"/>
      <c r="M463" s="92"/>
      <c r="N463" s="97">
        <v>0</v>
      </c>
      <c r="O463" s="97">
        <v>23</v>
      </c>
      <c r="P463" s="98">
        <f>SUM(SamplingData[[#This Row],[Winning Candidate]:[Under Votes]])</f>
        <v>386</v>
      </c>
      <c r="Q463" s="99">
        <f>IF(AND(SamplingData[[#This Row],[Total]]&lt;&gt; 0, NOT(ISBLANK(SamplingData[[#This Row],[Losing Candidate]]))),(SamplingData[[#This Row],[Total]]+SamplingData[[#This Row],[Winning Candidate]]-SamplingData[[#This Row],[Losing Candidate]])/(SamplingData[[#Totals],[Winning Candidate]]-SamplingData[[#Totals],[Losing Candidate]]), 0)</f>
        <v>1.0397216092344255E-2</v>
      </c>
      <c r="R463" s="99">
        <f>IF(AND(SamplingData[[#This Row],[Total]]&lt;&gt; 0, NOT(ISBLANK(SamplingData[[#This Row],[Candidate 3]]))),(SamplingData[[#This Row],[Total]]+SamplingData[[#This Row],[Winning Candidate]]-SamplingData[[#This Row],[Candidate 3]])/(SamplingData[[#Totals],[Winning Candidate]]-SamplingData[[#Totals],[Candidate 3]]), 0)</f>
        <v>0</v>
      </c>
      <c r="S463" s="99">
        <f>IF(AND(SamplingData[[#This Row],[Total]]&lt;&gt; 0, NOT(ISBLANK(SamplingData[[#This Row],[Candidate 4]]))),(SamplingData[[#This Row],[Total]]+SamplingData[[#This Row],[Winning Candidate]]-SamplingData[[#This Row],[Candidate 4]])/(SamplingData[[#Totals],[Winning Candidate]]-SamplingData[[#Totals],[Candidate 4]]), 0)</f>
        <v>0</v>
      </c>
      <c r="T463" s="99">
        <f>IF(AND(SamplingData[[#This Row],[Total]]&lt;&gt; 0, NOT(ISBLANK(SamplingData[[#This Row],[Candidate 5]]))),(SamplingData[[#This Row],[Total]]+SamplingData[[#This Row],[Winning Candidate]]-SamplingData[[#This Row],[Candidate 5]])/(SamplingData[[#Totals],[Winning Candidate]]-SamplingData[[#Totals],[Candidate 5]]), 0)</f>
        <v>0</v>
      </c>
      <c r="U463" s="99">
        <f>IF(AND(SamplingData[[#This Row],[Total]]&lt;&gt; 0, NOT(ISBLANK(SamplingData[[#This Row],[Candidate 6]]))),(SamplingData[[#This Row],[Total]]+SamplingData[[#This Row],[Losing Candidate]]-SamplingData[[#This Row],[Candidate 6]])/(SamplingData[[#Totals],[Winning Candidate]]-SamplingData[[#Totals],[Candidate 6]]), 0)</f>
        <v>0</v>
      </c>
      <c r="V463" s="99">
        <f>IF(AND(SamplingData[[#This Row],[Total]]&lt;&gt; 0, NOT(ISBLANK(SamplingData[[#This Row],[Candidate 7]]))),(SamplingData[[#This Row],[Total]]+SamplingData[[#This Row],[Winning Candidate]]-SamplingData[[#This Row],[Candidate 7]])/(SamplingData[[#Totals],[Winning Candidate]]-SamplingData[[#Totals],[Candidate 7]]), 0)</f>
        <v>0</v>
      </c>
      <c r="W463" s="99">
        <f>IF(AND(SamplingData[[#This Row],[Total]]&lt;&gt; 0, NOT(ISBLANK(SamplingData[[#This Row],[Candidate 8]]))),(SamplingData[[#This Row],[Total]]+SamplingData[[#This Row],[Winning Candidate]]-SamplingData[[#This Row],[Candidate 8]])/(SamplingData[[#Totals],[Winning Candidate]]-SamplingData[[#Totals],[Candidate 8]]), 0)</f>
        <v>0</v>
      </c>
      <c r="X4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3" s="99">
        <f>MAX(SamplingData[[#This Row],[Error Bound (up) - Max. possible relative overstatement - Losing Candidate]:[Error Bound (up) - Max. possible relative overstatement - Candidate 12]])</f>
        <v>1.0397216092344255E-2</v>
      </c>
      <c r="AC463" s="99">
        <f>IF(SamplingData[[#This Row],[Max Error Bound (up)]] = 0,0,SamplingData[[#This Row],[Max Error Bound (up)]]/SamplingData[[#Totals],[Max Error Bound (up)]])</f>
        <v>5.5667648234994805E-4</v>
      </c>
      <c r="AD463" s="103">
        <f>SUM($AC$5:AC463)</f>
        <v>0.38366597593339918</v>
      </c>
      <c r="AE463" s="99" t="str" cm="1">
        <f t="array" ref="AE463">IF(SamplingData[[#This Row],[up/U Selection Probability]] = 0, "Zero", TEXT(SamplingData[[#This Row],[Lower Range]], REPT("0",LEN('General Info'!$B$42))) &amp; " - " &amp; TEXT(SamplingData[[#This Row],[Upper Range]], REPT("0",LEN('General Info'!$B$42))))</f>
        <v>383109 - 383665</v>
      </c>
      <c r="AF463" s="99">
        <f>SamplingData[[#This Row],[Upper Range]]-SamplingData[[#This Row],[Span]]</f>
        <v>383109.29945104924</v>
      </c>
      <c r="AG463" s="99">
        <f>IF(ISNUMBER('General Info'!$B$42), ((SamplingData[[#This Row],[up/U Selection Probability]]) * 'General Info'!$B$44) - 1, 0)</f>
        <v>555.67648234994806</v>
      </c>
      <c r="AH463" s="99">
        <f>IF(ISNUMBER('General Info'!$B$42), (SamplingData[[#This Row],[Running (cumulative) sum]] * ('General Info'!$B$42 -'General Info'!$B$43 + 1)) + 'General Info'!$B$43 - 1, 0)</f>
        <v>383664.97593339917</v>
      </c>
      <c r="AI463" s="99" t="str">
        <f>IF(ISERROR(MATCH(SamplingData[[#This Row],[Batch by Type (p)]],SelectedPrecincts[Batch Name], 0)), "", INDEX(SelectedPrecincts[Draw], MATCH(SamplingData[[#This Row],[Batch by Type (p)]],SelectedPrecincts[Batch Name], 0)))</f>
        <v/>
      </c>
      <c r="AJ463" s="100">
        <f>IF(COUNTIF(SelectedPrecincts[Batch Name],SamplingData[[#This Row],[Batch by Type (p)]]) &lt;&gt; 0, COUNTIF(SelectedPrecincts[Batch Name],SamplingData[[#This Row],[Batch by Type (p)]]), 0)</f>
        <v>0</v>
      </c>
    </row>
    <row r="464" spans="1:36" ht="15" customHeight="1" x14ac:dyDescent="0.35">
      <c r="A464" s="97" t="s">
        <v>677</v>
      </c>
      <c r="B464" s="97">
        <v>111</v>
      </c>
      <c r="C464" s="97">
        <v>71</v>
      </c>
      <c r="D464" s="92"/>
      <c r="E464" s="92"/>
      <c r="F464" s="92"/>
      <c r="G464" s="96"/>
      <c r="H464" s="96"/>
      <c r="I464" s="92"/>
      <c r="J464" s="92"/>
      <c r="K464" s="92"/>
      <c r="L464" s="92"/>
      <c r="M464" s="92"/>
      <c r="N464" s="97">
        <v>0</v>
      </c>
      <c r="O464" s="97">
        <v>4</v>
      </c>
      <c r="P464" s="98">
        <f>SUM(SamplingData[[#This Row],[Winning Candidate]:[Under Votes]])</f>
        <v>186</v>
      </c>
      <c r="Q464" s="99">
        <f>IF(AND(SamplingData[[#This Row],[Total]]&lt;&gt; 0, NOT(ISBLANK(SamplingData[[#This Row],[Losing Candidate]]))),(SamplingData[[#This Row],[Total]]+SamplingData[[#This Row],[Winning Candidate]]-SamplingData[[#This Row],[Losing Candidate]])/(SamplingData[[#Totals],[Winning Candidate]]-SamplingData[[#Totals],[Losing Candidate]]), 0)</f>
        <v>9.5909013749787813E-3</v>
      </c>
      <c r="R464" s="99">
        <f>IF(AND(SamplingData[[#This Row],[Total]]&lt;&gt; 0, NOT(ISBLANK(SamplingData[[#This Row],[Candidate 3]]))),(SamplingData[[#This Row],[Total]]+SamplingData[[#This Row],[Winning Candidate]]-SamplingData[[#This Row],[Candidate 3]])/(SamplingData[[#Totals],[Winning Candidate]]-SamplingData[[#Totals],[Candidate 3]]), 0)</f>
        <v>0</v>
      </c>
      <c r="S464" s="99">
        <f>IF(AND(SamplingData[[#This Row],[Total]]&lt;&gt; 0, NOT(ISBLANK(SamplingData[[#This Row],[Candidate 4]]))),(SamplingData[[#This Row],[Total]]+SamplingData[[#This Row],[Winning Candidate]]-SamplingData[[#This Row],[Candidate 4]])/(SamplingData[[#Totals],[Winning Candidate]]-SamplingData[[#Totals],[Candidate 4]]), 0)</f>
        <v>0</v>
      </c>
      <c r="T464" s="99">
        <f>IF(AND(SamplingData[[#This Row],[Total]]&lt;&gt; 0, NOT(ISBLANK(SamplingData[[#This Row],[Candidate 5]]))),(SamplingData[[#This Row],[Total]]+SamplingData[[#This Row],[Winning Candidate]]-SamplingData[[#This Row],[Candidate 5]])/(SamplingData[[#Totals],[Winning Candidate]]-SamplingData[[#Totals],[Candidate 5]]), 0)</f>
        <v>0</v>
      </c>
      <c r="U464" s="99">
        <f>IF(AND(SamplingData[[#This Row],[Total]]&lt;&gt; 0, NOT(ISBLANK(SamplingData[[#This Row],[Candidate 6]]))),(SamplingData[[#This Row],[Total]]+SamplingData[[#This Row],[Losing Candidate]]-SamplingData[[#This Row],[Candidate 6]])/(SamplingData[[#Totals],[Winning Candidate]]-SamplingData[[#Totals],[Candidate 6]]), 0)</f>
        <v>0</v>
      </c>
      <c r="V464" s="99">
        <f>IF(AND(SamplingData[[#This Row],[Total]]&lt;&gt; 0, NOT(ISBLANK(SamplingData[[#This Row],[Candidate 7]]))),(SamplingData[[#This Row],[Total]]+SamplingData[[#This Row],[Winning Candidate]]-SamplingData[[#This Row],[Candidate 7]])/(SamplingData[[#Totals],[Winning Candidate]]-SamplingData[[#Totals],[Candidate 7]]), 0)</f>
        <v>0</v>
      </c>
      <c r="W464" s="99">
        <f>IF(AND(SamplingData[[#This Row],[Total]]&lt;&gt; 0, NOT(ISBLANK(SamplingData[[#This Row],[Candidate 8]]))),(SamplingData[[#This Row],[Total]]+SamplingData[[#This Row],[Winning Candidate]]-SamplingData[[#This Row],[Candidate 8]])/(SamplingData[[#Totals],[Winning Candidate]]-SamplingData[[#Totals],[Candidate 8]]), 0)</f>
        <v>0</v>
      </c>
      <c r="X4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4" s="99">
        <f>MAX(SamplingData[[#This Row],[Error Bound (up) - Max. possible relative overstatement - Losing Candidate]:[Error Bound (up) - Max. possible relative overstatement - Candidate 12]])</f>
        <v>9.5909013749787813E-3</v>
      </c>
      <c r="AC464" s="99">
        <f>IF(SamplingData[[#This Row],[Max Error Bound (up)]] = 0,0,SamplingData[[#This Row],[Max Error Bound (up)]]/SamplingData[[#Totals],[Max Error Bound (up)]])</f>
        <v>5.1350565310648267E-4</v>
      </c>
      <c r="AD464" s="103">
        <f>SUM($AC$5:AC464)</f>
        <v>0.38417948158650567</v>
      </c>
      <c r="AE464" s="99" t="str" cm="1">
        <f t="array" ref="AE464">IF(SamplingData[[#This Row],[up/U Selection Probability]] = 0, "Zero", TEXT(SamplingData[[#This Row],[Lower Range]], REPT("0",LEN('General Info'!$B$42))) &amp; " - " &amp; TEXT(SamplingData[[#This Row],[Upper Range]], REPT("0",LEN('General Info'!$B$42))))</f>
        <v>383666 - 384178</v>
      </c>
      <c r="AF464" s="99">
        <f>SamplingData[[#This Row],[Upper Range]]-SamplingData[[#This Row],[Span]]</f>
        <v>383665.97593339917</v>
      </c>
      <c r="AG464" s="99">
        <f>IF(ISNUMBER('General Info'!$B$42), ((SamplingData[[#This Row],[up/U Selection Probability]]) * 'General Info'!$B$44) - 1, 0)</f>
        <v>512.50565310648267</v>
      </c>
      <c r="AH464" s="99">
        <f>IF(ISNUMBER('General Info'!$B$42), (SamplingData[[#This Row],[Running (cumulative) sum]] * ('General Info'!$B$42 -'General Info'!$B$43 + 1)) + 'General Info'!$B$43 - 1, 0)</f>
        <v>384178.48158650566</v>
      </c>
      <c r="AI464" s="99" t="str">
        <f>IF(ISERROR(MATCH(SamplingData[[#This Row],[Batch by Type (p)]],SelectedPrecincts[Batch Name], 0)), "", INDEX(SelectedPrecincts[Draw], MATCH(SamplingData[[#This Row],[Batch by Type (p)]],SelectedPrecincts[Batch Name], 0)))</f>
        <v/>
      </c>
      <c r="AJ464" s="100">
        <f>IF(COUNTIF(SelectedPrecincts[Batch Name],SamplingData[[#This Row],[Batch by Type (p)]]) &lt;&gt; 0, COUNTIF(SelectedPrecincts[Batch Name],SamplingData[[#This Row],[Batch by Type (p)]]), 0)</f>
        <v>0</v>
      </c>
    </row>
    <row r="465" spans="1:36" ht="15" customHeight="1" x14ac:dyDescent="0.35">
      <c r="A465" s="97" t="s">
        <v>678</v>
      </c>
      <c r="B465" s="97">
        <v>99</v>
      </c>
      <c r="C465" s="97">
        <v>171</v>
      </c>
      <c r="D465" s="92"/>
      <c r="E465" s="92"/>
      <c r="F465" s="92"/>
      <c r="G465" s="96"/>
      <c r="H465" s="96"/>
      <c r="I465" s="92"/>
      <c r="J465" s="92"/>
      <c r="K465" s="92"/>
      <c r="L465" s="92"/>
      <c r="M465" s="92"/>
      <c r="N465" s="97">
        <v>0</v>
      </c>
      <c r="O465" s="97">
        <v>14</v>
      </c>
      <c r="P465" s="98">
        <f>SUM(SamplingData[[#This Row],[Winning Candidate]:[Under Votes]])</f>
        <v>284</v>
      </c>
      <c r="Q465" s="99">
        <f>IF(AND(SamplingData[[#This Row],[Total]]&lt;&gt; 0, NOT(ISBLANK(SamplingData[[#This Row],[Losing Candidate]]))),(SamplingData[[#This Row],[Total]]+SamplingData[[#This Row],[Winning Candidate]]-SamplingData[[#This Row],[Losing Candidate]])/(SamplingData[[#Totals],[Winning Candidate]]-SamplingData[[#Totals],[Losing Candidate]]), 0)</f>
        <v>8.9967747411305379E-3</v>
      </c>
      <c r="R465" s="99">
        <f>IF(AND(SamplingData[[#This Row],[Total]]&lt;&gt; 0, NOT(ISBLANK(SamplingData[[#This Row],[Candidate 3]]))),(SamplingData[[#This Row],[Total]]+SamplingData[[#This Row],[Winning Candidate]]-SamplingData[[#This Row],[Candidate 3]])/(SamplingData[[#Totals],[Winning Candidate]]-SamplingData[[#Totals],[Candidate 3]]), 0)</f>
        <v>0</v>
      </c>
      <c r="S465" s="99">
        <f>IF(AND(SamplingData[[#This Row],[Total]]&lt;&gt; 0, NOT(ISBLANK(SamplingData[[#This Row],[Candidate 4]]))),(SamplingData[[#This Row],[Total]]+SamplingData[[#This Row],[Winning Candidate]]-SamplingData[[#This Row],[Candidate 4]])/(SamplingData[[#Totals],[Winning Candidate]]-SamplingData[[#Totals],[Candidate 4]]), 0)</f>
        <v>0</v>
      </c>
      <c r="T465" s="99">
        <f>IF(AND(SamplingData[[#This Row],[Total]]&lt;&gt; 0, NOT(ISBLANK(SamplingData[[#This Row],[Candidate 5]]))),(SamplingData[[#This Row],[Total]]+SamplingData[[#This Row],[Winning Candidate]]-SamplingData[[#This Row],[Candidate 5]])/(SamplingData[[#Totals],[Winning Candidate]]-SamplingData[[#Totals],[Candidate 5]]), 0)</f>
        <v>0</v>
      </c>
      <c r="U465" s="99">
        <f>IF(AND(SamplingData[[#This Row],[Total]]&lt;&gt; 0, NOT(ISBLANK(SamplingData[[#This Row],[Candidate 6]]))),(SamplingData[[#This Row],[Total]]+SamplingData[[#This Row],[Losing Candidate]]-SamplingData[[#This Row],[Candidate 6]])/(SamplingData[[#Totals],[Winning Candidate]]-SamplingData[[#Totals],[Candidate 6]]), 0)</f>
        <v>0</v>
      </c>
      <c r="V465" s="99">
        <f>IF(AND(SamplingData[[#This Row],[Total]]&lt;&gt; 0, NOT(ISBLANK(SamplingData[[#This Row],[Candidate 7]]))),(SamplingData[[#This Row],[Total]]+SamplingData[[#This Row],[Winning Candidate]]-SamplingData[[#This Row],[Candidate 7]])/(SamplingData[[#Totals],[Winning Candidate]]-SamplingData[[#Totals],[Candidate 7]]), 0)</f>
        <v>0</v>
      </c>
      <c r="W465" s="99">
        <f>IF(AND(SamplingData[[#This Row],[Total]]&lt;&gt; 0, NOT(ISBLANK(SamplingData[[#This Row],[Candidate 8]]))),(SamplingData[[#This Row],[Total]]+SamplingData[[#This Row],[Winning Candidate]]-SamplingData[[#This Row],[Candidate 8]])/(SamplingData[[#Totals],[Winning Candidate]]-SamplingData[[#Totals],[Candidate 8]]), 0)</f>
        <v>0</v>
      </c>
      <c r="X4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5" s="99">
        <f>MAX(SamplingData[[#This Row],[Error Bound (up) - Max. possible relative overstatement - Losing Candidate]:[Error Bound (up) - Max. possible relative overstatement - Candidate 12]])</f>
        <v>8.9967747411305379E-3</v>
      </c>
      <c r="AC465" s="99">
        <f>IF(SamplingData[[#This Row],[Max Error Bound (up)]] = 0,0,SamplingData[[#This Row],[Max Error Bound (up)]]/SamplingData[[#Totals],[Max Error Bound (up)]])</f>
        <v>4.816955684007713E-4</v>
      </c>
      <c r="AD465" s="103">
        <f>SUM($AC$5:AC465)</f>
        <v>0.38466117715490644</v>
      </c>
      <c r="AE465" s="99" t="str" cm="1">
        <f t="array" ref="AE465">IF(SamplingData[[#This Row],[up/U Selection Probability]] = 0, "Zero", TEXT(SamplingData[[#This Row],[Lower Range]], REPT("0",LEN('General Info'!$B$42))) &amp; " - " &amp; TEXT(SamplingData[[#This Row],[Upper Range]], REPT("0",LEN('General Info'!$B$42))))</f>
        <v>384179 - 384660</v>
      </c>
      <c r="AF465" s="99">
        <f>SamplingData[[#This Row],[Upper Range]]-SamplingData[[#This Row],[Span]]</f>
        <v>384179.48158650566</v>
      </c>
      <c r="AG465" s="99">
        <f>IF(ISNUMBER('General Info'!$B$42), ((SamplingData[[#This Row],[up/U Selection Probability]]) * 'General Info'!$B$44) - 1, 0)</f>
        <v>480.69556840077132</v>
      </c>
      <c r="AH465" s="99">
        <f>IF(ISNUMBER('General Info'!$B$42), (SamplingData[[#This Row],[Running (cumulative) sum]] * ('General Info'!$B$42 -'General Info'!$B$43 + 1)) + 'General Info'!$B$43 - 1, 0)</f>
        <v>384660.17715490644</v>
      </c>
      <c r="AI465" s="99" t="str">
        <f>IF(ISERROR(MATCH(SamplingData[[#This Row],[Batch by Type (p)]],SelectedPrecincts[Batch Name], 0)), "", INDEX(SelectedPrecincts[Draw], MATCH(SamplingData[[#This Row],[Batch by Type (p)]],SelectedPrecincts[Batch Name], 0)))</f>
        <v/>
      </c>
      <c r="AJ465" s="100">
        <f>IF(COUNTIF(SelectedPrecincts[Batch Name],SamplingData[[#This Row],[Batch by Type (p)]]) &lt;&gt; 0, COUNTIF(SelectedPrecincts[Batch Name],SamplingData[[#This Row],[Batch by Type (p)]]), 0)</f>
        <v>0</v>
      </c>
    </row>
    <row r="466" spans="1:36" ht="15" customHeight="1" x14ac:dyDescent="0.35">
      <c r="A466" s="97" t="s">
        <v>679</v>
      </c>
      <c r="B466" s="97">
        <v>80</v>
      </c>
      <c r="C466" s="97">
        <v>208</v>
      </c>
      <c r="D466" s="92"/>
      <c r="E466" s="92"/>
      <c r="F466" s="92"/>
      <c r="G466" s="96"/>
      <c r="H466" s="96"/>
      <c r="I466" s="92"/>
      <c r="J466" s="92"/>
      <c r="K466" s="92"/>
      <c r="L466" s="92"/>
      <c r="M466" s="92"/>
      <c r="N466" s="97">
        <v>0</v>
      </c>
      <c r="O466" s="97">
        <v>19</v>
      </c>
      <c r="P466" s="98">
        <f>SUM(SamplingData[[#This Row],[Winning Candidate]:[Under Votes]])</f>
        <v>307</v>
      </c>
      <c r="Q466" s="99">
        <f>IF(AND(SamplingData[[#This Row],[Total]]&lt;&gt; 0, NOT(ISBLANK(SamplingData[[#This Row],[Losing Candidate]]))),(SamplingData[[#This Row],[Total]]+SamplingData[[#This Row],[Winning Candidate]]-SamplingData[[#This Row],[Losing Candidate]])/(SamplingData[[#Totals],[Winning Candidate]]-SamplingData[[#Totals],[Losing Candidate]]), 0)</f>
        <v>7.5963333899168222E-3</v>
      </c>
      <c r="R466" s="99">
        <f>IF(AND(SamplingData[[#This Row],[Total]]&lt;&gt; 0, NOT(ISBLANK(SamplingData[[#This Row],[Candidate 3]]))),(SamplingData[[#This Row],[Total]]+SamplingData[[#This Row],[Winning Candidate]]-SamplingData[[#This Row],[Candidate 3]])/(SamplingData[[#Totals],[Winning Candidate]]-SamplingData[[#Totals],[Candidate 3]]), 0)</f>
        <v>0</v>
      </c>
      <c r="S466" s="99">
        <f>IF(AND(SamplingData[[#This Row],[Total]]&lt;&gt; 0, NOT(ISBLANK(SamplingData[[#This Row],[Candidate 4]]))),(SamplingData[[#This Row],[Total]]+SamplingData[[#This Row],[Winning Candidate]]-SamplingData[[#This Row],[Candidate 4]])/(SamplingData[[#Totals],[Winning Candidate]]-SamplingData[[#Totals],[Candidate 4]]), 0)</f>
        <v>0</v>
      </c>
      <c r="T466" s="99">
        <f>IF(AND(SamplingData[[#This Row],[Total]]&lt;&gt; 0, NOT(ISBLANK(SamplingData[[#This Row],[Candidate 5]]))),(SamplingData[[#This Row],[Total]]+SamplingData[[#This Row],[Winning Candidate]]-SamplingData[[#This Row],[Candidate 5]])/(SamplingData[[#Totals],[Winning Candidate]]-SamplingData[[#Totals],[Candidate 5]]), 0)</f>
        <v>0</v>
      </c>
      <c r="U466" s="99">
        <f>IF(AND(SamplingData[[#This Row],[Total]]&lt;&gt; 0, NOT(ISBLANK(SamplingData[[#This Row],[Candidate 6]]))),(SamplingData[[#This Row],[Total]]+SamplingData[[#This Row],[Losing Candidate]]-SamplingData[[#This Row],[Candidate 6]])/(SamplingData[[#Totals],[Winning Candidate]]-SamplingData[[#Totals],[Candidate 6]]), 0)</f>
        <v>0</v>
      </c>
      <c r="V466" s="99">
        <f>IF(AND(SamplingData[[#This Row],[Total]]&lt;&gt; 0, NOT(ISBLANK(SamplingData[[#This Row],[Candidate 7]]))),(SamplingData[[#This Row],[Total]]+SamplingData[[#This Row],[Winning Candidate]]-SamplingData[[#This Row],[Candidate 7]])/(SamplingData[[#Totals],[Winning Candidate]]-SamplingData[[#Totals],[Candidate 7]]), 0)</f>
        <v>0</v>
      </c>
      <c r="W466" s="99">
        <f>IF(AND(SamplingData[[#This Row],[Total]]&lt;&gt; 0, NOT(ISBLANK(SamplingData[[#This Row],[Candidate 8]]))),(SamplingData[[#This Row],[Total]]+SamplingData[[#This Row],[Winning Candidate]]-SamplingData[[#This Row],[Candidate 8]])/(SamplingData[[#Totals],[Winning Candidate]]-SamplingData[[#Totals],[Candidate 8]]), 0)</f>
        <v>0</v>
      </c>
      <c r="X4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6" s="99">
        <f>MAX(SamplingData[[#This Row],[Error Bound (up) - Max. possible relative overstatement - Losing Candidate]:[Error Bound (up) - Max. possible relative overstatement - Candidate 12]])</f>
        <v>7.5963333899168222E-3</v>
      </c>
      <c r="AC466" s="99">
        <f>IF(SamplingData[[#This Row],[Max Error Bound (up)]] = 0,0,SamplingData[[#This Row],[Max Error Bound (up)]]/SamplingData[[#Totals],[Max Error Bound (up)]])</f>
        <v>4.0671465445159467E-4</v>
      </c>
      <c r="AD466" s="103">
        <f>SUM($AC$5:AC466)</f>
        <v>0.38506789180935802</v>
      </c>
      <c r="AE466" s="99" t="str" cm="1">
        <f t="array" ref="AE466">IF(SamplingData[[#This Row],[up/U Selection Probability]] = 0, "Zero", TEXT(SamplingData[[#This Row],[Lower Range]], REPT("0",LEN('General Info'!$B$42))) &amp; " - " &amp; TEXT(SamplingData[[#This Row],[Upper Range]], REPT("0",LEN('General Info'!$B$42))))</f>
        <v>384661 - 385067</v>
      </c>
      <c r="AF466" s="99">
        <f>SamplingData[[#This Row],[Upper Range]]-SamplingData[[#This Row],[Span]]</f>
        <v>384661.17715490644</v>
      </c>
      <c r="AG466" s="99">
        <f>IF(ISNUMBER('General Info'!$B$42), ((SamplingData[[#This Row],[up/U Selection Probability]]) * 'General Info'!$B$44) - 1, 0)</f>
        <v>405.71465445159464</v>
      </c>
      <c r="AH466" s="99">
        <f>IF(ISNUMBER('General Info'!$B$42), (SamplingData[[#This Row],[Running (cumulative) sum]] * ('General Info'!$B$42 -'General Info'!$B$43 + 1)) + 'General Info'!$B$43 - 1, 0)</f>
        <v>385066.89180935803</v>
      </c>
      <c r="AI466" s="99" t="str">
        <f>IF(ISERROR(MATCH(SamplingData[[#This Row],[Batch by Type (p)]],SelectedPrecincts[Batch Name], 0)), "", INDEX(SelectedPrecincts[Draw], MATCH(SamplingData[[#This Row],[Batch by Type (p)]],SelectedPrecincts[Batch Name], 0)))</f>
        <v/>
      </c>
      <c r="AJ466" s="100">
        <f>IF(COUNTIF(SelectedPrecincts[Batch Name],SamplingData[[#This Row],[Batch by Type (p)]]) &lt;&gt; 0, COUNTIF(SelectedPrecincts[Batch Name],SamplingData[[#This Row],[Batch by Type (p)]]), 0)</f>
        <v>0</v>
      </c>
    </row>
    <row r="467" spans="1:36" ht="15" customHeight="1" x14ac:dyDescent="0.35">
      <c r="A467" s="97" t="s">
        <v>680</v>
      </c>
      <c r="B467" s="97">
        <v>71</v>
      </c>
      <c r="C467" s="97">
        <v>202</v>
      </c>
      <c r="D467" s="92"/>
      <c r="E467" s="92"/>
      <c r="F467" s="92"/>
      <c r="G467" s="96"/>
      <c r="H467" s="96"/>
      <c r="I467" s="92"/>
      <c r="J467" s="92"/>
      <c r="K467" s="92"/>
      <c r="L467" s="92"/>
      <c r="M467" s="92"/>
      <c r="N467" s="97">
        <v>1</v>
      </c>
      <c r="O467" s="97">
        <v>20</v>
      </c>
      <c r="P467" s="98">
        <f>SUM(SamplingData[[#This Row],[Winning Candidate]:[Under Votes]])</f>
        <v>294</v>
      </c>
      <c r="Q467" s="99">
        <f>IF(AND(SamplingData[[#This Row],[Total]]&lt;&gt; 0, NOT(ISBLANK(SamplingData[[#This Row],[Losing Candidate]]))),(SamplingData[[#This Row],[Total]]+SamplingData[[#This Row],[Winning Candidate]]-SamplingData[[#This Row],[Losing Candidate]])/(SamplingData[[#Totals],[Winning Candidate]]-SamplingData[[#Totals],[Losing Candidate]]), 0)</f>
        <v>6.917331522661687E-3</v>
      </c>
      <c r="R467" s="99">
        <f>IF(AND(SamplingData[[#This Row],[Total]]&lt;&gt; 0, NOT(ISBLANK(SamplingData[[#This Row],[Candidate 3]]))),(SamplingData[[#This Row],[Total]]+SamplingData[[#This Row],[Winning Candidate]]-SamplingData[[#This Row],[Candidate 3]])/(SamplingData[[#Totals],[Winning Candidate]]-SamplingData[[#Totals],[Candidate 3]]), 0)</f>
        <v>0</v>
      </c>
      <c r="S467" s="99">
        <f>IF(AND(SamplingData[[#This Row],[Total]]&lt;&gt; 0, NOT(ISBLANK(SamplingData[[#This Row],[Candidate 4]]))),(SamplingData[[#This Row],[Total]]+SamplingData[[#This Row],[Winning Candidate]]-SamplingData[[#This Row],[Candidate 4]])/(SamplingData[[#Totals],[Winning Candidate]]-SamplingData[[#Totals],[Candidate 4]]), 0)</f>
        <v>0</v>
      </c>
      <c r="T467" s="99">
        <f>IF(AND(SamplingData[[#This Row],[Total]]&lt;&gt; 0, NOT(ISBLANK(SamplingData[[#This Row],[Candidate 5]]))),(SamplingData[[#This Row],[Total]]+SamplingData[[#This Row],[Winning Candidate]]-SamplingData[[#This Row],[Candidate 5]])/(SamplingData[[#Totals],[Winning Candidate]]-SamplingData[[#Totals],[Candidate 5]]), 0)</f>
        <v>0</v>
      </c>
      <c r="U467" s="99">
        <f>IF(AND(SamplingData[[#This Row],[Total]]&lt;&gt; 0, NOT(ISBLANK(SamplingData[[#This Row],[Candidate 6]]))),(SamplingData[[#This Row],[Total]]+SamplingData[[#This Row],[Losing Candidate]]-SamplingData[[#This Row],[Candidate 6]])/(SamplingData[[#Totals],[Winning Candidate]]-SamplingData[[#Totals],[Candidate 6]]), 0)</f>
        <v>0</v>
      </c>
      <c r="V467" s="99">
        <f>IF(AND(SamplingData[[#This Row],[Total]]&lt;&gt; 0, NOT(ISBLANK(SamplingData[[#This Row],[Candidate 7]]))),(SamplingData[[#This Row],[Total]]+SamplingData[[#This Row],[Winning Candidate]]-SamplingData[[#This Row],[Candidate 7]])/(SamplingData[[#Totals],[Winning Candidate]]-SamplingData[[#Totals],[Candidate 7]]), 0)</f>
        <v>0</v>
      </c>
      <c r="W467" s="99">
        <f>IF(AND(SamplingData[[#This Row],[Total]]&lt;&gt; 0, NOT(ISBLANK(SamplingData[[#This Row],[Candidate 8]]))),(SamplingData[[#This Row],[Total]]+SamplingData[[#This Row],[Winning Candidate]]-SamplingData[[#This Row],[Candidate 8]])/(SamplingData[[#Totals],[Winning Candidate]]-SamplingData[[#Totals],[Candidate 8]]), 0)</f>
        <v>0</v>
      </c>
      <c r="X4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7" s="99">
        <f>MAX(SamplingData[[#This Row],[Error Bound (up) - Max. possible relative overstatement - Losing Candidate]:[Error Bound (up) - Max. possible relative overstatement - Candidate 12]])</f>
        <v>6.917331522661687E-3</v>
      </c>
      <c r="AC467" s="99">
        <f>IF(SamplingData[[#This Row],[Max Error Bound (up)]] = 0,0,SamplingData[[#This Row],[Max Error Bound (up)]]/SamplingData[[#Totals],[Max Error Bound (up)]])</f>
        <v>3.7036027193078174E-4</v>
      </c>
      <c r="AD467" s="103">
        <f>SUM($AC$5:AC467)</f>
        <v>0.38543825208128879</v>
      </c>
      <c r="AE467" s="99" t="str" cm="1">
        <f t="array" ref="AE467">IF(SamplingData[[#This Row],[up/U Selection Probability]] = 0, "Zero", TEXT(SamplingData[[#This Row],[Lower Range]], REPT("0",LEN('General Info'!$B$42))) &amp; " - " &amp; TEXT(SamplingData[[#This Row],[Upper Range]], REPT("0",LEN('General Info'!$B$42))))</f>
        <v>385068 - 385437</v>
      </c>
      <c r="AF467" s="99">
        <f>SamplingData[[#This Row],[Upper Range]]-SamplingData[[#This Row],[Span]]</f>
        <v>385067.89180935803</v>
      </c>
      <c r="AG467" s="99">
        <f>IF(ISNUMBER('General Info'!$B$42), ((SamplingData[[#This Row],[up/U Selection Probability]]) * 'General Info'!$B$44) - 1, 0)</f>
        <v>369.36027193078172</v>
      </c>
      <c r="AH467" s="99">
        <f>IF(ISNUMBER('General Info'!$B$42), (SamplingData[[#This Row],[Running (cumulative) sum]] * ('General Info'!$B$42 -'General Info'!$B$43 + 1)) + 'General Info'!$B$43 - 1, 0)</f>
        <v>385437.25208128878</v>
      </c>
      <c r="AI467" s="99" t="str">
        <f>IF(ISERROR(MATCH(SamplingData[[#This Row],[Batch by Type (p)]],SelectedPrecincts[Batch Name], 0)), "", INDEX(SelectedPrecincts[Draw], MATCH(SamplingData[[#This Row],[Batch by Type (p)]],SelectedPrecincts[Batch Name], 0)))</f>
        <v/>
      </c>
      <c r="AJ467" s="100">
        <f>IF(COUNTIF(SelectedPrecincts[Batch Name],SamplingData[[#This Row],[Batch by Type (p)]]) &lt;&gt; 0, COUNTIF(SelectedPrecincts[Batch Name],SamplingData[[#This Row],[Batch by Type (p)]]), 0)</f>
        <v>0</v>
      </c>
    </row>
    <row r="468" spans="1:36" ht="15" customHeight="1" x14ac:dyDescent="0.35">
      <c r="A468" s="97" t="s">
        <v>681</v>
      </c>
      <c r="B468" s="97">
        <v>41</v>
      </c>
      <c r="C468" s="97">
        <v>135</v>
      </c>
      <c r="D468" s="92"/>
      <c r="E468" s="92"/>
      <c r="F468" s="92"/>
      <c r="G468" s="96"/>
      <c r="H468" s="96"/>
      <c r="I468" s="92"/>
      <c r="J468" s="92"/>
      <c r="K468" s="92"/>
      <c r="L468" s="92"/>
      <c r="M468" s="92"/>
      <c r="N468" s="97">
        <v>0</v>
      </c>
      <c r="O468" s="97">
        <v>4</v>
      </c>
      <c r="P468" s="98">
        <f>SUM(SamplingData[[#This Row],[Winning Candidate]:[Under Votes]])</f>
        <v>180</v>
      </c>
      <c r="Q468" s="99">
        <f>IF(AND(SamplingData[[#This Row],[Total]]&lt;&gt; 0, NOT(ISBLANK(SamplingData[[#This Row],[Losing Candidate]]))),(SamplingData[[#This Row],[Total]]+SamplingData[[#This Row],[Winning Candidate]]-SamplingData[[#This Row],[Losing Candidate]])/(SamplingData[[#Totals],[Winning Candidate]]-SamplingData[[#Totals],[Losing Candidate]]), 0)</f>
        <v>3.6496350364963502E-3</v>
      </c>
      <c r="R468" s="99">
        <f>IF(AND(SamplingData[[#This Row],[Total]]&lt;&gt; 0, NOT(ISBLANK(SamplingData[[#This Row],[Candidate 3]]))),(SamplingData[[#This Row],[Total]]+SamplingData[[#This Row],[Winning Candidate]]-SamplingData[[#This Row],[Candidate 3]])/(SamplingData[[#Totals],[Winning Candidate]]-SamplingData[[#Totals],[Candidate 3]]), 0)</f>
        <v>0</v>
      </c>
      <c r="S468" s="99">
        <f>IF(AND(SamplingData[[#This Row],[Total]]&lt;&gt; 0, NOT(ISBLANK(SamplingData[[#This Row],[Candidate 4]]))),(SamplingData[[#This Row],[Total]]+SamplingData[[#This Row],[Winning Candidate]]-SamplingData[[#This Row],[Candidate 4]])/(SamplingData[[#Totals],[Winning Candidate]]-SamplingData[[#Totals],[Candidate 4]]), 0)</f>
        <v>0</v>
      </c>
      <c r="T468" s="99">
        <f>IF(AND(SamplingData[[#This Row],[Total]]&lt;&gt; 0, NOT(ISBLANK(SamplingData[[#This Row],[Candidate 5]]))),(SamplingData[[#This Row],[Total]]+SamplingData[[#This Row],[Winning Candidate]]-SamplingData[[#This Row],[Candidate 5]])/(SamplingData[[#Totals],[Winning Candidate]]-SamplingData[[#Totals],[Candidate 5]]), 0)</f>
        <v>0</v>
      </c>
      <c r="U468" s="99">
        <f>IF(AND(SamplingData[[#This Row],[Total]]&lt;&gt; 0, NOT(ISBLANK(SamplingData[[#This Row],[Candidate 6]]))),(SamplingData[[#This Row],[Total]]+SamplingData[[#This Row],[Losing Candidate]]-SamplingData[[#This Row],[Candidate 6]])/(SamplingData[[#Totals],[Winning Candidate]]-SamplingData[[#Totals],[Candidate 6]]), 0)</f>
        <v>0</v>
      </c>
      <c r="V468" s="99">
        <f>IF(AND(SamplingData[[#This Row],[Total]]&lt;&gt; 0, NOT(ISBLANK(SamplingData[[#This Row],[Candidate 7]]))),(SamplingData[[#This Row],[Total]]+SamplingData[[#This Row],[Winning Candidate]]-SamplingData[[#This Row],[Candidate 7]])/(SamplingData[[#Totals],[Winning Candidate]]-SamplingData[[#Totals],[Candidate 7]]), 0)</f>
        <v>0</v>
      </c>
      <c r="W468" s="99">
        <f>IF(AND(SamplingData[[#This Row],[Total]]&lt;&gt; 0, NOT(ISBLANK(SamplingData[[#This Row],[Candidate 8]]))),(SamplingData[[#This Row],[Total]]+SamplingData[[#This Row],[Winning Candidate]]-SamplingData[[#This Row],[Candidate 8]])/(SamplingData[[#Totals],[Winning Candidate]]-SamplingData[[#Totals],[Candidate 8]]), 0)</f>
        <v>0</v>
      </c>
      <c r="X4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8" s="99">
        <f>MAX(SamplingData[[#This Row],[Error Bound (up) - Max. possible relative overstatement - Losing Candidate]:[Error Bound (up) - Max. possible relative overstatement - Candidate 12]])</f>
        <v>3.6496350364963502E-3</v>
      </c>
      <c r="AC468" s="99">
        <f>IF(SamplingData[[#This Row],[Max Error Bound (up)]] = 0,0,SamplingData[[#This Row],[Max Error Bound (up)]]/SamplingData[[#Totals],[Max Error Bound (up)]])</f>
        <v>1.9540480604936949E-4</v>
      </c>
      <c r="AD468" s="103">
        <f>SUM($AC$5:AC468)</f>
        <v>0.38563365688733814</v>
      </c>
      <c r="AE468" s="99" t="str" cm="1">
        <f t="array" ref="AE468">IF(SamplingData[[#This Row],[up/U Selection Probability]] = 0, "Zero", TEXT(SamplingData[[#This Row],[Lower Range]], REPT("0",LEN('General Info'!$B$42))) &amp; " - " &amp; TEXT(SamplingData[[#This Row],[Upper Range]], REPT("0",LEN('General Info'!$B$42))))</f>
        <v>385438 - 385633</v>
      </c>
      <c r="AF468" s="99">
        <f>SamplingData[[#This Row],[Upper Range]]-SamplingData[[#This Row],[Span]]</f>
        <v>385438.25208128878</v>
      </c>
      <c r="AG468" s="99">
        <f>IF(ISNUMBER('General Info'!$B$42), ((SamplingData[[#This Row],[up/U Selection Probability]]) * 'General Info'!$B$44) - 1, 0)</f>
        <v>194.40480604936948</v>
      </c>
      <c r="AH468" s="99">
        <f>IF(ISNUMBER('General Info'!$B$42), (SamplingData[[#This Row],[Running (cumulative) sum]] * ('General Info'!$B$42 -'General Info'!$B$43 + 1)) + 'General Info'!$B$43 - 1, 0)</f>
        <v>385632.65688733815</v>
      </c>
      <c r="AI468" s="99" t="str">
        <f>IF(ISERROR(MATCH(SamplingData[[#This Row],[Batch by Type (p)]],SelectedPrecincts[Batch Name], 0)), "", INDEX(SelectedPrecincts[Draw], MATCH(SamplingData[[#This Row],[Batch by Type (p)]],SelectedPrecincts[Batch Name], 0)))</f>
        <v/>
      </c>
      <c r="AJ468" s="100">
        <f>IF(COUNTIF(SelectedPrecincts[Batch Name],SamplingData[[#This Row],[Batch by Type (p)]]) &lt;&gt; 0, COUNTIF(SelectedPrecincts[Batch Name],SamplingData[[#This Row],[Batch by Type (p)]]), 0)</f>
        <v>0</v>
      </c>
    </row>
    <row r="469" spans="1:36" ht="15" customHeight="1" x14ac:dyDescent="0.35">
      <c r="A469" s="97" t="s">
        <v>682</v>
      </c>
      <c r="B469" s="97">
        <v>37</v>
      </c>
      <c r="C469" s="97">
        <v>137</v>
      </c>
      <c r="D469" s="92"/>
      <c r="E469" s="92"/>
      <c r="F469" s="92"/>
      <c r="G469" s="96"/>
      <c r="H469" s="96"/>
      <c r="I469" s="92"/>
      <c r="J469" s="92"/>
      <c r="K469" s="92"/>
      <c r="L469" s="92"/>
      <c r="M469" s="92"/>
      <c r="N469" s="97">
        <v>0</v>
      </c>
      <c r="O469" s="97">
        <v>5</v>
      </c>
      <c r="P469" s="98">
        <f>SUM(SamplingData[[#This Row],[Winning Candidate]:[Under Votes]])</f>
        <v>179</v>
      </c>
      <c r="Q469" s="99">
        <f>IF(AND(SamplingData[[#This Row],[Total]]&lt;&gt; 0, NOT(ISBLANK(SamplingData[[#This Row],[Losing Candidate]]))),(SamplingData[[#This Row],[Total]]+SamplingData[[#This Row],[Winning Candidate]]-SamplingData[[#This Row],[Losing Candidate]])/(SamplingData[[#Totals],[Winning Candidate]]-SamplingData[[#Totals],[Losing Candidate]]), 0)</f>
        <v>3.352571719572229E-3</v>
      </c>
      <c r="R469" s="99">
        <f>IF(AND(SamplingData[[#This Row],[Total]]&lt;&gt; 0, NOT(ISBLANK(SamplingData[[#This Row],[Candidate 3]]))),(SamplingData[[#This Row],[Total]]+SamplingData[[#This Row],[Winning Candidate]]-SamplingData[[#This Row],[Candidate 3]])/(SamplingData[[#Totals],[Winning Candidate]]-SamplingData[[#Totals],[Candidate 3]]), 0)</f>
        <v>0</v>
      </c>
      <c r="S469" s="99">
        <f>IF(AND(SamplingData[[#This Row],[Total]]&lt;&gt; 0, NOT(ISBLANK(SamplingData[[#This Row],[Candidate 4]]))),(SamplingData[[#This Row],[Total]]+SamplingData[[#This Row],[Winning Candidate]]-SamplingData[[#This Row],[Candidate 4]])/(SamplingData[[#Totals],[Winning Candidate]]-SamplingData[[#Totals],[Candidate 4]]), 0)</f>
        <v>0</v>
      </c>
      <c r="T469" s="99">
        <f>IF(AND(SamplingData[[#This Row],[Total]]&lt;&gt; 0, NOT(ISBLANK(SamplingData[[#This Row],[Candidate 5]]))),(SamplingData[[#This Row],[Total]]+SamplingData[[#This Row],[Winning Candidate]]-SamplingData[[#This Row],[Candidate 5]])/(SamplingData[[#Totals],[Winning Candidate]]-SamplingData[[#Totals],[Candidate 5]]), 0)</f>
        <v>0</v>
      </c>
      <c r="U469" s="99">
        <f>IF(AND(SamplingData[[#This Row],[Total]]&lt;&gt; 0, NOT(ISBLANK(SamplingData[[#This Row],[Candidate 6]]))),(SamplingData[[#This Row],[Total]]+SamplingData[[#This Row],[Losing Candidate]]-SamplingData[[#This Row],[Candidate 6]])/(SamplingData[[#Totals],[Winning Candidate]]-SamplingData[[#Totals],[Candidate 6]]), 0)</f>
        <v>0</v>
      </c>
      <c r="V469" s="99">
        <f>IF(AND(SamplingData[[#This Row],[Total]]&lt;&gt; 0, NOT(ISBLANK(SamplingData[[#This Row],[Candidate 7]]))),(SamplingData[[#This Row],[Total]]+SamplingData[[#This Row],[Winning Candidate]]-SamplingData[[#This Row],[Candidate 7]])/(SamplingData[[#Totals],[Winning Candidate]]-SamplingData[[#Totals],[Candidate 7]]), 0)</f>
        <v>0</v>
      </c>
      <c r="W469" s="99">
        <f>IF(AND(SamplingData[[#This Row],[Total]]&lt;&gt; 0, NOT(ISBLANK(SamplingData[[#This Row],[Candidate 8]]))),(SamplingData[[#This Row],[Total]]+SamplingData[[#This Row],[Winning Candidate]]-SamplingData[[#This Row],[Candidate 8]])/(SamplingData[[#Totals],[Winning Candidate]]-SamplingData[[#Totals],[Candidate 8]]), 0)</f>
        <v>0</v>
      </c>
      <c r="X4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9" s="99">
        <f>MAX(SamplingData[[#This Row],[Error Bound (up) - Max. possible relative overstatement - Losing Candidate]:[Error Bound (up) - Max. possible relative overstatement - Candidate 12]])</f>
        <v>3.352571719572229E-3</v>
      </c>
      <c r="AC469" s="99">
        <f>IF(SamplingData[[#This Row],[Max Error Bound (up)]] = 0,0,SamplingData[[#This Row],[Max Error Bound (up)]]/SamplingData[[#Totals],[Max Error Bound (up)]])</f>
        <v>1.7949976369651386E-4</v>
      </c>
      <c r="AD469" s="103">
        <f>SUM($AC$5:AC469)</f>
        <v>0.38581315665103466</v>
      </c>
      <c r="AE469" s="99" t="str" cm="1">
        <f t="array" ref="AE469">IF(SamplingData[[#This Row],[up/U Selection Probability]] = 0, "Zero", TEXT(SamplingData[[#This Row],[Lower Range]], REPT("0",LEN('General Info'!$B$42))) &amp; " - " &amp; TEXT(SamplingData[[#This Row],[Upper Range]], REPT("0",LEN('General Info'!$B$42))))</f>
        <v>385634 - 385812</v>
      </c>
      <c r="AF469" s="99">
        <f>SamplingData[[#This Row],[Upper Range]]-SamplingData[[#This Row],[Span]]</f>
        <v>385633.65688733815</v>
      </c>
      <c r="AG469" s="99">
        <f>IF(ISNUMBER('General Info'!$B$42), ((SamplingData[[#This Row],[up/U Selection Probability]]) * 'General Info'!$B$44) - 1, 0)</f>
        <v>178.49976369651387</v>
      </c>
      <c r="AH469" s="99">
        <f>IF(ISNUMBER('General Info'!$B$42), (SamplingData[[#This Row],[Running (cumulative) sum]] * ('General Info'!$B$42 -'General Info'!$B$43 + 1)) + 'General Info'!$B$43 - 1, 0)</f>
        <v>385812.15665103466</v>
      </c>
      <c r="AI469" s="99" t="str">
        <f>IF(ISERROR(MATCH(SamplingData[[#This Row],[Batch by Type (p)]],SelectedPrecincts[Batch Name], 0)), "", INDEX(SelectedPrecincts[Draw], MATCH(SamplingData[[#This Row],[Batch by Type (p)]],SelectedPrecincts[Batch Name], 0)))</f>
        <v/>
      </c>
      <c r="AJ469" s="100">
        <f>IF(COUNTIF(SelectedPrecincts[Batch Name],SamplingData[[#This Row],[Batch by Type (p)]]) &lt;&gt; 0, COUNTIF(SelectedPrecincts[Batch Name],SamplingData[[#This Row],[Batch by Type (p)]]), 0)</f>
        <v>0</v>
      </c>
    </row>
    <row r="470" spans="1:36" ht="15" customHeight="1" x14ac:dyDescent="0.35">
      <c r="A470" s="97" t="s">
        <v>683</v>
      </c>
      <c r="B470" s="97">
        <v>32</v>
      </c>
      <c r="C470" s="97">
        <v>93</v>
      </c>
      <c r="D470" s="92"/>
      <c r="E470" s="92"/>
      <c r="F470" s="92"/>
      <c r="G470" s="96"/>
      <c r="H470" s="96"/>
      <c r="I470" s="92"/>
      <c r="J470" s="92"/>
      <c r="K470" s="92"/>
      <c r="L470" s="92"/>
      <c r="M470" s="92"/>
      <c r="N470" s="97">
        <v>0</v>
      </c>
      <c r="O470" s="97">
        <v>8</v>
      </c>
      <c r="P470" s="98">
        <f>SUM(SamplingData[[#This Row],[Winning Candidate]:[Under Votes]])</f>
        <v>133</v>
      </c>
      <c r="Q470" s="99">
        <f>IF(AND(SamplingData[[#This Row],[Total]]&lt;&gt; 0, NOT(ISBLANK(SamplingData[[#This Row],[Losing Candidate]]))),(SamplingData[[#This Row],[Total]]+SamplingData[[#This Row],[Winning Candidate]]-SamplingData[[#This Row],[Losing Candidate]])/(SamplingData[[#Totals],[Winning Candidate]]-SamplingData[[#Totals],[Losing Candidate]]), 0)</f>
        <v>3.0555084026481073E-3</v>
      </c>
      <c r="R470" s="99">
        <f>IF(AND(SamplingData[[#This Row],[Total]]&lt;&gt; 0, NOT(ISBLANK(SamplingData[[#This Row],[Candidate 3]]))),(SamplingData[[#This Row],[Total]]+SamplingData[[#This Row],[Winning Candidate]]-SamplingData[[#This Row],[Candidate 3]])/(SamplingData[[#Totals],[Winning Candidate]]-SamplingData[[#Totals],[Candidate 3]]), 0)</f>
        <v>0</v>
      </c>
      <c r="S470" s="99">
        <f>IF(AND(SamplingData[[#This Row],[Total]]&lt;&gt; 0, NOT(ISBLANK(SamplingData[[#This Row],[Candidate 4]]))),(SamplingData[[#This Row],[Total]]+SamplingData[[#This Row],[Winning Candidate]]-SamplingData[[#This Row],[Candidate 4]])/(SamplingData[[#Totals],[Winning Candidate]]-SamplingData[[#Totals],[Candidate 4]]), 0)</f>
        <v>0</v>
      </c>
      <c r="T470" s="99">
        <f>IF(AND(SamplingData[[#This Row],[Total]]&lt;&gt; 0, NOT(ISBLANK(SamplingData[[#This Row],[Candidate 5]]))),(SamplingData[[#This Row],[Total]]+SamplingData[[#This Row],[Winning Candidate]]-SamplingData[[#This Row],[Candidate 5]])/(SamplingData[[#Totals],[Winning Candidate]]-SamplingData[[#Totals],[Candidate 5]]), 0)</f>
        <v>0</v>
      </c>
      <c r="U470" s="99">
        <f>IF(AND(SamplingData[[#This Row],[Total]]&lt;&gt; 0, NOT(ISBLANK(SamplingData[[#This Row],[Candidate 6]]))),(SamplingData[[#This Row],[Total]]+SamplingData[[#This Row],[Losing Candidate]]-SamplingData[[#This Row],[Candidate 6]])/(SamplingData[[#Totals],[Winning Candidate]]-SamplingData[[#Totals],[Candidate 6]]), 0)</f>
        <v>0</v>
      </c>
      <c r="V470" s="99">
        <f>IF(AND(SamplingData[[#This Row],[Total]]&lt;&gt; 0, NOT(ISBLANK(SamplingData[[#This Row],[Candidate 7]]))),(SamplingData[[#This Row],[Total]]+SamplingData[[#This Row],[Winning Candidate]]-SamplingData[[#This Row],[Candidate 7]])/(SamplingData[[#Totals],[Winning Candidate]]-SamplingData[[#Totals],[Candidate 7]]), 0)</f>
        <v>0</v>
      </c>
      <c r="W470" s="99">
        <f>IF(AND(SamplingData[[#This Row],[Total]]&lt;&gt; 0, NOT(ISBLANK(SamplingData[[#This Row],[Candidate 8]]))),(SamplingData[[#This Row],[Total]]+SamplingData[[#This Row],[Winning Candidate]]-SamplingData[[#This Row],[Candidate 8]])/(SamplingData[[#Totals],[Winning Candidate]]-SamplingData[[#Totals],[Candidate 8]]), 0)</f>
        <v>0</v>
      </c>
      <c r="X4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0" s="99">
        <f>MAX(SamplingData[[#This Row],[Error Bound (up) - Max. possible relative overstatement - Losing Candidate]:[Error Bound (up) - Max. possible relative overstatement - Candidate 12]])</f>
        <v>3.0555084026481073E-3</v>
      </c>
      <c r="AC470" s="99">
        <f>IF(SamplingData[[#This Row],[Max Error Bound (up)]] = 0,0,SamplingData[[#This Row],[Max Error Bound (up)]]/SamplingData[[#Totals],[Max Error Bound (up)]])</f>
        <v>1.6359472134365818E-4</v>
      </c>
      <c r="AD470" s="103">
        <f>SUM($AC$5:AC470)</f>
        <v>0.3859767513723783</v>
      </c>
      <c r="AE470" s="99" t="str" cm="1">
        <f t="array" ref="AE470">IF(SamplingData[[#This Row],[up/U Selection Probability]] = 0, "Zero", TEXT(SamplingData[[#This Row],[Lower Range]], REPT("0",LEN('General Info'!$B$42))) &amp; " - " &amp; TEXT(SamplingData[[#This Row],[Upper Range]], REPT("0",LEN('General Info'!$B$42))))</f>
        <v>385813 - 385976</v>
      </c>
      <c r="AF470" s="99">
        <f>SamplingData[[#This Row],[Upper Range]]-SamplingData[[#This Row],[Span]]</f>
        <v>385813.15665103466</v>
      </c>
      <c r="AG470" s="99">
        <f>IF(ISNUMBER('General Info'!$B$42), ((SamplingData[[#This Row],[up/U Selection Probability]]) * 'General Info'!$B$44) - 1, 0)</f>
        <v>162.59472134365816</v>
      </c>
      <c r="AH470" s="99">
        <f>IF(ISNUMBER('General Info'!$B$42), (SamplingData[[#This Row],[Running (cumulative) sum]] * ('General Info'!$B$42 -'General Info'!$B$43 + 1)) + 'General Info'!$B$43 - 1, 0)</f>
        <v>385975.75137237832</v>
      </c>
      <c r="AI470" s="99" t="str">
        <f>IF(ISERROR(MATCH(SamplingData[[#This Row],[Batch by Type (p)]],SelectedPrecincts[Batch Name], 0)), "", INDEX(SelectedPrecincts[Draw], MATCH(SamplingData[[#This Row],[Batch by Type (p)]],SelectedPrecincts[Batch Name], 0)))</f>
        <v/>
      </c>
      <c r="AJ470" s="100">
        <f>IF(COUNTIF(SelectedPrecincts[Batch Name],SamplingData[[#This Row],[Batch by Type (p)]]) &lt;&gt; 0, COUNTIF(SelectedPrecincts[Batch Name],SamplingData[[#This Row],[Batch by Type (p)]]), 0)</f>
        <v>0</v>
      </c>
    </row>
    <row r="471" spans="1:36" ht="15" customHeight="1" x14ac:dyDescent="0.35">
      <c r="A471" s="97" t="s">
        <v>684</v>
      </c>
      <c r="B471" s="97">
        <v>98</v>
      </c>
      <c r="C471" s="97">
        <v>295</v>
      </c>
      <c r="D471" s="92"/>
      <c r="E471" s="92"/>
      <c r="F471" s="92"/>
      <c r="G471" s="96"/>
      <c r="H471" s="96"/>
      <c r="I471" s="92"/>
      <c r="J471" s="92"/>
      <c r="K471" s="92"/>
      <c r="L471" s="92"/>
      <c r="M471" s="92"/>
      <c r="N471" s="97">
        <v>0</v>
      </c>
      <c r="O471" s="97">
        <v>19</v>
      </c>
      <c r="P471" s="98">
        <f>SUM(SamplingData[[#This Row],[Winning Candidate]:[Under Votes]])</f>
        <v>412</v>
      </c>
      <c r="Q471" s="99">
        <f>IF(AND(SamplingData[[#This Row],[Total]]&lt;&gt; 0, NOT(ISBLANK(SamplingData[[#This Row],[Losing Candidate]]))),(SamplingData[[#This Row],[Total]]+SamplingData[[#This Row],[Winning Candidate]]-SamplingData[[#This Row],[Losing Candidate]])/(SamplingData[[#Totals],[Winning Candidate]]-SamplingData[[#Totals],[Losing Candidate]]), 0)</f>
        <v>9.1240875912408752E-3</v>
      </c>
      <c r="R471" s="99">
        <f>IF(AND(SamplingData[[#This Row],[Total]]&lt;&gt; 0, NOT(ISBLANK(SamplingData[[#This Row],[Candidate 3]]))),(SamplingData[[#This Row],[Total]]+SamplingData[[#This Row],[Winning Candidate]]-SamplingData[[#This Row],[Candidate 3]])/(SamplingData[[#Totals],[Winning Candidate]]-SamplingData[[#Totals],[Candidate 3]]), 0)</f>
        <v>0</v>
      </c>
      <c r="S471" s="99">
        <f>IF(AND(SamplingData[[#This Row],[Total]]&lt;&gt; 0, NOT(ISBLANK(SamplingData[[#This Row],[Candidate 4]]))),(SamplingData[[#This Row],[Total]]+SamplingData[[#This Row],[Winning Candidate]]-SamplingData[[#This Row],[Candidate 4]])/(SamplingData[[#Totals],[Winning Candidate]]-SamplingData[[#Totals],[Candidate 4]]), 0)</f>
        <v>0</v>
      </c>
      <c r="T471" s="99">
        <f>IF(AND(SamplingData[[#This Row],[Total]]&lt;&gt; 0, NOT(ISBLANK(SamplingData[[#This Row],[Candidate 5]]))),(SamplingData[[#This Row],[Total]]+SamplingData[[#This Row],[Winning Candidate]]-SamplingData[[#This Row],[Candidate 5]])/(SamplingData[[#Totals],[Winning Candidate]]-SamplingData[[#Totals],[Candidate 5]]), 0)</f>
        <v>0</v>
      </c>
      <c r="U471" s="99">
        <f>IF(AND(SamplingData[[#This Row],[Total]]&lt;&gt; 0, NOT(ISBLANK(SamplingData[[#This Row],[Candidate 6]]))),(SamplingData[[#This Row],[Total]]+SamplingData[[#This Row],[Losing Candidate]]-SamplingData[[#This Row],[Candidate 6]])/(SamplingData[[#Totals],[Winning Candidate]]-SamplingData[[#Totals],[Candidate 6]]), 0)</f>
        <v>0</v>
      </c>
      <c r="V471" s="99">
        <f>IF(AND(SamplingData[[#This Row],[Total]]&lt;&gt; 0, NOT(ISBLANK(SamplingData[[#This Row],[Candidate 7]]))),(SamplingData[[#This Row],[Total]]+SamplingData[[#This Row],[Winning Candidate]]-SamplingData[[#This Row],[Candidate 7]])/(SamplingData[[#Totals],[Winning Candidate]]-SamplingData[[#Totals],[Candidate 7]]), 0)</f>
        <v>0</v>
      </c>
      <c r="W471" s="99">
        <f>IF(AND(SamplingData[[#This Row],[Total]]&lt;&gt; 0, NOT(ISBLANK(SamplingData[[#This Row],[Candidate 8]]))),(SamplingData[[#This Row],[Total]]+SamplingData[[#This Row],[Winning Candidate]]-SamplingData[[#This Row],[Candidate 8]])/(SamplingData[[#Totals],[Winning Candidate]]-SamplingData[[#Totals],[Candidate 8]]), 0)</f>
        <v>0</v>
      </c>
      <c r="X4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1" s="99">
        <f>MAX(SamplingData[[#This Row],[Error Bound (up) - Max. possible relative overstatement - Losing Candidate]:[Error Bound (up) - Max. possible relative overstatement - Candidate 12]])</f>
        <v>9.1240875912408752E-3</v>
      </c>
      <c r="AC471" s="99">
        <f>IF(SamplingData[[#This Row],[Max Error Bound (up)]] = 0,0,SamplingData[[#This Row],[Max Error Bound (up)]]/SamplingData[[#Totals],[Max Error Bound (up)]])</f>
        <v>4.8851201512342375E-4</v>
      </c>
      <c r="AD471" s="103">
        <f>SUM($AC$5:AC471)</f>
        <v>0.3864652633875017</v>
      </c>
      <c r="AE471" s="99" t="str" cm="1">
        <f t="array" ref="AE471">IF(SamplingData[[#This Row],[up/U Selection Probability]] = 0, "Zero", TEXT(SamplingData[[#This Row],[Lower Range]], REPT("0",LEN('General Info'!$B$42))) &amp; " - " &amp; TEXT(SamplingData[[#This Row],[Upper Range]], REPT("0",LEN('General Info'!$B$42))))</f>
        <v>385977 - 386464</v>
      </c>
      <c r="AF471" s="99">
        <f>SamplingData[[#This Row],[Upper Range]]-SamplingData[[#This Row],[Span]]</f>
        <v>385976.75137237826</v>
      </c>
      <c r="AG471" s="99">
        <f>IF(ISNUMBER('General Info'!$B$42), ((SamplingData[[#This Row],[up/U Selection Probability]]) * 'General Info'!$B$44) - 1, 0)</f>
        <v>487.51201512342374</v>
      </c>
      <c r="AH471" s="99">
        <f>IF(ISNUMBER('General Info'!$B$42), (SamplingData[[#This Row],[Running (cumulative) sum]] * ('General Info'!$B$42 -'General Info'!$B$43 + 1)) + 'General Info'!$B$43 - 1, 0)</f>
        <v>386464.26338750171</v>
      </c>
      <c r="AI471" s="99" t="str">
        <f>IF(ISERROR(MATCH(SamplingData[[#This Row],[Batch by Type (p)]],SelectedPrecincts[Batch Name], 0)), "", INDEX(SelectedPrecincts[Draw], MATCH(SamplingData[[#This Row],[Batch by Type (p)]],SelectedPrecincts[Batch Name], 0)))</f>
        <v/>
      </c>
      <c r="AJ471" s="100">
        <f>IF(COUNTIF(SelectedPrecincts[Batch Name],SamplingData[[#This Row],[Batch by Type (p)]]) &lt;&gt; 0, COUNTIF(SelectedPrecincts[Batch Name],SamplingData[[#This Row],[Batch by Type (p)]]), 0)</f>
        <v>0</v>
      </c>
    </row>
    <row r="472" spans="1:36" ht="15" customHeight="1" x14ac:dyDescent="0.35">
      <c r="A472" s="97" t="s">
        <v>685</v>
      </c>
      <c r="B472" s="97">
        <v>81</v>
      </c>
      <c r="C472" s="97">
        <v>259</v>
      </c>
      <c r="D472" s="92"/>
      <c r="E472" s="92"/>
      <c r="F472" s="92"/>
      <c r="G472" s="96"/>
      <c r="H472" s="96"/>
      <c r="I472" s="92"/>
      <c r="J472" s="92"/>
      <c r="K472" s="92"/>
      <c r="L472" s="92"/>
      <c r="M472" s="92"/>
      <c r="N472" s="97">
        <v>0</v>
      </c>
      <c r="O472" s="97">
        <v>12</v>
      </c>
      <c r="P472" s="98">
        <f>SUM(SamplingData[[#This Row],[Winning Candidate]:[Under Votes]])</f>
        <v>352</v>
      </c>
      <c r="Q472" s="99">
        <f>IF(AND(SamplingData[[#This Row],[Total]]&lt;&gt; 0, NOT(ISBLANK(SamplingData[[#This Row],[Losing Candidate]]))),(SamplingData[[#This Row],[Total]]+SamplingData[[#This Row],[Winning Candidate]]-SamplingData[[#This Row],[Losing Candidate]])/(SamplingData[[#Totals],[Winning Candidate]]-SamplingData[[#Totals],[Losing Candidate]]), 0)</f>
        <v>7.3841453063995923E-3</v>
      </c>
      <c r="R472" s="99">
        <f>IF(AND(SamplingData[[#This Row],[Total]]&lt;&gt; 0, NOT(ISBLANK(SamplingData[[#This Row],[Candidate 3]]))),(SamplingData[[#This Row],[Total]]+SamplingData[[#This Row],[Winning Candidate]]-SamplingData[[#This Row],[Candidate 3]])/(SamplingData[[#Totals],[Winning Candidate]]-SamplingData[[#Totals],[Candidate 3]]), 0)</f>
        <v>0</v>
      </c>
      <c r="S472" s="99">
        <f>IF(AND(SamplingData[[#This Row],[Total]]&lt;&gt; 0, NOT(ISBLANK(SamplingData[[#This Row],[Candidate 4]]))),(SamplingData[[#This Row],[Total]]+SamplingData[[#This Row],[Winning Candidate]]-SamplingData[[#This Row],[Candidate 4]])/(SamplingData[[#Totals],[Winning Candidate]]-SamplingData[[#Totals],[Candidate 4]]), 0)</f>
        <v>0</v>
      </c>
      <c r="T472" s="99">
        <f>IF(AND(SamplingData[[#This Row],[Total]]&lt;&gt; 0, NOT(ISBLANK(SamplingData[[#This Row],[Candidate 5]]))),(SamplingData[[#This Row],[Total]]+SamplingData[[#This Row],[Winning Candidate]]-SamplingData[[#This Row],[Candidate 5]])/(SamplingData[[#Totals],[Winning Candidate]]-SamplingData[[#Totals],[Candidate 5]]), 0)</f>
        <v>0</v>
      </c>
      <c r="U472" s="99">
        <f>IF(AND(SamplingData[[#This Row],[Total]]&lt;&gt; 0, NOT(ISBLANK(SamplingData[[#This Row],[Candidate 6]]))),(SamplingData[[#This Row],[Total]]+SamplingData[[#This Row],[Losing Candidate]]-SamplingData[[#This Row],[Candidate 6]])/(SamplingData[[#Totals],[Winning Candidate]]-SamplingData[[#Totals],[Candidate 6]]), 0)</f>
        <v>0</v>
      </c>
      <c r="V472" s="99">
        <f>IF(AND(SamplingData[[#This Row],[Total]]&lt;&gt; 0, NOT(ISBLANK(SamplingData[[#This Row],[Candidate 7]]))),(SamplingData[[#This Row],[Total]]+SamplingData[[#This Row],[Winning Candidate]]-SamplingData[[#This Row],[Candidate 7]])/(SamplingData[[#Totals],[Winning Candidate]]-SamplingData[[#Totals],[Candidate 7]]), 0)</f>
        <v>0</v>
      </c>
      <c r="W472" s="99">
        <f>IF(AND(SamplingData[[#This Row],[Total]]&lt;&gt; 0, NOT(ISBLANK(SamplingData[[#This Row],[Candidate 8]]))),(SamplingData[[#This Row],[Total]]+SamplingData[[#This Row],[Winning Candidate]]-SamplingData[[#This Row],[Candidate 8]])/(SamplingData[[#Totals],[Winning Candidate]]-SamplingData[[#Totals],[Candidate 8]]), 0)</f>
        <v>0</v>
      </c>
      <c r="X4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2" s="99">
        <f>MAX(SamplingData[[#This Row],[Error Bound (up) - Max. possible relative overstatement - Losing Candidate]:[Error Bound (up) - Max. possible relative overstatement - Candidate 12]])</f>
        <v>7.3841453063995923E-3</v>
      </c>
      <c r="AC472" s="99">
        <f>IF(SamplingData[[#This Row],[Max Error Bound (up)]] = 0,0,SamplingData[[#This Row],[Max Error Bound (up)]]/SamplingData[[#Totals],[Max Error Bound (up)]])</f>
        <v>3.953539099138406E-4</v>
      </c>
      <c r="AD472" s="103">
        <f>SUM($AC$5:AC472)</f>
        <v>0.38686061729741555</v>
      </c>
      <c r="AE472" s="99" t="str" cm="1">
        <f t="array" ref="AE472">IF(SamplingData[[#This Row],[up/U Selection Probability]] = 0, "Zero", TEXT(SamplingData[[#This Row],[Lower Range]], REPT("0",LEN('General Info'!$B$42))) &amp; " - " &amp; TEXT(SamplingData[[#This Row],[Upper Range]], REPT("0",LEN('General Info'!$B$42))))</f>
        <v>386465 - 386860</v>
      </c>
      <c r="AF472" s="99">
        <f>SamplingData[[#This Row],[Upper Range]]-SamplingData[[#This Row],[Span]]</f>
        <v>386465.26338750171</v>
      </c>
      <c r="AG472" s="99">
        <f>IF(ISNUMBER('General Info'!$B$42), ((SamplingData[[#This Row],[up/U Selection Probability]]) * 'General Info'!$B$44) - 1, 0)</f>
        <v>394.3539099138406</v>
      </c>
      <c r="AH472" s="99">
        <f>IF(ISNUMBER('General Info'!$B$42), (SamplingData[[#This Row],[Running (cumulative) sum]] * ('General Info'!$B$42 -'General Info'!$B$43 + 1)) + 'General Info'!$B$43 - 1, 0)</f>
        <v>386859.61729741556</v>
      </c>
      <c r="AI472" s="99" t="str">
        <f>IF(ISERROR(MATCH(SamplingData[[#This Row],[Batch by Type (p)]],SelectedPrecincts[Batch Name], 0)), "", INDEX(SelectedPrecincts[Draw], MATCH(SamplingData[[#This Row],[Batch by Type (p)]],SelectedPrecincts[Batch Name], 0)))</f>
        <v/>
      </c>
      <c r="AJ472" s="100">
        <f>IF(COUNTIF(SelectedPrecincts[Batch Name],SamplingData[[#This Row],[Batch by Type (p)]]) &lt;&gt; 0, COUNTIF(SelectedPrecincts[Batch Name],SamplingData[[#This Row],[Batch by Type (p)]]), 0)</f>
        <v>0</v>
      </c>
    </row>
    <row r="473" spans="1:36" ht="15" customHeight="1" x14ac:dyDescent="0.35">
      <c r="A473" s="97" t="s">
        <v>686</v>
      </c>
      <c r="B473" s="97">
        <v>81</v>
      </c>
      <c r="C473" s="97">
        <v>52</v>
      </c>
      <c r="D473" s="92"/>
      <c r="E473" s="92"/>
      <c r="F473" s="92"/>
      <c r="G473" s="96"/>
      <c r="H473" s="96"/>
      <c r="I473" s="92"/>
      <c r="J473" s="92"/>
      <c r="K473" s="92"/>
      <c r="L473" s="92"/>
      <c r="M473" s="92"/>
      <c r="N473" s="97">
        <v>1</v>
      </c>
      <c r="O473" s="97">
        <v>8</v>
      </c>
      <c r="P473" s="98">
        <f>SUM(SamplingData[[#This Row],[Winning Candidate]:[Under Votes]])</f>
        <v>142</v>
      </c>
      <c r="Q473" s="99">
        <f>IF(AND(SamplingData[[#This Row],[Total]]&lt;&gt; 0, NOT(ISBLANK(SamplingData[[#This Row],[Losing Candidate]]))),(SamplingData[[#This Row],[Total]]+SamplingData[[#This Row],[Winning Candidate]]-SamplingData[[#This Row],[Losing Candidate]])/(SamplingData[[#Totals],[Winning Candidate]]-SamplingData[[#Totals],[Losing Candidate]]), 0)</f>
        <v>7.256832456289255E-3</v>
      </c>
      <c r="R473" s="99">
        <f>IF(AND(SamplingData[[#This Row],[Total]]&lt;&gt; 0, NOT(ISBLANK(SamplingData[[#This Row],[Candidate 3]]))),(SamplingData[[#This Row],[Total]]+SamplingData[[#This Row],[Winning Candidate]]-SamplingData[[#This Row],[Candidate 3]])/(SamplingData[[#Totals],[Winning Candidate]]-SamplingData[[#Totals],[Candidate 3]]), 0)</f>
        <v>0</v>
      </c>
      <c r="S473" s="99">
        <f>IF(AND(SamplingData[[#This Row],[Total]]&lt;&gt; 0, NOT(ISBLANK(SamplingData[[#This Row],[Candidate 4]]))),(SamplingData[[#This Row],[Total]]+SamplingData[[#This Row],[Winning Candidate]]-SamplingData[[#This Row],[Candidate 4]])/(SamplingData[[#Totals],[Winning Candidate]]-SamplingData[[#Totals],[Candidate 4]]), 0)</f>
        <v>0</v>
      </c>
      <c r="T473" s="99">
        <f>IF(AND(SamplingData[[#This Row],[Total]]&lt;&gt; 0, NOT(ISBLANK(SamplingData[[#This Row],[Candidate 5]]))),(SamplingData[[#This Row],[Total]]+SamplingData[[#This Row],[Winning Candidate]]-SamplingData[[#This Row],[Candidate 5]])/(SamplingData[[#Totals],[Winning Candidate]]-SamplingData[[#Totals],[Candidate 5]]), 0)</f>
        <v>0</v>
      </c>
      <c r="U473" s="99">
        <f>IF(AND(SamplingData[[#This Row],[Total]]&lt;&gt; 0, NOT(ISBLANK(SamplingData[[#This Row],[Candidate 6]]))),(SamplingData[[#This Row],[Total]]+SamplingData[[#This Row],[Losing Candidate]]-SamplingData[[#This Row],[Candidate 6]])/(SamplingData[[#Totals],[Winning Candidate]]-SamplingData[[#Totals],[Candidate 6]]), 0)</f>
        <v>0</v>
      </c>
      <c r="V473" s="99">
        <f>IF(AND(SamplingData[[#This Row],[Total]]&lt;&gt; 0, NOT(ISBLANK(SamplingData[[#This Row],[Candidate 7]]))),(SamplingData[[#This Row],[Total]]+SamplingData[[#This Row],[Winning Candidate]]-SamplingData[[#This Row],[Candidate 7]])/(SamplingData[[#Totals],[Winning Candidate]]-SamplingData[[#Totals],[Candidate 7]]), 0)</f>
        <v>0</v>
      </c>
      <c r="W473" s="99">
        <f>IF(AND(SamplingData[[#This Row],[Total]]&lt;&gt; 0, NOT(ISBLANK(SamplingData[[#This Row],[Candidate 8]]))),(SamplingData[[#This Row],[Total]]+SamplingData[[#This Row],[Winning Candidate]]-SamplingData[[#This Row],[Candidate 8]])/(SamplingData[[#Totals],[Winning Candidate]]-SamplingData[[#Totals],[Candidate 8]]), 0)</f>
        <v>0</v>
      </c>
      <c r="X4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3" s="99">
        <f>MAX(SamplingData[[#This Row],[Error Bound (up) - Max. possible relative overstatement - Losing Candidate]:[Error Bound (up) - Max. possible relative overstatement - Candidate 12]])</f>
        <v>7.256832456289255E-3</v>
      </c>
      <c r="AC473" s="99">
        <f>IF(SamplingData[[#This Row],[Max Error Bound (up)]] = 0,0,SamplingData[[#This Row],[Max Error Bound (up)]]/SamplingData[[#Totals],[Max Error Bound (up)]])</f>
        <v>3.885374631911882E-4</v>
      </c>
      <c r="AD473" s="103">
        <f>SUM($AC$5:AC473)</f>
        <v>0.38724915476060673</v>
      </c>
      <c r="AE473" s="99" t="str" cm="1">
        <f t="array" ref="AE473">IF(SamplingData[[#This Row],[up/U Selection Probability]] = 0, "Zero", TEXT(SamplingData[[#This Row],[Lower Range]], REPT("0",LEN('General Info'!$B$42))) &amp; " - " &amp; TEXT(SamplingData[[#This Row],[Upper Range]], REPT("0",LEN('General Info'!$B$42))))</f>
        <v>386861 - 387248</v>
      </c>
      <c r="AF473" s="99">
        <f>SamplingData[[#This Row],[Upper Range]]-SamplingData[[#This Row],[Span]]</f>
        <v>386860.61729741551</v>
      </c>
      <c r="AG473" s="99">
        <f>IF(ISNUMBER('General Info'!$B$42), ((SamplingData[[#This Row],[up/U Selection Probability]]) * 'General Info'!$B$44) - 1, 0)</f>
        <v>387.53746319118818</v>
      </c>
      <c r="AH473" s="99">
        <f>IF(ISNUMBER('General Info'!$B$42), (SamplingData[[#This Row],[Running (cumulative) sum]] * ('General Info'!$B$42 -'General Info'!$B$43 + 1)) + 'General Info'!$B$43 - 1, 0)</f>
        <v>387248.1547606067</v>
      </c>
      <c r="AI473" s="99" t="str">
        <f>IF(ISERROR(MATCH(SamplingData[[#This Row],[Batch by Type (p)]],SelectedPrecincts[Batch Name], 0)), "", INDEX(SelectedPrecincts[Draw], MATCH(SamplingData[[#This Row],[Batch by Type (p)]],SelectedPrecincts[Batch Name], 0)))</f>
        <v/>
      </c>
      <c r="AJ473" s="100">
        <f>IF(COUNTIF(SelectedPrecincts[Batch Name],SamplingData[[#This Row],[Batch by Type (p)]]) &lt;&gt; 0, COUNTIF(SelectedPrecincts[Batch Name],SamplingData[[#This Row],[Batch by Type (p)]]), 0)</f>
        <v>0</v>
      </c>
    </row>
    <row r="474" spans="1:36" ht="15" customHeight="1" x14ac:dyDescent="0.35">
      <c r="A474" s="97" t="s">
        <v>687</v>
      </c>
      <c r="B474" s="97">
        <v>125</v>
      </c>
      <c r="C474" s="97">
        <v>109</v>
      </c>
      <c r="D474" s="92"/>
      <c r="E474" s="92"/>
      <c r="F474" s="92"/>
      <c r="G474" s="96"/>
      <c r="H474" s="96"/>
      <c r="I474" s="92"/>
      <c r="J474" s="92"/>
      <c r="K474" s="92"/>
      <c r="L474" s="92"/>
      <c r="M474" s="92"/>
      <c r="N474" s="97">
        <v>1</v>
      </c>
      <c r="O474" s="97">
        <v>9</v>
      </c>
      <c r="P474" s="98">
        <f>SUM(SamplingData[[#This Row],[Winning Candidate]:[Under Votes]])</f>
        <v>244</v>
      </c>
      <c r="Q474" s="99">
        <f>IF(AND(SamplingData[[#This Row],[Total]]&lt;&gt; 0, NOT(ISBLANK(SamplingData[[#This Row],[Losing Candidate]]))),(SamplingData[[#This Row],[Total]]+SamplingData[[#This Row],[Winning Candidate]]-SamplingData[[#This Row],[Losing Candidate]])/(SamplingData[[#Totals],[Winning Candidate]]-SamplingData[[#Totals],[Losing Candidate]]), 0)</f>
        <v>1.1033780342895943E-2</v>
      </c>
      <c r="R474" s="99">
        <f>IF(AND(SamplingData[[#This Row],[Total]]&lt;&gt; 0, NOT(ISBLANK(SamplingData[[#This Row],[Candidate 3]]))),(SamplingData[[#This Row],[Total]]+SamplingData[[#This Row],[Winning Candidate]]-SamplingData[[#This Row],[Candidate 3]])/(SamplingData[[#Totals],[Winning Candidate]]-SamplingData[[#Totals],[Candidate 3]]), 0)</f>
        <v>0</v>
      </c>
      <c r="S474" s="99">
        <f>IF(AND(SamplingData[[#This Row],[Total]]&lt;&gt; 0, NOT(ISBLANK(SamplingData[[#This Row],[Candidate 4]]))),(SamplingData[[#This Row],[Total]]+SamplingData[[#This Row],[Winning Candidate]]-SamplingData[[#This Row],[Candidate 4]])/(SamplingData[[#Totals],[Winning Candidate]]-SamplingData[[#Totals],[Candidate 4]]), 0)</f>
        <v>0</v>
      </c>
      <c r="T474" s="99">
        <f>IF(AND(SamplingData[[#This Row],[Total]]&lt;&gt; 0, NOT(ISBLANK(SamplingData[[#This Row],[Candidate 5]]))),(SamplingData[[#This Row],[Total]]+SamplingData[[#This Row],[Winning Candidate]]-SamplingData[[#This Row],[Candidate 5]])/(SamplingData[[#Totals],[Winning Candidate]]-SamplingData[[#Totals],[Candidate 5]]), 0)</f>
        <v>0</v>
      </c>
      <c r="U474" s="99">
        <f>IF(AND(SamplingData[[#This Row],[Total]]&lt;&gt; 0, NOT(ISBLANK(SamplingData[[#This Row],[Candidate 6]]))),(SamplingData[[#This Row],[Total]]+SamplingData[[#This Row],[Losing Candidate]]-SamplingData[[#This Row],[Candidate 6]])/(SamplingData[[#Totals],[Winning Candidate]]-SamplingData[[#Totals],[Candidate 6]]), 0)</f>
        <v>0</v>
      </c>
      <c r="V474" s="99">
        <f>IF(AND(SamplingData[[#This Row],[Total]]&lt;&gt; 0, NOT(ISBLANK(SamplingData[[#This Row],[Candidate 7]]))),(SamplingData[[#This Row],[Total]]+SamplingData[[#This Row],[Winning Candidate]]-SamplingData[[#This Row],[Candidate 7]])/(SamplingData[[#Totals],[Winning Candidate]]-SamplingData[[#Totals],[Candidate 7]]), 0)</f>
        <v>0</v>
      </c>
      <c r="W474" s="99">
        <f>IF(AND(SamplingData[[#This Row],[Total]]&lt;&gt; 0, NOT(ISBLANK(SamplingData[[#This Row],[Candidate 8]]))),(SamplingData[[#This Row],[Total]]+SamplingData[[#This Row],[Winning Candidate]]-SamplingData[[#This Row],[Candidate 8]])/(SamplingData[[#Totals],[Winning Candidate]]-SamplingData[[#Totals],[Candidate 8]]), 0)</f>
        <v>0</v>
      </c>
      <c r="X4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4" s="99">
        <f>MAX(SamplingData[[#This Row],[Error Bound (up) - Max. possible relative overstatement - Losing Candidate]:[Error Bound (up) - Max. possible relative overstatement - Candidate 12]])</f>
        <v>1.1033780342895943E-2</v>
      </c>
      <c r="AC474" s="99">
        <f>IF(SamplingData[[#This Row],[Max Error Bound (up)]] = 0,0,SamplingData[[#This Row],[Max Error Bound (up)]]/SamplingData[[#Totals],[Max Error Bound (up)]])</f>
        <v>5.9075871596321009E-4</v>
      </c>
      <c r="AD474" s="103">
        <f>SUM($AC$5:AC474)</f>
        <v>0.38783991347656993</v>
      </c>
      <c r="AE474" s="99" t="str" cm="1">
        <f t="array" ref="AE474">IF(SamplingData[[#This Row],[up/U Selection Probability]] = 0, "Zero", TEXT(SamplingData[[#This Row],[Lower Range]], REPT("0",LEN('General Info'!$B$42))) &amp; " - " &amp; TEXT(SamplingData[[#This Row],[Upper Range]], REPT("0",LEN('General Info'!$B$42))))</f>
        <v>387249 - 387839</v>
      </c>
      <c r="AF474" s="99">
        <f>SamplingData[[#This Row],[Upper Range]]-SamplingData[[#This Row],[Span]]</f>
        <v>387249.1547606067</v>
      </c>
      <c r="AG474" s="99">
        <f>IF(ISNUMBER('General Info'!$B$42), ((SamplingData[[#This Row],[up/U Selection Probability]]) * 'General Info'!$B$44) - 1, 0)</f>
        <v>589.75871596321008</v>
      </c>
      <c r="AH474" s="99">
        <f>IF(ISNUMBER('General Info'!$B$42), (SamplingData[[#This Row],[Running (cumulative) sum]] * ('General Info'!$B$42 -'General Info'!$B$43 + 1)) + 'General Info'!$B$43 - 1, 0)</f>
        <v>387838.91347656993</v>
      </c>
      <c r="AI474" s="99" t="str">
        <f>IF(ISERROR(MATCH(SamplingData[[#This Row],[Batch by Type (p)]],SelectedPrecincts[Batch Name], 0)), "", INDEX(SelectedPrecincts[Draw], MATCH(SamplingData[[#This Row],[Batch by Type (p)]],SelectedPrecincts[Batch Name], 0)))</f>
        <v/>
      </c>
      <c r="AJ474" s="100">
        <f>IF(COUNTIF(SelectedPrecincts[Batch Name],SamplingData[[#This Row],[Batch by Type (p)]]) &lt;&gt; 0, COUNTIF(SelectedPrecincts[Batch Name],SamplingData[[#This Row],[Batch by Type (p)]]), 0)</f>
        <v>0</v>
      </c>
    </row>
    <row r="475" spans="1:36" ht="15" customHeight="1" x14ac:dyDescent="0.35">
      <c r="A475" s="97" t="s">
        <v>688</v>
      </c>
      <c r="B475" s="97">
        <v>86</v>
      </c>
      <c r="C475" s="97">
        <v>85</v>
      </c>
      <c r="D475" s="92"/>
      <c r="E475" s="92"/>
      <c r="F475" s="92"/>
      <c r="G475" s="96"/>
      <c r="H475" s="96"/>
      <c r="I475" s="92"/>
      <c r="J475" s="92"/>
      <c r="K475" s="92"/>
      <c r="L475" s="92"/>
      <c r="M475" s="92"/>
      <c r="N475" s="97">
        <v>0</v>
      </c>
      <c r="O475" s="97">
        <v>5</v>
      </c>
      <c r="P475" s="98">
        <f>SUM(SamplingData[[#This Row],[Winning Candidate]:[Under Votes]])</f>
        <v>176</v>
      </c>
      <c r="Q475" s="99">
        <f>IF(AND(SamplingData[[#This Row],[Total]]&lt;&gt; 0, NOT(ISBLANK(SamplingData[[#This Row],[Losing Candidate]]))),(SamplingData[[#This Row],[Total]]+SamplingData[[#This Row],[Winning Candidate]]-SamplingData[[#This Row],[Losing Candidate]])/(SamplingData[[#Totals],[Winning Candidate]]-SamplingData[[#Totals],[Losing Candidate]]), 0)</f>
        <v>7.5114581565099304E-3</v>
      </c>
      <c r="R475" s="99">
        <f>IF(AND(SamplingData[[#This Row],[Total]]&lt;&gt; 0, NOT(ISBLANK(SamplingData[[#This Row],[Candidate 3]]))),(SamplingData[[#This Row],[Total]]+SamplingData[[#This Row],[Winning Candidate]]-SamplingData[[#This Row],[Candidate 3]])/(SamplingData[[#Totals],[Winning Candidate]]-SamplingData[[#Totals],[Candidate 3]]), 0)</f>
        <v>0</v>
      </c>
      <c r="S475" s="99">
        <f>IF(AND(SamplingData[[#This Row],[Total]]&lt;&gt; 0, NOT(ISBLANK(SamplingData[[#This Row],[Candidate 4]]))),(SamplingData[[#This Row],[Total]]+SamplingData[[#This Row],[Winning Candidate]]-SamplingData[[#This Row],[Candidate 4]])/(SamplingData[[#Totals],[Winning Candidate]]-SamplingData[[#Totals],[Candidate 4]]), 0)</f>
        <v>0</v>
      </c>
      <c r="T475" s="99">
        <f>IF(AND(SamplingData[[#This Row],[Total]]&lt;&gt; 0, NOT(ISBLANK(SamplingData[[#This Row],[Candidate 5]]))),(SamplingData[[#This Row],[Total]]+SamplingData[[#This Row],[Winning Candidate]]-SamplingData[[#This Row],[Candidate 5]])/(SamplingData[[#Totals],[Winning Candidate]]-SamplingData[[#Totals],[Candidate 5]]), 0)</f>
        <v>0</v>
      </c>
      <c r="U475" s="99">
        <f>IF(AND(SamplingData[[#This Row],[Total]]&lt;&gt; 0, NOT(ISBLANK(SamplingData[[#This Row],[Candidate 6]]))),(SamplingData[[#This Row],[Total]]+SamplingData[[#This Row],[Losing Candidate]]-SamplingData[[#This Row],[Candidate 6]])/(SamplingData[[#Totals],[Winning Candidate]]-SamplingData[[#Totals],[Candidate 6]]), 0)</f>
        <v>0</v>
      </c>
      <c r="V475" s="99">
        <f>IF(AND(SamplingData[[#This Row],[Total]]&lt;&gt; 0, NOT(ISBLANK(SamplingData[[#This Row],[Candidate 7]]))),(SamplingData[[#This Row],[Total]]+SamplingData[[#This Row],[Winning Candidate]]-SamplingData[[#This Row],[Candidate 7]])/(SamplingData[[#Totals],[Winning Candidate]]-SamplingData[[#Totals],[Candidate 7]]), 0)</f>
        <v>0</v>
      </c>
      <c r="W475" s="99">
        <f>IF(AND(SamplingData[[#This Row],[Total]]&lt;&gt; 0, NOT(ISBLANK(SamplingData[[#This Row],[Candidate 8]]))),(SamplingData[[#This Row],[Total]]+SamplingData[[#This Row],[Winning Candidate]]-SamplingData[[#This Row],[Candidate 8]])/(SamplingData[[#Totals],[Winning Candidate]]-SamplingData[[#Totals],[Candidate 8]]), 0)</f>
        <v>0</v>
      </c>
      <c r="X4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5" s="99">
        <f>MAX(SamplingData[[#This Row],[Error Bound (up) - Max. possible relative overstatement - Losing Candidate]:[Error Bound (up) - Max. possible relative overstatement - Candidate 12]])</f>
        <v>7.5114581565099304E-3</v>
      </c>
      <c r="AC475" s="99">
        <f>IF(SamplingData[[#This Row],[Max Error Bound (up)]] = 0,0,SamplingData[[#This Row],[Max Error Bound (up)]]/SamplingData[[#Totals],[Max Error Bound (up)]])</f>
        <v>4.0217035663649305E-4</v>
      </c>
      <c r="AD475" s="103">
        <f>SUM($AC$5:AC475)</f>
        <v>0.38824208383320641</v>
      </c>
      <c r="AE475" s="99" t="str" cm="1">
        <f t="array" ref="AE475">IF(SamplingData[[#This Row],[up/U Selection Probability]] = 0, "Zero", TEXT(SamplingData[[#This Row],[Lower Range]], REPT("0",LEN('General Info'!$B$42))) &amp; " - " &amp; TEXT(SamplingData[[#This Row],[Upper Range]], REPT("0",LEN('General Info'!$B$42))))</f>
        <v>387840 - 388241</v>
      </c>
      <c r="AF475" s="99">
        <f>SamplingData[[#This Row],[Upper Range]]-SamplingData[[#This Row],[Span]]</f>
        <v>387839.91347656987</v>
      </c>
      <c r="AG475" s="99">
        <f>IF(ISNUMBER('General Info'!$B$42), ((SamplingData[[#This Row],[up/U Selection Probability]]) * 'General Info'!$B$44) - 1, 0)</f>
        <v>401.17035663649307</v>
      </c>
      <c r="AH475" s="99">
        <f>IF(ISNUMBER('General Info'!$B$42), (SamplingData[[#This Row],[Running (cumulative) sum]] * ('General Info'!$B$42 -'General Info'!$B$43 + 1)) + 'General Info'!$B$43 - 1, 0)</f>
        <v>388241.08383320639</v>
      </c>
      <c r="AI475" s="99" t="str">
        <f>IF(ISERROR(MATCH(SamplingData[[#This Row],[Batch by Type (p)]],SelectedPrecincts[Batch Name], 0)), "", INDEX(SelectedPrecincts[Draw], MATCH(SamplingData[[#This Row],[Batch by Type (p)]],SelectedPrecincts[Batch Name], 0)))</f>
        <v/>
      </c>
      <c r="AJ475" s="100">
        <f>IF(COUNTIF(SelectedPrecincts[Batch Name],SamplingData[[#This Row],[Batch by Type (p)]]) &lt;&gt; 0, COUNTIF(SelectedPrecincts[Batch Name],SamplingData[[#This Row],[Batch by Type (p)]]), 0)</f>
        <v>0</v>
      </c>
    </row>
    <row r="476" spans="1:36" ht="15" customHeight="1" x14ac:dyDescent="0.35">
      <c r="A476" s="97" t="s">
        <v>689</v>
      </c>
      <c r="B476" s="97">
        <v>32</v>
      </c>
      <c r="C476" s="97">
        <v>128</v>
      </c>
      <c r="D476" s="92"/>
      <c r="E476" s="92"/>
      <c r="F476" s="92"/>
      <c r="G476" s="96"/>
      <c r="H476" s="96"/>
      <c r="I476" s="92"/>
      <c r="J476" s="92"/>
      <c r="K476" s="92"/>
      <c r="L476" s="92"/>
      <c r="M476" s="92"/>
      <c r="N476" s="97">
        <v>0</v>
      </c>
      <c r="O476" s="97">
        <v>4</v>
      </c>
      <c r="P476" s="98">
        <f>SUM(SamplingData[[#This Row],[Winning Candidate]:[Under Votes]])</f>
        <v>164</v>
      </c>
      <c r="Q476" s="99">
        <f>IF(AND(SamplingData[[#This Row],[Total]]&lt;&gt; 0, NOT(ISBLANK(SamplingData[[#This Row],[Losing Candidate]]))),(SamplingData[[#This Row],[Total]]+SamplingData[[#This Row],[Winning Candidate]]-SamplingData[[#This Row],[Losing Candidate]])/(SamplingData[[#Totals],[Winning Candidate]]-SamplingData[[#Totals],[Losing Candidate]]), 0)</f>
        <v>2.8857579358343237E-3</v>
      </c>
      <c r="R476" s="99">
        <f>IF(AND(SamplingData[[#This Row],[Total]]&lt;&gt; 0, NOT(ISBLANK(SamplingData[[#This Row],[Candidate 3]]))),(SamplingData[[#This Row],[Total]]+SamplingData[[#This Row],[Winning Candidate]]-SamplingData[[#This Row],[Candidate 3]])/(SamplingData[[#Totals],[Winning Candidate]]-SamplingData[[#Totals],[Candidate 3]]), 0)</f>
        <v>0</v>
      </c>
      <c r="S476" s="99">
        <f>IF(AND(SamplingData[[#This Row],[Total]]&lt;&gt; 0, NOT(ISBLANK(SamplingData[[#This Row],[Candidate 4]]))),(SamplingData[[#This Row],[Total]]+SamplingData[[#This Row],[Winning Candidate]]-SamplingData[[#This Row],[Candidate 4]])/(SamplingData[[#Totals],[Winning Candidate]]-SamplingData[[#Totals],[Candidate 4]]), 0)</f>
        <v>0</v>
      </c>
      <c r="T476" s="99">
        <f>IF(AND(SamplingData[[#This Row],[Total]]&lt;&gt; 0, NOT(ISBLANK(SamplingData[[#This Row],[Candidate 5]]))),(SamplingData[[#This Row],[Total]]+SamplingData[[#This Row],[Winning Candidate]]-SamplingData[[#This Row],[Candidate 5]])/(SamplingData[[#Totals],[Winning Candidate]]-SamplingData[[#Totals],[Candidate 5]]), 0)</f>
        <v>0</v>
      </c>
      <c r="U476" s="99">
        <f>IF(AND(SamplingData[[#This Row],[Total]]&lt;&gt; 0, NOT(ISBLANK(SamplingData[[#This Row],[Candidate 6]]))),(SamplingData[[#This Row],[Total]]+SamplingData[[#This Row],[Losing Candidate]]-SamplingData[[#This Row],[Candidate 6]])/(SamplingData[[#Totals],[Winning Candidate]]-SamplingData[[#Totals],[Candidate 6]]), 0)</f>
        <v>0</v>
      </c>
      <c r="V476" s="99">
        <f>IF(AND(SamplingData[[#This Row],[Total]]&lt;&gt; 0, NOT(ISBLANK(SamplingData[[#This Row],[Candidate 7]]))),(SamplingData[[#This Row],[Total]]+SamplingData[[#This Row],[Winning Candidate]]-SamplingData[[#This Row],[Candidate 7]])/(SamplingData[[#Totals],[Winning Candidate]]-SamplingData[[#Totals],[Candidate 7]]), 0)</f>
        <v>0</v>
      </c>
      <c r="W476" s="99">
        <f>IF(AND(SamplingData[[#This Row],[Total]]&lt;&gt; 0, NOT(ISBLANK(SamplingData[[#This Row],[Candidate 8]]))),(SamplingData[[#This Row],[Total]]+SamplingData[[#This Row],[Winning Candidate]]-SamplingData[[#This Row],[Candidate 8]])/(SamplingData[[#Totals],[Winning Candidate]]-SamplingData[[#Totals],[Candidate 8]]), 0)</f>
        <v>0</v>
      </c>
      <c r="X4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6" s="99">
        <f>MAX(SamplingData[[#This Row],[Error Bound (up) - Max. possible relative overstatement - Losing Candidate]:[Error Bound (up) - Max. possible relative overstatement - Candidate 12]])</f>
        <v>2.8857579358343237E-3</v>
      </c>
      <c r="AC476" s="99">
        <f>IF(SamplingData[[#This Row],[Max Error Bound (up)]] = 0,0,SamplingData[[#This Row],[Max Error Bound (up)]]/SamplingData[[#Totals],[Max Error Bound (up)]])</f>
        <v>1.5450612571345497E-4</v>
      </c>
      <c r="AD476" s="103">
        <f>SUM($AC$5:AC476)</f>
        <v>0.38839658995891985</v>
      </c>
      <c r="AE476" s="99" t="str" cm="1">
        <f t="array" ref="AE476">IF(SamplingData[[#This Row],[up/U Selection Probability]] = 0, "Zero", TEXT(SamplingData[[#This Row],[Lower Range]], REPT("0",LEN('General Info'!$B$42))) &amp; " - " &amp; TEXT(SamplingData[[#This Row],[Upper Range]], REPT("0",LEN('General Info'!$B$42))))</f>
        <v>388242 - 388396</v>
      </c>
      <c r="AF476" s="99">
        <f>SamplingData[[#This Row],[Upper Range]]-SamplingData[[#This Row],[Span]]</f>
        <v>388242.08383320639</v>
      </c>
      <c r="AG476" s="99">
        <f>IF(ISNUMBER('General Info'!$B$42), ((SamplingData[[#This Row],[up/U Selection Probability]]) * 'General Info'!$B$44) - 1, 0)</f>
        <v>153.50612571345496</v>
      </c>
      <c r="AH476" s="99">
        <f>IF(ISNUMBER('General Info'!$B$42), (SamplingData[[#This Row],[Running (cumulative) sum]] * ('General Info'!$B$42 -'General Info'!$B$43 + 1)) + 'General Info'!$B$43 - 1, 0)</f>
        <v>388395.58995891985</v>
      </c>
      <c r="AI476" s="99" t="str">
        <f>IF(ISERROR(MATCH(SamplingData[[#This Row],[Batch by Type (p)]],SelectedPrecincts[Batch Name], 0)), "", INDEX(SelectedPrecincts[Draw], MATCH(SamplingData[[#This Row],[Batch by Type (p)]],SelectedPrecincts[Batch Name], 0)))</f>
        <v/>
      </c>
      <c r="AJ476" s="100">
        <f>IF(COUNTIF(SelectedPrecincts[Batch Name],SamplingData[[#This Row],[Batch by Type (p)]]) &lt;&gt; 0, COUNTIF(SelectedPrecincts[Batch Name],SamplingData[[#This Row],[Batch by Type (p)]]), 0)</f>
        <v>0</v>
      </c>
    </row>
    <row r="477" spans="1:36" ht="15" customHeight="1" x14ac:dyDescent="0.35">
      <c r="A477" s="97" t="s">
        <v>690</v>
      </c>
      <c r="B477" s="97">
        <v>67</v>
      </c>
      <c r="C477" s="97">
        <v>220</v>
      </c>
      <c r="D477" s="92"/>
      <c r="E477" s="92"/>
      <c r="F477" s="92"/>
      <c r="G477" s="96"/>
      <c r="H477" s="96"/>
      <c r="I477" s="92"/>
      <c r="J477" s="92"/>
      <c r="K477" s="92"/>
      <c r="L477" s="92"/>
      <c r="M477" s="92"/>
      <c r="N477" s="97">
        <v>0</v>
      </c>
      <c r="O477" s="97">
        <v>13</v>
      </c>
      <c r="P477" s="98">
        <f>SUM(SamplingData[[#This Row],[Winning Candidate]:[Under Votes]])</f>
        <v>300</v>
      </c>
      <c r="Q477" s="99">
        <f>IF(AND(SamplingData[[#This Row],[Total]]&lt;&gt; 0, NOT(ISBLANK(SamplingData[[#This Row],[Losing Candidate]]))),(SamplingData[[#This Row],[Total]]+SamplingData[[#This Row],[Winning Candidate]]-SamplingData[[#This Row],[Losing Candidate]])/(SamplingData[[#Totals],[Winning Candidate]]-SamplingData[[#Totals],[Losing Candidate]]), 0)</f>
        <v>6.2383296554065527E-3</v>
      </c>
      <c r="R477" s="99">
        <f>IF(AND(SamplingData[[#This Row],[Total]]&lt;&gt; 0, NOT(ISBLANK(SamplingData[[#This Row],[Candidate 3]]))),(SamplingData[[#This Row],[Total]]+SamplingData[[#This Row],[Winning Candidate]]-SamplingData[[#This Row],[Candidate 3]])/(SamplingData[[#Totals],[Winning Candidate]]-SamplingData[[#Totals],[Candidate 3]]), 0)</f>
        <v>0</v>
      </c>
      <c r="S477" s="99">
        <f>IF(AND(SamplingData[[#This Row],[Total]]&lt;&gt; 0, NOT(ISBLANK(SamplingData[[#This Row],[Candidate 4]]))),(SamplingData[[#This Row],[Total]]+SamplingData[[#This Row],[Winning Candidate]]-SamplingData[[#This Row],[Candidate 4]])/(SamplingData[[#Totals],[Winning Candidate]]-SamplingData[[#Totals],[Candidate 4]]), 0)</f>
        <v>0</v>
      </c>
      <c r="T477" s="99">
        <f>IF(AND(SamplingData[[#This Row],[Total]]&lt;&gt; 0, NOT(ISBLANK(SamplingData[[#This Row],[Candidate 5]]))),(SamplingData[[#This Row],[Total]]+SamplingData[[#This Row],[Winning Candidate]]-SamplingData[[#This Row],[Candidate 5]])/(SamplingData[[#Totals],[Winning Candidate]]-SamplingData[[#Totals],[Candidate 5]]), 0)</f>
        <v>0</v>
      </c>
      <c r="U477" s="99">
        <f>IF(AND(SamplingData[[#This Row],[Total]]&lt;&gt; 0, NOT(ISBLANK(SamplingData[[#This Row],[Candidate 6]]))),(SamplingData[[#This Row],[Total]]+SamplingData[[#This Row],[Losing Candidate]]-SamplingData[[#This Row],[Candidate 6]])/(SamplingData[[#Totals],[Winning Candidate]]-SamplingData[[#Totals],[Candidate 6]]), 0)</f>
        <v>0</v>
      </c>
      <c r="V477" s="99">
        <f>IF(AND(SamplingData[[#This Row],[Total]]&lt;&gt; 0, NOT(ISBLANK(SamplingData[[#This Row],[Candidate 7]]))),(SamplingData[[#This Row],[Total]]+SamplingData[[#This Row],[Winning Candidate]]-SamplingData[[#This Row],[Candidate 7]])/(SamplingData[[#Totals],[Winning Candidate]]-SamplingData[[#Totals],[Candidate 7]]), 0)</f>
        <v>0</v>
      </c>
      <c r="W477" s="99">
        <f>IF(AND(SamplingData[[#This Row],[Total]]&lt;&gt; 0, NOT(ISBLANK(SamplingData[[#This Row],[Candidate 8]]))),(SamplingData[[#This Row],[Total]]+SamplingData[[#This Row],[Winning Candidate]]-SamplingData[[#This Row],[Candidate 8]])/(SamplingData[[#Totals],[Winning Candidate]]-SamplingData[[#Totals],[Candidate 8]]), 0)</f>
        <v>0</v>
      </c>
      <c r="X4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7" s="99">
        <f>MAX(SamplingData[[#This Row],[Error Bound (up) - Max. possible relative overstatement - Losing Candidate]:[Error Bound (up) - Max. possible relative overstatement - Candidate 12]])</f>
        <v>6.2383296554065527E-3</v>
      </c>
      <c r="AC477" s="99">
        <f>IF(SamplingData[[#This Row],[Max Error Bound (up)]] = 0,0,SamplingData[[#This Row],[Max Error Bound (up)]]/SamplingData[[#Totals],[Max Error Bound (up)]])</f>
        <v>3.3400588940996881E-4</v>
      </c>
      <c r="AD477" s="103">
        <f>SUM($AC$5:AC477)</f>
        <v>0.38873059584832981</v>
      </c>
      <c r="AE477" s="99" t="str" cm="1">
        <f t="array" ref="AE477">IF(SamplingData[[#This Row],[up/U Selection Probability]] = 0, "Zero", TEXT(SamplingData[[#This Row],[Lower Range]], REPT("0",LEN('General Info'!$B$42))) &amp; " - " &amp; TEXT(SamplingData[[#This Row],[Upper Range]], REPT("0",LEN('General Info'!$B$42))))</f>
        <v>388397 - 388730</v>
      </c>
      <c r="AF477" s="99">
        <f>SamplingData[[#This Row],[Upper Range]]-SamplingData[[#This Row],[Span]]</f>
        <v>388396.58995891985</v>
      </c>
      <c r="AG477" s="99">
        <f>IF(ISNUMBER('General Info'!$B$42), ((SamplingData[[#This Row],[up/U Selection Probability]]) * 'General Info'!$B$44) - 1, 0)</f>
        <v>333.0058894099688</v>
      </c>
      <c r="AH477" s="99">
        <f>IF(ISNUMBER('General Info'!$B$42), (SamplingData[[#This Row],[Running (cumulative) sum]] * ('General Info'!$B$42 -'General Info'!$B$43 + 1)) + 'General Info'!$B$43 - 1, 0)</f>
        <v>388729.59584832983</v>
      </c>
      <c r="AI477" s="99" t="str">
        <f>IF(ISERROR(MATCH(SamplingData[[#This Row],[Batch by Type (p)]],SelectedPrecincts[Batch Name], 0)), "", INDEX(SelectedPrecincts[Draw], MATCH(SamplingData[[#This Row],[Batch by Type (p)]],SelectedPrecincts[Batch Name], 0)))</f>
        <v/>
      </c>
      <c r="AJ477" s="100">
        <f>IF(COUNTIF(SelectedPrecincts[Batch Name],SamplingData[[#This Row],[Batch by Type (p)]]) &lt;&gt; 0, COUNTIF(SelectedPrecincts[Batch Name],SamplingData[[#This Row],[Batch by Type (p)]]), 0)</f>
        <v>0</v>
      </c>
    </row>
    <row r="478" spans="1:36" ht="15" customHeight="1" x14ac:dyDescent="0.35">
      <c r="A478" s="97" t="s">
        <v>691</v>
      </c>
      <c r="B478" s="97">
        <v>44</v>
      </c>
      <c r="C478" s="97">
        <v>112</v>
      </c>
      <c r="D478" s="92"/>
      <c r="E478" s="92"/>
      <c r="F478" s="92"/>
      <c r="G478" s="96"/>
      <c r="H478" s="96"/>
      <c r="I478" s="92"/>
      <c r="J478" s="92"/>
      <c r="K478" s="92"/>
      <c r="L478" s="92"/>
      <c r="M478" s="92"/>
      <c r="N478" s="97">
        <v>0</v>
      </c>
      <c r="O478" s="97">
        <v>9</v>
      </c>
      <c r="P478" s="98">
        <f>SUM(SamplingData[[#This Row],[Winning Candidate]:[Under Votes]])</f>
        <v>165</v>
      </c>
      <c r="Q478" s="99">
        <f>IF(AND(SamplingData[[#This Row],[Total]]&lt;&gt; 0, NOT(ISBLANK(SamplingData[[#This Row],[Losing Candidate]]))),(SamplingData[[#This Row],[Total]]+SamplingData[[#This Row],[Winning Candidate]]-SamplingData[[#This Row],[Losing Candidate]])/(SamplingData[[#Totals],[Winning Candidate]]-SamplingData[[#Totals],[Losing Candidate]]), 0)</f>
        <v>4.1164488202342555E-3</v>
      </c>
      <c r="R478" s="99">
        <f>IF(AND(SamplingData[[#This Row],[Total]]&lt;&gt; 0, NOT(ISBLANK(SamplingData[[#This Row],[Candidate 3]]))),(SamplingData[[#This Row],[Total]]+SamplingData[[#This Row],[Winning Candidate]]-SamplingData[[#This Row],[Candidate 3]])/(SamplingData[[#Totals],[Winning Candidate]]-SamplingData[[#Totals],[Candidate 3]]), 0)</f>
        <v>0</v>
      </c>
      <c r="S478" s="99">
        <f>IF(AND(SamplingData[[#This Row],[Total]]&lt;&gt; 0, NOT(ISBLANK(SamplingData[[#This Row],[Candidate 4]]))),(SamplingData[[#This Row],[Total]]+SamplingData[[#This Row],[Winning Candidate]]-SamplingData[[#This Row],[Candidate 4]])/(SamplingData[[#Totals],[Winning Candidate]]-SamplingData[[#Totals],[Candidate 4]]), 0)</f>
        <v>0</v>
      </c>
      <c r="T478" s="99">
        <f>IF(AND(SamplingData[[#This Row],[Total]]&lt;&gt; 0, NOT(ISBLANK(SamplingData[[#This Row],[Candidate 5]]))),(SamplingData[[#This Row],[Total]]+SamplingData[[#This Row],[Winning Candidate]]-SamplingData[[#This Row],[Candidate 5]])/(SamplingData[[#Totals],[Winning Candidate]]-SamplingData[[#Totals],[Candidate 5]]), 0)</f>
        <v>0</v>
      </c>
      <c r="U478" s="99">
        <f>IF(AND(SamplingData[[#This Row],[Total]]&lt;&gt; 0, NOT(ISBLANK(SamplingData[[#This Row],[Candidate 6]]))),(SamplingData[[#This Row],[Total]]+SamplingData[[#This Row],[Losing Candidate]]-SamplingData[[#This Row],[Candidate 6]])/(SamplingData[[#Totals],[Winning Candidate]]-SamplingData[[#Totals],[Candidate 6]]), 0)</f>
        <v>0</v>
      </c>
      <c r="V478" s="99">
        <f>IF(AND(SamplingData[[#This Row],[Total]]&lt;&gt; 0, NOT(ISBLANK(SamplingData[[#This Row],[Candidate 7]]))),(SamplingData[[#This Row],[Total]]+SamplingData[[#This Row],[Winning Candidate]]-SamplingData[[#This Row],[Candidate 7]])/(SamplingData[[#Totals],[Winning Candidate]]-SamplingData[[#Totals],[Candidate 7]]), 0)</f>
        <v>0</v>
      </c>
      <c r="W478" s="99">
        <f>IF(AND(SamplingData[[#This Row],[Total]]&lt;&gt; 0, NOT(ISBLANK(SamplingData[[#This Row],[Candidate 8]]))),(SamplingData[[#This Row],[Total]]+SamplingData[[#This Row],[Winning Candidate]]-SamplingData[[#This Row],[Candidate 8]])/(SamplingData[[#Totals],[Winning Candidate]]-SamplingData[[#Totals],[Candidate 8]]), 0)</f>
        <v>0</v>
      </c>
      <c r="X4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8" s="99">
        <f>MAX(SamplingData[[#This Row],[Error Bound (up) - Max. possible relative overstatement - Losing Candidate]:[Error Bound (up) - Max. possible relative overstatement - Candidate 12]])</f>
        <v>4.1164488202342555E-3</v>
      </c>
      <c r="AC478" s="99">
        <f>IF(SamplingData[[#This Row],[Max Error Bound (up)]] = 0,0,SamplingData[[#This Row],[Max Error Bound (up)]]/SamplingData[[#Totals],[Max Error Bound (up)]])</f>
        <v>2.2039844403242838E-4</v>
      </c>
      <c r="AD478" s="103">
        <f>SUM($AC$5:AC478)</f>
        <v>0.38895099429236224</v>
      </c>
      <c r="AE478" s="99" t="str" cm="1">
        <f t="array" ref="AE478">IF(SamplingData[[#This Row],[up/U Selection Probability]] = 0, "Zero", TEXT(SamplingData[[#This Row],[Lower Range]], REPT("0",LEN('General Info'!$B$42))) &amp; " - " &amp; TEXT(SamplingData[[#This Row],[Upper Range]], REPT("0",LEN('General Info'!$B$42))))</f>
        <v>388731 - 388950</v>
      </c>
      <c r="AF478" s="99">
        <f>SamplingData[[#This Row],[Upper Range]]-SamplingData[[#This Row],[Span]]</f>
        <v>388730.59584832983</v>
      </c>
      <c r="AG478" s="99">
        <f>IF(ISNUMBER('General Info'!$B$42), ((SamplingData[[#This Row],[up/U Selection Probability]]) * 'General Info'!$B$44) - 1, 0)</f>
        <v>219.39844403242839</v>
      </c>
      <c r="AH478" s="99">
        <f>IF(ISNUMBER('General Info'!$B$42), (SamplingData[[#This Row],[Running (cumulative) sum]] * ('General Info'!$B$42 -'General Info'!$B$43 + 1)) + 'General Info'!$B$43 - 1, 0)</f>
        <v>388949.99429236224</v>
      </c>
      <c r="AI478" s="99" t="str">
        <f>IF(ISERROR(MATCH(SamplingData[[#This Row],[Batch by Type (p)]],SelectedPrecincts[Batch Name], 0)), "", INDEX(SelectedPrecincts[Draw], MATCH(SamplingData[[#This Row],[Batch by Type (p)]],SelectedPrecincts[Batch Name], 0)))</f>
        <v/>
      </c>
      <c r="AJ478" s="100">
        <f>IF(COUNTIF(SelectedPrecincts[Batch Name],SamplingData[[#This Row],[Batch by Type (p)]]) &lt;&gt; 0, COUNTIF(SelectedPrecincts[Batch Name],SamplingData[[#This Row],[Batch by Type (p)]]), 0)</f>
        <v>0</v>
      </c>
    </row>
    <row r="479" spans="1:36" ht="15" customHeight="1" x14ac:dyDescent="0.35">
      <c r="A479" s="97" t="s">
        <v>692</v>
      </c>
      <c r="B479" s="97">
        <v>246</v>
      </c>
      <c r="C479" s="97">
        <v>12</v>
      </c>
      <c r="D479" s="92"/>
      <c r="E479" s="92"/>
      <c r="F479" s="92"/>
      <c r="G479" s="96"/>
      <c r="H479" s="96"/>
      <c r="I479" s="92"/>
      <c r="J479" s="92"/>
      <c r="K479" s="92"/>
      <c r="L479" s="92"/>
      <c r="M479" s="92"/>
      <c r="N479" s="97">
        <v>0</v>
      </c>
      <c r="O479" s="97">
        <v>7</v>
      </c>
      <c r="P479" s="98">
        <f>SUM(SamplingData[[#This Row],[Winning Candidate]:[Under Votes]])</f>
        <v>265</v>
      </c>
      <c r="Q479" s="99">
        <f>IF(AND(SamplingData[[#This Row],[Total]]&lt;&gt; 0, NOT(ISBLANK(SamplingData[[#This Row],[Losing Candidate]]))),(SamplingData[[#This Row],[Total]]+SamplingData[[#This Row],[Winning Candidate]]-SamplingData[[#This Row],[Losing Candidate]])/(SamplingData[[#Totals],[Winning Candidate]]-SamplingData[[#Totals],[Losing Candidate]]), 0)</f>
        <v>2.1176370735019521E-2</v>
      </c>
      <c r="R479" s="99">
        <f>IF(AND(SamplingData[[#This Row],[Total]]&lt;&gt; 0, NOT(ISBLANK(SamplingData[[#This Row],[Candidate 3]]))),(SamplingData[[#This Row],[Total]]+SamplingData[[#This Row],[Winning Candidate]]-SamplingData[[#This Row],[Candidate 3]])/(SamplingData[[#Totals],[Winning Candidate]]-SamplingData[[#Totals],[Candidate 3]]), 0)</f>
        <v>0</v>
      </c>
      <c r="S479" s="99">
        <f>IF(AND(SamplingData[[#This Row],[Total]]&lt;&gt; 0, NOT(ISBLANK(SamplingData[[#This Row],[Candidate 4]]))),(SamplingData[[#This Row],[Total]]+SamplingData[[#This Row],[Winning Candidate]]-SamplingData[[#This Row],[Candidate 4]])/(SamplingData[[#Totals],[Winning Candidate]]-SamplingData[[#Totals],[Candidate 4]]), 0)</f>
        <v>0</v>
      </c>
      <c r="T479" s="99">
        <f>IF(AND(SamplingData[[#This Row],[Total]]&lt;&gt; 0, NOT(ISBLANK(SamplingData[[#This Row],[Candidate 5]]))),(SamplingData[[#This Row],[Total]]+SamplingData[[#This Row],[Winning Candidate]]-SamplingData[[#This Row],[Candidate 5]])/(SamplingData[[#Totals],[Winning Candidate]]-SamplingData[[#Totals],[Candidate 5]]), 0)</f>
        <v>0</v>
      </c>
      <c r="U479" s="99">
        <f>IF(AND(SamplingData[[#This Row],[Total]]&lt;&gt; 0, NOT(ISBLANK(SamplingData[[#This Row],[Candidate 6]]))),(SamplingData[[#This Row],[Total]]+SamplingData[[#This Row],[Losing Candidate]]-SamplingData[[#This Row],[Candidate 6]])/(SamplingData[[#Totals],[Winning Candidate]]-SamplingData[[#Totals],[Candidate 6]]), 0)</f>
        <v>0</v>
      </c>
      <c r="V479" s="99">
        <f>IF(AND(SamplingData[[#This Row],[Total]]&lt;&gt; 0, NOT(ISBLANK(SamplingData[[#This Row],[Candidate 7]]))),(SamplingData[[#This Row],[Total]]+SamplingData[[#This Row],[Winning Candidate]]-SamplingData[[#This Row],[Candidate 7]])/(SamplingData[[#Totals],[Winning Candidate]]-SamplingData[[#Totals],[Candidate 7]]), 0)</f>
        <v>0</v>
      </c>
      <c r="W479" s="99">
        <f>IF(AND(SamplingData[[#This Row],[Total]]&lt;&gt; 0, NOT(ISBLANK(SamplingData[[#This Row],[Candidate 8]]))),(SamplingData[[#This Row],[Total]]+SamplingData[[#This Row],[Winning Candidate]]-SamplingData[[#This Row],[Candidate 8]])/(SamplingData[[#Totals],[Winning Candidate]]-SamplingData[[#Totals],[Candidate 8]]), 0)</f>
        <v>0</v>
      </c>
      <c r="X4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9" s="99">
        <f>MAX(SamplingData[[#This Row],[Error Bound (up) - Max. possible relative overstatement - Losing Candidate]:[Error Bound (up) - Max. possible relative overstatement - Candidate 12]])</f>
        <v>2.1176370735019521E-2</v>
      </c>
      <c r="AC479" s="99">
        <f>IF(SamplingData[[#This Row],[Max Error Bound (up)]] = 0,0,SamplingData[[#This Row],[Max Error Bound (up)]]/SamplingData[[#Totals],[Max Error Bound (up)]])</f>
        <v>1.1338023048678533E-3</v>
      </c>
      <c r="AD479" s="103">
        <f>SUM($AC$5:AC479)</f>
        <v>0.39008479659723011</v>
      </c>
      <c r="AE479" s="99" t="str" cm="1">
        <f t="array" ref="AE479">IF(SamplingData[[#This Row],[up/U Selection Probability]] = 0, "Zero", TEXT(SamplingData[[#This Row],[Lower Range]], REPT("0",LEN('General Info'!$B$42))) &amp; " - " &amp; TEXT(SamplingData[[#This Row],[Upper Range]], REPT("0",LEN('General Info'!$B$42))))</f>
        <v>388951 - 390084</v>
      </c>
      <c r="AF479" s="99">
        <f>SamplingData[[#This Row],[Upper Range]]-SamplingData[[#This Row],[Span]]</f>
        <v>388950.9942923623</v>
      </c>
      <c r="AG479" s="99">
        <f>IF(ISNUMBER('General Info'!$B$42), ((SamplingData[[#This Row],[up/U Selection Probability]]) * 'General Info'!$B$44) - 1, 0)</f>
        <v>1132.8023048678533</v>
      </c>
      <c r="AH479" s="99">
        <f>IF(ISNUMBER('General Info'!$B$42), (SamplingData[[#This Row],[Running (cumulative) sum]] * ('General Info'!$B$42 -'General Info'!$B$43 + 1)) + 'General Info'!$B$43 - 1, 0)</f>
        <v>390083.79659723013</v>
      </c>
      <c r="AI479" s="99" t="str">
        <f>IF(ISERROR(MATCH(SamplingData[[#This Row],[Batch by Type (p)]],SelectedPrecincts[Batch Name], 0)), "", INDEX(SelectedPrecincts[Draw], MATCH(SamplingData[[#This Row],[Batch by Type (p)]],SelectedPrecincts[Batch Name], 0)))</f>
        <v/>
      </c>
      <c r="AJ479" s="100">
        <f>IF(COUNTIF(SelectedPrecincts[Batch Name],SamplingData[[#This Row],[Batch by Type (p)]]) &lt;&gt; 0, COUNTIF(SelectedPrecincts[Batch Name],SamplingData[[#This Row],[Batch by Type (p)]]), 0)</f>
        <v>0</v>
      </c>
    </row>
    <row r="480" spans="1:36" ht="15" customHeight="1" x14ac:dyDescent="0.35">
      <c r="A480" s="97" t="s">
        <v>693</v>
      </c>
      <c r="B480" s="97">
        <v>99</v>
      </c>
      <c r="C480" s="97">
        <v>3</v>
      </c>
      <c r="D480" s="92"/>
      <c r="E480" s="92"/>
      <c r="F480" s="92"/>
      <c r="G480" s="96"/>
      <c r="H480" s="96"/>
      <c r="I480" s="92"/>
      <c r="J480" s="92"/>
      <c r="K480" s="92"/>
      <c r="L480" s="92"/>
      <c r="M480" s="92"/>
      <c r="N480" s="97">
        <v>0</v>
      </c>
      <c r="O480" s="97">
        <v>3</v>
      </c>
      <c r="P480" s="98">
        <f>SUM(SamplingData[[#This Row],[Winning Candidate]:[Under Votes]])</f>
        <v>105</v>
      </c>
      <c r="Q480" s="99">
        <f>IF(AND(SamplingData[[#This Row],[Total]]&lt;&gt; 0, NOT(ISBLANK(SamplingData[[#This Row],[Losing Candidate]]))),(SamplingData[[#This Row],[Total]]+SamplingData[[#This Row],[Winning Candidate]]-SamplingData[[#This Row],[Losing Candidate]])/(SamplingData[[#Totals],[Winning Candidate]]-SamplingData[[#Totals],[Losing Candidate]]), 0)</f>
        <v>8.5299609573926335E-3</v>
      </c>
      <c r="R480" s="99">
        <f>IF(AND(SamplingData[[#This Row],[Total]]&lt;&gt; 0, NOT(ISBLANK(SamplingData[[#This Row],[Candidate 3]]))),(SamplingData[[#This Row],[Total]]+SamplingData[[#This Row],[Winning Candidate]]-SamplingData[[#This Row],[Candidate 3]])/(SamplingData[[#Totals],[Winning Candidate]]-SamplingData[[#Totals],[Candidate 3]]), 0)</f>
        <v>0</v>
      </c>
      <c r="S480" s="99">
        <f>IF(AND(SamplingData[[#This Row],[Total]]&lt;&gt; 0, NOT(ISBLANK(SamplingData[[#This Row],[Candidate 4]]))),(SamplingData[[#This Row],[Total]]+SamplingData[[#This Row],[Winning Candidate]]-SamplingData[[#This Row],[Candidate 4]])/(SamplingData[[#Totals],[Winning Candidate]]-SamplingData[[#Totals],[Candidate 4]]), 0)</f>
        <v>0</v>
      </c>
      <c r="T480" s="99">
        <f>IF(AND(SamplingData[[#This Row],[Total]]&lt;&gt; 0, NOT(ISBLANK(SamplingData[[#This Row],[Candidate 5]]))),(SamplingData[[#This Row],[Total]]+SamplingData[[#This Row],[Winning Candidate]]-SamplingData[[#This Row],[Candidate 5]])/(SamplingData[[#Totals],[Winning Candidate]]-SamplingData[[#Totals],[Candidate 5]]), 0)</f>
        <v>0</v>
      </c>
      <c r="U480" s="99">
        <f>IF(AND(SamplingData[[#This Row],[Total]]&lt;&gt; 0, NOT(ISBLANK(SamplingData[[#This Row],[Candidate 6]]))),(SamplingData[[#This Row],[Total]]+SamplingData[[#This Row],[Losing Candidate]]-SamplingData[[#This Row],[Candidate 6]])/(SamplingData[[#Totals],[Winning Candidate]]-SamplingData[[#Totals],[Candidate 6]]), 0)</f>
        <v>0</v>
      </c>
      <c r="V480" s="99">
        <f>IF(AND(SamplingData[[#This Row],[Total]]&lt;&gt; 0, NOT(ISBLANK(SamplingData[[#This Row],[Candidate 7]]))),(SamplingData[[#This Row],[Total]]+SamplingData[[#This Row],[Winning Candidate]]-SamplingData[[#This Row],[Candidate 7]])/(SamplingData[[#Totals],[Winning Candidate]]-SamplingData[[#Totals],[Candidate 7]]), 0)</f>
        <v>0</v>
      </c>
      <c r="W480" s="99">
        <f>IF(AND(SamplingData[[#This Row],[Total]]&lt;&gt; 0, NOT(ISBLANK(SamplingData[[#This Row],[Candidate 8]]))),(SamplingData[[#This Row],[Total]]+SamplingData[[#This Row],[Winning Candidate]]-SamplingData[[#This Row],[Candidate 8]])/(SamplingData[[#Totals],[Winning Candidate]]-SamplingData[[#Totals],[Candidate 8]]), 0)</f>
        <v>0</v>
      </c>
      <c r="X4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0" s="99">
        <f>MAX(SamplingData[[#This Row],[Error Bound (up) - Max. possible relative overstatement - Losing Candidate]:[Error Bound (up) - Max. possible relative overstatement - Candidate 12]])</f>
        <v>8.5299609573926335E-3</v>
      </c>
      <c r="AC480" s="99">
        <f>IF(SamplingData[[#This Row],[Max Error Bound (up)]] = 0,0,SamplingData[[#This Row],[Max Error Bound (up)]]/SamplingData[[#Totals],[Max Error Bound (up)]])</f>
        <v>4.567019304177125E-4</v>
      </c>
      <c r="AD480" s="103">
        <f>SUM($AC$5:AC480)</f>
        <v>0.3905414985276478</v>
      </c>
      <c r="AE480" s="99" t="str" cm="1">
        <f t="array" ref="AE480">IF(SamplingData[[#This Row],[up/U Selection Probability]] = 0, "Zero", TEXT(SamplingData[[#This Row],[Lower Range]], REPT("0",LEN('General Info'!$B$42))) &amp; " - " &amp; TEXT(SamplingData[[#This Row],[Upper Range]], REPT("0",LEN('General Info'!$B$42))))</f>
        <v>390085 - 390540</v>
      </c>
      <c r="AF480" s="99">
        <f>SamplingData[[#This Row],[Upper Range]]-SamplingData[[#This Row],[Span]]</f>
        <v>390084.79659723007</v>
      </c>
      <c r="AG480" s="99">
        <f>IF(ISNUMBER('General Info'!$B$42), ((SamplingData[[#This Row],[up/U Selection Probability]]) * 'General Info'!$B$44) - 1, 0)</f>
        <v>455.7019304177125</v>
      </c>
      <c r="AH480" s="99">
        <f>IF(ISNUMBER('General Info'!$B$42), (SamplingData[[#This Row],[Running (cumulative) sum]] * ('General Info'!$B$42 -'General Info'!$B$43 + 1)) + 'General Info'!$B$43 - 1, 0)</f>
        <v>390540.49852764781</v>
      </c>
      <c r="AI480" s="99" t="str">
        <f>IF(ISERROR(MATCH(SamplingData[[#This Row],[Batch by Type (p)]],SelectedPrecincts[Batch Name], 0)), "", INDEX(SelectedPrecincts[Draw], MATCH(SamplingData[[#This Row],[Batch by Type (p)]],SelectedPrecincts[Batch Name], 0)))</f>
        <v/>
      </c>
      <c r="AJ480" s="100">
        <f>IF(COUNTIF(SelectedPrecincts[Batch Name],SamplingData[[#This Row],[Batch by Type (p)]]) &lt;&gt; 0, COUNTIF(SelectedPrecincts[Batch Name],SamplingData[[#This Row],[Batch by Type (p)]]), 0)</f>
        <v>0</v>
      </c>
    </row>
    <row r="481" spans="1:36" ht="15" customHeight="1" x14ac:dyDescent="0.35">
      <c r="A481" s="97" t="s">
        <v>694</v>
      </c>
      <c r="B481" s="97">
        <v>70</v>
      </c>
      <c r="C481" s="97">
        <v>46</v>
      </c>
      <c r="D481" s="92"/>
      <c r="E481" s="92"/>
      <c r="F481" s="92"/>
      <c r="G481" s="96"/>
      <c r="H481" s="96"/>
      <c r="I481" s="92"/>
      <c r="J481" s="92"/>
      <c r="K481" s="92"/>
      <c r="L481" s="92"/>
      <c r="M481" s="92"/>
      <c r="N481" s="97">
        <v>0</v>
      </c>
      <c r="O481" s="97">
        <v>8</v>
      </c>
      <c r="P481" s="98">
        <f>SUM(SamplingData[[#This Row],[Winning Candidate]:[Under Votes]])</f>
        <v>124</v>
      </c>
      <c r="Q481" s="99">
        <f>IF(AND(SamplingData[[#This Row],[Total]]&lt;&gt; 0, NOT(ISBLANK(SamplingData[[#This Row],[Losing Candidate]]))),(SamplingData[[#This Row],[Total]]+SamplingData[[#This Row],[Winning Candidate]]-SamplingData[[#This Row],[Losing Candidate]])/(SamplingData[[#Totals],[Winning Candidate]]-SamplingData[[#Totals],[Losing Candidate]]), 0)</f>
        <v>6.2807672721099982E-3</v>
      </c>
      <c r="R481" s="99">
        <f>IF(AND(SamplingData[[#This Row],[Total]]&lt;&gt; 0, NOT(ISBLANK(SamplingData[[#This Row],[Candidate 3]]))),(SamplingData[[#This Row],[Total]]+SamplingData[[#This Row],[Winning Candidate]]-SamplingData[[#This Row],[Candidate 3]])/(SamplingData[[#Totals],[Winning Candidate]]-SamplingData[[#Totals],[Candidate 3]]), 0)</f>
        <v>0</v>
      </c>
      <c r="S481" s="99">
        <f>IF(AND(SamplingData[[#This Row],[Total]]&lt;&gt; 0, NOT(ISBLANK(SamplingData[[#This Row],[Candidate 4]]))),(SamplingData[[#This Row],[Total]]+SamplingData[[#This Row],[Winning Candidate]]-SamplingData[[#This Row],[Candidate 4]])/(SamplingData[[#Totals],[Winning Candidate]]-SamplingData[[#Totals],[Candidate 4]]), 0)</f>
        <v>0</v>
      </c>
      <c r="T481" s="99">
        <f>IF(AND(SamplingData[[#This Row],[Total]]&lt;&gt; 0, NOT(ISBLANK(SamplingData[[#This Row],[Candidate 5]]))),(SamplingData[[#This Row],[Total]]+SamplingData[[#This Row],[Winning Candidate]]-SamplingData[[#This Row],[Candidate 5]])/(SamplingData[[#Totals],[Winning Candidate]]-SamplingData[[#Totals],[Candidate 5]]), 0)</f>
        <v>0</v>
      </c>
      <c r="U481" s="99">
        <f>IF(AND(SamplingData[[#This Row],[Total]]&lt;&gt; 0, NOT(ISBLANK(SamplingData[[#This Row],[Candidate 6]]))),(SamplingData[[#This Row],[Total]]+SamplingData[[#This Row],[Losing Candidate]]-SamplingData[[#This Row],[Candidate 6]])/(SamplingData[[#Totals],[Winning Candidate]]-SamplingData[[#Totals],[Candidate 6]]), 0)</f>
        <v>0</v>
      </c>
      <c r="V481" s="99">
        <f>IF(AND(SamplingData[[#This Row],[Total]]&lt;&gt; 0, NOT(ISBLANK(SamplingData[[#This Row],[Candidate 7]]))),(SamplingData[[#This Row],[Total]]+SamplingData[[#This Row],[Winning Candidate]]-SamplingData[[#This Row],[Candidate 7]])/(SamplingData[[#Totals],[Winning Candidate]]-SamplingData[[#Totals],[Candidate 7]]), 0)</f>
        <v>0</v>
      </c>
      <c r="W481" s="99">
        <f>IF(AND(SamplingData[[#This Row],[Total]]&lt;&gt; 0, NOT(ISBLANK(SamplingData[[#This Row],[Candidate 8]]))),(SamplingData[[#This Row],[Total]]+SamplingData[[#This Row],[Winning Candidate]]-SamplingData[[#This Row],[Candidate 8]])/(SamplingData[[#Totals],[Winning Candidate]]-SamplingData[[#Totals],[Candidate 8]]), 0)</f>
        <v>0</v>
      </c>
      <c r="X4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1" s="99">
        <f>MAX(SamplingData[[#This Row],[Error Bound (up) - Max. possible relative overstatement - Losing Candidate]:[Error Bound (up) - Max. possible relative overstatement - Candidate 12]])</f>
        <v>6.2807672721099982E-3</v>
      </c>
      <c r="AC481" s="99">
        <f>IF(SamplingData[[#This Row],[Max Error Bound (up)]] = 0,0,SamplingData[[#This Row],[Max Error Bound (up)]]/SamplingData[[#Totals],[Max Error Bound (up)]])</f>
        <v>3.3627803831751959E-4</v>
      </c>
      <c r="AD481" s="103">
        <f>SUM($AC$5:AC481)</f>
        <v>0.39087777656596534</v>
      </c>
      <c r="AE481" s="99" t="str" cm="1">
        <f t="array" ref="AE481">IF(SamplingData[[#This Row],[up/U Selection Probability]] = 0, "Zero", TEXT(SamplingData[[#This Row],[Lower Range]], REPT("0",LEN('General Info'!$B$42))) &amp; " - " &amp; TEXT(SamplingData[[#This Row],[Upper Range]], REPT("0",LEN('General Info'!$B$42))))</f>
        <v>390541 - 390877</v>
      </c>
      <c r="AF481" s="99">
        <f>SamplingData[[#This Row],[Upper Range]]-SamplingData[[#This Row],[Span]]</f>
        <v>390541.49852764781</v>
      </c>
      <c r="AG481" s="99">
        <f>IF(ISNUMBER('General Info'!$B$42), ((SamplingData[[#This Row],[up/U Selection Probability]]) * 'General Info'!$B$44) - 1, 0)</f>
        <v>335.27803831751959</v>
      </c>
      <c r="AH481" s="99">
        <f>IF(ISNUMBER('General Info'!$B$42), (SamplingData[[#This Row],[Running (cumulative) sum]] * ('General Info'!$B$42 -'General Info'!$B$43 + 1)) + 'General Info'!$B$43 - 1, 0)</f>
        <v>390876.77656596532</v>
      </c>
      <c r="AI481" s="99" t="str">
        <f>IF(ISERROR(MATCH(SamplingData[[#This Row],[Batch by Type (p)]],SelectedPrecincts[Batch Name], 0)), "", INDEX(SelectedPrecincts[Draw], MATCH(SamplingData[[#This Row],[Batch by Type (p)]],SelectedPrecincts[Batch Name], 0)))</f>
        <v/>
      </c>
      <c r="AJ481" s="100">
        <f>IF(COUNTIF(SelectedPrecincts[Batch Name],SamplingData[[#This Row],[Batch by Type (p)]]) &lt;&gt; 0, COUNTIF(SelectedPrecincts[Batch Name],SamplingData[[#This Row],[Batch by Type (p)]]), 0)</f>
        <v>0</v>
      </c>
    </row>
    <row r="482" spans="1:36" ht="15" customHeight="1" x14ac:dyDescent="0.35">
      <c r="A482" s="97" t="s">
        <v>695</v>
      </c>
      <c r="B482" s="97">
        <v>137</v>
      </c>
      <c r="C482" s="97">
        <v>72</v>
      </c>
      <c r="D482" s="92"/>
      <c r="E482" s="92"/>
      <c r="F482" s="92"/>
      <c r="G482" s="96"/>
      <c r="H482" s="96"/>
      <c r="I482" s="92"/>
      <c r="J482" s="92"/>
      <c r="K482" s="92"/>
      <c r="L482" s="92"/>
      <c r="M482" s="92"/>
      <c r="N482" s="97">
        <v>0</v>
      </c>
      <c r="O482" s="97">
        <v>5</v>
      </c>
      <c r="P482" s="98">
        <f>SUM(SamplingData[[#This Row],[Winning Candidate]:[Under Votes]])</f>
        <v>214</v>
      </c>
      <c r="Q482" s="99">
        <f>IF(AND(SamplingData[[#This Row],[Total]]&lt;&gt; 0, NOT(ISBLANK(SamplingData[[#This Row],[Losing Candidate]]))),(SamplingData[[#This Row],[Total]]+SamplingData[[#This Row],[Winning Candidate]]-SamplingData[[#This Row],[Losing Candidate]])/(SamplingData[[#Totals],[Winning Candidate]]-SamplingData[[#Totals],[Losing Candidate]]), 0)</f>
        <v>1.1840095060261416E-2</v>
      </c>
      <c r="R482" s="99">
        <f>IF(AND(SamplingData[[#This Row],[Total]]&lt;&gt; 0, NOT(ISBLANK(SamplingData[[#This Row],[Candidate 3]]))),(SamplingData[[#This Row],[Total]]+SamplingData[[#This Row],[Winning Candidate]]-SamplingData[[#This Row],[Candidate 3]])/(SamplingData[[#Totals],[Winning Candidate]]-SamplingData[[#Totals],[Candidate 3]]), 0)</f>
        <v>0</v>
      </c>
      <c r="S482" s="99">
        <f>IF(AND(SamplingData[[#This Row],[Total]]&lt;&gt; 0, NOT(ISBLANK(SamplingData[[#This Row],[Candidate 4]]))),(SamplingData[[#This Row],[Total]]+SamplingData[[#This Row],[Winning Candidate]]-SamplingData[[#This Row],[Candidate 4]])/(SamplingData[[#Totals],[Winning Candidate]]-SamplingData[[#Totals],[Candidate 4]]), 0)</f>
        <v>0</v>
      </c>
      <c r="T482" s="99">
        <f>IF(AND(SamplingData[[#This Row],[Total]]&lt;&gt; 0, NOT(ISBLANK(SamplingData[[#This Row],[Candidate 5]]))),(SamplingData[[#This Row],[Total]]+SamplingData[[#This Row],[Winning Candidate]]-SamplingData[[#This Row],[Candidate 5]])/(SamplingData[[#Totals],[Winning Candidate]]-SamplingData[[#Totals],[Candidate 5]]), 0)</f>
        <v>0</v>
      </c>
      <c r="U482" s="99">
        <f>IF(AND(SamplingData[[#This Row],[Total]]&lt;&gt; 0, NOT(ISBLANK(SamplingData[[#This Row],[Candidate 6]]))),(SamplingData[[#This Row],[Total]]+SamplingData[[#This Row],[Losing Candidate]]-SamplingData[[#This Row],[Candidate 6]])/(SamplingData[[#Totals],[Winning Candidate]]-SamplingData[[#Totals],[Candidate 6]]), 0)</f>
        <v>0</v>
      </c>
      <c r="V482" s="99">
        <f>IF(AND(SamplingData[[#This Row],[Total]]&lt;&gt; 0, NOT(ISBLANK(SamplingData[[#This Row],[Candidate 7]]))),(SamplingData[[#This Row],[Total]]+SamplingData[[#This Row],[Winning Candidate]]-SamplingData[[#This Row],[Candidate 7]])/(SamplingData[[#Totals],[Winning Candidate]]-SamplingData[[#Totals],[Candidate 7]]), 0)</f>
        <v>0</v>
      </c>
      <c r="W482" s="99">
        <f>IF(AND(SamplingData[[#This Row],[Total]]&lt;&gt; 0, NOT(ISBLANK(SamplingData[[#This Row],[Candidate 8]]))),(SamplingData[[#This Row],[Total]]+SamplingData[[#This Row],[Winning Candidate]]-SamplingData[[#This Row],[Candidate 8]])/(SamplingData[[#Totals],[Winning Candidate]]-SamplingData[[#Totals],[Candidate 8]]), 0)</f>
        <v>0</v>
      </c>
      <c r="X4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2" s="99">
        <f>MAX(SamplingData[[#This Row],[Error Bound (up) - Max. possible relative overstatement - Losing Candidate]:[Error Bound (up) - Max. possible relative overstatement - Candidate 12]])</f>
        <v>1.1840095060261416E-2</v>
      </c>
      <c r="AC482" s="99">
        <f>IF(SamplingData[[#This Row],[Max Error Bound (up)]] = 0,0,SamplingData[[#This Row],[Max Error Bound (up)]]/SamplingData[[#Totals],[Max Error Bound (up)]])</f>
        <v>6.3392954520667547E-4</v>
      </c>
      <c r="AD482" s="103">
        <f>SUM($AC$5:AC482)</f>
        <v>0.39151170611117203</v>
      </c>
      <c r="AE482" s="99" t="str" cm="1">
        <f t="array" ref="AE482">IF(SamplingData[[#This Row],[up/U Selection Probability]] = 0, "Zero", TEXT(SamplingData[[#This Row],[Lower Range]], REPT("0",LEN('General Info'!$B$42))) &amp; " - " &amp; TEXT(SamplingData[[#This Row],[Upper Range]], REPT("0",LEN('General Info'!$B$42))))</f>
        <v>390878 - 391511</v>
      </c>
      <c r="AF482" s="99">
        <f>SamplingData[[#This Row],[Upper Range]]-SamplingData[[#This Row],[Span]]</f>
        <v>390877.77656596538</v>
      </c>
      <c r="AG482" s="99">
        <f>IF(ISNUMBER('General Info'!$B$42), ((SamplingData[[#This Row],[up/U Selection Probability]]) * 'General Info'!$B$44) - 1, 0)</f>
        <v>632.92954520667547</v>
      </c>
      <c r="AH482" s="99">
        <f>IF(ISNUMBER('General Info'!$B$42), (SamplingData[[#This Row],[Running (cumulative) sum]] * ('General Info'!$B$42 -'General Info'!$B$43 + 1)) + 'General Info'!$B$43 - 1, 0)</f>
        <v>391510.70611117204</v>
      </c>
      <c r="AI482" s="99" t="str">
        <f>IF(ISERROR(MATCH(SamplingData[[#This Row],[Batch by Type (p)]],SelectedPrecincts[Batch Name], 0)), "", INDEX(SelectedPrecincts[Draw], MATCH(SamplingData[[#This Row],[Batch by Type (p)]],SelectedPrecincts[Batch Name], 0)))</f>
        <v/>
      </c>
      <c r="AJ482" s="100">
        <f>IF(COUNTIF(SelectedPrecincts[Batch Name],SamplingData[[#This Row],[Batch by Type (p)]]) &lt;&gt; 0, COUNTIF(SelectedPrecincts[Batch Name],SamplingData[[#This Row],[Batch by Type (p)]]), 0)</f>
        <v>0</v>
      </c>
    </row>
    <row r="483" spans="1:36" ht="15" customHeight="1" x14ac:dyDescent="0.35">
      <c r="A483" s="97" t="s">
        <v>696</v>
      </c>
      <c r="B483" s="97">
        <v>294</v>
      </c>
      <c r="C483" s="97">
        <v>180</v>
      </c>
      <c r="D483" s="92"/>
      <c r="E483" s="92"/>
      <c r="F483" s="92"/>
      <c r="G483" s="96"/>
      <c r="H483" s="96"/>
      <c r="I483" s="92"/>
      <c r="J483" s="92"/>
      <c r="K483" s="92"/>
      <c r="L483" s="92"/>
      <c r="M483" s="92"/>
      <c r="N483" s="97">
        <v>0</v>
      </c>
      <c r="O483" s="97">
        <v>22</v>
      </c>
      <c r="P483" s="98">
        <f>SUM(SamplingData[[#This Row],[Winning Candidate]:[Under Votes]])</f>
        <v>496</v>
      </c>
      <c r="Q483" s="99">
        <f>IF(AND(SamplingData[[#This Row],[Total]]&lt;&gt; 0, NOT(ISBLANK(SamplingData[[#This Row],[Losing Candidate]]))),(SamplingData[[#This Row],[Total]]+SamplingData[[#This Row],[Winning Candidate]]-SamplingData[[#This Row],[Losing Candidate]])/(SamplingData[[#Totals],[Winning Candidate]]-SamplingData[[#Totals],[Losing Candidate]]), 0)</f>
        <v>2.588694618910202E-2</v>
      </c>
      <c r="R483" s="99">
        <f>IF(AND(SamplingData[[#This Row],[Total]]&lt;&gt; 0, NOT(ISBLANK(SamplingData[[#This Row],[Candidate 3]]))),(SamplingData[[#This Row],[Total]]+SamplingData[[#This Row],[Winning Candidate]]-SamplingData[[#This Row],[Candidate 3]])/(SamplingData[[#Totals],[Winning Candidate]]-SamplingData[[#Totals],[Candidate 3]]), 0)</f>
        <v>0</v>
      </c>
      <c r="S483" s="99">
        <f>IF(AND(SamplingData[[#This Row],[Total]]&lt;&gt; 0, NOT(ISBLANK(SamplingData[[#This Row],[Candidate 4]]))),(SamplingData[[#This Row],[Total]]+SamplingData[[#This Row],[Winning Candidate]]-SamplingData[[#This Row],[Candidate 4]])/(SamplingData[[#Totals],[Winning Candidate]]-SamplingData[[#Totals],[Candidate 4]]), 0)</f>
        <v>0</v>
      </c>
      <c r="T483" s="99">
        <f>IF(AND(SamplingData[[#This Row],[Total]]&lt;&gt; 0, NOT(ISBLANK(SamplingData[[#This Row],[Candidate 5]]))),(SamplingData[[#This Row],[Total]]+SamplingData[[#This Row],[Winning Candidate]]-SamplingData[[#This Row],[Candidate 5]])/(SamplingData[[#Totals],[Winning Candidate]]-SamplingData[[#Totals],[Candidate 5]]), 0)</f>
        <v>0</v>
      </c>
      <c r="U483" s="99">
        <f>IF(AND(SamplingData[[#This Row],[Total]]&lt;&gt; 0, NOT(ISBLANK(SamplingData[[#This Row],[Candidate 6]]))),(SamplingData[[#This Row],[Total]]+SamplingData[[#This Row],[Losing Candidate]]-SamplingData[[#This Row],[Candidate 6]])/(SamplingData[[#Totals],[Winning Candidate]]-SamplingData[[#Totals],[Candidate 6]]), 0)</f>
        <v>0</v>
      </c>
      <c r="V483" s="99">
        <f>IF(AND(SamplingData[[#This Row],[Total]]&lt;&gt; 0, NOT(ISBLANK(SamplingData[[#This Row],[Candidate 7]]))),(SamplingData[[#This Row],[Total]]+SamplingData[[#This Row],[Winning Candidate]]-SamplingData[[#This Row],[Candidate 7]])/(SamplingData[[#Totals],[Winning Candidate]]-SamplingData[[#Totals],[Candidate 7]]), 0)</f>
        <v>0</v>
      </c>
      <c r="W483" s="99">
        <f>IF(AND(SamplingData[[#This Row],[Total]]&lt;&gt; 0, NOT(ISBLANK(SamplingData[[#This Row],[Candidate 8]]))),(SamplingData[[#This Row],[Total]]+SamplingData[[#This Row],[Winning Candidate]]-SamplingData[[#This Row],[Candidate 8]])/(SamplingData[[#Totals],[Winning Candidate]]-SamplingData[[#Totals],[Candidate 8]]), 0)</f>
        <v>0</v>
      </c>
      <c r="X4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3" s="99">
        <f>MAX(SamplingData[[#This Row],[Error Bound (up) - Max. possible relative overstatement - Losing Candidate]:[Error Bound (up) - Max. possible relative overstatement - Candidate 12]])</f>
        <v>2.588694618910202E-2</v>
      </c>
      <c r="AC483" s="99">
        <f>IF(SamplingData[[#This Row],[Max Error Bound (up)]] = 0,0,SamplingData[[#This Row],[Max Error Bound (up)]]/SamplingData[[#Totals],[Max Error Bound (up)]])</f>
        <v>1.3860108336059931E-3</v>
      </c>
      <c r="AD483" s="103">
        <f>SUM($AC$5:AC483)</f>
        <v>0.39289771694477804</v>
      </c>
      <c r="AE483" s="99" t="str" cm="1">
        <f t="array" ref="AE483">IF(SamplingData[[#This Row],[up/U Selection Probability]] = 0, "Zero", TEXT(SamplingData[[#This Row],[Lower Range]], REPT("0",LEN('General Info'!$B$42))) &amp; " - " &amp; TEXT(SamplingData[[#This Row],[Upper Range]], REPT("0",LEN('General Info'!$B$42))))</f>
        <v>391512 - 392897</v>
      </c>
      <c r="AF483" s="99">
        <f>SamplingData[[#This Row],[Upper Range]]-SamplingData[[#This Row],[Span]]</f>
        <v>391511.70611117204</v>
      </c>
      <c r="AG483" s="99">
        <f>IF(ISNUMBER('General Info'!$B$42), ((SamplingData[[#This Row],[up/U Selection Probability]]) * 'General Info'!$B$44) - 1, 0)</f>
        <v>1385.010833605993</v>
      </c>
      <c r="AH483" s="99">
        <f>IF(ISNUMBER('General Info'!$B$42), (SamplingData[[#This Row],[Running (cumulative) sum]] * ('General Info'!$B$42 -'General Info'!$B$43 + 1)) + 'General Info'!$B$43 - 1, 0)</f>
        <v>392896.71694477805</v>
      </c>
      <c r="AI483" s="99" t="str">
        <f>IF(ISERROR(MATCH(SamplingData[[#This Row],[Batch by Type (p)]],SelectedPrecincts[Batch Name], 0)), "", INDEX(SelectedPrecincts[Draw], MATCH(SamplingData[[#This Row],[Batch by Type (p)]],SelectedPrecincts[Batch Name], 0)))</f>
        <v/>
      </c>
      <c r="AJ483" s="100">
        <f>IF(COUNTIF(SelectedPrecincts[Batch Name],SamplingData[[#This Row],[Batch by Type (p)]]) &lt;&gt; 0, COUNTIF(SelectedPrecincts[Batch Name],SamplingData[[#This Row],[Batch by Type (p)]]), 0)</f>
        <v>0</v>
      </c>
    </row>
    <row r="484" spans="1:36" ht="15" customHeight="1" x14ac:dyDescent="0.35">
      <c r="A484" s="97" t="s">
        <v>697</v>
      </c>
      <c r="B484" s="97">
        <v>310</v>
      </c>
      <c r="C484" s="97">
        <v>237</v>
      </c>
      <c r="D484" s="92"/>
      <c r="E484" s="92"/>
      <c r="F484" s="92"/>
      <c r="G484" s="96"/>
      <c r="H484" s="96"/>
      <c r="I484" s="92"/>
      <c r="J484" s="92"/>
      <c r="K484" s="92"/>
      <c r="L484" s="92"/>
      <c r="M484" s="92"/>
      <c r="N484" s="97">
        <v>0</v>
      </c>
      <c r="O484" s="97">
        <v>54</v>
      </c>
      <c r="P484" s="98">
        <f>SUM(SamplingData[[#This Row],[Winning Candidate]:[Under Votes]])</f>
        <v>601</v>
      </c>
      <c r="Q484" s="99">
        <f>IF(AND(SamplingData[[#This Row],[Total]]&lt;&gt; 0, NOT(ISBLANK(SamplingData[[#This Row],[Losing Candidate]]))),(SamplingData[[#This Row],[Total]]+SamplingData[[#This Row],[Winning Candidate]]-SamplingData[[#This Row],[Losing Candidate]])/(SamplingData[[#Totals],[Winning Candidate]]-SamplingData[[#Totals],[Losing Candidate]]), 0)</f>
        <v>2.860295365812256E-2</v>
      </c>
      <c r="R484" s="99">
        <f>IF(AND(SamplingData[[#This Row],[Total]]&lt;&gt; 0, NOT(ISBLANK(SamplingData[[#This Row],[Candidate 3]]))),(SamplingData[[#This Row],[Total]]+SamplingData[[#This Row],[Winning Candidate]]-SamplingData[[#This Row],[Candidate 3]])/(SamplingData[[#Totals],[Winning Candidate]]-SamplingData[[#Totals],[Candidate 3]]), 0)</f>
        <v>0</v>
      </c>
      <c r="S484" s="99">
        <f>IF(AND(SamplingData[[#This Row],[Total]]&lt;&gt; 0, NOT(ISBLANK(SamplingData[[#This Row],[Candidate 4]]))),(SamplingData[[#This Row],[Total]]+SamplingData[[#This Row],[Winning Candidate]]-SamplingData[[#This Row],[Candidate 4]])/(SamplingData[[#Totals],[Winning Candidate]]-SamplingData[[#Totals],[Candidate 4]]), 0)</f>
        <v>0</v>
      </c>
      <c r="T484" s="99">
        <f>IF(AND(SamplingData[[#This Row],[Total]]&lt;&gt; 0, NOT(ISBLANK(SamplingData[[#This Row],[Candidate 5]]))),(SamplingData[[#This Row],[Total]]+SamplingData[[#This Row],[Winning Candidate]]-SamplingData[[#This Row],[Candidate 5]])/(SamplingData[[#Totals],[Winning Candidate]]-SamplingData[[#Totals],[Candidate 5]]), 0)</f>
        <v>0</v>
      </c>
      <c r="U484" s="99">
        <f>IF(AND(SamplingData[[#This Row],[Total]]&lt;&gt; 0, NOT(ISBLANK(SamplingData[[#This Row],[Candidate 6]]))),(SamplingData[[#This Row],[Total]]+SamplingData[[#This Row],[Losing Candidate]]-SamplingData[[#This Row],[Candidate 6]])/(SamplingData[[#Totals],[Winning Candidate]]-SamplingData[[#Totals],[Candidate 6]]), 0)</f>
        <v>0</v>
      </c>
      <c r="V484" s="99">
        <f>IF(AND(SamplingData[[#This Row],[Total]]&lt;&gt; 0, NOT(ISBLANK(SamplingData[[#This Row],[Candidate 7]]))),(SamplingData[[#This Row],[Total]]+SamplingData[[#This Row],[Winning Candidate]]-SamplingData[[#This Row],[Candidate 7]])/(SamplingData[[#Totals],[Winning Candidate]]-SamplingData[[#Totals],[Candidate 7]]), 0)</f>
        <v>0</v>
      </c>
      <c r="W484" s="99">
        <f>IF(AND(SamplingData[[#This Row],[Total]]&lt;&gt; 0, NOT(ISBLANK(SamplingData[[#This Row],[Candidate 8]]))),(SamplingData[[#This Row],[Total]]+SamplingData[[#This Row],[Winning Candidate]]-SamplingData[[#This Row],[Candidate 8]])/(SamplingData[[#Totals],[Winning Candidate]]-SamplingData[[#Totals],[Candidate 8]]), 0)</f>
        <v>0</v>
      </c>
      <c r="X4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4" s="99">
        <f>MAX(SamplingData[[#This Row],[Error Bound (up) - Max. possible relative overstatement - Losing Candidate]:[Error Bound (up) - Max. possible relative overstatement - Candidate 12]])</f>
        <v>2.860295365812256E-2</v>
      </c>
      <c r="AC484" s="99">
        <f>IF(SamplingData[[#This Row],[Max Error Bound (up)]] = 0,0,SamplingData[[#This Row],[Max Error Bound (up)]]/SamplingData[[#Totals],[Max Error Bound (up)]])</f>
        <v>1.5314283636892448E-3</v>
      </c>
      <c r="AD484" s="103">
        <f>SUM($AC$5:AC484)</f>
        <v>0.39442914530846729</v>
      </c>
      <c r="AE484" s="99" t="str" cm="1">
        <f t="array" ref="AE484">IF(SamplingData[[#This Row],[up/U Selection Probability]] = 0, "Zero", TEXT(SamplingData[[#This Row],[Lower Range]], REPT("0",LEN('General Info'!$B$42))) &amp; " - " &amp; TEXT(SamplingData[[#This Row],[Upper Range]], REPT("0",LEN('General Info'!$B$42))))</f>
        <v>392898 - 394428</v>
      </c>
      <c r="AF484" s="99">
        <f>SamplingData[[#This Row],[Upper Range]]-SamplingData[[#This Row],[Span]]</f>
        <v>392897.71694477805</v>
      </c>
      <c r="AG484" s="99">
        <f>IF(ISNUMBER('General Info'!$B$42), ((SamplingData[[#This Row],[up/U Selection Probability]]) * 'General Info'!$B$44) - 1, 0)</f>
        <v>1530.4283636892449</v>
      </c>
      <c r="AH484" s="99">
        <f>IF(ISNUMBER('General Info'!$B$42), (SamplingData[[#This Row],[Running (cumulative) sum]] * ('General Info'!$B$42 -'General Info'!$B$43 + 1)) + 'General Info'!$B$43 - 1, 0)</f>
        <v>394428.14530846727</v>
      </c>
      <c r="AI484" s="99" t="str">
        <f>IF(ISERROR(MATCH(SamplingData[[#This Row],[Batch by Type (p)]],SelectedPrecincts[Batch Name], 0)), "", INDEX(SelectedPrecincts[Draw], MATCH(SamplingData[[#This Row],[Batch by Type (p)]],SelectedPrecincts[Batch Name], 0)))</f>
        <v/>
      </c>
      <c r="AJ484" s="100">
        <f>IF(COUNTIF(SelectedPrecincts[Batch Name],SamplingData[[#This Row],[Batch by Type (p)]]) &lt;&gt; 0, COUNTIF(SelectedPrecincts[Batch Name],SamplingData[[#This Row],[Batch by Type (p)]]), 0)</f>
        <v>0</v>
      </c>
    </row>
    <row r="485" spans="1:36" ht="15" customHeight="1" x14ac:dyDescent="0.35">
      <c r="A485" s="97" t="s">
        <v>698</v>
      </c>
      <c r="B485" s="97">
        <v>12</v>
      </c>
      <c r="C485" s="97">
        <v>31</v>
      </c>
      <c r="D485" s="92"/>
      <c r="E485" s="92"/>
      <c r="F485" s="92"/>
      <c r="G485" s="96"/>
      <c r="H485" s="96"/>
      <c r="I485" s="92"/>
      <c r="J485" s="92"/>
      <c r="K485" s="92"/>
      <c r="L485" s="92"/>
      <c r="M485" s="92"/>
      <c r="N485" s="97">
        <v>0</v>
      </c>
      <c r="O485" s="97">
        <v>3</v>
      </c>
      <c r="P485" s="98">
        <f>SUM(SamplingData[[#This Row],[Winning Candidate]:[Under Votes]])</f>
        <v>46</v>
      </c>
      <c r="Q485" s="99">
        <f>IF(AND(SamplingData[[#This Row],[Total]]&lt;&gt; 0, NOT(ISBLANK(SamplingData[[#This Row],[Losing Candidate]]))),(SamplingData[[#This Row],[Total]]+SamplingData[[#This Row],[Winning Candidate]]-SamplingData[[#This Row],[Losing Candidate]])/(SamplingData[[#Totals],[Winning Candidate]]-SamplingData[[#Totals],[Losing Candidate]]), 0)</f>
        <v>1.1458156509930402E-3</v>
      </c>
      <c r="R485" s="99">
        <f>IF(AND(SamplingData[[#This Row],[Total]]&lt;&gt; 0, NOT(ISBLANK(SamplingData[[#This Row],[Candidate 3]]))),(SamplingData[[#This Row],[Total]]+SamplingData[[#This Row],[Winning Candidate]]-SamplingData[[#This Row],[Candidate 3]])/(SamplingData[[#Totals],[Winning Candidate]]-SamplingData[[#Totals],[Candidate 3]]), 0)</f>
        <v>0</v>
      </c>
      <c r="S485" s="99">
        <f>IF(AND(SamplingData[[#This Row],[Total]]&lt;&gt; 0, NOT(ISBLANK(SamplingData[[#This Row],[Candidate 4]]))),(SamplingData[[#This Row],[Total]]+SamplingData[[#This Row],[Winning Candidate]]-SamplingData[[#This Row],[Candidate 4]])/(SamplingData[[#Totals],[Winning Candidate]]-SamplingData[[#Totals],[Candidate 4]]), 0)</f>
        <v>0</v>
      </c>
      <c r="T485" s="99">
        <f>IF(AND(SamplingData[[#This Row],[Total]]&lt;&gt; 0, NOT(ISBLANK(SamplingData[[#This Row],[Candidate 5]]))),(SamplingData[[#This Row],[Total]]+SamplingData[[#This Row],[Winning Candidate]]-SamplingData[[#This Row],[Candidate 5]])/(SamplingData[[#Totals],[Winning Candidate]]-SamplingData[[#Totals],[Candidate 5]]), 0)</f>
        <v>0</v>
      </c>
      <c r="U485" s="99">
        <f>IF(AND(SamplingData[[#This Row],[Total]]&lt;&gt; 0, NOT(ISBLANK(SamplingData[[#This Row],[Candidate 6]]))),(SamplingData[[#This Row],[Total]]+SamplingData[[#This Row],[Losing Candidate]]-SamplingData[[#This Row],[Candidate 6]])/(SamplingData[[#Totals],[Winning Candidate]]-SamplingData[[#Totals],[Candidate 6]]), 0)</f>
        <v>0</v>
      </c>
      <c r="V485" s="99">
        <f>IF(AND(SamplingData[[#This Row],[Total]]&lt;&gt; 0, NOT(ISBLANK(SamplingData[[#This Row],[Candidate 7]]))),(SamplingData[[#This Row],[Total]]+SamplingData[[#This Row],[Winning Candidate]]-SamplingData[[#This Row],[Candidate 7]])/(SamplingData[[#Totals],[Winning Candidate]]-SamplingData[[#Totals],[Candidate 7]]), 0)</f>
        <v>0</v>
      </c>
      <c r="W485" s="99">
        <f>IF(AND(SamplingData[[#This Row],[Total]]&lt;&gt; 0, NOT(ISBLANK(SamplingData[[#This Row],[Candidate 8]]))),(SamplingData[[#This Row],[Total]]+SamplingData[[#This Row],[Winning Candidate]]-SamplingData[[#This Row],[Candidate 8]])/(SamplingData[[#Totals],[Winning Candidate]]-SamplingData[[#Totals],[Candidate 8]]), 0)</f>
        <v>0</v>
      </c>
      <c r="X4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5" s="99">
        <f>MAX(SamplingData[[#This Row],[Error Bound (up) - Max. possible relative overstatement - Losing Candidate]:[Error Bound (up) - Max. possible relative overstatement - Candidate 12]])</f>
        <v>1.1458156509930402E-3</v>
      </c>
      <c r="AC485" s="99">
        <f>IF(SamplingData[[#This Row],[Max Error Bound (up)]] = 0,0,SamplingData[[#This Row],[Max Error Bound (up)]]/SamplingData[[#Totals],[Max Error Bound (up)]])</f>
        <v>6.1348020503871817E-5</v>
      </c>
      <c r="AD485" s="103">
        <f>SUM($AC$5:AC485)</f>
        <v>0.39449049332897118</v>
      </c>
      <c r="AE485" s="99" t="str" cm="1">
        <f t="array" ref="AE485">IF(SamplingData[[#This Row],[up/U Selection Probability]] = 0, "Zero", TEXT(SamplingData[[#This Row],[Lower Range]], REPT("0",LEN('General Info'!$B$42))) &amp; " - " &amp; TEXT(SamplingData[[#This Row],[Upper Range]], REPT("0",LEN('General Info'!$B$42))))</f>
        <v>394429 - 394489</v>
      </c>
      <c r="AF485" s="99">
        <f>SamplingData[[#This Row],[Upper Range]]-SamplingData[[#This Row],[Span]]</f>
        <v>394429.14530846733</v>
      </c>
      <c r="AG485" s="99">
        <f>IF(ISNUMBER('General Info'!$B$42), ((SamplingData[[#This Row],[up/U Selection Probability]]) * 'General Info'!$B$44) - 1, 0)</f>
        <v>60.348020503871815</v>
      </c>
      <c r="AH485" s="99">
        <f>IF(ISNUMBER('General Info'!$B$42), (SamplingData[[#This Row],[Running (cumulative) sum]] * ('General Info'!$B$42 -'General Info'!$B$43 + 1)) + 'General Info'!$B$43 - 1, 0)</f>
        <v>394489.49332897121</v>
      </c>
      <c r="AI485" s="99" t="str">
        <f>IF(ISERROR(MATCH(SamplingData[[#This Row],[Batch by Type (p)]],SelectedPrecincts[Batch Name], 0)), "", INDEX(SelectedPrecincts[Draw], MATCH(SamplingData[[#This Row],[Batch by Type (p)]],SelectedPrecincts[Batch Name], 0)))</f>
        <v/>
      </c>
      <c r="AJ485" s="100">
        <f>IF(COUNTIF(SelectedPrecincts[Batch Name],SamplingData[[#This Row],[Batch by Type (p)]]) &lt;&gt; 0, COUNTIF(SelectedPrecincts[Batch Name],SamplingData[[#This Row],[Batch by Type (p)]]), 0)</f>
        <v>0</v>
      </c>
    </row>
    <row r="486" spans="1:36" ht="15" customHeight="1" x14ac:dyDescent="0.35">
      <c r="A486" s="97" t="s">
        <v>699</v>
      </c>
      <c r="B486" s="97">
        <v>23</v>
      </c>
      <c r="C486" s="97">
        <v>45</v>
      </c>
      <c r="D486" s="92"/>
      <c r="E486" s="92"/>
      <c r="F486" s="92"/>
      <c r="G486" s="96"/>
      <c r="H486" s="96"/>
      <c r="I486" s="92"/>
      <c r="J486" s="92"/>
      <c r="K486" s="92"/>
      <c r="L486" s="92"/>
      <c r="M486" s="92"/>
      <c r="N486" s="97">
        <v>0</v>
      </c>
      <c r="O486" s="97">
        <v>4</v>
      </c>
      <c r="P486" s="98">
        <f>SUM(SamplingData[[#This Row],[Winning Candidate]:[Under Votes]])</f>
        <v>72</v>
      </c>
      <c r="Q486" s="99">
        <f>IF(AND(SamplingData[[#This Row],[Total]]&lt;&gt; 0, NOT(ISBLANK(SamplingData[[#This Row],[Losing Candidate]]))),(SamplingData[[#This Row],[Total]]+SamplingData[[#This Row],[Winning Candidate]]-SamplingData[[#This Row],[Losing Candidate]])/(SamplingData[[#Totals],[Winning Candidate]]-SamplingData[[#Totals],[Losing Candidate]]), 0)</f>
        <v>2.1218808351722968E-3</v>
      </c>
      <c r="R486" s="99">
        <f>IF(AND(SamplingData[[#This Row],[Total]]&lt;&gt; 0, NOT(ISBLANK(SamplingData[[#This Row],[Candidate 3]]))),(SamplingData[[#This Row],[Total]]+SamplingData[[#This Row],[Winning Candidate]]-SamplingData[[#This Row],[Candidate 3]])/(SamplingData[[#Totals],[Winning Candidate]]-SamplingData[[#Totals],[Candidate 3]]), 0)</f>
        <v>0</v>
      </c>
      <c r="S486" s="99">
        <f>IF(AND(SamplingData[[#This Row],[Total]]&lt;&gt; 0, NOT(ISBLANK(SamplingData[[#This Row],[Candidate 4]]))),(SamplingData[[#This Row],[Total]]+SamplingData[[#This Row],[Winning Candidate]]-SamplingData[[#This Row],[Candidate 4]])/(SamplingData[[#Totals],[Winning Candidate]]-SamplingData[[#Totals],[Candidate 4]]), 0)</f>
        <v>0</v>
      </c>
      <c r="T486" s="99">
        <f>IF(AND(SamplingData[[#This Row],[Total]]&lt;&gt; 0, NOT(ISBLANK(SamplingData[[#This Row],[Candidate 5]]))),(SamplingData[[#This Row],[Total]]+SamplingData[[#This Row],[Winning Candidate]]-SamplingData[[#This Row],[Candidate 5]])/(SamplingData[[#Totals],[Winning Candidate]]-SamplingData[[#Totals],[Candidate 5]]), 0)</f>
        <v>0</v>
      </c>
      <c r="U486" s="99">
        <f>IF(AND(SamplingData[[#This Row],[Total]]&lt;&gt; 0, NOT(ISBLANK(SamplingData[[#This Row],[Candidate 6]]))),(SamplingData[[#This Row],[Total]]+SamplingData[[#This Row],[Losing Candidate]]-SamplingData[[#This Row],[Candidate 6]])/(SamplingData[[#Totals],[Winning Candidate]]-SamplingData[[#Totals],[Candidate 6]]), 0)</f>
        <v>0</v>
      </c>
      <c r="V486" s="99">
        <f>IF(AND(SamplingData[[#This Row],[Total]]&lt;&gt; 0, NOT(ISBLANK(SamplingData[[#This Row],[Candidate 7]]))),(SamplingData[[#This Row],[Total]]+SamplingData[[#This Row],[Winning Candidate]]-SamplingData[[#This Row],[Candidate 7]])/(SamplingData[[#Totals],[Winning Candidate]]-SamplingData[[#Totals],[Candidate 7]]), 0)</f>
        <v>0</v>
      </c>
      <c r="W486" s="99">
        <f>IF(AND(SamplingData[[#This Row],[Total]]&lt;&gt; 0, NOT(ISBLANK(SamplingData[[#This Row],[Candidate 8]]))),(SamplingData[[#This Row],[Total]]+SamplingData[[#This Row],[Winning Candidate]]-SamplingData[[#This Row],[Candidate 8]])/(SamplingData[[#Totals],[Winning Candidate]]-SamplingData[[#Totals],[Candidate 8]]), 0)</f>
        <v>0</v>
      </c>
      <c r="X4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6" s="99">
        <f>MAX(SamplingData[[#This Row],[Error Bound (up) - Max. possible relative overstatement - Losing Candidate]:[Error Bound (up) - Max. possible relative overstatement - Candidate 12]])</f>
        <v>2.1218808351722968E-3</v>
      </c>
      <c r="AC486" s="99">
        <f>IF(SamplingData[[#This Row],[Max Error Bound (up)]] = 0,0,SamplingData[[#This Row],[Max Error Bound (up)]]/SamplingData[[#Totals],[Max Error Bound (up)]])</f>
        <v>1.1360744537754042E-4</v>
      </c>
      <c r="AD486" s="103">
        <f>SUM($AC$5:AC486)</f>
        <v>0.39460410077434871</v>
      </c>
      <c r="AE486" s="99" t="str" cm="1">
        <f t="array" ref="AE486">IF(SamplingData[[#This Row],[up/U Selection Probability]] = 0, "Zero", TEXT(SamplingData[[#This Row],[Lower Range]], REPT("0",LEN('General Info'!$B$42))) &amp; " - " &amp; TEXT(SamplingData[[#This Row],[Upper Range]], REPT("0",LEN('General Info'!$B$42))))</f>
        <v>394490 - 394603</v>
      </c>
      <c r="AF486" s="99">
        <f>SamplingData[[#This Row],[Upper Range]]-SamplingData[[#This Row],[Span]]</f>
        <v>394490.49332897115</v>
      </c>
      <c r="AG486" s="99">
        <f>IF(ISNUMBER('General Info'!$B$42), ((SamplingData[[#This Row],[up/U Selection Probability]]) * 'General Info'!$B$44) - 1, 0)</f>
        <v>112.60744537754042</v>
      </c>
      <c r="AH486" s="99">
        <f>IF(ISNUMBER('General Info'!$B$42), (SamplingData[[#This Row],[Running (cumulative) sum]] * ('General Info'!$B$42 -'General Info'!$B$43 + 1)) + 'General Info'!$B$43 - 1, 0)</f>
        <v>394603.10077434871</v>
      </c>
      <c r="AI486" s="99" t="str">
        <f>IF(ISERROR(MATCH(SamplingData[[#This Row],[Batch by Type (p)]],SelectedPrecincts[Batch Name], 0)), "", INDEX(SelectedPrecincts[Draw], MATCH(SamplingData[[#This Row],[Batch by Type (p)]],SelectedPrecincts[Batch Name], 0)))</f>
        <v/>
      </c>
      <c r="AJ486" s="100">
        <f>IF(COUNTIF(SelectedPrecincts[Batch Name],SamplingData[[#This Row],[Batch by Type (p)]]) &lt;&gt; 0, COUNTIF(SelectedPrecincts[Batch Name],SamplingData[[#This Row],[Batch by Type (p)]]), 0)</f>
        <v>0</v>
      </c>
    </row>
    <row r="487" spans="1:36" ht="15" customHeight="1" x14ac:dyDescent="0.35">
      <c r="A487" s="97" t="s">
        <v>700</v>
      </c>
      <c r="B487" s="97">
        <v>84</v>
      </c>
      <c r="C487" s="97">
        <v>266</v>
      </c>
      <c r="D487" s="92"/>
      <c r="E487" s="92"/>
      <c r="F487" s="92"/>
      <c r="G487" s="96"/>
      <c r="H487" s="96"/>
      <c r="I487" s="92"/>
      <c r="J487" s="92"/>
      <c r="K487" s="92"/>
      <c r="L487" s="92"/>
      <c r="M487" s="92"/>
      <c r="N487" s="97">
        <v>0</v>
      </c>
      <c r="O487" s="97">
        <v>21</v>
      </c>
      <c r="P487" s="98">
        <f>SUM(SamplingData[[#This Row],[Winning Candidate]:[Under Votes]])</f>
        <v>371</v>
      </c>
      <c r="Q487" s="99">
        <f>IF(AND(SamplingData[[#This Row],[Total]]&lt;&gt; 0, NOT(ISBLANK(SamplingData[[#This Row],[Losing Candidate]]))),(SamplingData[[#This Row],[Total]]+SamplingData[[#This Row],[Winning Candidate]]-SamplingData[[#This Row],[Losing Candidate]])/(SamplingData[[#Totals],[Winning Candidate]]-SamplingData[[#Totals],[Losing Candidate]]), 0)</f>
        <v>8.0207095569512811E-3</v>
      </c>
      <c r="R487" s="99">
        <f>IF(AND(SamplingData[[#This Row],[Total]]&lt;&gt; 0, NOT(ISBLANK(SamplingData[[#This Row],[Candidate 3]]))),(SamplingData[[#This Row],[Total]]+SamplingData[[#This Row],[Winning Candidate]]-SamplingData[[#This Row],[Candidate 3]])/(SamplingData[[#Totals],[Winning Candidate]]-SamplingData[[#Totals],[Candidate 3]]), 0)</f>
        <v>0</v>
      </c>
      <c r="S487" s="99">
        <f>IF(AND(SamplingData[[#This Row],[Total]]&lt;&gt; 0, NOT(ISBLANK(SamplingData[[#This Row],[Candidate 4]]))),(SamplingData[[#This Row],[Total]]+SamplingData[[#This Row],[Winning Candidate]]-SamplingData[[#This Row],[Candidate 4]])/(SamplingData[[#Totals],[Winning Candidate]]-SamplingData[[#Totals],[Candidate 4]]), 0)</f>
        <v>0</v>
      </c>
      <c r="T487" s="99">
        <f>IF(AND(SamplingData[[#This Row],[Total]]&lt;&gt; 0, NOT(ISBLANK(SamplingData[[#This Row],[Candidate 5]]))),(SamplingData[[#This Row],[Total]]+SamplingData[[#This Row],[Winning Candidate]]-SamplingData[[#This Row],[Candidate 5]])/(SamplingData[[#Totals],[Winning Candidate]]-SamplingData[[#Totals],[Candidate 5]]), 0)</f>
        <v>0</v>
      </c>
      <c r="U487" s="99">
        <f>IF(AND(SamplingData[[#This Row],[Total]]&lt;&gt; 0, NOT(ISBLANK(SamplingData[[#This Row],[Candidate 6]]))),(SamplingData[[#This Row],[Total]]+SamplingData[[#This Row],[Losing Candidate]]-SamplingData[[#This Row],[Candidate 6]])/(SamplingData[[#Totals],[Winning Candidate]]-SamplingData[[#Totals],[Candidate 6]]), 0)</f>
        <v>0</v>
      </c>
      <c r="V487" s="99">
        <f>IF(AND(SamplingData[[#This Row],[Total]]&lt;&gt; 0, NOT(ISBLANK(SamplingData[[#This Row],[Candidate 7]]))),(SamplingData[[#This Row],[Total]]+SamplingData[[#This Row],[Winning Candidate]]-SamplingData[[#This Row],[Candidate 7]])/(SamplingData[[#Totals],[Winning Candidate]]-SamplingData[[#Totals],[Candidate 7]]), 0)</f>
        <v>0</v>
      </c>
      <c r="W487" s="99">
        <f>IF(AND(SamplingData[[#This Row],[Total]]&lt;&gt; 0, NOT(ISBLANK(SamplingData[[#This Row],[Candidate 8]]))),(SamplingData[[#This Row],[Total]]+SamplingData[[#This Row],[Winning Candidate]]-SamplingData[[#This Row],[Candidate 8]])/(SamplingData[[#Totals],[Winning Candidate]]-SamplingData[[#Totals],[Candidate 8]]), 0)</f>
        <v>0</v>
      </c>
      <c r="X4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7" s="99">
        <f>MAX(SamplingData[[#This Row],[Error Bound (up) - Max. possible relative overstatement - Losing Candidate]:[Error Bound (up) - Max. possible relative overstatement - Candidate 12]])</f>
        <v>8.0207095569512811E-3</v>
      </c>
      <c r="AC487" s="99">
        <f>IF(SamplingData[[#This Row],[Max Error Bound (up)]] = 0,0,SamplingData[[#This Row],[Max Error Bound (up)]]/SamplingData[[#Totals],[Max Error Bound (up)]])</f>
        <v>4.2943614352710269E-4</v>
      </c>
      <c r="AD487" s="103">
        <f>SUM($AC$5:AC487)</f>
        <v>0.39503353691787579</v>
      </c>
      <c r="AE487" s="99" t="str" cm="1">
        <f t="array" ref="AE487">IF(SamplingData[[#This Row],[up/U Selection Probability]] = 0, "Zero", TEXT(SamplingData[[#This Row],[Lower Range]], REPT("0",LEN('General Info'!$B$42))) &amp; " - " &amp; TEXT(SamplingData[[#This Row],[Upper Range]], REPT("0",LEN('General Info'!$B$42))))</f>
        <v>394604 - 395033</v>
      </c>
      <c r="AF487" s="99">
        <f>SamplingData[[#This Row],[Upper Range]]-SamplingData[[#This Row],[Span]]</f>
        <v>394604.10077434871</v>
      </c>
      <c r="AG487" s="99">
        <f>IF(ISNUMBER('General Info'!$B$42), ((SamplingData[[#This Row],[up/U Selection Probability]]) * 'General Info'!$B$44) - 1, 0)</f>
        <v>428.43614352710267</v>
      </c>
      <c r="AH487" s="99">
        <f>IF(ISNUMBER('General Info'!$B$42), (SamplingData[[#This Row],[Running (cumulative) sum]] * ('General Info'!$B$42 -'General Info'!$B$43 + 1)) + 'General Info'!$B$43 - 1, 0)</f>
        <v>395032.53691787581</v>
      </c>
      <c r="AI487" s="99" t="str">
        <f>IF(ISERROR(MATCH(SamplingData[[#This Row],[Batch by Type (p)]],SelectedPrecincts[Batch Name], 0)), "", INDEX(SelectedPrecincts[Draw], MATCH(SamplingData[[#This Row],[Batch by Type (p)]],SelectedPrecincts[Batch Name], 0)))</f>
        <v/>
      </c>
      <c r="AJ487" s="100">
        <f>IF(COUNTIF(SelectedPrecincts[Batch Name],SamplingData[[#This Row],[Batch by Type (p)]]) &lt;&gt; 0, COUNTIF(SelectedPrecincts[Batch Name],SamplingData[[#This Row],[Batch by Type (p)]]), 0)</f>
        <v>0</v>
      </c>
    </row>
    <row r="488" spans="1:36" ht="15" customHeight="1" x14ac:dyDescent="0.35">
      <c r="A488" s="97" t="s">
        <v>701</v>
      </c>
      <c r="B488" s="97">
        <v>31</v>
      </c>
      <c r="C488" s="97">
        <v>156</v>
      </c>
      <c r="D488" s="92"/>
      <c r="E488" s="92"/>
      <c r="F488" s="92"/>
      <c r="G488" s="96"/>
      <c r="H488" s="96"/>
      <c r="I488" s="92"/>
      <c r="J488" s="92"/>
      <c r="K488" s="92"/>
      <c r="L488" s="92"/>
      <c r="M488" s="92"/>
      <c r="N488" s="97">
        <v>0</v>
      </c>
      <c r="O488" s="97">
        <v>5</v>
      </c>
      <c r="P488" s="98">
        <f>SUM(SamplingData[[#This Row],[Winning Candidate]:[Under Votes]])</f>
        <v>192</v>
      </c>
      <c r="Q488" s="99">
        <f>IF(AND(SamplingData[[#This Row],[Total]]&lt;&gt; 0, NOT(ISBLANK(SamplingData[[#This Row],[Losing Candidate]]))),(SamplingData[[#This Row],[Total]]+SamplingData[[#This Row],[Winning Candidate]]-SamplingData[[#This Row],[Losing Candidate]])/(SamplingData[[#Totals],[Winning Candidate]]-SamplingData[[#Totals],[Losing Candidate]]), 0)</f>
        <v>2.8433203191308774E-3</v>
      </c>
      <c r="R488" s="99">
        <f>IF(AND(SamplingData[[#This Row],[Total]]&lt;&gt; 0, NOT(ISBLANK(SamplingData[[#This Row],[Candidate 3]]))),(SamplingData[[#This Row],[Total]]+SamplingData[[#This Row],[Winning Candidate]]-SamplingData[[#This Row],[Candidate 3]])/(SamplingData[[#Totals],[Winning Candidate]]-SamplingData[[#Totals],[Candidate 3]]), 0)</f>
        <v>0</v>
      </c>
      <c r="S488" s="99">
        <f>IF(AND(SamplingData[[#This Row],[Total]]&lt;&gt; 0, NOT(ISBLANK(SamplingData[[#This Row],[Candidate 4]]))),(SamplingData[[#This Row],[Total]]+SamplingData[[#This Row],[Winning Candidate]]-SamplingData[[#This Row],[Candidate 4]])/(SamplingData[[#Totals],[Winning Candidate]]-SamplingData[[#Totals],[Candidate 4]]), 0)</f>
        <v>0</v>
      </c>
      <c r="T488" s="99">
        <f>IF(AND(SamplingData[[#This Row],[Total]]&lt;&gt; 0, NOT(ISBLANK(SamplingData[[#This Row],[Candidate 5]]))),(SamplingData[[#This Row],[Total]]+SamplingData[[#This Row],[Winning Candidate]]-SamplingData[[#This Row],[Candidate 5]])/(SamplingData[[#Totals],[Winning Candidate]]-SamplingData[[#Totals],[Candidate 5]]), 0)</f>
        <v>0</v>
      </c>
      <c r="U488" s="99">
        <f>IF(AND(SamplingData[[#This Row],[Total]]&lt;&gt; 0, NOT(ISBLANK(SamplingData[[#This Row],[Candidate 6]]))),(SamplingData[[#This Row],[Total]]+SamplingData[[#This Row],[Losing Candidate]]-SamplingData[[#This Row],[Candidate 6]])/(SamplingData[[#Totals],[Winning Candidate]]-SamplingData[[#Totals],[Candidate 6]]), 0)</f>
        <v>0</v>
      </c>
      <c r="V488" s="99">
        <f>IF(AND(SamplingData[[#This Row],[Total]]&lt;&gt; 0, NOT(ISBLANK(SamplingData[[#This Row],[Candidate 7]]))),(SamplingData[[#This Row],[Total]]+SamplingData[[#This Row],[Winning Candidate]]-SamplingData[[#This Row],[Candidate 7]])/(SamplingData[[#Totals],[Winning Candidate]]-SamplingData[[#Totals],[Candidate 7]]), 0)</f>
        <v>0</v>
      </c>
      <c r="W488" s="99">
        <f>IF(AND(SamplingData[[#This Row],[Total]]&lt;&gt; 0, NOT(ISBLANK(SamplingData[[#This Row],[Candidate 8]]))),(SamplingData[[#This Row],[Total]]+SamplingData[[#This Row],[Winning Candidate]]-SamplingData[[#This Row],[Candidate 8]])/(SamplingData[[#Totals],[Winning Candidate]]-SamplingData[[#Totals],[Candidate 8]]), 0)</f>
        <v>0</v>
      </c>
      <c r="X4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8" s="99">
        <f>MAX(SamplingData[[#This Row],[Error Bound (up) - Max. possible relative overstatement - Losing Candidate]:[Error Bound (up) - Max. possible relative overstatement - Candidate 12]])</f>
        <v>2.8433203191308774E-3</v>
      </c>
      <c r="AC488" s="99">
        <f>IF(SamplingData[[#This Row],[Max Error Bound (up)]] = 0,0,SamplingData[[#This Row],[Max Error Bound (up)]]/SamplingData[[#Totals],[Max Error Bound (up)]])</f>
        <v>1.5223397680590414E-4</v>
      </c>
      <c r="AD488" s="103">
        <f>SUM($AC$5:AC488)</f>
        <v>0.39518577089468171</v>
      </c>
      <c r="AE488" s="99" t="str" cm="1">
        <f t="array" ref="AE488">IF(SamplingData[[#This Row],[up/U Selection Probability]] = 0, "Zero", TEXT(SamplingData[[#This Row],[Lower Range]], REPT("0",LEN('General Info'!$B$42))) &amp; " - " &amp; TEXT(SamplingData[[#This Row],[Upper Range]], REPT("0",LEN('General Info'!$B$42))))</f>
        <v>395034 - 395185</v>
      </c>
      <c r="AF488" s="99">
        <f>SamplingData[[#This Row],[Upper Range]]-SamplingData[[#This Row],[Span]]</f>
        <v>395033.53691787575</v>
      </c>
      <c r="AG488" s="99">
        <f>IF(ISNUMBER('General Info'!$B$42), ((SamplingData[[#This Row],[up/U Selection Probability]]) * 'General Info'!$B$44) - 1, 0)</f>
        <v>151.23397680590415</v>
      </c>
      <c r="AH488" s="99">
        <f>IF(ISNUMBER('General Info'!$B$42), (SamplingData[[#This Row],[Running (cumulative) sum]] * ('General Info'!$B$42 -'General Info'!$B$43 + 1)) + 'General Info'!$B$43 - 1, 0)</f>
        <v>395184.77089468169</v>
      </c>
      <c r="AI488" s="99" t="str">
        <f>IF(ISERROR(MATCH(SamplingData[[#This Row],[Batch by Type (p)]],SelectedPrecincts[Batch Name], 0)), "", INDEX(SelectedPrecincts[Draw], MATCH(SamplingData[[#This Row],[Batch by Type (p)]],SelectedPrecincts[Batch Name], 0)))</f>
        <v/>
      </c>
      <c r="AJ488" s="100">
        <f>IF(COUNTIF(SelectedPrecincts[Batch Name],SamplingData[[#This Row],[Batch by Type (p)]]) &lt;&gt; 0, COUNTIF(SelectedPrecincts[Batch Name],SamplingData[[#This Row],[Batch by Type (p)]]), 0)</f>
        <v>0</v>
      </c>
    </row>
    <row r="489" spans="1:36" ht="15" customHeight="1" x14ac:dyDescent="0.35">
      <c r="A489" s="97" t="s">
        <v>702</v>
      </c>
      <c r="B489" s="97">
        <v>74</v>
      </c>
      <c r="C489" s="97">
        <v>237</v>
      </c>
      <c r="D489" s="92"/>
      <c r="E489" s="92"/>
      <c r="F489" s="92"/>
      <c r="G489" s="96"/>
      <c r="H489" s="96"/>
      <c r="I489" s="92"/>
      <c r="J489" s="92"/>
      <c r="K489" s="92"/>
      <c r="L489" s="92"/>
      <c r="M489" s="92"/>
      <c r="N489" s="97">
        <v>0</v>
      </c>
      <c r="O489" s="97">
        <v>20</v>
      </c>
      <c r="P489" s="98">
        <f>SUM(SamplingData[[#This Row],[Winning Candidate]:[Under Votes]])</f>
        <v>331</v>
      </c>
      <c r="Q489" s="99">
        <f>IF(AND(SamplingData[[#This Row],[Total]]&lt;&gt; 0, NOT(ISBLANK(SamplingData[[#This Row],[Losing Candidate]]))),(SamplingData[[#This Row],[Total]]+SamplingData[[#This Row],[Winning Candidate]]-SamplingData[[#This Row],[Losing Candidate]])/(SamplingData[[#Totals],[Winning Candidate]]-SamplingData[[#Totals],[Losing Candidate]]), 0)</f>
        <v>7.1295196061789169E-3</v>
      </c>
      <c r="R489" s="99">
        <f>IF(AND(SamplingData[[#This Row],[Total]]&lt;&gt; 0, NOT(ISBLANK(SamplingData[[#This Row],[Candidate 3]]))),(SamplingData[[#This Row],[Total]]+SamplingData[[#This Row],[Winning Candidate]]-SamplingData[[#This Row],[Candidate 3]])/(SamplingData[[#Totals],[Winning Candidate]]-SamplingData[[#Totals],[Candidate 3]]), 0)</f>
        <v>0</v>
      </c>
      <c r="S489" s="99">
        <f>IF(AND(SamplingData[[#This Row],[Total]]&lt;&gt; 0, NOT(ISBLANK(SamplingData[[#This Row],[Candidate 4]]))),(SamplingData[[#This Row],[Total]]+SamplingData[[#This Row],[Winning Candidate]]-SamplingData[[#This Row],[Candidate 4]])/(SamplingData[[#Totals],[Winning Candidate]]-SamplingData[[#Totals],[Candidate 4]]), 0)</f>
        <v>0</v>
      </c>
      <c r="T489" s="99">
        <f>IF(AND(SamplingData[[#This Row],[Total]]&lt;&gt; 0, NOT(ISBLANK(SamplingData[[#This Row],[Candidate 5]]))),(SamplingData[[#This Row],[Total]]+SamplingData[[#This Row],[Winning Candidate]]-SamplingData[[#This Row],[Candidate 5]])/(SamplingData[[#Totals],[Winning Candidate]]-SamplingData[[#Totals],[Candidate 5]]), 0)</f>
        <v>0</v>
      </c>
      <c r="U489" s="99">
        <f>IF(AND(SamplingData[[#This Row],[Total]]&lt;&gt; 0, NOT(ISBLANK(SamplingData[[#This Row],[Candidate 6]]))),(SamplingData[[#This Row],[Total]]+SamplingData[[#This Row],[Losing Candidate]]-SamplingData[[#This Row],[Candidate 6]])/(SamplingData[[#Totals],[Winning Candidate]]-SamplingData[[#Totals],[Candidate 6]]), 0)</f>
        <v>0</v>
      </c>
      <c r="V489" s="99">
        <f>IF(AND(SamplingData[[#This Row],[Total]]&lt;&gt; 0, NOT(ISBLANK(SamplingData[[#This Row],[Candidate 7]]))),(SamplingData[[#This Row],[Total]]+SamplingData[[#This Row],[Winning Candidate]]-SamplingData[[#This Row],[Candidate 7]])/(SamplingData[[#Totals],[Winning Candidate]]-SamplingData[[#Totals],[Candidate 7]]), 0)</f>
        <v>0</v>
      </c>
      <c r="W489" s="99">
        <f>IF(AND(SamplingData[[#This Row],[Total]]&lt;&gt; 0, NOT(ISBLANK(SamplingData[[#This Row],[Candidate 8]]))),(SamplingData[[#This Row],[Total]]+SamplingData[[#This Row],[Winning Candidate]]-SamplingData[[#This Row],[Candidate 8]])/(SamplingData[[#Totals],[Winning Candidate]]-SamplingData[[#Totals],[Candidate 8]]), 0)</f>
        <v>0</v>
      </c>
      <c r="X4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9" s="99">
        <f>MAX(SamplingData[[#This Row],[Error Bound (up) - Max. possible relative overstatement - Losing Candidate]:[Error Bound (up) - Max. possible relative overstatement - Candidate 12]])</f>
        <v>7.1295196061789169E-3</v>
      </c>
      <c r="AC489" s="99">
        <f>IF(SamplingData[[#This Row],[Max Error Bound (up)]] = 0,0,SamplingData[[#This Row],[Max Error Bound (up)]]/SamplingData[[#Totals],[Max Error Bound (up)]])</f>
        <v>3.8172101646853575E-4</v>
      </c>
      <c r="AD489" s="103">
        <f>SUM($AC$5:AC489)</f>
        <v>0.39556749191115026</v>
      </c>
      <c r="AE489" s="99" t="str" cm="1">
        <f t="array" ref="AE489">IF(SamplingData[[#This Row],[up/U Selection Probability]] = 0, "Zero", TEXT(SamplingData[[#This Row],[Lower Range]], REPT("0",LEN('General Info'!$B$42))) &amp; " - " &amp; TEXT(SamplingData[[#This Row],[Upper Range]], REPT("0",LEN('General Info'!$B$42))))</f>
        <v>395186 - 395566</v>
      </c>
      <c r="AF489" s="99">
        <f>SamplingData[[#This Row],[Upper Range]]-SamplingData[[#This Row],[Span]]</f>
        <v>395185.77089468174</v>
      </c>
      <c r="AG489" s="99">
        <f>IF(ISNUMBER('General Info'!$B$42), ((SamplingData[[#This Row],[up/U Selection Probability]]) * 'General Info'!$B$44) - 1, 0)</f>
        <v>380.72101646853577</v>
      </c>
      <c r="AH489" s="99">
        <f>IF(ISNUMBER('General Info'!$B$42), (SamplingData[[#This Row],[Running (cumulative) sum]] * ('General Info'!$B$42 -'General Info'!$B$43 + 1)) + 'General Info'!$B$43 - 1, 0)</f>
        <v>395566.49191115028</v>
      </c>
      <c r="AI489" s="99" t="str">
        <f>IF(ISERROR(MATCH(SamplingData[[#This Row],[Batch by Type (p)]],SelectedPrecincts[Batch Name], 0)), "", INDEX(SelectedPrecincts[Draw], MATCH(SamplingData[[#This Row],[Batch by Type (p)]],SelectedPrecincts[Batch Name], 0)))</f>
        <v/>
      </c>
      <c r="AJ489" s="100">
        <f>IF(COUNTIF(SelectedPrecincts[Batch Name],SamplingData[[#This Row],[Batch by Type (p)]]) &lt;&gt; 0, COUNTIF(SelectedPrecincts[Batch Name],SamplingData[[#This Row],[Batch by Type (p)]]), 0)</f>
        <v>0</v>
      </c>
    </row>
    <row r="490" spans="1:36" ht="15" customHeight="1" x14ac:dyDescent="0.35">
      <c r="A490" s="97" t="s">
        <v>703</v>
      </c>
      <c r="B490" s="97">
        <v>94</v>
      </c>
      <c r="C490" s="97">
        <v>426</v>
      </c>
      <c r="D490" s="92"/>
      <c r="E490" s="92"/>
      <c r="F490" s="92"/>
      <c r="G490" s="96"/>
      <c r="H490" s="96"/>
      <c r="I490" s="92"/>
      <c r="J490" s="92"/>
      <c r="K490" s="92"/>
      <c r="L490" s="92"/>
      <c r="M490" s="92"/>
      <c r="N490" s="97">
        <v>0</v>
      </c>
      <c r="O490" s="97">
        <v>23</v>
      </c>
      <c r="P490" s="98">
        <f>SUM(SamplingData[[#This Row],[Winning Candidate]:[Under Votes]])</f>
        <v>543</v>
      </c>
      <c r="Q490" s="99">
        <f>IF(AND(SamplingData[[#This Row],[Total]]&lt;&gt; 0, NOT(ISBLANK(SamplingData[[#This Row],[Losing Candidate]]))),(SamplingData[[#This Row],[Total]]+SamplingData[[#This Row],[Winning Candidate]]-SamplingData[[#This Row],[Losing Candidate]])/(SamplingData[[#Totals],[Winning Candidate]]-SamplingData[[#Totals],[Losing Candidate]]), 0)</f>
        <v>8.9543371244270916E-3</v>
      </c>
      <c r="R490" s="99">
        <f>IF(AND(SamplingData[[#This Row],[Total]]&lt;&gt; 0, NOT(ISBLANK(SamplingData[[#This Row],[Candidate 3]]))),(SamplingData[[#This Row],[Total]]+SamplingData[[#This Row],[Winning Candidate]]-SamplingData[[#This Row],[Candidate 3]])/(SamplingData[[#Totals],[Winning Candidate]]-SamplingData[[#Totals],[Candidate 3]]), 0)</f>
        <v>0</v>
      </c>
      <c r="S490" s="99">
        <f>IF(AND(SamplingData[[#This Row],[Total]]&lt;&gt; 0, NOT(ISBLANK(SamplingData[[#This Row],[Candidate 4]]))),(SamplingData[[#This Row],[Total]]+SamplingData[[#This Row],[Winning Candidate]]-SamplingData[[#This Row],[Candidate 4]])/(SamplingData[[#Totals],[Winning Candidate]]-SamplingData[[#Totals],[Candidate 4]]), 0)</f>
        <v>0</v>
      </c>
      <c r="T490" s="99">
        <f>IF(AND(SamplingData[[#This Row],[Total]]&lt;&gt; 0, NOT(ISBLANK(SamplingData[[#This Row],[Candidate 5]]))),(SamplingData[[#This Row],[Total]]+SamplingData[[#This Row],[Winning Candidate]]-SamplingData[[#This Row],[Candidate 5]])/(SamplingData[[#Totals],[Winning Candidate]]-SamplingData[[#Totals],[Candidate 5]]), 0)</f>
        <v>0</v>
      </c>
      <c r="U490" s="99">
        <f>IF(AND(SamplingData[[#This Row],[Total]]&lt;&gt; 0, NOT(ISBLANK(SamplingData[[#This Row],[Candidate 6]]))),(SamplingData[[#This Row],[Total]]+SamplingData[[#This Row],[Losing Candidate]]-SamplingData[[#This Row],[Candidate 6]])/(SamplingData[[#Totals],[Winning Candidate]]-SamplingData[[#Totals],[Candidate 6]]), 0)</f>
        <v>0</v>
      </c>
      <c r="V490" s="99">
        <f>IF(AND(SamplingData[[#This Row],[Total]]&lt;&gt; 0, NOT(ISBLANK(SamplingData[[#This Row],[Candidate 7]]))),(SamplingData[[#This Row],[Total]]+SamplingData[[#This Row],[Winning Candidate]]-SamplingData[[#This Row],[Candidate 7]])/(SamplingData[[#Totals],[Winning Candidate]]-SamplingData[[#Totals],[Candidate 7]]), 0)</f>
        <v>0</v>
      </c>
      <c r="W490" s="99">
        <f>IF(AND(SamplingData[[#This Row],[Total]]&lt;&gt; 0, NOT(ISBLANK(SamplingData[[#This Row],[Candidate 8]]))),(SamplingData[[#This Row],[Total]]+SamplingData[[#This Row],[Winning Candidate]]-SamplingData[[#This Row],[Candidate 8]])/(SamplingData[[#Totals],[Winning Candidate]]-SamplingData[[#Totals],[Candidate 8]]), 0)</f>
        <v>0</v>
      </c>
      <c r="X4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0" s="99">
        <f>MAX(SamplingData[[#This Row],[Error Bound (up) - Max. possible relative overstatement - Losing Candidate]:[Error Bound (up) - Max. possible relative overstatement - Candidate 12]])</f>
        <v>8.9543371244270916E-3</v>
      </c>
      <c r="AC490" s="99">
        <f>IF(SamplingData[[#This Row],[Max Error Bound (up)]] = 0,0,SamplingData[[#This Row],[Max Error Bound (up)]]/SamplingData[[#Totals],[Max Error Bound (up)]])</f>
        <v>4.7942341949322047E-4</v>
      </c>
      <c r="AD490" s="103">
        <f>SUM($AC$5:AC490)</f>
        <v>0.39604691533064346</v>
      </c>
      <c r="AE490" s="99" t="str" cm="1">
        <f t="array" ref="AE490">IF(SamplingData[[#This Row],[up/U Selection Probability]] = 0, "Zero", TEXT(SamplingData[[#This Row],[Lower Range]], REPT("0",LEN('General Info'!$B$42))) &amp; " - " &amp; TEXT(SamplingData[[#This Row],[Upper Range]], REPT("0",LEN('General Info'!$B$42))))</f>
        <v>395567 - 396046</v>
      </c>
      <c r="AF490" s="99">
        <f>SamplingData[[#This Row],[Upper Range]]-SamplingData[[#This Row],[Span]]</f>
        <v>395567.49191115028</v>
      </c>
      <c r="AG490" s="99">
        <f>IF(ISNUMBER('General Info'!$B$42), ((SamplingData[[#This Row],[up/U Selection Probability]]) * 'General Info'!$B$44) - 1, 0)</f>
        <v>478.42341949322048</v>
      </c>
      <c r="AH490" s="99">
        <f>IF(ISNUMBER('General Info'!$B$42), (SamplingData[[#This Row],[Running (cumulative) sum]] * ('General Info'!$B$42 -'General Info'!$B$43 + 1)) + 'General Info'!$B$43 - 1, 0)</f>
        <v>396045.91533064347</v>
      </c>
      <c r="AI490" s="99" t="str">
        <f>IF(ISERROR(MATCH(SamplingData[[#This Row],[Batch by Type (p)]],SelectedPrecincts[Batch Name], 0)), "", INDEX(SelectedPrecincts[Draw], MATCH(SamplingData[[#This Row],[Batch by Type (p)]],SelectedPrecincts[Batch Name], 0)))</f>
        <v/>
      </c>
      <c r="AJ490" s="100">
        <f>IF(COUNTIF(SelectedPrecincts[Batch Name],SamplingData[[#This Row],[Batch by Type (p)]]) &lt;&gt; 0, COUNTIF(SelectedPrecincts[Batch Name],SamplingData[[#This Row],[Batch by Type (p)]]), 0)</f>
        <v>0</v>
      </c>
    </row>
    <row r="491" spans="1:36" ht="15" customHeight="1" x14ac:dyDescent="0.35">
      <c r="A491" s="97" t="s">
        <v>704</v>
      </c>
      <c r="B491" s="97">
        <v>83</v>
      </c>
      <c r="C491" s="97">
        <v>255</v>
      </c>
      <c r="D491" s="92"/>
      <c r="E491" s="92"/>
      <c r="F491" s="92"/>
      <c r="G491" s="96"/>
      <c r="H491" s="96"/>
      <c r="I491" s="92"/>
      <c r="J491" s="92"/>
      <c r="K491" s="92"/>
      <c r="L491" s="92"/>
      <c r="M491" s="92"/>
      <c r="N491" s="97">
        <v>0</v>
      </c>
      <c r="O491" s="97">
        <v>18</v>
      </c>
      <c r="P491" s="98">
        <f>SUM(SamplingData[[#This Row],[Winning Candidate]:[Under Votes]])</f>
        <v>356</v>
      </c>
      <c r="Q491" s="99">
        <f>IF(AND(SamplingData[[#This Row],[Total]]&lt;&gt; 0, NOT(ISBLANK(SamplingData[[#This Row],[Losing Candidate]]))),(SamplingData[[#This Row],[Total]]+SamplingData[[#This Row],[Winning Candidate]]-SamplingData[[#This Row],[Losing Candidate]])/(SamplingData[[#Totals],[Winning Candidate]]-SamplingData[[#Totals],[Losing Candidate]]), 0)</f>
        <v>7.8085214734340521E-3</v>
      </c>
      <c r="R491" s="99">
        <f>IF(AND(SamplingData[[#This Row],[Total]]&lt;&gt; 0, NOT(ISBLANK(SamplingData[[#This Row],[Candidate 3]]))),(SamplingData[[#This Row],[Total]]+SamplingData[[#This Row],[Winning Candidate]]-SamplingData[[#This Row],[Candidate 3]])/(SamplingData[[#Totals],[Winning Candidate]]-SamplingData[[#Totals],[Candidate 3]]), 0)</f>
        <v>0</v>
      </c>
      <c r="S491" s="99">
        <f>IF(AND(SamplingData[[#This Row],[Total]]&lt;&gt; 0, NOT(ISBLANK(SamplingData[[#This Row],[Candidate 4]]))),(SamplingData[[#This Row],[Total]]+SamplingData[[#This Row],[Winning Candidate]]-SamplingData[[#This Row],[Candidate 4]])/(SamplingData[[#Totals],[Winning Candidate]]-SamplingData[[#Totals],[Candidate 4]]), 0)</f>
        <v>0</v>
      </c>
      <c r="T491" s="99">
        <f>IF(AND(SamplingData[[#This Row],[Total]]&lt;&gt; 0, NOT(ISBLANK(SamplingData[[#This Row],[Candidate 5]]))),(SamplingData[[#This Row],[Total]]+SamplingData[[#This Row],[Winning Candidate]]-SamplingData[[#This Row],[Candidate 5]])/(SamplingData[[#Totals],[Winning Candidate]]-SamplingData[[#Totals],[Candidate 5]]), 0)</f>
        <v>0</v>
      </c>
      <c r="U491" s="99">
        <f>IF(AND(SamplingData[[#This Row],[Total]]&lt;&gt; 0, NOT(ISBLANK(SamplingData[[#This Row],[Candidate 6]]))),(SamplingData[[#This Row],[Total]]+SamplingData[[#This Row],[Losing Candidate]]-SamplingData[[#This Row],[Candidate 6]])/(SamplingData[[#Totals],[Winning Candidate]]-SamplingData[[#Totals],[Candidate 6]]), 0)</f>
        <v>0</v>
      </c>
      <c r="V491" s="99">
        <f>IF(AND(SamplingData[[#This Row],[Total]]&lt;&gt; 0, NOT(ISBLANK(SamplingData[[#This Row],[Candidate 7]]))),(SamplingData[[#This Row],[Total]]+SamplingData[[#This Row],[Winning Candidate]]-SamplingData[[#This Row],[Candidate 7]])/(SamplingData[[#Totals],[Winning Candidate]]-SamplingData[[#Totals],[Candidate 7]]), 0)</f>
        <v>0</v>
      </c>
      <c r="W491" s="99">
        <f>IF(AND(SamplingData[[#This Row],[Total]]&lt;&gt; 0, NOT(ISBLANK(SamplingData[[#This Row],[Candidate 8]]))),(SamplingData[[#This Row],[Total]]+SamplingData[[#This Row],[Winning Candidate]]-SamplingData[[#This Row],[Candidate 8]])/(SamplingData[[#Totals],[Winning Candidate]]-SamplingData[[#Totals],[Candidate 8]]), 0)</f>
        <v>0</v>
      </c>
      <c r="X4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1" s="99">
        <f>MAX(SamplingData[[#This Row],[Error Bound (up) - Max. possible relative overstatement - Losing Candidate]:[Error Bound (up) - Max. possible relative overstatement - Candidate 12]])</f>
        <v>7.8085214734340521E-3</v>
      </c>
      <c r="AC491" s="99">
        <f>IF(SamplingData[[#This Row],[Max Error Bound (up)]] = 0,0,SamplingData[[#This Row],[Max Error Bound (up)]]/SamplingData[[#Totals],[Max Error Bound (up)]])</f>
        <v>4.1807539898934873E-4</v>
      </c>
      <c r="AD491" s="103">
        <f>SUM($AC$5:AC491)</f>
        <v>0.39646499072963282</v>
      </c>
      <c r="AE491" s="99" t="str" cm="1">
        <f t="array" ref="AE491">IF(SamplingData[[#This Row],[up/U Selection Probability]] = 0, "Zero", TEXT(SamplingData[[#This Row],[Lower Range]], REPT("0",LEN('General Info'!$B$42))) &amp; " - " &amp; TEXT(SamplingData[[#This Row],[Upper Range]], REPT("0",LEN('General Info'!$B$42))))</f>
        <v>396047 - 396464</v>
      </c>
      <c r="AF491" s="99">
        <f>SamplingData[[#This Row],[Upper Range]]-SamplingData[[#This Row],[Span]]</f>
        <v>396046.91533064342</v>
      </c>
      <c r="AG491" s="99">
        <f>IF(ISNUMBER('General Info'!$B$42), ((SamplingData[[#This Row],[up/U Selection Probability]]) * 'General Info'!$B$44) - 1, 0)</f>
        <v>417.07539898934874</v>
      </c>
      <c r="AH491" s="99">
        <f>IF(ISNUMBER('General Info'!$B$42), (SamplingData[[#This Row],[Running (cumulative) sum]] * ('General Info'!$B$42 -'General Info'!$B$43 + 1)) + 'General Info'!$B$43 - 1, 0)</f>
        <v>396463.99072963279</v>
      </c>
      <c r="AI491" s="99" t="str">
        <f>IF(ISERROR(MATCH(SamplingData[[#This Row],[Batch by Type (p)]],SelectedPrecincts[Batch Name], 0)), "", INDEX(SelectedPrecincts[Draw], MATCH(SamplingData[[#This Row],[Batch by Type (p)]],SelectedPrecincts[Batch Name], 0)))</f>
        <v/>
      </c>
      <c r="AJ491" s="100">
        <f>IF(COUNTIF(SelectedPrecincts[Batch Name],SamplingData[[#This Row],[Batch by Type (p)]]) &lt;&gt; 0, COUNTIF(SelectedPrecincts[Batch Name],SamplingData[[#This Row],[Batch by Type (p)]]), 0)</f>
        <v>0</v>
      </c>
    </row>
    <row r="492" spans="1:36" ht="15" customHeight="1" x14ac:dyDescent="0.35">
      <c r="A492" s="97" t="s">
        <v>705</v>
      </c>
      <c r="B492" s="97">
        <v>75</v>
      </c>
      <c r="C492" s="97">
        <v>327</v>
      </c>
      <c r="D492" s="92"/>
      <c r="E492" s="92"/>
      <c r="F492" s="92"/>
      <c r="G492" s="96"/>
      <c r="H492" s="96"/>
      <c r="I492" s="92"/>
      <c r="J492" s="92"/>
      <c r="K492" s="92"/>
      <c r="L492" s="92"/>
      <c r="M492" s="92"/>
      <c r="N492" s="97">
        <v>0</v>
      </c>
      <c r="O492" s="97">
        <v>24</v>
      </c>
      <c r="P492" s="98">
        <f>SUM(SamplingData[[#This Row],[Winning Candidate]:[Under Votes]])</f>
        <v>426</v>
      </c>
      <c r="Q492" s="99">
        <f>IF(AND(SamplingData[[#This Row],[Total]]&lt;&gt; 0, NOT(ISBLANK(SamplingData[[#This Row],[Losing Candidate]]))),(SamplingData[[#This Row],[Total]]+SamplingData[[#This Row],[Winning Candidate]]-SamplingData[[#This Row],[Losing Candidate]])/(SamplingData[[#Totals],[Winning Candidate]]-SamplingData[[#Totals],[Losing Candidate]]), 0)</f>
        <v>7.3841453063995923E-3</v>
      </c>
      <c r="R492" s="99">
        <f>IF(AND(SamplingData[[#This Row],[Total]]&lt;&gt; 0, NOT(ISBLANK(SamplingData[[#This Row],[Candidate 3]]))),(SamplingData[[#This Row],[Total]]+SamplingData[[#This Row],[Winning Candidate]]-SamplingData[[#This Row],[Candidate 3]])/(SamplingData[[#Totals],[Winning Candidate]]-SamplingData[[#Totals],[Candidate 3]]), 0)</f>
        <v>0</v>
      </c>
      <c r="S492" s="99">
        <f>IF(AND(SamplingData[[#This Row],[Total]]&lt;&gt; 0, NOT(ISBLANK(SamplingData[[#This Row],[Candidate 4]]))),(SamplingData[[#This Row],[Total]]+SamplingData[[#This Row],[Winning Candidate]]-SamplingData[[#This Row],[Candidate 4]])/(SamplingData[[#Totals],[Winning Candidate]]-SamplingData[[#Totals],[Candidate 4]]), 0)</f>
        <v>0</v>
      </c>
      <c r="T492" s="99">
        <f>IF(AND(SamplingData[[#This Row],[Total]]&lt;&gt; 0, NOT(ISBLANK(SamplingData[[#This Row],[Candidate 5]]))),(SamplingData[[#This Row],[Total]]+SamplingData[[#This Row],[Winning Candidate]]-SamplingData[[#This Row],[Candidate 5]])/(SamplingData[[#Totals],[Winning Candidate]]-SamplingData[[#Totals],[Candidate 5]]), 0)</f>
        <v>0</v>
      </c>
      <c r="U492" s="99">
        <f>IF(AND(SamplingData[[#This Row],[Total]]&lt;&gt; 0, NOT(ISBLANK(SamplingData[[#This Row],[Candidate 6]]))),(SamplingData[[#This Row],[Total]]+SamplingData[[#This Row],[Losing Candidate]]-SamplingData[[#This Row],[Candidate 6]])/(SamplingData[[#Totals],[Winning Candidate]]-SamplingData[[#Totals],[Candidate 6]]), 0)</f>
        <v>0</v>
      </c>
      <c r="V492" s="99">
        <f>IF(AND(SamplingData[[#This Row],[Total]]&lt;&gt; 0, NOT(ISBLANK(SamplingData[[#This Row],[Candidate 7]]))),(SamplingData[[#This Row],[Total]]+SamplingData[[#This Row],[Winning Candidate]]-SamplingData[[#This Row],[Candidate 7]])/(SamplingData[[#Totals],[Winning Candidate]]-SamplingData[[#Totals],[Candidate 7]]), 0)</f>
        <v>0</v>
      </c>
      <c r="W492" s="99">
        <f>IF(AND(SamplingData[[#This Row],[Total]]&lt;&gt; 0, NOT(ISBLANK(SamplingData[[#This Row],[Candidate 8]]))),(SamplingData[[#This Row],[Total]]+SamplingData[[#This Row],[Winning Candidate]]-SamplingData[[#This Row],[Candidate 8]])/(SamplingData[[#Totals],[Winning Candidate]]-SamplingData[[#Totals],[Candidate 8]]), 0)</f>
        <v>0</v>
      </c>
      <c r="X4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2" s="99">
        <f>MAX(SamplingData[[#This Row],[Error Bound (up) - Max. possible relative overstatement - Losing Candidate]:[Error Bound (up) - Max. possible relative overstatement - Candidate 12]])</f>
        <v>7.3841453063995923E-3</v>
      </c>
      <c r="AC492" s="99">
        <f>IF(SamplingData[[#This Row],[Max Error Bound (up)]] = 0,0,SamplingData[[#This Row],[Max Error Bound (up)]]/SamplingData[[#Totals],[Max Error Bound (up)]])</f>
        <v>3.953539099138406E-4</v>
      </c>
      <c r="AD492" s="103">
        <f>SUM($AC$5:AC492)</f>
        <v>0.39686034463954667</v>
      </c>
      <c r="AE492" s="99" t="str" cm="1">
        <f t="array" ref="AE492">IF(SamplingData[[#This Row],[up/U Selection Probability]] = 0, "Zero", TEXT(SamplingData[[#This Row],[Lower Range]], REPT("0",LEN('General Info'!$B$42))) &amp; " - " &amp; TEXT(SamplingData[[#This Row],[Upper Range]], REPT("0",LEN('General Info'!$B$42))))</f>
        <v>396465 - 396859</v>
      </c>
      <c r="AF492" s="99">
        <f>SamplingData[[#This Row],[Upper Range]]-SamplingData[[#This Row],[Span]]</f>
        <v>396464.99072963279</v>
      </c>
      <c r="AG492" s="99">
        <f>IF(ISNUMBER('General Info'!$B$42), ((SamplingData[[#This Row],[up/U Selection Probability]]) * 'General Info'!$B$44) - 1, 0)</f>
        <v>394.3539099138406</v>
      </c>
      <c r="AH492" s="99">
        <f>IF(ISNUMBER('General Info'!$B$42), (SamplingData[[#This Row],[Running (cumulative) sum]] * ('General Info'!$B$42 -'General Info'!$B$43 + 1)) + 'General Info'!$B$43 - 1, 0)</f>
        <v>396859.34463954665</v>
      </c>
      <c r="AI492" s="99" t="str">
        <f>IF(ISERROR(MATCH(SamplingData[[#This Row],[Batch by Type (p)]],SelectedPrecincts[Batch Name], 0)), "", INDEX(SelectedPrecincts[Draw], MATCH(SamplingData[[#This Row],[Batch by Type (p)]],SelectedPrecincts[Batch Name], 0)))</f>
        <v/>
      </c>
      <c r="AJ492" s="100">
        <f>IF(COUNTIF(SelectedPrecincts[Batch Name],SamplingData[[#This Row],[Batch by Type (p)]]) &lt;&gt; 0, COUNTIF(SelectedPrecincts[Batch Name],SamplingData[[#This Row],[Batch by Type (p)]]), 0)</f>
        <v>0</v>
      </c>
    </row>
    <row r="493" spans="1:36" ht="15" customHeight="1" x14ac:dyDescent="0.35">
      <c r="A493" s="97" t="s">
        <v>706</v>
      </c>
      <c r="B493" s="97">
        <v>56</v>
      </c>
      <c r="C493" s="97">
        <v>222</v>
      </c>
      <c r="D493" s="92"/>
      <c r="E493" s="92"/>
      <c r="F493" s="92"/>
      <c r="G493" s="96"/>
      <c r="H493" s="96"/>
      <c r="I493" s="92"/>
      <c r="J493" s="92"/>
      <c r="K493" s="92"/>
      <c r="L493" s="92"/>
      <c r="M493" s="92"/>
      <c r="N493" s="97">
        <v>0</v>
      </c>
      <c r="O493" s="97">
        <v>20</v>
      </c>
      <c r="P493" s="98">
        <f>SUM(SamplingData[[#This Row],[Winning Candidate]:[Under Votes]])</f>
        <v>298</v>
      </c>
      <c r="Q493" s="99">
        <f>IF(AND(SamplingData[[#This Row],[Total]]&lt;&gt; 0, NOT(ISBLANK(SamplingData[[#This Row],[Losing Candidate]]))),(SamplingData[[#This Row],[Total]]+SamplingData[[#This Row],[Winning Candidate]]-SamplingData[[#This Row],[Losing Candidate]])/(SamplingData[[#Totals],[Winning Candidate]]-SamplingData[[#Totals],[Losing Candidate]]), 0)</f>
        <v>5.601765404854863E-3</v>
      </c>
      <c r="R493" s="99">
        <f>IF(AND(SamplingData[[#This Row],[Total]]&lt;&gt; 0, NOT(ISBLANK(SamplingData[[#This Row],[Candidate 3]]))),(SamplingData[[#This Row],[Total]]+SamplingData[[#This Row],[Winning Candidate]]-SamplingData[[#This Row],[Candidate 3]])/(SamplingData[[#Totals],[Winning Candidate]]-SamplingData[[#Totals],[Candidate 3]]), 0)</f>
        <v>0</v>
      </c>
      <c r="S493" s="99">
        <f>IF(AND(SamplingData[[#This Row],[Total]]&lt;&gt; 0, NOT(ISBLANK(SamplingData[[#This Row],[Candidate 4]]))),(SamplingData[[#This Row],[Total]]+SamplingData[[#This Row],[Winning Candidate]]-SamplingData[[#This Row],[Candidate 4]])/(SamplingData[[#Totals],[Winning Candidate]]-SamplingData[[#Totals],[Candidate 4]]), 0)</f>
        <v>0</v>
      </c>
      <c r="T493" s="99">
        <f>IF(AND(SamplingData[[#This Row],[Total]]&lt;&gt; 0, NOT(ISBLANK(SamplingData[[#This Row],[Candidate 5]]))),(SamplingData[[#This Row],[Total]]+SamplingData[[#This Row],[Winning Candidate]]-SamplingData[[#This Row],[Candidate 5]])/(SamplingData[[#Totals],[Winning Candidate]]-SamplingData[[#Totals],[Candidate 5]]), 0)</f>
        <v>0</v>
      </c>
      <c r="U493" s="99">
        <f>IF(AND(SamplingData[[#This Row],[Total]]&lt;&gt; 0, NOT(ISBLANK(SamplingData[[#This Row],[Candidate 6]]))),(SamplingData[[#This Row],[Total]]+SamplingData[[#This Row],[Losing Candidate]]-SamplingData[[#This Row],[Candidate 6]])/(SamplingData[[#Totals],[Winning Candidate]]-SamplingData[[#Totals],[Candidate 6]]), 0)</f>
        <v>0</v>
      </c>
      <c r="V493" s="99">
        <f>IF(AND(SamplingData[[#This Row],[Total]]&lt;&gt; 0, NOT(ISBLANK(SamplingData[[#This Row],[Candidate 7]]))),(SamplingData[[#This Row],[Total]]+SamplingData[[#This Row],[Winning Candidate]]-SamplingData[[#This Row],[Candidate 7]])/(SamplingData[[#Totals],[Winning Candidate]]-SamplingData[[#Totals],[Candidate 7]]), 0)</f>
        <v>0</v>
      </c>
      <c r="W493" s="99">
        <f>IF(AND(SamplingData[[#This Row],[Total]]&lt;&gt; 0, NOT(ISBLANK(SamplingData[[#This Row],[Candidate 8]]))),(SamplingData[[#This Row],[Total]]+SamplingData[[#This Row],[Winning Candidate]]-SamplingData[[#This Row],[Candidate 8]])/(SamplingData[[#Totals],[Winning Candidate]]-SamplingData[[#Totals],[Candidate 8]]), 0)</f>
        <v>0</v>
      </c>
      <c r="X4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3" s="99">
        <f>MAX(SamplingData[[#This Row],[Error Bound (up) - Max. possible relative overstatement - Losing Candidate]:[Error Bound (up) - Max. possible relative overstatement - Candidate 12]])</f>
        <v>5.601765404854863E-3</v>
      </c>
      <c r="AC493" s="99">
        <f>IF(SamplingData[[#This Row],[Max Error Bound (up)]] = 0,0,SamplingData[[#This Row],[Max Error Bound (up)]]/SamplingData[[#Totals],[Max Error Bound (up)]])</f>
        <v>2.9992365579670666E-4</v>
      </c>
      <c r="AD493" s="103">
        <f>SUM($AC$5:AC493)</f>
        <v>0.3971602682953434</v>
      </c>
      <c r="AE493" s="99" t="str" cm="1">
        <f t="array" ref="AE493">IF(SamplingData[[#This Row],[up/U Selection Probability]] = 0, "Zero", TEXT(SamplingData[[#This Row],[Lower Range]], REPT("0",LEN('General Info'!$B$42))) &amp; " - " &amp; TEXT(SamplingData[[#This Row],[Upper Range]], REPT("0",LEN('General Info'!$B$42))))</f>
        <v>396860 - 397159</v>
      </c>
      <c r="AF493" s="99">
        <f>SamplingData[[#This Row],[Upper Range]]-SamplingData[[#This Row],[Span]]</f>
        <v>396860.3446395467</v>
      </c>
      <c r="AG493" s="99">
        <f>IF(ISNUMBER('General Info'!$B$42), ((SamplingData[[#This Row],[up/U Selection Probability]]) * 'General Info'!$B$44) - 1, 0)</f>
        <v>298.92365579670667</v>
      </c>
      <c r="AH493" s="99">
        <f>IF(ISNUMBER('General Info'!$B$42), (SamplingData[[#This Row],[Running (cumulative) sum]] * ('General Info'!$B$42 -'General Info'!$B$43 + 1)) + 'General Info'!$B$43 - 1, 0)</f>
        <v>397159.26829534338</v>
      </c>
      <c r="AI493" s="99" t="str">
        <f>IF(ISERROR(MATCH(SamplingData[[#This Row],[Batch by Type (p)]],SelectedPrecincts[Batch Name], 0)), "", INDEX(SelectedPrecincts[Draw], MATCH(SamplingData[[#This Row],[Batch by Type (p)]],SelectedPrecincts[Batch Name], 0)))</f>
        <v/>
      </c>
      <c r="AJ493" s="100">
        <f>IF(COUNTIF(SelectedPrecincts[Batch Name],SamplingData[[#This Row],[Batch by Type (p)]]) &lt;&gt; 0, COUNTIF(SelectedPrecincts[Batch Name],SamplingData[[#This Row],[Batch by Type (p)]]), 0)</f>
        <v>0</v>
      </c>
    </row>
    <row r="494" spans="1:36" ht="15" customHeight="1" x14ac:dyDescent="0.35">
      <c r="A494" s="97" t="s">
        <v>707</v>
      </c>
      <c r="B494" s="97">
        <v>35</v>
      </c>
      <c r="C494" s="97">
        <v>88</v>
      </c>
      <c r="D494" s="92"/>
      <c r="E494" s="92"/>
      <c r="F494" s="92"/>
      <c r="G494" s="96"/>
      <c r="H494" s="96"/>
      <c r="I494" s="92"/>
      <c r="J494" s="92"/>
      <c r="K494" s="92"/>
      <c r="L494" s="92"/>
      <c r="M494" s="92"/>
      <c r="N494" s="97">
        <v>0</v>
      </c>
      <c r="O494" s="97">
        <v>1</v>
      </c>
      <c r="P494" s="98">
        <f>SUM(SamplingData[[#This Row],[Winning Candidate]:[Under Votes]])</f>
        <v>124</v>
      </c>
      <c r="Q494" s="99">
        <f>IF(AND(SamplingData[[#This Row],[Total]]&lt;&gt; 0, NOT(ISBLANK(SamplingData[[#This Row],[Losing Candidate]]))),(SamplingData[[#This Row],[Total]]+SamplingData[[#This Row],[Winning Candidate]]-SamplingData[[#This Row],[Losing Candidate]])/(SamplingData[[#Totals],[Winning Candidate]]-SamplingData[[#Totals],[Losing Candidate]]), 0)</f>
        <v>3.0130707859446614E-3</v>
      </c>
      <c r="R494" s="99">
        <f>IF(AND(SamplingData[[#This Row],[Total]]&lt;&gt; 0, NOT(ISBLANK(SamplingData[[#This Row],[Candidate 3]]))),(SamplingData[[#This Row],[Total]]+SamplingData[[#This Row],[Winning Candidate]]-SamplingData[[#This Row],[Candidate 3]])/(SamplingData[[#Totals],[Winning Candidate]]-SamplingData[[#Totals],[Candidate 3]]), 0)</f>
        <v>0</v>
      </c>
      <c r="S494" s="99">
        <f>IF(AND(SamplingData[[#This Row],[Total]]&lt;&gt; 0, NOT(ISBLANK(SamplingData[[#This Row],[Candidate 4]]))),(SamplingData[[#This Row],[Total]]+SamplingData[[#This Row],[Winning Candidate]]-SamplingData[[#This Row],[Candidate 4]])/(SamplingData[[#Totals],[Winning Candidate]]-SamplingData[[#Totals],[Candidate 4]]), 0)</f>
        <v>0</v>
      </c>
      <c r="T494" s="99">
        <f>IF(AND(SamplingData[[#This Row],[Total]]&lt;&gt; 0, NOT(ISBLANK(SamplingData[[#This Row],[Candidate 5]]))),(SamplingData[[#This Row],[Total]]+SamplingData[[#This Row],[Winning Candidate]]-SamplingData[[#This Row],[Candidate 5]])/(SamplingData[[#Totals],[Winning Candidate]]-SamplingData[[#Totals],[Candidate 5]]), 0)</f>
        <v>0</v>
      </c>
      <c r="U494" s="99">
        <f>IF(AND(SamplingData[[#This Row],[Total]]&lt;&gt; 0, NOT(ISBLANK(SamplingData[[#This Row],[Candidate 6]]))),(SamplingData[[#This Row],[Total]]+SamplingData[[#This Row],[Losing Candidate]]-SamplingData[[#This Row],[Candidate 6]])/(SamplingData[[#Totals],[Winning Candidate]]-SamplingData[[#Totals],[Candidate 6]]), 0)</f>
        <v>0</v>
      </c>
      <c r="V494" s="99">
        <f>IF(AND(SamplingData[[#This Row],[Total]]&lt;&gt; 0, NOT(ISBLANK(SamplingData[[#This Row],[Candidate 7]]))),(SamplingData[[#This Row],[Total]]+SamplingData[[#This Row],[Winning Candidate]]-SamplingData[[#This Row],[Candidate 7]])/(SamplingData[[#Totals],[Winning Candidate]]-SamplingData[[#Totals],[Candidate 7]]), 0)</f>
        <v>0</v>
      </c>
      <c r="W494" s="99">
        <f>IF(AND(SamplingData[[#This Row],[Total]]&lt;&gt; 0, NOT(ISBLANK(SamplingData[[#This Row],[Candidate 8]]))),(SamplingData[[#This Row],[Total]]+SamplingData[[#This Row],[Winning Candidate]]-SamplingData[[#This Row],[Candidate 8]])/(SamplingData[[#Totals],[Winning Candidate]]-SamplingData[[#Totals],[Candidate 8]]), 0)</f>
        <v>0</v>
      </c>
      <c r="X4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4" s="99">
        <f>MAX(SamplingData[[#This Row],[Error Bound (up) - Max. possible relative overstatement - Losing Candidate]:[Error Bound (up) - Max. possible relative overstatement - Candidate 12]])</f>
        <v>3.0130707859446614E-3</v>
      </c>
      <c r="AC494" s="99">
        <f>IF(SamplingData[[#This Row],[Max Error Bound (up)]] = 0,0,SamplingData[[#This Row],[Max Error Bound (up)]]/SamplingData[[#Totals],[Max Error Bound (up)]])</f>
        <v>1.6132257243610737E-4</v>
      </c>
      <c r="AD494" s="103">
        <f>SUM($AC$5:AC494)</f>
        <v>0.39732159086777952</v>
      </c>
      <c r="AE494" s="99" t="str" cm="1">
        <f t="array" ref="AE494">IF(SamplingData[[#This Row],[up/U Selection Probability]] = 0, "Zero", TEXT(SamplingData[[#This Row],[Lower Range]], REPT("0",LEN('General Info'!$B$42))) &amp; " - " &amp; TEXT(SamplingData[[#This Row],[Upper Range]], REPT("0",LEN('General Info'!$B$42))))</f>
        <v>397160 - 397321</v>
      </c>
      <c r="AF494" s="99">
        <f>SamplingData[[#This Row],[Upper Range]]-SamplingData[[#This Row],[Span]]</f>
        <v>397160.26829534338</v>
      </c>
      <c r="AG494" s="99">
        <f>IF(ISNUMBER('General Info'!$B$42), ((SamplingData[[#This Row],[up/U Selection Probability]]) * 'General Info'!$B$44) - 1, 0)</f>
        <v>160.32257243610738</v>
      </c>
      <c r="AH494" s="99">
        <f>IF(ISNUMBER('General Info'!$B$42), (SamplingData[[#This Row],[Running (cumulative) sum]] * ('General Info'!$B$42 -'General Info'!$B$43 + 1)) + 'General Info'!$B$43 - 1, 0)</f>
        <v>397320.59086777951</v>
      </c>
      <c r="AI494" s="99" t="str">
        <f>IF(ISERROR(MATCH(SamplingData[[#This Row],[Batch by Type (p)]],SelectedPrecincts[Batch Name], 0)), "", INDEX(SelectedPrecincts[Draw], MATCH(SamplingData[[#This Row],[Batch by Type (p)]],SelectedPrecincts[Batch Name], 0)))</f>
        <v/>
      </c>
      <c r="AJ494" s="100">
        <f>IF(COUNTIF(SelectedPrecincts[Batch Name],SamplingData[[#This Row],[Batch by Type (p)]]) &lt;&gt; 0, COUNTIF(SelectedPrecincts[Batch Name],SamplingData[[#This Row],[Batch by Type (p)]]), 0)</f>
        <v>0</v>
      </c>
    </row>
    <row r="495" spans="1:36" ht="15" customHeight="1" x14ac:dyDescent="0.35">
      <c r="A495" s="97" t="s">
        <v>708</v>
      </c>
      <c r="B495" s="97">
        <v>87</v>
      </c>
      <c r="C495" s="97">
        <v>281</v>
      </c>
      <c r="D495" s="92"/>
      <c r="E495" s="92"/>
      <c r="F495" s="92"/>
      <c r="G495" s="96"/>
      <c r="H495" s="96"/>
      <c r="I495" s="92"/>
      <c r="J495" s="92"/>
      <c r="K495" s="92"/>
      <c r="L495" s="92"/>
      <c r="M495" s="92"/>
      <c r="N495" s="97">
        <v>0</v>
      </c>
      <c r="O495" s="97">
        <v>24</v>
      </c>
      <c r="P495" s="98">
        <f>SUM(SamplingData[[#This Row],[Winning Candidate]:[Under Votes]])</f>
        <v>392</v>
      </c>
      <c r="Q495" s="99">
        <f>IF(AND(SamplingData[[#This Row],[Total]]&lt;&gt; 0, NOT(ISBLANK(SamplingData[[#This Row],[Losing Candidate]]))),(SamplingData[[#This Row],[Total]]+SamplingData[[#This Row],[Winning Candidate]]-SamplingData[[#This Row],[Losing Candidate]])/(SamplingData[[#Totals],[Winning Candidate]]-SamplingData[[#Totals],[Losing Candidate]]), 0)</f>
        <v>8.4026481072822946E-3</v>
      </c>
      <c r="R495" s="99">
        <f>IF(AND(SamplingData[[#This Row],[Total]]&lt;&gt; 0, NOT(ISBLANK(SamplingData[[#This Row],[Candidate 3]]))),(SamplingData[[#This Row],[Total]]+SamplingData[[#This Row],[Winning Candidate]]-SamplingData[[#This Row],[Candidate 3]])/(SamplingData[[#Totals],[Winning Candidate]]-SamplingData[[#Totals],[Candidate 3]]), 0)</f>
        <v>0</v>
      </c>
      <c r="S495" s="99">
        <f>IF(AND(SamplingData[[#This Row],[Total]]&lt;&gt; 0, NOT(ISBLANK(SamplingData[[#This Row],[Candidate 4]]))),(SamplingData[[#This Row],[Total]]+SamplingData[[#This Row],[Winning Candidate]]-SamplingData[[#This Row],[Candidate 4]])/(SamplingData[[#Totals],[Winning Candidate]]-SamplingData[[#Totals],[Candidate 4]]), 0)</f>
        <v>0</v>
      </c>
      <c r="T495" s="99">
        <f>IF(AND(SamplingData[[#This Row],[Total]]&lt;&gt; 0, NOT(ISBLANK(SamplingData[[#This Row],[Candidate 5]]))),(SamplingData[[#This Row],[Total]]+SamplingData[[#This Row],[Winning Candidate]]-SamplingData[[#This Row],[Candidate 5]])/(SamplingData[[#Totals],[Winning Candidate]]-SamplingData[[#Totals],[Candidate 5]]), 0)</f>
        <v>0</v>
      </c>
      <c r="U495" s="99">
        <f>IF(AND(SamplingData[[#This Row],[Total]]&lt;&gt; 0, NOT(ISBLANK(SamplingData[[#This Row],[Candidate 6]]))),(SamplingData[[#This Row],[Total]]+SamplingData[[#This Row],[Losing Candidate]]-SamplingData[[#This Row],[Candidate 6]])/(SamplingData[[#Totals],[Winning Candidate]]-SamplingData[[#Totals],[Candidate 6]]), 0)</f>
        <v>0</v>
      </c>
      <c r="V495" s="99">
        <f>IF(AND(SamplingData[[#This Row],[Total]]&lt;&gt; 0, NOT(ISBLANK(SamplingData[[#This Row],[Candidate 7]]))),(SamplingData[[#This Row],[Total]]+SamplingData[[#This Row],[Winning Candidate]]-SamplingData[[#This Row],[Candidate 7]])/(SamplingData[[#Totals],[Winning Candidate]]-SamplingData[[#Totals],[Candidate 7]]), 0)</f>
        <v>0</v>
      </c>
      <c r="W495" s="99">
        <f>IF(AND(SamplingData[[#This Row],[Total]]&lt;&gt; 0, NOT(ISBLANK(SamplingData[[#This Row],[Candidate 8]]))),(SamplingData[[#This Row],[Total]]+SamplingData[[#This Row],[Winning Candidate]]-SamplingData[[#This Row],[Candidate 8]])/(SamplingData[[#Totals],[Winning Candidate]]-SamplingData[[#Totals],[Candidate 8]]), 0)</f>
        <v>0</v>
      </c>
      <c r="X4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5" s="99">
        <f>MAX(SamplingData[[#This Row],[Error Bound (up) - Max. possible relative overstatement - Losing Candidate]:[Error Bound (up) - Max. possible relative overstatement - Candidate 12]])</f>
        <v>8.4026481072822946E-3</v>
      </c>
      <c r="AC495" s="99">
        <f>IF(SamplingData[[#This Row],[Max Error Bound (up)]] = 0,0,SamplingData[[#This Row],[Max Error Bound (up)]]/SamplingData[[#Totals],[Max Error Bound (up)]])</f>
        <v>4.4988548369505999E-4</v>
      </c>
      <c r="AD495" s="103">
        <f>SUM($AC$5:AC495)</f>
        <v>0.39777147635147458</v>
      </c>
      <c r="AE495" s="99" t="str" cm="1">
        <f t="array" ref="AE495">IF(SamplingData[[#This Row],[up/U Selection Probability]] = 0, "Zero", TEXT(SamplingData[[#This Row],[Lower Range]], REPT("0",LEN('General Info'!$B$42))) &amp; " - " &amp; TEXT(SamplingData[[#This Row],[Upper Range]], REPT("0",LEN('General Info'!$B$42))))</f>
        <v>397322 - 397770</v>
      </c>
      <c r="AF495" s="99">
        <f>SamplingData[[#This Row],[Upper Range]]-SamplingData[[#This Row],[Span]]</f>
        <v>397321.59086777951</v>
      </c>
      <c r="AG495" s="99">
        <f>IF(ISNUMBER('General Info'!$B$42), ((SamplingData[[#This Row],[up/U Selection Probability]]) * 'General Info'!$B$44) - 1, 0)</f>
        <v>448.88548369505997</v>
      </c>
      <c r="AH495" s="99">
        <f>IF(ISNUMBER('General Info'!$B$42), (SamplingData[[#This Row],[Running (cumulative) sum]] * ('General Info'!$B$42 -'General Info'!$B$43 + 1)) + 'General Info'!$B$43 - 1, 0)</f>
        <v>397770.47635147459</v>
      </c>
      <c r="AI495" s="99">
        <f>IF(ISERROR(MATCH(SamplingData[[#This Row],[Batch by Type (p)]],SelectedPrecincts[Batch Name], 0)), "", INDEX(SelectedPrecincts[Draw], MATCH(SamplingData[[#This Row],[Batch by Type (p)]],SelectedPrecincts[Batch Name], 0)))</f>
        <v>42</v>
      </c>
      <c r="AJ495" s="100">
        <f>IF(COUNTIF(SelectedPrecincts[Batch Name],SamplingData[[#This Row],[Batch by Type (p)]]) &lt;&gt; 0, COUNTIF(SelectedPrecincts[Batch Name],SamplingData[[#This Row],[Batch by Type (p)]]), 0)</f>
        <v>1</v>
      </c>
    </row>
    <row r="496" spans="1:36" ht="15" customHeight="1" x14ac:dyDescent="0.35">
      <c r="A496" s="97" t="s">
        <v>709</v>
      </c>
      <c r="B496" s="97">
        <v>28</v>
      </c>
      <c r="C496" s="97">
        <v>87</v>
      </c>
      <c r="D496" s="92"/>
      <c r="E496" s="92"/>
      <c r="F496" s="92"/>
      <c r="G496" s="96"/>
      <c r="H496" s="96"/>
      <c r="I496" s="92"/>
      <c r="J496" s="92"/>
      <c r="K496" s="92"/>
      <c r="L496" s="92"/>
      <c r="M496" s="92"/>
      <c r="N496" s="97">
        <v>0</v>
      </c>
      <c r="O496" s="97">
        <v>3</v>
      </c>
      <c r="P496" s="98">
        <f>SUM(SamplingData[[#This Row],[Winning Candidate]:[Under Votes]])</f>
        <v>118</v>
      </c>
      <c r="Q496" s="99">
        <f>IF(AND(SamplingData[[#This Row],[Total]]&lt;&gt; 0, NOT(ISBLANK(SamplingData[[#This Row],[Losing Candidate]]))),(SamplingData[[#This Row],[Total]]+SamplingData[[#This Row],[Winning Candidate]]-SamplingData[[#This Row],[Losing Candidate]])/(SamplingData[[#Totals],[Winning Candidate]]-SamplingData[[#Totals],[Losing Candidate]]), 0)</f>
        <v>2.5038193855033103E-3</v>
      </c>
      <c r="R496" s="99">
        <f>IF(AND(SamplingData[[#This Row],[Total]]&lt;&gt; 0, NOT(ISBLANK(SamplingData[[#This Row],[Candidate 3]]))),(SamplingData[[#This Row],[Total]]+SamplingData[[#This Row],[Winning Candidate]]-SamplingData[[#This Row],[Candidate 3]])/(SamplingData[[#Totals],[Winning Candidate]]-SamplingData[[#Totals],[Candidate 3]]), 0)</f>
        <v>0</v>
      </c>
      <c r="S496" s="99">
        <f>IF(AND(SamplingData[[#This Row],[Total]]&lt;&gt; 0, NOT(ISBLANK(SamplingData[[#This Row],[Candidate 4]]))),(SamplingData[[#This Row],[Total]]+SamplingData[[#This Row],[Winning Candidate]]-SamplingData[[#This Row],[Candidate 4]])/(SamplingData[[#Totals],[Winning Candidate]]-SamplingData[[#Totals],[Candidate 4]]), 0)</f>
        <v>0</v>
      </c>
      <c r="T496" s="99">
        <f>IF(AND(SamplingData[[#This Row],[Total]]&lt;&gt; 0, NOT(ISBLANK(SamplingData[[#This Row],[Candidate 5]]))),(SamplingData[[#This Row],[Total]]+SamplingData[[#This Row],[Winning Candidate]]-SamplingData[[#This Row],[Candidate 5]])/(SamplingData[[#Totals],[Winning Candidate]]-SamplingData[[#Totals],[Candidate 5]]), 0)</f>
        <v>0</v>
      </c>
      <c r="U496" s="99">
        <f>IF(AND(SamplingData[[#This Row],[Total]]&lt;&gt; 0, NOT(ISBLANK(SamplingData[[#This Row],[Candidate 6]]))),(SamplingData[[#This Row],[Total]]+SamplingData[[#This Row],[Losing Candidate]]-SamplingData[[#This Row],[Candidate 6]])/(SamplingData[[#Totals],[Winning Candidate]]-SamplingData[[#Totals],[Candidate 6]]), 0)</f>
        <v>0</v>
      </c>
      <c r="V496" s="99">
        <f>IF(AND(SamplingData[[#This Row],[Total]]&lt;&gt; 0, NOT(ISBLANK(SamplingData[[#This Row],[Candidate 7]]))),(SamplingData[[#This Row],[Total]]+SamplingData[[#This Row],[Winning Candidate]]-SamplingData[[#This Row],[Candidate 7]])/(SamplingData[[#Totals],[Winning Candidate]]-SamplingData[[#Totals],[Candidate 7]]), 0)</f>
        <v>0</v>
      </c>
      <c r="W496" s="99">
        <f>IF(AND(SamplingData[[#This Row],[Total]]&lt;&gt; 0, NOT(ISBLANK(SamplingData[[#This Row],[Candidate 8]]))),(SamplingData[[#This Row],[Total]]+SamplingData[[#This Row],[Winning Candidate]]-SamplingData[[#This Row],[Candidate 8]])/(SamplingData[[#Totals],[Winning Candidate]]-SamplingData[[#Totals],[Candidate 8]]), 0)</f>
        <v>0</v>
      </c>
      <c r="X4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6" s="99">
        <f>MAX(SamplingData[[#This Row],[Error Bound (up) - Max. possible relative overstatement - Losing Candidate]:[Error Bound (up) - Max. possible relative overstatement - Candidate 12]])</f>
        <v>2.5038193855033103E-3</v>
      </c>
      <c r="AC496" s="99">
        <f>IF(SamplingData[[#This Row],[Max Error Bound (up)]] = 0,0,SamplingData[[#This Row],[Max Error Bound (up)]]/SamplingData[[#Totals],[Max Error Bound (up)]])</f>
        <v>1.340567855454977E-4</v>
      </c>
      <c r="AD496" s="103">
        <f>SUM($AC$5:AC496)</f>
        <v>0.3979055331370201</v>
      </c>
      <c r="AE496" s="99" t="str" cm="1">
        <f t="array" ref="AE496">IF(SamplingData[[#This Row],[up/U Selection Probability]] = 0, "Zero", TEXT(SamplingData[[#This Row],[Lower Range]], REPT("0",LEN('General Info'!$B$42))) &amp; " - " &amp; TEXT(SamplingData[[#This Row],[Upper Range]], REPT("0",LEN('General Info'!$B$42))))</f>
        <v>397771 - 397905</v>
      </c>
      <c r="AF496" s="99">
        <f>SamplingData[[#This Row],[Upper Range]]-SamplingData[[#This Row],[Span]]</f>
        <v>397771.47635147459</v>
      </c>
      <c r="AG496" s="99">
        <f>IF(ISNUMBER('General Info'!$B$42), ((SamplingData[[#This Row],[up/U Selection Probability]]) * 'General Info'!$B$44) - 1, 0)</f>
        <v>133.05678554549769</v>
      </c>
      <c r="AH496" s="99">
        <f>IF(ISNUMBER('General Info'!$B$42), (SamplingData[[#This Row],[Running (cumulative) sum]] * ('General Info'!$B$42 -'General Info'!$B$43 + 1)) + 'General Info'!$B$43 - 1, 0)</f>
        <v>397904.53313702007</v>
      </c>
      <c r="AI496" s="99" t="str">
        <f>IF(ISERROR(MATCH(SamplingData[[#This Row],[Batch by Type (p)]],SelectedPrecincts[Batch Name], 0)), "", INDEX(SelectedPrecincts[Draw], MATCH(SamplingData[[#This Row],[Batch by Type (p)]],SelectedPrecincts[Batch Name], 0)))</f>
        <v/>
      </c>
      <c r="AJ496" s="100">
        <f>IF(COUNTIF(SelectedPrecincts[Batch Name],SamplingData[[#This Row],[Batch by Type (p)]]) &lt;&gt; 0, COUNTIF(SelectedPrecincts[Batch Name],SamplingData[[#This Row],[Batch by Type (p)]]), 0)</f>
        <v>0</v>
      </c>
    </row>
    <row r="497" spans="1:36" ht="15" customHeight="1" x14ac:dyDescent="0.35">
      <c r="A497" s="97" t="s">
        <v>710</v>
      </c>
      <c r="B497" s="97">
        <v>79</v>
      </c>
      <c r="C497" s="97">
        <v>128</v>
      </c>
      <c r="D497" s="92"/>
      <c r="E497" s="92"/>
      <c r="F497" s="92"/>
      <c r="G497" s="96"/>
      <c r="H497" s="96"/>
      <c r="I497" s="92"/>
      <c r="J497" s="92"/>
      <c r="K497" s="92"/>
      <c r="L497" s="92"/>
      <c r="M497" s="92"/>
      <c r="N497" s="97">
        <v>0</v>
      </c>
      <c r="O497" s="97">
        <v>9</v>
      </c>
      <c r="P497" s="98">
        <f>SUM(SamplingData[[#This Row],[Winning Candidate]:[Under Votes]])</f>
        <v>216</v>
      </c>
      <c r="Q497" s="99">
        <f>IF(AND(SamplingData[[#This Row],[Total]]&lt;&gt; 0, NOT(ISBLANK(SamplingData[[#This Row],[Losing Candidate]]))),(SamplingData[[#This Row],[Total]]+SamplingData[[#This Row],[Winning Candidate]]-SamplingData[[#This Row],[Losing Candidate]])/(SamplingData[[#Totals],[Winning Candidate]]-SamplingData[[#Totals],[Losing Candidate]]), 0)</f>
        <v>7.0870819894754715E-3</v>
      </c>
      <c r="R497" s="99">
        <f>IF(AND(SamplingData[[#This Row],[Total]]&lt;&gt; 0, NOT(ISBLANK(SamplingData[[#This Row],[Candidate 3]]))),(SamplingData[[#This Row],[Total]]+SamplingData[[#This Row],[Winning Candidate]]-SamplingData[[#This Row],[Candidate 3]])/(SamplingData[[#Totals],[Winning Candidate]]-SamplingData[[#Totals],[Candidate 3]]), 0)</f>
        <v>0</v>
      </c>
      <c r="S497" s="99">
        <f>IF(AND(SamplingData[[#This Row],[Total]]&lt;&gt; 0, NOT(ISBLANK(SamplingData[[#This Row],[Candidate 4]]))),(SamplingData[[#This Row],[Total]]+SamplingData[[#This Row],[Winning Candidate]]-SamplingData[[#This Row],[Candidate 4]])/(SamplingData[[#Totals],[Winning Candidate]]-SamplingData[[#Totals],[Candidate 4]]), 0)</f>
        <v>0</v>
      </c>
      <c r="T497" s="99">
        <f>IF(AND(SamplingData[[#This Row],[Total]]&lt;&gt; 0, NOT(ISBLANK(SamplingData[[#This Row],[Candidate 5]]))),(SamplingData[[#This Row],[Total]]+SamplingData[[#This Row],[Winning Candidate]]-SamplingData[[#This Row],[Candidate 5]])/(SamplingData[[#Totals],[Winning Candidate]]-SamplingData[[#Totals],[Candidate 5]]), 0)</f>
        <v>0</v>
      </c>
      <c r="U497" s="99">
        <f>IF(AND(SamplingData[[#This Row],[Total]]&lt;&gt; 0, NOT(ISBLANK(SamplingData[[#This Row],[Candidate 6]]))),(SamplingData[[#This Row],[Total]]+SamplingData[[#This Row],[Losing Candidate]]-SamplingData[[#This Row],[Candidate 6]])/(SamplingData[[#Totals],[Winning Candidate]]-SamplingData[[#Totals],[Candidate 6]]), 0)</f>
        <v>0</v>
      </c>
      <c r="V497" s="99">
        <f>IF(AND(SamplingData[[#This Row],[Total]]&lt;&gt; 0, NOT(ISBLANK(SamplingData[[#This Row],[Candidate 7]]))),(SamplingData[[#This Row],[Total]]+SamplingData[[#This Row],[Winning Candidate]]-SamplingData[[#This Row],[Candidate 7]])/(SamplingData[[#Totals],[Winning Candidate]]-SamplingData[[#Totals],[Candidate 7]]), 0)</f>
        <v>0</v>
      </c>
      <c r="W497" s="99">
        <f>IF(AND(SamplingData[[#This Row],[Total]]&lt;&gt; 0, NOT(ISBLANK(SamplingData[[#This Row],[Candidate 8]]))),(SamplingData[[#This Row],[Total]]+SamplingData[[#This Row],[Winning Candidate]]-SamplingData[[#This Row],[Candidate 8]])/(SamplingData[[#Totals],[Winning Candidate]]-SamplingData[[#Totals],[Candidate 8]]), 0)</f>
        <v>0</v>
      </c>
      <c r="X4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7" s="99">
        <f>MAX(SamplingData[[#This Row],[Error Bound (up) - Max. possible relative overstatement - Losing Candidate]:[Error Bound (up) - Max. possible relative overstatement - Candidate 12]])</f>
        <v>7.0870819894754715E-3</v>
      </c>
      <c r="AC497" s="99">
        <f>IF(SamplingData[[#This Row],[Max Error Bound (up)]] = 0,0,SamplingData[[#This Row],[Max Error Bound (up)]]/SamplingData[[#Totals],[Max Error Bound (up)]])</f>
        <v>3.7944886756098497E-4</v>
      </c>
      <c r="AD497" s="103">
        <f>SUM($AC$5:AC497)</f>
        <v>0.39828498200458107</v>
      </c>
      <c r="AE497" s="99" t="str" cm="1">
        <f t="array" ref="AE497">IF(SamplingData[[#This Row],[up/U Selection Probability]] = 0, "Zero", TEXT(SamplingData[[#This Row],[Lower Range]], REPT("0",LEN('General Info'!$B$42))) &amp; " - " &amp; TEXT(SamplingData[[#This Row],[Upper Range]], REPT("0",LEN('General Info'!$B$42))))</f>
        <v>397906 - 398284</v>
      </c>
      <c r="AF497" s="99">
        <f>SamplingData[[#This Row],[Upper Range]]-SamplingData[[#This Row],[Span]]</f>
        <v>397905.53313702007</v>
      </c>
      <c r="AG497" s="99">
        <f>IF(ISNUMBER('General Info'!$B$42), ((SamplingData[[#This Row],[up/U Selection Probability]]) * 'General Info'!$B$44) - 1, 0)</f>
        <v>378.44886756098498</v>
      </c>
      <c r="AH497" s="99">
        <f>IF(ISNUMBER('General Info'!$B$42), (SamplingData[[#This Row],[Running (cumulative) sum]] * ('General Info'!$B$42 -'General Info'!$B$43 + 1)) + 'General Info'!$B$43 - 1, 0)</f>
        <v>398283.98200458108</v>
      </c>
      <c r="AI497" s="99" t="str">
        <f>IF(ISERROR(MATCH(SamplingData[[#This Row],[Batch by Type (p)]],SelectedPrecincts[Batch Name], 0)), "", INDEX(SelectedPrecincts[Draw], MATCH(SamplingData[[#This Row],[Batch by Type (p)]],SelectedPrecincts[Batch Name], 0)))</f>
        <v/>
      </c>
      <c r="AJ497" s="100">
        <f>IF(COUNTIF(SelectedPrecincts[Batch Name],SamplingData[[#This Row],[Batch by Type (p)]]) &lt;&gt; 0, COUNTIF(SelectedPrecincts[Batch Name],SamplingData[[#This Row],[Batch by Type (p)]]), 0)</f>
        <v>0</v>
      </c>
    </row>
    <row r="498" spans="1:36" ht="15" customHeight="1" x14ac:dyDescent="0.35">
      <c r="A498" s="97" t="s">
        <v>711</v>
      </c>
      <c r="B498" s="97">
        <v>134</v>
      </c>
      <c r="C498" s="97">
        <v>196</v>
      </c>
      <c r="D498" s="92"/>
      <c r="E498" s="92"/>
      <c r="F498" s="92"/>
      <c r="G498" s="96"/>
      <c r="H498" s="96"/>
      <c r="I498" s="92"/>
      <c r="J498" s="92"/>
      <c r="K498" s="92"/>
      <c r="L498" s="92"/>
      <c r="M498" s="92"/>
      <c r="N498" s="97">
        <v>0</v>
      </c>
      <c r="O498" s="97">
        <v>12</v>
      </c>
      <c r="P498" s="98">
        <f>SUM(SamplingData[[#This Row],[Winning Candidate]:[Under Votes]])</f>
        <v>342</v>
      </c>
      <c r="Q498" s="99">
        <f>IF(AND(SamplingData[[#This Row],[Total]]&lt;&gt; 0, NOT(ISBLANK(SamplingData[[#This Row],[Losing Candidate]]))),(SamplingData[[#This Row],[Total]]+SamplingData[[#This Row],[Winning Candidate]]-SamplingData[[#This Row],[Losing Candidate]])/(SamplingData[[#Totals],[Winning Candidate]]-SamplingData[[#Totals],[Losing Candidate]]), 0)</f>
        <v>1.1882532676964862E-2</v>
      </c>
      <c r="R498" s="99">
        <f>IF(AND(SamplingData[[#This Row],[Total]]&lt;&gt; 0, NOT(ISBLANK(SamplingData[[#This Row],[Candidate 3]]))),(SamplingData[[#This Row],[Total]]+SamplingData[[#This Row],[Winning Candidate]]-SamplingData[[#This Row],[Candidate 3]])/(SamplingData[[#Totals],[Winning Candidate]]-SamplingData[[#Totals],[Candidate 3]]), 0)</f>
        <v>0</v>
      </c>
      <c r="S498" s="99">
        <f>IF(AND(SamplingData[[#This Row],[Total]]&lt;&gt; 0, NOT(ISBLANK(SamplingData[[#This Row],[Candidate 4]]))),(SamplingData[[#This Row],[Total]]+SamplingData[[#This Row],[Winning Candidate]]-SamplingData[[#This Row],[Candidate 4]])/(SamplingData[[#Totals],[Winning Candidate]]-SamplingData[[#Totals],[Candidate 4]]), 0)</f>
        <v>0</v>
      </c>
      <c r="T498" s="99">
        <f>IF(AND(SamplingData[[#This Row],[Total]]&lt;&gt; 0, NOT(ISBLANK(SamplingData[[#This Row],[Candidate 5]]))),(SamplingData[[#This Row],[Total]]+SamplingData[[#This Row],[Winning Candidate]]-SamplingData[[#This Row],[Candidate 5]])/(SamplingData[[#Totals],[Winning Candidate]]-SamplingData[[#Totals],[Candidate 5]]), 0)</f>
        <v>0</v>
      </c>
      <c r="U498" s="99">
        <f>IF(AND(SamplingData[[#This Row],[Total]]&lt;&gt; 0, NOT(ISBLANK(SamplingData[[#This Row],[Candidate 6]]))),(SamplingData[[#This Row],[Total]]+SamplingData[[#This Row],[Losing Candidate]]-SamplingData[[#This Row],[Candidate 6]])/(SamplingData[[#Totals],[Winning Candidate]]-SamplingData[[#Totals],[Candidate 6]]), 0)</f>
        <v>0</v>
      </c>
      <c r="V498" s="99">
        <f>IF(AND(SamplingData[[#This Row],[Total]]&lt;&gt; 0, NOT(ISBLANK(SamplingData[[#This Row],[Candidate 7]]))),(SamplingData[[#This Row],[Total]]+SamplingData[[#This Row],[Winning Candidate]]-SamplingData[[#This Row],[Candidate 7]])/(SamplingData[[#Totals],[Winning Candidate]]-SamplingData[[#Totals],[Candidate 7]]), 0)</f>
        <v>0</v>
      </c>
      <c r="W498" s="99">
        <f>IF(AND(SamplingData[[#This Row],[Total]]&lt;&gt; 0, NOT(ISBLANK(SamplingData[[#This Row],[Candidate 8]]))),(SamplingData[[#This Row],[Total]]+SamplingData[[#This Row],[Winning Candidate]]-SamplingData[[#This Row],[Candidate 8]])/(SamplingData[[#Totals],[Winning Candidate]]-SamplingData[[#Totals],[Candidate 8]]), 0)</f>
        <v>0</v>
      </c>
      <c r="X4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8" s="99">
        <f>MAX(SamplingData[[#This Row],[Error Bound (up) - Max. possible relative overstatement - Losing Candidate]:[Error Bound (up) - Max. possible relative overstatement - Candidate 12]])</f>
        <v>1.1882532676964862E-2</v>
      </c>
      <c r="AC498" s="99">
        <f>IF(SamplingData[[#This Row],[Max Error Bound (up)]] = 0,0,SamplingData[[#This Row],[Max Error Bound (up)]]/SamplingData[[#Totals],[Max Error Bound (up)]])</f>
        <v>6.3620169411422636E-4</v>
      </c>
      <c r="AD498" s="103">
        <f>SUM($AC$5:AC498)</f>
        <v>0.39892118369869528</v>
      </c>
      <c r="AE498" s="99" t="str" cm="1">
        <f t="array" ref="AE498">IF(SamplingData[[#This Row],[up/U Selection Probability]] = 0, "Zero", TEXT(SamplingData[[#This Row],[Lower Range]], REPT("0",LEN('General Info'!$B$42))) &amp; " - " &amp; TEXT(SamplingData[[#This Row],[Upper Range]], REPT("0",LEN('General Info'!$B$42))))</f>
        <v>398285 - 398920</v>
      </c>
      <c r="AF498" s="99">
        <f>SamplingData[[#This Row],[Upper Range]]-SamplingData[[#This Row],[Span]]</f>
        <v>398284.98200458102</v>
      </c>
      <c r="AG498" s="99">
        <f>IF(ISNUMBER('General Info'!$B$42), ((SamplingData[[#This Row],[up/U Selection Probability]]) * 'General Info'!$B$44) - 1, 0)</f>
        <v>635.20169411422637</v>
      </c>
      <c r="AH498" s="99">
        <f>IF(ISNUMBER('General Info'!$B$42), (SamplingData[[#This Row],[Running (cumulative) sum]] * ('General Info'!$B$42 -'General Info'!$B$43 + 1)) + 'General Info'!$B$43 - 1, 0)</f>
        <v>398920.18369869527</v>
      </c>
      <c r="AI498" s="99" t="str">
        <f>IF(ISERROR(MATCH(SamplingData[[#This Row],[Batch by Type (p)]],SelectedPrecincts[Batch Name], 0)), "", INDEX(SelectedPrecincts[Draw], MATCH(SamplingData[[#This Row],[Batch by Type (p)]],SelectedPrecincts[Batch Name], 0)))</f>
        <v/>
      </c>
      <c r="AJ498" s="100">
        <f>IF(COUNTIF(SelectedPrecincts[Batch Name],SamplingData[[#This Row],[Batch by Type (p)]]) &lt;&gt; 0, COUNTIF(SelectedPrecincts[Batch Name],SamplingData[[#This Row],[Batch by Type (p)]]), 0)</f>
        <v>0</v>
      </c>
    </row>
    <row r="499" spans="1:36" ht="15" customHeight="1" x14ac:dyDescent="0.35">
      <c r="A499" s="97" t="s">
        <v>712</v>
      </c>
      <c r="B499" s="97">
        <v>86</v>
      </c>
      <c r="C499" s="97">
        <v>86</v>
      </c>
      <c r="D499" s="92"/>
      <c r="E499" s="92"/>
      <c r="F499" s="92"/>
      <c r="G499" s="96"/>
      <c r="H499" s="96"/>
      <c r="I499" s="92"/>
      <c r="J499" s="92"/>
      <c r="K499" s="92"/>
      <c r="L499" s="92"/>
      <c r="M499" s="92"/>
      <c r="N499" s="97">
        <v>2</v>
      </c>
      <c r="O499" s="97">
        <v>7</v>
      </c>
      <c r="P499" s="98">
        <f>SUM(SamplingData[[#This Row],[Winning Candidate]:[Under Votes]])</f>
        <v>181</v>
      </c>
      <c r="Q499" s="99">
        <f>IF(AND(SamplingData[[#This Row],[Total]]&lt;&gt; 0, NOT(ISBLANK(SamplingData[[#This Row],[Losing Candidate]]))),(SamplingData[[#This Row],[Total]]+SamplingData[[#This Row],[Winning Candidate]]-SamplingData[[#This Row],[Losing Candidate]])/(SamplingData[[#Totals],[Winning Candidate]]-SamplingData[[#Totals],[Losing Candidate]]), 0)</f>
        <v>7.681208623323714E-3</v>
      </c>
      <c r="R499" s="99">
        <f>IF(AND(SamplingData[[#This Row],[Total]]&lt;&gt; 0, NOT(ISBLANK(SamplingData[[#This Row],[Candidate 3]]))),(SamplingData[[#This Row],[Total]]+SamplingData[[#This Row],[Winning Candidate]]-SamplingData[[#This Row],[Candidate 3]])/(SamplingData[[#Totals],[Winning Candidate]]-SamplingData[[#Totals],[Candidate 3]]), 0)</f>
        <v>0</v>
      </c>
      <c r="S499" s="99">
        <f>IF(AND(SamplingData[[#This Row],[Total]]&lt;&gt; 0, NOT(ISBLANK(SamplingData[[#This Row],[Candidate 4]]))),(SamplingData[[#This Row],[Total]]+SamplingData[[#This Row],[Winning Candidate]]-SamplingData[[#This Row],[Candidate 4]])/(SamplingData[[#Totals],[Winning Candidate]]-SamplingData[[#Totals],[Candidate 4]]), 0)</f>
        <v>0</v>
      </c>
      <c r="T499" s="99">
        <f>IF(AND(SamplingData[[#This Row],[Total]]&lt;&gt; 0, NOT(ISBLANK(SamplingData[[#This Row],[Candidate 5]]))),(SamplingData[[#This Row],[Total]]+SamplingData[[#This Row],[Winning Candidate]]-SamplingData[[#This Row],[Candidate 5]])/(SamplingData[[#Totals],[Winning Candidate]]-SamplingData[[#Totals],[Candidate 5]]), 0)</f>
        <v>0</v>
      </c>
      <c r="U499" s="99">
        <f>IF(AND(SamplingData[[#This Row],[Total]]&lt;&gt; 0, NOT(ISBLANK(SamplingData[[#This Row],[Candidate 6]]))),(SamplingData[[#This Row],[Total]]+SamplingData[[#This Row],[Losing Candidate]]-SamplingData[[#This Row],[Candidate 6]])/(SamplingData[[#Totals],[Winning Candidate]]-SamplingData[[#Totals],[Candidate 6]]), 0)</f>
        <v>0</v>
      </c>
      <c r="V499" s="99">
        <f>IF(AND(SamplingData[[#This Row],[Total]]&lt;&gt; 0, NOT(ISBLANK(SamplingData[[#This Row],[Candidate 7]]))),(SamplingData[[#This Row],[Total]]+SamplingData[[#This Row],[Winning Candidate]]-SamplingData[[#This Row],[Candidate 7]])/(SamplingData[[#Totals],[Winning Candidate]]-SamplingData[[#Totals],[Candidate 7]]), 0)</f>
        <v>0</v>
      </c>
      <c r="W499" s="99">
        <f>IF(AND(SamplingData[[#This Row],[Total]]&lt;&gt; 0, NOT(ISBLANK(SamplingData[[#This Row],[Candidate 8]]))),(SamplingData[[#This Row],[Total]]+SamplingData[[#This Row],[Winning Candidate]]-SamplingData[[#This Row],[Candidate 8]])/(SamplingData[[#Totals],[Winning Candidate]]-SamplingData[[#Totals],[Candidate 8]]), 0)</f>
        <v>0</v>
      </c>
      <c r="X4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9" s="99">
        <f>MAX(SamplingData[[#This Row],[Error Bound (up) - Max. possible relative overstatement - Losing Candidate]:[Error Bound (up) - Max. possible relative overstatement - Candidate 12]])</f>
        <v>7.681208623323714E-3</v>
      </c>
      <c r="AC499" s="99">
        <f>IF(SamplingData[[#This Row],[Max Error Bound (up)]] = 0,0,SamplingData[[#This Row],[Max Error Bound (up)]]/SamplingData[[#Totals],[Max Error Bound (up)]])</f>
        <v>4.1125895226669628E-4</v>
      </c>
      <c r="AD499" s="103">
        <f>SUM($AC$5:AC499)</f>
        <v>0.39933244265096196</v>
      </c>
      <c r="AE499" s="99" t="str" cm="1">
        <f t="array" ref="AE499">IF(SamplingData[[#This Row],[up/U Selection Probability]] = 0, "Zero", TEXT(SamplingData[[#This Row],[Lower Range]], REPT("0",LEN('General Info'!$B$42))) &amp; " - " &amp; TEXT(SamplingData[[#This Row],[Upper Range]], REPT("0",LEN('General Info'!$B$42))))</f>
        <v>398921 - 399331</v>
      </c>
      <c r="AF499" s="99">
        <f>SamplingData[[#This Row],[Upper Range]]-SamplingData[[#This Row],[Span]]</f>
        <v>398921.18369869527</v>
      </c>
      <c r="AG499" s="99">
        <f>IF(ISNUMBER('General Info'!$B$42), ((SamplingData[[#This Row],[up/U Selection Probability]]) * 'General Info'!$B$44) - 1, 0)</f>
        <v>410.25895226669627</v>
      </c>
      <c r="AH499" s="99">
        <f>IF(ISNUMBER('General Info'!$B$42), (SamplingData[[#This Row],[Running (cumulative) sum]] * ('General Info'!$B$42 -'General Info'!$B$43 + 1)) + 'General Info'!$B$43 - 1, 0)</f>
        <v>399331.44265096198</v>
      </c>
      <c r="AI499" s="99" t="str">
        <f>IF(ISERROR(MATCH(SamplingData[[#This Row],[Batch by Type (p)]],SelectedPrecincts[Batch Name], 0)), "", INDEX(SelectedPrecincts[Draw], MATCH(SamplingData[[#This Row],[Batch by Type (p)]],SelectedPrecincts[Batch Name], 0)))</f>
        <v/>
      </c>
      <c r="AJ499" s="100">
        <f>IF(COUNTIF(SelectedPrecincts[Batch Name],SamplingData[[#This Row],[Batch by Type (p)]]) &lt;&gt; 0, COUNTIF(SelectedPrecincts[Batch Name],SamplingData[[#This Row],[Batch by Type (p)]]), 0)</f>
        <v>0</v>
      </c>
    </row>
    <row r="500" spans="1:36" ht="15" customHeight="1" x14ac:dyDescent="0.35">
      <c r="A500" s="97" t="s">
        <v>713</v>
      </c>
      <c r="B500" s="97">
        <v>138</v>
      </c>
      <c r="C500" s="97">
        <v>97</v>
      </c>
      <c r="D500" s="92"/>
      <c r="E500" s="92"/>
      <c r="F500" s="92"/>
      <c r="G500" s="96"/>
      <c r="H500" s="96"/>
      <c r="I500" s="92"/>
      <c r="J500" s="92"/>
      <c r="K500" s="92"/>
      <c r="L500" s="92"/>
      <c r="M500" s="92"/>
      <c r="N500" s="97">
        <v>0</v>
      </c>
      <c r="O500" s="97">
        <v>10</v>
      </c>
      <c r="P500" s="98">
        <f>SUM(SamplingData[[#This Row],[Winning Candidate]:[Under Votes]])</f>
        <v>245</v>
      </c>
      <c r="Q500" s="99">
        <f>IF(AND(SamplingData[[#This Row],[Total]]&lt;&gt; 0, NOT(ISBLANK(SamplingData[[#This Row],[Losing Candidate]]))),(SamplingData[[#This Row],[Total]]+SamplingData[[#This Row],[Winning Candidate]]-SamplingData[[#This Row],[Losing Candidate]])/(SamplingData[[#Totals],[Winning Candidate]]-SamplingData[[#Totals],[Losing Candidate]]), 0)</f>
        <v>1.2137158377185537E-2</v>
      </c>
      <c r="R500" s="99">
        <f>IF(AND(SamplingData[[#This Row],[Total]]&lt;&gt; 0, NOT(ISBLANK(SamplingData[[#This Row],[Candidate 3]]))),(SamplingData[[#This Row],[Total]]+SamplingData[[#This Row],[Winning Candidate]]-SamplingData[[#This Row],[Candidate 3]])/(SamplingData[[#Totals],[Winning Candidate]]-SamplingData[[#Totals],[Candidate 3]]), 0)</f>
        <v>0</v>
      </c>
      <c r="S500" s="99">
        <f>IF(AND(SamplingData[[#This Row],[Total]]&lt;&gt; 0, NOT(ISBLANK(SamplingData[[#This Row],[Candidate 4]]))),(SamplingData[[#This Row],[Total]]+SamplingData[[#This Row],[Winning Candidate]]-SamplingData[[#This Row],[Candidate 4]])/(SamplingData[[#Totals],[Winning Candidate]]-SamplingData[[#Totals],[Candidate 4]]), 0)</f>
        <v>0</v>
      </c>
      <c r="T500" s="99">
        <f>IF(AND(SamplingData[[#This Row],[Total]]&lt;&gt; 0, NOT(ISBLANK(SamplingData[[#This Row],[Candidate 5]]))),(SamplingData[[#This Row],[Total]]+SamplingData[[#This Row],[Winning Candidate]]-SamplingData[[#This Row],[Candidate 5]])/(SamplingData[[#Totals],[Winning Candidate]]-SamplingData[[#Totals],[Candidate 5]]), 0)</f>
        <v>0</v>
      </c>
      <c r="U500" s="99">
        <f>IF(AND(SamplingData[[#This Row],[Total]]&lt;&gt; 0, NOT(ISBLANK(SamplingData[[#This Row],[Candidate 6]]))),(SamplingData[[#This Row],[Total]]+SamplingData[[#This Row],[Losing Candidate]]-SamplingData[[#This Row],[Candidate 6]])/(SamplingData[[#Totals],[Winning Candidate]]-SamplingData[[#Totals],[Candidate 6]]), 0)</f>
        <v>0</v>
      </c>
      <c r="V500" s="99">
        <f>IF(AND(SamplingData[[#This Row],[Total]]&lt;&gt; 0, NOT(ISBLANK(SamplingData[[#This Row],[Candidate 7]]))),(SamplingData[[#This Row],[Total]]+SamplingData[[#This Row],[Winning Candidate]]-SamplingData[[#This Row],[Candidate 7]])/(SamplingData[[#Totals],[Winning Candidate]]-SamplingData[[#Totals],[Candidate 7]]), 0)</f>
        <v>0</v>
      </c>
      <c r="W500" s="99">
        <f>IF(AND(SamplingData[[#This Row],[Total]]&lt;&gt; 0, NOT(ISBLANK(SamplingData[[#This Row],[Candidate 8]]))),(SamplingData[[#This Row],[Total]]+SamplingData[[#This Row],[Winning Candidate]]-SamplingData[[#This Row],[Candidate 8]])/(SamplingData[[#Totals],[Winning Candidate]]-SamplingData[[#Totals],[Candidate 8]]), 0)</f>
        <v>0</v>
      </c>
      <c r="X5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0" s="99">
        <f>MAX(SamplingData[[#This Row],[Error Bound (up) - Max. possible relative overstatement - Losing Candidate]:[Error Bound (up) - Max. possible relative overstatement - Candidate 12]])</f>
        <v>1.2137158377185537E-2</v>
      </c>
      <c r="AC500" s="99">
        <f>IF(SamplingData[[#This Row],[Max Error Bound (up)]] = 0,0,SamplingData[[#This Row],[Max Error Bound (up)]]/SamplingData[[#Totals],[Max Error Bound (up)]])</f>
        <v>6.4983458755953104E-4</v>
      </c>
      <c r="AD500" s="103">
        <f>SUM($AC$5:AC500)</f>
        <v>0.39998227723852148</v>
      </c>
      <c r="AE500" s="99" t="str" cm="1">
        <f t="array" ref="AE500">IF(SamplingData[[#This Row],[up/U Selection Probability]] = 0, "Zero", TEXT(SamplingData[[#This Row],[Lower Range]], REPT("0",LEN('General Info'!$B$42))) &amp; " - " &amp; TEXT(SamplingData[[#This Row],[Upper Range]], REPT("0",LEN('General Info'!$B$42))))</f>
        <v>399332 - 399981</v>
      </c>
      <c r="AF500" s="99">
        <f>SamplingData[[#This Row],[Upper Range]]-SamplingData[[#This Row],[Span]]</f>
        <v>399332.44265096198</v>
      </c>
      <c r="AG500" s="99">
        <f>IF(ISNUMBER('General Info'!$B$42), ((SamplingData[[#This Row],[up/U Selection Probability]]) * 'General Info'!$B$44) - 1, 0)</f>
        <v>648.83458755953109</v>
      </c>
      <c r="AH500" s="99">
        <f>IF(ISNUMBER('General Info'!$B$42), (SamplingData[[#This Row],[Running (cumulative) sum]] * ('General Info'!$B$42 -'General Info'!$B$43 + 1)) + 'General Info'!$B$43 - 1, 0)</f>
        <v>399981.27723852149</v>
      </c>
      <c r="AI500" s="99" t="str">
        <f>IF(ISERROR(MATCH(SamplingData[[#This Row],[Batch by Type (p)]],SelectedPrecincts[Batch Name], 0)), "", INDEX(SelectedPrecincts[Draw], MATCH(SamplingData[[#This Row],[Batch by Type (p)]],SelectedPrecincts[Batch Name], 0)))</f>
        <v/>
      </c>
      <c r="AJ500" s="100">
        <f>IF(COUNTIF(SelectedPrecincts[Batch Name],SamplingData[[#This Row],[Batch by Type (p)]]) &lt;&gt; 0, COUNTIF(SelectedPrecincts[Batch Name],SamplingData[[#This Row],[Batch by Type (p)]]), 0)</f>
        <v>0</v>
      </c>
    </row>
    <row r="501" spans="1:36" ht="15" customHeight="1" x14ac:dyDescent="0.35">
      <c r="A501" s="97" t="s">
        <v>714</v>
      </c>
      <c r="B501" s="97">
        <v>123</v>
      </c>
      <c r="C501" s="97">
        <v>83</v>
      </c>
      <c r="D501" s="92"/>
      <c r="E501" s="92"/>
      <c r="F501" s="92"/>
      <c r="G501" s="96"/>
      <c r="H501" s="96"/>
      <c r="I501" s="92"/>
      <c r="J501" s="92"/>
      <c r="K501" s="92"/>
      <c r="L501" s="92"/>
      <c r="M501" s="92"/>
      <c r="N501" s="97">
        <v>0</v>
      </c>
      <c r="O501" s="97">
        <v>5</v>
      </c>
      <c r="P501" s="98">
        <f>SUM(SamplingData[[#This Row],[Winning Candidate]:[Under Votes]])</f>
        <v>211</v>
      </c>
      <c r="Q501" s="99">
        <f>IF(AND(SamplingData[[#This Row],[Total]]&lt;&gt; 0, NOT(ISBLANK(SamplingData[[#This Row],[Losing Candidate]]))),(SamplingData[[#This Row],[Total]]+SamplingData[[#This Row],[Winning Candidate]]-SamplingData[[#This Row],[Losing Candidate]])/(SamplingData[[#Totals],[Winning Candidate]]-SamplingData[[#Totals],[Losing Candidate]]), 0)</f>
        <v>1.0651841792564929E-2</v>
      </c>
      <c r="R501" s="99">
        <f>IF(AND(SamplingData[[#This Row],[Total]]&lt;&gt; 0, NOT(ISBLANK(SamplingData[[#This Row],[Candidate 3]]))),(SamplingData[[#This Row],[Total]]+SamplingData[[#This Row],[Winning Candidate]]-SamplingData[[#This Row],[Candidate 3]])/(SamplingData[[#Totals],[Winning Candidate]]-SamplingData[[#Totals],[Candidate 3]]), 0)</f>
        <v>0</v>
      </c>
      <c r="S501" s="99">
        <f>IF(AND(SamplingData[[#This Row],[Total]]&lt;&gt; 0, NOT(ISBLANK(SamplingData[[#This Row],[Candidate 4]]))),(SamplingData[[#This Row],[Total]]+SamplingData[[#This Row],[Winning Candidate]]-SamplingData[[#This Row],[Candidate 4]])/(SamplingData[[#Totals],[Winning Candidate]]-SamplingData[[#Totals],[Candidate 4]]), 0)</f>
        <v>0</v>
      </c>
      <c r="T501" s="99">
        <f>IF(AND(SamplingData[[#This Row],[Total]]&lt;&gt; 0, NOT(ISBLANK(SamplingData[[#This Row],[Candidate 5]]))),(SamplingData[[#This Row],[Total]]+SamplingData[[#This Row],[Winning Candidate]]-SamplingData[[#This Row],[Candidate 5]])/(SamplingData[[#Totals],[Winning Candidate]]-SamplingData[[#Totals],[Candidate 5]]), 0)</f>
        <v>0</v>
      </c>
      <c r="U501" s="99">
        <f>IF(AND(SamplingData[[#This Row],[Total]]&lt;&gt; 0, NOT(ISBLANK(SamplingData[[#This Row],[Candidate 6]]))),(SamplingData[[#This Row],[Total]]+SamplingData[[#This Row],[Losing Candidate]]-SamplingData[[#This Row],[Candidate 6]])/(SamplingData[[#Totals],[Winning Candidate]]-SamplingData[[#Totals],[Candidate 6]]), 0)</f>
        <v>0</v>
      </c>
      <c r="V501" s="99">
        <f>IF(AND(SamplingData[[#This Row],[Total]]&lt;&gt; 0, NOT(ISBLANK(SamplingData[[#This Row],[Candidate 7]]))),(SamplingData[[#This Row],[Total]]+SamplingData[[#This Row],[Winning Candidate]]-SamplingData[[#This Row],[Candidate 7]])/(SamplingData[[#Totals],[Winning Candidate]]-SamplingData[[#Totals],[Candidate 7]]), 0)</f>
        <v>0</v>
      </c>
      <c r="W501" s="99">
        <f>IF(AND(SamplingData[[#This Row],[Total]]&lt;&gt; 0, NOT(ISBLANK(SamplingData[[#This Row],[Candidate 8]]))),(SamplingData[[#This Row],[Total]]+SamplingData[[#This Row],[Winning Candidate]]-SamplingData[[#This Row],[Candidate 8]])/(SamplingData[[#Totals],[Winning Candidate]]-SamplingData[[#Totals],[Candidate 8]]), 0)</f>
        <v>0</v>
      </c>
      <c r="X5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1" s="99">
        <f>MAX(SamplingData[[#This Row],[Error Bound (up) - Max. possible relative overstatement - Losing Candidate]:[Error Bound (up) - Max. possible relative overstatement - Candidate 12]])</f>
        <v>1.0651841792564929E-2</v>
      </c>
      <c r="AC501" s="99">
        <f>IF(SamplingData[[#This Row],[Max Error Bound (up)]] = 0,0,SamplingData[[#This Row],[Max Error Bound (up)]]/SamplingData[[#Totals],[Max Error Bound (up)]])</f>
        <v>5.7030937579525284E-4</v>
      </c>
      <c r="AD501" s="103">
        <f>SUM($AC$5:AC501)</f>
        <v>0.40055258661431675</v>
      </c>
      <c r="AE501" s="99" t="str" cm="1">
        <f t="array" ref="AE501">IF(SamplingData[[#This Row],[up/U Selection Probability]] = 0, "Zero", TEXT(SamplingData[[#This Row],[Lower Range]], REPT("0",LEN('General Info'!$B$42))) &amp; " - " &amp; TEXT(SamplingData[[#This Row],[Upper Range]], REPT("0",LEN('General Info'!$B$42))))</f>
        <v>399982 - 400552</v>
      </c>
      <c r="AF501" s="99">
        <f>SamplingData[[#This Row],[Upper Range]]-SamplingData[[#This Row],[Span]]</f>
        <v>399982.27723852149</v>
      </c>
      <c r="AG501" s="99">
        <f>IF(ISNUMBER('General Info'!$B$42), ((SamplingData[[#This Row],[up/U Selection Probability]]) * 'General Info'!$B$44) - 1, 0)</f>
        <v>569.30937579525289</v>
      </c>
      <c r="AH501" s="99">
        <f>IF(ISNUMBER('General Info'!$B$42), (SamplingData[[#This Row],[Running (cumulative) sum]] * ('General Info'!$B$42 -'General Info'!$B$43 + 1)) + 'General Info'!$B$43 - 1, 0)</f>
        <v>400551.58661431674</v>
      </c>
      <c r="AI501" s="99" t="str">
        <f>IF(ISERROR(MATCH(SamplingData[[#This Row],[Batch by Type (p)]],SelectedPrecincts[Batch Name], 0)), "", INDEX(SelectedPrecincts[Draw], MATCH(SamplingData[[#This Row],[Batch by Type (p)]],SelectedPrecincts[Batch Name], 0)))</f>
        <v/>
      </c>
      <c r="AJ501" s="100">
        <f>IF(COUNTIF(SelectedPrecincts[Batch Name],SamplingData[[#This Row],[Batch by Type (p)]]) &lt;&gt; 0, COUNTIF(SelectedPrecincts[Batch Name],SamplingData[[#This Row],[Batch by Type (p)]]), 0)</f>
        <v>0</v>
      </c>
    </row>
    <row r="502" spans="1:36" ht="15" customHeight="1" x14ac:dyDescent="0.35">
      <c r="A502" s="97" t="s">
        <v>715</v>
      </c>
      <c r="B502" s="97">
        <v>111</v>
      </c>
      <c r="C502" s="97">
        <v>67</v>
      </c>
      <c r="D502" s="92"/>
      <c r="E502" s="92"/>
      <c r="F502" s="92"/>
      <c r="G502" s="96"/>
      <c r="H502" s="96"/>
      <c r="I502" s="92"/>
      <c r="J502" s="92"/>
      <c r="K502" s="92"/>
      <c r="L502" s="92"/>
      <c r="M502" s="92"/>
      <c r="N502" s="97">
        <v>0</v>
      </c>
      <c r="O502" s="97">
        <v>6</v>
      </c>
      <c r="P502" s="98">
        <f>SUM(SamplingData[[#This Row],[Winning Candidate]:[Under Votes]])</f>
        <v>184</v>
      </c>
      <c r="Q502" s="99">
        <f>IF(AND(SamplingData[[#This Row],[Total]]&lt;&gt; 0, NOT(ISBLANK(SamplingData[[#This Row],[Losing Candidate]]))),(SamplingData[[#This Row],[Total]]+SamplingData[[#This Row],[Winning Candidate]]-SamplingData[[#This Row],[Losing Candidate]])/(SamplingData[[#Totals],[Winning Candidate]]-SamplingData[[#Totals],[Losing Candidate]]), 0)</f>
        <v>9.6757766083856722E-3</v>
      </c>
      <c r="R502" s="99">
        <f>IF(AND(SamplingData[[#This Row],[Total]]&lt;&gt; 0, NOT(ISBLANK(SamplingData[[#This Row],[Candidate 3]]))),(SamplingData[[#This Row],[Total]]+SamplingData[[#This Row],[Winning Candidate]]-SamplingData[[#This Row],[Candidate 3]])/(SamplingData[[#Totals],[Winning Candidate]]-SamplingData[[#Totals],[Candidate 3]]), 0)</f>
        <v>0</v>
      </c>
      <c r="S502" s="99">
        <f>IF(AND(SamplingData[[#This Row],[Total]]&lt;&gt; 0, NOT(ISBLANK(SamplingData[[#This Row],[Candidate 4]]))),(SamplingData[[#This Row],[Total]]+SamplingData[[#This Row],[Winning Candidate]]-SamplingData[[#This Row],[Candidate 4]])/(SamplingData[[#Totals],[Winning Candidate]]-SamplingData[[#Totals],[Candidate 4]]), 0)</f>
        <v>0</v>
      </c>
      <c r="T502" s="99">
        <f>IF(AND(SamplingData[[#This Row],[Total]]&lt;&gt; 0, NOT(ISBLANK(SamplingData[[#This Row],[Candidate 5]]))),(SamplingData[[#This Row],[Total]]+SamplingData[[#This Row],[Winning Candidate]]-SamplingData[[#This Row],[Candidate 5]])/(SamplingData[[#Totals],[Winning Candidate]]-SamplingData[[#Totals],[Candidate 5]]), 0)</f>
        <v>0</v>
      </c>
      <c r="U502" s="99">
        <f>IF(AND(SamplingData[[#This Row],[Total]]&lt;&gt; 0, NOT(ISBLANK(SamplingData[[#This Row],[Candidate 6]]))),(SamplingData[[#This Row],[Total]]+SamplingData[[#This Row],[Losing Candidate]]-SamplingData[[#This Row],[Candidate 6]])/(SamplingData[[#Totals],[Winning Candidate]]-SamplingData[[#Totals],[Candidate 6]]), 0)</f>
        <v>0</v>
      </c>
      <c r="V502" s="99">
        <f>IF(AND(SamplingData[[#This Row],[Total]]&lt;&gt; 0, NOT(ISBLANK(SamplingData[[#This Row],[Candidate 7]]))),(SamplingData[[#This Row],[Total]]+SamplingData[[#This Row],[Winning Candidate]]-SamplingData[[#This Row],[Candidate 7]])/(SamplingData[[#Totals],[Winning Candidate]]-SamplingData[[#Totals],[Candidate 7]]), 0)</f>
        <v>0</v>
      </c>
      <c r="W502" s="99">
        <f>IF(AND(SamplingData[[#This Row],[Total]]&lt;&gt; 0, NOT(ISBLANK(SamplingData[[#This Row],[Candidate 8]]))),(SamplingData[[#This Row],[Total]]+SamplingData[[#This Row],[Winning Candidate]]-SamplingData[[#This Row],[Candidate 8]])/(SamplingData[[#Totals],[Winning Candidate]]-SamplingData[[#Totals],[Candidate 8]]), 0)</f>
        <v>0</v>
      </c>
      <c r="X5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2" s="99">
        <f>MAX(SamplingData[[#This Row],[Error Bound (up) - Max. possible relative overstatement - Losing Candidate]:[Error Bound (up) - Max. possible relative overstatement - Candidate 12]])</f>
        <v>9.6757766083856722E-3</v>
      </c>
      <c r="AC502" s="99">
        <f>IF(SamplingData[[#This Row],[Max Error Bound (up)]] = 0,0,SamplingData[[#This Row],[Max Error Bound (up)]]/SamplingData[[#Totals],[Max Error Bound (up)]])</f>
        <v>5.1804995092158423E-4</v>
      </c>
      <c r="AD502" s="103">
        <f>SUM($AC$5:AC502)</f>
        <v>0.40107063656523834</v>
      </c>
      <c r="AE502" s="99" t="str" cm="1">
        <f t="array" ref="AE502">IF(SamplingData[[#This Row],[up/U Selection Probability]] = 0, "Zero", TEXT(SamplingData[[#This Row],[Lower Range]], REPT("0",LEN('General Info'!$B$42))) &amp; " - " &amp; TEXT(SamplingData[[#This Row],[Upper Range]], REPT("0",LEN('General Info'!$B$42))))</f>
        <v>400553 - 401070</v>
      </c>
      <c r="AF502" s="99">
        <f>SamplingData[[#This Row],[Upper Range]]-SamplingData[[#This Row],[Span]]</f>
        <v>400552.5866143168</v>
      </c>
      <c r="AG502" s="99">
        <f>IF(ISNUMBER('General Info'!$B$42), ((SamplingData[[#This Row],[up/U Selection Probability]]) * 'General Info'!$B$44) - 1, 0)</f>
        <v>517.04995092158424</v>
      </c>
      <c r="AH502" s="99">
        <f>IF(ISNUMBER('General Info'!$B$42), (SamplingData[[#This Row],[Running (cumulative) sum]] * ('General Info'!$B$42 -'General Info'!$B$43 + 1)) + 'General Info'!$B$43 - 1, 0)</f>
        <v>401069.63656523835</v>
      </c>
      <c r="AI502" s="99" t="str">
        <f>IF(ISERROR(MATCH(SamplingData[[#This Row],[Batch by Type (p)]],SelectedPrecincts[Batch Name], 0)), "", INDEX(SelectedPrecincts[Draw], MATCH(SamplingData[[#This Row],[Batch by Type (p)]],SelectedPrecincts[Batch Name], 0)))</f>
        <v/>
      </c>
      <c r="AJ502" s="100">
        <f>IF(COUNTIF(SelectedPrecincts[Batch Name],SamplingData[[#This Row],[Batch by Type (p)]]) &lt;&gt; 0, COUNTIF(SelectedPrecincts[Batch Name],SamplingData[[#This Row],[Batch by Type (p)]]), 0)</f>
        <v>0</v>
      </c>
    </row>
    <row r="503" spans="1:36" ht="15" customHeight="1" x14ac:dyDescent="0.35">
      <c r="A503" s="97" t="s">
        <v>716</v>
      </c>
      <c r="B503" s="97">
        <v>306</v>
      </c>
      <c r="C503" s="97">
        <v>128</v>
      </c>
      <c r="D503" s="92"/>
      <c r="E503" s="92"/>
      <c r="F503" s="92"/>
      <c r="G503" s="96"/>
      <c r="H503" s="96"/>
      <c r="I503" s="92"/>
      <c r="J503" s="92"/>
      <c r="K503" s="92"/>
      <c r="L503" s="92"/>
      <c r="M503" s="92"/>
      <c r="N503" s="97">
        <v>0</v>
      </c>
      <c r="O503" s="97">
        <v>17</v>
      </c>
      <c r="P503" s="98">
        <f>SUM(SamplingData[[#This Row],[Winning Candidate]:[Under Votes]])</f>
        <v>451</v>
      </c>
      <c r="Q503" s="99">
        <f>IF(AND(SamplingData[[#This Row],[Total]]&lt;&gt; 0, NOT(ISBLANK(SamplingData[[#This Row],[Losing Candidate]]))),(SamplingData[[#This Row],[Total]]+SamplingData[[#This Row],[Winning Candidate]]-SamplingData[[#This Row],[Losing Candidate]])/(SamplingData[[#Totals],[Winning Candidate]]-SamplingData[[#Totals],[Losing Candidate]]), 0)</f>
        <v>2.6693260906467491E-2</v>
      </c>
      <c r="R503" s="99">
        <f>IF(AND(SamplingData[[#This Row],[Total]]&lt;&gt; 0, NOT(ISBLANK(SamplingData[[#This Row],[Candidate 3]]))),(SamplingData[[#This Row],[Total]]+SamplingData[[#This Row],[Winning Candidate]]-SamplingData[[#This Row],[Candidate 3]])/(SamplingData[[#Totals],[Winning Candidate]]-SamplingData[[#Totals],[Candidate 3]]), 0)</f>
        <v>0</v>
      </c>
      <c r="S503" s="99">
        <f>IF(AND(SamplingData[[#This Row],[Total]]&lt;&gt; 0, NOT(ISBLANK(SamplingData[[#This Row],[Candidate 4]]))),(SamplingData[[#This Row],[Total]]+SamplingData[[#This Row],[Winning Candidate]]-SamplingData[[#This Row],[Candidate 4]])/(SamplingData[[#Totals],[Winning Candidate]]-SamplingData[[#Totals],[Candidate 4]]), 0)</f>
        <v>0</v>
      </c>
      <c r="T503" s="99">
        <f>IF(AND(SamplingData[[#This Row],[Total]]&lt;&gt; 0, NOT(ISBLANK(SamplingData[[#This Row],[Candidate 5]]))),(SamplingData[[#This Row],[Total]]+SamplingData[[#This Row],[Winning Candidate]]-SamplingData[[#This Row],[Candidate 5]])/(SamplingData[[#Totals],[Winning Candidate]]-SamplingData[[#Totals],[Candidate 5]]), 0)</f>
        <v>0</v>
      </c>
      <c r="U503" s="99">
        <f>IF(AND(SamplingData[[#This Row],[Total]]&lt;&gt; 0, NOT(ISBLANK(SamplingData[[#This Row],[Candidate 6]]))),(SamplingData[[#This Row],[Total]]+SamplingData[[#This Row],[Losing Candidate]]-SamplingData[[#This Row],[Candidate 6]])/(SamplingData[[#Totals],[Winning Candidate]]-SamplingData[[#Totals],[Candidate 6]]), 0)</f>
        <v>0</v>
      </c>
      <c r="V503" s="99">
        <f>IF(AND(SamplingData[[#This Row],[Total]]&lt;&gt; 0, NOT(ISBLANK(SamplingData[[#This Row],[Candidate 7]]))),(SamplingData[[#This Row],[Total]]+SamplingData[[#This Row],[Winning Candidate]]-SamplingData[[#This Row],[Candidate 7]])/(SamplingData[[#Totals],[Winning Candidate]]-SamplingData[[#Totals],[Candidate 7]]), 0)</f>
        <v>0</v>
      </c>
      <c r="W503" s="99">
        <f>IF(AND(SamplingData[[#This Row],[Total]]&lt;&gt; 0, NOT(ISBLANK(SamplingData[[#This Row],[Candidate 8]]))),(SamplingData[[#This Row],[Total]]+SamplingData[[#This Row],[Winning Candidate]]-SamplingData[[#This Row],[Candidate 8]])/(SamplingData[[#Totals],[Winning Candidate]]-SamplingData[[#Totals],[Candidate 8]]), 0)</f>
        <v>0</v>
      </c>
      <c r="X5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3" s="99">
        <f>MAX(SamplingData[[#This Row],[Error Bound (up) - Max. possible relative overstatement - Losing Candidate]:[Error Bound (up) - Max. possible relative overstatement - Candidate 12]])</f>
        <v>2.6693260906467491E-2</v>
      </c>
      <c r="AC503" s="99">
        <f>IF(SamplingData[[#This Row],[Max Error Bound (up)]] = 0,0,SamplingData[[#This Row],[Max Error Bound (up)]]/SamplingData[[#Totals],[Max Error Bound (up)]])</f>
        <v>1.4291816628494583E-3</v>
      </c>
      <c r="AD503" s="103">
        <f>SUM($AC$5:AC503)</f>
        <v>0.40249981822808778</v>
      </c>
      <c r="AE503" s="99" t="str" cm="1">
        <f t="array" ref="AE503">IF(SamplingData[[#This Row],[up/U Selection Probability]] = 0, "Zero", TEXT(SamplingData[[#This Row],[Lower Range]], REPT("0",LEN('General Info'!$B$42))) &amp; " - " &amp; TEXT(SamplingData[[#This Row],[Upper Range]], REPT("0",LEN('General Info'!$B$42))))</f>
        <v>401071 - 402499</v>
      </c>
      <c r="AF503" s="99">
        <f>SamplingData[[#This Row],[Upper Range]]-SamplingData[[#This Row],[Span]]</f>
        <v>401070.63656523835</v>
      </c>
      <c r="AG503" s="99">
        <f>IF(ISNUMBER('General Info'!$B$42), ((SamplingData[[#This Row],[up/U Selection Probability]]) * 'General Info'!$B$44) - 1, 0)</f>
        <v>1428.1816628494582</v>
      </c>
      <c r="AH503" s="99">
        <f>IF(ISNUMBER('General Info'!$B$42), (SamplingData[[#This Row],[Running (cumulative) sum]] * ('General Info'!$B$42 -'General Info'!$B$43 + 1)) + 'General Info'!$B$43 - 1, 0)</f>
        <v>402498.8182280878</v>
      </c>
      <c r="AI503" s="99" t="str">
        <f>IF(ISERROR(MATCH(SamplingData[[#This Row],[Batch by Type (p)]],SelectedPrecincts[Batch Name], 0)), "", INDEX(SelectedPrecincts[Draw], MATCH(SamplingData[[#This Row],[Batch by Type (p)]],SelectedPrecincts[Batch Name], 0)))</f>
        <v/>
      </c>
      <c r="AJ503" s="100">
        <f>IF(COUNTIF(SelectedPrecincts[Batch Name],SamplingData[[#This Row],[Batch by Type (p)]]) &lt;&gt; 0, COUNTIF(SelectedPrecincts[Batch Name],SamplingData[[#This Row],[Batch by Type (p)]]), 0)</f>
        <v>0</v>
      </c>
    </row>
    <row r="504" spans="1:36" ht="15" customHeight="1" x14ac:dyDescent="0.35">
      <c r="A504" s="97" t="s">
        <v>717</v>
      </c>
      <c r="B504" s="97">
        <v>397</v>
      </c>
      <c r="C504" s="97">
        <v>83</v>
      </c>
      <c r="D504" s="92"/>
      <c r="E504" s="92"/>
      <c r="F504" s="92"/>
      <c r="G504" s="96"/>
      <c r="H504" s="96"/>
      <c r="I504" s="92"/>
      <c r="J504" s="92"/>
      <c r="K504" s="92"/>
      <c r="L504" s="92"/>
      <c r="M504" s="92"/>
      <c r="N504" s="97">
        <v>1</v>
      </c>
      <c r="O504" s="97">
        <v>18</v>
      </c>
      <c r="P504" s="98">
        <f>SUM(SamplingData[[#This Row],[Winning Candidate]:[Under Votes]])</f>
        <v>499</v>
      </c>
      <c r="Q504" s="99">
        <f>IF(AND(SamplingData[[#This Row],[Total]]&lt;&gt; 0, NOT(ISBLANK(SamplingData[[#This Row],[Losing Candidate]]))),(SamplingData[[#This Row],[Total]]+SamplingData[[#This Row],[Winning Candidate]]-SamplingData[[#This Row],[Losing Candidate]])/(SamplingData[[#Totals],[Winning Candidate]]-SamplingData[[#Totals],[Losing Candidate]]), 0)</f>
        <v>3.4501782379901542E-2</v>
      </c>
      <c r="R504" s="99">
        <f>IF(AND(SamplingData[[#This Row],[Total]]&lt;&gt; 0, NOT(ISBLANK(SamplingData[[#This Row],[Candidate 3]]))),(SamplingData[[#This Row],[Total]]+SamplingData[[#This Row],[Winning Candidate]]-SamplingData[[#This Row],[Candidate 3]])/(SamplingData[[#Totals],[Winning Candidate]]-SamplingData[[#Totals],[Candidate 3]]), 0)</f>
        <v>0</v>
      </c>
      <c r="S504" s="99">
        <f>IF(AND(SamplingData[[#This Row],[Total]]&lt;&gt; 0, NOT(ISBLANK(SamplingData[[#This Row],[Candidate 4]]))),(SamplingData[[#This Row],[Total]]+SamplingData[[#This Row],[Winning Candidate]]-SamplingData[[#This Row],[Candidate 4]])/(SamplingData[[#Totals],[Winning Candidate]]-SamplingData[[#Totals],[Candidate 4]]), 0)</f>
        <v>0</v>
      </c>
      <c r="T504" s="99">
        <f>IF(AND(SamplingData[[#This Row],[Total]]&lt;&gt; 0, NOT(ISBLANK(SamplingData[[#This Row],[Candidate 5]]))),(SamplingData[[#This Row],[Total]]+SamplingData[[#This Row],[Winning Candidate]]-SamplingData[[#This Row],[Candidate 5]])/(SamplingData[[#Totals],[Winning Candidate]]-SamplingData[[#Totals],[Candidate 5]]), 0)</f>
        <v>0</v>
      </c>
      <c r="U504" s="99">
        <f>IF(AND(SamplingData[[#This Row],[Total]]&lt;&gt; 0, NOT(ISBLANK(SamplingData[[#This Row],[Candidate 6]]))),(SamplingData[[#This Row],[Total]]+SamplingData[[#This Row],[Losing Candidate]]-SamplingData[[#This Row],[Candidate 6]])/(SamplingData[[#Totals],[Winning Candidate]]-SamplingData[[#Totals],[Candidate 6]]), 0)</f>
        <v>0</v>
      </c>
      <c r="V504" s="99">
        <f>IF(AND(SamplingData[[#This Row],[Total]]&lt;&gt; 0, NOT(ISBLANK(SamplingData[[#This Row],[Candidate 7]]))),(SamplingData[[#This Row],[Total]]+SamplingData[[#This Row],[Winning Candidate]]-SamplingData[[#This Row],[Candidate 7]])/(SamplingData[[#Totals],[Winning Candidate]]-SamplingData[[#Totals],[Candidate 7]]), 0)</f>
        <v>0</v>
      </c>
      <c r="W504" s="99">
        <f>IF(AND(SamplingData[[#This Row],[Total]]&lt;&gt; 0, NOT(ISBLANK(SamplingData[[#This Row],[Candidate 8]]))),(SamplingData[[#This Row],[Total]]+SamplingData[[#This Row],[Winning Candidate]]-SamplingData[[#This Row],[Candidate 8]])/(SamplingData[[#Totals],[Winning Candidate]]-SamplingData[[#Totals],[Candidate 8]]), 0)</f>
        <v>0</v>
      </c>
      <c r="X5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4" s="99">
        <f>MAX(SamplingData[[#This Row],[Error Bound (up) - Max. possible relative overstatement - Losing Candidate]:[Error Bound (up) - Max. possible relative overstatement - Candidate 12]])</f>
        <v>3.4501782379901542E-2</v>
      </c>
      <c r="AC504" s="99">
        <f>IF(SamplingData[[#This Row],[Max Error Bound (up)]] = 0,0,SamplingData[[#This Row],[Max Error Bound (up)]]/SamplingData[[#Totals],[Max Error Bound (up)]])</f>
        <v>1.847257061838807E-3</v>
      </c>
      <c r="AD504" s="103">
        <f>SUM($AC$5:AC504)</f>
        <v>0.40434707528992658</v>
      </c>
      <c r="AE504" s="99" t="str" cm="1">
        <f t="array" ref="AE504">IF(SamplingData[[#This Row],[up/U Selection Probability]] = 0, "Zero", TEXT(SamplingData[[#This Row],[Lower Range]], REPT("0",LEN('General Info'!$B$42))) &amp; " - " &amp; TEXT(SamplingData[[#This Row],[Upper Range]], REPT("0",LEN('General Info'!$B$42))))</f>
        <v>402500 - 404346</v>
      </c>
      <c r="AF504" s="99">
        <f>SamplingData[[#This Row],[Upper Range]]-SamplingData[[#This Row],[Span]]</f>
        <v>402499.8182280878</v>
      </c>
      <c r="AG504" s="99">
        <f>IF(ISNUMBER('General Info'!$B$42), ((SamplingData[[#This Row],[up/U Selection Probability]]) * 'General Info'!$B$44) - 1, 0)</f>
        <v>1846.257061838807</v>
      </c>
      <c r="AH504" s="99">
        <f>IF(ISNUMBER('General Info'!$B$42), (SamplingData[[#This Row],[Running (cumulative) sum]] * ('General Info'!$B$42 -'General Info'!$B$43 + 1)) + 'General Info'!$B$43 - 1, 0)</f>
        <v>404346.07528992661</v>
      </c>
      <c r="AI504" s="99" t="str">
        <f>IF(ISERROR(MATCH(SamplingData[[#This Row],[Batch by Type (p)]],SelectedPrecincts[Batch Name], 0)), "", INDEX(SelectedPrecincts[Draw], MATCH(SamplingData[[#This Row],[Batch by Type (p)]],SelectedPrecincts[Batch Name], 0)))</f>
        <v/>
      </c>
      <c r="AJ504" s="100">
        <f>IF(COUNTIF(SelectedPrecincts[Batch Name],SamplingData[[#This Row],[Batch by Type (p)]]) &lt;&gt; 0, COUNTIF(SelectedPrecincts[Batch Name],SamplingData[[#This Row],[Batch by Type (p)]]), 0)</f>
        <v>0</v>
      </c>
    </row>
    <row r="505" spans="1:36" ht="15" customHeight="1" x14ac:dyDescent="0.35">
      <c r="A505" s="97" t="s">
        <v>718</v>
      </c>
      <c r="B505" s="97">
        <v>313</v>
      </c>
      <c r="C505" s="97">
        <v>92</v>
      </c>
      <c r="D505" s="92"/>
      <c r="E505" s="92"/>
      <c r="F505" s="92"/>
      <c r="G505" s="96"/>
      <c r="H505" s="96"/>
      <c r="I505" s="92"/>
      <c r="J505" s="92"/>
      <c r="K505" s="92"/>
      <c r="L505" s="92"/>
      <c r="M505" s="92"/>
      <c r="N505" s="97">
        <v>1</v>
      </c>
      <c r="O505" s="97">
        <v>17</v>
      </c>
      <c r="P505" s="98">
        <f>SUM(SamplingData[[#This Row],[Winning Candidate]:[Under Votes]])</f>
        <v>423</v>
      </c>
      <c r="Q505" s="99">
        <f>IF(AND(SamplingData[[#This Row],[Total]]&lt;&gt; 0, NOT(ISBLANK(SamplingData[[#This Row],[Losing Candidate]]))),(SamplingData[[#This Row],[Total]]+SamplingData[[#This Row],[Winning Candidate]]-SamplingData[[#This Row],[Losing Candidate]])/(SamplingData[[#Totals],[Winning Candidate]]-SamplingData[[#Totals],[Losing Candidate]]), 0)</f>
        <v>2.7329825157019181E-2</v>
      </c>
      <c r="R505" s="99">
        <f>IF(AND(SamplingData[[#This Row],[Total]]&lt;&gt; 0, NOT(ISBLANK(SamplingData[[#This Row],[Candidate 3]]))),(SamplingData[[#This Row],[Total]]+SamplingData[[#This Row],[Winning Candidate]]-SamplingData[[#This Row],[Candidate 3]])/(SamplingData[[#Totals],[Winning Candidate]]-SamplingData[[#Totals],[Candidate 3]]), 0)</f>
        <v>0</v>
      </c>
      <c r="S505" s="99">
        <f>IF(AND(SamplingData[[#This Row],[Total]]&lt;&gt; 0, NOT(ISBLANK(SamplingData[[#This Row],[Candidate 4]]))),(SamplingData[[#This Row],[Total]]+SamplingData[[#This Row],[Winning Candidate]]-SamplingData[[#This Row],[Candidate 4]])/(SamplingData[[#Totals],[Winning Candidate]]-SamplingData[[#Totals],[Candidate 4]]), 0)</f>
        <v>0</v>
      </c>
      <c r="T505" s="99">
        <f>IF(AND(SamplingData[[#This Row],[Total]]&lt;&gt; 0, NOT(ISBLANK(SamplingData[[#This Row],[Candidate 5]]))),(SamplingData[[#This Row],[Total]]+SamplingData[[#This Row],[Winning Candidate]]-SamplingData[[#This Row],[Candidate 5]])/(SamplingData[[#Totals],[Winning Candidate]]-SamplingData[[#Totals],[Candidate 5]]), 0)</f>
        <v>0</v>
      </c>
      <c r="U505" s="99">
        <f>IF(AND(SamplingData[[#This Row],[Total]]&lt;&gt; 0, NOT(ISBLANK(SamplingData[[#This Row],[Candidate 6]]))),(SamplingData[[#This Row],[Total]]+SamplingData[[#This Row],[Losing Candidate]]-SamplingData[[#This Row],[Candidate 6]])/(SamplingData[[#Totals],[Winning Candidate]]-SamplingData[[#Totals],[Candidate 6]]), 0)</f>
        <v>0</v>
      </c>
      <c r="V505" s="99">
        <f>IF(AND(SamplingData[[#This Row],[Total]]&lt;&gt; 0, NOT(ISBLANK(SamplingData[[#This Row],[Candidate 7]]))),(SamplingData[[#This Row],[Total]]+SamplingData[[#This Row],[Winning Candidate]]-SamplingData[[#This Row],[Candidate 7]])/(SamplingData[[#Totals],[Winning Candidate]]-SamplingData[[#Totals],[Candidate 7]]), 0)</f>
        <v>0</v>
      </c>
      <c r="W505" s="99">
        <f>IF(AND(SamplingData[[#This Row],[Total]]&lt;&gt; 0, NOT(ISBLANK(SamplingData[[#This Row],[Candidate 8]]))),(SamplingData[[#This Row],[Total]]+SamplingData[[#This Row],[Winning Candidate]]-SamplingData[[#This Row],[Candidate 8]])/(SamplingData[[#Totals],[Winning Candidate]]-SamplingData[[#Totals],[Candidate 8]]), 0)</f>
        <v>0</v>
      </c>
      <c r="X5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5" s="99">
        <f>MAX(SamplingData[[#This Row],[Error Bound (up) - Max. possible relative overstatement - Losing Candidate]:[Error Bound (up) - Max. possible relative overstatement - Candidate 12]])</f>
        <v>2.7329825157019181E-2</v>
      </c>
      <c r="AC505" s="99">
        <f>IF(SamplingData[[#This Row],[Max Error Bound (up)]] = 0,0,SamplingData[[#This Row],[Max Error Bound (up)]]/SamplingData[[#Totals],[Max Error Bound (up)]])</f>
        <v>1.4632638964627205E-3</v>
      </c>
      <c r="AD505" s="103">
        <f>SUM($AC$5:AC505)</f>
        <v>0.40581033918638931</v>
      </c>
      <c r="AE505" s="99" t="str" cm="1">
        <f t="array" ref="AE505">IF(SamplingData[[#This Row],[up/U Selection Probability]] = 0, "Zero", TEXT(SamplingData[[#This Row],[Lower Range]], REPT("0",LEN('General Info'!$B$42))) &amp; " - " &amp; TEXT(SamplingData[[#This Row],[Upper Range]], REPT("0",LEN('General Info'!$B$42))))</f>
        <v>404347 - 405809</v>
      </c>
      <c r="AF505" s="99">
        <f>SamplingData[[#This Row],[Upper Range]]-SamplingData[[#This Row],[Span]]</f>
        <v>404347.07528992655</v>
      </c>
      <c r="AG505" s="99">
        <f>IF(ISNUMBER('General Info'!$B$42), ((SamplingData[[#This Row],[up/U Selection Probability]]) * 'General Info'!$B$44) - 1, 0)</f>
        <v>1462.2638964627206</v>
      </c>
      <c r="AH505" s="99">
        <f>IF(ISNUMBER('General Info'!$B$42), (SamplingData[[#This Row],[Running (cumulative) sum]] * ('General Info'!$B$42 -'General Info'!$B$43 + 1)) + 'General Info'!$B$43 - 1, 0)</f>
        <v>405809.33918638929</v>
      </c>
      <c r="AI505" s="99" t="str">
        <f>IF(ISERROR(MATCH(SamplingData[[#This Row],[Batch by Type (p)]],SelectedPrecincts[Batch Name], 0)), "", INDEX(SelectedPrecincts[Draw], MATCH(SamplingData[[#This Row],[Batch by Type (p)]],SelectedPrecincts[Batch Name], 0)))</f>
        <v/>
      </c>
      <c r="AJ505" s="100">
        <f>IF(COUNTIF(SelectedPrecincts[Batch Name],SamplingData[[#This Row],[Batch by Type (p)]]) &lt;&gt; 0, COUNTIF(SelectedPrecincts[Batch Name],SamplingData[[#This Row],[Batch by Type (p)]]), 0)</f>
        <v>0</v>
      </c>
    </row>
    <row r="506" spans="1:36" ht="15" customHeight="1" x14ac:dyDescent="0.35">
      <c r="A506" s="97" t="s">
        <v>719</v>
      </c>
      <c r="B506" s="97">
        <v>105</v>
      </c>
      <c r="C506" s="97">
        <v>19</v>
      </c>
      <c r="D506" s="92"/>
      <c r="E506" s="92"/>
      <c r="F506" s="92"/>
      <c r="G506" s="96"/>
      <c r="H506" s="96"/>
      <c r="I506" s="92"/>
      <c r="J506" s="92"/>
      <c r="K506" s="92"/>
      <c r="L506" s="92"/>
      <c r="M506" s="92"/>
      <c r="N506" s="97">
        <v>0</v>
      </c>
      <c r="O506" s="97">
        <v>7</v>
      </c>
      <c r="P506" s="98">
        <f>SUM(SamplingData[[#This Row],[Winning Candidate]:[Under Votes]])</f>
        <v>131</v>
      </c>
      <c r="Q506" s="99">
        <f>IF(AND(SamplingData[[#This Row],[Total]]&lt;&gt; 0, NOT(ISBLANK(SamplingData[[#This Row],[Losing Candidate]]))),(SamplingData[[#This Row],[Total]]+SamplingData[[#This Row],[Winning Candidate]]-SamplingData[[#This Row],[Losing Candidate]])/(SamplingData[[#Totals],[Winning Candidate]]-SamplingData[[#Totals],[Losing Candidate]]), 0)</f>
        <v>9.2089628246477678E-3</v>
      </c>
      <c r="R506" s="99">
        <f>IF(AND(SamplingData[[#This Row],[Total]]&lt;&gt; 0, NOT(ISBLANK(SamplingData[[#This Row],[Candidate 3]]))),(SamplingData[[#This Row],[Total]]+SamplingData[[#This Row],[Winning Candidate]]-SamplingData[[#This Row],[Candidate 3]])/(SamplingData[[#Totals],[Winning Candidate]]-SamplingData[[#Totals],[Candidate 3]]), 0)</f>
        <v>0</v>
      </c>
      <c r="S506" s="99">
        <f>IF(AND(SamplingData[[#This Row],[Total]]&lt;&gt; 0, NOT(ISBLANK(SamplingData[[#This Row],[Candidate 4]]))),(SamplingData[[#This Row],[Total]]+SamplingData[[#This Row],[Winning Candidate]]-SamplingData[[#This Row],[Candidate 4]])/(SamplingData[[#Totals],[Winning Candidate]]-SamplingData[[#Totals],[Candidate 4]]), 0)</f>
        <v>0</v>
      </c>
      <c r="T506" s="99">
        <f>IF(AND(SamplingData[[#This Row],[Total]]&lt;&gt; 0, NOT(ISBLANK(SamplingData[[#This Row],[Candidate 5]]))),(SamplingData[[#This Row],[Total]]+SamplingData[[#This Row],[Winning Candidate]]-SamplingData[[#This Row],[Candidate 5]])/(SamplingData[[#Totals],[Winning Candidate]]-SamplingData[[#Totals],[Candidate 5]]), 0)</f>
        <v>0</v>
      </c>
      <c r="U506" s="99">
        <f>IF(AND(SamplingData[[#This Row],[Total]]&lt;&gt; 0, NOT(ISBLANK(SamplingData[[#This Row],[Candidate 6]]))),(SamplingData[[#This Row],[Total]]+SamplingData[[#This Row],[Losing Candidate]]-SamplingData[[#This Row],[Candidate 6]])/(SamplingData[[#Totals],[Winning Candidate]]-SamplingData[[#Totals],[Candidate 6]]), 0)</f>
        <v>0</v>
      </c>
      <c r="V506" s="99">
        <f>IF(AND(SamplingData[[#This Row],[Total]]&lt;&gt; 0, NOT(ISBLANK(SamplingData[[#This Row],[Candidate 7]]))),(SamplingData[[#This Row],[Total]]+SamplingData[[#This Row],[Winning Candidate]]-SamplingData[[#This Row],[Candidate 7]])/(SamplingData[[#Totals],[Winning Candidate]]-SamplingData[[#Totals],[Candidate 7]]), 0)</f>
        <v>0</v>
      </c>
      <c r="W506" s="99">
        <f>IF(AND(SamplingData[[#This Row],[Total]]&lt;&gt; 0, NOT(ISBLANK(SamplingData[[#This Row],[Candidate 8]]))),(SamplingData[[#This Row],[Total]]+SamplingData[[#This Row],[Winning Candidate]]-SamplingData[[#This Row],[Candidate 8]])/(SamplingData[[#Totals],[Winning Candidate]]-SamplingData[[#Totals],[Candidate 8]]), 0)</f>
        <v>0</v>
      </c>
      <c r="X5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6" s="99">
        <f>MAX(SamplingData[[#This Row],[Error Bound (up) - Max. possible relative overstatement - Losing Candidate]:[Error Bound (up) - Max. possible relative overstatement - Candidate 12]])</f>
        <v>9.2089628246477678E-3</v>
      </c>
      <c r="AC506" s="99">
        <f>IF(SamplingData[[#This Row],[Max Error Bound (up)]] = 0,0,SamplingData[[#This Row],[Max Error Bound (up)]]/SamplingData[[#Totals],[Max Error Bound (up)]])</f>
        <v>4.9305631293852542E-4</v>
      </c>
      <c r="AD506" s="103">
        <f>SUM($AC$5:AC506)</f>
        <v>0.40630339549932781</v>
      </c>
      <c r="AE506" s="99" t="str" cm="1">
        <f t="array" ref="AE506">IF(SamplingData[[#This Row],[up/U Selection Probability]] = 0, "Zero", TEXT(SamplingData[[#This Row],[Lower Range]], REPT("0",LEN('General Info'!$B$42))) &amp; " - " &amp; TEXT(SamplingData[[#This Row],[Upper Range]], REPT("0",LEN('General Info'!$B$42))))</f>
        <v>405810 - 406302</v>
      </c>
      <c r="AF506" s="99">
        <f>SamplingData[[#This Row],[Upper Range]]-SamplingData[[#This Row],[Span]]</f>
        <v>405810.33918638929</v>
      </c>
      <c r="AG506" s="99">
        <f>IF(ISNUMBER('General Info'!$B$42), ((SamplingData[[#This Row],[up/U Selection Probability]]) * 'General Info'!$B$44) - 1, 0)</f>
        <v>492.05631293852542</v>
      </c>
      <c r="AH506" s="99">
        <f>IF(ISNUMBER('General Info'!$B$42), (SamplingData[[#This Row],[Running (cumulative) sum]] * ('General Info'!$B$42 -'General Info'!$B$43 + 1)) + 'General Info'!$B$43 - 1, 0)</f>
        <v>406302.3954993278</v>
      </c>
      <c r="AI506" s="99" t="str">
        <f>IF(ISERROR(MATCH(SamplingData[[#This Row],[Batch by Type (p)]],SelectedPrecincts[Batch Name], 0)), "", INDEX(SelectedPrecincts[Draw], MATCH(SamplingData[[#This Row],[Batch by Type (p)]],SelectedPrecincts[Batch Name], 0)))</f>
        <v/>
      </c>
      <c r="AJ506" s="100">
        <f>IF(COUNTIF(SelectedPrecincts[Batch Name],SamplingData[[#This Row],[Batch by Type (p)]]) &lt;&gt; 0, COUNTIF(SelectedPrecincts[Batch Name],SamplingData[[#This Row],[Batch by Type (p)]]), 0)</f>
        <v>0</v>
      </c>
    </row>
    <row r="507" spans="1:36" ht="15" customHeight="1" x14ac:dyDescent="0.35">
      <c r="A507" s="97" t="s">
        <v>720</v>
      </c>
      <c r="B507" s="97">
        <v>112</v>
      </c>
      <c r="C507" s="97">
        <v>66</v>
      </c>
      <c r="D507" s="92"/>
      <c r="E507" s="92"/>
      <c r="F507" s="92"/>
      <c r="G507" s="96"/>
      <c r="H507" s="96"/>
      <c r="I507" s="92"/>
      <c r="J507" s="92"/>
      <c r="K507" s="92"/>
      <c r="L507" s="92"/>
      <c r="M507" s="92"/>
      <c r="N507" s="97">
        <v>0</v>
      </c>
      <c r="O507" s="97">
        <v>10</v>
      </c>
      <c r="P507" s="98">
        <f>SUM(SamplingData[[#This Row],[Winning Candidate]:[Under Votes]])</f>
        <v>188</v>
      </c>
      <c r="Q507" s="99">
        <f>IF(AND(SamplingData[[#This Row],[Total]]&lt;&gt; 0, NOT(ISBLANK(SamplingData[[#This Row],[Losing Candidate]]))),(SamplingData[[#This Row],[Total]]+SamplingData[[#This Row],[Winning Candidate]]-SamplingData[[#This Row],[Losing Candidate]])/(SamplingData[[#Totals],[Winning Candidate]]-SamplingData[[#Totals],[Losing Candidate]]), 0)</f>
        <v>9.9304023086063484E-3</v>
      </c>
      <c r="R507" s="99">
        <f>IF(AND(SamplingData[[#This Row],[Total]]&lt;&gt; 0, NOT(ISBLANK(SamplingData[[#This Row],[Candidate 3]]))),(SamplingData[[#This Row],[Total]]+SamplingData[[#This Row],[Winning Candidate]]-SamplingData[[#This Row],[Candidate 3]])/(SamplingData[[#Totals],[Winning Candidate]]-SamplingData[[#Totals],[Candidate 3]]), 0)</f>
        <v>0</v>
      </c>
      <c r="S507" s="99">
        <f>IF(AND(SamplingData[[#This Row],[Total]]&lt;&gt; 0, NOT(ISBLANK(SamplingData[[#This Row],[Candidate 4]]))),(SamplingData[[#This Row],[Total]]+SamplingData[[#This Row],[Winning Candidate]]-SamplingData[[#This Row],[Candidate 4]])/(SamplingData[[#Totals],[Winning Candidate]]-SamplingData[[#Totals],[Candidate 4]]), 0)</f>
        <v>0</v>
      </c>
      <c r="T507" s="99">
        <f>IF(AND(SamplingData[[#This Row],[Total]]&lt;&gt; 0, NOT(ISBLANK(SamplingData[[#This Row],[Candidate 5]]))),(SamplingData[[#This Row],[Total]]+SamplingData[[#This Row],[Winning Candidate]]-SamplingData[[#This Row],[Candidate 5]])/(SamplingData[[#Totals],[Winning Candidate]]-SamplingData[[#Totals],[Candidate 5]]), 0)</f>
        <v>0</v>
      </c>
      <c r="U507" s="99">
        <f>IF(AND(SamplingData[[#This Row],[Total]]&lt;&gt; 0, NOT(ISBLANK(SamplingData[[#This Row],[Candidate 6]]))),(SamplingData[[#This Row],[Total]]+SamplingData[[#This Row],[Losing Candidate]]-SamplingData[[#This Row],[Candidate 6]])/(SamplingData[[#Totals],[Winning Candidate]]-SamplingData[[#Totals],[Candidate 6]]), 0)</f>
        <v>0</v>
      </c>
      <c r="V507" s="99">
        <f>IF(AND(SamplingData[[#This Row],[Total]]&lt;&gt; 0, NOT(ISBLANK(SamplingData[[#This Row],[Candidate 7]]))),(SamplingData[[#This Row],[Total]]+SamplingData[[#This Row],[Winning Candidate]]-SamplingData[[#This Row],[Candidate 7]])/(SamplingData[[#Totals],[Winning Candidate]]-SamplingData[[#Totals],[Candidate 7]]), 0)</f>
        <v>0</v>
      </c>
      <c r="W507" s="99">
        <f>IF(AND(SamplingData[[#This Row],[Total]]&lt;&gt; 0, NOT(ISBLANK(SamplingData[[#This Row],[Candidate 8]]))),(SamplingData[[#This Row],[Total]]+SamplingData[[#This Row],[Winning Candidate]]-SamplingData[[#This Row],[Candidate 8]])/(SamplingData[[#Totals],[Winning Candidate]]-SamplingData[[#Totals],[Candidate 8]]), 0)</f>
        <v>0</v>
      </c>
      <c r="X5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7" s="99">
        <f>MAX(SamplingData[[#This Row],[Error Bound (up) - Max. possible relative overstatement - Losing Candidate]:[Error Bound (up) - Max. possible relative overstatement - Candidate 12]])</f>
        <v>9.9304023086063484E-3</v>
      </c>
      <c r="AC507" s="99">
        <f>IF(SamplingData[[#This Row],[Max Error Bound (up)]] = 0,0,SamplingData[[#This Row],[Max Error Bound (up)]]/SamplingData[[#Totals],[Max Error Bound (up)]])</f>
        <v>5.3168284436688913E-4</v>
      </c>
      <c r="AD507" s="103">
        <f>SUM($AC$5:AC507)</f>
        <v>0.4068350783436947</v>
      </c>
      <c r="AE507" s="99" t="str" cm="1">
        <f t="array" ref="AE507">IF(SamplingData[[#This Row],[up/U Selection Probability]] = 0, "Zero", TEXT(SamplingData[[#This Row],[Lower Range]], REPT("0",LEN('General Info'!$B$42))) &amp; " - " &amp; TEXT(SamplingData[[#This Row],[Upper Range]], REPT("0",LEN('General Info'!$B$42))))</f>
        <v>406303 - 406834</v>
      </c>
      <c r="AF507" s="99">
        <f>SamplingData[[#This Row],[Upper Range]]-SamplingData[[#This Row],[Span]]</f>
        <v>406303.3954993278</v>
      </c>
      <c r="AG507" s="99">
        <f>IF(ISNUMBER('General Info'!$B$42), ((SamplingData[[#This Row],[up/U Selection Probability]]) * 'General Info'!$B$44) - 1, 0)</f>
        <v>530.68284436688919</v>
      </c>
      <c r="AH507" s="99">
        <f>IF(ISNUMBER('General Info'!$B$42), (SamplingData[[#This Row],[Running (cumulative) sum]] * ('General Info'!$B$42 -'General Info'!$B$43 + 1)) + 'General Info'!$B$43 - 1, 0)</f>
        <v>406834.07834369468</v>
      </c>
      <c r="AI507" s="99" t="str">
        <f>IF(ISERROR(MATCH(SamplingData[[#This Row],[Batch by Type (p)]],SelectedPrecincts[Batch Name], 0)), "", INDEX(SelectedPrecincts[Draw], MATCH(SamplingData[[#This Row],[Batch by Type (p)]],SelectedPrecincts[Batch Name], 0)))</f>
        <v/>
      </c>
      <c r="AJ507" s="100">
        <f>IF(COUNTIF(SelectedPrecincts[Batch Name],SamplingData[[#This Row],[Batch by Type (p)]]) &lt;&gt; 0, COUNTIF(SelectedPrecincts[Batch Name],SamplingData[[#This Row],[Batch by Type (p)]]), 0)</f>
        <v>0</v>
      </c>
    </row>
    <row r="508" spans="1:36" ht="15" customHeight="1" x14ac:dyDescent="0.35">
      <c r="A508" s="97" t="s">
        <v>721</v>
      </c>
      <c r="B508" s="97">
        <v>310</v>
      </c>
      <c r="C508" s="97">
        <v>112</v>
      </c>
      <c r="D508" s="92"/>
      <c r="E508" s="92"/>
      <c r="F508" s="92"/>
      <c r="G508" s="96"/>
      <c r="H508" s="96"/>
      <c r="I508" s="92"/>
      <c r="J508" s="92"/>
      <c r="K508" s="92"/>
      <c r="L508" s="92"/>
      <c r="M508" s="92"/>
      <c r="N508" s="97">
        <v>0</v>
      </c>
      <c r="O508" s="97">
        <v>18</v>
      </c>
      <c r="P508" s="98">
        <f>SUM(SamplingData[[#This Row],[Winning Candidate]:[Under Votes]])</f>
        <v>440</v>
      </c>
      <c r="Q508" s="99">
        <f>IF(AND(SamplingData[[#This Row],[Total]]&lt;&gt; 0, NOT(ISBLANK(SamplingData[[#This Row],[Losing Candidate]]))),(SamplingData[[#This Row],[Total]]+SamplingData[[#This Row],[Winning Candidate]]-SamplingData[[#This Row],[Losing Candidate]])/(SamplingData[[#Totals],[Winning Candidate]]-SamplingData[[#Totals],[Losing Candidate]]), 0)</f>
        <v>2.7075199456798506E-2</v>
      </c>
      <c r="R508" s="99">
        <f>IF(AND(SamplingData[[#This Row],[Total]]&lt;&gt; 0, NOT(ISBLANK(SamplingData[[#This Row],[Candidate 3]]))),(SamplingData[[#This Row],[Total]]+SamplingData[[#This Row],[Winning Candidate]]-SamplingData[[#This Row],[Candidate 3]])/(SamplingData[[#Totals],[Winning Candidate]]-SamplingData[[#Totals],[Candidate 3]]), 0)</f>
        <v>0</v>
      </c>
      <c r="S508" s="99">
        <f>IF(AND(SamplingData[[#This Row],[Total]]&lt;&gt; 0, NOT(ISBLANK(SamplingData[[#This Row],[Candidate 4]]))),(SamplingData[[#This Row],[Total]]+SamplingData[[#This Row],[Winning Candidate]]-SamplingData[[#This Row],[Candidate 4]])/(SamplingData[[#Totals],[Winning Candidate]]-SamplingData[[#Totals],[Candidate 4]]), 0)</f>
        <v>0</v>
      </c>
      <c r="T508" s="99">
        <f>IF(AND(SamplingData[[#This Row],[Total]]&lt;&gt; 0, NOT(ISBLANK(SamplingData[[#This Row],[Candidate 5]]))),(SamplingData[[#This Row],[Total]]+SamplingData[[#This Row],[Winning Candidate]]-SamplingData[[#This Row],[Candidate 5]])/(SamplingData[[#Totals],[Winning Candidate]]-SamplingData[[#Totals],[Candidate 5]]), 0)</f>
        <v>0</v>
      </c>
      <c r="U508" s="99">
        <f>IF(AND(SamplingData[[#This Row],[Total]]&lt;&gt; 0, NOT(ISBLANK(SamplingData[[#This Row],[Candidate 6]]))),(SamplingData[[#This Row],[Total]]+SamplingData[[#This Row],[Losing Candidate]]-SamplingData[[#This Row],[Candidate 6]])/(SamplingData[[#Totals],[Winning Candidate]]-SamplingData[[#Totals],[Candidate 6]]), 0)</f>
        <v>0</v>
      </c>
      <c r="V508" s="99">
        <f>IF(AND(SamplingData[[#This Row],[Total]]&lt;&gt; 0, NOT(ISBLANK(SamplingData[[#This Row],[Candidate 7]]))),(SamplingData[[#This Row],[Total]]+SamplingData[[#This Row],[Winning Candidate]]-SamplingData[[#This Row],[Candidate 7]])/(SamplingData[[#Totals],[Winning Candidate]]-SamplingData[[#Totals],[Candidate 7]]), 0)</f>
        <v>0</v>
      </c>
      <c r="W508" s="99">
        <f>IF(AND(SamplingData[[#This Row],[Total]]&lt;&gt; 0, NOT(ISBLANK(SamplingData[[#This Row],[Candidate 8]]))),(SamplingData[[#This Row],[Total]]+SamplingData[[#This Row],[Winning Candidate]]-SamplingData[[#This Row],[Candidate 8]])/(SamplingData[[#Totals],[Winning Candidate]]-SamplingData[[#Totals],[Candidate 8]]), 0)</f>
        <v>0</v>
      </c>
      <c r="X5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8" s="99">
        <f>MAX(SamplingData[[#This Row],[Error Bound (up) - Max. possible relative overstatement - Losing Candidate]:[Error Bound (up) - Max. possible relative overstatement - Candidate 12]])</f>
        <v>2.7075199456798506E-2</v>
      </c>
      <c r="AC508" s="99">
        <f>IF(SamplingData[[#This Row],[Max Error Bound (up)]] = 0,0,SamplingData[[#This Row],[Max Error Bound (up)]]/SamplingData[[#Totals],[Max Error Bound (up)]])</f>
        <v>1.4496310030174156E-3</v>
      </c>
      <c r="AD508" s="103">
        <f>SUM($AC$5:AC508)</f>
        <v>0.40828470934671213</v>
      </c>
      <c r="AE508" s="99" t="str" cm="1">
        <f t="array" ref="AE508">IF(SamplingData[[#This Row],[up/U Selection Probability]] = 0, "Zero", TEXT(SamplingData[[#This Row],[Lower Range]], REPT("0",LEN('General Info'!$B$42))) &amp; " - " &amp; TEXT(SamplingData[[#This Row],[Upper Range]], REPT("0",LEN('General Info'!$B$42))))</f>
        <v>406835 - 408284</v>
      </c>
      <c r="AF508" s="99">
        <f>SamplingData[[#This Row],[Upper Range]]-SamplingData[[#This Row],[Span]]</f>
        <v>406835.07834369468</v>
      </c>
      <c r="AG508" s="99">
        <f>IF(ISNUMBER('General Info'!$B$42), ((SamplingData[[#This Row],[up/U Selection Probability]]) * 'General Info'!$B$44) - 1, 0)</f>
        <v>1448.6310030174157</v>
      </c>
      <c r="AH508" s="99">
        <f>IF(ISNUMBER('General Info'!$B$42), (SamplingData[[#This Row],[Running (cumulative) sum]] * ('General Info'!$B$42 -'General Info'!$B$43 + 1)) + 'General Info'!$B$43 - 1, 0)</f>
        <v>408283.7093467121</v>
      </c>
      <c r="AI508" s="99" t="str">
        <f>IF(ISERROR(MATCH(SamplingData[[#This Row],[Batch by Type (p)]],SelectedPrecincts[Batch Name], 0)), "", INDEX(SelectedPrecincts[Draw], MATCH(SamplingData[[#This Row],[Batch by Type (p)]],SelectedPrecincts[Batch Name], 0)))</f>
        <v/>
      </c>
      <c r="AJ508" s="100">
        <f>IF(COUNTIF(SelectedPrecincts[Batch Name],SamplingData[[#This Row],[Batch by Type (p)]]) &lt;&gt; 0, COUNTIF(SelectedPrecincts[Batch Name],SamplingData[[#This Row],[Batch by Type (p)]]), 0)</f>
        <v>0</v>
      </c>
    </row>
    <row r="509" spans="1:36" ht="15" customHeight="1" x14ac:dyDescent="0.35">
      <c r="A509" s="97" t="s">
        <v>722</v>
      </c>
      <c r="B509" s="97">
        <v>151</v>
      </c>
      <c r="C509" s="97">
        <v>79</v>
      </c>
      <c r="D509" s="92"/>
      <c r="E509" s="92"/>
      <c r="F509" s="92"/>
      <c r="G509" s="96"/>
      <c r="H509" s="96"/>
      <c r="I509" s="92"/>
      <c r="J509" s="92"/>
      <c r="K509" s="92"/>
      <c r="L509" s="92"/>
      <c r="M509" s="92"/>
      <c r="N509" s="97">
        <v>0</v>
      </c>
      <c r="O509" s="97">
        <v>9</v>
      </c>
      <c r="P509" s="98">
        <f>SUM(SamplingData[[#This Row],[Winning Candidate]:[Under Votes]])</f>
        <v>239</v>
      </c>
      <c r="Q509" s="99">
        <f>IF(AND(SamplingData[[#This Row],[Total]]&lt;&gt; 0, NOT(ISBLANK(SamplingData[[#This Row],[Losing Candidate]]))),(SamplingData[[#This Row],[Total]]+SamplingData[[#This Row],[Winning Candidate]]-SamplingData[[#This Row],[Losing Candidate]])/(SamplingData[[#Totals],[Winning Candidate]]-SamplingData[[#Totals],[Losing Candidate]]), 0)</f>
        <v>1.3198098794771686E-2</v>
      </c>
      <c r="R509" s="99">
        <f>IF(AND(SamplingData[[#This Row],[Total]]&lt;&gt; 0, NOT(ISBLANK(SamplingData[[#This Row],[Candidate 3]]))),(SamplingData[[#This Row],[Total]]+SamplingData[[#This Row],[Winning Candidate]]-SamplingData[[#This Row],[Candidate 3]])/(SamplingData[[#Totals],[Winning Candidate]]-SamplingData[[#Totals],[Candidate 3]]), 0)</f>
        <v>0</v>
      </c>
      <c r="S509" s="99">
        <f>IF(AND(SamplingData[[#This Row],[Total]]&lt;&gt; 0, NOT(ISBLANK(SamplingData[[#This Row],[Candidate 4]]))),(SamplingData[[#This Row],[Total]]+SamplingData[[#This Row],[Winning Candidate]]-SamplingData[[#This Row],[Candidate 4]])/(SamplingData[[#Totals],[Winning Candidate]]-SamplingData[[#Totals],[Candidate 4]]), 0)</f>
        <v>0</v>
      </c>
      <c r="T509" s="99">
        <f>IF(AND(SamplingData[[#This Row],[Total]]&lt;&gt; 0, NOT(ISBLANK(SamplingData[[#This Row],[Candidate 5]]))),(SamplingData[[#This Row],[Total]]+SamplingData[[#This Row],[Winning Candidate]]-SamplingData[[#This Row],[Candidate 5]])/(SamplingData[[#Totals],[Winning Candidate]]-SamplingData[[#Totals],[Candidate 5]]), 0)</f>
        <v>0</v>
      </c>
      <c r="U509" s="99">
        <f>IF(AND(SamplingData[[#This Row],[Total]]&lt;&gt; 0, NOT(ISBLANK(SamplingData[[#This Row],[Candidate 6]]))),(SamplingData[[#This Row],[Total]]+SamplingData[[#This Row],[Losing Candidate]]-SamplingData[[#This Row],[Candidate 6]])/(SamplingData[[#Totals],[Winning Candidate]]-SamplingData[[#Totals],[Candidate 6]]), 0)</f>
        <v>0</v>
      </c>
      <c r="V509" s="99">
        <f>IF(AND(SamplingData[[#This Row],[Total]]&lt;&gt; 0, NOT(ISBLANK(SamplingData[[#This Row],[Candidate 7]]))),(SamplingData[[#This Row],[Total]]+SamplingData[[#This Row],[Winning Candidate]]-SamplingData[[#This Row],[Candidate 7]])/(SamplingData[[#Totals],[Winning Candidate]]-SamplingData[[#Totals],[Candidate 7]]), 0)</f>
        <v>0</v>
      </c>
      <c r="W509" s="99">
        <f>IF(AND(SamplingData[[#This Row],[Total]]&lt;&gt; 0, NOT(ISBLANK(SamplingData[[#This Row],[Candidate 8]]))),(SamplingData[[#This Row],[Total]]+SamplingData[[#This Row],[Winning Candidate]]-SamplingData[[#This Row],[Candidate 8]])/(SamplingData[[#Totals],[Winning Candidate]]-SamplingData[[#Totals],[Candidate 8]]), 0)</f>
        <v>0</v>
      </c>
      <c r="X5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9" s="99">
        <f>MAX(SamplingData[[#This Row],[Error Bound (up) - Max. possible relative overstatement - Losing Candidate]:[Error Bound (up) - Max. possible relative overstatement - Candidate 12]])</f>
        <v>1.3198098794771686E-2</v>
      </c>
      <c r="AC509" s="99">
        <f>IF(SamplingData[[#This Row],[Max Error Bound (up)]] = 0,0,SamplingData[[#This Row],[Max Error Bound (up)]]/SamplingData[[#Totals],[Max Error Bound (up)]])</f>
        <v>7.0663831024830133E-4</v>
      </c>
      <c r="AD509" s="103">
        <f>SUM($AC$5:AC509)</f>
        <v>0.40899134765696044</v>
      </c>
      <c r="AE509" s="99" t="str" cm="1">
        <f t="array" ref="AE509">IF(SamplingData[[#This Row],[up/U Selection Probability]] = 0, "Zero", TEXT(SamplingData[[#This Row],[Lower Range]], REPT("0",LEN('General Info'!$B$42))) &amp; " - " &amp; TEXT(SamplingData[[#This Row],[Upper Range]], REPT("0",LEN('General Info'!$B$42))))</f>
        <v>408285 - 408990</v>
      </c>
      <c r="AF509" s="99">
        <f>SamplingData[[#This Row],[Upper Range]]-SamplingData[[#This Row],[Span]]</f>
        <v>408284.7093467121</v>
      </c>
      <c r="AG509" s="99">
        <f>IF(ISNUMBER('General Info'!$B$42), ((SamplingData[[#This Row],[up/U Selection Probability]]) * 'General Info'!$B$44) - 1, 0)</f>
        <v>705.63831024830131</v>
      </c>
      <c r="AH509" s="99">
        <f>IF(ISNUMBER('General Info'!$B$42), (SamplingData[[#This Row],[Running (cumulative) sum]] * ('General Info'!$B$42 -'General Info'!$B$43 + 1)) + 'General Info'!$B$43 - 1, 0)</f>
        <v>408990.34765696042</v>
      </c>
      <c r="AI509" s="99" t="str">
        <f>IF(ISERROR(MATCH(SamplingData[[#This Row],[Batch by Type (p)]],SelectedPrecincts[Batch Name], 0)), "", INDEX(SelectedPrecincts[Draw], MATCH(SamplingData[[#This Row],[Batch by Type (p)]],SelectedPrecincts[Batch Name], 0)))</f>
        <v/>
      </c>
      <c r="AJ509" s="100">
        <f>IF(COUNTIF(SelectedPrecincts[Batch Name],SamplingData[[#This Row],[Batch by Type (p)]]) &lt;&gt; 0, COUNTIF(SelectedPrecincts[Batch Name],SamplingData[[#This Row],[Batch by Type (p)]]), 0)</f>
        <v>0</v>
      </c>
    </row>
    <row r="510" spans="1:36" ht="15" customHeight="1" x14ac:dyDescent="0.35">
      <c r="A510" s="97" t="s">
        <v>723</v>
      </c>
      <c r="B510" s="97">
        <v>107</v>
      </c>
      <c r="C510" s="97">
        <v>46</v>
      </c>
      <c r="D510" s="92"/>
      <c r="E510" s="92"/>
      <c r="F510" s="92"/>
      <c r="G510" s="96"/>
      <c r="H510" s="96"/>
      <c r="I510" s="92"/>
      <c r="J510" s="92"/>
      <c r="K510" s="92"/>
      <c r="L510" s="92"/>
      <c r="M510" s="92"/>
      <c r="N510" s="97">
        <v>0</v>
      </c>
      <c r="O510" s="97">
        <v>7</v>
      </c>
      <c r="P510" s="98">
        <f>SUM(SamplingData[[#This Row],[Winning Candidate]:[Under Votes]])</f>
        <v>160</v>
      </c>
      <c r="Q510" s="99">
        <f>IF(AND(SamplingData[[#This Row],[Total]]&lt;&gt; 0, NOT(ISBLANK(SamplingData[[#This Row],[Losing Candidate]]))),(SamplingData[[#This Row],[Total]]+SamplingData[[#This Row],[Winning Candidate]]-SamplingData[[#This Row],[Losing Candidate]])/(SamplingData[[#Totals],[Winning Candidate]]-SamplingData[[#Totals],[Losing Candidate]]), 0)</f>
        <v>9.3787132914615514E-3</v>
      </c>
      <c r="R510" s="99">
        <f>IF(AND(SamplingData[[#This Row],[Total]]&lt;&gt; 0, NOT(ISBLANK(SamplingData[[#This Row],[Candidate 3]]))),(SamplingData[[#This Row],[Total]]+SamplingData[[#This Row],[Winning Candidate]]-SamplingData[[#This Row],[Candidate 3]])/(SamplingData[[#Totals],[Winning Candidate]]-SamplingData[[#Totals],[Candidate 3]]), 0)</f>
        <v>0</v>
      </c>
      <c r="S510" s="99">
        <f>IF(AND(SamplingData[[#This Row],[Total]]&lt;&gt; 0, NOT(ISBLANK(SamplingData[[#This Row],[Candidate 4]]))),(SamplingData[[#This Row],[Total]]+SamplingData[[#This Row],[Winning Candidate]]-SamplingData[[#This Row],[Candidate 4]])/(SamplingData[[#Totals],[Winning Candidate]]-SamplingData[[#Totals],[Candidate 4]]), 0)</f>
        <v>0</v>
      </c>
      <c r="T510" s="99">
        <f>IF(AND(SamplingData[[#This Row],[Total]]&lt;&gt; 0, NOT(ISBLANK(SamplingData[[#This Row],[Candidate 5]]))),(SamplingData[[#This Row],[Total]]+SamplingData[[#This Row],[Winning Candidate]]-SamplingData[[#This Row],[Candidate 5]])/(SamplingData[[#Totals],[Winning Candidate]]-SamplingData[[#Totals],[Candidate 5]]), 0)</f>
        <v>0</v>
      </c>
      <c r="U510" s="99">
        <f>IF(AND(SamplingData[[#This Row],[Total]]&lt;&gt; 0, NOT(ISBLANK(SamplingData[[#This Row],[Candidate 6]]))),(SamplingData[[#This Row],[Total]]+SamplingData[[#This Row],[Losing Candidate]]-SamplingData[[#This Row],[Candidate 6]])/(SamplingData[[#Totals],[Winning Candidate]]-SamplingData[[#Totals],[Candidate 6]]), 0)</f>
        <v>0</v>
      </c>
      <c r="V510" s="99">
        <f>IF(AND(SamplingData[[#This Row],[Total]]&lt;&gt; 0, NOT(ISBLANK(SamplingData[[#This Row],[Candidate 7]]))),(SamplingData[[#This Row],[Total]]+SamplingData[[#This Row],[Winning Candidate]]-SamplingData[[#This Row],[Candidate 7]])/(SamplingData[[#Totals],[Winning Candidate]]-SamplingData[[#Totals],[Candidate 7]]), 0)</f>
        <v>0</v>
      </c>
      <c r="W510" s="99">
        <f>IF(AND(SamplingData[[#This Row],[Total]]&lt;&gt; 0, NOT(ISBLANK(SamplingData[[#This Row],[Candidate 8]]))),(SamplingData[[#This Row],[Total]]+SamplingData[[#This Row],[Winning Candidate]]-SamplingData[[#This Row],[Candidate 8]])/(SamplingData[[#Totals],[Winning Candidate]]-SamplingData[[#Totals],[Candidate 8]]), 0)</f>
        <v>0</v>
      </c>
      <c r="X5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0" s="99">
        <f>MAX(SamplingData[[#This Row],[Error Bound (up) - Max. possible relative overstatement - Losing Candidate]:[Error Bound (up) - Max. possible relative overstatement - Candidate 12]])</f>
        <v>9.3787132914615514E-3</v>
      </c>
      <c r="AC510" s="99">
        <f>IF(SamplingData[[#This Row],[Max Error Bound (up)]] = 0,0,SamplingData[[#This Row],[Max Error Bound (up)]]/SamplingData[[#Totals],[Max Error Bound (up)]])</f>
        <v>5.0214490856872855E-4</v>
      </c>
      <c r="AD510" s="103">
        <f>SUM($AC$5:AC510)</f>
        <v>0.40949349256552914</v>
      </c>
      <c r="AE510" s="99" t="str" cm="1">
        <f t="array" ref="AE510">IF(SamplingData[[#This Row],[up/U Selection Probability]] = 0, "Zero", TEXT(SamplingData[[#This Row],[Lower Range]], REPT("0",LEN('General Info'!$B$42))) &amp; " - " &amp; TEXT(SamplingData[[#This Row],[Upper Range]], REPT("0",LEN('General Info'!$B$42))))</f>
        <v>408991 - 409492</v>
      </c>
      <c r="AF510" s="99">
        <f>SamplingData[[#This Row],[Upper Range]]-SamplingData[[#This Row],[Span]]</f>
        <v>408991.34765696042</v>
      </c>
      <c r="AG510" s="99">
        <f>IF(ISNUMBER('General Info'!$B$42), ((SamplingData[[#This Row],[up/U Selection Probability]]) * 'General Info'!$B$44) - 1, 0)</f>
        <v>501.14490856872857</v>
      </c>
      <c r="AH510" s="99">
        <f>IF(ISNUMBER('General Info'!$B$42), (SamplingData[[#This Row],[Running (cumulative) sum]] * ('General Info'!$B$42 -'General Info'!$B$43 + 1)) + 'General Info'!$B$43 - 1, 0)</f>
        <v>409492.49256552913</v>
      </c>
      <c r="AI510" s="99" t="str">
        <f>IF(ISERROR(MATCH(SamplingData[[#This Row],[Batch by Type (p)]],SelectedPrecincts[Batch Name], 0)), "", INDEX(SelectedPrecincts[Draw], MATCH(SamplingData[[#This Row],[Batch by Type (p)]],SelectedPrecincts[Batch Name], 0)))</f>
        <v/>
      </c>
      <c r="AJ510" s="100">
        <f>IF(COUNTIF(SelectedPrecincts[Batch Name],SamplingData[[#This Row],[Batch by Type (p)]]) &lt;&gt; 0, COUNTIF(SelectedPrecincts[Batch Name],SamplingData[[#This Row],[Batch by Type (p)]]), 0)</f>
        <v>0</v>
      </c>
    </row>
    <row r="511" spans="1:36" ht="15" customHeight="1" x14ac:dyDescent="0.35">
      <c r="A511" s="97" t="s">
        <v>724</v>
      </c>
      <c r="B511" s="97">
        <v>137</v>
      </c>
      <c r="C511" s="97">
        <v>71</v>
      </c>
      <c r="D511" s="92"/>
      <c r="E511" s="92"/>
      <c r="F511" s="92"/>
      <c r="G511" s="96"/>
      <c r="H511" s="96"/>
      <c r="I511" s="92"/>
      <c r="J511" s="92"/>
      <c r="K511" s="92"/>
      <c r="L511" s="92"/>
      <c r="M511" s="92"/>
      <c r="N511" s="97">
        <v>0</v>
      </c>
      <c r="O511" s="97">
        <v>14</v>
      </c>
      <c r="P511" s="98">
        <f>SUM(SamplingData[[#This Row],[Winning Candidate]:[Under Votes]])</f>
        <v>222</v>
      </c>
      <c r="Q511" s="99">
        <f>IF(AND(SamplingData[[#This Row],[Total]]&lt;&gt; 0, NOT(ISBLANK(SamplingData[[#This Row],[Losing Candidate]]))),(SamplingData[[#This Row],[Total]]+SamplingData[[#This Row],[Winning Candidate]]-SamplingData[[#This Row],[Losing Candidate]])/(SamplingData[[#Totals],[Winning Candidate]]-SamplingData[[#Totals],[Losing Candidate]]), 0)</f>
        <v>1.2222033610592429E-2</v>
      </c>
      <c r="R511" s="99">
        <f>IF(AND(SamplingData[[#This Row],[Total]]&lt;&gt; 0, NOT(ISBLANK(SamplingData[[#This Row],[Candidate 3]]))),(SamplingData[[#This Row],[Total]]+SamplingData[[#This Row],[Winning Candidate]]-SamplingData[[#This Row],[Candidate 3]])/(SamplingData[[#Totals],[Winning Candidate]]-SamplingData[[#Totals],[Candidate 3]]), 0)</f>
        <v>0</v>
      </c>
      <c r="S511" s="99">
        <f>IF(AND(SamplingData[[#This Row],[Total]]&lt;&gt; 0, NOT(ISBLANK(SamplingData[[#This Row],[Candidate 4]]))),(SamplingData[[#This Row],[Total]]+SamplingData[[#This Row],[Winning Candidate]]-SamplingData[[#This Row],[Candidate 4]])/(SamplingData[[#Totals],[Winning Candidate]]-SamplingData[[#Totals],[Candidate 4]]), 0)</f>
        <v>0</v>
      </c>
      <c r="T511" s="99">
        <f>IF(AND(SamplingData[[#This Row],[Total]]&lt;&gt; 0, NOT(ISBLANK(SamplingData[[#This Row],[Candidate 5]]))),(SamplingData[[#This Row],[Total]]+SamplingData[[#This Row],[Winning Candidate]]-SamplingData[[#This Row],[Candidate 5]])/(SamplingData[[#Totals],[Winning Candidate]]-SamplingData[[#Totals],[Candidate 5]]), 0)</f>
        <v>0</v>
      </c>
      <c r="U511" s="99">
        <f>IF(AND(SamplingData[[#This Row],[Total]]&lt;&gt; 0, NOT(ISBLANK(SamplingData[[#This Row],[Candidate 6]]))),(SamplingData[[#This Row],[Total]]+SamplingData[[#This Row],[Losing Candidate]]-SamplingData[[#This Row],[Candidate 6]])/(SamplingData[[#Totals],[Winning Candidate]]-SamplingData[[#Totals],[Candidate 6]]), 0)</f>
        <v>0</v>
      </c>
      <c r="V511" s="99">
        <f>IF(AND(SamplingData[[#This Row],[Total]]&lt;&gt; 0, NOT(ISBLANK(SamplingData[[#This Row],[Candidate 7]]))),(SamplingData[[#This Row],[Total]]+SamplingData[[#This Row],[Winning Candidate]]-SamplingData[[#This Row],[Candidate 7]])/(SamplingData[[#Totals],[Winning Candidate]]-SamplingData[[#Totals],[Candidate 7]]), 0)</f>
        <v>0</v>
      </c>
      <c r="W511" s="99">
        <f>IF(AND(SamplingData[[#This Row],[Total]]&lt;&gt; 0, NOT(ISBLANK(SamplingData[[#This Row],[Candidate 8]]))),(SamplingData[[#This Row],[Total]]+SamplingData[[#This Row],[Winning Candidate]]-SamplingData[[#This Row],[Candidate 8]])/(SamplingData[[#Totals],[Winning Candidate]]-SamplingData[[#Totals],[Candidate 8]]), 0)</f>
        <v>0</v>
      </c>
      <c r="X5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1" s="99">
        <f>MAX(SamplingData[[#This Row],[Error Bound (up) - Max. possible relative overstatement - Losing Candidate]:[Error Bound (up) - Max. possible relative overstatement - Candidate 12]])</f>
        <v>1.2222033610592429E-2</v>
      </c>
      <c r="AC511" s="99">
        <f>IF(SamplingData[[#This Row],[Max Error Bound (up)]] = 0,0,SamplingData[[#This Row],[Max Error Bound (up)]]/SamplingData[[#Totals],[Max Error Bound (up)]])</f>
        <v>6.5437888537463271E-4</v>
      </c>
      <c r="AD511" s="103">
        <f>SUM($AC$5:AC511)</f>
        <v>0.41014787145090376</v>
      </c>
      <c r="AE511" s="99" t="str" cm="1">
        <f t="array" ref="AE511">IF(SamplingData[[#This Row],[up/U Selection Probability]] = 0, "Zero", TEXT(SamplingData[[#This Row],[Lower Range]], REPT("0",LEN('General Info'!$B$42))) &amp; " - " &amp; TEXT(SamplingData[[#This Row],[Upper Range]], REPT("0",LEN('General Info'!$B$42))))</f>
        <v>409493 - 410147</v>
      </c>
      <c r="AF511" s="99">
        <f>SamplingData[[#This Row],[Upper Range]]-SamplingData[[#This Row],[Span]]</f>
        <v>409493.49256552913</v>
      </c>
      <c r="AG511" s="99">
        <f>IF(ISNUMBER('General Info'!$B$42), ((SamplingData[[#This Row],[up/U Selection Probability]]) * 'General Info'!$B$44) - 1, 0)</f>
        <v>653.37888537463266</v>
      </c>
      <c r="AH511" s="99">
        <f>IF(ISNUMBER('General Info'!$B$42), (SamplingData[[#This Row],[Running (cumulative) sum]] * ('General Info'!$B$42 -'General Info'!$B$43 + 1)) + 'General Info'!$B$43 - 1, 0)</f>
        <v>410146.87145090377</v>
      </c>
      <c r="AI511" s="99" t="str">
        <f>IF(ISERROR(MATCH(SamplingData[[#This Row],[Batch by Type (p)]],SelectedPrecincts[Batch Name], 0)), "", INDEX(SelectedPrecincts[Draw], MATCH(SamplingData[[#This Row],[Batch by Type (p)]],SelectedPrecincts[Batch Name], 0)))</f>
        <v/>
      </c>
      <c r="AJ511" s="100">
        <f>IF(COUNTIF(SelectedPrecincts[Batch Name],SamplingData[[#This Row],[Batch by Type (p)]]) &lt;&gt; 0, COUNTIF(SelectedPrecincts[Batch Name],SamplingData[[#This Row],[Batch by Type (p)]]), 0)</f>
        <v>0</v>
      </c>
    </row>
    <row r="512" spans="1:36" ht="15" customHeight="1" x14ac:dyDescent="0.35">
      <c r="A512" s="97" t="s">
        <v>725</v>
      </c>
      <c r="B512" s="97">
        <v>249</v>
      </c>
      <c r="C512" s="97">
        <v>131</v>
      </c>
      <c r="D512" s="92"/>
      <c r="E512" s="92"/>
      <c r="F512" s="92"/>
      <c r="G512" s="96"/>
      <c r="H512" s="96"/>
      <c r="I512" s="92"/>
      <c r="J512" s="92"/>
      <c r="K512" s="92"/>
      <c r="L512" s="92"/>
      <c r="M512" s="92"/>
      <c r="N512" s="97">
        <v>0</v>
      </c>
      <c r="O512" s="97">
        <v>25</v>
      </c>
      <c r="P512" s="98">
        <f>SUM(SamplingData[[#This Row],[Winning Candidate]:[Under Votes]])</f>
        <v>405</v>
      </c>
      <c r="Q512" s="99">
        <f>IF(AND(SamplingData[[#This Row],[Total]]&lt;&gt; 0, NOT(ISBLANK(SamplingData[[#This Row],[Losing Candidate]]))),(SamplingData[[#This Row],[Total]]+SamplingData[[#This Row],[Winning Candidate]]-SamplingData[[#This Row],[Losing Candidate]])/(SamplingData[[#Totals],[Winning Candidate]]-SamplingData[[#Totals],[Losing Candidate]]), 0)</f>
        <v>2.2194873535902222E-2</v>
      </c>
      <c r="R512" s="99">
        <f>IF(AND(SamplingData[[#This Row],[Total]]&lt;&gt; 0, NOT(ISBLANK(SamplingData[[#This Row],[Candidate 3]]))),(SamplingData[[#This Row],[Total]]+SamplingData[[#This Row],[Winning Candidate]]-SamplingData[[#This Row],[Candidate 3]])/(SamplingData[[#Totals],[Winning Candidate]]-SamplingData[[#Totals],[Candidate 3]]), 0)</f>
        <v>0</v>
      </c>
      <c r="S512" s="99">
        <f>IF(AND(SamplingData[[#This Row],[Total]]&lt;&gt; 0, NOT(ISBLANK(SamplingData[[#This Row],[Candidate 4]]))),(SamplingData[[#This Row],[Total]]+SamplingData[[#This Row],[Winning Candidate]]-SamplingData[[#This Row],[Candidate 4]])/(SamplingData[[#Totals],[Winning Candidate]]-SamplingData[[#Totals],[Candidate 4]]), 0)</f>
        <v>0</v>
      </c>
      <c r="T512" s="99">
        <f>IF(AND(SamplingData[[#This Row],[Total]]&lt;&gt; 0, NOT(ISBLANK(SamplingData[[#This Row],[Candidate 5]]))),(SamplingData[[#This Row],[Total]]+SamplingData[[#This Row],[Winning Candidate]]-SamplingData[[#This Row],[Candidate 5]])/(SamplingData[[#Totals],[Winning Candidate]]-SamplingData[[#Totals],[Candidate 5]]), 0)</f>
        <v>0</v>
      </c>
      <c r="U512" s="99">
        <f>IF(AND(SamplingData[[#This Row],[Total]]&lt;&gt; 0, NOT(ISBLANK(SamplingData[[#This Row],[Candidate 6]]))),(SamplingData[[#This Row],[Total]]+SamplingData[[#This Row],[Losing Candidate]]-SamplingData[[#This Row],[Candidate 6]])/(SamplingData[[#Totals],[Winning Candidate]]-SamplingData[[#Totals],[Candidate 6]]), 0)</f>
        <v>0</v>
      </c>
      <c r="V512" s="99">
        <f>IF(AND(SamplingData[[#This Row],[Total]]&lt;&gt; 0, NOT(ISBLANK(SamplingData[[#This Row],[Candidate 7]]))),(SamplingData[[#This Row],[Total]]+SamplingData[[#This Row],[Winning Candidate]]-SamplingData[[#This Row],[Candidate 7]])/(SamplingData[[#Totals],[Winning Candidate]]-SamplingData[[#Totals],[Candidate 7]]), 0)</f>
        <v>0</v>
      </c>
      <c r="W512" s="99">
        <f>IF(AND(SamplingData[[#This Row],[Total]]&lt;&gt; 0, NOT(ISBLANK(SamplingData[[#This Row],[Candidate 8]]))),(SamplingData[[#This Row],[Total]]+SamplingData[[#This Row],[Winning Candidate]]-SamplingData[[#This Row],[Candidate 8]])/(SamplingData[[#Totals],[Winning Candidate]]-SamplingData[[#Totals],[Candidate 8]]), 0)</f>
        <v>0</v>
      </c>
      <c r="X5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2" s="99">
        <f>MAX(SamplingData[[#This Row],[Error Bound (up) - Max. possible relative overstatement - Losing Candidate]:[Error Bound (up) - Max. possible relative overstatement - Candidate 12]])</f>
        <v>2.2194873535902222E-2</v>
      </c>
      <c r="AC512" s="99">
        <f>IF(SamplingData[[#This Row],[Max Error Bound (up)]] = 0,0,SamplingData[[#This Row],[Max Error Bound (up)]]/SamplingData[[#Totals],[Max Error Bound (up)]])</f>
        <v>1.1883338786490725E-3</v>
      </c>
      <c r="AD512" s="103">
        <f>SUM($AC$5:AC512)</f>
        <v>0.41133620532955284</v>
      </c>
      <c r="AE512" s="99" t="str" cm="1">
        <f t="array" ref="AE512">IF(SamplingData[[#This Row],[up/U Selection Probability]] = 0, "Zero", TEXT(SamplingData[[#This Row],[Lower Range]], REPT("0",LEN('General Info'!$B$42))) &amp; " - " &amp; TEXT(SamplingData[[#This Row],[Upper Range]], REPT("0",LEN('General Info'!$B$42))))</f>
        <v>410148 - 411335</v>
      </c>
      <c r="AF512" s="99">
        <f>SamplingData[[#This Row],[Upper Range]]-SamplingData[[#This Row],[Span]]</f>
        <v>410147.87145090377</v>
      </c>
      <c r="AG512" s="99">
        <f>IF(ISNUMBER('General Info'!$B$42), ((SamplingData[[#This Row],[up/U Selection Probability]]) * 'General Info'!$B$44) - 1, 0)</f>
        <v>1187.3338786490726</v>
      </c>
      <c r="AH512" s="99">
        <f>IF(ISNUMBER('General Info'!$B$42), (SamplingData[[#This Row],[Running (cumulative) sum]] * ('General Info'!$B$42 -'General Info'!$B$43 + 1)) + 'General Info'!$B$43 - 1, 0)</f>
        <v>411335.20532955282</v>
      </c>
      <c r="AI512" s="99" t="str">
        <f>IF(ISERROR(MATCH(SamplingData[[#This Row],[Batch by Type (p)]],SelectedPrecincts[Batch Name], 0)), "", INDEX(SelectedPrecincts[Draw], MATCH(SamplingData[[#This Row],[Batch by Type (p)]],SelectedPrecincts[Batch Name], 0)))</f>
        <v/>
      </c>
      <c r="AJ512" s="100">
        <f>IF(COUNTIF(SelectedPrecincts[Batch Name],SamplingData[[#This Row],[Batch by Type (p)]]) &lt;&gt; 0, COUNTIF(SelectedPrecincts[Batch Name],SamplingData[[#This Row],[Batch by Type (p)]]), 0)</f>
        <v>0</v>
      </c>
    </row>
    <row r="513" spans="1:36" ht="15" customHeight="1" x14ac:dyDescent="0.35">
      <c r="A513" s="97" t="s">
        <v>726</v>
      </c>
      <c r="B513" s="97">
        <v>229</v>
      </c>
      <c r="C513" s="97">
        <v>197</v>
      </c>
      <c r="D513" s="92"/>
      <c r="E513" s="92"/>
      <c r="F513" s="92"/>
      <c r="G513" s="96"/>
      <c r="H513" s="96"/>
      <c r="I513" s="92"/>
      <c r="J513" s="92"/>
      <c r="K513" s="92"/>
      <c r="L513" s="92"/>
      <c r="M513" s="92"/>
      <c r="N513" s="97">
        <v>0</v>
      </c>
      <c r="O513" s="97">
        <v>25</v>
      </c>
      <c r="P513" s="98">
        <f>SUM(SamplingData[[#This Row],[Winning Candidate]:[Under Votes]])</f>
        <v>451</v>
      </c>
      <c r="Q513" s="99">
        <f>IF(AND(SamplingData[[#This Row],[Total]]&lt;&gt; 0, NOT(ISBLANK(SamplingData[[#This Row],[Losing Candidate]]))),(SamplingData[[#This Row],[Total]]+SamplingData[[#This Row],[Winning Candidate]]-SamplingData[[#This Row],[Losing Candidate]])/(SamplingData[[#Totals],[Winning Candidate]]-SamplingData[[#Totals],[Losing Candidate]]), 0)</f>
        <v>2.0497368867764387E-2</v>
      </c>
      <c r="R513" s="99">
        <f>IF(AND(SamplingData[[#This Row],[Total]]&lt;&gt; 0, NOT(ISBLANK(SamplingData[[#This Row],[Candidate 3]]))),(SamplingData[[#This Row],[Total]]+SamplingData[[#This Row],[Winning Candidate]]-SamplingData[[#This Row],[Candidate 3]])/(SamplingData[[#Totals],[Winning Candidate]]-SamplingData[[#Totals],[Candidate 3]]), 0)</f>
        <v>0</v>
      </c>
      <c r="S513" s="99">
        <f>IF(AND(SamplingData[[#This Row],[Total]]&lt;&gt; 0, NOT(ISBLANK(SamplingData[[#This Row],[Candidate 4]]))),(SamplingData[[#This Row],[Total]]+SamplingData[[#This Row],[Winning Candidate]]-SamplingData[[#This Row],[Candidate 4]])/(SamplingData[[#Totals],[Winning Candidate]]-SamplingData[[#Totals],[Candidate 4]]), 0)</f>
        <v>0</v>
      </c>
      <c r="T513" s="99">
        <f>IF(AND(SamplingData[[#This Row],[Total]]&lt;&gt; 0, NOT(ISBLANK(SamplingData[[#This Row],[Candidate 5]]))),(SamplingData[[#This Row],[Total]]+SamplingData[[#This Row],[Winning Candidate]]-SamplingData[[#This Row],[Candidate 5]])/(SamplingData[[#Totals],[Winning Candidate]]-SamplingData[[#Totals],[Candidate 5]]), 0)</f>
        <v>0</v>
      </c>
      <c r="U513" s="99">
        <f>IF(AND(SamplingData[[#This Row],[Total]]&lt;&gt; 0, NOT(ISBLANK(SamplingData[[#This Row],[Candidate 6]]))),(SamplingData[[#This Row],[Total]]+SamplingData[[#This Row],[Losing Candidate]]-SamplingData[[#This Row],[Candidate 6]])/(SamplingData[[#Totals],[Winning Candidate]]-SamplingData[[#Totals],[Candidate 6]]), 0)</f>
        <v>0</v>
      </c>
      <c r="V513" s="99">
        <f>IF(AND(SamplingData[[#This Row],[Total]]&lt;&gt; 0, NOT(ISBLANK(SamplingData[[#This Row],[Candidate 7]]))),(SamplingData[[#This Row],[Total]]+SamplingData[[#This Row],[Winning Candidate]]-SamplingData[[#This Row],[Candidate 7]])/(SamplingData[[#Totals],[Winning Candidate]]-SamplingData[[#Totals],[Candidate 7]]), 0)</f>
        <v>0</v>
      </c>
      <c r="W513" s="99">
        <f>IF(AND(SamplingData[[#This Row],[Total]]&lt;&gt; 0, NOT(ISBLANK(SamplingData[[#This Row],[Candidate 8]]))),(SamplingData[[#This Row],[Total]]+SamplingData[[#This Row],[Winning Candidate]]-SamplingData[[#This Row],[Candidate 8]])/(SamplingData[[#Totals],[Winning Candidate]]-SamplingData[[#Totals],[Candidate 8]]), 0)</f>
        <v>0</v>
      </c>
      <c r="X5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3" s="99">
        <f>MAX(SamplingData[[#This Row],[Error Bound (up) - Max. possible relative overstatement - Losing Candidate]:[Error Bound (up) - Max. possible relative overstatement - Candidate 12]])</f>
        <v>2.0497368867764387E-2</v>
      </c>
      <c r="AC513" s="99">
        <f>IF(SamplingData[[#This Row],[Max Error Bound (up)]] = 0,0,SamplingData[[#This Row],[Max Error Bound (up)]]/SamplingData[[#Totals],[Max Error Bound (up)]])</f>
        <v>1.0974479223470404E-3</v>
      </c>
      <c r="AD513" s="103">
        <f>SUM($AC$5:AC513)</f>
        <v>0.4124336532518999</v>
      </c>
      <c r="AE513" s="99" t="str" cm="1">
        <f t="array" ref="AE513">IF(SamplingData[[#This Row],[up/U Selection Probability]] = 0, "Zero", TEXT(SamplingData[[#This Row],[Lower Range]], REPT("0",LEN('General Info'!$B$42))) &amp; " - " &amp; TEXT(SamplingData[[#This Row],[Upper Range]], REPT("0",LEN('General Info'!$B$42))))</f>
        <v>411336 - 412433</v>
      </c>
      <c r="AF513" s="99">
        <f>SamplingData[[#This Row],[Upper Range]]-SamplingData[[#This Row],[Span]]</f>
        <v>411336.20532955282</v>
      </c>
      <c r="AG513" s="99">
        <f>IF(ISNUMBER('General Info'!$B$42), ((SamplingData[[#This Row],[up/U Selection Probability]]) * 'General Info'!$B$44) - 1, 0)</f>
        <v>1096.4479223470405</v>
      </c>
      <c r="AH513" s="99">
        <f>IF(ISNUMBER('General Info'!$B$42), (SamplingData[[#This Row],[Running (cumulative) sum]] * ('General Info'!$B$42 -'General Info'!$B$43 + 1)) + 'General Info'!$B$43 - 1, 0)</f>
        <v>412432.65325189987</v>
      </c>
      <c r="AI513" s="99" t="str">
        <f>IF(ISERROR(MATCH(SamplingData[[#This Row],[Batch by Type (p)]],SelectedPrecincts[Batch Name], 0)), "", INDEX(SelectedPrecincts[Draw], MATCH(SamplingData[[#This Row],[Batch by Type (p)]],SelectedPrecincts[Batch Name], 0)))</f>
        <v/>
      </c>
      <c r="AJ513" s="100">
        <f>IF(COUNTIF(SelectedPrecincts[Batch Name],SamplingData[[#This Row],[Batch by Type (p)]]) &lt;&gt; 0, COUNTIF(SelectedPrecincts[Batch Name],SamplingData[[#This Row],[Batch by Type (p)]]), 0)</f>
        <v>0</v>
      </c>
    </row>
    <row r="514" spans="1:36" ht="15" customHeight="1" x14ac:dyDescent="0.35">
      <c r="A514" s="97" t="s">
        <v>727</v>
      </c>
      <c r="B514" s="97">
        <v>70</v>
      </c>
      <c r="C514" s="97">
        <v>47</v>
      </c>
      <c r="D514" s="92"/>
      <c r="E514" s="92"/>
      <c r="F514" s="92"/>
      <c r="G514" s="96"/>
      <c r="H514" s="96"/>
      <c r="I514" s="92"/>
      <c r="J514" s="92"/>
      <c r="K514" s="92"/>
      <c r="L514" s="92"/>
      <c r="M514" s="92"/>
      <c r="N514" s="97">
        <v>0</v>
      </c>
      <c r="O514" s="97">
        <v>3</v>
      </c>
      <c r="P514" s="98">
        <f>SUM(SamplingData[[#This Row],[Winning Candidate]:[Under Votes]])</f>
        <v>120</v>
      </c>
      <c r="Q514" s="99">
        <f>IF(AND(SamplingData[[#This Row],[Total]]&lt;&gt; 0, NOT(ISBLANK(SamplingData[[#This Row],[Losing Candidate]]))),(SamplingData[[#This Row],[Total]]+SamplingData[[#This Row],[Winning Candidate]]-SamplingData[[#This Row],[Losing Candidate]])/(SamplingData[[#Totals],[Winning Candidate]]-SamplingData[[#Totals],[Losing Candidate]]), 0)</f>
        <v>6.0685791885927683E-3</v>
      </c>
      <c r="R514" s="99">
        <f>IF(AND(SamplingData[[#This Row],[Total]]&lt;&gt; 0, NOT(ISBLANK(SamplingData[[#This Row],[Candidate 3]]))),(SamplingData[[#This Row],[Total]]+SamplingData[[#This Row],[Winning Candidate]]-SamplingData[[#This Row],[Candidate 3]])/(SamplingData[[#Totals],[Winning Candidate]]-SamplingData[[#Totals],[Candidate 3]]), 0)</f>
        <v>0</v>
      </c>
      <c r="S514" s="99">
        <f>IF(AND(SamplingData[[#This Row],[Total]]&lt;&gt; 0, NOT(ISBLANK(SamplingData[[#This Row],[Candidate 4]]))),(SamplingData[[#This Row],[Total]]+SamplingData[[#This Row],[Winning Candidate]]-SamplingData[[#This Row],[Candidate 4]])/(SamplingData[[#Totals],[Winning Candidate]]-SamplingData[[#Totals],[Candidate 4]]), 0)</f>
        <v>0</v>
      </c>
      <c r="T514" s="99">
        <f>IF(AND(SamplingData[[#This Row],[Total]]&lt;&gt; 0, NOT(ISBLANK(SamplingData[[#This Row],[Candidate 5]]))),(SamplingData[[#This Row],[Total]]+SamplingData[[#This Row],[Winning Candidate]]-SamplingData[[#This Row],[Candidate 5]])/(SamplingData[[#Totals],[Winning Candidate]]-SamplingData[[#Totals],[Candidate 5]]), 0)</f>
        <v>0</v>
      </c>
      <c r="U514" s="99">
        <f>IF(AND(SamplingData[[#This Row],[Total]]&lt;&gt; 0, NOT(ISBLANK(SamplingData[[#This Row],[Candidate 6]]))),(SamplingData[[#This Row],[Total]]+SamplingData[[#This Row],[Losing Candidate]]-SamplingData[[#This Row],[Candidate 6]])/(SamplingData[[#Totals],[Winning Candidate]]-SamplingData[[#Totals],[Candidate 6]]), 0)</f>
        <v>0</v>
      </c>
      <c r="V514" s="99">
        <f>IF(AND(SamplingData[[#This Row],[Total]]&lt;&gt; 0, NOT(ISBLANK(SamplingData[[#This Row],[Candidate 7]]))),(SamplingData[[#This Row],[Total]]+SamplingData[[#This Row],[Winning Candidate]]-SamplingData[[#This Row],[Candidate 7]])/(SamplingData[[#Totals],[Winning Candidate]]-SamplingData[[#Totals],[Candidate 7]]), 0)</f>
        <v>0</v>
      </c>
      <c r="W514" s="99">
        <f>IF(AND(SamplingData[[#This Row],[Total]]&lt;&gt; 0, NOT(ISBLANK(SamplingData[[#This Row],[Candidate 8]]))),(SamplingData[[#This Row],[Total]]+SamplingData[[#This Row],[Winning Candidate]]-SamplingData[[#This Row],[Candidate 8]])/(SamplingData[[#Totals],[Winning Candidate]]-SamplingData[[#Totals],[Candidate 8]]), 0)</f>
        <v>0</v>
      </c>
      <c r="X5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4" s="99">
        <f>MAX(SamplingData[[#This Row],[Error Bound (up) - Max. possible relative overstatement - Losing Candidate]:[Error Bound (up) - Max. possible relative overstatement - Candidate 12]])</f>
        <v>6.0685791885927683E-3</v>
      </c>
      <c r="AC514" s="99">
        <f>IF(SamplingData[[#This Row],[Max Error Bound (up)]] = 0,0,SamplingData[[#This Row],[Max Error Bound (up)]]/SamplingData[[#Totals],[Max Error Bound (up)]])</f>
        <v>3.2491729377976552E-4</v>
      </c>
      <c r="AD514" s="103">
        <f>SUM($AC$5:AC514)</f>
        <v>0.41275857054567966</v>
      </c>
      <c r="AE514" s="99" t="str" cm="1">
        <f t="array" ref="AE514">IF(SamplingData[[#This Row],[up/U Selection Probability]] = 0, "Zero", TEXT(SamplingData[[#This Row],[Lower Range]], REPT("0",LEN('General Info'!$B$42))) &amp; " - " &amp; TEXT(SamplingData[[#This Row],[Upper Range]], REPT("0",LEN('General Info'!$B$42))))</f>
        <v>412434 - 412758</v>
      </c>
      <c r="AF514" s="99">
        <f>SamplingData[[#This Row],[Upper Range]]-SamplingData[[#This Row],[Span]]</f>
        <v>412433.65325189987</v>
      </c>
      <c r="AG514" s="99">
        <f>IF(ISNUMBER('General Info'!$B$42), ((SamplingData[[#This Row],[up/U Selection Probability]]) * 'General Info'!$B$44) - 1, 0)</f>
        <v>323.91729377976554</v>
      </c>
      <c r="AH514" s="99">
        <f>IF(ISNUMBER('General Info'!$B$42), (SamplingData[[#This Row],[Running (cumulative) sum]] * ('General Info'!$B$42 -'General Info'!$B$43 + 1)) + 'General Info'!$B$43 - 1, 0)</f>
        <v>412757.57054567966</v>
      </c>
      <c r="AI514" s="99" t="str">
        <f>IF(ISERROR(MATCH(SamplingData[[#This Row],[Batch by Type (p)]],SelectedPrecincts[Batch Name], 0)), "", INDEX(SelectedPrecincts[Draw], MATCH(SamplingData[[#This Row],[Batch by Type (p)]],SelectedPrecincts[Batch Name], 0)))</f>
        <v/>
      </c>
      <c r="AJ514" s="100">
        <f>IF(COUNTIF(SelectedPrecincts[Batch Name],SamplingData[[#This Row],[Batch by Type (p)]]) &lt;&gt; 0, COUNTIF(SelectedPrecincts[Batch Name],SamplingData[[#This Row],[Batch by Type (p)]]), 0)</f>
        <v>0</v>
      </c>
    </row>
    <row r="515" spans="1:36" ht="15" customHeight="1" x14ac:dyDescent="0.35">
      <c r="A515" s="97" t="s">
        <v>728</v>
      </c>
      <c r="B515" s="97">
        <v>175</v>
      </c>
      <c r="C515" s="97">
        <v>61</v>
      </c>
      <c r="D515" s="92"/>
      <c r="E515" s="92"/>
      <c r="F515" s="92"/>
      <c r="G515" s="96"/>
      <c r="H515" s="96"/>
      <c r="I515" s="92"/>
      <c r="J515" s="92"/>
      <c r="K515" s="92"/>
      <c r="L515" s="92"/>
      <c r="M515" s="92"/>
      <c r="N515" s="97">
        <v>0</v>
      </c>
      <c r="O515" s="97">
        <v>6</v>
      </c>
      <c r="P515" s="98">
        <f>SUM(SamplingData[[#This Row],[Winning Candidate]:[Under Votes]])</f>
        <v>242</v>
      </c>
      <c r="Q515" s="99">
        <f>IF(AND(SamplingData[[#This Row],[Total]]&lt;&gt; 0, NOT(ISBLANK(SamplingData[[#This Row],[Losing Candidate]]))),(SamplingData[[#This Row],[Total]]+SamplingData[[#This Row],[Winning Candidate]]-SamplingData[[#This Row],[Losing Candidate]])/(SamplingData[[#Totals],[Winning Candidate]]-SamplingData[[#Totals],[Losing Candidate]]), 0)</f>
        <v>1.5107791546426753E-2</v>
      </c>
      <c r="R515" s="99">
        <f>IF(AND(SamplingData[[#This Row],[Total]]&lt;&gt; 0, NOT(ISBLANK(SamplingData[[#This Row],[Candidate 3]]))),(SamplingData[[#This Row],[Total]]+SamplingData[[#This Row],[Winning Candidate]]-SamplingData[[#This Row],[Candidate 3]])/(SamplingData[[#Totals],[Winning Candidate]]-SamplingData[[#Totals],[Candidate 3]]), 0)</f>
        <v>0</v>
      </c>
      <c r="S515" s="99">
        <f>IF(AND(SamplingData[[#This Row],[Total]]&lt;&gt; 0, NOT(ISBLANK(SamplingData[[#This Row],[Candidate 4]]))),(SamplingData[[#This Row],[Total]]+SamplingData[[#This Row],[Winning Candidate]]-SamplingData[[#This Row],[Candidate 4]])/(SamplingData[[#Totals],[Winning Candidate]]-SamplingData[[#Totals],[Candidate 4]]), 0)</f>
        <v>0</v>
      </c>
      <c r="T515" s="99">
        <f>IF(AND(SamplingData[[#This Row],[Total]]&lt;&gt; 0, NOT(ISBLANK(SamplingData[[#This Row],[Candidate 5]]))),(SamplingData[[#This Row],[Total]]+SamplingData[[#This Row],[Winning Candidate]]-SamplingData[[#This Row],[Candidate 5]])/(SamplingData[[#Totals],[Winning Candidate]]-SamplingData[[#Totals],[Candidate 5]]), 0)</f>
        <v>0</v>
      </c>
      <c r="U515" s="99">
        <f>IF(AND(SamplingData[[#This Row],[Total]]&lt;&gt; 0, NOT(ISBLANK(SamplingData[[#This Row],[Candidate 6]]))),(SamplingData[[#This Row],[Total]]+SamplingData[[#This Row],[Losing Candidate]]-SamplingData[[#This Row],[Candidate 6]])/(SamplingData[[#Totals],[Winning Candidate]]-SamplingData[[#Totals],[Candidate 6]]), 0)</f>
        <v>0</v>
      </c>
      <c r="V515" s="99">
        <f>IF(AND(SamplingData[[#This Row],[Total]]&lt;&gt; 0, NOT(ISBLANK(SamplingData[[#This Row],[Candidate 7]]))),(SamplingData[[#This Row],[Total]]+SamplingData[[#This Row],[Winning Candidate]]-SamplingData[[#This Row],[Candidate 7]])/(SamplingData[[#Totals],[Winning Candidate]]-SamplingData[[#Totals],[Candidate 7]]), 0)</f>
        <v>0</v>
      </c>
      <c r="W515" s="99">
        <f>IF(AND(SamplingData[[#This Row],[Total]]&lt;&gt; 0, NOT(ISBLANK(SamplingData[[#This Row],[Candidate 8]]))),(SamplingData[[#This Row],[Total]]+SamplingData[[#This Row],[Winning Candidate]]-SamplingData[[#This Row],[Candidate 8]])/(SamplingData[[#Totals],[Winning Candidate]]-SamplingData[[#Totals],[Candidate 8]]), 0)</f>
        <v>0</v>
      </c>
      <c r="X5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5" s="99">
        <f>MAX(SamplingData[[#This Row],[Error Bound (up) - Max. possible relative overstatement - Losing Candidate]:[Error Bound (up) - Max. possible relative overstatement - Candidate 12]])</f>
        <v>1.5107791546426753E-2</v>
      </c>
      <c r="AC515" s="99">
        <f>IF(SamplingData[[#This Row],[Max Error Bound (up)]] = 0,0,SamplingData[[#This Row],[Max Error Bound (up)]]/SamplingData[[#Totals],[Max Error Bound (up)]])</f>
        <v>8.0888501108808777E-4</v>
      </c>
      <c r="AD515" s="103">
        <f>SUM($AC$5:AC515)</f>
        <v>0.41356745555676777</v>
      </c>
      <c r="AE515" s="99" t="str" cm="1">
        <f t="array" ref="AE515">IF(SamplingData[[#This Row],[up/U Selection Probability]] = 0, "Zero", TEXT(SamplingData[[#This Row],[Lower Range]], REPT("0",LEN('General Info'!$B$42))) &amp; " - " &amp; TEXT(SamplingData[[#This Row],[Upper Range]], REPT("0",LEN('General Info'!$B$42))))</f>
        <v>412759 - 413566</v>
      </c>
      <c r="AF515" s="99">
        <f>SamplingData[[#This Row],[Upper Range]]-SamplingData[[#This Row],[Span]]</f>
        <v>412758.57054567966</v>
      </c>
      <c r="AG515" s="99">
        <f>IF(ISNUMBER('General Info'!$B$42), ((SamplingData[[#This Row],[up/U Selection Probability]]) * 'General Info'!$B$44) - 1, 0)</f>
        <v>807.88501108808782</v>
      </c>
      <c r="AH515" s="99">
        <f>IF(ISNUMBER('General Info'!$B$42), (SamplingData[[#This Row],[Running (cumulative) sum]] * ('General Info'!$B$42 -'General Info'!$B$43 + 1)) + 'General Info'!$B$43 - 1, 0)</f>
        <v>413566.45555676776</v>
      </c>
      <c r="AI515" s="99" t="str">
        <f>IF(ISERROR(MATCH(SamplingData[[#This Row],[Batch by Type (p)]],SelectedPrecincts[Batch Name], 0)), "", INDEX(SelectedPrecincts[Draw], MATCH(SamplingData[[#This Row],[Batch by Type (p)]],SelectedPrecincts[Batch Name], 0)))</f>
        <v/>
      </c>
      <c r="AJ515" s="100">
        <f>IF(COUNTIF(SelectedPrecincts[Batch Name],SamplingData[[#This Row],[Batch by Type (p)]]) &lt;&gt; 0, COUNTIF(SelectedPrecincts[Batch Name],SamplingData[[#This Row],[Batch by Type (p)]]), 0)</f>
        <v>0</v>
      </c>
    </row>
    <row r="516" spans="1:36" ht="15" customHeight="1" x14ac:dyDescent="0.35">
      <c r="A516" s="97" t="s">
        <v>729</v>
      </c>
      <c r="B516" s="97">
        <v>145</v>
      </c>
      <c r="C516" s="97">
        <v>39</v>
      </c>
      <c r="D516" s="92"/>
      <c r="E516" s="92"/>
      <c r="F516" s="92"/>
      <c r="G516" s="96"/>
      <c r="H516" s="96"/>
      <c r="I516" s="92"/>
      <c r="J516" s="92"/>
      <c r="K516" s="92"/>
      <c r="L516" s="92"/>
      <c r="M516" s="92"/>
      <c r="N516" s="97">
        <v>0</v>
      </c>
      <c r="O516" s="97">
        <v>11</v>
      </c>
      <c r="P516" s="98">
        <f>SUM(SamplingData[[#This Row],[Winning Candidate]:[Under Votes]])</f>
        <v>195</v>
      </c>
      <c r="Q516" s="99">
        <f>IF(AND(SamplingData[[#This Row],[Total]]&lt;&gt; 0, NOT(ISBLANK(SamplingData[[#This Row],[Losing Candidate]]))),(SamplingData[[#This Row],[Total]]+SamplingData[[#This Row],[Winning Candidate]]-SamplingData[[#This Row],[Losing Candidate]])/(SamplingData[[#Totals],[Winning Candidate]]-SamplingData[[#Totals],[Losing Candidate]]), 0)</f>
        <v>1.2773722627737226E-2</v>
      </c>
      <c r="R516" s="99">
        <f>IF(AND(SamplingData[[#This Row],[Total]]&lt;&gt; 0, NOT(ISBLANK(SamplingData[[#This Row],[Candidate 3]]))),(SamplingData[[#This Row],[Total]]+SamplingData[[#This Row],[Winning Candidate]]-SamplingData[[#This Row],[Candidate 3]])/(SamplingData[[#Totals],[Winning Candidate]]-SamplingData[[#Totals],[Candidate 3]]), 0)</f>
        <v>0</v>
      </c>
      <c r="S516" s="99">
        <f>IF(AND(SamplingData[[#This Row],[Total]]&lt;&gt; 0, NOT(ISBLANK(SamplingData[[#This Row],[Candidate 4]]))),(SamplingData[[#This Row],[Total]]+SamplingData[[#This Row],[Winning Candidate]]-SamplingData[[#This Row],[Candidate 4]])/(SamplingData[[#Totals],[Winning Candidate]]-SamplingData[[#Totals],[Candidate 4]]), 0)</f>
        <v>0</v>
      </c>
      <c r="T516" s="99">
        <f>IF(AND(SamplingData[[#This Row],[Total]]&lt;&gt; 0, NOT(ISBLANK(SamplingData[[#This Row],[Candidate 5]]))),(SamplingData[[#This Row],[Total]]+SamplingData[[#This Row],[Winning Candidate]]-SamplingData[[#This Row],[Candidate 5]])/(SamplingData[[#Totals],[Winning Candidate]]-SamplingData[[#Totals],[Candidate 5]]), 0)</f>
        <v>0</v>
      </c>
      <c r="U516" s="99">
        <f>IF(AND(SamplingData[[#This Row],[Total]]&lt;&gt; 0, NOT(ISBLANK(SamplingData[[#This Row],[Candidate 6]]))),(SamplingData[[#This Row],[Total]]+SamplingData[[#This Row],[Losing Candidate]]-SamplingData[[#This Row],[Candidate 6]])/(SamplingData[[#Totals],[Winning Candidate]]-SamplingData[[#Totals],[Candidate 6]]), 0)</f>
        <v>0</v>
      </c>
      <c r="V516" s="99">
        <f>IF(AND(SamplingData[[#This Row],[Total]]&lt;&gt; 0, NOT(ISBLANK(SamplingData[[#This Row],[Candidate 7]]))),(SamplingData[[#This Row],[Total]]+SamplingData[[#This Row],[Winning Candidate]]-SamplingData[[#This Row],[Candidate 7]])/(SamplingData[[#Totals],[Winning Candidate]]-SamplingData[[#Totals],[Candidate 7]]), 0)</f>
        <v>0</v>
      </c>
      <c r="W516" s="99">
        <f>IF(AND(SamplingData[[#This Row],[Total]]&lt;&gt; 0, NOT(ISBLANK(SamplingData[[#This Row],[Candidate 8]]))),(SamplingData[[#This Row],[Total]]+SamplingData[[#This Row],[Winning Candidate]]-SamplingData[[#This Row],[Candidate 8]])/(SamplingData[[#Totals],[Winning Candidate]]-SamplingData[[#Totals],[Candidate 8]]), 0)</f>
        <v>0</v>
      </c>
      <c r="X5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6" s="99">
        <f>MAX(SamplingData[[#This Row],[Error Bound (up) - Max. possible relative overstatement - Losing Candidate]:[Error Bound (up) - Max. possible relative overstatement - Candidate 12]])</f>
        <v>1.2773722627737226E-2</v>
      </c>
      <c r="AC516" s="99">
        <f>IF(SamplingData[[#This Row],[Max Error Bound (up)]] = 0,0,SamplingData[[#This Row],[Max Error Bound (up)]]/SamplingData[[#Totals],[Max Error Bound (up)]])</f>
        <v>6.839168211727933E-4</v>
      </c>
      <c r="AD516" s="103">
        <f>SUM($AC$5:AC516)</f>
        <v>0.41425137237794057</v>
      </c>
      <c r="AE516" s="99" t="str" cm="1">
        <f t="array" ref="AE516">IF(SamplingData[[#This Row],[up/U Selection Probability]] = 0, "Zero", TEXT(SamplingData[[#This Row],[Lower Range]], REPT("0",LEN('General Info'!$B$42))) &amp; " - " &amp; TEXT(SamplingData[[#This Row],[Upper Range]], REPT("0",LEN('General Info'!$B$42))))</f>
        <v>413567 - 414250</v>
      </c>
      <c r="AF516" s="99">
        <f>SamplingData[[#This Row],[Upper Range]]-SamplingData[[#This Row],[Span]]</f>
        <v>413567.45555676776</v>
      </c>
      <c r="AG516" s="99">
        <f>IF(ISNUMBER('General Info'!$B$42), ((SamplingData[[#This Row],[up/U Selection Probability]]) * 'General Info'!$B$44) - 1, 0)</f>
        <v>682.91682117279333</v>
      </c>
      <c r="AH516" s="99">
        <f>IF(ISNUMBER('General Info'!$B$42), (SamplingData[[#This Row],[Running (cumulative) sum]] * ('General Info'!$B$42 -'General Info'!$B$43 + 1)) + 'General Info'!$B$43 - 1, 0)</f>
        <v>414250.37237794057</v>
      </c>
      <c r="AI516" s="99" t="str">
        <f>IF(ISERROR(MATCH(SamplingData[[#This Row],[Batch by Type (p)]],SelectedPrecincts[Batch Name], 0)), "", INDEX(SelectedPrecincts[Draw], MATCH(SamplingData[[#This Row],[Batch by Type (p)]],SelectedPrecincts[Batch Name], 0)))</f>
        <v/>
      </c>
      <c r="AJ516" s="100">
        <f>IF(COUNTIF(SelectedPrecincts[Batch Name],SamplingData[[#This Row],[Batch by Type (p)]]) &lt;&gt; 0, COUNTIF(SelectedPrecincts[Batch Name],SamplingData[[#This Row],[Batch by Type (p)]]), 0)</f>
        <v>0</v>
      </c>
    </row>
    <row r="517" spans="1:36" ht="15" customHeight="1" x14ac:dyDescent="0.35">
      <c r="A517" s="97" t="s">
        <v>730</v>
      </c>
      <c r="B517" s="97">
        <v>63</v>
      </c>
      <c r="C517" s="97">
        <v>16</v>
      </c>
      <c r="D517" s="92"/>
      <c r="E517" s="92"/>
      <c r="F517" s="92"/>
      <c r="G517" s="96"/>
      <c r="H517" s="96"/>
      <c r="I517" s="92"/>
      <c r="J517" s="92"/>
      <c r="K517" s="92"/>
      <c r="L517" s="92"/>
      <c r="M517" s="92"/>
      <c r="N517" s="97">
        <v>0</v>
      </c>
      <c r="O517" s="97">
        <v>3</v>
      </c>
      <c r="P517" s="98">
        <f>SUM(SamplingData[[#This Row],[Winning Candidate]:[Under Votes]])</f>
        <v>82</v>
      </c>
      <c r="Q517" s="99">
        <f>IF(AND(SamplingData[[#This Row],[Total]]&lt;&gt; 0, NOT(ISBLANK(SamplingData[[#This Row],[Losing Candidate]]))),(SamplingData[[#This Row],[Total]]+SamplingData[[#This Row],[Winning Candidate]]-SamplingData[[#This Row],[Losing Candidate]])/(SamplingData[[#Totals],[Winning Candidate]]-SamplingData[[#Totals],[Losing Candidate]]), 0)</f>
        <v>5.4744525547445258E-3</v>
      </c>
      <c r="R517" s="99">
        <f>IF(AND(SamplingData[[#This Row],[Total]]&lt;&gt; 0, NOT(ISBLANK(SamplingData[[#This Row],[Candidate 3]]))),(SamplingData[[#This Row],[Total]]+SamplingData[[#This Row],[Winning Candidate]]-SamplingData[[#This Row],[Candidate 3]])/(SamplingData[[#Totals],[Winning Candidate]]-SamplingData[[#Totals],[Candidate 3]]), 0)</f>
        <v>0</v>
      </c>
      <c r="S517" s="99">
        <f>IF(AND(SamplingData[[#This Row],[Total]]&lt;&gt; 0, NOT(ISBLANK(SamplingData[[#This Row],[Candidate 4]]))),(SamplingData[[#This Row],[Total]]+SamplingData[[#This Row],[Winning Candidate]]-SamplingData[[#This Row],[Candidate 4]])/(SamplingData[[#Totals],[Winning Candidate]]-SamplingData[[#Totals],[Candidate 4]]), 0)</f>
        <v>0</v>
      </c>
      <c r="T517" s="99">
        <f>IF(AND(SamplingData[[#This Row],[Total]]&lt;&gt; 0, NOT(ISBLANK(SamplingData[[#This Row],[Candidate 5]]))),(SamplingData[[#This Row],[Total]]+SamplingData[[#This Row],[Winning Candidate]]-SamplingData[[#This Row],[Candidate 5]])/(SamplingData[[#Totals],[Winning Candidate]]-SamplingData[[#Totals],[Candidate 5]]), 0)</f>
        <v>0</v>
      </c>
      <c r="U517" s="99">
        <f>IF(AND(SamplingData[[#This Row],[Total]]&lt;&gt; 0, NOT(ISBLANK(SamplingData[[#This Row],[Candidate 6]]))),(SamplingData[[#This Row],[Total]]+SamplingData[[#This Row],[Losing Candidate]]-SamplingData[[#This Row],[Candidate 6]])/(SamplingData[[#Totals],[Winning Candidate]]-SamplingData[[#Totals],[Candidate 6]]), 0)</f>
        <v>0</v>
      </c>
      <c r="V517" s="99">
        <f>IF(AND(SamplingData[[#This Row],[Total]]&lt;&gt; 0, NOT(ISBLANK(SamplingData[[#This Row],[Candidate 7]]))),(SamplingData[[#This Row],[Total]]+SamplingData[[#This Row],[Winning Candidate]]-SamplingData[[#This Row],[Candidate 7]])/(SamplingData[[#Totals],[Winning Candidate]]-SamplingData[[#Totals],[Candidate 7]]), 0)</f>
        <v>0</v>
      </c>
      <c r="W517" s="99">
        <f>IF(AND(SamplingData[[#This Row],[Total]]&lt;&gt; 0, NOT(ISBLANK(SamplingData[[#This Row],[Candidate 8]]))),(SamplingData[[#This Row],[Total]]+SamplingData[[#This Row],[Winning Candidate]]-SamplingData[[#This Row],[Candidate 8]])/(SamplingData[[#Totals],[Winning Candidate]]-SamplingData[[#Totals],[Candidate 8]]), 0)</f>
        <v>0</v>
      </c>
      <c r="X5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7" s="99">
        <f>MAX(SamplingData[[#This Row],[Error Bound (up) - Max. possible relative overstatement - Losing Candidate]:[Error Bound (up) - Max. possible relative overstatement - Candidate 12]])</f>
        <v>5.4744525547445258E-3</v>
      </c>
      <c r="AC517" s="99">
        <f>IF(SamplingData[[#This Row],[Max Error Bound (up)]] = 0,0,SamplingData[[#This Row],[Max Error Bound (up)]]/SamplingData[[#Totals],[Max Error Bound (up)]])</f>
        <v>2.9310720907405426E-4</v>
      </c>
      <c r="AD517" s="103">
        <f>SUM($AC$5:AC517)</f>
        <v>0.41454447958701462</v>
      </c>
      <c r="AE517" s="99" t="str" cm="1">
        <f t="array" ref="AE517">IF(SamplingData[[#This Row],[up/U Selection Probability]] = 0, "Zero", TEXT(SamplingData[[#This Row],[Lower Range]], REPT("0",LEN('General Info'!$B$42))) &amp; " - " &amp; TEXT(SamplingData[[#This Row],[Upper Range]], REPT("0",LEN('General Info'!$B$42))))</f>
        <v>414251 - 414543</v>
      </c>
      <c r="AF517" s="99">
        <f>SamplingData[[#This Row],[Upper Range]]-SamplingData[[#This Row],[Span]]</f>
        <v>414251.37237794057</v>
      </c>
      <c r="AG517" s="99">
        <f>IF(ISNUMBER('General Info'!$B$42), ((SamplingData[[#This Row],[up/U Selection Probability]]) * 'General Info'!$B$44) - 1, 0)</f>
        <v>292.10720907405425</v>
      </c>
      <c r="AH517" s="99">
        <f>IF(ISNUMBER('General Info'!$B$42), (SamplingData[[#This Row],[Running (cumulative) sum]] * ('General Info'!$B$42 -'General Info'!$B$43 + 1)) + 'General Info'!$B$43 - 1, 0)</f>
        <v>414543.47958701465</v>
      </c>
      <c r="AI517" s="99" t="str">
        <f>IF(ISERROR(MATCH(SamplingData[[#This Row],[Batch by Type (p)]],SelectedPrecincts[Batch Name], 0)), "", INDEX(SelectedPrecincts[Draw], MATCH(SamplingData[[#This Row],[Batch by Type (p)]],SelectedPrecincts[Batch Name], 0)))</f>
        <v/>
      </c>
      <c r="AJ517" s="100">
        <f>IF(COUNTIF(SelectedPrecincts[Batch Name],SamplingData[[#This Row],[Batch by Type (p)]]) &lt;&gt; 0, COUNTIF(SelectedPrecincts[Batch Name],SamplingData[[#This Row],[Batch by Type (p)]]), 0)</f>
        <v>0</v>
      </c>
    </row>
    <row r="518" spans="1:36" ht="15" customHeight="1" x14ac:dyDescent="0.35">
      <c r="A518" s="97" t="s">
        <v>731</v>
      </c>
      <c r="B518" s="97">
        <v>213</v>
      </c>
      <c r="C518" s="97">
        <v>117</v>
      </c>
      <c r="D518" s="92"/>
      <c r="E518" s="92"/>
      <c r="F518" s="92"/>
      <c r="G518" s="96"/>
      <c r="H518" s="96"/>
      <c r="I518" s="92"/>
      <c r="J518" s="92"/>
      <c r="K518" s="92"/>
      <c r="L518" s="92"/>
      <c r="M518" s="92"/>
      <c r="N518" s="97">
        <v>0</v>
      </c>
      <c r="O518" s="97">
        <v>20</v>
      </c>
      <c r="P518" s="98">
        <f>SUM(SamplingData[[#This Row],[Winning Candidate]:[Under Votes]])</f>
        <v>350</v>
      </c>
      <c r="Q518" s="99">
        <f>IF(AND(SamplingData[[#This Row],[Total]]&lt;&gt; 0, NOT(ISBLANK(SamplingData[[#This Row],[Losing Candidate]]))),(SamplingData[[#This Row],[Total]]+SamplingData[[#This Row],[Winning Candidate]]-SamplingData[[#This Row],[Losing Candidate]])/(SamplingData[[#Totals],[Winning Candidate]]-SamplingData[[#Totals],[Losing Candidate]]), 0)</f>
        <v>1.8927177049736888E-2</v>
      </c>
      <c r="R518" s="99">
        <f>IF(AND(SamplingData[[#This Row],[Total]]&lt;&gt; 0, NOT(ISBLANK(SamplingData[[#This Row],[Candidate 3]]))),(SamplingData[[#This Row],[Total]]+SamplingData[[#This Row],[Winning Candidate]]-SamplingData[[#This Row],[Candidate 3]])/(SamplingData[[#Totals],[Winning Candidate]]-SamplingData[[#Totals],[Candidate 3]]), 0)</f>
        <v>0</v>
      </c>
      <c r="S518" s="99">
        <f>IF(AND(SamplingData[[#This Row],[Total]]&lt;&gt; 0, NOT(ISBLANK(SamplingData[[#This Row],[Candidate 4]]))),(SamplingData[[#This Row],[Total]]+SamplingData[[#This Row],[Winning Candidate]]-SamplingData[[#This Row],[Candidate 4]])/(SamplingData[[#Totals],[Winning Candidate]]-SamplingData[[#Totals],[Candidate 4]]), 0)</f>
        <v>0</v>
      </c>
      <c r="T518" s="99">
        <f>IF(AND(SamplingData[[#This Row],[Total]]&lt;&gt; 0, NOT(ISBLANK(SamplingData[[#This Row],[Candidate 5]]))),(SamplingData[[#This Row],[Total]]+SamplingData[[#This Row],[Winning Candidate]]-SamplingData[[#This Row],[Candidate 5]])/(SamplingData[[#Totals],[Winning Candidate]]-SamplingData[[#Totals],[Candidate 5]]), 0)</f>
        <v>0</v>
      </c>
      <c r="U518" s="99">
        <f>IF(AND(SamplingData[[#This Row],[Total]]&lt;&gt; 0, NOT(ISBLANK(SamplingData[[#This Row],[Candidate 6]]))),(SamplingData[[#This Row],[Total]]+SamplingData[[#This Row],[Losing Candidate]]-SamplingData[[#This Row],[Candidate 6]])/(SamplingData[[#Totals],[Winning Candidate]]-SamplingData[[#Totals],[Candidate 6]]), 0)</f>
        <v>0</v>
      </c>
      <c r="V518" s="99">
        <f>IF(AND(SamplingData[[#This Row],[Total]]&lt;&gt; 0, NOT(ISBLANK(SamplingData[[#This Row],[Candidate 7]]))),(SamplingData[[#This Row],[Total]]+SamplingData[[#This Row],[Winning Candidate]]-SamplingData[[#This Row],[Candidate 7]])/(SamplingData[[#Totals],[Winning Candidate]]-SamplingData[[#Totals],[Candidate 7]]), 0)</f>
        <v>0</v>
      </c>
      <c r="W518" s="99">
        <f>IF(AND(SamplingData[[#This Row],[Total]]&lt;&gt; 0, NOT(ISBLANK(SamplingData[[#This Row],[Candidate 8]]))),(SamplingData[[#This Row],[Total]]+SamplingData[[#This Row],[Winning Candidate]]-SamplingData[[#This Row],[Candidate 8]])/(SamplingData[[#Totals],[Winning Candidate]]-SamplingData[[#Totals],[Candidate 8]]), 0)</f>
        <v>0</v>
      </c>
      <c r="X5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8" s="99">
        <f>MAX(SamplingData[[#This Row],[Error Bound (up) - Max. possible relative overstatement - Losing Candidate]:[Error Bound (up) - Max. possible relative overstatement - Candidate 12]])</f>
        <v>1.8927177049736888E-2</v>
      </c>
      <c r="AC518" s="99">
        <f>IF(SamplingData[[#This Row],[Max Error Bound (up)]] = 0,0,SamplingData[[#This Row],[Max Error Bound (up)]]/SamplingData[[#Totals],[Max Error Bound (up)]])</f>
        <v>1.0133784127676604E-3</v>
      </c>
      <c r="AD518" s="103">
        <f>SUM($AC$5:AC518)</f>
        <v>0.41555785799978229</v>
      </c>
      <c r="AE518" s="99" t="str" cm="1">
        <f t="array" ref="AE518">IF(SamplingData[[#This Row],[up/U Selection Probability]] = 0, "Zero", TEXT(SamplingData[[#This Row],[Lower Range]], REPT("0",LEN('General Info'!$B$42))) &amp; " - " &amp; TEXT(SamplingData[[#This Row],[Upper Range]], REPT("0",LEN('General Info'!$B$42))))</f>
        <v>414544 - 415557</v>
      </c>
      <c r="AF518" s="99">
        <f>SamplingData[[#This Row],[Upper Range]]-SamplingData[[#This Row],[Span]]</f>
        <v>414544.47958701465</v>
      </c>
      <c r="AG518" s="99">
        <f>IF(ISNUMBER('General Info'!$B$42), ((SamplingData[[#This Row],[up/U Selection Probability]]) * 'General Info'!$B$44) - 1, 0)</f>
        <v>1012.3784127676604</v>
      </c>
      <c r="AH518" s="99">
        <f>IF(ISNUMBER('General Info'!$B$42), (SamplingData[[#This Row],[Running (cumulative) sum]] * ('General Info'!$B$42 -'General Info'!$B$43 + 1)) + 'General Info'!$B$43 - 1, 0)</f>
        <v>415556.85799978231</v>
      </c>
      <c r="AI518" s="99" t="str">
        <f>IF(ISERROR(MATCH(SamplingData[[#This Row],[Batch by Type (p)]],SelectedPrecincts[Batch Name], 0)), "", INDEX(SelectedPrecincts[Draw], MATCH(SamplingData[[#This Row],[Batch by Type (p)]],SelectedPrecincts[Batch Name], 0)))</f>
        <v/>
      </c>
      <c r="AJ518" s="100">
        <f>IF(COUNTIF(SelectedPrecincts[Batch Name],SamplingData[[#This Row],[Batch by Type (p)]]) &lt;&gt; 0, COUNTIF(SelectedPrecincts[Batch Name],SamplingData[[#This Row],[Batch by Type (p)]]), 0)</f>
        <v>0</v>
      </c>
    </row>
    <row r="519" spans="1:36" ht="15" customHeight="1" x14ac:dyDescent="0.35">
      <c r="A519" s="97" t="s">
        <v>732</v>
      </c>
      <c r="B519" s="97">
        <v>235</v>
      </c>
      <c r="C519" s="97">
        <v>116</v>
      </c>
      <c r="D519" s="92"/>
      <c r="E519" s="92"/>
      <c r="F519" s="92"/>
      <c r="G519" s="96"/>
      <c r="H519" s="96"/>
      <c r="I519" s="92"/>
      <c r="J519" s="92"/>
      <c r="K519" s="92"/>
      <c r="L519" s="92"/>
      <c r="M519" s="92"/>
      <c r="N519" s="97">
        <v>0</v>
      </c>
      <c r="O519" s="97">
        <v>15</v>
      </c>
      <c r="P519" s="98">
        <f>SUM(SamplingData[[#This Row],[Winning Candidate]:[Under Votes]])</f>
        <v>366</v>
      </c>
      <c r="Q519" s="99">
        <f>IF(AND(SamplingData[[#This Row],[Total]]&lt;&gt; 0, NOT(ISBLANK(SamplingData[[#This Row],[Losing Candidate]]))),(SamplingData[[#This Row],[Total]]+SamplingData[[#This Row],[Winning Candidate]]-SamplingData[[#This Row],[Losing Candidate]])/(SamplingData[[#Totals],[Winning Candidate]]-SamplingData[[#Totals],[Losing Candidate]]), 0)</f>
        <v>2.0582244101171279E-2</v>
      </c>
      <c r="R519" s="99">
        <f>IF(AND(SamplingData[[#This Row],[Total]]&lt;&gt; 0, NOT(ISBLANK(SamplingData[[#This Row],[Candidate 3]]))),(SamplingData[[#This Row],[Total]]+SamplingData[[#This Row],[Winning Candidate]]-SamplingData[[#This Row],[Candidate 3]])/(SamplingData[[#Totals],[Winning Candidate]]-SamplingData[[#Totals],[Candidate 3]]), 0)</f>
        <v>0</v>
      </c>
      <c r="S519" s="99">
        <f>IF(AND(SamplingData[[#This Row],[Total]]&lt;&gt; 0, NOT(ISBLANK(SamplingData[[#This Row],[Candidate 4]]))),(SamplingData[[#This Row],[Total]]+SamplingData[[#This Row],[Winning Candidate]]-SamplingData[[#This Row],[Candidate 4]])/(SamplingData[[#Totals],[Winning Candidate]]-SamplingData[[#Totals],[Candidate 4]]), 0)</f>
        <v>0</v>
      </c>
      <c r="T519" s="99">
        <f>IF(AND(SamplingData[[#This Row],[Total]]&lt;&gt; 0, NOT(ISBLANK(SamplingData[[#This Row],[Candidate 5]]))),(SamplingData[[#This Row],[Total]]+SamplingData[[#This Row],[Winning Candidate]]-SamplingData[[#This Row],[Candidate 5]])/(SamplingData[[#Totals],[Winning Candidate]]-SamplingData[[#Totals],[Candidate 5]]), 0)</f>
        <v>0</v>
      </c>
      <c r="U519" s="99">
        <f>IF(AND(SamplingData[[#This Row],[Total]]&lt;&gt; 0, NOT(ISBLANK(SamplingData[[#This Row],[Candidate 6]]))),(SamplingData[[#This Row],[Total]]+SamplingData[[#This Row],[Losing Candidate]]-SamplingData[[#This Row],[Candidate 6]])/(SamplingData[[#Totals],[Winning Candidate]]-SamplingData[[#Totals],[Candidate 6]]), 0)</f>
        <v>0</v>
      </c>
      <c r="V519" s="99">
        <f>IF(AND(SamplingData[[#This Row],[Total]]&lt;&gt; 0, NOT(ISBLANK(SamplingData[[#This Row],[Candidate 7]]))),(SamplingData[[#This Row],[Total]]+SamplingData[[#This Row],[Winning Candidate]]-SamplingData[[#This Row],[Candidate 7]])/(SamplingData[[#Totals],[Winning Candidate]]-SamplingData[[#Totals],[Candidate 7]]), 0)</f>
        <v>0</v>
      </c>
      <c r="W519" s="99">
        <f>IF(AND(SamplingData[[#This Row],[Total]]&lt;&gt; 0, NOT(ISBLANK(SamplingData[[#This Row],[Candidate 8]]))),(SamplingData[[#This Row],[Total]]+SamplingData[[#This Row],[Winning Candidate]]-SamplingData[[#This Row],[Candidate 8]])/(SamplingData[[#Totals],[Winning Candidate]]-SamplingData[[#Totals],[Candidate 8]]), 0)</f>
        <v>0</v>
      </c>
      <c r="X5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9" s="99">
        <f>MAX(SamplingData[[#This Row],[Error Bound (up) - Max. possible relative overstatement - Losing Candidate]:[Error Bound (up) - Max. possible relative overstatement - Candidate 12]])</f>
        <v>2.0582244101171279E-2</v>
      </c>
      <c r="AC519" s="99">
        <f>IF(SamplingData[[#This Row],[Max Error Bound (up)]] = 0,0,SamplingData[[#This Row],[Max Error Bound (up)]]/SamplingData[[#Totals],[Max Error Bound (up)]])</f>
        <v>1.101992220162142E-3</v>
      </c>
      <c r="AD519" s="103">
        <f>SUM($AC$5:AC519)</f>
        <v>0.41665985021994445</v>
      </c>
      <c r="AE519" s="99" t="str" cm="1">
        <f t="array" ref="AE519">IF(SamplingData[[#This Row],[up/U Selection Probability]] = 0, "Zero", TEXT(SamplingData[[#This Row],[Lower Range]], REPT("0",LEN('General Info'!$B$42))) &amp; " - " &amp; TEXT(SamplingData[[#This Row],[Upper Range]], REPT("0",LEN('General Info'!$B$42))))</f>
        <v>415558 - 416659</v>
      </c>
      <c r="AF519" s="99">
        <f>SamplingData[[#This Row],[Upper Range]]-SamplingData[[#This Row],[Span]]</f>
        <v>415557.85799978231</v>
      </c>
      <c r="AG519" s="99">
        <f>IF(ISNUMBER('General Info'!$B$42), ((SamplingData[[#This Row],[up/U Selection Probability]]) * 'General Info'!$B$44) - 1, 0)</f>
        <v>1100.9922201621421</v>
      </c>
      <c r="AH519" s="99">
        <f>IF(ISNUMBER('General Info'!$B$42), (SamplingData[[#This Row],[Running (cumulative) sum]] * ('General Info'!$B$42 -'General Info'!$B$43 + 1)) + 'General Info'!$B$43 - 1, 0)</f>
        <v>416658.85021994443</v>
      </c>
      <c r="AI519" s="99" t="str">
        <f>IF(ISERROR(MATCH(SamplingData[[#This Row],[Batch by Type (p)]],SelectedPrecincts[Batch Name], 0)), "", INDEX(SelectedPrecincts[Draw], MATCH(SamplingData[[#This Row],[Batch by Type (p)]],SelectedPrecincts[Batch Name], 0)))</f>
        <v/>
      </c>
      <c r="AJ519" s="100">
        <f>IF(COUNTIF(SelectedPrecincts[Batch Name],SamplingData[[#This Row],[Batch by Type (p)]]) &lt;&gt; 0, COUNTIF(SelectedPrecincts[Batch Name],SamplingData[[#This Row],[Batch by Type (p)]]), 0)</f>
        <v>0</v>
      </c>
    </row>
    <row r="520" spans="1:36" ht="15" customHeight="1" x14ac:dyDescent="0.35">
      <c r="A520" s="97" t="s">
        <v>733</v>
      </c>
      <c r="B520" s="97">
        <v>165</v>
      </c>
      <c r="C520" s="97">
        <v>58</v>
      </c>
      <c r="D520" s="92"/>
      <c r="E520" s="92"/>
      <c r="F520" s="92"/>
      <c r="G520" s="96"/>
      <c r="H520" s="96"/>
      <c r="I520" s="92"/>
      <c r="J520" s="92"/>
      <c r="K520" s="92"/>
      <c r="L520" s="92"/>
      <c r="M520" s="92"/>
      <c r="N520" s="97">
        <v>0</v>
      </c>
      <c r="O520" s="97">
        <v>18</v>
      </c>
      <c r="P520" s="98">
        <f>SUM(SamplingData[[#This Row],[Winning Candidate]:[Under Votes]])</f>
        <v>241</v>
      </c>
      <c r="Q520" s="99">
        <f>IF(AND(SamplingData[[#This Row],[Total]]&lt;&gt; 0, NOT(ISBLANK(SamplingData[[#This Row],[Losing Candidate]]))),(SamplingData[[#This Row],[Total]]+SamplingData[[#This Row],[Winning Candidate]]-SamplingData[[#This Row],[Losing Candidate]])/(SamplingData[[#Totals],[Winning Candidate]]-SamplingData[[#Totals],[Losing Candidate]]), 0)</f>
        <v>1.4768290612799185E-2</v>
      </c>
      <c r="R520" s="99">
        <f>IF(AND(SamplingData[[#This Row],[Total]]&lt;&gt; 0, NOT(ISBLANK(SamplingData[[#This Row],[Candidate 3]]))),(SamplingData[[#This Row],[Total]]+SamplingData[[#This Row],[Winning Candidate]]-SamplingData[[#This Row],[Candidate 3]])/(SamplingData[[#Totals],[Winning Candidate]]-SamplingData[[#Totals],[Candidate 3]]), 0)</f>
        <v>0</v>
      </c>
      <c r="S520" s="99">
        <f>IF(AND(SamplingData[[#This Row],[Total]]&lt;&gt; 0, NOT(ISBLANK(SamplingData[[#This Row],[Candidate 4]]))),(SamplingData[[#This Row],[Total]]+SamplingData[[#This Row],[Winning Candidate]]-SamplingData[[#This Row],[Candidate 4]])/(SamplingData[[#Totals],[Winning Candidate]]-SamplingData[[#Totals],[Candidate 4]]), 0)</f>
        <v>0</v>
      </c>
      <c r="T520" s="99">
        <f>IF(AND(SamplingData[[#This Row],[Total]]&lt;&gt; 0, NOT(ISBLANK(SamplingData[[#This Row],[Candidate 5]]))),(SamplingData[[#This Row],[Total]]+SamplingData[[#This Row],[Winning Candidate]]-SamplingData[[#This Row],[Candidate 5]])/(SamplingData[[#Totals],[Winning Candidate]]-SamplingData[[#Totals],[Candidate 5]]), 0)</f>
        <v>0</v>
      </c>
      <c r="U520" s="99">
        <f>IF(AND(SamplingData[[#This Row],[Total]]&lt;&gt; 0, NOT(ISBLANK(SamplingData[[#This Row],[Candidate 6]]))),(SamplingData[[#This Row],[Total]]+SamplingData[[#This Row],[Losing Candidate]]-SamplingData[[#This Row],[Candidate 6]])/(SamplingData[[#Totals],[Winning Candidate]]-SamplingData[[#Totals],[Candidate 6]]), 0)</f>
        <v>0</v>
      </c>
      <c r="V520" s="99">
        <f>IF(AND(SamplingData[[#This Row],[Total]]&lt;&gt; 0, NOT(ISBLANK(SamplingData[[#This Row],[Candidate 7]]))),(SamplingData[[#This Row],[Total]]+SamplingData[[#This Row],[Winning Candidate]]-SamplingData[[#This Row],[Candidate 7]])/(SamplingData[[#Totals],[Winning Candidate]]-SamplingData[[#Totals],[Candidate 7]]), 0)</f>
        <v>0</v>
      </c>
      <c r="W520" s="99">
        <f>IF(AND(SamplingData[[#This Row],[Total]]&lt;&gt; 0, NOT(ISBLANK(SamplingData[[#This Row],[Candidate 8]]))),(SamplingData[[#This Row],[Total]]+SamplingData[[#This Row],[Winning Candidate]]-SamplingData[[#This Row],[Candidate 8]])/(SamplingData[[#Totals],[Winning Candidate]]-SamplingData[[#Totals],[Candidate 8]]), 0)</f>
        <v>0</v>
      </c>
      <c r="X5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0" s="99">
        <f>MAX(SamplingData[[#This Row],[Error Bound (up) - Max. possible relative overstatement - Losing Candidate]:[Error Bound (up) - Max. possible relative overstatement - Candidate 12]])</f>
        <v>1.4768290612799185E-2</v>
      </c>
      <c r="AC520" s="99">
        <f>IF(SamplingData[[#This Row],[Max Error Bound (up)]] = 0,0,SamplingData[[#This Row],[Max Error Bound (up)]]/SamplingData[[#Totals],[Max Error Bound (up)]])</f>
        <v>7.907078198276812E-4</v>
      </c>
      <c r="AD520" s="103">
        <f>SUM($AC$5:AC520)</f>
        <v>0.41745055803977216</v>
      </c>
      <c r="AE520" s="99" t="str" cm="1">
        <f t="array" ref="AE520">IF(SamplingData[[#This Row],[up/U Selection Probability]] = 0, "Zero", TEXT(SamplingData[[#This Row],[Lower Range]], REPT("0",LEN('General Info'!$B$42))) &amp; " - " &amp; TEXT(SamplingData[[#This Row],[Upper Range]], REPT("0",LEN('General Info'!$B$42))))</f>
        <v>416660 - 417450</v>
      </c>
      <c r="AF520" s="99">
        <f>SamplingData[[#This Row],[Upper Range]]-SamplingData[[#This Row],[Span]]</f>
        <v>416659.85021994449</v>
      </c>
      <c r="AG520" s="99">
        <f>IF(ISNUMBER('General Info'!$B$42), ((SamplingData[[#This Row],[up/U Selection Probability]]) * 'General Info'!$B$44) - 1, 0)</f>
        <v>789.70781982768119</v>
      </c>
      <c r="AH520" s="99">
        <f>IF(ISNUMBER('General Info'!$B$42), (SamplingData[[#This Row],[Running (cumulative) sum]] * ('General Info'!$B$42 -'General Info'!$B$43 + 1)) + 'General Info'!$B$43 - 1, 0)</f>
        <v>417449.55803977215</v>
      </c>
      <c r="AI520" s="99" t="str">
        <f>IF(ISERROR(MATCH(SamplingData[[#This Row],[Batch by Type (p)]],SelectedPrecincts[Batch Name], 0)), "", INDEX(SelectedPrecincts[Draw], MATCH(SamplingData[[#This Row],[Batch by Type (p)]],SelectedPrecincts[Batch Name], 0)))</f>
        <v/>
      </c>
      <c r="AJ520" s="100">
        <f>IF(COUNTIF(SelectedPrecincts[Batch Name],SamplingData[[#This Row],[Batch by Type (p)]]) &lt;&gt; 0, COUNTIF(SelectedPrecincts[Batch Name],SamplingData[[#This Row],[Batch by Type (p)]]), 0)</f>
        <v>0</v>
      </c>
    </row>
    <row r="521" spans="1:36" ht="15" customHeight="1" x14ac:dyDescent="0.35">
      <c r="A521" s="97" t="s">
        <v>734</v>
      </c>
      <c r="B521" s="97">
        <v>173</v>
      </c>
      <c r="C521" s="97">
        <v>62</v>
      </c>
      <c r="D521" s="92"/>
      <c r="E521" s="92"/>
      <c r="F521" s="92"/>
      <c r="G521" s="96"/>
      <c r="H521" s="96"/>
      <c r="I521" s="92"/>
      <c r="J521" s="92"/>
      <c r="K521" s="92"/>
      <c r="L521" s="92"/>
      <c r="M521" s="92"/>
      <c r="N521" s="97">
        <v>0</v>
      </c>
      <c r="O521" s="97">
        <v>12</v>
      </c>
      <c r="P521" s="98">
        <f>SUM(SamplingData[[#This Row],[Winning Candidate]:[Under Votes]])</f>
        <v>247</v>
      </c>
      <c r="Q521" s="99">
        <f>IF(AND(SamplingData[[#This Row],[Total]]&lt;&gt; 0, NOT(ISBLANK(SamplingData[[#This Row],[Losing Candidate]]))),(SamplingData[[#This Row],[Total]]+SamplingData[[#This Row],[Winning Candidate]]-SamplingData[[#This Row],[Losing Candidate]])/(SamplingData[[#Totals],[Winning Candidate]]-SamplingData[[#Totals],[Losing Candidate]]), 0)</f>
        <v>1.5192666779833644E-2</v>
      </c>
      <c r="R521" s="99">
        <f>IF(AND(SamplingData[[#This Row],[Total]]&lt;&gt; 0, NOT(ISBLANK(SamplingData[[#This Row],[Candidate 3]]))),(SamplingData[[#This Row],[Total]]+SamplingData[[#This Row],[Winning Candidate]]-SamplingData[[#This Row],[Candidate 3]])/(SamplingData[[#Totals],[Winning Candidate]]-SamplingData[[#Totals],[Candidate 3]]), 0)</f>
        <v>0</v>
      </c>
      <c r="S521" s="99">
        <f>IF(AND(SamplingData[[#This Row],[Total]]&lt;&gt; 0, NOT(ISBLANK(SamplingData[[#This Row],[Candidate 4]]))),(SamplingData[[#This Row],[Total]]+SamplingData[[#This Row],[Winning Candidate]]-SamplingData[[#This Row],[Candidate 4]])/(SamplingData[[#Totals],[Winning Candidate]]-SamplingData[[#Totals],[Candidate 4]]), 0)</f>
        <v>0</v>
      </c>
      <c r="T521" s="99">
        <f>IF(AND(SamplingData[[#This Row],[Total]]&lt;&gt; 0, NOT(ISBLANK(SamplingData[[#This Row],[Candidate 5]]))),(SamplingData[[#This Row],[Total]]+SamplingData[[#This Row],[Winning Candidate]]-SamplingData[[#This Row],[Candidate 5]])/(SamplingData[[#Totals],[Winning Candidate]]-SamplingData[[#Totals],[Candidate 5]]), 0)</f>
        <v>0</v>
      </c>
      <c r="U521" s="99">
        <f>IF(AND(SamplingData[[#This Row],[Total]]&lt;&gt; 0, NOT(ISBLANK(SamplingData[[#This Row],[Candidate 6]]))),(SamplingData[[#This Row],[Total]]+SamplingData[[#This Row],[Losing Candidate]]-SamplingData[[#This Row],[Candidate 6]])/(SamplingData[[#Totals],[Winning Candidate]]-SamplingData[[#Totals],[Candidate 6]]), 0)</f>
        <v>0</v>
      </c>
      <c r="V521" s="99">
        <f>IF(AND(SamplingData[[#This Row],[Total]]&lt;&gt; 0, NOT(ISBLANK(SamplingData[[#This Row],[Candidate 7]]))),(SamplingData[[#This Row],[Total]]+SamplingData[[#This Row],[Winning Candidate]]-SamplingData[[#This Row],[Candidate 7]])/(SamplingData[[#Totals],[Winning Candidate]]-SamplingData[[#Totals],[Candidate 7]]), 0)</f>
        <v>0</v>
      </c>
      <c r="W521" s="99">
        <f>IF(AND(SamplingData[[#This Row],[Total]]&lt;&gt; 0, NOT(ISBLANK(SamplingData[[#This Row],[Candidate 8]]))),(SamplingData[[#This Row],[Total]]+SamplingData[[#This Row],[Winning Candidate]]-SamplingData[[#This Row],[Candidate 8]])/(SamplingData[[#Totals],[Winning Candidate]]-SamplingData[[#Totals],[Candidate 8]]), 0)</f>
        <v>0</v>
      </c>
      <c r="X5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1" s="99">
        <f>MAX(SamplingData[[#This Row],[Error Bound (up) - Max. possible relative overstatement - Losing Candidate]:[Error Bound (up) - Max. possible relative overstatement - Candidate 12]])</f>
        <v>1.5192666779833644E-2</v>
      </c>
      <c r="AC521" s="99">
        <f>IF(SamplingData[[#This Row],[Max Error Bound (up)]] = 0,0,SamplingData[[#This Row],[Max Error Bound (up)]]/SamplingData[[#Totals],[Max Error Bound (up)]])</f>
        <v>8.1342930890318933E-4</v>
      </c>
      <c r="AD521" s="103">
        <f>SUM($AC$5:AC521)</f>
        <v>0.41826398734867537</v>
      </c>
      <c r="AE521" s="99" t="str" cm="1">
        <f t="array" ref="AE521">IF(SamplingData[[#This Row],[up/U Selection Probability]] = 0, "Zero", TEXT(SamplingData[[#This Row],[Lower Range]], REPT("0",LEN('General Info'!$B$42))) &amp; " - " &amp; TEXT(SamplingData[[#This Row],[Upper Range]], REPT("0",LEN('General Info'!$B$42))))</f>
        <v>417451 - 418263</v>
      </c>
      <c r="AF521" s="99">
        <f>SamplingData[[#This Row],[Upper Range]]-SamplingData[[#This Row],[Span]]</f>
        <v>417450.55803977221</v>
      </c>
      <c r="AG521" s="99">
        <f>IF(ISNUMBER('General Info'!$B$42), ((SamplingData[[#This Row],[up/U Selection Probability]]) * 'General Info'!$B$44) - 1, 0)</f>
        <v>812.42930890318928</v>
      </c>
      <c r="AH521" s="99">
        <f>IF(ISNUMBER('General Info'!$B$42), (SamplingData[[#This Row],[Running (cumulative) sum]] * ('General Info'!$B$42 -'General Info'!$B$43 + 1)) + 'General Info'!$B$43 - 1, 0)</f>
        <v>418262.98734867538</v>
      </c>
      <c r="AI521" s="99">
        <f>IF(ISERROR(MATCH(SamplingData[[#This Row],[Batch by Type (p)]],SelectedPrecincts[Batch Name], 0)), "", INDEX(SelectedPrecincts[Draw], MATCH(SamplingData[[#This Row],[Batch by Type (p)]],SelectedPrecincts[Batch Name], 0)))</f>
        <v>16</v>
      </c>
      <c r="AJ521" s="100">
        <f>IF(COUNTIF(SelectedPrecincts[Batch Name],SamplingData[[#This Row],[Batch by Type (p)]]) &lt;&gt; 0, COUNTIF(SelectedPrecincts[Batch Name],SamplingData[[#This Row],[Batch by Type (p)]]), 0)</f>
        <v>1</v>
      </c>
    </row>
    <row r="522" spans="1:36" ht="15" customHeight="1" x14ac:dyDescent="0.35">
      <c r="A522" s="97" t="s">
        <v>735</v>
      </c>
      <c r="B522" s="97">
        <v>181</v>
      </c>
      <c r="C522" s="97">
        <v>96</v>
      </c>
      <c r="D522" s="92"/>
      <c r="E522" s="92"/>
      <c r="F522" s="92"/>
      <c r="G522" s="96"/>
      <c r="H522" s="96"/>
      <c r="I522" s="92"/>
      <c r="J522" s="92"/>
      <c r="K522" s="92"/>
      <c r="L522" s="92"/>
      <c r="M522" s="92"/>
      <c r="N522" s="97">
        <v>0</v>
      </c>
      <c r="O522" s="97">
        <v>13</v>
      </c>
      <c r="P522" s="98">
        <f>SUM(SamplingData[[#This Row],[Winning Candidate]:[Under Votes]])</f>
        <v>290</v>
      </c>
      <c r="Q522" s="99">
        <f>IF(AND(SamplingData[[#This Row],[Total]]&lt;&gt; 0, NOT(ISBLANK(SamplingData[[#This Row],[Losing Candidate]]))),(SamplingData[[#This Row],[Total]]+SamplingData[[#This Row],[Winning Candidate]]-SamplingData[[#This Row],[Losing Candidate]])/(SamplingData[[#Totals],[Winning Candidate]]-SamplingData[[#Totals],[Losing Candidate]]), 0)</f>
        <v>1.5914106263792225E-2</v>
      </c>
      <c r="R522" s="99">
        <f>IF(AND(SamplingData[[#This Row],[Total]]&lt;&gt; 0, NOT(ISBLANK(SamplingData[[#This Row],[Candidate 3]]))),(SamplingData[[#This Row],[Total]]+SamplingData[[#This Row],[Winning Candidate]]-SamplingData[[#This Row],[Candidate 3]])/(SamplingData[[#Totals],[Winning Candidate]]-SamplingData[[#Totals],[Candidate 3]]), 0)</f>
        <v>0</v>
      </c>
      <c r="S522" s="99">
        <f>IF(AND(SamplingData[[#This Row],[Total]]&lt;&gt; 0, NOT(ISBLANK(SamplingData[[#This Row],[Candidate 4]]))),(SamplingData[[#This Row],[Total]]+SamplingData[[#This Row],[Winning Candidate]]-SamplingData[[#This Row],[Candidate 4]])/(SamplingData[[#Totals],[Winning Candidate]]-SamplingData[[#Totals],[Candidate 4]]), 0)</f>
        <v>0</v>
      </c>
      <c r="T522" s="99">
        <f>IF(AND(SamplingData[[#This Row],[Total]]&lt;&gt; 0, NOT(ISBLANK(SamplingData[[#This Row],[Candidate 5]]))),(SamplingData[[#This Row],[Total]]+SamplingData[[#This Row],[Winning Candidate]]-SamplingData[[#This Row],[Candidate 5]])/(SamplingData[[#Totals],[Winning Candidate]]-SamplingData[[#Totals],[Candidate 5]]), 0)</f>
        <v>0</v>
      </c>
      <c r="U522" s="99">
        <f>IF(AND(SamplingData[[#This Row],[Total]]&lt;&gt; 0, NOT(ISBLANK(SamplingData[[#This Row],[Candidate 6]]))),(SamplingData[[#This Row],[Total]]+SamplingData[[#This Row],[Losing Candidate]]-SamplingData[[#This Row],[Candidate 6]])/(SamplingData[[#Totals],[Winning Candidate]]-SamplingData[[#Totals],[Candidate 6]]), 0)</f>
        <v>0</v>
      </c>
      <c r="V522" s="99">
        <f>IF(AND(SamplingData[[#This Row],[Total]]&lt;&gt; 0, NOT(ISBLANK(SamplingData[[#This Row],[Candidate 7]]))),(SamplingData[[#This Row],[Total]]+SamplingData[[#This Row],[Winning Candidate]]-SamplingData[[#This Row],[Candidate 7]])/(SamplingData[[#Totals],[Winning Candidate]]-SamplingData[[#Totals],[Candidate 7]]), 0)</f>
        <v>0</v>
      </c>
      <c r="W522" s="99">
        <f>IF(AND(SamplingData[[#This Row],[Total]]&lt;&gt; 0, NOT(ISBLANK(SamplingData[[#This Row],[Candidate 8]]))),(SamplingData[[#This Row],[Total]]+SamplingData[[#This Row],[Winning Candidate]]-SamplingData[[#This Row],[Candidate 8]])/(SamplingData[[#Totals],[Winning Candidate]]-SamplingData[[#Totals],[Candidate 8]]), 0)</f>
        <v>0</v>
      </c>
      <c r="X5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2" s="99">
        <f>MAX(SamplingData[[#This Row],[Error Bound (up) - Max. possible relative overstatement - Losing Candidate]:[Error Bound (up) - Max. possible relative overstatement - Candidate 12]])</f>
        <v>1.5914106263792225E-2</v>
      </c>
      <c r="AC522" s="99">
        <f>IF(SamplingData[[#This Row],[Max Error Bound (up)]] = 0,0,SamplingData[[#This Row],[Max Error Bound (up)]]/SamplingData[[#Totals],[Max Error Bound (up)]])</f>
        <v>8.5205584033155304E-4</v>
      </c>
      <c r="AD522" s="103">
        <f>SUM($AC$5:AC522)</f>
        <v>0.41911604318900691</v>
      </c>
      <c r="AE522" s="99" t="str" cm="1">
        <f t="array" ref="AE522">IF(SamplingData[[#This Row],[up/U Selection Probability]] = 0, "Zero", TEXT(SamplingData[[#This Row],[Lower Range]], REPT("0",LEN('General Info'!$B$42))) &amp; " - " &amp; TEXT(SamplingData[[#This Row],[Upper Range]], REPT("0",LEN('General Info'!$B$42))))</f>
        <v>418264 - 419115</v>
      </c>
      <c r="AF522" s="99">
        <f>SamplingData[[#This Row],[Upper Range]]-SamplingData[[#This Row],[Span]]</f>
        <v>418263.98734867538</v>
      </c>
      <c r="AG522" s="99">
        <f>IF(ISNUMBER('General Info'!$B$42), ((SamplingData[[#This Row],[up/U Selection Probability]]) * 'General Info'!$B$44) - 1, 0)</f>
        <v>851.05584033155299</v>
      </c>
      <c r="AH522" s="99">
        <f>IF(ISNUMBER('General Info'!$B$42), (SamplingData[[#This Row],[Running (cumulative) sum]] * ('General Info'!$B$42 -'General Info'!$B$43 + 1)) + 'General Info'!$B$43 - 1, 0)</f>
        <v>419115.04318900692</v>
      </c>
      <c r="AI522" s="99" t="str">
        <f>IF(ISERROR(MATCH(SamplingData[[#This Row],[Batch by Type (p)]],SelectedPrecincts[Batch Name], 0)), "", INDEX(SelectedPrecincts[Draw], MATCH(SamplingData[[#This Row],[Batch by Type (p)]],SelectedPrecincts[Batch Name], 0)))</f>
        <v/>
      </c>
      <c r="AJ522" s="100">
        <f>IF(COUNTIF(SelectedPrecincts[Batch Name],SamplingData[[#This Row],[Batch by Type (p)]]) &lt;&gt; 0, COUNTIF(SelectedPrecincts[Batch Name],SamplingData[[#This Row],[Batch by Type (p)]]), 0)</f>
        <v>0</v>
      </c>
    </row>
    <row r="523" spans="1:36" ht="15" customHeight="1" x14ac:dyDescent="0.35">
      <c r="A523" s="97" t="s">
        <v>736</v>
      </c>
      <c r="B523" s="97">
        <v>222</v>
      </c>
      <c r="C523" s="97">
        <v>79</v>
      </c>
      <c r="D523" s="92"/>
      <c r="E523" s="92"/>
      <c r="F523" s="92"/>
      <c r="G523" s="96"/>
      <c r="H523" s="96"/>
      <c r="I523" s="92"/>
      <c r="J523" s="92"/>
      <c r="K523" s="92"/>
      <c r="L523" s="92"/>
      <c r="M523" s="92"/>
      <c r="N523" s="97">
        <v>0</v>
      </c>
      <c r="O523" s="97">
        <v>17</v>
      </c>
      <c r="P523" s="98">
        <f>SUM(SamplingData[[#This Row],[Winning Candidate]:[Under Votes]])</f>
        <v>318</v>
      </c>
      <c r="Q523" s="99">
        <f>IF(AND(SamplingData[[#This Row],[Total]]&lt;&gt; 0, NOT(ISBLANK(SamplingData[[#This Row],[Losing Candidate]]))),(SamplingData[[#This Row],[Total]]+SamplingData[[#This Row],[Winning Candidate]]-SamplingData[[#This Row],[Losing Candidate]])/(SamplingData[[#Totals],[Winning Candidate]]-SamplingData[[#Totals],[Losing Candidate]]), 0)</f>
        <v>1.9563741300288574E-2</v>
      </c>
      <c r="R523" s="99">
        <f>IF(AND(SamplingData[[#This Row],[Total]]&lt;&gt; 0, NOT(ISBLANK(SamplingData[[#This Row],[Candidate 3]]))),(SamplingData[[#This Row],[Total]]+SamplingData[[#This Row],[Winning Candidate]]-SamplingData[[#This Row],[Candidate 3]])/(SamplingData[[#Totals],[Winning Candidate]]-SamplingData[[#Totals],[Candidate 3]]), 0)</f>
        <v>0</v>
      </c>
      <c r="S523" s="99">
        <f>IF(AND(SamplingData[[#This Row],[Total]]&lt;&gt; 0, NOT(ISBLANK(SamplingData[[#This Row],[Candidate 4]]))),(SamplingData[[#This Row],[Total]]+SamplingData[[#This Row],[Winning Candidate]]-SamplingData[[#This Row],[Candidate 4]])/(SamplingData[[#Totals],[Winning Candidate]]-SamplingData[[#Totals],[Candidate 4]]), 0)</f>
        <v>0</v>
      </c>
      <c r="T523" s="99">
        <f>IF(AND(SamplingData[[#This Row],[Total]]&lt;&gt; 0, NOT(ISBLANK(SamplingData[[#This Row],[Candidate 5]]))),(SamplingData[[#This Row],[Total]]+SamplingData[[#This Row],[Winning Candidate]]-SamplingData[[#This Row],[Candidate 5]])/(SamplingData[[#Totals],[Winning Candidate]]-SamplingData[[#Totals],[Candidate 5]]), 0)</f>
        <v>0</v>
      </c>
      <c r="U523" s="99">
        <f>IF(AND(SamplingData[[#This Row],[Total]]&lt;&gt; 0, NOT(ISBLANK(SamplingData[[#This Row],[Candidate 6]]))),(SamplingData[[#This Row],[Total]]+SamplingData[[#This Row],[Losing Candidate]]-SamplingData[[#This Row],[Candidate 6]])/(SamplingData[[#Totals],[Winning Candidate]]-SamplingData[[#Totals],[Candidate 6]]), 0)</f>
        <v>0</v>
      </c>
      <c r="V523" s="99">
        <f>IF(AND(SamplingData[[#This Row],[Total]]&lt;&gt; 0, NOT(ISBLANK(SamplingData[[#This Row],[Candidate 7]]))),(SamplingData[[#This Row],[Total]]+SamplingData[[#This Row],[Winning Candidate]]-SamplingData[[#This Row],[Candidate 7]])/(SamplingData[[#Totals],[Winning Candidate]]-SamplingData[[#Totals],[Candidate 7]]), 0)</f>
        <v>0</v>
      </c>
      <c r="W523" s="99">
        <f>IF(AND(SamplingData[[#This Row],[Total]]&lt;&gt; 0, NOT(ISBLANK(SamplingData[[#This Row],[Candidate 8]]))),(SamplingData[[#This Row],[Total]]+SamplingData[[#This Row],[Winning Candidate]]-SamplingData[[#This Row],[Candidate 8]])/(SamplingData[[#Totals],[Winning Candidate]]-SamplingData[[#Totals],[Candidate 8]]), 0)</f>
        <v>0</v>
      </c>
      <c r="X5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3" s="99">
        <f>MAX(SamplingData[[#This Row],[Error Bound (up) - Max. possible relative overstatement - Losing Candidate]:[Error Bound (up) - Max. possible relative overstatement - Candidate 12]])</f>
        <v>1.9563741300288574E-2</v>
      </c>
      <c r="AC523" s="99">
        <f>IF(SamplingData[[#This Row],[Max Error Bound (up)]] = 0,0,SamplingData[[#This Row],[Max Error Bound (up)]]/SamplingData[[#Totals],[Max Error Bound (up)]])</f>
        <v>1.0474606463809226E-3</v>
      </c>
      <c r="AD523" s="103">
        <f>SUM($AC$5:AC523)</f>
        <v>0.42016350383538786</v>
      </c>
      <c r="AE523" s="99" t="str" cm="1">
        <f t="array" ref="AE523">IF(SamplingData[[#This Row],[up/U Selection Probability]] = 0, "Zero", TEXT(SamplingData[[#This Row],[Lower Range]], REPT("0",LEN('General Info'!$B$42))) &amp; " - " &amp; TEXT(SamplingData[[#This Row],[Upper Range]], REPT("0",LEN('General Info'!$B$42))))</f>
        <v>419116 - 420163</v>
      </c>
      <c r="AF523" s="99">
        <f>SamplingData[[#This Row],[Upper Range]]-SamplingData[[#This Row],[Span]]</f>
        <v>419116.04318900697</v>
      </c>
      <c r="AG523" s="99">
        <f>IF(ISNUMBER('General Info'!$B$42), ((SamplingData[[#This Row],[up/U Selection Probability]]) * 'General Info'!$B$44) - 1, 0)</f>
        <v>1046.4606463809225</v>
      </c>
      <c r="AH523" s="99">
        <f>IF(ISNUMBER('General Info'!$B$42), (SamplingData[[#This Row],[Running (cumulative) sum]] * ('General Info'!$B$42 -'General Info'!$B$43 + 1)) + 'General Info'!$B$43 - 1, 0)</f>
        <v>420162.50383538788</v>
      </c>
      <c r="AI523" s="99" t="str">
        <f>IF(ISERROR(MATCH(SamplingData[[#This Row],[Batch by Type (p)]],SelectedPrecincts[Batch Name], 0)), "", INDEX(SelectedPrecincts[Draw], MATCH(SamplingData[[#This Row],[Batch by Type (p)]],SelectedPrecincts[Batch Name], 0)))</f>
        <v/>
      </c>
      <c r="AJ523" s="100">
        <f>IF(COUNTIF(SelectedPrecincts[Batch Name],SamplingData[[#This Row],[Batch by Type (p)]]) &lt;&gt; 0, COUNTIF(SelectedPrecincts[Batch Name],SamplingData[[#This Row],[Batch by Type (p)]]), 0)</f>
        <v>0</v>
      </c>
    </row>
    <row r="524" spans="1:36" ht="15" customHeight="1" x14ac:dyDescent="0.35">
      <c r="A524" s="97" t="s">
        <v>737</v>
      </c>
      <c r="B524" s="97">
        <v>306</v>
      </c>
      <c r="C524" s="97">
        <v>158</v>
      </c>
      <c r="D524" s="92"/>
      <c r="E524" s="92"/>
      <c r="F524" s="92"/>
      <c r="G524" s="96"/>
      <c r="H524" s="96"/>
      <c r="I524" s="92"/>
      <c r="J524" s="92"/>
      <c r="K524" s="92"/>
      <c r="L524" s="92"/>
      <c r="M524" s="92"/>
      <c r="N524" s="97">
        <v>1</v>
      </c>
      <c r="O524" s="97">
        <v>14</v>
      </c>
      <c r="P524" s="98">
        <f>SUM(SamplingData[[#This Row],[Winning Candidate]:[Under Votes]])</f>
        <v>479</v>
      </c>
      <c r="Q524" s="99">
        <f>IF(AND(SamplingData[[#This Row],[Total]]&lt;&gt; 0, NOT(ISBLANK(SamplingData[[#This Row],[Losing Candidate]]))),(SamplingData[[#This Row],[Total]]+SamplingData[[#This Row],[Winning Candidate]]-SamplingData[[#This Row],[Losing Candidate]])/(SamplingData[[#Totals],[Winning Candidate]]-SamplingData[[#Totals],[Losing Candidate]]), 0)</f>
        <v>2.6608385673060602E-2</v>
      </c>
      <c r="R524" s="99">
        <f>IF(AND(SamplingData[[#This Row],[Total]]&lt;&gt; 0, NOT(ISBLANK(SamplingData[[#This Row],[Candidate 3]]))),(SamplingData[[#This Row],[Total]]+SamplingData[[#This Row],[Winning Candidate]]-SamplingData[[#This Row],[Candidate 3]])/(SamplingData[[#Totals],[Winning Candidate]]-SamplingData[[#Totals],[Candidate 3]]), 0)</f>
        <v>0</v>
      </c>
      <c r="S524" s="99">
        <f>IF(AND(SamplingData[[#This Row],[Total]]&lt;&gt; 0, NOT(ISBLANK(SamplingData[[#This Row],[Candidate 4]]))),(SamplingData[[#This Row],[Total]]+SamplingData[[#This Row],[Winning Candidate]]-SamplingData[[#This Row],[Candidate 4]])/(SamplingData[[#Totals],[Winning Candidate]]-SamplingData[[#Totals],[Candidate 4]]), 0)</f>
        <v>0</v>
      </c>
      <c r="T524" s="99">
        <f>IF(AND(SamplingData[[#This Row],[Total]]&lt;&gt; 0, NOT(ISBLANK(SamplingData[[#This Row],[Candidate 5]]))),(SamplingData[[#This Row],[Total]]+SamplingData[[#This Row],[Winning Candidate]]-SamplingData[[#This Row],[Candidate 5]])/(SamplingData[[#Totals],[Winning Candidate]]-SamplingData[[#Totals],[Candidate 5]]), 0)</f>
        <v>0</v>
      </c>
      <c r="U524" s="99">
        <f>IF(AND(SamplingData[[#This Row],[Total]]&lt;&gt; 0, NOT(ISBLANK(SamplingData[[#This Row],[Candidate 6]]))),(SamplingData[[#This Row],[Total]]+SamplingData[[#This Row],[Losing Candidate]]-SamplingData[[#This Row],[Candidate 6]])/(SamplingData[[#Totals],[Winning Candidate]]-SamplingData[[#Totals],[Candidate 6]]), 0)</f>
        <v>0</v>
      </c>
      <c r="V524" s="99">
        <f>IF(AND(SamplingData[[#This Row],[Total]]&lt;&gt; 0, NOT(ISBLANK(SamplingData[[#This Row],[Candidate 7]]))),(SamplingData[[#This Row],[Total]]+SamplingData[[#This Row],[Winning Candidate]]-SamplingData[[#This Row],[Candidate 7]])/(SamplingData[[#Totals],[Winning Candidate]]-SamplingData[[#Totals],[Candidate 7]]), 0)</f>
        <v>0</v>
      </c>
      <c r="W524" s="99">
        <f>IF(AND(SamplingData[[#This Row],[Total]]&lt;&gt; 0, NOT(ISBLANK(SamplingData[[#This Row],[Candidate 8]]))),(SamplingData[[#This Row],[Total]]+SamplingData[[#This Row],[Winning Candidate]]-SamplingData[[#This Row],[Candidate 8]])/(SamplingData[[#Totals],[Winning Candidate]]-SamplingData[[#Totals],[Candidate 8]]), 0)</f>
        <v>0</v>
      </c>
      <c r="X5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4" s="99">
        <f>MAX(SamplingData[[#This Row],[Error Bound (up) - Max. possible relative overstatement - Losing Candidate]:[Error Bound (up) - Max. possible relative overstatement - Candidate 12]])</f>
        <v>2.6608385673060602E-2</v>
      </c>
      <c r="AC524" s="99">
        <f>IF(SamplingData[[#This Row],[Max Error Bound (up)]] = 0,0,SamplingData[[#This Row],[Max Error Bound (up)]]/SamplingData[[#Totals],[Max Error Bound (up)]])</f>
        <v>1.4246373650343568E-3</v>
      </c>
      <c r="AD524" s="103">
        <f>SUM($AC$5:AC524)</f>
        <v>0.42158814120042221</v>
      </c>
      <c r="AE524" s="99" t="str" cm="1">
        <f t="array" ref="AE524">IF(SamplingData[[#This Row],[up/U Selection Probability]] = 0, "Zero", TEXT(SamplingData[[#This Row],[Lower Range]], REPT("0",LEN('General Info'!$B$42))) &amp; " - " &amp; TEXT(SamplingData[[#This Row],[Upper Range]], REPT("0",LEN('General Info'!$B$42))))</f>
        <v>420164 - 421587</v>
      </c>
      <c r="AF524" s="99">
        <f>SamplingData[[#This Row],[Upper Range]]-SamplingData[[#This Row],[Span]]</f>
        <v>420163.50383538782</v>
      </c>
      <c r="AG524" s="99">
        <f>IF(ISNUMBER('General Info'!$B$42), ((SamplingData[[#This Row],[up/U Selection Probability]]) * 'General Info'!$B$44) - 1, 0)</f>
        <v>1423.6373650343567</v>
      </c>
      <c r="AH524" s="99">
        <f>IF(ISNUMBER('General Info'!$B$42), (SamplingData[[#This Row],[Running (cumulative) sum]] * ('General Info'!$B$42 -'General Info'!$B$43 + 1)) + 'General Info'!$B$43 - 1, 0)</f>
        <v>421587.14120042219</v>
      </c>
      <c r="AI524" s="99" t="str">
        <f>IF(ISERROR(MATCH(SamplingData[[#This Row],[Batch by Type (p)]],SelectedPrecincts[Batch Name], 0)), "", INDEX(SelectedPrecincts[Draw], MATCH(SamplingData[[#This Row],[Batch by Type (p)]],SelectedPrecincts[Batch Name], 0)))</f>
        <v/>
      </c>
      <c r="AJ524" s="100">
        <f>IF(COUNTIF(SelectedPrecincts[Batch Name],SamplingData[[#This Row],[Batch by Type (p)]]) &lt;&gt; 0, COUNTIF(SelectedPrecincts[Batch Name],SamplingData[[#This Row],[Batch by Type (p)]]), 0)</f>
        <v>0</v>
      </c>
    </row>
    <row r="525" spans="1:36" ht="15" customHeight="1" x14ac:dyDescent="0.35">
      <c r="A525" s="97" t="s">
        <v>738</v>
      </c>
      <c r="B525" s="97">
        <v>223</v>
      </c>
      <c r="C525" s="97">
        <v>98</v>
      </c>
      <c r="D525" s="92"/>
      <c r="E525" s="92"/>
      <c r="F525" s="92"/>
      <c r="G525" s="96"/>
      <c r="H525" s="96"/>
      <c r="I525" s="92"/>
      <c r="J525" s="92"/>
      <c r="K525" s="92"/>
      <c r="L525" s="92"/>
      <c r="M525" s="92"/>
      <c r="N525" s="97">
        <v>0</v>
      </c>
      <c r="O525" s="97">
        <v>17</v>
      </c>
      <c r="P525" s="98">
        <f>SUM(SamplingData[[#This Row],[Winning Candidate]:[Under Votes]])</f>
        <v>338</v>
      </c>
      <c r="Q525" s="99">
        <f>IF(AND(SamplingData[[#This Row],[Total]]&lt;&gt; 0, NOT(ISBLANK(SamplingData[[#This Row],[Losing Candidate]]))),(SamplingData[[#This Row],[Total]]+SamplingData[[#This Row],[Winning Candidate]]-SamplingData[[#This Row],[Losing Candidate]])/(SamplingData[[#Totals],[Winning Candidate]]-SamplingData[[#Totals],[Losing Candidate]]), 0)</f>
        <v>1.9648616533695467E-2</v>
      </c>
      <c r="R525" s="99">
        <f>IF(AND(SamplingData[[#This Row],[Total]]&lt;&gt; 0, NOT(ISBLANK(SamplingData[[#This Row],[Candidate 3]]))),(SamplingData[[#This Row],[Total]]+SamplingData[[#This Row],[Winning Candidate]]-SamplingData[[#This Row],[Candidate 3]])/(SamplingData[[#Totals],[Winning Candidate]]-SamplingData[[#Totals],[Candidate 3]]), 0)</f>
        <v>0</v>
      </c>
      <c r="S525" s="99">
        <f>IF(AND(SamplingData[[#This Row],[Total]]&lt;&gt; 0, NOT(ISBLANK(SamplingData[[#This Row],[Candidate 4]]))),(SamplingData[[#This Row],[Total]]+SamplingData[[#This Row],[Winning Candidate]]-SamplingData[[#This Row],[Candidate 4]])/(SamplingData[[#Totals],[Winning Candidate]]-SamplingData[[#Totals],[Candidate 4]]), 0)</f>
        <v>0</v>
      </c>
      <c r="T525" s="99">
        <f>IF(AND(SamplingData[[#This Row],[Total]]&lt;&gt; 0, NOT(ISBLANK(SamplingData[[#This Row],[Candidate 5]]))),(SamplingData[[#This Row],[Total]]+SamplingData[[#This Row],[Winning Candidate]]-SamplingData[[#This Row],[Candidate 5]])/(SamplingData[[#Totals],[Winning Candidate]]-SamplingData[[#Totals],[Candidate 5]]), 0)</f>
        <v>0</v>
      </c>
      <c r="U525" s="99">
        <f>IF(AND(SamplingData[[#This Row],[Total]]&lt;&gt; 0, NOT(ISBLANK(SamplingData[[#This Row],[Candidate 6]]))),(SamplingData[[#This Row],[Total]]+SamplingData[[#This Row],[Losing Candidate]]-SamplingData[[#This Row],[Candidate 6]])/(SamplingData[[#Totals],[Winning Candidate]]-SamplingData[[#Totals],[Candidate 6]]), 0)</f>
        <v>0</v>
      </c>
      <c r="V525" s="99">
        <f>IF(AND(SamplingData[[#This Row],[Total]]&lt;&gt; 0, NOT(ISBLANK(SamplingData[[#This Row],[Candidate 7]]))),(SamplingData[[#This Row],[Total]]+SamplingData[[#This Row],[Winning Candidate]]-SamplingData[[#This Row],[Candidate 7]])/(SamplingData[[#Totals],[Winning Candidate]]-SamplingData[[#Totals],[Candidate 7]]), 0)</f>
        <v>0</v>
      </c>
      <c r="W525" s="99">
        <f>IF(AND(SamplingData[[#This Row],[Total]]&lt;&gt; 0, NOT(ISBLANK(SamplingData[[#This Row],[Candidate 8]]))),(SamplingData[[#This Row],[Total]]+SamplingData[[#This Row],[Winning Candidate]]-SamplingData[[#This Row],[Candidate 8]])/(SamplingData[[#Totals],[Winning Candidate]]-SamplingData[[#Totals],[Candidate 8]]), 0)</f>
        <v>0</v>
      </c>
      <c r="X5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5" s="99">
        <f>MAX(SamplingData[[#This Row],[Error Bound (up) - Max. possible relative overstatement - Losing Candidate]:[Error Bound (up) - Max. possible relative overstatement - Candidate 12]])</f>
        <v>1.9648616533695467E-2</v>
      </c>
      <c r="AC525" s="99">
        <f>IF(SamplingData[[#This Row],[Max Error Bound (up)]] = 0,0,SamplingData[[#This Row],[Max Error Bound (up)]]/SamplingData[[#Totals],[Max Error Bound (up)]])</f>
        <v>1.0520049441960241E-3</v>
      </c>
      <c r="AD525" s="103">
        <f>SUM($AC$5:AC525)</f>
        <v>0.42264014614461826</v>
      </c>
      <c r="AE525" s="99" t="str" cm="1">
        <f t="array" ref="AE525">IF(SamplingData[[#This Row],[up/U Selection Probability]] = 0, "Zero", TEXT(SamplingData[[#This Row],[Lower Range]], REPT("0",LEN('General Info'!$B$42))) &amp; " - " &amp; TEXT(SamplingData[[#This Row],[Upper Range]], REPT("0",LEN('General Info'!$B$42))))</f>
        <v>421588 - 422639</v>
      </c>
      <c r="AF525" s="99">
        <f>SamplingData[[#This Row],[Upper Range]]-SamplingData[[#This Row],[Span]]</f>
        <v>421588.14120042225</v>
      </c>
      <c r="AG525" s="99">
        <f>IF(ISNUMBER('General Info'!$B$42), ((SamplingData[[#This Row],[up/U Selection Probability]]) * 'General Info'!$B$44) - 1, 0)</f>
        <v>1051.0049441960241</v>
      </c>
      <c r="AH525" s="99">
        <f>IF(ISNUMBER('General Info'!$B$42), (SamplingData[[#This Row],[Running (cumulative) sum]] * ('General Info'!$B$42 -'General Info'!$B$43 + 1)) + 'General Info'!$B$43 - 1, 0)</f>
        <v>422639.14614461828</v>
      </c>
      <c r="AI525" s="99" t="str">
        <f>IF(ISERROR(MATCH(SamplingData[[#This Row],[Batch by Type (p)]],SelectedPrecincts[Batch Name], 0)), "", INDEX(SelectedPrecincts[Draw], MATCH(SamplingData[[#This Row],[Batch by Type (p)]],SelectedPrecincts[Batch Name], 0)))</f>
        <v/>
      </c>
      <c r="AJ525" s="100">
        <f>IF(COUNTIF(SelectedPrecincts[Batch Name],SamplingData[[#This Row],[Batch by Type (p)]]) &lt;&gt; 0, COUNTIF(SelectedPrecincts[Batch Name],SamplingData[[#This Row],[Batch by Type (p)]]), 0)</f>
        <v>0</v>
      </c>
    </row>
    <row r="526" spans="1:36" ht="15" customHeight="1" x14ac:dyDescent="0.35">
      <c r="A526" s="97" t="s">
        <v>739</v>
      </c>
      <c r="B526" s="97">
        <v>262</v>
      </c>
      <c r="C526" s="97">
        <v>129</v>
      </c>
      <c r="D526" s="92"/>
      <c r="E526" s="92"/>
      <c r="F526" s="92"/>
      <c r="G526" s="96"/>
      <c r="H526" s="96"/>
      <c r="I526" s="92"/>
      <c r="J526" s="92"/>
      <c r="K526" s="92"/>
      <c r="L526" s="92"/>
      <c r="M526" s="92"/>
      <c r="N526" s="97">
        <v>0</v>
      </c>
      <c r="O526" s="97">
        <v>25</v>
      </c>
      <c r="P526" s="98">
        <f>SUM(SamplingData[[#This Row],[Winning Candidate]:[Under Votes]])</f>
        <v>416</v>
      </c>
      <c r="Q526" s="99">
        <f>IF(AND(SamplingData[[#This Row],[Total]]&lt;&gt; 0, NOT(ISBLANK(SamplingData[[#This Row],[Losing Candidate]]))),(SamplingData[[#This Row],[Total]]+SamplingData[[#This Row],[Winning Candidate]]-SamplingData[[#This Row],[Losing Candidate]])/(SamplingData[[#Totals],[Winning Candidate]]-SamplingData[[#Totals],[Losing Candidate]]), 0)</f>
        <v>2.3298251570191816E-2</v>
      </c>
      <c r="R526" s="99">
        <f>IF(AND(SamplingData[[#This Row],[Total]]&lt;&gt; 0, NOT(ISBLANK(SamplingData[[#This Row],[Candidate 3]]))),(SamplingData[[#This Row],[Total]]+SamplingData[[#This Row],[Winning Candidate]]-SamplingData[[#This Row],[Candidate 3]])/(SamplingData[[#Totals],[Winning Candidate]]-SamplingData[[#Totals],[Candidate 3]]), 0)</f>
        <v>0</v>
      </c>
      <c r="S526" s="99">
        <f>IF(AND(SamplingData[[#This Row],[Total]]&lt;&gt; 0, NOT(ISBLANK(SamplingData[[#This Row],[Candidate 4]]))),(SamplingData[[#This Row],[Total]]+SamplingData[[#This Row],[Winning Candidate]]-SamplingData[[#This Row],[Candidate 4]])/(SamplingData[[#Totals],[Winning Candidate]]-SamplingData[[#Totals],[Candidate 4]]), 0)</f>
        <v>0</v>
      </c>
      <c r="T526" s="99">
        <f>IF(AND(SamplingData[[#This Row],[Total]]&lt;&gt; 0, NOT(ISBLANK(SamplingData[[#This Row],[Candidate 5]]))),(SamplingData[[#This Row],[Total]]+SamplingData[[#This Row],[Winning Candidate]]-SamplingData[[#This Row],[Candidate 5]])/(SamplingData[[#Totals],[Winning Candidate]]-SamplingData[[#Totals],[Candidate 5]]), 0)</f>
        <v>0</v>
      </c>
      <c r="U526" s="99">
        <f>IF(AND(SamplingData[[#This Row],[Total]]&lt;&gt; 0, NOT(ISBLANK(SamplingData[[#This Row],[Candidate 6]]))),(SamplingData[[#This Row],[Total]]+SamplingData[[#This Row],[Losing Candidate]]-SamplingData[[#This Row],[Candidate 6]])/(SamplingData[[#Totals],[Winning Candidate]]-SamplingData[[#Totals],[Candidate 6]]), 0)</f>
        <v>0</v>
      </c>
      <c r="V526" s="99">
        <f>IF(AND(SamplingData[[#This Row],[Total]]&lt;&gt; 0, NOT(ISBLANK(SamplingData[[#This Row],[Candidate 7]]))),(SamplingData[[#This Row],[Total]]+SamplingData[[#This Row],[Winning Candidate]]-SamplingData[[#This Row],[Candidate 7]])/(SamplingData[[#Totals],[Winning Candidate]]-SamplingData[[#Totals],[Candidate 7]]), 0)</f>
        <v>0</v>
      </c>
      <c r="W526" s="99">
        <f>IF(AND(SamplingData[[#This Row],[Total]]&lt;&gt; 0, NOT(ISBLANK(SamplingData[[#This Row],[Candidate 8]]))),(SamplingData[[#This Row],[Total]]+SamplingData[[#This Row],[Winning Candidate]]-SamplingData[[#This Row],[Candidate 8]])/(SamplingData[[#Totals],[Winning Candidate]]-SamplingData[[#Totals],[Candidate 8]]), 0)</f>
        <v>0</v>
      </c>
      <c r="X5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6" s="99">
        <f>MAX(SamplingData[[#This Row],[Error Bound (up) - Max. possible relative overstatement - Losing Candidate]:[Error Bound (up) - Max. possible relative overstatement - Candidate 12]])</f>
        <v>2.3298251570191816E-2</v>
      </c>
      <c r="AC526" s="99">
        <f>IF(SamplingData[[#This Row],[Max Error Bound (up)]] = 0,0,SamplingData[[#This Row],[Max Error Bound (up)]]/SamplingData[[#Totals],[Max Error Bound (up)]])</f>
        <v>1.2474097502453937E-3</v>
      </c>
      <c r="AD526" s="103">
        <f>SUM($AC$5:AC526)</f>
        <v>0.42388755589486365</v>
      </c>
      <c r="AE526" s="99" t="str" cm="1">
        <f t="array" ref="AE526">IF(SamplingData[[#This Row],[up/U Selection Probability]] = 0, "Zero", TEXT(SamplingData[[#This Row],[Lower Range]], REPT("0",LEN('General Info'!$B$42))) &amp; " - " &amp; TEXT(SamplingData[[#This Row],[Upper Range]], REPT("0",LEN('General Info'!$B$42))))</f>
        <v>422640 - 423887</v>
      </c>
      <c r="AF526" s="99">
        <f>SamplingData[[#This Row],[Upper Range]]-SamplingData[[#This Row],[Span]]</f>
        <v>422640.14614461828</v>
      </c>
      <c r="AG526" s="99">
        <f>IF(ISNUMBER('General Info'!$B$42), ((SamplingData[[#This Row],[up/U Selection Probability]]) * 'General Info'!$B$44) - 1, 0)</f>
        <v>1246.4097502453938</v>
      </c>
      <c r="AH526" s="99">
        <f>IF(ISNUMBER('General Info'!$B$42), (SamplingData[[#This Row],[Running (cumulative) sum]] * ('General Info'!$B$42 -'General Info'!$B$43 + 1)) + 'General Info'!$B$43 - 1, 0)</f>
        <v>423886.55589486368</v>
      </c>
      <c r="AI526" s="99" t="str">
        <f>IF(ISERROR(MATCH(SamplingData[[#This Row],[Batch by Type (p)]],SelectedPrecincts[Batch Name], 0)), "", INDEX(SelectedPrecincts[Draw], MATCH(SamplingData[[#This Row],[Batch by Type (p)]],SelectedPrecincts[Batch Name], 0)))</f>
        <v/>
      </c>
      <c r="AJ526" s="100">
        <f>IF(COUNTIF(SelectedPrecincts[Batch Name],SamplingData[[#This Row],[Batch by Type (p)]]) &lt;&gt; 0, COUNTIF(SelectedPrecincts[Batch Name],SamplingData[[#This Row],[Batch by Type (p)]]), 0)</f>
        <v>0</v>
      </c>
    </row>
    <row r="527" spans="1:36" ht="15" customHeight="1" x14ac:dyDescent="0.35">
      <c r="A527" s="97" t="s">
        <v>740</v>
      </c>
      <c r="B527" s="97">
        <v>146</v>
      </c>
      <c r="C527" s="97">
        <v>141</v>
      </c>
      <c r="D527" s="92"/>
      <c r="E527" s="92"/>
      <c r="F527" s="92"/>
      <c r="G527" s="96"/>
      <c r="H527" s="96"/>
      <c r="I527" s="92"/>
      <c r="J527" s="92"/>
      <c r="K527" s="92"/>
      <c r="L527" s="92"/>
      <c r="M527" s="92"/>
      <c r="N527" s="97">
        <v>0</v>
      </c>
      <c r="O527" s="97">
        <v>14</v>
      </c>
      <c r="P527" s="98">
        <f>SUM(SamplingData[[#This Row],[Winning Candidate]:[Under Votes]])</f>
        <v>301</v>
      </c>
      <c r="Q527" s="99">
        <f>IF(AND(SamplingData[[#This Row],[Total]]&lt;&gt; 0, NOT(ISBLANK(SamplingData[[#This Row],[Losing Candidate]]))),(SamplingData[[#This Row],[Total]]+SamplingData[[#This Row],[Winning Candidate]]-SamplingData[[#This Row],[Losing Candidate]])/(SamplingData[[#Totals],[Winning Candidate]]-SamplingData[[#Totals],[Losing Candidate]]), 0)</f>
        <v>1.2985910711254456E-2</v>
      </c>
      <c r="R527" s="99">
        <f>IF(AND(SamplingData[[#This Row],[Total]]&lt;&gt; 0, NOT(ISBLANK(SamplingData[[#This Row],[Candidate 3]]))),(SamplingData[[#This Row],[Total]]+SamplingData[[#This Row],[Winning Candidate]]-SamplingData[[#This Row],[Candidate 3]])/(SamplingData[[#Totals],[Winning Candidate]]-SamplingData[[#Totals],[Candidate 3]]), 0)</f>
        <v>0</v>
      </c>
      <c r="S527" s="99">
        <f>IF(AND(SamplingData[[#This Row],[Total]]&lt;&gt; 0, NOT(ISBLANK(SamplingData[[#This Row],[Candidate 4]]))),(SamplingData[[#This Row],[Total]]+SamplingData[[#This Row],[Winning Candidate]]-SamplingData[[#This Row],[Candidate 4]])/(SamplingData[[#Totals],[Winning Candidate]]-SamplingData[[#Totals],[Candidate 4]]), 0)</f>
        <v>0</v>
      </c>
      <c r="T527" s="99">
        <f>IF(AND(SamplingData[[#This Row],[Total]]&lt;&gt; 0, NOT(ISBLANK(SamplingData[[#This Row],[Candidate 5]]))),(SamplingData[[#This Row],[Total]]+SamplingData[[#This Row],[Winning Candidate]]-SamplingData[[#This Row],[Candidate 5]])/(SamplingData[[#Totals],[Winning Candidate]]-SamplingData[[#Totals],[Candidate 5]]), 0)</f>
        <v>0</v>
      </c>
      <c r="U527" s="99">
        <f>IF(AND(SamplingData[[#This Row],[Total]]&lt;&gt; 0, NOT(ISBLANK(SamplingData[[#This Row],[Candidate 6]]))),(SamplingData[[#This Row],[Total]]+SamplingData[[#This Row],[Losing Candidate]]-SamplingData[[#This Row],[Candidate 6]])/(SamplingData[[#Totals],[Winning Candidate]]-SamplingData[[#Totals],[Candidate 6]]), 0)</f>
        <v>0</v>
      </c>
      <c r="V527" s="99">
        <f>IF(AND(SamplingData[[#This Row],[Total]]&lt;&gt; 0, NOT(ISBLANK(SamplingData[[#This Row],[Candidate 7]]))),(SamplingData[[#This Row],[Total]]+SamplingData[[#This Row],[Winning Candidate]]-SamplingData[[#This Row],[Candidate 7]])/(SamplingData[[#Totals],[Winning Candidate]]-SamplingData[[#Totals],[Candidate 7]]), 0)</f>
        <v>0</v>
      </c>
      <c r="W527" s="99">
        <f>IF(AND(SamplingData[[#This Row],[Total]]&lt;&gt; 0, NOT(ISBLANK(SamplingData[[#This Row],[Candidate 8]]))),(SamplingData[[#This Row],[Total]]+SamplingData[[#This Row],[Winning Candidate]]-SamplingData[[#This Row],[Candidate 8]])/(SamplingData[[#Totals],[Winning Candidate]]-SamplingData[[#Totals],[Candidate 8]]), 0)</f>
        <v>0</v>
      </c>
      <c r="X5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7" s="99">
        <f>MAX(SamplingData[[#This Row],[Error Bound (up) - Max. possible relative overstatement - Losing Candidate]:[Error Bound (up) - Max. possible relative overstatement - Candidate 12]])</f>
        <v>1.2985910711254456E-2</v>
      </c>
      <c r="AC527" s="99">
        <f>IF(SamplingData[[#This Row],[Max Error Bound (up)]] = 0,0,SamplingData[[#This Row],[Max Error Bound (up)]]/SamplingData[[#Totals],[Max Error Bound (up)]])</f>
        <v>6.9527756571054731E-4</v>
      </c>
      <c r="AD527" s="103">
        <f>SUM($AC$5:AC527)</f>
        <v>0.42458283346057418</v>
      </c>
      <c r="AE527" s="99" t="str" cm="1">
        <f t="array" ref="AE527">IF(SamplingData[[#This Row],[up/U Selection Probability]] = 0, "Zero", TEXT(SamplingData[[#This Row],[Lower Range]], REPT("0",LEN('General Info'!$B$42))) &amp; " - " &amp; TEXT(SamplingData[[#This Row],[Upper Range]], REPT("0",LEN('General Info'!$B$42))))</f>
        <v>423888 - 424582</v>
      </c>
      <c r="AF527" s="99">
        <f>SamplingData[[#This Row],[Upper Range]]-SamplingData[[#This Row],[Span]]</f>
        <v>423887.55589486362</v>
      </c>
      <c r="AG527" s="99">
        <f>IF(ISNUMBER('General Info'!$B$42), ((SamplingData[[#This Row],[up/U Selection Probability]]) * 'General Info'!$B$44) - 1, 0)</f>
        <v>694.27756571054726</v>
      </c>
      <c r="AH527" s="99">
        <f>IF(ISNUMBER('General Info'!$B$42), (SamplingData[[#This Row],[Running (cumulative) sum]] * ('General Info'!$B$42 -'General Info'!$B$43 + 1)) + 'General Info'!$B$43 - 1, 0)</f>
        <v>424581.83346057415</v>
      </c>
      <c r="AI527" s="99" t="str">
        <f>IF(ISERROR(MATCH(SamplingData[[#This Row],[Batch by Type (p)]],SelectedPrecincts[Batch Name], 0)), "", INDEX(SelectedPrecincts[Draw], MATCH(SamplingData[[#This Row],[Batch by Type (p)]],SelectedPrecincts[Batch Name], 0)))</f>
        <v/>
      </c>
      <c r="AJ527" s="100">
        <f>IF(COUNTIF(SelectedPrecincts[Batch Name],SamplingData[[#This Row],[Batch by Type (p)]]) &lt;&gt; 0, COUNTIF(SelectedPrecincts[Batch Name],SamplingData[[#This Row],[Batch by Type (p)]]), 0)</f>
        <v>0</v>
      </c>
    </row>
    <row r="528" spans="1:36" ht="15" customHeight="1" x14ac:dyDescent="0.35">
      <c r="A528" s="97" t="s">
        <v>741</v>
      </c>
      <c r="B528" s="97">
        <v>256</v>
      </c>
      <c r="C528" s="97">
        <v>147</v>
      </c>
      <c r="D528" s="92"/>
      <c r="E528" s="92"/>
      <c r="F528" s="92"/>
      <c r="G528" s="96"/>
      <c r="H528" s="96"/>
      <c r="I528" s="92"/>
      <c r="J528" s="92"/>
      <c r="K528" s="92"/>
      <c r="L528" s="92"/>
      <c r="M528" s="92"/>
      <c r="N528" s="97">
        <v>0</v>
      </c>
      <c r="O528" s="97">
        <v>15</v>
      </c>
      <c r="P528" s="98">
        <f>SUM(SamplingData[[#This Row],[Winning Candidate]:[Under Votes]])</f>
        <v>418</v>
      </c>
      <c r="Q528" s="99">
        <f>IF(AND(SamplingData[[#This Row],[Total]]&lt;&gt; 0, NOT(ISBLANK(SamplingData[[#This Row],[Losing Candidate]]))),(SamplingData[[#This Row],[Total]]+SamplingData[[#This Row],[Winning Candidate]]-SamplingData[[#This Row],[Losing Candidate]])/(SamplingData[[#Totals],[Winning Candidate]]-SamplingData[[#Totals],[Losing Candidate]]), 0)</f>
        <v>2.2364624002716008E-2</v>
      </c>
      <c r="R528" s="99">
        <f>IF(AND(SamplingData[[#This Row],[Total]]&lt;&gt; 0, NOT(ISBLANK(SamplingData[[#This Row],[Candidate 3]]))),(SamplingData[[#This Row],[Total]]+SamplingData[[#This Row],[Winning Candidate]]-SamplingData[[#This Row],[Candidate 3]])/(SamplingData[[#Totals],[Winning Candidate]]-SamplingData[[#Totals],[Candidate 3]]), 0)</f>
        <v>0</v>
      </c>
      <c r="S528" s="99">
        <f>IF(AND(SamplingData[[#This Row],[Total]]&lt;&gt; 0, NOT(ISBLANK(SamplingData[[#This Row],[Candidate 4]]))),(SamplingData[[#This Row],[Total]]+SamplingData[[#This Row],[Winning Candidate]]-SamplingData[[#This Row],[Candidate 4]])/(SamplingData[[#Totals],[Winning Candidate]]-SamplingData[[#Totals],[Candidate 4]]), 0)</f>
        <v>0</v>
      </c>
      <c r="T528" s="99">
        <f>IF(AND(SamplingData[[#This Row],[Total]]&lt;&gt; 0, NOT(ISBLANK(SamplingData[[#This Row],[Candidate 5]]))),(SamplingData[[#This Row],[Total]]+SamplingData[[#This Row],[Winning Candidate]]-SamplingData[[#This Row],[Candidate 5]])/(SamplingData[[#Totals],[Winning Candidate]]-SamplingData[[#Totals],[Candidate 5]]), 0)</f>
        <v>0</v>
      </c>
      <c r="U528" s="99">
        <f>IF(AND(SamplingData[[#This Row],[Total]]&lt;&gt; 0, NOT(ISBLANK(SamplingData[[#This Row],[Candidate 6]]))),(SamplingData[[#This Row],[Total]]+SamplingData[[#This Row],[Losing Candidate]]-SamplingData[[#This Row],[Candidate 6]])/(SamplingData[[#Totals],[Winning Candidate]]-SamplingData[[#Totals],[Candidate 6]]), 0)</f>
        <v>0</v>
      </c>
      <c r="V528" s="99">
        <f>IF(AND(SamplingData[[#This Row],[Total]]&lt;&gt; 0, NOT(ISBLANK(SamplingData[[#This Row],[Candidate 7]]))),(SamplingData[[#This Row],[Total]]+SamplingData[[#This Row],[Winning Candidate]]-SamplingData[[#This Row],[Candidate 7]])/(SamplingData[[#Totals],[Winning Candidate]]-SamplingData[[#Totals],[Candidate 7]]), 0)</f>
        <v>0</v>
      </c>
      <c r="W528" s="99">
        <f>IF(AND(SamplingData[[#This Row],[Total]]&lt;&gt; 0, NOT(ISBLANK(SamplingData[[#This Row],[Candidate 8]]))),(SamplingData[[#This Row],[Total]]+SamplingData[[#This Row],[Winning Candidate]]-SamplingData[[#This Row],[Candidate 8]])/(SamplingData[[#Totals],[Winning Candidate]]-SamplingData[[#Totals],[Candidate 8]]), 0)</f>
        <v>0</v>
      </c>
      <c r="X5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8" s="99">
        <f>MAX(SamplingData[[#This Row],[Error Bound (up) - Max. possible relative overstatement - Losing Candidate]:[Error Bound (up) - Max. possible relative overstatement - Candidate 12]])</f>
        <v>2.2364624002716008E-2</v>
      </c>
      <c r="AC528" s="99">
        <f>IF(SamplingData[[#This Row],[Max Error Bound (up)]] = 0,0,SamplingData[[#This Row],[Max Error Bound (up)]]/SamplingData[[#Totals],[Max Error Bound (up)]])</f>
        <v>1.1974224742792759E-3</v>
      </c>
      <c r="AD528" s="103">
        <f>SUM($AC$5:AC528)</f>
        <v>0.42578025593485347</v>
      </c>
      <c r="AE528" s="99" t="str" cm="1">
        <f t="array" ref="AE528">IF(SamplingData[[#This Row],[up/U Selection Probability]] = 0, "Zero", TEXT(SamplingData[[#This Row],[Lower Range]], REPT("0",LEN('General Info'!$B$42))) &amp; " - " &amp; TEXT(SamplingData[[#This Row],[Upper Range]], REPT("0",LEN('General Info'!$B$42))))</f>
        <v>424583 - 425779</v>
      </c>
      <c r="AF528" s="99">
        <f>SamplingData[[#This Row],[Upper Range]]-SamplingData[[#This Row],[Span]]</f>
        <v>424582.83346057415</v>
      </c>
      <c r="AG528" s="99">
        <f>IF(ISNUMBER('General Info'!$B$42), ((SamplingData[[#This Row],[up/U Selection Probability]]) * 'General Info'!$B$44) - 1, 0)</f>
        <v>1196.4224742792758</v>
      </c>
      <c r="AH528" s="99">
        <f>IF(ISNUMBER('General Info'!$B$42), (SamplingData[[#This Row],[Running (cumulative) sum]] * ('General Info'!$B$42 -'General Info'!$B$43 + 1)) + 'General Info'!$B$43 - 1, 0)</f>
        <v>425779.25593485346</v>
      </c>
      <c r="AI528" s="99" t="str">
        <f>IF(ISERROR(MATCH(SamplingData[[#This Row],[Batch by Type (p)]],SelectedPrecincts[Batch Name], 0)), "", INDEX(SelectedPrecincts[Draw], MATCH(SamplingData[[#This Row],[Batch by Type (p)]],SelectedPrecincts[Batch Name], 0)))</f>
        <v/>
      </c>
      <c r="AJ528" s="100">
        <f>IF(COUNTIF(SelectedPrecincts[Batch Name],SamplingData[[#This Row],[Batch by Type (p)]]) &lt;&gt; 0, COUNTIF(SelectedPrecincts[Batch Name],SamplingData[[#This Row],[Batch by Type (p)]]), 0)</f>
        <v>0</v>
      </c>
    </row>
    <row r="529" spans="1:36" ht="15" customHeight="1" x14ac:dyDescent="0.35">
      <c r="A529" s="97" t="s">
        <v>742</v>
      </c>
      <c r="B529" s="97">
        <v>175</v>
      </c>
      <c r="C529" s="97">
        <v>64</v>
      </c>
      <c r="D529" s="92"/>
      <c r="E529" s="92"/>
      <c r="F529" s="92"/>
      <c r="G529" s="96"/>
      <c r="H529" s="96"/>
      <c r="I529" s="92"/>
      <c r="J529" s="92"/>
      <c r="K529" s="92"/>
      <c r="L529" s="92"/>
      <c r="M529" s="92"/>
      <c r="N529" s="97">
        <v>0</v>
      </c>
      <c r="O529" s="97">
        <v>7</v>
      </c>
      <c r="P529" s="98">
        <f>SUM(SamplingData[[#This Row],[Winning Candidate]:[Under Votes]])</f>
        <v>246</v>
      </c>
      <c r="Q529" s="99">
        <f>IF(AND(SamplingData[[#This Row],[Total]]&lt;&gt; 0, NOT(ISBLANK(SamplingData[[#This Row],[Losing Candidate]]))),(SamplingData[[#This Row],[Total]]+SamplingData[[#This Row],[Winning Candidate]]-SamplingData[[#This Row],[Losing Candidate]])/(SamplingData[[#Totals],[Winning Candidate]]-SamplingData[[#Totals],[Losing Candidate]]), 0)</f>
        <v>1.5150229163130198E-2</v>
      </c>
      <c r="R529" s="99">
        <f>IF(AND(SamplingData[[#This Row],[Total]]&lt;&gt; 0, NOT(ISBLANK(SamplingData[[#This Row],[Candidate 3]]))),(SamplingData[[#This Row],[Total]]+SamplingData[[#This Row],[Winning Candidate]]-SamplingData[[#This Row],[Candidate 3]])/(SamplingData[[#Totals],[Winning Candidate]]-SamplingData[[#Totals],[Candidate 3]]), 0)</f>
        <v>0</v>
      </c>
      <c r="S529" s="99">
        <f>IF(AND(SamplingData[[#This Row],[Total]]&lt;&gt; 0, NOT(ISBLANK(SamplingData[[#This Row],[Candidate 4]]))),(SamplingData[[#This Row],[Total]]+SamplingData[[#This Row],[Winning Candidate]]-SamplingData[[#This Row],[Candidate 4]])/(SamplingData[[#Totals],[Winning Candidate]]-SamplingData[[#Totals],[Candidate 4]]), 0)</f>
        <v>0</v>
      </c>
      <c r="T529" s="99">
        <f>IF(AND(SamplingData[[#This Row],[Total]]&lt;&gt; 0, NOT(ISBLANK(SamplingData[[#This Row],[Candidate 5]]))),(SamplingData[[#This Row],[Total]]+SamplingData[[#This Row],[Winning Candidate]]-SamplingData[[#This Row],[Candidate 5]])/(SamplingData[[#Totals],[Winning Candidate]]-SamplingData[[#Totals],[Candidate 5]]), 0)</f>
        <v>0</v>
      </c>
      <c r="U529" s="99">
        <f>IF(AND(SamplingData[[#This Row],[Total]]&lt;&gt; 0, NOT(ISBLANK(SamplingData[[#This Row],[Candidate 6]]))),(SamplingData[[#This Row],[Total]]+SamplingData[[#This Row],[Losing Candidate]]-SamplingData[[#This Row],[Candidate 6]])/(SamplingData[[#Totals],[Winning Candidate]]-SamplingData[[#Totals],[Candidate 6]]), 0)</f>
        <v>0</v>
      </c>
      <c r="V529" s="99">
        <f>IF(AND(SamplingData[[#This Row],[Total]]&lt;&gt; 0, NOT(ISBLANK(SamplingData[[#This Row],[Candidate 7]]))),(SamplingData[[#This Row],[Total]]+SamplingData[[#This Row],[Winning Candidate]]-SamplingData[[#This Row],[Candidate 7]])/(SamplingData[[#Totals],[Winning Candidate]]-SamplingData[[#Totals],[Candidate 7]]), 0)</f>
        <v>0</v>
      </c>
      <c r="W529" s="99">
        <f>IF(AND(SamplingData[[#This Row],[Total]]&lt;&gt; 0, NOT(ISBLANK(SamplingData[[#This Row],[Candidate 8]]))),(SamplingData[[#This Row],[Total]]+SamplingData[[#This Row],[Winning Candidate]]-SamplingData[[#This Row],[Candidate 8]])/(SamplingData[[#Totals],[Winning Candidate]]-SamplingData[[#Totals],[Candidate 8]]), 0)</f>
        <v>0</v>
      </c>
      <c r="X5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9" s="99">
        <f>MAX(SamplingData[[#This Row],[Error Bound (up) - Max. possible relative overstatement - Losing Candidate]:[Error Bound (up) - Max. possible relative overstatement - Candidate 12]])</f>
        <v>1.5150229163130198E-2</v>
      </c>
      <c r="AC529" s="99">
        <f>IF(SamplingData[[#This Row],[Max Error Bound (up)]] = 0,0,SamplingData[[#This Row],[Max Error Bound (up)]]/SamplingData[[#Totals],[Max Error Bound (up)]])</f>
        <v>8.1115715999563844E-4</v>
      </c>
      <c r="AD529" s="103">
        <f>SUM($AC$5:AC529)</f>
        <v>0.4265914130948491</v>
      </c>
      <c r="AE529" s="99" t="str" cm="1">
        <f t="array" ref="AE529">IF(SamplingData[[#This Row],[up/U Selection Probability]] = 0, "Zero", TEXT(SamplingData[[#This Row],[Lower Range]], REPT("0",LEN('General Info'!$B$42))) &amp; " - " &amp; TEXT(SamplingData[[#This Row],[Upper Range]], REPT("0",LEN('General Info'!$B$42))))</f>
        <v>425780 - 426590</v>
      </c>
      <c r="AF529" s="99">
        <f>SamplingData[[#This Row],[Upper Range]]-SamplingData[[#This Row],[Span]]</f>
        <v>425780.25593485346</v>
      </c>
      <c r="AG529" s="99">
        <f>IF(ISNUMBER('General Info'!$B$42), ((SamplingData[[#This Row],[up/U Selection Probability]]) * 'General Info'!$B$44) - 1, 0)</f>
        <v>810.15715999563849</v>
      </c>
      <c r="AH529" s="99">
        <f>IF(ISNUMBER('General Info'!$B$42), (SamplingData[[#This Row],[Running (cumulative) sum]] * ('General Info'!$B$42 -'General Info'!$B$43 + 1)) + 'General Info'!$B$43 - 1, 0)</f>
        <v>426590.41309484909</v>
      </c>
      <c r="AI529" s="99" t="str">
        <f>IF(ISERROR(MATCH(SamplingData[[#This Row],[Batch by Type (p)]],SelectedPrecincts[Batch Name], 0)), "", INDEX(SelectedPrecincts[Draw], MATCH(SamplingData[[#This Row],[Batch by Type (p)]],SelectedPrecincts[Batch Name], 0)))</f>
        <v/>
      </c>
      <c r="AJ529" s="100">
        <f>IF(COUNTIF(SelectedPrecincts[Batch Name],SamplingData[[#This Row],[Batch by Type (p)]]) &lt;&gt; 0, COUNTIF(SelectedPrecincts[Batch Name],SamplingData[[#This Row],[Batch by Type (p)]]), 0)</f>
        <v>0</v>
      </c>
    </row>
    <row r="530" spans="1:36" ht="15" customHeight="1" x14ac:dyDescent="0.35">
      <c r="A530" s="97" t="s">
        <v>743</v>
      </c>
      <c r="B530" s="97">
        <v>181</v>
      </c>
      <c r="C530" s="97">
        <v>62</v>
      </c>
      <c r="D530" s="92"/>
      <c r="E530" s="92"/>
      <c r="F530" s="92"/>
      <c r="G530" s="96"/>
      <c r="H530" s="96"/>
      <c r="I530" s="92"/>
      <c r="J530" s="92"/>
      <c r="K530" s="92"/>
      <c r="L530" s="92"/>
      <c r="M530" s="92"/>
      <c r="N530" s="97">
        <v>0</v>
      </c>
      <c r="O530" s="97">
        <v>12</v>
      </c>
      <c r="P530" s="98">
        <f>SUM(SamplingData[[#This Row],[Winning Candidate]:[Under Votes]])</f>
        <v>255</v>
      </c>
      <c r="Q530" s="99">
        <f>IF(AND(SamplingData[[#This Row],[Total]]&lt;&gt; 0, NOT(ISBLANK(SamplingData[[#This Row],[Losing Candidate]]))),(SamplingData[[#This Row],[Total]]+SamplingData[[#This Row],[Winning Candidate]]-SamplingData[[#This Row],[Losing Candidate]])/(SamplingData[[#Totals],[Winning Candidate]]-SamplingData[[#Totals],[Losing Candidate]]), 0)</f>
        <v>1.587166864708878E-2</v>
      </c>
      <c r="R530" s="99">
        <f>IF(AND(SamplingData[[#This Row],[Total]]&lt;&gt; 0, NOT(ISBLANK(SamplingData[[#This Row],[Candidate 3]]))),(SamplingData[[#This Row],[Total]]+SamplingData[[#This Row],[Winning Candidate]]-SamplingData[[#This Row],[Candidate 3]])/(SamplingData[[#Totals],[Winning Candidate]]-SamplingData[[#Totals],[Candidate 3]]), 0)</f>
        <v>0</v>
      </c>
      <c r="S530" s="99">
        <f>IF(AND(SamplingData[[#This Row],[Total]]&lt;&gt; 0, NOT(ISBLANK(SamplingData[[#This Row],[Candidate 4]]))),(SamplingData[[#This Row],[Total]]+SamplingData[[#This Row],[Winning Candidate]]-SamplingData[[#This Row],[Candidate 4]])/(SamplingData[[#Totals],[Winning Candidate]]-SamplingData[[#Totals],[Candidate 4]]), 0)</f>
        <v>0</v>
      </c>
      <c r="T530" s="99">
        <f>IF(AND(SamplingData[[#This Row],[Total]]&lt;&gt; 0, NOT(ISBLANK(SamplingData[[#This Row],[Candidate 5]]))),(SamplingData[[#This Row],[Total]]+SamplingData[[#This Row],[Winning Candidate]]-SamplingData[[#This Row],[Candidate 5]])/(SamplingData[[#Totals],[Winning Candidate]]-SamplingData[[#Totals],[Candidate 5]]), 0)</f>
        <v>0</v>
      </c>
      <c r="U530" s="99">
        <f>IF(AND(SamplingData[[#This Row],[Total]]&lt;&gt; 0, NOT(ISBLANK(SamplingData[[#This Row],[Candidate 6]]))),(SamplingData[[#This Row],[Total]]+SamplingData[[#This Row],[Losing Candidate]]-SamplingData[[#This Row],[Candidate 6]])/(SamplingData[[#Totals],[Winning Candidate]]-SamplingData[[#Totals],[Candidate 6]]), 0)</f>
        <v>0</v>
      </c>
      <c r="V530" s="99">
        <f>IF(AND(SamplingData[[#This Row],[Total]]&lt;&gt; 0, NOT(ISBLANK(SamplingData[[#This Row],[Candidate 7]]))),(SamplingData[[#This Row],[Total]]+SamplingData[[#This Row],[Winning Candidate]]-SamplingData[[#This Row],[Candidate 7]])/(SamplingData[[#Totals],[Winning Candidate]]-SamplingData[[#Totals],[Candidate 7]]), 0)</f>
        <v>0</v>
      </c>
      <c r="W530" s="99">
        <f>IF(AND(SamplingData[[#This Row],[Total]]&lt;&gt; 0, NOT(ISBLANK(SamplingData[[#This Row],[Candidate 8]]))),(SamplingData[[#This Row],[Total]]+SamplingData[[#This Row],[Winning Candidate]]-SamplingData[[#This Row],[Candidate 8]])/(SamplingData[[#Totals],[Winning Candidate]]-SamplingData[[#Totals],[Candidate 8]]), 0)</f>
        <v>0</v>
      </c>
      <c r="X5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0" s="99">
        <f>MAX(SamplingData[[#This Row],[Error Bound (up) - Max. possible relative overstatement - Losing Candidate]:[Error Bound (up) - Max. possible relative overstatement - Candidate 12]])</f>
        <v>1.587166864708878E-2</v>
      </c>
      <c r="AC530" s="99">
        <f>IF(SamplingData[[#This Row],[Max Error Bound (up)]] = 0,0,SamplingData[[#This Row],[Max Error Bound (up)]]/SamplingData[[#Totals],[Max Error Bound (up)]])</f>
        <v>8.4978369142400226E-4</v>
      </c>
      <c r="AD530" s="103">
        <f>SUM($AC$5:AC530)</f>
        <v>0.42744119678627313</v>
      </c>
      <c r="AE530" s="99" t="str" cm="1">
        <f t="array" ref="AE530">IF(SamplingData[[#This Row],[up/U Selection Probability]] = 0, "Zero", TEXT(SamplingData[[#This Row],[Lower Range]], REPT("0",LEN('General Info'!$B$42))) &amp; " - " &amp; TEXT(SamplingData[[#This Row],[Upper Range]], REPT("0",LEN('General Info'!$B$42))))</f>
        <v>426591 - 427440</v>
      </c>
      <c r="AF530" s="99">
        <f>SamplingData[[#This Row],[Upper Range]]-SamplingData[[#This Row],[Span]]</f>
        <v>426591.41309484915</v>
      </c>
      <c r="AG530" s="99">
        <f>IF(ISNUMBER('General Info'!$B$42), ((SamplingData[[#This Row],[up/U Selection Probability]]) * 'General Info'!$B$44) - 1, 0)</f>
        <v>848.78369142400231</v>
      </c>
      <c r="AH530" s="99">
        <f>IF(ISNUMBER('General Info'!$B$42), (SamplingData[[#This Row],[Running (cumulative) sum]] * ('General Info'!$B$42 -'General Info'!$B$43 + 1)) + 'General Info'!$B$43 - 1, 0)</f>
        <v>427440.19678627315</v>
      </c>
      <c r="AI530" s="99" t="str">
        <f>IF(ISERROR(MATCH(SamplingData[[#This Row],[Batch by Type (p)]],SelectedPrecincts[Batch Name], 0)), "", INDEX(SelectedPrecincts[Draw], MATCH(SamplingData[[#This Row],[Batch by Type (p)]],SelectedPrecincts[Batch Name], 0)))</f>
        <v/>
      </c>
      <c r="AJ530" s="100">
        <f>IF(COUNTIF(SelectedPrecincts[Batch Name],SamplingData[[#This Row],[Batch by Type (p)]]) &lt;&gt; 0, COUNTIF(SelectedPrecincts[Batch Name],SamplingData[[#This Row],[Batch by Type (p)]]), 0)</f>
        <v>0</v>
      </c>
    </row>
    <row r="531" spans="1:36" ht="15" customHeight="1" x14ac:dyDescent="0.35">
      <c r="A531" s="97" t="s">
        <v>744</v>
      </c>
      <c r="B531" s="97">
        <v>144</v>
      </c>
      <c r="C531" s="97">
        <v>62</v>
      </c>
      <c r="D531" s="92"/>
      <c r="E531" s="92"/>
      <c r="F531" s="92"/>
      <c r="G531" s="96"/>
      <c r="H531" s="96"/>
      <c r="I531" s="92"/>
      <c r="J531" s="92"/>
      <c r="K531" s="92"/>
      <c r="L531" s="92"/>
      <c r="M531" s="92"/>
      <c r="N531" s="97">
        <v>0</v>
      </c>
      <c r="O531" s="97">
        <v>10</v>
      </c>
      <c r="P531" s="98">
        <f>SUM(SamplingData[[#This Row],[Winning Candidate]:[Under Votes]])</f>
        <v>216</v>
      </c>
      <c r="Q531" s="99">
        <f>IF(AND(SamplingData[[#This Row],[Total]]&lt;&gt; 0, NOT(ISBLANK(SamplingData[[#This Row],[Losing Candidate]]))),(SamplingData[[#This Row],[Total]]+SamplingData[[#This Row],[Winning Candidate]]-SamplingData[[#This Row],[Losing Candidate]])/(SamplingData[[#Totals],[Winning Candidate]]-SamplingData[[#Totals],[Losing Candidate]]), 0)</f>
        <v>1.2646409777626889E-2</v>
      </c>
      <c r="R531" s="99">
        <f>IF(AND(SamplingData[[#This Row],[Total]]&lt;&gt; 0, NOT(ISBLANK(SamplingData[[#This Row],[Candidate 3]]))),(SamplingData[[#This Row],[Total]]+SamplingData[[#This Row],[Winning Candidate]]-SamplingData[[#This Row],[Candidate 3]])/(SamplingData[[#Totals],[Winning Candidate]]-SamplingData[[#Totals],[Candidate 3]]), 0)</f>
        <v>0</v>
      </c>
      <c r="S531" s="99">
        <f>IF(AND(SamplingData[[#This Row],[Total]]&lt;&gt; 0, NOT(ISBLANK(SamplingData[[#This Row],[Candidate 4]]))),(SamplingData[[#This Row],[Total]]+SamplingData[[#This Row],[Winning Candidate]]-SamplingData[[#This Row],[Candidate 4]])/(SamplingData[[#Totals],[Winning Candidate]]-SamplingData[[#Totals],[Candidate 4]]), 0)</f>
        <v>0</v>
      </c>
      <c r="T531" s="99">
        <f>IF(AND(SamplingData[[#This Row],[Total]]&lt;&gt; 0, NOT(ISBLANK(SamplingData[[#This Row],[Candidate 5]]))),(SamplingData[[#This Row],[Total]]+SamplingData[[#This Row],[Winning Candidate]]-SamplingData[[#This Row],[Candidate 5]])/(SamplingData[[#Totals],[Winning Candidate]]-SamplingData[[#Totals],[Candidate 5]]), 0)</f>
        <v>0</v>
      </c>
      <c r="U531" s="99">
        <f>IF(AND(SamplingData[[#This Row],[Total]]&lt;&gt; 0, NOT(ISBLANK(SamplingData[[#This Row],[Candidate 6]]))),(SamplingData[[#This Row],[Total]]+SamplingData[[#This Row],[Losing Candidate]]-SamplingData[[#This Row],[Candidate 6]])/(SamplingData[[#Totals],[Winning Candidate]]-SamplingData[[#Totals],[Candidate 6]]), 0)</f>
        <v>0</v>
      </c>
      <c r="V531" s="99">
        <f>IF(AND(SamplingData[[#This Row],[Total]]&lt;&gt; 0, NOT(ISBLANK(SamplingData[[#This Row],[Candidate 7]]))),(SamplingData[[#This Row],[Total]]+SamplingData[[#This Row],[Winning Candidate]]-SamplingData[[#This Row],[Candidate 7]])/(SamplingData[[#Totals],[Winning Candidate]]-SamplingData[[#Totals],[Candidate 7]]), 0)</f>
        <v>0</v>
      </c>
      <c r="W531" s="99">
        <f>IF(AND(SamplingData[[#This Row],[Total]]&lt;&gt; 0, NOT(ISBLANK(SamplingData[[#This Row],[Candidate 8]]))),(SamplingData[[#This Row],[Total]]+SamplingData[[#This Row],[Winning Candidate]]-SamplingData[[#This Row],[Candidate 8]])/(SamplingData[[#Totals],[Winning Candidate]]-SamplingData[[#Totals],[Candidate 8]]), 0)</f>
        <v>0</v>
      </c>
      <c r="X5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1" s="99">
        <f>MAX(SamplingData[[#This Row],[Error Bound (up) - Max. possible relative overstatement - Losing Candidate]:[Error Bound (up) - Max. possible relative overstatement - Candidate 12]])</f>
        <v>1.2646409777626889E-2</v>
      </c>
      <c r="AC531" s="99">
        <f>IF(SamplingData[[#This Row],[Max Error Bound (up)]] = 0,0,SamplingData[[#This Row],[Max Error Bound (up)]]/SamplingData[[#Totals],[Max Error Bound (up)]])</f>
        <v>6.7710037445014085E-4</v>
      </c>
      <c r="AD531" s="103">
        <f>SUM($AC$5:AC531)</f>
        <v>0.42811829716072325</v>
      </c>
      <c r="AE531" s="99" t="str" cm="1">
        <f t="array" ref="AE531">IF(SamplingData[[#This Row],[up/U Selection Probability]] = 0, "Zero", TEXT(SamplingData[[#This Row],[Lower Range]], REPT("0",LEN('General Info'!$B$42))) &amp; " - " &amp; TEXT(SamplingData[[#This Row],[Upper Range]], REPT("0",LEN('General Info'!$B$42))))</f>
        <v>427441 - 428117</v>
      </c>
      <c r="AF531" s="99">
        <f>SamplingData[[#This Row],[Upper Range]]-SamplingData[[#This Row],[Span]]</f>
        <v>427441.1967862731</v>
      </c>
      <c r="AG531" s="99">
        <f>IF(ISNUMBER('General Info'!$B$42), ((SamplingData[[#This Row],[up/U Selection Probability]]) * 'General Info'!$B$44) - 1, 0)</f>
        <v>676.10037445014086</v>
      </c>
      <c r="AH531" s="99">
        <f>IF(ISNUMBER('General Info'!$B$42), (SamplingData[[#This Row],[Running (cumulative) sum]] * ('General Info'!$B$42 -'General Info'!$B$43 + 1)) + 'General Info'!$B$43 - 1, 0)</f>
        <v>428117.29716072325</v>
      </c>
      <c r="AI531" s="99" t="str">
        <f>IF(ISERROR(MATCH(SamplingData[[#This Row],[Batch by Type (p)]],SelectedPrecincts[Batch Name], 0)), "", INDEX(SelectedPrecincts[Draw], MATCH(SamplingData[[#This Row],[Batch by Type (p)]],SelectedPrecincts[Batch Name], 0)))</f>
        <v/>
      </c>
      <c r="AJ531" s="100">
        <f>IF(COUNTIF(SelectedPrecincts[Batch Name],SamplingData[[#This Row],[Batch by Type (p)]]) &lt;&gt; 0, COUNTIF(SelectedPrecincts[Batch Name],SamplingData[[#This Row],[Batch by Type (p)]]), 0)</f>
        <v>0</v>
      </c>
    </row>
    <row r="532" spans="1:36" ht="15" customHeight="1" x14ac:dyDescent="0.35">
      <c r="A532" s="97" t="s">
        <v>745</v>
      </c>
      <c r="B532" s="97">
        <v>144</v>
      </c>
      <c r="C532" s="97">
        <v>62</v>
      </c>
      <c r="D532" s="92"/>
      <c r="E532" s="92"/>
      <c r="F532" s="92"/>
      <c r="G532" s="96"/>
      <c r="H532" s="96"/>
      <c r="I532" s="92"/>
      <c r="J532" s="92"/>
      <c r="K532" s="92"/>
      <c r="L532" s="92"/>
      <c r="M532" s="92"/>
      <c r="N532" s="97">
        <v>0</v>
      </c>
      <c r="O532" s="97">
        <v>9</v>
      </c>
      <c r="P532" s="98">
        <f>SUM(SamplingData[[#This Row],[Winning Candidate]:[Under Votes]])</f>
        <v>215</v>
      </c>
      <c r="Q532" s="99">
        <f>IF(AND(SamplingData[[#This Row],[Total]]&lt;&gt; 0, NOT(ISBLANK(SamplingData[[#This Row],[Losing Candidate]]))),(SamplingData[[#This Row],[Total]]+SamplingData[[#This Row],[Winning Candidate]]-SamplingData[[#This Row],[Losing Candidate]])/(SamplingData[[#Totals],[Winning Candidate]]-SamplingData[[#Totals],[Losing Candidate]]), 0)</f>
        <v>1.2603972160923443E-2</v>
      </c>
      <c r="R532" s="99">
        <f>IF(AND(SamplingData[[#This Row],[Total]]&lt;&gt; 0, NOT(ISBLANK(SamplingData[[#This Row],[Candidate 3]]))),(SamplingData[[#This Row],[Total]]+SamplingData[[#This Row],[Winning Candidate]]-SamplingData[[#This Row],[Candidate 3]])/(SamplingData[[#Totals],[Winning Candidate]]-SamplingData[[#Totals],[Candidate 3]]), 0)</f>
        <v>0</v>
      </c>
      <c r="S532" s="99">
        <f>IF(AND(SamplingData[[#This Row],[Total]]&lt;&gt; 0, NOT(ISBLANK(SamplingData[[#This Row],[Candidate 4]]))),(SamplingData[[#This Row],[Total]]+SamplingData[[#This Row],[Winning Candidate]]-SamplingData[[#This Row],[Candidate 4]])/(SamplingData[[#Totals],[Winning Candidate]]-SamplingData[[#Totals],[Candidate 4]]), 0)</f>
        <v>0</v>
      </c>
      <c r="T532" s="99">
        <f>IF(AND(SamplingData[[#This Row],[Total]]&lt;&gt; 0, NOT(ISBLANK(SamplingData[[#This Row],[Candidate 5]]))),(SamplingData[[#This Row],[Total]]+SamplingData[[#This Row],[Winning Candidate]]-SamplingData[[#This Row],[Candidate 5]])/(SamplingData[[#Totals],[Winning Candidate]]-SamplingData[[#Totals],[Candidate 5]]), 0)</f>
        <v>0</v>
      </c>
      <c r="U532" s="99">
        <f>IF(AND(SamplingData[[#This Row],[Total]]&lt;&gt; 0, NOT(ISBLANK(SamplingData[[#This Row],[Candidate 6]]))),(SamplingData[[#This Row],[Total]]+SamplingData[[#This Row],[Losing Candidate]]-SamplingData[[#This Row],[Candidate 6]])/(SamplingData[[#Totals],[Winning Candidate]]-SamplingData[[#Totals],[Candidate 6]]), 0)</f>
        <v>0</v>
      </c>
      <c r="V532" s="99">
        <f>IF(AND(SamplingData[[#This Row],[Total]]&lt;&gt; 0, NOT(ISBLANK(SamplingData[[#This Row],[Candidate 7]]))),(SamplingData[[#This Row],[Total]]+SamplingData[[#This Row],[Winning Candidate]]-SamplingData[[#This Row],[Candidate 7]])/(SamplingData[[#Totals],[Winning Candidate]]-SamplingData[[#Totals],[Candidate 7]]), 0)</f>
        <v>0</v>
      </c>
      <c r="W532" s="99">
        <f>IF(AND(SamplingData[[#This Row],[Total]]&lt;&gt; 0, NOT(ISBLANK(SamplingData[[#This Row],[Candidate 8]]))),(SamplingData[[#This Row],[Total]]+SamplingData[[#This Row],[Winning Candidate]]-SamplingData[[#This Row],[Candidate 8]])/(SamplingData[[#Totals],[Winning Candidate]]-SamplingData[[#Totals],[Candidate 8]]), 0)</f>
        <v>0</v>
      </c>
      <c r="X5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2" s="99">
        <f>MAX(SamplingData[[#This Row],[Error Bound (up) - Max. possible relative overstatement - Losing Candidate]:[Error Bound (up) - Max. possible relative overstatement - Candidate 12]])</f>
        <v>1.2603972160923443E-2</v>
      </c>
      <c r="AC532" s="99">
        <f>IF(SamplingData[[#This Row],[Max Error Bound (up)]] = 0,0,SamplingData[[#This Row],[Max Error Bound (up)]]/SamplingData[[#Totals],[Max Error Bound (up)]])</f>
        <v>6.7482822554259007E-4</v>
      </c>
      <c r="AD532" s="103">
        <f>SUM($AC$5:AC532)</f>
        <v>0.42879312538626585</v>
      </c>
      <c r="AE532" s="99" t="str" cm="1">
        <f t="array" ref="AE532">IF(SamplingData[[#This Row],[up/U Selection Probability]] = 0, "Zero", TEXT(SamplingData[[#This Row],[Lower Range]], REPT("0",LEN('General Info'!$B$42))) &amp; " - " &amp; TEXT(SamplingData[[#This Row],[Upper Range]], REPT("0",LEN('General Info'!$B$42))))</f>
        <v>428118 - 428792</v>
      </c>
      <c r="AF532" s="99">
        <f>SamplingData[[#This Row],[Upper Range]]-SamplingData[[#This Row],[Span]]</f>
        <v>428118.29716072325</v>
      </c>
      <c r="AG532" s="99">
        <f>IF(ISNUMBER('General Info'!$B$42), ((SamplingData[[#This Row],[up/U Selection Probability]]) * 'General Info'!$B$44) - 1, 0)</f>
        <v>673.82822554259008</v>
      </c>
      <c r="AH532" s="99">
        <f>IF(ISNUMBER('General Info'!$B$42), (SamplingData[[#This Row],[Running (cumulative) sum]] * ('General Info'!$B$42 -'General Info'!$B$43 + 1)) + 'General Info'!$B$43 - 1, 0)</f>
        <v>428792.12538626586</v>
      </c>
      <c r="AI532" s="99" t="str">
        <f>IF(ISERROR(MATCH(SamplingData[[#This Row],[Batch by Type (p)]],SelectedPrecincts[Batch Name], 0)), "", INDEX(SelectedPrecincts[Draw], MATCH(SamplingData[[#This Row],[Batch by Type (p)]],SelectedPrecincts[Batch Name], 0)))</f>
        <v/>
      </c>
      <c r="AJ532" s="100">
        <f>IF(COUNTIF(SelectedPrecincts[Batch Name],SamplingData[[#This Row],[Batch by Type (p)]]) &lt;&gt; 0, COUNTIF(SelectedPrecincts[Batch Name],SamplingData[[#This Row],[Batch by Type (p)]]), 0)</f>
        <v>0</v>
      </c>
    </row>
    <row r="533" spans="1:36" ht="15" customHeight="1" x14ac:dyDescent="0.35">
      <c r="A533" s="97" t="s">
        <v>746</v>
      </c>
      <c r="B533" s="97">
        <v>110</v>
      </c>
      <c r="C533" s="97">
        <v>122</v>
      </c>
      <c r="D533" s="92"/>
      <c r="E533" s="92"/>
      <c r="F533" s="92"/>
      <c r="G533" s="96"/>
      <c r="H533" s="96"/>
      <c r="I533" s="92"/>
      <c r="J533" s="92"/>
      <c r="K533" s="92"/>
      <c r="L533" s="92"/>
      <c r="M533" s="92"/>
      <c r="N533" s="97">
        <v>0</v>
      </c>
      <c r="O533" s="97">
        <v>7</v>
      </c>
      <c r="P533" s="98">
        <f>SUM(SamplingData[[#This Row],[Winning Candidate]:[Under Votes]])</f>
        <v>239</v>
      </c>
      <c r="Q533" s="99">
        <f>IF(AND(SamplingData[[#This Row],[Total]]&lt;&gt; 0, NOT(ISBLANK(SamplingData[[#This Row],[Losing Candidate]]))),(SamplingData[[#This Row],[Total]]+SamplingData[[#This Row],[Winning Candidate]]-SamplingData[[#This Row],[Losing Candidate]])/(SamplingData[[#Totals],[Winning Candidate]]-SamplingData[[#Totals],[Losing Candidate]]), 0)</f>
        <v>9.6333389916822276E-3</v>
      </c>
      <c r="R533" s="99">
        <f>IF(AND(SamplingData[[#This Row],[Total]]&lt;&gt; 0, NOT(ISBLANK(SamplingData[[#This Row],[Candidate 3]]))),(SamplingData[[#This Row],[Total]]+SamplingData[[#This Row],[Winning Candidate]]-SamplingData[[#This Row],[Candidate 3]])/(SamplingData[[#Totals],[Winning Candidate]]-SamplingData[[#Totals],[Candidate 3]]), 0)</f>
        <v>0</v>
      </c>
      <c r="S533" s="99">
        <f>IF(AND(SamplingData[[#This Row],[Total]]&lt;&gt; 0, NOT(ISBLANK(SamplingData[[#This Row],[Candidate 4]]))),(SamplingData[[#This Row],[Total]]+SamplingData[[#This Row],[Winning Candidate]]-SamplingData[[#This Row],[Candidate 4]])/(SamplingData[[#Totals],[Winning Candidate]]-SamplingData[[#Totals],[Candidate 4]]), 0)</f>
        <v>0</v>
      </c>
      <c r="T533" s="99">
        <f>IF(AND(SamplingData[[#This Row],[Total]]&lt;&gt; 0, NOT(ISBLANK(SamplingData[[#This Row],[Candidate 5]]))),(SamplingData[[#This Row],[Total]]+SamplingData[[#This Row],[Winning Candidate]]-SamplingData[[#This Row],[Candidate 5]])/(SamplingData[[#Totals],[Winning Candidate]]-SamplingData[[#Totals],[Candidate 5]]), 0)</f>
        <v>0</v>
      </c>
      <c r="U533" s="99">
        <f>IF(AND(SamplingData[[#This Row],[Total]]&lt;&gt; 0, NOT(ISBLANK(SamplingData[[#This Row],[Candidate 6]]))),(SamplingData[[#This Row],[Total]]+SamplingData[[#This Row],[Losing Candidate]]-SamplingData[[#This Row],[Candidate 6]])/(SamplingData[[#Totals],[Winning Candidate]]-SamplingData[[#Totals],[Candidate 6]]), 0)</f>
        <v>0</v>
      </c>
      <c r="V533" s="99">
        <f>IF(AND(SamplingData[[#This Row],[Total]]&lt;&gt; 0, NOT(ISBLANK(SamplingData[[#This Row],[Candidate 7]]))),(SamplingData[[#This Row],[Total]]+SamplingData[[#This Row],[Winning Candidate]]-SamplingData[[#This Row],[Candidate 7]])/(SamplingData[[#Totals],[Winning Candidate]]-SamplingData[[#Totals],[Candidate 7]]), 0)</f>
        <v>0</v>
      </c>
      <c r="W533" s="99">
        <f>IF(AND(SamplingData[[#This Row],[Total]]&lt;&gt; 0, NOT(ISBLANK(SamplingData[[#This Row],[Candidate 8]]))),(SamplingData[[#This Row],[Total]]+SamplingData[[#This Row],[Winning Candidate]]-SamplingData[[#This Row],[Candidate 8]])/(SamplingData[[#Totals],[Winning Candidate]]-SamplingData[[#Totals],[Candidate 8]]), 0)</f>
        <v>0</v>
      </c>
      <c r="X5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3" s="99">
        <f>MAX(SamplingData[[#This Row],[Error Bound (up) - Max. possible relative overstatement - Losing Candidate]:[Error Bound (up) - Max. possible relative overstatement - Candidate 12]])</f>
        <v>9.6333389916822276E-3</v>
      </c>
      <c r="AC533" s="99">
        <f>IF(SamplingData[[#This Row],[Max Error Bound (up)]] = 0,0,SamplingData[[#This Row],[Max Error Bound (up)]]/SamplingData[[#Totals],[Max Error Bound (up)]])</f>
        <v>5.1577780201403345E-4</v>
      </c>
      <c r="AD533" s="103">
        <f>SUM($AC$5:AC533)</f>
        <v>0.42930890318827986</v>
      </c>
      <c r="AE533" s="99" t="str" cm="1">
        <f t="array" ref="AE533">IF(SamplingData[[#This Row],[up/U Selection Probability]] = 0, "Zero", TEXT(SamplingData[[#This Row],[Lower Range]], REPT("0",LEN('General Info'!$B$42))) &amp; " - " &amp; TEXT(SamplingData[[#This Row],[Upper Range]], REPT("0",LEN('General Info'!$B$42))))</f>
        <v>428793 - 429308</v>
      </c>
      <c r="AF533" s="99">
        <f>SamplingData[[#This Row],[Upper Range]]-SamplingData[[#This Row],[Span]]</f>
        <v>428793.1253862658</v>
      </c>
      <c r="AG533" s="99">
        <f>IF(ISNUMBER('General Info'!$B$42), ((SamplingData[[#This Row],[up/U Selection Probability]]) * 'General Info'!$B$44) - 1, 0)</f>
        <v>514.77780201403345</v>
      </c>
      <c r="AH533" s="99">
        <f>IF(ISNUMBER('General Info'!$B$42), (SamplingData[[#This Row],[Running (cumulative) sum]] * ('General Info'!$B$42 -'General Info'!$B$43 + 1)) + 'General Info'!$B$43 - 1, 0)</f>
        <v>429307.90318827983</v>
      </c>
      <c r="AI533" s="99" t="str">
        <f>IF(ISERROR(MATCH(SamplingData[[#This Row],[Batch by Type (p)]],SelectedPrecincts[Batch Name], 0)), "", INDEX(SelectedPrecincts[Draw], MATCH(SamplingData[[#This Row],[Batch by Type (p)]],SelectedPrecincts[Batch Name], 0)))</f>
        <v/>
      </c>
      <c r="AJ533" s="100">
        <f>IF(COUNTIF(SelectedPrecincts[Batch Name],SamplingData[[#This Row],[Batch by Type (p)]]) &lt;&gt; 0, COUNTIF(SelectedPrecincts[Batch Name],SamplingData[[#This Row],[Batch by Type (p)]]), 0)</f>
        <v>0</v>
      </c>
    </row>
    <row r="534" spans="1:36" ht="15" customHeight="1" x14ac:dyDescent="0.35">
      <c r="A534" s="97" t="s">
        <v>747</v>
      </c>
      <c r="B534" s="97">
        <v>13</v>
      </c>
      <c r="C534" s="97">
        <v>3</v>
      </c>
      <c r="D534" s="92"/>
      <c r="E534" s="92"/>
      <c r="F534" s="92"/>
      <c r="G534" s="96"/>
      <c r="H534" s="96"/>
      <c r="I534" s="92"/>
      <c r="J534" s="92"/>
      <c r="K534" s="92"/>
      <c r="L534" s="92"/>
      <c r="M534" s="92"/>
      <c r="N534" s="97">
        <v>0</v>
      </c>
      <c r="O534" s="97">
        <v>1</v>
      </c>
      <c r="P534" s="98">
        <f>SUM(SamplingData[[#This Row],[Winning Candidate]:[Under Votes]])</f>
        <v>17</v>
      </c>
      <c r="Q534" s="99">
        <f>IF(AND(SamplingData[[#This Row],[Total]]&lt;&gt; 0, NOT(ISBLANK(SamplingData[[#This Row],[Losing Candidate]]))),(SamplingData[[#This Row],[Total]]+SamplingData[[#This Row],[Winning Candidate]]-SamplingData[[#This Row],[Losing Candidate]])/(SamplingData[[#Totals],[Winning Candidate]]-SamplingData[[#Totals],[Losing Candidate]]), 0)</f>
        <v>1.1458156509930402E-3</v>
      </c>
      <c r="R534" s="99">
        <f>IF(AND(SamplingData[[#This Row],[Total]]&lt;&gt; 0, NOT(ISBLANK(SamplingData[[#This Row],[Candidate 3]]))),(SamplingData[[#This Row],[Total]]+SamplingData[[#This Row],[Winning Candidate]]-SamplingData[[#This Row],[Candidate 3]])/(SamplingData[[#Totals],[Winning Candidate]]-SamplingData[[#Totals],[Candidate 3]]), 0)</f>
        <v>0</v>
      </c>
      <c r="S534" s="99">
        <f>IF(AND(SamplingData[[#This Row],[Total]]&lt;&gt; 0, NOT(ISBLANK(SamplingData[[#This Row],[Candidate 4]]))),(SamplingData[[#This Row],[Total]]+SamplingData[[#This Row],[Winning Candidate]]-SamplingData[[#This Row],[Candidate 4]])/(SamplingData[[#Totals],[Winning Candidate]]-SamplingData[[#Totals],[Candidate 4]]), 0)</f>
        <v>0</v>
      </c>
      <c r="T534" s="99">
        <f>IF(AND(SamplingData[[#This Row],[Total]]&lt;&gt; 0, NOT(ISBLANK(SamplingData[[#This Row],[Candidate 5]]))),(SamplingData[[#This Row],[Total]]+SamplingData[[#This Row],[Winning Candidate]]-SamplingData[[#This Row],[Candidate 5]])/(SamplingData[[#Totals],[Winning Candidate]]-SamplingData[[#Totals],[Candidate 5]]), 0)</f>
        <v>0</v>
      </c>
      <c r="U534" s="99">
        <f>IF(AND(SamplingData[[#This Row],[Total]]&lt;&gt; 0, NOT(ISBLANK(SamplingData[[#This Row],[Candidate 6]]))),(SamplingData[[#This Row],[Total]]+SamplingData[[#This Row],[Losing Candidate]]-SamplingData[[#This Row],[Candidate 6]])/(SamplingData[[#Totals],[Winning Candidate]]-SamplingData[[#Totals],[Candidate 6]]), 0)</f>
        <v>0</v>
      </c>
      <c r="V534" s="99">
        <f>IF(AND(SamplingData[[#This Row],[Total]]&lt;&gt; 0, NOT(ISBLANK(SamplingData[[#This Row],[Candidate 7]]))),(SamplingData[[#This Row],[Total]]+SamplingData[[#This Row],[Winning Candidate]]-SamplingData[[#This Row],[Candidate 7]])/(SamplingData[[#Totals],[Winning Candidate]]-SamplingData[[#Totals],[Candidate 7]]), 0)</f>
        <v>0</v>
      </c>
      <c r="W534" s="99">
        <f>IF(AND(SamplingData[[#This Row],[Total]]&lt;&gt; 0, NOT(ISBLANK(SamplingData[[#This Row],[Candidate 8]]))),(SamplingData[[#This Row],[Total]]+SamplingData[[#This Row],[Winning Candidate]]-SamplingData[[#This Row],[Candidate 8]])/(SamplingData[[#Totals],[Winning Candidate]]-SamplingData[[#Totals],[Candidate 8]]), 0)</f>
        <v>0</v>
      </c>
      <c r="X5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4" s="99">
        <f>MAX(SamplingData[[#This Row],[Error Bound (up) - Max. possible relative overstatement - Losing Candidate]:[Error Bound (up) - Max. possible relative overstatement - Candidate 12]])</f>
        <v>1.1458156509930402E-3</v>
      </c>
      <c r="AC534" s="99">
        <f>IF(SamplingData[[#This Row],[Max Error Bound (up)]] = 0,0,SamplingData[[#This Row],[Max Error Bound (up)]]/SamplingData[[#Totals],[Max Error Bound (up)]])</f>
        <v>6.1348020503871817E-5</v>
      </c>
      <c r="AD534" s="103">
        <f>SUM($AC$5:AC534)</f>
        <v>0.42937025120878375</v>
      </c>
      <c r="AE534" s="99" t="str" cm="1">
        <f t="array" ref="AE534">IF(SamplingData[[#This Row],[up/U Selection Probability]] = 0, "Zero", TEXT(SamplingData[[#This Row],[Lower Range]], REPT("0",LEN('General Info'!$B$42))) &amp; " - " &amp; TEXT(SamplingData[[#This Row],[Upper Range]], REPT("0",LEN('General Info'!$B$42))))</f>
        <v>429309 - 429369</v>
      </c>
      <c r="AF534" s="99">
        <f>SamplingData[[#This Row],[Upper Range]]-SamplingData[[#This Row],[Span]]</f>
        <v>429308.90318827989</v>
      </c>
      <c r="AG534" s="99">
        <f>IF(ISNUMBER('General Info'!$B$42), ((SamplingData[[#This Row],[up/U Selection Probability]]) * 'General Info'!$B$44) - 1, 0)</f>
        <v>60.348020503871815</v>
      </c>
      <c r="AH534" s="99">
        <f>IF(ISNUMBER('General Info'!$B$42), (SamplingData[[#This Row],[Running (cumulative) sum]] * ('General Info'!$B$42 -'General Info'!$B$43 + 1)) + 'General Info'!$B$43 - 1, 0)</f>
        <v>429369.25120878377</v>
      </c>
      <c r="AI534" s="99" t="str">
        <f>IF(ISERROR(MATCH(SamplingData[[#This Row],[Batch by Type (p)]],SelectedPrecincts[Batch Name], 0)), "", INDEX(SelectedPrecincts[Draw], MATCH(SamplingData[[#This Row],[Batch by Type (p)]],SelectedPrecincts[Batch Name], 0)))</f>
        <v/>
      </c>
      <c r="AJ534" s="100">
        <f>IF(COUNTIF(SelectedPrecincts[Batch Name],SamplingData[[#This Row],[Batch by Type (p)]]) &lt;&gt; 0, COUNTIF(SelectedPrecincts[Batch Name],SamplingData[[#This Row],[Batch by Type (p)]]), 0)</f>
        <v>0</v>
      </c>
    </row>
    <row r="535" spans="1:36" ht="15" customHeight="1" x14ac:dyDescent="0.35">
      <c r="A535" s="97" t="s">
        <v>748</v>
      </c>
      <c r="B535" s="97">
        <v>140</v>
      </c>
      <c r="C535" s="97">
        <v>168</v>
      </c>
      <c r="D535" s="92"/>
      <c r="E535" s="92"/>
      <c r="F535" s="92"/>
      <c r="G535" s="96"/>
      <c r="H535" s="96"/>
      <c r="I535" s="92"/>
      <c r="J535" s="92"/>
      <c r="K535" s="92"/>
      <c r="L535" s="92"/>
      <c r="M535" s="92"/>
      <c r="N535" s="97">
        <v>1</v>
      </c>
      <c r="O535" s="97">
        <v>21</v>
      </c>
      <c r="P535" s="98">
        <f>SUM(SamplingData[[#This Row],[Winning Candidate]:[Under Votes]])</f>
        <v>330</v>
      </c>
      <c r="Q535" s="99">
        <f>IF(AND(SamplingData[[#This Row],[Total]]&lt;&gt; 0, NOT(ISBLANK(SamplingData[[#This Row],[Losing Candidate]]))),(SamplingData[[#This Row],[Total]]+SamplingData[[#This Row],[Winning Candidate]]-SamplingData[[#This Row],[Losing Candidate]])/(SamplingData[[#Totals],[Winning Candidate]]-SamplingData[[#Totals],[Losing Candidate]]), 0)</f>
        <v>1.2816160244440673E-2</v>
      </c>
      <c r="R535" s="99">
        <f>IF(AND(SamplingData[[#This Row],[Total]]&lt;&gt; 0, NOT(ISBLANK(SamplingData[[#This Row],[Candidate 3]]))),(SamplingData[[#This Row],[Total]]+SamplingData[[#This Row],[Winning Candidate]]-SamplingData[[#This Row],[Candidate 3]])/(SamplingData[[#Totals],[Winning Candidate]]-SamplingData[[#Totals],[Candidate 3]]), 0)</f>
        <v>0</v>
      </c>
      <c r="S535" s="99">
        <f>IF(AND(SamplingData[[#This Row],[Total]]&lt;&gt; 0, NOT(ISBLANK(SamplingData[[#This Row],[Candidate 4]]))),(SamplingData[[#This Row],[Total]]+SamplingData[[#This Row],[Winning Candidate]]-SamplingData[[#This Row],[Candidate 4]])/(SamplingData[[#Totals],[Winning Candidate]]-SamplingData[[#Totals],[Candidate 4]]), 0)</f>
        <v>0</v>
      </c>
      <c r="T535" s="99">
        <f>IF(AND(SamplingData[[#This Row],[Total]]&lt;&gt; 0, NOT(ISBLANK(SamplingData[[#This Row],[Candidate 5]]))),(SamplingData[[#This Row],[Total]]+SamplingData[[#This Row],[Winning Candidate]]-SamplingData[[#This Row],[Candidate 5]])/(SamplingData[[#Totals],[Winning Candidate]]-SamplingData[[#Totals],[Candidate 5]]), 0)</f>
        <v>0</v>
      </c>
      <c r="U535" s="99">
        <f>IF(AND(SamplingData[[#This Row],[Total]]&lt;&gt; 0, NOT(ISBLANK(SamplingData[[#This Row],[Candidate 6]]))),(SamplingData[[#This Row],[Total]]+SamplingData[[#This Row],[Losing Candidate]]-SamplingData[[#This Row],[Candidate 6]])/(SamplingData[[#Totals],[Winning Candidate]]-SamplingData[[#Totals],[Candidate 6]]), 0)</f>
        <v>0</v>
      </c>
      <c r="V535" s="99">
        <f>IF(AND(SamplingData[[#This Row],[Total]]&lt;&gt; 0, NOT(ISBLANK(SamplingData[[#This Row],[Candidate 7]]))),(SamplingData[[#This Row],[Total]]+SamplingData[[#This Row],[Winning Candidate]]-SamplingData[[#This Row],[Candidate 7]])/(SamplingData[[#Totals],[Winning Candidate]]-SamplingData[[#Totals],[Candidate 7]]), 0)</f>
        <v>0</v>
      </c>
      <c r="W535" s="99">
        <f>IF(AND(SamplingData[[#This Row],[Total]]&lt;&gt; 0, NOT(ISBLANK(SamplingData[[#This Row],[Candidate 8]]))),(SamplingData[[#This Row],[Total]]+SamplingData[[#This Row],[Winning Candidate]]-SamplingData[[#This Row],[Candidate 8]])/(SamplingData[[#Totals],[Winning Candidate]]-SamplingData[[#Totals],[Candidate 8]]), 0)</f>
        <v>0</v>
      </c>
      <c r="X5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5" s="99">
        <f>MAX(SamplingData[[#This Row],[Error Bound (up) - Max. possible relative overstatement - Losing Candidate]:[Error Bound (up) - Max. possible relative overstatement - Candidate 12]])</f>
        <v>1.2816160244440673E-2</v>
      </c>
      <c r="AC535" s="99">
        <f>IF(SamplingData[[#This Row],[Max Error Bound (up)]] = 0,0,SamplingData[[#This Row],[Max Error Bound (up)]]/SamplingData[[#Totals],[Max Error Bound (up)]])</f>
        <v>6.8618897008034408E-4</v>
      </c>
      <c r="AD535" s="103">
        <f>SUM($AC$5:AC535)</f>
        <v>0.43005644017886407</v>
      </c>
      <c r="AE535" s="99" t="str" cm="1">
        <f t="array" ref="AE535">IF(SamplingData[[#This Row],[up/U Selection Probability]] = 0, "Zero", TEXT(SamplingData[[#This Row],[Lower Range]], REPT("0",LEN('General Info'!$B$42))) &amp; " - " &amp; TEXT(SamplingData[[#This Row],[Upper Range]], REPT("0",LEN('General Info'!$B$42))))</f>
        <v>429370 - 430055</v>
      </c>
      <c r="AF535" s="99">
        <f>SamplingData[[#This Row],[Upper Range]]-SamplingData[[#This Row],[Span]]</f>
        <v>429370.25120878371</v>
      </c>
      <c r="AG535" s="99">
        <f>IF(ISNUMBER('General Info'!$B$42), ((SamplingData[[#This Row],[up/U Selection Probability]]) * 'General Info'!$B$44) - 1, 0)</f>
        <v>685.18897008034412</v>
      </c>
      <c r="AH535" s="99">
        <f>IF(ISNUMBER('General Info'!$B$42), (SamplingData[[#This Row],[Running (cumulative) sum]] * ('General Info'!$B$42 -'General Info'!$B$43 + 1)) + 'General Info'!$B$43 - 1, 0)</f>
        <v>430055.44017886405</v>
      </c>
      <c r="AI535" s="99" t="str">
        <f>IF(ISERROR(MATCH(SamplingData[[#This Row],[Batch by Type (p)]],SelectedPrecincts[Batch Name], 0)), "", INDEX(SelectedPrecincts[Draw], MATCH(SamplingData[[#This Row],[Batch by Type (p)]],SelectedPrecincts[Batch Name], 0)))</f>
        <v/>
      </c>
      <c r="AJ535" s="100">
        <f>IF(COUNTIF(SelectedPrecincts[Batch Name],SamplingData[[#This Row],[Batch by Type (p)]]) &lt;&gt; 0, COUNTIF(SelectedPrecincts[Batch Name],SamplingData[[#This Row],[Batch by Type (p)]]), 0)</f>
        <v>0</v>
      </c>
    </row>
    <row r="536" spans="1:36" ht="15" customHeight="1" x14ac:dyDescent="0.35">
      <c r="A536" s="97" t="s">
        <v>749</v>
      </c>
      <c r="B536" s="97">
        <v>186</v>
      </c>
      <c r="C536" s="97">
        <v>203</v>
      </c>
      <c r="D536" s="92"/>
      <c r="E536" s="92"/>
      <c r="F536" s="92"/>
      <c r="G536" s="96"/>
      <c r="H536" s="96"/>
      <c r="I536" s="92"/>
      <c r="J536" s="92"/>
      <c r="K536" s="92"/>
      <c r="L536" s="92"/>
      <c r="M536" s="92"/>
      <c r="N536" s="97">
        <v>0</v>
      </c>
      <c r="O536" s="97">
        <v>24</v>
      </c>
      <c r="P536" s="98">
        <f>SUM(SamplingData[[#This Row],[Winning Candidate]:[Under Votes]])</f>
        <v>413</v>
      </c>
      <c r="Q536" s="99">
        <f>IF(AND(SamplingData[[#This Row],[Total]]&lt;&gt; 0, NOT(ISBLANK(SamplingData[[#This Row],[Losing Candidate]]))),(SamplingData[[#This Row],[Total]]+SamplingData[[#This Row],[Winning Candidate]]-SamplingData[[#This Row],[Losing Candidate]])/(SamplingData[[#Totals],[Winning Candidate]]-SamplingData[[#Totals],[Losing Candidate]]), 0)</f>
        <v>1.6805296214564589E-2</v>
      </c>
      <c r="R536" s="99">
        <f>IF(AND(SamplingData[[#This Row],[Total]]&lt;&gt; 0, NOT(ISBLANK(SamplingData[[#This Row],[Candidate 3]]))),(SamplingData[[#This Row],[Total]]+SamplingData[[#This Row],[Winning Candidate]]-SamplingData[[#This Row],[Candidate 3]])/(SamplingData[[#Totals],[Winning Candidate]]-SamplingData[[#Totals],[Candidate 3]]), 0)</f>
        <v>0</v>
      </c>
      <c r="S536" s="99">
        <f>IF(AND(SamplingData[[#This Row],[Total]]&lt;&gt; 0, NOT(ISBLANK(SamplingData[[#This Row],[Candidate 4]]))),(SamplingData[[#This Row],[Total]]+SamplingData[[#This Row],[Winning Candidate]]-SamplingData[[#This Row],[Candidate 4]])/(SamplingData[[#Totals],[Winning Candidate]]-SamplingData[[#Totals],[Candidate 4]]), 0)</f>
        <v>0</v>
      </c>
      <c r="T536" s="99">
        <f>IF(AND(SamplingData[[#This Row],[Total]]&lt;&gt; 0, NOT(ISBLANK(SamplingData[[#This Row],[Candidate 5]]))),(SamplingData[[#This Row],[Total]]+SamplingData[[#This Row],[Winning Candidate]]-SamplingData[[#This Row],[Candidate 5]])/(SamplingData[[#Totals],[Winning Candidate]]-SamplingData[[#Totals],[Candidate 5]]), 0)</f>
        <v>0</v>
      </c>
      <c r="U536" s="99">
        <f>IF(AND(SamplingData[[#This Row],[Total]]&lt;&gt; 0, NOT(ISBLANK(SamplingData[[#This Row],[Candidate 6]]))),(SamplingData[[#This Row],[Total]]+SamplingData[[#This Row],[Losing Candidate]]-SamplingData[[#This Row],[Candidate 6]])/(SamplingData[[#Totals],[Winning Candidate]]-SamplingData[[#Totals],[Candidate 6]]), 0)</f>
        <v>0</v>
      </c>
      <c r="V536" s="99">
        <f>IF(AND(SamplingData[[#This Row],[Total]]&lt;&gt; 0, NOT(ISBLANK(SamplingData[[#This Row],[Candidate 7]]))),(SamplingData[[#This Row],[Total]]+SamplingData[[#This Row],[Winning Candidate]]-SamplingData[[#This Row],[Candidate 7]])/(SamplingData[[#Totals],[Winning Candidate]]-SamplingData[[#Totals],[Candidate 7]]), 0)</f>
        <v>0</v>
      </c>
      <c r="W536" s="99">
        <f>IF(AND(SamplingData[[#This Row],[Total]]&lt;&gt; 0, NOT(ISBLANK(SamplingData[[#This Row],[Candidate 8]]))),(SamplingData[[#This Row],[Total]]+SamplingData[[#This Row],[Winning Candidate]]-SamplingData[[#This Row],[Candidate 8]])/(SamplingData[[#Totals],[Winning Candidate]]-SamplingData[[#Totals],[Candidate 8]]), 0)</f>
        <v>0</v>
      </c>
      <c r="X5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6" s="99">
        <f>MAX(SamplingData[[#This Row],[Error Bound (up) - Max. possible relative overstatement - Losing Candidate]:[Error Bound (up) - Max. possible relative overstatement - Candidate 12]])</f>
        <v>1.6805296214564589E-2</v>
      </c>
      <c r="AC536" s="99">
        <f>IF(SamplingData[[#This Row],[Max Error Bound (up)]] = 0,0,SamplingData[[#This Row],[Max Error Bound (up)]]/SamplingData[[#Totals],[Max Error Bound (up)]])</f>
        <v>8.9977096739011998E-4</v>
      </c>
      <c r="AD536" s="103">
        <f>SUM($AC$5:AC536)</f>
        <v>0.43095621114625421</v>
      </c>
      <c r="AE536" s="99" t="str" cm="1">
        <f t="array" ref="AE536">IF(SamplingData[[#This Row],[up/U Selection Probability]] = 0, "Zero", TEXT(SamplingData[[#This Row],[Lower Range]], REPT("0",LEN('General Info'!$B$42))) &amp; " - " &amp; TEXT(SamplingData[[#This Row],[Upper Range]], REPT("0",LEN('General Info'!$B$42))))</f>
        <v>430056 - 430955</v>
      </c>
      <c r="AF536" s="99">
        <f>SamplingData[[#This Row],[Upper Range]]-SamplingData[[#This Row],[Span]]</f>
        <v>430056.44017886411</v>
      </c>
      <c r="AG536" s="99">
        <f>IF(ISNUMBER('General Info'!$B$42), ((SamplingData[[#This Row],[up/U Selection Probability]]) * 'General Info'!$B$44) - 1, 0)</f>
        <v>898.77096739011995</v>
      </c>
      <c r="AH536" s="99">
        <f>IF(ISNUMBER('General Info'!$B$42), (SamplingData[[#This Row],[Running (cumulative) sum]] * ('General Info'!$B$42 -'General Info'!$B$43 + 1)) + 'General Info'!$B$43 - 1, 0)</f>
        <v>430955.21114625421</v>
      </c>
      <c r="AI536" s="99" t="str">
        <f>IF(ISERROR(MATCH(SamplingData[[#This Row],[Batch by Type (p)]],SelectedPrecincts[Batch Name], 0)), "", INDEX(SelectedPrecincts[Draw], MATCH(SamplingData[[#This Row],[Batch by Type (p)]],SelectedPrecincts[Batch Name], 0)))</f>
        <v/>
      </c>
      <c r="AJ536" s="100">
        <f>IF(COUNTIF(SelectedPrecincts[Batch Name],SamplingData[[#This Row],[Batch by Type (p)]]) &lt;&gt; 0, COUNTIF(SelectedPrecincts[Batch Name],SamplingData[[#This Row],[Batch by Type (p)]]), 0)</f>
        <v>0</v>
      </c>
    </row>
    <row r="537" spans="1:36" ht="15" customHeight="1" x14ac:dyDescent="0.35">
      <c r="A537" s="97" t="s">
        <v>750</v>
      </c>
      <c r="B537" s="97">
        <v>140</v>
      </c>
      <c r="C537" s="97">
        <v>142</v>
      </c>
      <c r="D537" s="92"/>
      <c r="E537" s="92"/>
      <c r="F537" s="92"/>
      <c r="G537" s="96"/>
      <c r="H537" s="96"/>
      <c r="I537" s="92"/>
      <c r="J537" s="92"/>
      <c r="K537" s="92"/>
      <c r="L537" s="92"/>
      <c r="M537" s="92"/>
      <c r="N537" s="97">
        <v>0</v>
      </c>
      <c r="O537" s="97">
        <v>14</v>
      </c>
      <c r="P537" s="98">
        <f>SUM(SamplingData[[#This Row],[Winning Candidate]:[Under Votes]])</f>
        <v>296</v>
      </c>
      <c r="Q537" s="99">
        <f>IF(AND(SamplingData[[#This Row],[Total]]&lt;&gt; 0, NOT(ISBLANK(SamplingData[[#This Row],[Losing Candidate]]))),(SamplingData[[#This Row],[Total]]+SamplingData[[#This Row],[Winning Candidate]]-SamplingData[[#This Row],[Losing Candidate]])/(SamplingData[[#Totals],[Winning Candidate]]-SamplingData[[#Totals],[Losing Candidate]]), 0)</f>
        <v>1.2476659310813105E-2</v>
      </c>
      <c r="R537" s="99">
        <f>IF(AND(SamplingData[[#This Row],[Total]]&lt;&gt; 0, NOT(ISBLANK(SamplingData[[#This Row],[Candidate 3]]))),(SamplingData[[#This Row],[Total]]+SamplingData[[#This Row],[Winning Candidate]]-SamplingData[[#This Row],[Candidate 3]])/(SamplingData[[#Totals],[Winning Candidate]]-SamplingData[[#Totals],[Candidate 3]]), 0)</f>
        <v>0</v>
      </c>
      <c r="S537" s="99">
        <f>IF(AND(SamplingData[[#This Row],[Total]]&lt;&gt; 0, NOT(ISBLANK(SamplingData[[#This Row],[Candidate 4]]))),(SamplingData[[#This Row],[Total]]+SamplingData[[#This Row],[Winning Candidate]]-SamplingData[[#This Row],[Candidate 4]])/(SamplingData[[#Totals],[Winning Candidate]]-SamplingData[[#Totals],[Candidate 4]]), 0)</f>
        <v>0</v>
      </c>
      <c r="T537" s="99">
        <f>IF(AND(SamplingData[[#This Row],[Total]]&lt;&gt; 0, NOT(ISBLANK(SamplingData[[#This Row],[Candidate 5]]))),(SamplingData[[#This Row],[Total]]+SamplingData[[#This Row],[Winning Candidate]]-SamplingData[[#This Row],[Candidate 5]])/(SamplingData[[#Totals],[Winning Candidate]]-SamplingData[[#Totals],[Candidate 5]]), 0)</f>
        <v>0</v>
      </c>
      <c r="U537" s="99">
        <f>IF(AND(SamplingData[[#This Row],[Total]]&lt;&gt; 0, NOT(ISBLANK(SamplingData[[#This Row],[Candidate 6]]))),(SamplingData[[#This Row],[Total]]+SamplingData[[#This Row],[Losing Candidate]]-SamplingData[[#This Row],[Candidate 6]])/(SamplingData[[#Totals],[Winning Candidate]]-SamplingData[[#Totals],[Candidate 6]]), 0)</f>
        <v>0</v>
      </c>
      <c r="V537" s="99">
        <f>IF(AND(SamplingData[[#This Row],[Total]]&lt;&gt; 0, NOT(ISBLANK(SamplingData[[#This Row],[Candidate 7]]))),(SamplingData[[#This Row],[Total]]+SamplingData[[#This Row],[Winning Candidate]]-SamplingData[[#This Row],[Candidate 7]])/(SamplingData[[#Totals],[Winning Candidate]]-SamplingData[[#Totals],[Candidate 7]]), 0)</f>
        <v>0</v>
      </c>
      <c r="W537" s="99">
        <f>IF(AND(SamplingData[[#This Row],[Total]]&lt;&gt; 0, NOT(ISBLANK(SamplingData[[#This Row],[Candidate 8]]))),(SamplingData[[#This Row],[Total]]+SamplingData[[#This Row],[Winning Candidate]]-SamplingData[[#This Row],[Candidate 8]])/(SamplingData[[#Totals],[Winning Candidate]]-SamplingData[[#Totals],[Candidate 8]]), 0)</f>
        <v>0</v>
      </c>
      <c r="X5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7" s="99">
        <f>MAX(SamplingData[[#This Row],[Error Bound (up) - Max. possible relative overstatement - Losing Candidate]:[Error Bound (up) - Max. possible relative overstatement - Candidate 12]])</f>
        <v>1.2476659310813105E-2</v>
      </c>
      <c r="AC537" s="99">
        <f>IF(SamplingData[[#This Row],[Max Error Bound (up)]] = 0,0,SamplingData[[#This Row],[Max Error Bound (up)]]/SamplingData[[#Totals],[Max Error Bound (up)]])</f>
        <v>6.6801177881993762E-4</v>
      </c>
      <c r="AD537" s="103">
        <f>SUM($AC$5:AC537)</f>
        <v>0.43162422292507413</v>
      </c>
      <c r="AE537" s="99" t="str" cm="1">
        <f t="array" ref="AE537">IF(SamplingData[[#This Row],[up/U Selection Probability]] = 0, "Zero", TEXT(SamplingData[[#This Row],[Lower Range]], REPT("0",LEN('General Info'!$B$42))) &amp; " - " &amp; TEXT(SamplingData[[#This Row],[Upper Range]], REPT("0",LEN('General Info'!$B$42))))</f>
        <v>430956 - 431623</v>
      </c>
      <c r="AF537" s="99">
        <f>SamplingData[[#This Row],[Upper Range]]-SamplingData[[#This Row],[Span]]</f>
        <v>430956.21114625415</v>
      </c>
      <c r="AG537" s="99">
        <f>IF(ISNUMBER('General Info'!$B$42), ((SamplingData[[#This Row],[up/U Selection Probability]]) * 'General Info'!$B$44) - 1, 0)</f>
        <v>667.0117788199376</v>
      </c>
      <c r="AH537" s="99">
        <f>IF(ISNUMBER('General Info'!$B$42), (SamplingData[[#This Row],[Running (cumulative) sum]] * ('General Info'!$B$42 -'General Info'!$B$43 + 1)) + 'General Info'!$B$43 - 1, 0)</f>
        <v>431623.22292507411</v>
      </c>
      <c r="AI537" s="99" t="str">
        <f>IF(ISERROR(MATCH(SamplingData[[#This Row],[Batch by Type (p)]],SelectedPrecincts[Batch Name], 0)), "", INDEX(SelectedPrecincts[Draw], MATCH(SamplingData[[#This Row],[Batch by Type (p)]],SelectedPrecincts[Batch Name], 0)))</f>
        <v/>
      </c>
      <c r="AJ537" s="100">
        <f>IF(COUNTIF(SelectedPrecincts[Batch Name],SamplingData[[#This Row],[Batch by Type (p)]]) &lt;&gt; 0, COUNTIF(SelectedPrecincts[Batch Name],SamplingData[[#This Row],[Batch by Type (p)]]), 0)</f>
        <v>0</v>
      </c>
    </row>
    <row r="538" spans="1:36" ht="15" customHeight="1" x14ac:dyDescent="0.35">
      <c r="A538" s="97" t="s">
        <v>751</v>
      </c>
      <c r="B538" s="97">
        <v>259</v>
      </c>
      <c r="C538" s="97">
        <v>310</v>
      </c>
      <c r="D538" s="92"/>
      <c r="E538" s="92"/>
      <c r="F538" s="92"/>
      <c r="G538" s="96"/>
      <c r="H538" s="96"/>
      <c r="I538" s="92"/>
      <c r="J538" s="92"/>
      <c r="K538" s="92"/>
      <c r="L538" s="92"/>
      <c r="M538" s="92"/>
      <c r="N538" s="97">
        <v>0</v>
      </c>
      <c r="O538" s="97">
        <v>39</v>
      </c>
      <c r="P538" s="98">
        <f>SUM(SamplingData[[#This Row],[Winning Candidate]:[Under Votes]])</f>
        <v>608</v>
      </c>
      <c r="Q538" s="99">
        <f>IF(AND(SamplingData[[#This Row],[Total]]&lt;&gt; 0, NOT(ISBLANK(SamplingData[[#This Row],[Losing Candidate]]))),(SamplingData[[#This Row],[Total]]+SamplingData[[#This Row],[Winning Candidate]]-SamplingData[[#This Row],[Losing Candidate]])/(SamplingData[[#Totals],[Winning Candidate]]-SamplingData[[#Totals],[Losing Candidate]]), 0)</f>
        <v>2.3637752503819387E-2</v>
      </c>
      <c r="R538" s="99">
        <f>IF(AND(SamplingData[[#This Row],[Total]]&lt;&gt; 0, NOT(ISBLANK(SamplingData[[#This Row],[Candidate 3]]))),(SamplingData[[#This Row],[Total]]+SamplingData[[#This Row],[Winning Candidate]]-SamplingData[[#This Row],[Candidate 3]])/(SamplingData[[#Totals],[Winning Candidate]]-SamplingData[[#Totals],[Candidate 3]]), 0)</f>
        <v>0</v>
      </c>
      <c r="S538" s="99">
        <f>IF(AND(SamplingData[[#This Row],[Total]]&lt;&gt; 0, NOT(ISBLANK(SamplingData[[#This Row],[Candidate 4]]))),(SamplingData[[#This Row],[Total]]+SamplingData[[#This Row],[Winning Candidate]]-SamplingData[[#This Row],[Candidate 4]])/(SamplingData[[#Totals],[Winning Candidate]]-SamplingData[[#Totals],[Candidate 4]]), 0)</f>
        <v>0</v>
      </c>
      <c r="T538" s="99">
        <f>IF(AND(SamplingData[[#This Row],[Total]]&lt;&gt; 0, NOT(ISBLANK(SamplingData[[#This Row],[Candidate 5]]))),(SamplingData[[#This Row],[Total]]+SamplingData[[#This Row],[Winning Candidate]]-SamplingData[[#This Row],[Candidate 5]])/(SamplingData[[#Totals],[Winning Candidate]]-SamplingData[[#Totals],[Candidate 5]]), 0)</f>
        <v>0</v>
      </c>
      <c r="U538" s="99">
        <f>IF(AND(SamplingData[[#This Row],[Total]]&lt;&gt; 0, NOT(ISBLANK(SamplingData[[#This Row],[Candidate 6]]))),(SamplingData[[#This Row],[Total]]+SamplingData[[#This Row],[Losing Candidate]]-SamplingData[[#This Row],[Candidate 6]])/(SamplingData[[#Totals],[Winning Candidate]]-SamplingData[[#Totals],[Candidate 6]]), 0)</f>
        <v>0</v>
      </c>
      <c r="V538" s="99">
        <f>IF(AND(SamplingData[[#This Row],[Total]]&lt;&gt; 0, NOT(ISBLANK(SamplingData[[#This Row],[Candidate 7]]))),(SamplingData[[#This Row],[Total]]+SamplingData[[#This Row],[Winning Candidate]]-SamplingData[[#This Row],[Candidate 7]])/(SamplingData[[#Totals],[Winning Candidate]]-SamplingData[[#Totals],[Candidate 7]]), 0)</f>
        <v>0</v>
      </c>
      <c r="W538" s="99">
        <f>IF(AND(SamplingData[[#This Row],[Total]]&lt;&gt; 0, NOT(ISBLANK(SamplingData[[#This Row],[Candidate 8]]))),(SamplingData[[#This Row],[Total]]+SamplingData[[#This Row],[Winning Candidate]]-SamplingData[[#This Row],[Candidate 8]])/(SamplingData[[#Totals],[Winning Candidate]]-SamplingData[[#Totals],[Candidate 8]]), 0)</f>
        <v>0</v>
      </c>
      <c r="X5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8" s="99">
        <f>MAX(SamplingData[[#This Row],[Error Bound (up) - Max. possible relative overstatement - Losing Candidate]:[Error Bound (up) - Max. possible relative overstatement - Candidate 12]])</f>
        <v>2.3637752503819387E-2</v>
      </c>
      <c r="AC538" s="99">
        <f>IF(SamplingData[[#This Row],[Max Error Bound (up)]] = 0,0,SamplingData[[#This Row],[Max Error Bound (up)]]/SamplingData[[#Totals],[Max Error Bound (up)]])</f>
        <v>1.2655869415058002E-3</v>
      </c>
      <c r="AD538" s="103">
        <f>SUM($AC$5:AC538)</f>
        <v>0.43288980986657993</v>
      </c>
      <c r="AE538" s="99" t="str" cm="1">
        <f t="array" ref="AE538">IF(SamplingData[[#This Row],[up/U Selection Probability]] = 0, "Zero", TEXT(SamplingData[[#This Row],[Lower Range]], REPT("0",LEN('General Info'!$B$42))) &amp; " - " &amp; TEXT(SamplingData[[#This Row],[Upper Range]], REPT("0",LEN('General Info'!$B$42))))</f>
        <v>431624 - 432889</v>
      </c>
      <c r="AF538" s="99">
        <f>SamplingData[[#This Row],[Upper Range]]-SamplingData[[#This Row],[Span]]</f>
        <v>431624.22292507417</v>
      </c>
      <c r="AG538" s="99">
        <f>IF(ISNUMBER('General Info'!$B$42), ((SamplingData[[#This Row],[up/U Selection Probability]]) * 'General Info'!$B$44) - 1, 0)</f>
        <v>1264.5869415058003</v>
      </c>
      <c r="AH538" s="99">
        <f>IF(ISNUMBER('General Info'!$B$42), (SamplingData[[#This Row],[Running (cumulative) sum]] * ('General Info'!$B$42 -'General Info'!$B$43 + 1)) + 'General Info'!$B$43 - 1, 0)</f>
        <v>432888.80986657995</v>
      </c>
      <c r="AI538" s="99" t="str">
        <f>IF(ISERROR(MATCH(SamplingData[[#This Row],[Batch by Type (p)]],SelectedPrecincts[Batch Name], 0)), "", INDEX(SelectedPrecincts[Draw], MATCH(SamplingData[[#This Row],[Batch by Type (p)]],SelectedPrecincts[Batch Name], 0)))</f>
        <v/>
      </c>
      <c r="AJ538" s="100">
        <f>IF(COUNTIF(SelectedPrecincts[Batch Name],SamplingData[[#This Row],[Batch by Type (p)]]) &lt;&gt; 0, COUNTIF(SelectedPrecincts[Batch Name],SamplingData[[#This Row],[Batch by Type (p)]]), 0)</f>
        <v>0</v>
      </c>
    </row>
    <row r="539" spans="1:36" ht="15" customHeight="1" x14ac:dyDescent="0.35">
      <c r="A539" s="97" t="s">
        <v>752</v>
      </c>
      <c r="B539" s="97">
        <v>186</v>
      </c>
      <c r="C539" s="97">
        <v>147</v>
      </c>
      <c r="D539" s="92"/>
      <c r="E539" s="92"/>
      <c r="F539" s="92"/>
      <c r="G539" s="96"/>
      <c r="H539" s="96"/>
      <c r="I539" s="92"/>
      <c r="J539" s="92"/>
      <c r="K539" s="92"/>
      <c r="L539" s="92"/>
      <c r="M539" s="92"/>
      <c r="N539" s="97">
        <v>1</v>
      </c>
      <c r="O539" s="97">
        <v>14</v>
      </c>
      <c r="P539" s="98">
        <f>SUM(SamplingData[[#This Row],[Winning Candidate]:[Under Votes]])</f>
        <v>348</v>
      </c>
      <c r="Q539" s="99">
        <f>IF(AND(SamplingData[[#This Row],[Total]]&lt;&gt; 0, NOT(ISBLANK(SamplingData[[#This Row],[Losing Candidate]]))),(SamplingData[[#This Row],[Total]]+SamplingData[[#This Row],[Winning Candidate]]-SamplingData[[#This Row],[Losing Candidate]])/(SamplingData[[#Totals],[Winning Candidate]]-SamplingData[[#Totals],[Losing Candidate]]), 0)</f>
        <v>1.6423357664233577E-2</v>
      </c>
      <c r="R539" s="99">
        <f>IF(AND(SamplingData[[#This Row],[Total]]&lt;&gt; 0, NOT(ISBLANK(SamplingData[[#This Row],[Candidate 3]]))),(SamplingData[[#This Row],[Total]]+SamplingData[[#This Row],[Winning Candidate]]-SamplingData[[#This Row],[Candidate 3]])/(SamplingData[[#Totals],[Winning Candidate]]-SamplingData[[#Totals],[Candidate 3]]), 0)</f>
        <v>0</v>
      </c>
      <c r="S539" s="99">
        <f>IF(AND(SamplingData[[#This Row],[Total]]&lt;&gt; 0, NOT(ISBLANK(SamplingData[[#This Row],[Candidate 4]]))),(SamplingData[[#This Row],[Total]]+SamplingData[[#This Row],[Winning Candidate]]-SamplingData[[#This Row],[Candidate 4]])/(SamplingData[[#Totals],[Winning Candidate]]-SamplingData[[#Totals],[Candidate 4]]), 0)</f>
        <v>0</v>
      </c>
      <c r="T539" s="99">
        <f>IF(AND(SamplingData[[#This Row],[Total]]&lt;&gt; 0, NOT(ISBLANK(SamplingData[[#This Row],[Candidate 5]]))),(SamplingData[[#This Row],[Total]]+SamplingData[[#This Row],[Winning Candidate]]-SamplingData[[#This Row],[Candidate 5]])/(SamplingData[[#Totals],[Winning Candidate]]-SamplingData[[#Totals],[Candidate 5]]), 0)</f>
        <v>0</v>
      </c>
      <c r="U539" s="99">
        <f>IF(AND(SamplingData[[#This Row],[Total]]&lt;&gt; 0, NOT(ISBLANK(SamplingData[[#This Row],[Candidate 6]]))),(SamplingData[[#This Row],[Total]]+SamplingData[[#This Row],[Losing Candidate]]-SamplingData[[#This Row],[Candidate 6]])/(SamplingData[[#Totals],[Winning Candidate]]-SamplingData[[#Totals],[Candidate 6]]), 0)</f>
        <v>0</v>
      </c>
      <c r="V539" s="99">
        <f>IF(AND(SamplingData[[#This Row],[Total]]&lt;&gt; 0, NOT(ISBLANK(SamplingData[[#This Row],[Candidate 7]]))),(SamplingData[[#This Row],[Total]]+SamplingData[[#This Row],[Winning Candidate]]-SamplingData[[#This Row],[Candidate 7]])/(SamplingData[[#Totals],[Winning Candidate]]-SamplingData[[#Totals],[Candidate 7]]), 0)</f>
        <v>0</v>
      </c>
      <c r="W539" s="99">
        <f>IF(AND(SamplingData[[#This Row],[Total]]&lt;&gt; 0, NOT(ISBLANK(SamplingData[[#This Row],[Candidate 8]]))),(SamplingData[[#This Row],[Total]]+SamplingData[[#This Row],[Winning Candidate]]-SamplingData[[#This Row],[Candidate 8]])/(SamplingData[[#Totals],[Winning Candidate]]-SamplingData[[#Totals],[Candidate 8]]), 0)</f>
        <v>0</v>
      </c>
      <c r="X5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9" s="99">
        <f>MAX(SamplingData[[#This Row],[Error Bound (up) - Max. possible relative overstatement - Losing Candidate]:[Error Bound (up) - Max. possible relative overstatement - Candidate 12]])</f>
        <v>1.6423357664233577E-2</v>
      </c>
      <c r="AC539" s="99">
        <f>IF(SamplingData[[#This Row],[Max Error Bound (up)]] = 0,0,SamplingData[[#This Row],[Max Error Bound (up)]]/SamplingData[[#Totals],[Max Error Bound (up)]])</f>
        <v>8.7932162722216285E-4</v>
      </c>
      <c r="AD539" s="103">
        <f>SUM($AC$5:AC539)</f>
        <v>0.43376913149380208</v>
      </c>
      <c r="AE539" s="99" t="str" cm="1">
        <f t="array" ref="AE539">IF(SamplingData[[#This Row],[up/U Selection Probability]] = 0, "Zero", TEXT(SamplingData[[#This Row],[Lower Range]], REPT("0",LEN('General Info'!$B$42))) &amp; " - " &amp; TEXT(SamplingData[[#This Row],[Upper Range]], REPT("0",LEN('General Info'!$B$42))))</f>
        <v>432890 - 433768</v>
      </c>
      <c r="AF539" s="99">
        <f>SamplingData[[#This Row],[Upper Range]]-SamplingData[[#This Row],[Span]]</f>
        <v>432889.80986657989</v>
      </c>
      <c r="AG539" s="99">
        <f>IF(ISNUMBER('General Info'!$B$42), ((SamplingData[[#This Row],[up/U Selection Probability]]) * 'General Info'!$B$44) - 1, 0)</f>
        <v>878.32162722216287</v>
      </c>
      <c r="AH539" s="99">
        <f>IF(ISNUMBER('General Info'!$B$42), (SamplingData[[#This Row],[Running (cumulative) sum]] * ('General Info'!$B$42 -'General Info'!$B$43 + 1)) + 'General Info'!$B$43 - 1, 0)</f>
        <v>433768.13149380207</v>
      </c>
      <c r="AI539" s="99" t="str">
        <f>IF(ISERROR(MATCH(SamplingData[[#This Row],[Batch by Type (p)]],SelectedPrecincts[Batch Name], 0)), "", INDEX(SelectedPrecincts[Draw], MATCH(SamplingData[[#This Row],[Batch by Type (p)]],SelectedPrecincts[Batch Name], 0)))</f>
        <v/>
      </c>
      <c r="AJ539" s="100">
        <f>IF(COUNTIF(SelectedPrecincts[Batch Name],SamplingData[[#This Row],[Batch by Type (p)]]) &lt;&gt; 0, COUNTIF(SelectedPrecincts[Batch Name],SamplingData[[#This Row],[Batch by Type (p)]]), 0)</f>
        <v>0</v>
      </c>
    </row>
    <row r="540" spans="1:36" ht="15" customHeight="1" x14ac:dyDescent="0.35">
      <c r="A540" s="97" t="s">
        <v>753</v>
      </c>
      <c r="B540" s="97">
        <v>262</v>
      </c>
      <c r="C540" s="97">
        <v>231</v>
      </c>
      <c r="D540" s="92"/>
      <c r="E540" s="92"/>
      <c r="F540" s="92"/>
      <c r="G540" s="96"/>
      <c r="H540" s="96"/>
      <c r="I540" s="92"/>
      <c r="J540" s="92"/>
      <c r="K540" s="92"/>
      <c r="L540" s="92"/>
      <c r="M540" s="92"/>
      <c r="N540" s="97">
        <v>1</v>
      </c>
      <c r="O540" s="97">
        <v>32</v>
      </c>
      <c r="P540" s="98">
        <f>SUM(SamplingData[[#This Row],[Winning Candidate]:[Under Votes]])</f>
        <v>526</v>
      </c>
      <c r="Q540" s="99">
        <f>IF(AND(SamplingData[[#This Row],[Total]]&lt;&gt; 0, NOT(ISBLANK(SamplingData[[#This Row],[Losing Candidate]]))),(SamplingData[[#This Row],[Total]]+SamplingData[[#This Row],[Winning Candidate]]-SamplingData[[#This Row],[Losing Candidate]])/(SamplingData[[#Totals],[Winning Candidate]]-SamplingData[[#Totals],[Losing Candidate]]), 0)</f>
        <v>2.3637752503819387E-2</v>
      </c>
      <c r="R540" s="99">
        <f>IF(AND(SamplingData[[#This Row],[Total]]&lt;&gt; 0, NOT(ISBLANK(SamplingData[[#This Row],[Candidate 3]]))),(SamplingData[[#This Row],[Total]]+SamplingData[[#This Row],[Winning Candidate]]-SamplingData[[#This Row],[Candidate 3]])/(SamplingData[[#Totals],[Winning Candidate]]-SamplingData[[#Totals],[Candidate 3]]), 0)</f>
        <v>0</v>
      </c>
      <c r="S540" s="99">
        <f>IF(AND(SamplingData[[#This Row],[Total]]&lt;&gt; 0, NOT(ISBLANK(SamplingData[[#This Row],[Candidate 4]]))),(SamplingData[[#This Row],[Total]]+SamplingData[[#This Row],[Winning Candidate]]-SamplingData[[#This Row],[Candidate 4]])/(SamplingData[[#Totals],[Winning Candidate]]-SamplingData[[#Totals],[Candidate 4]]), 0)</f>
        <v>0</v>
      </c>
      <c r="T540" s="99">
        <f>IF(AND(SamplingData[[#This Row],[Total]]&lt;&gt; 0, NOT(ISBLANK(SamplingData[[#This Row],[Candidate 5]]))),(SamplingData[[#This Row],[Total]]+SamplingData[[#This Row],[Winning Candidate]]-SamplingData[[#This Row],[Candidate 5]])/(SamplingData[[#Totals],[Winning Candidate]]-SamplingData[[#Totals],[Candidate 5]]), 0)</f>
        <v>0</v>
      </c>
      <c r="U540" s="99">
        <f>IF(AND(SamplingData[[#This Row],[Total]]&lt;&gt; 0, NOT(ISBLANK(SamplingData[[#This Row],[Candidate 6]]))),(SamplingData[[#This Row],[Total]]+SamplingData[[#This Row],[Losing Candidate]]-SamplingData[[#This Row],[Candidate 6]])/(SamplingData[[#Totals],[Winning Candidate]]-SamplingData[[#Totals],[Candidate 6]]), 0)</f>
        <v>0</v>
      </c>
      <c r="V540" s="99">
        <f>IF(AND(SamplingData[[#This Row],[Total]]&lt;&gt; 0, NOT(ISBLANK(SamplingData[[#This Row],[Candidate 7]]))),(SamplingData[[#This Row],[Total]]+SamplingData[[#This Row],[Winning Candidate]]-SamplingData[[#This Row],[Candidate 7]])/(SamplingData[[#Totals],[Winning Candidate]]-SamplingData[[#Totals],[Candidate 7]]), 0)</f>
        <v>0</v>
      </c>
      <c r="W540" s="99">
        <f>IF(AND(SamplingData[[#This Row],[Total]]&lt;&gt; 0, NOT(ISBLANK(SamplingData[[#This Row],[Candidate 8]]))),(SamplingData[[#This Row],[Total]]+SamplingData[[#This Row],[Winning Candidate]]-SamplingData[[#This Row],[Candidate 8]])/(SamplingData[[#Totals],[Winning Candidate]]-SamplingData[[#Totals],[Candidate 8]]), 0)</f>
        <v>0</v>
      </c>
      <c r="X5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0" s="99">
        <f>MAX(SamplingData[[#This Row],[Error Bound (up) - Max. possible relative overstatement - Losing Candidate]:[Error Bound (up) - Max. possible relative overstatement - Candidate 12]])</f>
        <v>2.3637752503819387E-2</v>
      </c>
      <c r="AC540" s="99">
        <f>IF(SamplingData[[#This Row],[Max Error Bound (up)]] = 0,0,SamplingData[[#This Row],[Max Error Bound (up)]]/SamplingData[[#Totals],[Max Error Bound (up)]])</f>
        <v>1.2655869415058002E-3</v>
      </c>
      <c r="AD540" s="103">
        <f>SUM($AC$5:AC540)</f>
        <v>0.43503471843530789</v>
      </c>
      <c r="AE540" s="99" t="str" cm="1">
        <f t="array" ref="AE540">IF(SamplingData[[#This Row],[up/U Selection Probability]] = 0, "Zero", TEXT(SamplingData[[#This Row],[Lower Range]], REPT("0",LEN('General Info'!$B$42))) &amp; " - " &amp; TEXT(SamplingData[[#This Row],[Upper Range]], REPT("0",LEN('General Info'!$B$42))))</f>
        <v>433769 - 435034</v>
      </c>
      <c r="AF540" s="99">
        <f>SamplingData[[#This Row],[Upper Range]]-SamplingData[[#This Row],[Span]]</f>
        <v>433769.13149380212</v>
      </c>
      <c r="AG540" s="99">
        <f>IF(ISNUMBER('General Info'!$B$42), ((SamplingData[[#This Row],[up/U Selection Probability]]) * 'General Info'!$B$44) - 1, 0)</f>
        <v>1264.5869415058003</v>
      </c>
      <c r="AH540" s="99">
        <f>IF(ISNUMBER('General Info'!$B$42), (SamplingData[[#This Row],[Running (cumulative) sum]] * ('General Info'!$B$42 -'General Info'!$B$43 + 1)) + 'General Info'!$B$43 - 1, 0)</f>
        <v>435033.71843530791</v>
      </c>
      <c r="AI540" s="99" t="str">
        <f>IF(ISERROR(MATCH(SamplingData[[#This Row],[Batch by Type (p)]],SelectedPrecincts[Batch Name], 0)), "", INDEX(SelectedPrecincts[Draw], MATCH(SamplingData[[#This Row],[Batch by Type (p)]],SelectedPrecincts[Batch Name], 0)))</f>
        <v/>
      </c>
      <c r="AJ540" s="100">
        <f>IF(COUNTIF(SelectedPrecincts[Batch Name],SamplingData[[#This Row],[Batch by Type (p)]]) &lt;&gt; 0, COUNTIF(SelectedPrecincts[Batch Name],SamplingData[[#This Row],[Batch by Type (p)]]), 0)</f>
        <v>0</v>
      </c>
    </row>
    <row r="541" spans="1:36" ht="15" customHeight="1" x14ac:dyDescent="0.35">
      <c r="A541" s="97" t="s">
        <v>754</v>
      </c>
      <c r="B541" s="97">
        <v>142</v>
      </c>
      <c r="C541" s="97">
        <v>129</v>
      </c>
      <c r="D541" s="92"/>
      <c r="E541" s="92"/>
      <c r="F541" s="92"/>
      <c r="G541" s="96"/>
      <c r="H541" s="96"/>
      <c r="I541" s="92"/>
      <c r="J541" s="92"/>
      <c r="K541" s="92"/>
      <c r="L541" s="92"/>
      <c r="M541" s="92"/>
      <c r="N541" s="97">
        <v>0</v>
      </c>
      <c r="O541" s="97">
        <v>22</v>
      </c>
      <c r="P541" s="98">
        <f>SUM(SamplingData[[#This Row],[Winning Candidate]:[Under Votes]])</f>
        <v>293</v>
      </c>
      <c r="Q541" s="99">
        <f>IF(AND(SamplingData[[#This Row],[Total]]&lt;&gt; 0, NOT(ISBLANK(SamplingData[[#This Row],[Losing Candidate]]))),(SamplingData[[#This Row],[Total]]+SamplingData[[#This Row],[Winning Candidate]]-SamplingData[[#This Row],[Losing Candidate]])/(SamplingData[[#Totals],[Winning Candidate]]-SamplingData[[#Totals],[Losing Candidate]]), 0)</f>
        <v>1.2985910711254456E-2</v>
      </c>
      <c r="R541" s="99">
        <f>IF(AND(SamplingData[[#This Row],[Total]]&lt;&gt; 0, NOT(ISBLANK(SamplingData[[#This Row],[Candidate 3]]))),(SamplingData[[#This Row],[Total]]+SamplingData[[#This Row],[Winning Candidate]]-SamplingData[[#This Row],[Candidate 3]])/(SamplingData[[#Totals],[Winning Candidate]]-SamplingData[[#Totals],[Candidate 3]]), 0)</f>
        <v>0</v>
      </c>
      <c r="S541" s="99">
        <f>IF(AND(SamplingData[[#This Row],[Total]]&lt;&gt; 0, NOT(ISBLANK(SamplingData[[#This Row],[Candidate 4]]))),(SamplingData[[#This Row],[Total]]+SamplingData[[#This Row],[Winning Candidate]]-SamplingData[[#This Row],[Candidate 4]])/(SamplingData[[#Totals],[Winning Candidate]]-SamplingData[[#Totals],[Candidate 4]]), 0)</f>
        <v>0</v>
      </c>
      <c r="T541" s="99">
        <f>IF(AND(SamplingData[[#This Row],[Total]]&lt;&gt; 0, NOT(ISBLANK(SamplingData[[#This Row],[Candidate 5]]))),(SamplingData[[#This Row],[Total]]+SamplingData[[#This Row],[Winning Candidate]]-SamplingData[[#This Row],[Candidate 5]])/(SamplingData[[#Totals],[Winning Candidate]]-SamplingData[[#Totals],[Candidate 5]]), 0)</f>
        <v>0</v>
      </c>
      <c r="U541" s="99">
        <f>IF(AND(SamplingData[[#This Row],[Total]]&lt;&gt; 0, NOT(ISBLANK(SamplingData[[#This Row],[Candidate 6]]))),(SamplingData[[#This Row],[Total]]+SamplingData[[#This Row],[Losing Candidate]]-SamplingData[[#This Row],[Candidate 6]])/(SamplingData[[#Totals],[Winning Candidate]]-SamplingData[[#Totals],[Candidate 6]]), 0)</f>
        <v>0</v>
      </c>
      <c r="V541" s="99">
        <f>IF(AND(SamplingData[[#This Row],[Total]]&lt;&gt; 0, NOT(ISBLANK(SamplingData[[#This Row],[Candidate 7]]))),(SamplingData[[#This Row],[Total]]+SamplingData[[#This Row],[Winning Candidate]]-SamplingData[[#This Row],[Candidate 7]])/(SamplingData[[#Totals],[Winning Candidate]]-SamplingData[[#Totals],[Candidate 7]]), 0)</f>
        <v>0</v>
      </c>
      <c r="W541" s="99">
        <f>IF(AND(SamplingData[[#This Row],[Total]]&lt;&gt; 0, NOT(ISBLANK(SamplingData[[#This Row],[Candidate 8]]))),(SamplingData[[#This Row],[Total]]+SamplingData[[#This Row],[Winning Candidate]]-SamplingData[[#This Row],[Candidate 8]])/(SamplingData[[#Totals],[Winning Candidate]]-SamplingData[[#Totals],[Candidate 8]]), 0)</f>
        <v>0</v>
      </c>
      <c r="X5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1" s="99">
        <f>MAX(SamplingData[[#This Row],[Error Bound (up) - Max. possible relative overstatement - Losing Candidate]:[Error Bound (up) - Max. possible relative overstatement - Candidate 12]])</f>
        <v>1.2985910711254456E-2</v>
      </c>
      <c r="AC541" s="99">
        <f>IF(SamplingData[[#This Row],[Max Error Bound (up)]] = 0,0,SamplingData[[#This Row],[Max Error Bound (up)]]/SamplingData[[#Totals],[Max Error Bound (up)]])</f>
        <v>6.9527756571054731E-4</v>
      </c>
      <c r="AD541" s="103">
        <f>SUM($AC$5:AC541)</f>
        <v>0.43572999600101842</v>
      </c>
      <c r="AE541" s="99" t="str" cm="1">
        <f t="array" ref="AE541">IF(SamplingData[[#This Row],[up/U Selection Probability]] = 0, "Zero", TEXT(SamplingData[[#This Row],[Lower Range]], REPT("0",LEN('General Info'!$B$42))) &amp; " - " &amp; TEXT(SamplingData[[#This Row],[Upper Range]], REPT("0",LEN('General Info'!$B$42))))</f>
        <v>435035 - 435729</v>
      </c>
      <c r="AF541" s="99">
        <f>SamplingData[[#This Row],[Upper Range]]-SamplingData[[#This Row],[Span]]</f>
        <v>435034.71843530791</v>
      </c>
      <c r="AG541" s="99">
        <f>IF(ISNUMBER('General Info'!$B$42), ((SamplingData[[#This Row],[up/U Selection Probability]]) * 'General Info'!$B$44) - 1, 0)</f>
        <v>694.27756571054726</v>
      </c>
      <c r="AH541" s="99">
        <f>IF(ISNUMBER('General Info'!$B$42), (SamplingData[[#This Row],[Running (cumulative) sum]] * ('General Info'!$B$42 -'General Info'!$B$43 + 1)) + 'General Info'!$B$43 - 1, 0)</f>
        <v>435728.99600101844</v>
      </c>
      <c r="AI541" s="99" t="str">
        <f>IF(ISERROR(MATCH(SamplingData[[#This Row],[Batch by Type (p)]],SelectedPrecincts[Batch Name], 0)), "", INDEX(SelectedPrecincts[Draw], MATCH(SamplingData[[#This Row],[Batch by Type (p)]],SelectedPrecincts[Batch Name], 0)))</f>
        <v/>
      </c>
      <c r="AJ541" s="100">
        <f>IF(COUNTIF(SelectedPrecincts[Batch Name],SamplingData[[#This Row],[Batch by Type (p)]]) &lt;&gt; 0, COUNTIF(SelectedPrecincts[Batch Name],SamplingData[[#This Row],[Batch by Type (p)]]), 0)</f>
        <v>0</v>
      </c>
    </row>
    <row r="542" spans="1:36" ht="15" customHeight="1" x14ac:dyDescent="0.35">
      <c r="A542" s="97" t="s">
        <v>755</v>
      </c>
      <c r="B542" s="97">
        <v>197</v>
      </c>
      <c r="C542" s="97">
        <v>293</v>
      </c>
      <c r="D542" s="92"/>
      <c r="E542" s="92"/>
      <c r="F542" s="92"/>
      <c r="G542" s="96"/>
      <c r="H542" s="96"/>
      <c r="I542" s="92"/>
      <c r="J542" s="92"/>
      <c r="K542" s="92"/>
      <c r="L542" s="92"/>
      <c r="M542" s="92"/>
      <c r="N542" s="97">
        <v>1</v>
      </c>
      <c r="O542" s="97">
        <v>17</v>
      </c>
      <c r="P542" s="98">
        <f>SUM(SamplingData[[#This Row],[Winning Candidate]:[Under Votes]])</f>
        <v>508</v>
      </c>
      <c r="Q542" s="99">
        <f>IF(AND(SamplingData[[#This Row],[Total]]&lt;&gt; 0, NOT(ISBLANK(SamplingData[[#This Row],[Losing Candidate]]))),(SamplingData[[#This Row],[Total]]+SamplingData[[#This Row],[Winning Candidate]]-SamplingData[[#This Row],[Losing Candidate]])/(SamplingData[[#Totals],[Winning Candidate]]-SamplingData[[#Totals],[Losing Candidate]]), 0)</f>
        <v>1.7484298081819723E-2</v>
      </c>
      <c r="R542" s="99">
        <f>IF(AND(SamplingData[[#This Row],[Total]]&lt;&gt; 0, NOT(ISBLANK(SamplingData[[#This Row],[Candidate 3]]))),(SamplingData[[#This Row],[Total]]+SamplingData[[#This Row],[Winning Candidate]]-SamplingData[[#This Row],[Candidate 3]])/(SamplingData[[#Totals],[Winning Candidate]]-SamplingData[[#Totals],[Candidate 3]]), 0)</f>
        <v>0</v>
      </c>
      <c r="S542" s="99">
        <f>IF(AND(SamplingData[[#This Row],[Total]]&lt;&gt; 0, NOT(ISBLANK(SamplingData[[#This Row],[Candidate 4]]))),(SamplingData[[#This Row],[Total]]+SamplingData[[#This Row],[Winning Candidate]]-SamplingData[[#This Row],[Candidate 4]])/(SamplingData[[#Totals],[Winning Candidate]]-SamplingData[[#Totals],[Candidate 4]]), 0)</f>
        <v>0</v>
      </c>
      <c r="T542" s="99">
        <f>IF(AND(SamplingData[[#This Row],[Total]]&lt;&gt; 0, NOT(ISBLANK(SamplingData[[#This Row],[Candidate 5]]))),(SamplingData[[#This Row],[Total]]+SamplingData[[#This Row],[Winning Candidate]]-SamplingData[[#This Row],[Candidate 5]])/(SamplingData[[#Totals],[Winning Candidate]]-SamplingData[[#Totals],[Candidate 5]]), 0)</f>
        <v>0</v>
      </c>
      <c r="U542" s="99">
        <f>IF(AND(SamplingData[[#This Row],[Total]]&lt;&gt; 0, NOT(ISBLANK(SamplingData[[#This Row],[Candidate 6]]))),(SamplingData[[#This Row],[Total]]+SamplingData[[#This Row],[Losing Candidate]]-SamplingData[[#This Row],[Candidate 6]])/(SamplingData[[#Totals],[Winning Candidate]]-SamplingData[[#Totals],[Candidate 6]]), 0)</f>
        <v>0</v>
      </c>
      <c r="V542" s="99">
        <f>IF(AND(SamplingData[[#This Row],[Total]]&lt;&gt; 0, NOT(ISBLANK(SamplingData[[#This Row],[Candidate 7]]))),(SamplingData[[#This Row],[Total]]+SamplingData[[#This Row],[Winning Candidate]]-SamplingData[[#This Row],[Candidate 7]])/(SamplingData[[#Totals],[Winning Candidate]]-SamplingData[[#Totals],[Candidate 7]]), 0)</f>
        <v>0</v>
      </c>
      <c r="W542" s="99">
        <f>IF(AND(SamplingData[[#This Row],[Total]]&lt;&gt; 0, NOT(ISBLANK(SamplingData[[#This Row],[Candidate 8]]))),(SamplingData[[#This Row],[Total]]+SamplingData[[#This Row],[Winning Candidate]]-SamplingData[[#This Row],[Candidate 8]])/(SamplingData[[#Totals],[Winning Candidate]]-SamplingData[[#Totals],[Candidate 8]]), 0)</f>
        <v>0</v>
      </c>
      <c r="X5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2" s="99">
        <f>MAX(SamplingData[[#This Row],[Error Bound (up) - Max. possible relative overstatement - Losing Candidate]:[Error Bound (up) - Max. possible relative overstatement - Candidate 12]])</f>
        <v>1.7484298081819723E-2</v>
      </c>
      <c r="AC542" s="99">
        <f>IF(SamplingData[[#This Row],[Max Error Bound (up)]] = 0,0,SamplingData[[#This Row],[Max Error Bound (up)]]/SamplingData[[#Totals],[Max Error Bound (up)]])</f>
        <v>9.3612534991093291E-4</v>
      </c>
      <c r="AD542" s="103">
        <f>SUM($AC$5:AC542)</f>
        <v>0.43666612135092936</v>
      </c>
      <c r="AE542" s="99" t="str" cm="1">
        <f t="array" ref="AE542">IF(SamplingData[[#This Row],[up/U Selection Probability]] = 0, "Zero", TEXT(SamplingData[[#This Row],[Lower Range]], REPT("0",LEN('General Info'!$B$42))) &amp; " - " &amp; TEXT(SamplingData[[#This Row],[Upper Range]], REPT("0",LEN('General Info'!$B$42))))</f>
        <v>435730 - 436665</v>
      </c>
      <c r="AF542" s="99">
        <f>SamplingData[[#This Row],[Upper Range]]-SamplingData[[#This Row],[Span]]</f>
        <v>435729.99600101844</v>
      </c>
      <c r="AG542" s="99">
        <f>IF(ISNUMBER('General Info'!$B$42), ((SamplingData[[#This Row],[up/U Selection Probability]]) * 'General Info'!$B$44) - 1, 0)</f>
        <v>935.12534991093287</v>
      </c>
      <c r="AH542" s="99">
        <f>IF(ISNUMBER('General Info'!$B$42), (SamplingData[[#This Row],[Running (cumulative) sum]] * ('General Info'!$B$42 -'General Info'!$B$43 + 1)) + 'General Info'!$B$43 - 1, 0)</f>
        <v>436665.12135092937</v>
      </c>
      <c r="AI542" s="99" t="str">
        <f>IF(ISERROR(MATCH(SamplingData[[#This Row],[Batch by Type (p)]],SelectedPrecincts[Batch Name], 0)), "", INDEX(SelectedPrecincts[Draw], MATCH(SamplingData[[#This Row],[Batch by Type (p)]],SelectedPrecincts[Batch Name], 0)))</f>
        <v/>
      </c>
      <c r="AJ542" s="100">
        <f>IF(COUNTIF(SelectedPrecincts[Batch Name],SamplingData[[#This Row],[Batch by Type (p)]]) &lt;&gt; 0, COUNTIF(SelectedPrecincts[Batch Name],SamplingData[[#This Row],[Batch by Type (p)]]), 0)</f>
        <v>0</v>
      </c>
    </row>
    <row r="543" spans="1:36" ht="15" customHeight="1" x14ac:dyDescent="0.35">
      <c r="A543" s="97" t="s">
        <v>756</v>
      </c>
      <c r="B543" s="97">
        <v>162</v>
      </c>
      <c r="C543" s="97">
        <v>79</v>
      </c>
      <c r="D543" s="92"/>
      <c r="E543" s="92"/>
      <c r="F543" s="92"/>
      <c r="G543" s="96"/>
      <c r="H543" s="96"/>
      <c r="I543" s="92"/>
      <c r="J543" s="92"/>
      <c r="K543" s="92"/>
      <c r="L543" s="92"/>
      <c r="M543" s="92"/>
      <c r="N543" s="97">
        <v>0</v>
      </c>
      <c r="O543" s="97">
        <v>11</v>
      </c>
      <c r="P543" s="98">
        <f>SUM(SamplingData[[#This Row],[Winning Candidate]:[Under Votes]])</f>
        <v>252</v>
      </c>
      <c r="Q543" s="99">
        <f>IF(AND(SamplingData[[#This Row],[Total]]&lt;&gt; 0, NOT(ISBLANK(SamplingData[[#This Row],[Losing Candidate]]))),(SamplingData[[#This Row],[Total]]+SamplingData[[#This Row],[Winning Candidate]]-SamplingData[[#This Row],[Losing Candidate]])/(SamplingData[[#Totals],[Winning Candidate]]-SamplingData[[#Totals],[Losing Candidate]]), 0)</f>
        <v>1.4216601595654388E-2</v>
      </c>
      <c r="R543" s="99">
        <f>IF(AND(SamplingData[[#This Row],[Total]]&lt;&gt; 0, NOT(ISBLANK(SamplingData[[#This Row],[Candidate 3]]))),(SamplingData[[#This Row],[Total]]+SamplingData[[#This Row],[Winning Candidate]]-SamplingData[[#This Row],[Candidate 3]])/(SamplingData[[#Totals],[Winning Candidate]]-SamplingData[[#Totals],[Candidate 3]]), 0)</f>
        <v>0</v>
      </c>
      <c r="S543" s="99">
        <f>IF(AND(SamplingData[[#This Row],[Total]]&lt;&gt; 0, NOT(ISBLANK(SamplingData[[#This Row],[Candidate 4]]))),(SamplingData[[#This Row],[Total]]+SamplingData[[#This Row],[Winning Candidate]]-SamplingData[[#This Row],[Candidate 4]])/(SamplingData[[#Totals],[Winning Candidate]]-SamplingData[[#Totals],[Candidate 4]]), 0)</f>
        <v>0</v>
      </c>
      <c r="T543" s="99">
        <f>IF(AND(SamplingData[[#This Row],[Total]]&lt;&gt; 0, NOT(ISBLANK(SamplingData[[#This Row],[Candidate 5]]))),(SamplingData[[#This Row],[Total]]+SamplingData[[#This Row],[Winning Candidate]]-SamplingData[[#This Row],[Candidate 5]])/(SamplingData[[#Totals],[Winning Candidate]]-SamplingData[[#Totals],[Candidate 5]]), 0)</f>
        <v>0</v>
      </c>
      <c r="U543" s="99">
        <f>IF(AND(SamplingData[[#This Row],[Total]]&lt;&gt; 0, NOT(ISBLANK(SamplingData[[#This Row],[Candidate 6]]))),(SamplingData[[#This Row],[Total]]+SamplingData[[#This Row],[Losing Candidate]]-SamplingData[[#This Row],[Candidate 6]])/(SamplingData[[#Totals],[Winning Candidate]]-SamplingData[[#Totals],[Candidate 6]]), 0)</f>
        <v>0</v>
      </c>
      <c r="V543" s="99">
        <f>IF(AND(SamplingData[[#This Row],[Total]]&lt;&gt; 0, NOT(ISBLANK(SamplingData[[#This Row],[Candidate 7]]))),(SamplingData[[#This Row],[Total]]+SamplingData[[#This Row],[Winning Candidate]]-SamplingData[[#This Row],[Candidate 7]])/(SamplingData[[#Totals],[Winning Candidate]]-SamplingData[[#Totals],[Candidate 7]]), 0)</f>
        <v>0</v>
      </c>
      <c r="W543" s="99">
        <f>IF(AND(SamplingData[[#This Row],[Total]]&lt;&gt; 0, NOT(ISBLANK(SamplingData[[#This Row],[Candidate 8]]))),(SamplingData[[#This Row],[Total]]+SamplingData[[#This Row],[Winning Candidate]]-SamplingData[[#This Row],[Candidate 8]])/(SamplingData[[#Totals],[Winning Candidate]]-SamplingData[[#Totals],[Candidate 8]]), 0)</f>
        <v>0</v>
      </c>
      <c r="X5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3" s="99">
        <f>MAX(SamplingData[[#This Row],[Error Bound (up) - Max. possible relative overstatement - Losing Candidate]:[Error Bound (up) - Max. possible relative overstatement - Candidate 12]])</f>
        <v>1.4216601595654388E-2</v>
      </c>
      <c r="AC543" s="99">
        <f>IF(SamplingData[[#This Row],[Max Error Bound (up)]] = 0,0,SamplingData[[#This Row],[Max Error Bound (up)]]/SamplingData[[#Totals],[Max Error Bound (up)]])</f>
        <v>7.6116988402952072E-4</v>
      </c>
      <c r="AD543" s="103">
        <f>SUM($AC$5:AC543)</f>
        <v>0.43742729123495888</v>
      </c>
      <c r="AE543" s="99" t="str" cm="1">
        <f t="array" ref="AE543">IF(SamplingData[[#This Row],[up/U Selection Probability]] = 0, "Zero", TEXT(SamplingData[[#This Row],[Lower Range]], REPT("0",LEN('General Info'!$B$42))) &amp; " - " &amp; TEXT(SamplingData[[#This Row],[Upper Range]], REPT("0",LEN('General Info'!$B$42))))</f>
        <v>436666 - 437426</v>
      </c>
      <c r="AF543" s="99">
        <f>SamplingData[[#This Row],[Upper Range]]-SamplingData[[#This Row],[Span]]</f>
        <v>436666.12135092932</v>
      </c>
      <c r="AG543" s="99">
        <f>IF(ISNUMBER('General Info'!$B$42), ((SamplingData[[#This Row],[up/U Selection Probability]]) * 'General Info'!$B$44) - 1, 0)</f>
        <v>760.16988402952074</v>
      </c>
      <c r="AH543" s="99">
        <f>IF(ISNUMBER('General Info'!$B$42), (SamplingData[[#This Row],[Running (cumulative) sum]] * ('General Info'!$B$42 -'General Info'!$B$43 + 1)) + 'General Info'!$B$43 - 1, 0)</f>
        <v>437426.29123495886</v>
      </c>
      <c r="AI543" s="99" t="str">
        <f>IF(ISERROR(MATCH(SamplingData[[#This Row],[Batch by Type (p)]],SelectedPrecincts[Batch Name], 0)), "", INDEX(SelectedPrecincts[Draw], MATCH(SamplingData[[#This Row],[Batch by Type (p)]],SelectedPrecincts[Batch Name], 0)))</f>
        <v/>
      </c>
      <c r="AJ543" s="100">
        <f>IF(COUNTIF(SelectedPrecincts[Batch Name],SamplingData[[#This Row],[Batch by Type (p)]]) &lt;&gt; 0, COUNTIF(SelectedPrecincts[Batch Name],SamplingData[[#This Row],[Batch by Type (p)]]), 0)</f>
        <v>0</v>
      </c>
    </row>
    <row r="544" spans="1:36" ht="15" customHeight="1" x14ac:dyDescent="0.35">
      <c r="A544" s="97" t="s">
        <v>757</v>
      </c>
      <c r="B544" s="97">
        <v>269</v>
      </c>
      <c r="C544" s="97">
        <v>178</v>
      </c>
      <c r="D544" s="92"/>
      <c r="E544" s="92"/>
      <c r="F544" s="92"/>
      <c r="G544" s="96"/>
      <c r="H544" s="96"/>
      <c r="I544" s="92"/>
      <c r="J544" s="92"/>
      <c r="K544" s="92"/>
      <c r="L544" s="92"/>
      <c r="M544" s="92"/>
      <c r="N544" s="97">
        <v>0</v>
      </c>
      <c r="O544" s="97">
        <v>38</v>
      </c>
      <c r="P544" s="98">
        <f>SUM(SamplingData[[#This Row],[Winning Candidate]:[Under Votes]])</f>
        <v>485</v>
      </c>
      <c r="Q544" s="99">
        <f>IF(AND(SamplingData[[#This Row],[Total]]&lt;&gt; 0, NOT(ISBLANK(SamplingData[[#This Row],[Losing Candidate]]))),(SamplingData[[#This Row],[Total]]+SamplingData[[#This Row],[Winning Candidate]]-SamplingData[[#This Row],[Losing Candidate]])/(SamplingData[[#Totals],[Winning Candidate]]-SamplingData[[#Totals],[Losing Candidate]]), 0)</f>
        <v>2.4444067221184859E-2</v>
      </c>
      <c r="R544" s="99">
        <f>IF(AND(SamplingData[[#This Row],[Total]]&lt;&gt; 0, NOT(ISBLANK(SamplingData[[#This Row],[Candidate 3]]))),(SamplingData[[#This Row],[Total]]+SamplingData[[#This Row],[Winning Candidate]]-SamplingData[[#This Row],[Candidate 3]])/(SamplingData[[#Totals],[Winning Candidate]]-SamplingData[[#Totals],[Candidate 3]]), 0)</f>
        <v>0</v>
      </c>
      <c r="S544" s="99">
        <f>IF(AND(SamplingData[[#This Row],[Total]]&lt;&gt; 0, NOT(ISBLANK(SamplingData[[#This Row],[Candidate 4]]))),(SamplingData[[#This Row],[Total]]+SamplingData[[#This Row],[Winning Candidate]]-SamplingData[[#This Row],[Candidate 4]])/(SamplingData[[#Totals],[Winning Candidate]]-SamplingData[[#Totals],[Candidate 4]]), 0)</f>
        <v>0</v>
      </c>
      <c r="T544" s="99">
        <f>IF(AND(SamplingData[[#This Row],[Total]]&lt;&gt; 0, NOT(ISBLANK(SamplingData[[#This Row],[Candidate 5]]))),(SamplingData[[#This Row],[Total]]+SamplingData[[#This Row],[Winning Candidate]]-SamplingData[[#This Row],[Candidate 5]])/(SamplingData[[#Totals],[Winning Candidate]]-SamplingData[[#Totals],[Candidate 5]]), 0)</f>
        <v>0</v>
      </c>
      <c r="U544" s="99">
        <f>IF(AND(SamplingData[[#This Row],[Total]]&lt;&gt; 0, NOT(ISBLANK(SamplingData[[#This Row],[Candidate 6]]))),(SamplingData[[#This Row],[Total]]+SamplingData[[#This Row],[Losing Candidate]]-SamplingData[[#This Row],[Candidate 6]])/(SamplingData[[#Totals],[Winning Candidate]]-SamplingData[[#Totals],[Candidate 6]]), 0)</f>
        <v>0</v>
      </c>
      <c r="V544" s="99">
        <f>IF(AND(SamplingData[[#This Row],[Total]]&lt;&gt; 0, NOT(ISBLANK(SamplingData[[#This Row],[Candidate 7]]))),(SamplingData[[#This Row],[Total]]+SamplingData[[#This Row],[Winning Candidate]]-SamplingData[[#This Row],[Candidate 7]])/(SamplingData[[#Totals],[Winning Candidate]]-SamplingData[[#Totals],[Candidate 7]]), 0)</f>
        <v>0</v>
      </c>
      <c r="W544" s="99">
        <f>IF(AND(SamplingData[[#This Row],[Total]]&lt;&gt; 0, NOT(ISBLANK(SamplingData[[#This Row],[Candidate 8]]))),(SamplingData[[#This Row],[Total]]+SamplingData[[#This Row],[Winning Candidate]]-SamplingData[[#This Row],[Candidate 8]])/(SamplingData[[#Totals],[Winning Candidate]]-SamplingData[[#Totals],[Candidate 8]]), 0)</f>
        <v>0</v>
      </c>
      <c r="X5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4" s="99">
        <f>MAX(SamplingData[[#This Row],[Error Bound (up) - Max. possible relative overstatement - Losing Candidate]:[Error Bound (up) - Max. possible relative overstatement - Candidate 12]])</f>
        <v>2.4444067221184859E-2</v>
      </c>
      <c r="AC544" s="99">
        <f>IF(SamplingData[[#This Row],[Max Error Bound (up)]] = 0,0,SamplingData[[#This Row],[Max Error Bound (up)]]/SamplingData[[#Totals],[Max Error Bound (up)]])</f>
        <v>1.3087577707492654E-3</v>
      </c>
      <c r="AD544" s="103">
        <f>SUM($AC$5:AC544)</f>
        <v>0.43873604900570817</v>
      </c>
      <c r="AE544" s="99" t="str" cm="1">
        <f t="array" ref="AE544">IF(SamplingData[[#This Row],[up/U Selection Probability]] = 0, "Zero", TEXT(SamplingData[[#This Row],[Lower Range]], REPT("0",LEN('General Info'!$B$42))) &amp; " - " &amp; TEXT(SamplingData[[#This Row],[Upper Range]], REPT("0",LEN('General Info'!$B$42))))</f>
        <v>437427 - 438735</v>
      </c>
      <c r="AF544" s="99">
        <f>SamplingData[[#This Row],[Upper Range]]-SamplingData[[#This Row],[Span]]</f>
        <v>437427.29123495892</v>
      </c>
      <c r="AG544" s="99">
        <f>IF(ISNUMBER('General Info'!$B$42), ((SamplingData[[#This Row],[up/U Selection Probability]]) * 'General Info'!$B$44) - 1, 0)</f>
        <v>1307.7577707492653</v>
      </c>
      <c r="AH544" s="99">
        <f>IF(ISNUMBER('General Info'!$B$42), (SamplingData[[#This Row],[Running (cumulative) sum]] * ('General Info'!$B$42 -'General Info'!$B$43 + 1)) + 'General Info'!$B$43 - 1, 0)</f>
        <v>438735.04900570819</v>
      </c>
      <c r="AI544" s="99">
        <f>IF(ISERROR(MATCH(SamplingData[[#This Row],[Batch by Type (p)]],SelectedPrecincts[Batch Name], 0)), "", INDEX(SelectedPrecincts[Draw], MATCH(SamplingData[[#This Row],[Batch by Type (p)]],SelectedPrecincts[Batch Name], 0)))</f>
        <v>32</v>
      </c>
      <c r="AJ544" s="100">
        <f>IF(COUNTIF(SelectedPrecincts[Batch Name],SamplingData[[#This Row],[Batch by Type (p)]]) &lt;&gt; 0, COUNTIF(SelectedPrecincts[Batch Name],SamplingData[[#This Row],[Batch by Type (p)]]), 0)</f>
        <v>1</v>
      </c>
    </row>
    <row r="545" spans="1:36" ht="15" customHeight="1" x14ac:dyDescent="0.35">
      <c r="A545" s="97" t="s">
        <v>758</v>
      </c>
      <c r="B545" s="97">
        <v>160</v>
      </c>
      <c r="C545" s="97">
        <v>237</v>
      </c>
      <c r="D545" s="92"/>
      <c r="E545" s="92"/>
      <c r="F545" s="92"/>
      <c r="G545" s="96"/>
      <c r="H545" s="96"/>
      <c r="I545" s="92"/>
      <c r="J545" s="92"/>
      <c r="K545" s="92"/>
      <c r="L545" s="92"/>
      <c r="M545" s="92"/>
      <c r="N545" s="97">
        <v>0</v>
      </c>
      <c r="O545" s="97">
        <v>18</v>
      </c>
      <c r="P545" s="98">
        <f>SUM(SamplingData[[#This Row],[Winning Candidate]:[Under Votes]])</f>
        <v>415</v>
      </c>
      <c r="Q545" s="99">
        <f>IF(AND(SamplingData[[#This Row],[Total]]&lt;&gt; 0, NOT(ISBLANK(SamplingData[[#This Row],[Losing Candidate]]))),(SamplingData[[#This Row],[Total]]+SamplingData[[#This Row],[Winning Candidate]]-SamplingData[[#This Row],[Losing Candidate]])/(SamplingData[[#Totals],[Winning Candidate]]-SamplingData[[#Totals],[Losing Candidate]]), 0)</f>
        <v>1.4343914445764726E-2</v>
      </c>
      <c r="R545" s="99">
        <f>IF(AND(SamplingData[[#This Row],[Total]]&lt;&gt; 0, NOT(ISBLANK(SamplingData[[#This Row],[Candidate 3]]))),(SamplingData[[#This Row],[Total]]+SamplingData[[#This Row],[Winning Candidate]]-SamplingData[[#This Row],[Candidate 3]])/(SamplingData[[#Totals],[Winning Candidate]]-SamplingData[[#Totals],[Candidate 3]]), 0)</f>
        <v>0</v>
      </c>
      <c r="S545" s="99">
        <f>IF(AND(SamplingData[[#This Row],[Total]]&lt;&gt; 0, NOT(ISBLANK(SamplingData[[#This Row],[Candidate 4]]))),(SamplingData[[#This Row],[Total]]+SamplingData[[#This Row],[Winning Candidate]]-SamplingData[[#This Row],[Candidate 4]])/(SamplingData[[#Totals],[Winning Candidate]]-SamplingData[[#Totals],[Candidate 4]]), 0)</f>
        <v>0</v>
      </c>
      <c r="T545" s="99">
        <f>IF(AND(SamplingData[[#This Row],[Total]]&lt;&gt; 0, NOT(ISBLANK(SamplingData[[#This Row],[Candidate 5]]))),(SamplingData[[#This Row],[Total]]+SamplingData[[#This Row],[Winning Candidate]]-SamplingData[[#This Row],[Candidate 5]])/(SamplingData[[#Totals],[Winning Candidate]]-SamplingData[[#Totals],[Candidate 5]]), 0)</f>
        <v>0</v>
      </c>
      <c r="U545" s="99">
        <f>IF(AND(SamplingData[[#This Row],[Total]]&lt;&gt; 0, NOT(ISBLANK(SamplingData[[#This Row],[Candidate 6]]))),(SamplingData[[#This Row],[Total]]+SamplingData[[#This Row],[Losing Candidate]]-SamplingData[[#This Row],[Candidate 6]])/(SamplingData[[#Totals],[Winning Candidate]]-SamplingData[[#Totals],[Candidate 6]]), 0)</f>
        <v>0</v>
      </c>
      <c r="V545" s="99">
        <f>IF(AND(SamplingData[[#This Row],[Total]]&lt;&gt; 0, NOT(ISBLANK(SamplingData[[#This Row],[Candidate 7]]))),(SamplingData[[#This Row],[Total]]+SamplingData[[#This Row],[Winning Candidate]]-SamplingData[[#This Row],[Candidate 7]])/(SamplingData[[#Totals],[Winning Candidate]]-SamplingData[[#Totals],[Candidate 7]]), 0)</f>
        <v>0</v>
      </c>
      <c r="W545" s="99">
        <f>IF(AND(SamplingData[[#This Row],[Total]]&lt;&gt; 0, NOT(ISBLANK(SamplingData[[#This Row],[Candidate 8]]))),(SamplingData[[#This Row],[Total]]+SamplingData[[#This Row],[Winning Candidate]]-SamplingData[[#This Row],[Candidate 8]])/(SamplingData[[#Totals],[Winning Candidate]]-SamplingData[[#Totals],[Candidate 8]]), 0)</f>
        <v>0</v>
      </c>
      <c r="X5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5" s="99">
        <f>MAX(SamplingData[[#This Row],[Error Bound (up) - Max. possible relative overstatement - Losing Candidate]:[Error Bound (up) - Max. possible relative overstatement - Candidate 12]])</f>
        <v>1.4343914445764726E-2</v>
      </c>
      <c r="AC545" s="99">
        <f>IF(SamplingData[[#This Row],[Max Error Bound (up)]] = 0,0,SamplingData[[#This Row],[Max Error Bound (up)]]/SamplingData[[#Totals],[Max Error Bound (up)]])</f>
        <v>7.6798633075217317E-4</v>
      </c>
      <c r="AD545" s="103">
        <f>SUM($AC$5:AC545)</f>
        <v>0.43950403533646032</v>
      </c>
      <c r="AE545" s="99" t="str" cm="1">
        <f t="array" ref="AE545">IF(SamplingData[[#This Row],[up/U Selection Probability]] = 0, "Zero", TEXT(SamplingData[[#This Row],[Lower Range]], REPT("0",LEN('General Info'!$B$42))) &amp; " - " &amp; TEXT(SamplingData[[#This Row],[Upper Range]], REPT("0",LEN('General Info'!$B$42))))</f>
        <v>438736 - 439503</v>
      </c>
      <c r="AF545" s="99">
        <f>SamplingData[[#This Row],[Upper Range]]-SamplingData[[#This Row],[Span]]</f>
        <v>438736.04900570819</v>
      </c>
      <c r="AG545" s="99">
        <f>IF(ISNUMBER('General Info'!$B$42), ((SamplingData[[#This Row],[up/U Selection Probability]]) * 'General Info'!$B$44) - 1, 0)</f>
        <v>766.98633075217322</v>
      </c>
      <c r="AH545" s="99">
        <f>IF(ISNUMBER('General Info'!$B$42), (SamplingData[[#This Row],[Running (cumulative) sum]] * ('General Info'!$B$42 -'General Info'!$B$43 + 1)) + 'General Info'!$B$43 - 1, 0)</f>
        <v>439503.03533646034</v>
      </c>
      <c r="AI545" s="99" t="str">
        <f>IF(ISERROR(MATCH(SamplingData[[#This Row],[Batch by Type (p)]],SelectedPrecincts[Batch Name], 0)), "", INDEX(SelectedPrecincts[Draw], MATCH(SamplingData[[#This Row],[Batch by Type (p)]],SelectedPrecincts[Batch Name], 0)))</f>
        <v/>
      </c>
      <c r="AJ545" s="100">
        <f>IF(COUNTIF(SelectedPrecincts[Batch Name],SamplingData[[#This Row],[Batch by Type (p)]]) &lt;&gt; 0, COUNTIF(SelectedPrecincts[Batch Name],SamplingData[[#This Row],[Batch by Type (p)]]), 0)</f>
        <v>0</v>
      </c>
    </row>
    <row r="546" spans="1:36" ht="15" customHeight="1" x14ac:dyDescent="0.35">
      <c r="A546" s="97" t="s">
        <v>759</v>
      </c>
      <c r="B546" s="97">
        <v>123</v>
      </c>
      <c r="C546" s="97">
        <v>142</v>
      </c>
      <c r="D546" s="92"/>
      <c r="E546" s="92"/>
      <c r="F546" s="92"/>
      <c r="G546" s="96"/>
      <c r="H546" s="96"/>
      <c r="I546" s="92"/>
      <c r="J546" s="92"/>
      <c r="K546" s="92"/>
      <c r="L546" s="92"/>
      <c r="M546" s="92"/>
      <c r="N546" s="97">
        <v>0</v>
      </c>
      <c r="O546" s="97">
        <v>19</v>
      </c>
      <c r="P546" s="98">
        <f>SUM(SamplingData[[#This Row],[Winning Candidate]:[Under Votes]])</f>
        <v>284</v>
      </c>
      <c r="Q546" s="99">
        <f>IF(AND(SamplingData[[#This Row],[Total]]&lt;&gt; 0, NOT(ISBLANK(SamplingData[[#This Row],[Losing Candidate]]))),(SamplingData[[#This Row],[Total]]+SamplingData[[#This Row],[Winning Candidate]]-SamplingData[[#This Row],[Losing Candidate]])/(SamplingData[[#Totals],[Winning Candidate]]-SamplingData[[#Totals],[Losing Candidate]]), 0)</f>
        <v>1.1245968426413172E-2</v>
      </c>
      <c r="R546" s="99">
        <f>IF(AND(SamplingData[[#This Row],[Total]]&lt;&gt; 0, NOT(ISBLANK(SamplingData[[#This Row],[Candidate 3]]))),(SamplingData[[#This Row],[Total]]+SamplingData[[#This Row],[Winning Candidate]]-SamplingData[[#This Row],[Candidate 3]])/(SamplingData[[#Totals],[Winning Candidate]]-SamplingData[[#Totals],[Candidate 3]]), 0)</f>
        <v>0</v>
      </c>
      <c r="S546" s="99">
        <f>IF(AND(SamplingData[[#This Row],[Total]]&lt;&gt; 0, NOT(ISBLANK(SamplingData[[#This Row],[Candidate 4]]))),(SamplingData[[#This Row],[Total]]+SamplingData[[#This Row],[Winning Candidate]]-SamplingData[[#This Row],[Candidate 4]])/(SamplingData[[#Totals],[Winning Candidate]]-SamplingData[[#Totals],[Candidate 4]]), 0)</f>
        <v>0</v>
      </c>
      <c r="T546" s="99">
        <f>IF(AND(SamplingData[[#This Row],[Total]]&lt;&gt; 0, NOT(ISBLANK(SamplingData[[#This Row],[Candidate 5]]))),(SamplingData[[#This Row],[Total]]+SamplingData[[#This Row],[Winning Candidate]]-SamplingData[[#This Row],[Candidate 5]])/(SamplingData[[#Totals],[Winning Candidate]]-SamplingData[[#Totals],[Candidate 5]]), 0)</f>
        <v>0</v>
      </c>
      <c r="U546" s="99">
        <f>IF(AND(SamplingData[[#This Row],[Total]]&lt;&gt; 0, NOT(ISBLANK(SamplingData[[#This Row],[Candidate 6]]))),(SamplingData[[#This Row],[Total]]+SamplingData[[#This Row],[Losing Candidate]]-SamplingData[[#This Row],[Candidate 6]])/(SamplingData[[#Totals],[Winning Candidate]]-SamplingData[[#Totals],[Candidate 6]]), 0)</f>
        <v>0</v>
      </c>
      <c r="V546" s="99">
        <f>IF(AND(SamplingData[[#This Row],[Total]]&lt;&gt; 0, NOT(ISBLANK(SamplingData[[#This Row],[Candidate 7]]))),(SamplingData[[#This Row],[Total]]+SamplingData[[#This Row],[Winning Candidate]]-SamplingData[[#This Row],[Candidate 7]])/(SamplingData[[#Totals],[Winning Candidate]]-SamplingData[[#Totals],[Candidate 7]]), 0)</f>
        <v>0</v>
      </c>
      <c r="W546" s="99">
        <f>IF(AND(SamplingData[[#This Row],[Total]]&lt;&gt; 0, NOT(ISBLANK(SamplingData[[#This Row],[Candidate 8]]))),(SamplingData[[#This Row],[Total]]+SamplingData[[#This Row],[Winning Candidate]]-SamplingData[[#This Row],[Candidate 8]])/(SamplingData[[#Totals],[Winning Candidate]]-SamplingData[[#Totals],[Candidate 8]]), 0)</f>
        <v>0</v>
      </c>
      <c r="X5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6" s="99">
        <f>MAX(SamplingData[[#This Row],[Error Bound (up) - Max. possible relative overstatement - Losing Candidate]:[Error Bound (up) - Max. possible relative overstatement - Candidate 12]])</f>
        <v>1.1245968426413172E-2</v>
      </c>
      <c r="AC546" s="99">
        <f>IF(SamplingData[[#This Row],[Max Error Bound (up)]] = 0,0,SamplingData[[#This Row],[Max Error Bound (up)]]/SamplingData[[#Totals],[Max Error Bound (up)]])</f>
        <v>6.021194605009641E-4</v>
      </c>
      <c r="AD546" s="103">
        <f>SUM($AC$5:AC546)</f>
        <v>0.4401061547969613</v>
      </c>
      <c r="AE546" s="99" t="str" cm="1">
        <f t="array" ref="AE546">IF(SamplingData[[#This Row],[up/U Selection Probability]] = 0, "Zero", TEXT(SamplingData[[#This Row],[Lower Range]], REPT("0",LEN('General Info'!$B$42))) &amp; " - " &amp; TEXT(SamplingData[[#This Row],[Upper Range]], REPT("0",LEN('General Info'!$B$42))))</f>
        <v>439504 - 440105</v>
      </c>
      <c r="AF546" s="99">
        <f>SamplingData[[#This Row],[Upper Range]]-SamplingData[[#This Row],[Span]]</f>
        <v>439504.03533646034</v>
      </c>
      <c r="AG546" s="99">
        <f>IF(ISNUMBER('General Info'!$B$42), ((SamplingData[[#This Row],[up/U Selection Probability]]) * 'General Info'!$B$44) - 1, 0)</f>
        <v>601.11946050096412</v>
      </c>
      <c r="AH546" s="99">
        <f>IF(ISNUMBER('General Info'!$B$42), (SamplingData[[#This Row],[Running (cumulative) sum]] * ('General Info'!$B$42 -'General Info'!$B$43 + 1)) + 'General Info'!$B$43 - 1, 0)</f>
        <v>440105.15479696129</v>
      </c>
      <c r="AI546" s="99" t="str">
        <f>IF(ISERROR(MATCH(SamplingData[[#This Row],[Batch by Type (p)]],SelectedPrecincts[Batch Name], 0)), "", INDEX(SelectedPrecincts[Draw], MATCH(SamplingData[[#This Row],[Batch by Type (p)]],SelectedPrecincts[Batch Name], 0)))</f>
        <v/>
      </c>
      <c r="AJ546" s="100">
        <f>IF(COUNTIF(SelectedPrecincts[Batch Name],SamplingData[[#This Row],[Batch by Type (p)]]) &lt;&gt; 0, COUNTIF(SelectedPrecincts[Batch Name],SamplingData[[#This Row],[Batch by Type (p)]]), 0)</f>
        <v>0</v>
      </c>
    </row>
    <row r="547" spans="1:36" ht="15" customHeight="1" x14ac:dyDescent="0.35">
      <c r="A547" s="97" t="s">
        <v>760</v>
      </c>
      <c r="B547" s="97">
        <v>189</v>
      </c>
      <c r="C547" s="97">
        <v>179</v>
      </c>
      <c r="D547" s="92"/>
      <c r="E547" s="92"/>
      <c r="F547" s="92"/>
      <c r="G547" s="96"/>
      <c r="H547" s="96"/>
      <c r="I547" s="92"/>
      <c r="J547" s="92"/>
      <c r="K547" s="92"/>
      <c r="L547" s="92"/>
      <c r="M547" s="92"/>
      <c r="N547" s="97">
        <v>0</v>
      </c>
      <c r="O547" s="97">
        <v>24</v>
      </c>
      <c r="P547" s="98">
        <f>SUM(SamplingData[[#This Row],[Winning Candidate]:[Under Votes]])</f>
        <v>392</v>
      </c>
      <c r="Q547" s="99">
        <f>IF(AND(SamplingData[[#This Row],[Total]]&lt;&gt; 0, NOT(ISBLANK(SamplingData[[#This Row],[Losing Candidate]]))),(SamplingData[[#This Row],[Total]]+SamplingData[[#This Row],[Winning Candidate]]-SamplingData[[#This Row],[Losing Candidate]])/(SamplingData[[#Totals],[Winning Candidate]]-SamplingData[[#Totals],[Losing Candidate]]), 0)</f>
        <v>1.7059921914785267E-2</v>
      </c>
      <c r="R547" s="99">
        <f>IF(AND(SamplingData[[#This Row],[Total]]&lt;&gt; 0, NOT(ISBLANK(SamplingData[[#This Row],[Candidate 3]]))),(SamplingData[[#This Row],[Total]]+SamplingData[[#This Row],[Winning Candidate]]-SamplingData[[#This Row],[Candidate 3]])/(SamplingData[[#Totals],[Winning Candidate]]-SamplingData[[#Totals],[Candidate 3]]), 0)</f>
        <v>0</v>
      </c>
      <c r="S547" s="99">
        <f>IF(AND(SamplingData[[#This Row],[Total]]&lt;&gt; 0, NOT(ISBLANK(SamplingData[[#This Row],[Candidate 4]]))),(SamplingData[[#This Row],[Total]]+SamplingData[[#This Row],[Winning Candidate]]-SamplingData[[#This Row],[Candidate 4]])/(SamplingData[[#Totals],[Winning Candidate]]-SamplingData[[#Totals],[Candidate 4]]), 0)</f>
        <v>0</v>
      </c>
      <c r="T547" s="99">
        <f>IF(AND(SamplingData[[#This Row],[Total]]&lt;&gt; 0, NOT(ISBLANK(SamplingData[[#This Row],[Candidate 5]]))),(SamplingData[[#This Row],[Total]]+SamplingData[[#This Row],[Winning Candidate]]-SamplingData[[#This Row],[Candidate 5]])/(SamplingData[[#Totals],[Winning Candidate]]-SamplingData[[#Totals],[Candidate 5]]), 0)</f>
        <v>0</v>
      </c>
      <c r="U547" s="99">
        <f>IF(AND(SamplingData[[#This Row],[Total]]&lt;&gt; 0, NOT(ISBLANK(SamplingData[[#This Row],[Candidate 6]]))),(SamplingData[[#This Row],[Total]]+SamplingData[[#This Row],[Losing Candidate]]-SamplingData[[#This Row],[Candidate 6]])/(SamplingData[[#Totals],[Winning Candidate]]-SamplingData[[#Totals],[Candidate 6]]), 0)</f>
        <v>0</v>
      </c>
      <c r="V547" s="99">
        <f>IF(AND(SamplingData[[#This Row],[Total]]&lt;&gt; 0, NOT(ISBLANK(SamplingData[[#This Row],[Candidate 7]]))),(SamplingData[[#This Row],[Total]]+SamplingData[[#This Row],[Winning Candidate]]-SamplingData[[#This Row],[Candidate 7]])/(SamplingData[[#Totals],[Winning Candidate]]-SamplingData[[#Totals],[Candidate 7]]), 0)</f>
        <v>0</v>
      </c>
      <c r="W547" s="99">
        <f>IF(AND(SamplingData[[#This Row],[Total]]&lt;&gt; 0, NOT(ISBLANK(SamplingData[[#This Row],[Candidate 8]]))),(SamplingData[[#This Row],[Total]]+SamplingData[[#This Row],[Winning Candidate]]-SamplingData[[#This Row],[Candidate 8]])/(SamplingData[[#Totals],[Winning Candidate]]-SamplingData[[#Totals],[Candidate 8]]), 0)</f>
        <v>0</v>
      </c>
      <c r="X5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7" s="99">
        <f>MAX(SamplingData[[#This Row],[Error Bound (up) - Max. possible relative overstatement - Losing Candidate]:[Error Bound (up) - Max. possible relative overstatement - Candidate 12]])</f>
        <v>1.7059921914785267E-2</v>
      </c>
      <c r="AC547" s="99">
        <f>IF(SamplingData[[#This Row],[Max Error Bound (up)]] = 0,0,SamplingData[[#This Row],[Max Error Bound (up)]]/SamplingData[[#Totals],[Max Error Bound (up)]])</f>
        <v>9.1340386083542499E-4</v>
      </c>
      <c r="AD547" s="103">
        <f>SUM($AC$5:AC547)</f>
        <v>0.44101955865779674</v>
      </c>
      <c r="AE547" s="99" t="str" cm="1">
        <f t="array" ref="AE547">IF(SamplingData[[#This Row],[up/U Selection Probability]] = 0, "Zero", TEXT(SamplingData[[#This Row],[Lower Range]], REPT("0",LEN('General Info'!$B$42))) &amp; " - " &amp; TEXT(SamplingData[[#This Row],[Upper Range]], REPT("0",LEN('General Info'!$B$42))))</f>
        <v>440106 - 441019</v>
      </c>
      <c r="AF547" s="99">
        <f>SamplingData[[#This Row],[Upper Range]]-SamplingData[[#This Row],[Span]]</f>
        <v>440106.15479696135</v>
      </c>
      <c r="AG547" s="99">
        <f>IF(ISNUMBER('General Info'!$B$42), ((SamplingData[[#This Row],[up/U Selection Probability]]) * 'General Info'!$B$44) - 1, 0)</f>
        <v>912.40386083542501</v>
      </c>
      <c r="AH547" s="99">
        <f>IF(ISNUMBER('General Info'!$B$42), (SamplingData[[#This Row],[Running (cumulative) sum]] * ('General Info'!$B$42 -'General Info'!$B$43 + 1)) + 'General Info'!$B$43 - 1, 0)</f>
        <v>441018.55865779676</v>
      </c>
      <c r="AI547" s="99" t="str">
        <f>IF(ISERROR(MATCH(SamplingData[[#This Row],[Batch by Type (p)]],SelectedPrecincts[Batch Name], 0)), "", INDEX(SelectedPrecincts[Draw], MATCH(SamplingData[[#This Row],[Batch by Type (p)]],SelectedPrecincts[Batch Name], 0)))</f>
        <v/>
      </c>
      <c r="AJ547" s="100">
        <f>IF(COUNTIF(SelectedPrecincts[Batch Name],SamplingData[[#This Row],[Batch by Type (p)]]) &lt;&gt; 0, COUNTIF(SelectedPrecincts[Batch Name],SamplingData[[#This Row],[Batch by Type (p)]]), 0)</f>
        <v>0</v>
      </c>
    </row>
    <row r="548" spans="1:36" ht="15" customHeight="1" x14ac:dyDescent="0.35">
      <c r="A548" s="97" t="s">
        <v>761</v>
      </c>
      <c r="B548" s="97">
        <v>45</v>
      </c>
      <c r="C548" s="97">
        <v>15</v>
      </c>
      <c r="D548" s="92"/>
      <c r="E548" s="92"/>
      <c r="F548" s="92"/>
      <c r="G548" s="96"/>
      <c r="H548" s="96"/>
      <c r="I548" s="92"/>
      <c r="J548" s="92"/>
      <c r="K548" s="92"/>
      <c r="L548" s="92"/>
      <c r="M548" s="92"/>
      <c r="N548" s="97">
        <v>0</v>
      </c>
      <c r="O548" s="97">
        <v>4</v>
      </c>
      <c r="P548" s="98">
        <f>SUM(SamplingData[[#This Row],[Winning Candidate]:[Under Votes]])</f>
        <v>64</v>
      </c>
      <c r="Q548" s="99">
        <f>IF(AND(SamplingData[[#This Row],[Total]]&lt;&gt; 0, NOT(ISBLANK(SamplingData[[#This Row],[Losing Candidate]]))),(SamplingData[[#This Row],[Total]]+SamplingData[[#This Row],[Winning Candidate]]-SamplingData[[#This Row],[Losing Candidate]])/(SamplingData[[#Totals],[Winning Candidate]]-SamplingData[[#Totals],[Losing Candidate]]), 0)</f>
        <v>3.9891359701239183E-3</v>
      </c>
      <c r="R548" s="99">
        <f>IF(AND(SamplingData[[#This Row],[Total]]&lt;&gt; 0, NOT(ISBLANK(SamplingData[[#This Row],[Candidate 3]]))),(SamplingData[[#This Row],[Total]]+SamplingData[[#This Row],[Winning Candidate]]-SamplingData[[#This Row],[Candidate 3]])/(SamplingData[[#Totals],[Winning Candidate]]-SamplingData[[#Totals],[Candidate 3]]), 0)</f>
        <v>0</v>
      </c>
      <c r="S548" s="99">
        <f>IF(AND(SamplingData[[#This Row],[Total]]&lt;&gt; 0, NOT(ISBLANK(SamplingData[[#This Row],[Candidate 4]]))),(SamplingData[[#This Row],[Total]]+SamplingData[[#This Row],[Winning Candidate]]-SamplingData[[#This Row],[Candidate 4]])/(SamplingData[[#Totals],[Winning Candidate]]-SamplingData[[#Totals],[Candidate 4]]), 0)</f>
        <v>0</v>
      </c>
      <c r="T548" s="99">
        <f>IF(AND(SamplingData[[#This Row],[Total]]&lt;&gt; 0, NOT(ISBLANK(SamplingData[[#This Row],[Candidate 5]]))),(SamplingData[[#This Row],[Total]]+SamplingData[[#This Row],[Winning Candidate]]-SamplingData[[#This Row],[Candidate 5]])/(SamplingData[[#Totals],[Winning Candidate]]-SamplingData[[#Totals],[Candidate 5]]), 0)</f>
        <v>0</v>
      </c>
      <c r="U548" s="99">
        <f>IF(AND(SamplingData[[#This Row],[Total]]&lt;&gt; 0, NOT(ISBLANK(SamplingData[[#This Row],[Candidate 6]]))),(SamplingData[[#This Row],[Total]]+SamplingData[[#This Row],[Losing Candidate]]-SamplingData[[#This Row],[Candidate 6]])/(SamplingData[[#Totals],[Winning Candidate]]-SamplingData[[#Totals],[Candidate 6]]), 0)</f>
        <v>0</v>
      </c>
      <c r="V548" s="99">
        <f>IF(AND(SamplingData[[#This Row],[Total]]&lt;&gt; 0, NOT(ISBLANK(SamplingData[[#This Row],[Candidate 7]]))),(SamplingData[[#This Row],[Total]]+SamplingData[[#This Row],[Winning Candidate]]-SamplingData[[#This Row],[Candidate 7]])/(SamplingData[[#Totals],[Winning Candidate]]-SamplingData[[#Totals],[Candidate 7]]), 0)</f>
        <v>0</v>
      </c>
      <c r="W548" s="99">
        <f>IF(AND(SamplingData[[#This Row],[Total]]&lt;&gt; 0, NOT(ISBLANK(SamplingData[[#This Row],[Candidate 8]]))),(SamplingData[[#This Row],[Total]]+SamplingData[[#This Row],[Winning Candidate]]-SamplingData[[#This Row],[Candidate 8]])/(SamplingData[[#Totals],[Winning Candidate]]-SamplingData[[#Totals],[Candidate 8]]), 0)</f>
        <v>0</v>
      </c>
      <c r="X5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8" s="99">
        <f>MAX(SamplingData[[#This Row],[Error Bound (up) - Max. possible relative overstatement - Losing Candidate]:[Error Bound (up) - Max. possible relative overstatement - Candidate 12]])</f>
        <v>3.9891359701239183E-3</v>
      </c>
      <c r="AC548" s="99">
        <f>IF(SamplingData[[#This Row],[Max Error Bound (up)]] = 0,0,SamplingData[[#This Row],[Max Error Bound (up)]]/SamplingData[[#Totals],[Max Error Bound (up)]])</f>
        <v>2.1358199730977598E-4</v>
      </c>
      <c r="AD548" s="103">
        <f>SUM($AC$5:AC548)</f>
        <v>0.44123314065510649</v>
      </c>
      <c r="AE548" s="99" t="str" cm="1">
        <f t="array" ref="AE548">IF(SamplingData[[#This Row],[up/U Selection Probability]] = 0, "Zero", TEXT(SamplingData[[#This Row],[Lower Range]], REPT("0",LEN('General Info'!$B$42))) &amp; " - " &amp; TEXT(SamplingData[[#This Row],[Upper Range]], REPT("0",LEN('General Info'!$B$42))))</f>
        <v>441020 - 441232</v>
      </c>
      <c r="AF548" s="99">
        <f>SamplingData[[#This Row],[Upper Range]]-SamplingData[[#This Row],[Span]]</f>
        <v>441019.55865779676</v>
      </c>
      <c r="AG548" s="99">
        <f>IF(ISNUMBER('General Info'!$B$42), ((SamplingData[[#This Row],[up/U Selection Probability]]) * 'General Info'!$B$44) - 1, 0)</f>
        <v>212.58199730977597</v>
      </c>
      <c r="AH548" s="99">
        <f>IF(ISNUMBER('General Info'!$B$42), (SamplingData[[#This Row],[Running (cumulative) sum]] * ('General Info'!$B$42 -'General Info'!$B$43 + 1)) + 'General Info'!$B$43 - 1, 0)</f>
        <v>441232.14065510652</v>
      </c>
      <c r="AI548" s="99" t="str">
        <f>IF(ISERROR(MATCH(SamplingData[[#This Row],[Batch by Type (p)]],SelectedPrecincts[Batch Name], 0)), "", INDEX(SelectedPrecincts[Draw], MATCH(SamplingData[[#This Row],[Batch by Type (p)]],SelectedPrecincts[Batch Name], 0)))</f>
        <v/>
      </c>
      <c r="AJ548" s="100">
        <f>IF(COUNTIF(SelectedPrecincts[Batch Name],SamplingData[[#This Row],[Batch by Type (p)]]) &lt;&gt; 0, COUNTIF(SelectedPrecincts[Batch Name],SamplingData[[#This Row],[Batch by Type (p)]]), 0)</f>
        <v>0</v>
      </c>
    </row>
    <row r="549" spans="1:36" ht="15" customHeight="1" x14ac:dyDescent="0.35">
      <c r="A549" s="97" t="s">
        <v>762</v>
      </c>
      <c r="B549" s="97">
        <v>199</v>
      </c>
      <c r="C549" s="97">
        <v>182</v>
      </c>
      <c r="D549" s="92"/>
      <c r="E549" s="92"/>
      <c r="F549" s="92"/>
      <c r="G549" s="96"/>
      <c r="H549" s="96"/>
      <c r="I549" s="92"/>
      <c r="J549" s="92"/>
      <c r="K549" s="92"/>
      <c r="L549" s="92"/>
      <c r="M549" s="92"/>
      <c r="N549" s="97">
        <v>0</v>
      </c>
      <c r="O549" s="97">
        <v>22</v>
      </c>
      <c r="P549" s="98">
        <f>SUM(SamplingData[[#This Row],[Winning Candidate]:[Under Votes]])</f>
        <v>403</v>
      </c>
      <c r="Q549" s="99">
        <f>IF(AND(SamplingData[[#This Row],[Total]]&lt;&gt; 0, NOT(ISBLANK(SamplingData[[#This Row],[Losing Candidate]]))),(SamplingData[[#This Row],[Total]]+SamplingData[[#This Row],[Winning Candidate]]-SamplingData[[#This Row],[Losing Candidate]])/(SamplingData[[#Totals],[Winning Candidate]]-SamplingData[[#Totals],[Losing Candidate]]), 0)</f>
        <v>1.7823799015447294E-2</v>
      </c>
      <c r="R549" s="99">
        <f>IF(AND(SamplingData[[#This Row],[Total]]&lt;&gt; 0, NOT(ISBLANK(SamplingData[[#This Row],[Candidate 3]]))),(SamplingData[[#This Row],[Total]]+SamplingData[[#This Row],[Winning Candidate]]-SamplingData[[#This Row],[Candidate 3]])/(SamplingData[[#Totals],[Winning Candidate]]-SamplingData[[#Totals],[Candidate 3]]), 0)</f>
        <v>0</v>
      </c>
      <c r="S549" s="99">
        <f>IF(AND(SamplingData[[#This Row],[Total]]&lt;&gt; 0, NOT(ISBLANK(SamplingData[[#This Row],[Candidate 4]]))),(SamplingData[[#This Row],[Total]]+SamplingData[[#This Row],[Winning Candidate]]-SamplingData[[#This Row],[Candidate 4]])/(SamplingData[[#Totals],[Winning Candidate]]-SamplingData[[#Totals],[Candidate 4]]), 0)</f>
        <v>0</v>
      </c>
      <c r="T549" s="99">
        <f>IF(AND(SamplingData[[#This Row],[Total]]&lt;&gt; 0, NOT(ISBLANK(SamplingData[[#This Row],[Candidate 5]]))),(SamplingData[[#This Row],[Total]]+SamplingData[[#This Row],[Winning Candidate]]-SamplingData[[#This Row],[Candidate 5]])/(SamplingData[[#Totals],[Winning Candidate]]-SamplingData[[#Totals],[Candidate 5]]), 0)</f>
        <v>0</v>
      </c>
      <c r="U549" s="99">
        <f>IF(AND(SamplingData[[#This Row],[Total]]&lt;&gt; 0, NOT(ISBLANK(SamplingData[[#This Row],[Candidate 6]]))),(SamplingData[[#This Row],[Total]]+SamplingData[[#This Row],[Losing Candidate]]-SamplingData[[#This Row],[Candidate 6]])/(SamplingData[[#Totals],[Winning Candidate]]-SamplingData[[#Totals],[Candidate 6]]), 0)</f>
        <v>0</v>
      </c>
      <c r="V549" s="99">
        <f>IF(AND(SamplingData[[#This Row],[Total]]&lt;&gt; 0, NOT(ISBLANK(SamplingData[[#This Row],[Candidate 7]]))),(SamplingData[[#This Row],[Total]]+SamplingData[[#This Row],[Winning Candidate]]-SamplingData[[#This Row],[Candidate 7]])/(SamplingData[[#Totals],[Winning Candidate]]-SamplingData[[#Totals],[Candidate 7]]), 0)</f>
        <v>0</v>
      </c>
      <c r="W549" s="99">
        <f>IF(AND(SamplingData[[#This Row],[Total]]&lt;&gt; 0, NOT(ISBLANK(SamplingData[[#This Row],[Candidate 8]]))),(SamplingData[[#This Row],[Total]]+SamplingData[[#This Row],[Winning Candidate]]-SamplingData[[#This Row],[Candidate 8]])/(SamplingData[[#Totals],[Winning Candidate]]-SamplingData[[#Totals],[Candidate 8]]), 0)</f>
        <v>0</v>
      </c>
      <c r="X5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9" s="99">
        <f>MAX(SamplingData[[#This Row],[Error Bound (up) - Max. possible relative overstatement - Losing Candidate]:[Error Bound (up) - Max. possible relative overstatement - Candidate 12]])</f>
        <v>1.7823799015447294E-2</v>
      </c>
      <c r="AC549" s="99">
        <f>IF(SamplingData[[#This Row],[Max Error Bound (up)]] = 0,0,SamplingData[[#This Row],[Max Error Bound (up)]]/SamplingData[[#Totals],[Max Error Bound (up)]])</f>
        <v>9.5430254117133948E-4</v>
      </c>
      <c r="AD549" s="103">
        <f>SUM($AC$5:AC549)</f>
        <v>0.44218744319627784</v>
      </c>
      <c r="AE549" s="99" t="str" cm="1">
        <f t="array" ref="AE549">IF(SamplingData[[#This Row],[up/U Selection Probability]] = 0, "Zero", TEXT(SamplingData[[#This Row],[Lower Range]], REPT("0",LEN('General Info'!$B$42))) &amp; " - " &amp; TEXT(SamplingData[[#This Row],[Upper Range]], REPT("0",LEN('General Info'!$B$42))))</f>
        <v>441233 - 442186</v>
      </c>
      <c r="AF549" s="99">
        <f>SamplingData[[#This Row],[Upper Range]]-SamplingData[[#This Row],[Span]]</f>
        <v>441233.14065510652</v>
      </c>
      <c r="AG549" s="99">
        <f>IF(ISNUMBER('General Info'!$B$42), ((SamplingData[[#This Row],[up/U Selection Probability]]) * 'General Info'!$B$44) - 1, 0)</f>
        <v>953.3025411713395</v>
      </c>
      <c r="AH549" s="99">
        <f>IF(ISNUMBER('General Info'!$B$42), (SamplingData[[#This Row],[Running (cumulative) sum]] * ('General Info'!$B$42 -'General Info'!$B$43 + 1)) + 'General Info'!$B$43 - 1, 0)</f>
        <v>442186.44319627783</v>
      </c>
      <c r="AI549" s="99" t="str">
        <f>IF(ISERROR(MATCH(SamplingData[[#This Row],[Batch by Type (p)]],SelectedPrecincts[Batch Name], 0)), "", INDEX(SelectedPrecincts[Draw], MATCH(SamplingData[[#This Row],[Batch by Type (p)]],SelectedPrecincts[Batch Name], 0)))</f>
        <v/>
      </c>
      <c r="AJ549" s="100">
        <f>IF(COUNTIF(SelectedPrecincts[Batch Name],SamplingData[[#This Row],[Batch by Type (p)]]) &lt;&gt; 0, COUNTIF(SelectedPrecincts[Batch Name],SamplingData[[#This Row],[Batch by Type (p)]]), 0)</f>
        <v>0</v>
      </c>
    </row>
    <row r="550" spans="1:36" ht="15" customHeight="1" x14ac:dyDescent="0.35">
      <c r="A550" s="97" t="s">
        <v>763</v>
      </c>
      <c r="B550" s="97">
        <v>230</v>
      </c>
      <c r="C550" s="97">
        <v>214</v>
      </c>
      <c r="D550" s="92"/>
      <c r="E550" s="92"/>
      <c r="F550" s="92"/>
      <c r="G550" s="96"/>
      <c r="H550" s="96"/>
      <c r="I550" s="92"/>
      <c r="J550" s="92"/>
      <c r="K550" s="92"/>
      <c r="L550" s="92"/>
      <c r="M550" s="92"/>
      <c r="N550" s="97">
        <v>0</v>
      </c>
      <c r="O550" s="97">
        <v>31</v>
      </c>
      <c r="P550" s="98">
        <f>SUM(SamplingData[[#This Row],[Winning Candidate]:[Under Votes]])</f>
        <v>475</v>
      </c>
      <c r="Q550" s="99">
        <f>IF(AND(SamplingData[[#This Row],[Total]]&lt;&gt; 0, NOT(ISBLANK(SamplingData[[#This Row],[Losing Candidate]]))),(SamplingData[[#This Row],[Total]]+SamplingData[[#This Row],[Winning Candidate]]-SamplingData[[#This Row],[Losing Candidate]])/(SamplingData[[#Totals],[Winning Candidate]]-SamplingData[[#Totals],[Losing Candidate]]), 0)</f>
        <v>2.0836869801391954E-2</v>
      </c>
      <c r="R550" s="99">
        <f>IF(AND(SamplingData[[#This Row],[Total]]&lt;&gt; 0, NOT(ISBLANK(SamplingData[[#This Row],[Candidate 3]]))),(SamplingData[[#This Row],[Total]]+SamplingData[[#This Row],[Winning Candidate]]-SamplingData[[#This Row],[Candidate 3]])/(SamplingData[[#Totals],[Winning Candidate]]-SamplingData[[#Totals],[Candidate 3]]), 0)</f>
        <v>0</v>
      </c>
      <c r="S550" s="99">
        <f>IF(AND(SamplingData[[#This Row],[Total]]&lt;&gt; 0, NOT(ISBLANK(SamplingData[[#This Row],[Candidate 4]]))),(SamplingData[[#This Row],[Total]]+SamplingData[[#This Row],[Winning Candidate]]-SamplingData[[#This Row],[Candidate 4]])/(SamplingData[[#Totals],[Winning Candidate]]-SamplingData[[#Totals],[Candidate 4]]), 0)</f>
        <v>0</v>
      </c>
      <c r="T550" s="99">
        <f>IF(AND(SamplingData[[#This Row],[Total]]&lt;&gt; 0, NOT(ISBLANK(SamplingData[[#This Row],[Candidate 5]]))),(SamplingData[[#This Row],[Total]]+SamplingData[[#This Row],[Winning Candidate]]-SamplingData[[#This Row],[Candidate 5]])/(SamplingData[[#Totals],[Winning Candidate]]-SamplingData[[#Totals],[Candidate 5]]), 0)</f>
        <v>0</v>
      </c>
      <c r="U550" s="99">
        <f>IF(AND(SamplingData[[#This Row],[Total]]&lt;&gt; 0, NOT(ISBLANK(SamplingData[[#This Row],[Candidate 6]]))),(SamplingData[[#This Row],[Total]]+SamplingData[[#This Row],[Losing Candidate]]-SamplingData[[#This Row],[Candidate 6]])/(SamplingData[[#Totals],[Winning Candidate]]-SamplingData[[#Totals],[Candidate 6]]), 0)</f>
        <v>0</v>
      </c>
      <c r="V550" s="99">
        <f>IF(AND(SamplingData[[#This Row],[Total]]&lt;&gt; 0, NOT(ISBLANK(SamplingData[[#This Row],[Candidate 7]]))),(SamplingData[[#This Row],[Total]]+SamplingData[[#This Row],[Winning Candidate]]-SamplingData[[#This Row],[Candidate 7]])/(SamplingData[[#Totals],[Winning Candidate]]-SamplingData[[#Totals],[Candidate 7]]), 0)</f>
        <v>0</v>
      </c>
      <c r="W550" s="99">
        <f>IF(AND(SamplingData[[#This Row],[Total]]&lt;&gt; 0, NOT(ISBLANK(SamplingData[[#This Row],[Candidate 8]]))),(SamplingData[[#This Row],[Total]]+SamplingData[[#This Row],[Winning Candidate]]-SamplingData[[#This Row],[Candidate 8]])/(SamplingData[[#Totals],[Winning Candidate]]-SamplingData[[#Totals],[Candidate 8]]), 0)</f>
        <v>0</v>
      </c>
      <c r="X5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0" s="99">
        <f>MAX(SamplingData[[#This Row],[Error Bound (up) - Max. possible relative overstatement - Losing Candidate]:[Error Bound (up) - Max. possible relative overstatement - Candidate 12]])</f>
        <v>2.0836869801391954E-2</v>
      </c>
      <c r="AC550" s="99">
        <f>IF(SamplingData[[#This Row],[Max Error Bound (up)]] = 0,0,SamplingData[[#This Row],[Max Error Bound (up)]]/SamplingData[[#Totals],[Max Error Bound (up)]])</f>
        <v>1.1156251136074469E-3</v>
      </c>
      <c r="AD550" s="103">
        <f>SUM($AC$5:AC550)</f>
        <v>0.44330306830988531</v>
      </c>
      <c r="AE550" s="99" t="str" cm="1">
        <f t="array" ref="AE550">IF(SamplingData[[#This Row],[up/U Selection Probability]] = 0, "Zero", TEXT(SamplingData[[#This Row],[Lower Range]], REPT("0",LEN('General Info'!$B$42))) &amp; " - " &amp; TEXT(SamplingData[[#This Row],[Upper Range]], REPT("0",LEN('General Info'!$B$42))))</f>
        <v>442187 - 443302</v>
      </c>
      <c r="AF550" s="99">
        <f>SamplingData[[#This Row],[Upper Range]]-SamplingData[[#This Row],[Span]]</f>
        <v>442187.44319627789</v>
      </c>
      <c r="AG550" s="99">
        <f>IF(ISNUMBER('General Info'!$B$42), ((SamplingData[[#This Row],[up/U Selection Probability]]) * 'General Info'!$B$44) - 1, 0)</f>
        <v>1114.6251136074468</v>
      </c>
      <c r="AH550" s="99">
        <f>IF(ISNUMBER('General Info'!$B$42), (SamplingData[[#This Row],[Running (cumulative) sum]] * ('General Info'!$B$42 -'General Info'!$B$43 + 1)) + 'General Info'!$B$43 - 1, 0)</f>
        <v>443302.06830988533</v>
      </c>
      <c r="AI550" s="99" t="str">
        <f>IF(ISERROR(MATCH(SamplingData[[#This Row],[Batch by Type (p)]],SelectedPrecincts[Batch Name], 0)), "", INDEX(SelectedPrecincts[Draw], MATCH(SamplingData[[#This Row],[Batch by Type (p)]],SelectedPrecincts[Batch Name], 0)))</f>
        <v/>
      </c>
      <c r="AJ550" s="100">
        <f>IF(COUNTIF(SelectedPrecincts[Batch Name],SamplingData[[#This Row],[Batch by Type (p)]]) &lt;&gt; 0, COUNTIF(SelectedPrecincts[Batch Name],SamplingData[[#This Row],[Batch by Type (p)]]), 0)</f>
        <v>0</v>
      </c>
    </row>
    <row r="551" spans="1:36" ht="15" customHeight="1" x14ac:dyDescent="0.35">
      <c r="A551" s="97" t="s">
        <v>764</v>
      </c>
      <c r="B551" s="97">
        <v>184</v>
      </c>
      <c r="C551" s="97">
        <v>169</v>
      </c>
      <c r="D551" s="92"/>
      <c r="E551" s="92"/>
      <c r="F551" s="92"/>
      <c r="G551" s="96"/>
      <c r="H551" s="96"/>
      <c r="I551" s="92"/>
      <c r="J551" s="92"/>
      <c r="K551" s="92"/>
      <c r="L551" s="92"/>
      <c r="M551" s="92"/>
      <c r="N551" s="97">
        <v>0</v>
      </c>
      <c r="O551" s="97">
        <v>19</v>
      </c>
      <c r="P551" s="98">
        <f>SUM(SamplingData[[#This Row],[Winning Candidate]:[Under Votes]])</f>
        <v>372</v>
      </c>
      <c r="Q551" s="99">
        <f>IF(AND(SamplingData[[#This Row],[Total]]&lt;&gt; 0, NOT(ISBLANK(SamplingData[[#This Row],[Losing Candidate]]))),(SamplingData[[#This Row],[Total]]+SamplingData[[#This Row],[Winning Candidate]]-SamplingData[[#This Row],[Losing Candidate]])/(SamplingData[[#Totals],[Winning Candidate]]-SamplingData[[#Totals],[Losing Candidate]]), 0)</f>
        <v>1.6423357664233577E-2</v>
      </c>
      <c r="R551" s="99">
        <f>IF(AND(SamplingData[[#This Row],[Total]]&lt;&gt; 0, NOT(ISBLANK(SamplingData[[#This Row],[Candidate 3]]))),(SamplingData[[#This Row],[Total]]+SamplingData[[#This Row],[Winning Candidate]]-SamplingData[[#This Row],[Candidate 3]])/(SamplingData[[#Totals],[Winning Candidate]]-SamplingData[[#Totals],[Candidate 3]]), 0)</f>
        <v>0</v>
      </c>
      <c r="S551" s="99">
        <f>IF(AND(SamplingData[[#This Row],[Total]]&lt;&gt; 0, NOT(ISBLANK(SamplingData[[#This Row],[Candidate 4]]))),(SamplingData[[#This Row],[Total]]+SamplingData[[#This Row],[Winning Candidate]]-SamplingData[[#This Row],[Candidate 4]])/(SamplingData[[#Totals],[Winning Candidate]]-SamplingData[[#Totals],[Candidate 4]]), 0)</f>
        <v>0</v>
      </c>
      <c r="T551" s="99">
        <f>IF(AND(SamplingData[[#This Row],[Total]]&lt;&gt; 0, NOT(ISBLANK(SamplingData[[#This Row],[Candidate 5]]))),(SamplingData[[#This Row],[Total]]+SamplingData[[#This Row],[Winning Candidate]]-SamplingData[[#This Row],[Candidate 5]])/(SamplingData[[#Totals],[Winning Candidate]]-SamplingData[[#Totals],[Candidate 5]]), 0)</f>
        <v>0</v>
      </c>
      <c r="U551" s="99">
        <f>IF(AND(SamplingData[[#This Row],[Total]]&lt;&gt; 0, NOT(ISBLANK(SamplingData[[#This Row],[Candidate 6]]))),(SamplingData[[#This Row],[Total]]+SamplingData[[#This Row],[Losing Candidate]]-SamplingData[[#This Row],[Candidate 6]])/(SamplingData[[#Totals],[Winning Candidate]]-SamplingData[[#Totals],[Candidate 6]]), 0)</f>
        <v>0</v>
      </c>
      <c r="V551" s="99">
        <f>IF(AND(SamplingData[[#This Row],[Total]]&lt;&gt; 0, NOT(ISBLANK(SamplingData[[#This Row],[Candidate 7]]))),(SamplingData[[#This Row],[Total]]+SamplingData[[#This Row],[Winning Candidate]]-SamplingData[[#This Row],[Candidate 7]])/(SamplingData[[#Totals],[Winning Candidate]]-SamplingData[[#Totals],[Candidate 7]]), 0)</f>
        <v>0</v>
      </c>
      <c r="W551" s="99">
        <f>IF(AND(SamplingData[[#This Row],[Total]]&lt;&gt; 0, NOT(ISBLANK(SamplingData[[#This Row],[Candidate 8]]))),(SamplingData[[#This Row],[Total]]+SamplingData[[#This Row],[Winning Candidate]]-SamplingData[[#This Row],[Candidate 8]])/(SamplingData[[#Totals],[Winning Candidate]]-SamplingData[[#Totals],[Candidate 8]]), 0)</f>
        <v>0</v>
      </c>
      <c r="X5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1" s="99">
        <f>MAX(SamplingData[[#This Row],[Error Bound (up) - Max. possible relative overstatement - Losing Candidate]:[Error Bound (up) - Max. possible relative overstatement - Candidate 12]])</f>
        <v>1.6423357664233577E-2</v>
      </c>
      <c r="AC551" s="99">
        <f>IF(SamplingData[[#This Row],[Max Error Bound (up)]] = 0,0,SamplingData[[#This Row],[Max Error Bound (up)]]/SamplingData[[#Totals],[Max Error Bound (up)]])</f>
        <v>8.7932162722216285E-4</v>
      </c>
      <c r="AD551" s="103">
        <f>SUM($AC$5:AC551)</f>
        <v>0.44418238993710746</v>
      </c>
      <c r="AE551" s="99" t="str" cm="1">
        <f t="array" ref="AE551">IF(SamplingData[[#This Row],[up/U Selection Probability]] = 0, "Zero", TEXT(SamplingData[[#This Row],[Lower Range]], REPT("0",LEN('General Info'!$B$42))) &amp; " - " &amp; TEXT(SamplingData[[#This Row],[Upper Range]], REPT("0",LEN('General Info'!$B$42))))</f>
        <v>443303 - 444181</v>
      </c>
      <c r="AF551" s="99">
        <f>SamplingData[[#This Row],[Upper Range]]-SamplingData[[#This Row],[Span]]</f>
        <v>443303.06830988528</v>
      </c>
      <c r="AG551" s="99">
        <f>IF(ISNUMBER('General Info'!$B$42), ((SamplingData[[#This Row],[up/U Selection Probability]]) * 'General Info'!$B$44) - 1, 0)</f>
        <v>878.32162722216287</v>
      </c>
      <c r="AH551" s="99">
        <f>IF(ISNUMBER('General Info'!$B$42), (SamplingData[[#This Row],[Running (cumulative) sum]] * ('General Info'!$B$42 -'General Info'!$B$43 + 1)) + 'General Info'!$B$43 - 1, 0)</f>
        <v>444181.38993710745</v>
      </c>
      <c r="AI551" s="99" t="str">
        <f>IF(ISERROR(MATCH(SamplingData[[#This Row],[Batch by Type (p)]],SelectedPrecincts[Batch Name], 0)), "", INDEX(SelectedPrecincts[Draw], MATCH(SamplingData[[#This Row],[Batch by Type (p)]],SelectedPrecincts[Batch Name], 0)))</f>
        <v/>
      </c>
      <c r="AJ551" s="100">
        <f>IF(COUNTIF(SelectedPrecincts[Batch Name],SamplingData[[#This Row],[Batch by Type (p)]]) &lt;&gt; 0, COUNTIF(SelectedPrecincts[Batch Name],SamplingData[[#This Row],[Batch by Type (p)]]), 0)</f>
        <v>0</v>
      </c>
    </row>
    <row r="552" spans="1:36" ht="15" customHeight="1" x14ac:dyDescent="0.35">
      <c r="A552" s="97" t="s">
        <v>765</v>
      </c>
      <c r="B552" s="97">
        <v>202</v>
      </c>
      <c r="C552" s="97">
        <v>214</v>
      </c>
      <c r="D552" s="92"/>
      <c r="E552" s="92"/>
      <c r="F552" s="92"/>
      <c r="G552" s="96"/>
      <c r="H552" s="96"/>
      <c r="I552" s="92"/>
      <c r="J552" s="92"/>
      <c r="K552" s="92"/>
      <c r="L552" s="92"/>
      <c r="M552" s="92"/>
      <c r="N552" s="97">
        <v>0</v>
      </c>
      <c r="O552" s="97">
        <v>23</v>
      </c>
      <c r="P552" s="98">
        <f>SUM(SamplingData[[#This Row],[Winning Candidate]:[Under Votes]])</f>
        <v>439</v>
      </c>
      <c r="Q552" s="99">
        <f>IF(AND(SamplingData[[#This Row],[Total]]&lt;&gt; 0, NOT(ISBLANK(SamplingData[[#This Row],[Losing Candidate]]))),(SamplingData[[#This Row],[Total]]+SamplingData[[#This Row],[Winning Candidate]]-SamplingData[[#This Row],[Losing Candidate]])/(SamplingData[[#Totals],[Winning Candidate]]-SamplingData[[#Totals],[Losing Candidate]]), 0)</f>
        <v>1.8120862332371413E-2</v>
      </c>
      <c r="R552" s="99">
        <f>IF(AND(SamplingData[[#This Row],[Total]]&lt;&gt; 0, NOT(ISBLANK(SamplingData[[#This Row],[Candidate 3]]))),(SamplingData[[#This Row],[Total]]+SamplingData[[#This Row],[Winning Candidate]]-SamplingData[[#This Row],[Candidate 3]])/(SamplingData[[#Totals],[Winning Candidate]]-SamplingData[[#Totals],[Candidate 3]]), 0)</f>
        <v>0</v>
      </c>
      <c r="S552" s="99">
        <f>IF(AND(SamplingData[[#This Row],[Total]]&lt;&gt; 0, NOT(ISBLANK(SamplingData[[#This Row],[Candidate 4]]))),(SamplingData[[#This Row],[Total]]+SamplingData[[#This Row],[Winning Candidate]]-SamplingData[[#This Row],[Candidate 4]])/(SamplingData[[#Totals],[Winning Candidate]]-SamplingData[[#Totals],[Candidate 4]]), 0)</f>
        <v>0</v>
      </c>
      <c r="T552" s="99">
        <f>IF(AND(SamplingData[[#This Row],[Total]]&lt;&gt; 0, NOT(ISBLANK(SamplingData[[#This Row],[Candidate 5]]))),(SamplingData[[#This Row],[Total]]+SamplingData[[#This Row],[Winning Candidate]]-SamplingData[[#This Row],[Candidate 5]])/(SamplingData[[#Totals],[Winning Candidate]]-SamplingData[[#Totals],[Candidate 5]]), 0)</f>
        <v>0</v>
      </c>
      <c r="U552" s="99">
        <f>IF(AND(SamplingData[[#This Row],[Total]]&lt;&gt; 0, NOT(ISBLANK(SamplingData[[#This Row],[Candidate 6]]))),(SamplingData[[#This Row],[Total]]+SamplingData[[#This Row],[Losing Candidate]]-SamplingData[[#This Row],[Candidate 6]])/(SamplingData[[#Totals],[Winning Candidate]]-SamplingData[[#Totals],[Candidate 6]]), 0)</f>
        <v>0</v>
      </c>
      <c r="V552" s="99">
        <f>IF(AND(SamplingData[[#This Row],[Total]]&lt;&gt; 0, NOT(ISBLANK(SamplingData[[#This Row],[Candidate 7]]))),(SamplingData[[#This Row],[Total]]+SamplingData[[#This Row],[Winning Candidate]]-SamplingData[[#This Row],[Candidate 7]])/(SamplingData[[#Totals],[Winning Candidate]]-SamplingData[[#Totals],[Candidate 7]]), 0)</f>
        <v>0</v>
      </c>
      <c r="W552" s="99">
        <f>IF(AND(SamplingData[[#This Row],[Total]]&lt;&gt; 0, NOT(ISBLANK(SamplingData[[#This Row],[Candidate 8]]))),(SamplingData[[#This Row],[Total]]+SamplingData[[#This Row],[Winning Candidate]]-SamplingData[[#This Row],[Candidate 8]])/(SamplingData[[#Totals],[Winning Candidate]]-SamplingData[[#Totals],[Candidate 8]]), 0)</f>
        <v>0</v>
      </c>
      <c r="X5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2" s="99">
        <f>MAX(SamplingData[[#This Row],[Error Bound (up) - Max. possible relative overstatement - Losing Candidate]:[Error Bound (up) - Max. possible relative overstatement - Candidate 12]])</f>
        <v>1.8120862332371413E-2</v>
      </c>
      <c r="AC552" s="99">
        <f>IF(SamplingData[[#This Row],[Max Error Bound (up)]] = 0,0,SamplingData[[#This Row],[Max Error Bound (up)]]/SamplingData[[#Totals],[Max Error Bound (up)]])</f>
        <v>9.7020758352419506E-4</v>
      </c>
      <c r="AD552" s="103">
        <f>SUM($AC$5:AC552)</f>
        <v>0.44515259752063163</v>
      </c>
      <c r="AE552" s="99" t="str" cm="1">
        <f t="array" ref="AE552">IF(SamplingData[[#This Row],[up/U Selection Probability]] = 0, "Zero", TEXT(SamplingData[[#This Row],[Lower Range]], REPT("0",LEN('General Info'!$B$42))) &amp; " - " &amp; TEXT(SamplingData[[#This Row],[Upper Range]], REPT("0",LEN('General Info'!$B$42))))</f>
        <v>444182 - 445152</v>
      </c>
      <c r="AF552" s="99">
        <f>SamplingData[[#This Row],[Upper Range]]-SamplingData[[#This Row],[Span]]</f>
        <v>444182.38993710745</v>
      </c>
      <c r="AG552" s="99">
        <f>IF(ISNUMBER('General Info'!$B$42), ((SamplingData[[#This Row],[up/U Selection Probability]]) * 'General Info'!$B$44) - 1, 0)</f>
        <v>969.207583524195</v>
      </c>
      <c r="AH552" s="99">
        <f>IF(ISNUMBER('General Info'!$B$42), (SamplingData[[#This Row],[Running (cumulative) sum]] * ('General Info'!$B$42 -'General Info'!$B$43 + 1)) + 'General Info'!$B$43 - 1, 0)</f>
        <v>445151.59752063162</v>
      </c>
      <c r="AI552" s="99" t="str">
        <f>IF(ISERROR(MATCH(SamplingData[[#This Row],[Batch by Type (p)]],SelectedPrecincts[Batch Name], 0)), "", INDEX(SelectedPrecincts[Draw], MATCH(SamplingData[[#This Row],[Batch by Type (p)]],SelectedPrecincts[Batch Name], 0)))</f>
        <v/>
      </c>
      <c r="AJ552" s="100">
        <f>IF(COUNTIF(SelectedPrecincts[Batch Name],SamplingData[[#This Row],[Batch by Type (p)]]) &lt;&gt; 0, COUNTIF(SelectedPrecincts[Batch Name],SamplingData[[#This Row],[Batch by Type (p)]]), 0)</f>
        <v>0</v>
      </c>
    </row>
    <row r="553" spans="1:36" ht="15" customHeight="1" x14ac:dyDescent="0.35">
      <c r="A553" s="97" t="s">
        <v>766</v>
      </c>
      <c r="B553" s="97">
        <v>242</v>
      </c>
      <c r="C553" s="97">
        <v>177</v>
      </c>
      <c r="D553" s="92"/>
      <c r="E553" s="92"/>
      <c r="F553" s="92"/>
      <c r="G553" s="96"/>
      <c r="H553" s="96"/>
      <c r="I553" s="92"/>
      <c r="J553" s="92"/>
      <c r="K553" s="92"/>
      <c r="L553" s="92"/>
      <c r="M553" s="92"/>
      <c r="N553" s="97">
        <v>0</v>
      </c>
      <c r="O553" s="97">
        <v>16</v>
      </c>
      <c r="P553" s="98">
        <f>SUM(SamplingData[[#This Row],[Winning Candidate]:[Under Votes]])</f>
        <v>435</v>
      </c>
      <c r="Q553" s="99">
        <f>IF(AND(SamplingData[[#This Row],[Total]]&lt;&gt; 0, NOT(ISBLANK(SamplingData[[#This Row],[Losing Candidate]]))),(SamplingData[[#This Row],[Total]]+SamplingData[[#This Row],[Winning Candidate]]-SamplingData[[#This Row],[Losing Candidate]])/(SamplingData[[#Totals],[Winning Candidate]]-SamplingData[[#Totals],[Losing Candidate]]), 0)</f>
        <v>2.1218808351722969E-2</v>
      </c>
      <c r="R553" s="99">
        <f>IF(AND(SamplingData[[#This Row],[Total]]&lt;&gt; 0, NOT(ISBLANK(SamplingData[[#This Row],[Candidate 3]]))),(SamplingData[[#This Row],[Total]]+SamplingData[[#This Row],[Winning Candidate]]-SamplingData[[#This Row],[Candidate 3]])/(SamplingData[[#Totals],[Winning Candidate]]-SamplingData[[#Totals],[Candidate 3]]), 0)</f>
        <v>0</v>
      </c>
      <c r="S553" s="99">
        <f>IF(AND(SamplingData[[#This Row],[Total]]&lt;&gt; 0, NOT(ISBLANK(SamplingData[[#This Row],[Candidate 4]]))),(SamplingData[[#This Row],[Total]]+SamplingData[[#This Row],[Winning Candidate]]-SamplingData[[#This Row],[Candidate 4]])/(SamplingData[[#Totals],[Winning Candidate]]-SamplingData[[#Totals],[Candidate 4]]), 0)</f>
        <v>0</v>
      </c>
      <c r="T553" s="99">
        <f>IF(AND(SamplingData[[#This Row],[Total]]&lt;&gt; 0, NOT(ISBLANK(SamplingData[[#This Row],[Candidate 5]]))),(SamplingData[[#This Row],[Total]]+SamplingData[[#This Row],[Winning Candidate]]-SamplingData[[#This Row],[Candidate 5]])/(SamplingData[[#Totals],[Winning Candidate]]-SamplingData[[#Totals],[Candidate 5]]), 0)</f>
        <v>0</v>
      </c>
      <c r="U553" s="99">
        <f>IF(AND(SamplingData[[#This Row],[Total]]&lt;&gt; 0, NOT(ISBLANK(SamplingData[[#This Row],[Candidate 6]]))),(SamplingData[[#This Row],[Total]]+SamplingData[[#This Row],[Losing Candidate]]-SamplingData[[#This Row],[Candidate 6]])/(SamplingData[[#Totals],[Winning Candidate]]-SamplingData[[#Totals],[Candidate 6]]), 0)</f>
        <v>0</v>
      </c>
      <c r="V553" s="99">
        <f>IF(AND(SamplingData[[#This Row],[Total]]&lt;&gt; 0, NOT(ISBLANK(SamplingData[[#This Row],[Candidate 7]]))),(SamplingData[[#This Row],[Total]]+SamplingData[[#This Row],[Winning Candidate]]-SamplingData[[#This Row],[Candidate 7]])/(SamplingData[[#Totals],[Winning Candidate]]-SamplingData[[#Totals],[Candidate 7]]), 0)</f>
        <v>0</v>
      </c>
      <c r="W553" s="99">
        <f>IF(AND(SamplingData[[#This Row],[Total]]&lt;&gt; 0, NOT(ISBLANK(SamplingData[[#This Row],[Candidate 8]]))),(SamplingData[[#This Row],[Total]]+SamplingData[[#This Row],[Winning Candidate]]-SamplingData[[#This Row],[Candidate 8]])/(SamplingData[[#Totals],[Winning Candidate]]-SamplingData[[#Totals],[Candidate 8]]), 0)</f>
        <v>0</v>
      </c>
      <c r="X5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3" s="99">
        <f>MAX(SamplingData[[#This Row],[Error Bound (up) - Max. possible relative overstatement - Losing Candidate]:[Error Bound (up) - Max. possible relative overstatement - Candidate 12]])</f>
        <v>2.1218808351722969E-2</v>
      </c>
      <c r="AC553" s="99">
        <f>IF(SamplingData[[#This Row],[Max Error Bound (up)]] = 0,0,SamplingData[[#This Row],[Max Error Bound (up)]]/SamplingData[[#Totals],[Max Error Bound (up)]])</f>
        <v>1.1360744537754041E-3</v>
      </c>
      <c r="AD553" s="103">
        <f>SUM($AC$5:AC553)</f>
        <v>0.44628867197440703</v>
      </c>
      <c r="AE553" s="99" t="str" cm="1">
        <f t="array" ref="AE553">IF(SamplingData[[#This Row],[up/U Selection Probability]] = 0, "Zero", TEXT(SamplingData[[#This Row],[Lower Range]], REPT("0",LEN('General Info'!$B$42))) &amp; " - " &amp; TEXT(SamplingData[[#This Row],[Upper Range]], REPT("0",LEN('General Info'!$B$42))))</f>
        <v>445153 - 446288</v>
      </c>
      <c r="AF553" s="99">
        <f>SamplingData[[#This Row],[Upper Range]]-SamplingData[[#This Row],[Span]]</f>
        <v>445152.59752063162</v>
      </c>
      <c r="AG553" s="99">
        <f>IF(ISNUMBER('General Info'!$B$42), ((SamplingData[[#This Row],[up/U Selection Probability]]) * 'General Info'!$B$44) - 1, 0)</f>
        <v>1135.0744537754042</v>
      </c>
      <c r="AH553" s="99">
        <f>IF(ISNUMBER('General Info'!$B$42), (SamplingData[[#This Row],[Running (cumulative) sum]] * ('General Info'!$B$42 -'General Info'!$B$43 + 1)) + 'General Info'!$B$43 - 1, 0)</f>
        <v>446287.67197440704</v>
      </c>
      <c r="AI553" s="99" t="str">
        <f>IF(ISERROR(MATCH(SamplingData[[#This Row],[Batch by Type (p)]],SelectedPrecincts[Batch Name], 0)), "", INDEX(SelectedPrecincts[Draw], MATCH(SamplingData[[#This Row],[Batch by Type (p)]],SelectedPrecincts[Batch Name], 0)))</f>
        <v/>
      </c>
      <c r="AJ553" s="100">
        <f>IF(COUNTIF(SelectedPrecincts[Batch Name],SamplingData[[#This Row],[Batch by Type (p)]]) &lt;&gt; 0, COUNTIF(SelectedPrecincts[Batch Name],SamplingData[[#This Row],[Batch by Type (p)]]), 0)</f>
        <v>0</v>
      </c>
    </row>
    <row r="554" spans="1:36" ht="15" customHeight="1" x14ac:dyDescent="0.35">
      <c r="A554" s="97" t="s">
        <v>767</v>
      </c>
      <c r="B554" s="97">
        <v>117</v>
      </c>
      <c r="C554" s="97">
        <v>118</v>
      </c>
      <c r="D554" s="92"/>
      <c r="E554" s="92"/>
      <c r="F554" s="92"/>
      <c r="G554" s="96"/>
      <c r="H554" s="96"/>
      <c r="I554" s="92"/>
      <c r="J554" s="92"/>
      <c r="K554" s="92"/>
      <c r="L554" s="92"/>
      <c r="M554" s="92"/>
      <c r="N554" s="97">
        <v>1</v>
      </c>
      <c r="O554" s="97">
        <v>8</v>
      </c>
      <c r="P554" s="98">
        <f>SUM(SamplingData[[#This Row],[Winning Candidate]:[Under Votes]])</f>
        <v>244</v>
      </c>
      <c r="Q554" s="99">
        <f>IF(AND(SamplingData[[#This Row],[Total]]&lt;&gt; 0, NOT(ISBLANK(SamplingData[[#This Row],[Losing Candidate]]))),(SamplingData[[#This Row],[Total]]+SamplingData[[#This Row],[Winning Candidate]]-SamplingData[[#This Row],[Losing Candidate]])/(SamplingData[[#Totals],[Winning Candidate]]-SamplingData[[#Totals],[Losing Candidate]]), 0)</f>
        <v>1.0312340858937362E-2</v>
      </c>
      <c r="R554" s="99">
        <f>IF(AND(SamplingData[[#This Row],[Total]]&lt;&gt; 0, NOT(ISBLANK(SamplingData[[#This Row],[Candidate 3]]))),(SamplingData[[#This Row],[Total]]+SamplingData[[#This Row],[Winning Candidate]]-SamplingData[[#This Row],[Candidate 3]])/(SamplingData[[#Totals],[Winning Candidate]]-SamplingData[[#Totals],[Candidate 3]]), 0)</f>
        <v>0</v>
      </c>
      <c r="S554" s="99">
        <f>IF(AND(SamplingData[[#This Row],[Total]]&lt;&gt; 0, NOT(ISBLANK(SamplingData[[#This Row],[Candidate 4]]))),(SamplingData[[#This Row],[Total]]+SamplingData[[#This Row],[Winning Candidate]]-SamplingData[[#This Row],[Candidate 4]])/(SamplingData[[#Totals],[Winning Candidate]]-SamplingData[[#Totals],[Candidate 4]]), 0)</f>
        <v>0</v>
      </c>
      <c r="T554" s="99">
        <f>IF(AND(SamplingData[[#This Row],[Total]]&lt;&gt; 0, NOT(ISBLANK(SamplingData[[#This Row],[Candidate 5]]))),(SamplingData[[#This Row],[Total]]+SamplingData[[#This Row],[Winning Candidate]]-SamplingData[[#This Row],[Candidate 5]])/(SamplingData[[#Totals],[Winning Candidate]]-SamplingData[[#Totals],[Candidate 5]]), 0)</f>
        <v>0</v>
      </c>
      <c r="U554" s="99">
        <f>IF(AND(SamplingData[[#This Row],[Total]]&lt;&gt; 0, NOT(ISBLANK(SamplingData[[#This Row],[Candidate 6]]))),(SamplingData[[#This Row],[Total]]+SamplingData[[#This Row],[Losing Candidate]]-SamplingData[[#This Row],[Candidate 6]])/(SamplingData[[#Totals],[Winning Candidate]]-SamplingData[[#Totals],[Candidate 6]]), 0)</f>
        <v>0</v>
      </c>
      <c r="V554" s="99">
        <f>IF(AND(SamplingData[[#This Row],[Total]]&lt;&gt; 0, NOT(ISBLANK(SamplingData[[#This Row],[Candidate 7]]))),(SamplingData[[#This Row],[Total]]+SamplingData[[#This Row],[Winning Candidate]]-SamplingData[[#This Row],[Candidate 7]])/(SamplingData[[#Totals],[Winning Candidate]]-SamplingData[[#Totals],[Candidate 7]]), 0)</f>
        <v>0</v>
      </c>
      <c r="W554" s="99">
        <f>IF(AND(SamplingData[[#This Row],[Total]]&lt;&gt; 0, NOT(ISBLANK(SamplingData[[#This Row],[Candidate 8]]))),(SamplingData[[#This Row],[Total]]+SamplingData[[#This Row],[Winning Candidate]]-SamplingData[[#This Row],[Candidate 8]])/(SamplingData[[#Totals],[Winning Candidate]]-SamplingData[[#Totals],[Candidate 8]]), 0)</f>
        <v>0</v>
      </c>
      <c r="X5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4" s="99">
        <f>MAX(SamplingData[[#This Row],[Error Bound (up) - Max. possible relative overstatement - Losing Candidate]:[Error Bound (up) - Max. possible relative overstatement - Candidate 12]])</f>
        <v>1.0312340858937362E-2</v>
      </c>
      <c r="AC554" s="99">
        <f>IF(SamplingData[[#This Row],[Max Error Bound (up)]] = 0,0,SamplingData[[#This Row],[Max Error Bound (up)]]/SamplingData[[#Totals],[Max Error Bound (up)]])</f>
        <v>5.5213218453484638E-4</v>
      </c>
      <c r="AD554" s="103">
        <f>SUM($AC$5:AC554)</f>
        <v>0.4468408041589419</v>
      </c>
      <c r="AE554" s="99" t="str" cm="1">
        <f t="array" ref="AE554">IF(SamplingData[[#This Row],[up/U Selection Probability]] = 0, "Zero", TEXT(SamplingData[[#This Row],[Lower Range]], REPT("0",LEN('General Info'!$B$42))) &amp; " - " &amp; TEXT(SamplingData[[#This Row],[Upper Range]], REPT("0",LEN('General Info'!$B$42))))</f>
        <v>446289 - 446840</v>
      </c>
      <c r="AF554" s="99">
        <f>SamplingData[[#This Row],[Upper Range]]-SamplingData[[#This Row],[Span]]</f>
        <v>446288.67197440704</v>
      </c>
      <c r="AG554" s="99">
        <f>IF(ISNUMBER('General Info'!$B$42), ((SamplingData[[#This Row],[up/U Selection Probability]]) * 'General Info'!$B$44) - 1, 0)</f>
        <v>551.13218453484637</v>
      </c>
      <c r="AH554" s="99">
        <f>IF(ISNUMBER('General Info'!$B$42), (SamplingData[[#This Row],[Running (cumulative) sum]] * ('General Info'!$B$42 -'General Info'!$B$43 + 1)) + 'General Info'!$B$43 - 1, 0)</f>
        <v>446839.8041589419</v>
      </c>
      <c r="AI554" s="99" t="str">
        <f>IF(ISERROR(MATCH(SamplingData[[#This Row],[Batch by Type (p)]],SelectedPrecincts[Batch Name], 0)), "", INDEX(SelectedPrecincts[Draw], MATCH(SamplingData[[#This Row],[Batch by Type (p)]],SelectedPrecincts[Batch Name], 0)))</f>
        <v/>
      </c>
      <c r="AJ554" s="100">
        <f>IF(COUNTIF(SelectedPrecincts[Batch Name],SamplingData[[#This Row],[Batch by Type (p)]]) &lt;&gt; 0, COUNTIF(SelectedPrecincts[Batch Name],SamplingData[[#This Row],[Batch by Type (p)]]), 0)</f>
        <v>0</v>
      </c>
    </row>
    <row r="555" spans="1:36" ht="15" customHeight="1" x14ac:dyDescent="0.35">
      <c r="A555" s="97" t="s">
        <v>768</v>
      </c>
      <c r="B555" s="97">
        <v>63</v>
      </c>
      <c r="C555" s="97">
        <v>83</v>
      </c>
      <c r="D555" s="92"/>
      <c r="E555" s="92"/>
      <c r="F555" s="92"/>
      <c r="G555" s="96"/>
      <c r="H555" s="96"/>
      <c r="I555" s="92"/>
      <c r="J555" s="92"/>
      <c r="K555" s="92"/>
      <c r="L555" s="92"/>
      <c r="M555" s="92"/>
      <c r="N555" s="97">
        <v>0</v>
      </c>
      <c r="O555" s="97">
        <v>4</v>
      </c>
      <c r="P555" s="98">
        <f>SUM(SamplingData[[#This Row],[Winning Candidate]:[Under Votes]])</f>
        <v>150</v>
      </c>
      <c r="Q555" s="99">
        <f>IF(AND(SamplingData[[#This Row],[Total]]&lt;&gt; 0, NOT(ISBLANK(SamplingData[[#This Row],[Losing Candidate]]))),(SamplingData[[#This Row],[Total]]+SamplingData[[#This Row],[Winning Candidate]]-SamplingData[[#This Row],[Losing Candidate]])/(SamplingData[[#Totals],[Winning Candidate]]-SamplingData[[#Totals],[Losing Candidate]]), 0)</f>
        <v>5.5168901714479713E-3</v>
      </c>
      <c r="R555" s="99">
        <f>IF(AND(SamplingData[[#This Row],[Total]]&lt;&gt; 0, NOT(ISBLANK(SamplingData[[#This Row],[Candidate 3]]))),(SamplingData[[#This Row],[Total]]+SamplingData[[#This Row],[Winning Candidate]]-SamplingData[[#This Row],[Candidate 3]])/(SamplingData[[#Totals],[Winning Candidate]]-SamplingData[[#Totals],[Candidate 3]]), 0)</f>
        <v>0</v>
      </c>
      <c r="S555" s="99">
        <f>IF(AND(SamplingData[[#This Row],[Total]]&lt;&gt; 0, NOT(ISBLANK(SamplingData[[#This Row],[Candidate 4]]))),(SamplingData[[#This Row],[Total]]+SamplingData[[#This Row],[Winning Candidate]]-SamplingData[[#This Row],[Candidate 4]])/(SamplingData[[#Totals],[Winning Candidate]]-SamplingData[[#Totals],[Candidate 4]]), 0)</f>
        <v>0</v>
      </c>
      <c r="T555" s="99">
        <f>IF(AND(SamplingData[[#This Row],[Total]]&lt;&gt; 0, NOT(ISBLANK(SamplingData[[#This Row],[Candidate 5]]))),(SamplingData[[#This Row],[Total]]+SamplingData[[#This Row],[Winning Candidate]]-SamplingData[[#This Row],[Candidate 5]])/(SamplingData[[#Totals],[Winning Candidate]]-SamplingData[[#Totals],[Candidate 5]]), 0)</f>
        <v>0</v>
      </c>
      <c r="U555" s="99">
        <f>IF(AND(SamplingData[[#This Row],[Total]]&lt;&gt; 0, NOT(ISBLANK(SamplingData[[#This Row],[Candidate 6]]))),(SamplingData[[#This Row],[Total]]+SamplingData[[#This Row],[Losing Candidate]]-SamplingData[[#This Row],[Candidate 6]])/(SamplingData[[#Totals],[Winning Candidate]]-SamplingData[[#Totals],[Candidate 6]]), 0)</f>
        <v>0</v>
      </c>
      <c r="V555" s="99">
        <f>IF(AND(SamplingData[[#This Row],[Total]]&lt;&gt; 0, NOT(ISBLANK(SamplingData[[#This Row],[Candidate 7]]))),(SamplingData[[#This Row],[Total]]+SamplingData[[#This Row],[Winning Candidate]]-SamplingData[[#This Row],[Candidate 7]])/(SamplingData[[#Totals],[Winning Candidate]]-SamplingData[[#Totals],[Candidate 7]]), 0)</f>
        <v>0</v>
      </c>
      <c r="W555" s="99">
        <f>IF(AND(SamplingData[[#This Row],[Total]]&lt;&gt; 0, NOT(ISBLANK(SamplingData[[#This Row],[Candidate 8]]))),(SamplingData[[#This Row],[Total]]+SamplingData[[#This Row],[Winning Candidate]]-SamplingData[[#This Row],[Candidate 8]])/(SamplingData[[#Totals],[Winning Candidate]]-SamplingData[[#Totals],[Candidate 8]]), 0)</f>
        <v>0</v>
      </c>
      <c r="X5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5" s="99">
        <f>MAX(SamplingData[[#This Row],[Error Bound (up) - Max. possible relative overstatement - Losing Candidate]:[Error Bound (up) - Max. possible relative overstatement - Candidate 12]])</f>
        <v>5.5168901714479713E-3</v>
      </c>
      <c r="AC555" s="99">
        <f>IF(SamplingData[[#This Row],[Max Error Bound (up)]] = 0,0,SamplingData[[#This Row],[Max Error Bound (up)]]/SamplingData[[#Totals],[Max Error Bound (up)]])</f>
        <v>2.9537935798160504E-4</v>
      </c>
      <c r="AD555" s="103">
        <f>SUM($AC$5:AC555)</f>
        <v>0.44713618351692352</v>
      </c>
      <c r="AE555" s="99" t="str" cm="1">
        <f t="array" ref="AE555">IF(SamplingData[[#This Row],[up/U Selection Probability]] = 0, "Zero", TEXT(SamplingData[[#This Row],[Lower Range]], REPT("0",LEN('General Info'!$B$42))) &amp; " - " &amp; TEXT(SamplingData[[#This Row],[Upper Range]], REPT("0",LEN('General Info'!$B$42))))</f>
        <v>446841 - 447135</v>
      </c>
      <c r="AF555" s="99">
        <f>SamplingData[[#This Row],[Upper Range]]-SamplingData[[#This Row],[Span]]</f>
        <v>446840.8041589419</v>
      </c>
      <c r="AG555" s="99">
        <f>IF(ISNUMBER('General Info'!$B$42), ((SamplingData[[#This Row],[up/U Selection Probability]]) * 'General Info'!$B$44) - 1, 0)</f>
        <v>294.37935798160504</v>
      </c>
      <c r="AH555" s="99">
        <f>IF(ISNUMBER('General Info'!$B$42), (SamplingData[[#This Row],[Running (cumulative) sum]] * ('General Info'!$B$42 -'General Info'!$B$43 + 1)) + 'General Info'!$B$43 - 1, 0)</f>
        <v>447135.18351692351</v>
      </c>
      <c r="AI555" s="99" t="str">
        <f>IF(ISERROR(MATCH(SamplingData[[#This Row],[Batch by Type (p)]],SelectedPrecincts[Batch Name], 0)), "", INDEX(SelectedPrecincts[Draw], MATCH(SamplingData[[#This Row],[Batch by Type (p)]],SelectedPrecincts[Batch Name], 0)))</f>
        <v/>
      </c>
      <c r="AJ555" s="100">
        <f>IF(COUNTIF(SelectedPrecincts[Batch Name],SamplingData[[#This Row],[Batch by Type (p)]]) &lt;&gt; 0, COUNTIF(SelectedPrecincts[Batch Name],SamplingData[[#This Row],[Batch by Type (p)]]), 0)</f>
        <v>0</v>
      </c>
    </row>
    <row r="556" spans="1:36" ht="15" customHeight="1" x14ac:dyDescent="0.35">
      <c r="A556" s="97" t="s">
        <v>769</v>
      </c>
      <c r="B556" s="97">
        <v>185</v>
      </c>
      <c r="C556" s="97">
        <v>113</v>
      </c>
      <c r="D556" s="92"/>
      <c r="E556" s="92"/>
      <c r="F556" s="92"/>
      <c r="G556" s="96"/>
      <c r="H556" s="96"/>
      <c r="I556" s="92"/>
      <c r="J556" s="92"/>
      <c r="K556" s="92"/>
      <c r="L556" s="92"/>
      <c r="M556" s="92"/>
      <c r="N556" s="97">
        <v>1</v>
      </c>
      <c r="O556" s="97">
        <v>15</v>
      </c>
      <c r="P556" s="98">
        <f>SUM(SamplingData[[#This Row],[Winning Candidate]:[Under Votes]])</f>
        <v>314</v>
      </c>
      <c r="Q556" s="99">
        <f>IF(AND(SamplingData[[#This Row],[Total]]&lt;&gt; 0, NOT(ISBLANK(SamplingData[[#This Row],[Losing Candidate]]))),(SamplingData[[#This Row],[Total]]+SamplingData[[#This Row],[Winning Candidate]]-SamplingData[[#This Row],[Losing Candidate]])/(SamplingData[[#Totals],[Winning Candidate]]-SamplingData[[#Totals],[Losing Candidate]]), 0)</f>
        <v>1.6380920047530129E-2</v>
      </c>
      <c r="R556" s="99">
        <f>IF(AND(SamplingData[[#This Row],[Total]]&lt;&gt; 0, NOT(ISBLANK(SamplingData[[#This Row],[Candidate 3]]))),(SamplingData[[#This Row],[Total]]+SamplingData[[#This Row],[Winning Candidate]]-SamplingData[[#This Row],[Candidate 3]])/(SamplingData[[#Totals],[Winning Candidate]]-SamplingData[[#Totals],[Candidate 3]]), 0)</f>
        <v>0</v>
      </c>
      <c r="S556" s="99">
        <f>IF(AND(SamplingData[[#This Row],[Total]]&lt;&gt; 0, NOT(ISBLANK(SamplingData[[#This Row],[Candidate 4]]))),(SamplingData[[#This Row],[Total]]+SamplingData[[#This Row],[Winning Candidate]]-SamplingData[[#This Row],[Candidate 4]])/(SamplingData[[#Totals],[Winning Candidate]]-SamplingData[[#Totals],[Candidate 4]]), 0)</f>
        <v>0</v>
      </c>
      <c r="T556" s="99">
        <f>IF(AND(SamplingData[[#This Row],[Total]]&lt;&gt; 0, NOT(ISBLANK(SamplingData[[#This Row],[Candidate 5]]))),(SamplingData[[#This Row],[Total]]+SamplingData[[#This Row],[Winning Candidate]]-SamplingData[[#This Row],[Candidate 5]])/(SamplingData[[#Totals],[Winning Candidate]]-SamplingData[[#Totals],[Candidate 5]]), 0)</f>
        <v>0</v>
      </c>
      <c r="U556" s="99">
        <f>IF(AND(SamplingData[[#This Row],[Total]]&lt;&gt; 0, NOT(ISBLANK(SamplingData[[#This Row],[Candidate 6]]))),(SamplingData[[#This Row],[Total]]+SamplingData[[#This Row],[Losing Candidate]]-SamplingData[[#This Row],[Candidate 6]])/(SamplingData[[#Totals],[Winning Candidate]]-SamplingData[[#Totals],[Candidate 6]]), 0)</f>
        <v>0</v>
      </c>
      <c r="V556" s="99">
        <f>IF(AND(SamplingData[[#This Row],[Total]]&lt;&gt; 0, NOT(ISBLANK(SamplingData[[#This Row],[Candidate 7]]))),(SamplingData[[#This Row],[Total]]+SamplingData[[#This Row],[Winning Candidate]]-SamplingData[[#This Row],[Candidate 7]])/(SamplingData[[#Totals],[Winning Candidate]]-SamplingData[[#Totals],[Candidate 7]]), 0)</f>
        <v>0</v>
      </c>
      <c r="W556" s="99">
        <f>IF(AND(SamplingData[[#This Row],[Total]]&lt;&gt; 0, NOT(ISBLANK(SamplingData[[#This Row],[Candidate 8]]))),(SamplingData[[#This Row],[Total]]+SamplingData[[#This Row],[Winning Candidate]]-SamplingData[[#This Row],[Candidate 8]])/(SamplingData[[#Totals],[Winning Candidate]]-SamplingData[[#Totals],[Candidate 8]]), 0)</f>
        <v>0</v>
      </c>
      <c r="X5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6" s="99">
        <f>MAX(SamplingData[[#This Row],[Error Bound (up) - Max. possible relative overstatement - Losing Candidate]:[Error Bound (up) - Max. possible relative overstatement - Candidate 12]])</f>
        <v>1.6380920047530129E-2</v>
      </c>
      <c r="AC556" s="99">
        <f>IF(SamplingData[[#This Row],[Max Error Bound (up)]] = 0,0,SamplingData[[#This Row],[Max Error Bound (up)]]/SamplingData[[#Totals],[Max Error Bound (up)]])</f>
        <v>8.7704947831461185E-4</v>
      </c>
      <c r="AD556" s="103">
        <f>SUM($AC$5:AC556)</f>
        <v>0.44801323299523815</v>
      </c>
      <c r="AE556" s="99" t="str" cm="1">
        <f t="array" ref="AE556">IF(SamplingData[[#This Row],[up/U Selection Probability]] = 0, "Zero", TEXT(SamplingData[[#This Row],[Lower Range]], REPT("0",LEN('General Info'!$B$42))) &amp; " - " &amp; TEXT(SamplingData[[#This Row],[Upper Range]], REPT("0",LEN('General Info'!$B$42))))</f>
        <v>447136 - 448012</v>
      </c>
      <c r="AF556" s="99">
        <f>SamplingData[[#This Row],[Upper Range]]-SamplingData[[#This Row],[Span]]</f>
        <v>447136.18351692357</v>
      </c>
      <c r="AG556" s="99">
        <f>IF(ISNUMBER('General Info'!$B$42), ((SamplingData[[#This Row],[up/U Selection Probability]]) * 'General Info'!$B$44) - 1, 0)</f>
        <v>876.04947831461186</v>
      </c>
      <c r="AH556" s="99">
        <f>IF(ISNUMBER('General Info'!$B$42), (SamplingData[[#This Row],[Running (cumulative) sum]] * ('General Info'!$B$42 -'General Info'!$B$43 + 1)) + 'General Info'!$B$43 - 1, 0)</f>
        <v>448012.23299523816</v>
      </c>
      <c r="AI556" s="99" t="str">
        <f>IF(ISERROR(MATCH(SamplingData[[#This Row],[Batch by Type (p)]],SelectedPrecincts[Batch Name], 0)), "", INDEX(SelectedPrecincts[Draw], MATCH(SamplingData[[#This Row],[Batch by Type (p)]],SelectedPrecincts[Batch Name], 0)))</f>
        <v/>
      </c>
      <c r="AJ556" s="100">
        <f>IF(COUNTIF(SelectedPrecincts[Batch Name],SamplingData[[#This Row],[Batch by Type (p)]]) &lt;&gt; 0, COUNTIF(SelectedPrecincts[Batch Name],SamplingData[[#This Row],[Batch by Type (p)]]), 0)</f>
        <v>0</v>
      </c>
    </row>
    <row r="557" spans="1:36" ht="15" customHeight="1" x14ac:dyDescent="0.35">
      <c r="A557" s="97" t="s">
        <v>770</v>
      </c>
      <c r="B557" s="97">
        <v>170</v>
      </c>
      <c r="C557" s="97">
        <v>212</v>
      </c>
      <c r="D557" s="92"/>
      <c r="E557" s="92"/>
      <c r="F557" s="92"/>
      <c r="G557" s="96"/>
      <c r="H557" s="96"/>
      <c r="I557" s="92"/>
      <c r="J557" s="92"/>
      <c r="K557" s="92"/>
      <c r="L557" s="92"/>
      <c r="M557" s="92"/>
      <c r="N557" s="97">
        <v>0</v>
      </c>
      <c r="O557" s="97">
        <v>24</v>
      </c>
      <c r="P557" s="98">
        <f>SUM(SamplingData[[#This Row],[Winning Candidate]:[Under Votes]])</f>
        <v>406</v>
      </c>
      <c r="Q557" s="99">
        <f>IF(AND(SamplingData[[#This Row],[Total]]&lt;&gt; 0, NOT(ISBLANK(SamplingData[[#This Row],[Losing Candidate]]))),(SamplingData[[#This Row],[Total]]+SamplingData[[#This Row],[Winning Candidate]]-SamplingData[[#This Row],[Losing Candidate]])/(SamplingData[[#Totals],[Winning Candidate]]-SamplingData[[#Totals],[Losing Candidate]]), 0)</f>
        <v>1.5447292480054321E-2</v>
      </c>
      <c r="R557" s="99">
        <f>IF(AND(SamplingData[[#This Row],[Total]]&lt;&gt; 0, NOT(ISBLANK(SamplingData[[#This Row],[Candidate 3]]))),(SamplingData[[#This Row],[Total]]+SamplingData[[#This Row],[Winning Candidate]]-SamplingData[[#This Row],[Candidate 3]])/(SamplingData[[#Totals],[Winning Candidate]]-SamplingData[[#Totals],[Candidate 3]]), 0)</f>
        <v>0</v>
      </c>
      <c r="S557" s="99">
        <f>IF(AND(SamplingData[[#This Row],[Total]]&lt;&gt; 0, NOT(ISBLANK(SamplingData[[#This Row],[Candidate 4]]))),(SamplingData[[#This Row],[Total]]+SamplingData[[#This Row],[Winning Candidate]]-SamplingData[[#This Row],[Candidate 4]])/(SamplingData[[#Totals],[Winning Candidate]]-SamplingData[[#Totals],[Candidate 4]]), 0)</f>
        <v>0</v>
      </c>
      <c r="T557" s="99">
        <f>IF(AND(SamplingData[[#This Row],[Total]]&lt;&gt; 0, NOT(ISBLANK(SamplingData[[#This Row],[Candidate 5]]))),(SamplingData[[#This Row],[Total]]+SamplingData[[#This Row],[Winning Candidate]]-SamplingData[[#This Row],[Candidate 5]])/(SamplingData[[#Totals],[Winning Candidate]]-SamplingData[[#Totals],[Candidate 5]]), 0)</f>
        <v>0</v>
      </c>
      <c r="U557" s="99">
        <f>IF(AND(SamplingData[[#This Row],[Total]]&lt;&gt; 0, NOT(ISBLANK(SamplingData[[#This Row],[Candidate 6]]))),(SamplingData[[#This Row],[Total]]+SamplingData[[#This Row],[Losing Candidate]]-SamplingData[[#This Row],[Candidate 6]])/(SamplingData[[#Totals],[Winning Candidate]]-SamplingData[[#Totals],[Candidate 6]]), 0)</f>
        <v>0</v>
      </c>
      <c r="V557" s="99">
        <f>IF(AND(SamplingData[[#This Row],[Total]]&lt;&gt; 0, NOT(ISBLANK(SamplingData[[#This Row],[Candidate 7]]))),(SamplingData[[#This Row],[Total]]+SamplingData[[#This Row],[Winning Candidate]]-SamplingData[[#This Row],[Candidate 7]])/(SamplingData[[#Totals],[Winning Candidate]]-SamplingData[[#Totals],[Candidate 7]]), 0)</f>
        <v>0</v>
      </c>
      <c r="W557" s="99">
        <f>IF(AND(SamplingData[[#This Row],[Total]]&lt;&gt; 0, NOT(ISBLANK(SamplingData[[#This Row],[Candidate 8]]))),(SamplingData[[#This Row],[Total]]+SamplingData[[#This Row],[Winning Candidate]]-SamplingData[[#This Row],[Candidate 8]])/(SamplingData[[#Totals],[Winning Candidate]]-SamplingData[[#Totals],[Candidate 8]]), 0)</f>
        <v>0</v>
      </c>
      <c r="X5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7" s="99">
        <f>MAX(SamplingData[[#This Row],[Error Bound (up) - Max. possible relative overstatement - Losing Candidate]:[Error Bound (up) - Max. possible relative overstatement - Candidate 12]])</f>
        <v>1.5447292480054321E-2</v>
      </c>
      <c r="AC557" s="99">
        <f>IF(SamplingData[[#This Row],[Max Error Bound (up)]] = 0,0,SamplingData[[#This Row],[Max Error Bound (up)]]/SamplingData[[#Totals],[Max Error Bound (up)]])</f>
        <v>8.2706220234849423E-4</v>
      </c>
      <c r="AD557" s="103">
        <f>SUM($AC$5:AC557)</f>
        <v>0.44884029519758667</v>
      </c>
      <c r="AE557" s="99" t="str" cm="1">
        <f t="array" ref="AE557">IF(SamplingData[[#This Row],[up/U Selection Probability]] = 0, "Zero", TEXT(SamplingData[[#This Row],[Lower Range]], REPT("0",LEN('General Info'!$B$42))) &amp; " - " &amp; TEXT(SamplingData[[#This Row],[Upper Range]], REPT("0",LEN('General Info'!$B$42))))</f>
        <v>448013 - 448839</v>
      </c>
      <c r="AF557" s="99">
        <f>SamplingData[[#This Row],[Upper Range]]-SamplingData[[#This Row],[Span]]</f>
        <v>448013.23299523816</v>
      </c>
      <c r="AG557" s="99">
        <f>IF(ISNUMBER('General Info'!$B$42), ((SamplingData[[#This Row],[up/U Selection Probability]]) * 'General Info'!$B$44) - 1, 0)</f>
        <v>826.06220234849422</v>
      </c>
      <c r="AH557" s="99">
        <f>IF(ISNUMBER('General Info'!$B$42), (SamplingData[[#This Row],[Running (cumulative) sum]] * ('General Info'!$B$42 -'General Info'!$B$43 + 1)) + 'General Info'!$B$43 - 1, 0)</f>
        <v>448839.29519758665</v>
      </c>
      <c r="AI557" s="99" t="str">
        <f>IF(ISERROR(MATCH(SamplingData[[#This Row],[Batch by Type (p)]],SelectedPrecincts[Batch Name], 0)), "", INDEX(SelectedPrecincts[Draw], MATCH(SamplingData[[#This Row],[Batch by Type (p)]],SelectedPrecincts[Batch Name], 0)))</f>
        <v/>
      </c>
      <c r="AJ557" s="100">
        <f>IF(COUNTIF(SelectedPrecincts[Batch Name],SamplingData[[#This Row],[Batch by Type (p)]]) &lt;&gt; 0, COUNTIF(SelectedPrecincts[Batch Name],SamplingData[[#This Row],[Batch by Type (p)]]), 0)</f>
        <v>0</v>
      </c>
    </row>
    <row r="558" spans="1:36" ht="15" customHeight="1" x14ac:dyDescent="0.35">
      <c r="A558" s="97" t="s">
        <v>771</v>
      </c>
      <c r="B558" s="97">
        <v>48</v>
      </c>
      <c r="C558" s="97">
        <v>88</v>
      </c>
      <c r="D558" s="92"/>
      <c r="E558" s="92"/>
      <c r="F558" s="92"/>
      <c r="G558" s="96"/>
      <c r="H558" s="96"/>
      <c r="I558" s="92"/>
      <c r="J558" s="92"/>
      <c r="K558" s="92"/>
      <c r="L558" s="92"/>
      <c r="M558" s="92"/>
      <c r="N558" s="97">
        <v>0</v>
      </c>
      <c r="O558" s="97">
        <v>6</v>
      </c>
      <c r="P558" s="98">
        <f>SUM(SamplingData[[#This Row],[Winning Candidate]:[Under Votes]])</f>
        <v>142</v>
      </c>
      <c r="Q558" s="99">
        <f>IF(AND(SamplingData[[#This Row],[Total]]&lt;&gt; 0, NOT(ISBLANK(SamplingData[[#This Row],[Losing Candidate]]))),(SamplingData[[#This Row],[Total]]+SamplingData[[#This Row],[Winning Candidate]]-SamplingData[[#This Row],[Losing Candidate]])/(SamplingData[[#Totals],[Winning Candidate]]-SamplingData[[#Totals],[Losing Candidate]]), 0)</f>
        <v>4.3286369037514854E-3</v>
      </c>
      <c r="R558" s="99">
        <f>IF(AND(SamplingData[[#This Row],[Total]]&lt;&gt; 0, NOT(ISBLANK(SamplingData[[#This Row],[Candidate 3]]))),(SamplingData[[#This Row],[Total]]+SamplingData[[#This Row],[Winning Candidate]]-SamplingData[[#This Row],[Candidate 3]])/(SamplingData[[#Totals],[Winning Candidate]]-SamplingData[[#Totals],[Candidate 3]]), 0)</f>
        <v>0</v>
      </c>
      <c r="S558" s="99">
        <f>IF(AND(SamplingData[[#This Row],[Total]]&lt;&gt; 0, NOT(ISBLANK(SamplingData[[#This Row],[Candidate 4]]))),(SamplingData[[#This Row],[Total]]+SamplingData[[#This Row],[Winning Candidate]]-SamplingData[[#This Row],[Candidate 4]])/(SamplingData[[#Totals],[Winning Candidate]]-SamplingData[[#Totals],[Candidate 4]]), 0)</f>
        <v>0</v>
      </c>
      <c r="T558" s="99">
        <f>IF(AND(SamplingData[[#This Row],[Total]]&lt;&gt; 0, NOT(ISBLANK(SamplingData[[#This Row],[Candidate 5]]))),(SamplingData[[#This Row],[Total]]+SamplingData[[#This Row],[Winning Candidate]]-SamplingData[[#This Row],[Candidate 5]])/(SamplingData[[#Totals],[Winning Candidate]]-SamplingData[[#Totals],[Candidate 5]]), 0)</f>
        <v>0</v>
      </c>
      <c r="U558" s="99">
        <f>IF(AND(SamplingData[[#This Row],[Total]]&lt;&gt; 0, NOT(ISBLANK(SamplingData[[#This Row],[Candidate 6]]))),(SamplingData[[#This Row],[Total]]+SamplingData[[#This Row],[Losing Candidate]]-SamplingData[[#This Row],[Candidate 6]])/(SamplingData[[#Totals],[Winning Candidate]]-SamplingData[[#Totals],[Candidate 6]]), 0)</f>
        <v>0</v>
      </c>
      <c r="V558" s="99">
        <f>IF(AND(SamplingData[[#This Row],[Total]]&lt;&gt; 0, NOT(ISBLANK(SamplingData[[#This Row],[Candidate 7]]))),(SamplingData[[#This Row],[Total]]+SamplingData[[#This Row],[Winning Candidate]]-SamplingData[[#This Row],[Candidate 7]])/(SamplingData[[#Totals],[Winning Candidate]]-SamplingData[[#Totals],[Candidate 7]]), 0)</f>
        <v>0</v>
      </c>
      <c r="W558" s="99">
        <f>IF(AND(SamplingData[[#This Row],[Total]]&lt;&gt; 0, NOT(ISBLANK(SamplingData[[#This Row],[Candidate 8]]))),(SamplingData[[#This Row],[Total]]+SamplingData[[#This Row],[Winning Candidate]]-SamplingData[[#This Row],[Candidate 8]])/(SamplingData[[#Totals],[Winning Candidate]]-SamplingData[[#Totals],[Candidate 8]]), 0)</f>
        <v>0</v>
      </c>
      <c r="X5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8" s="99">
        <f>MAX(SamplingData[[#This Row],[Error Bound (up) - Max. possible relative overstatement - Losing Candidate]:[Error Bound (up) - Max. possible relative overstatement - Candidate 12]])</f>
        <v>4.3286369037514854E-3</v>
      </c>
      <c r="AC558" s="99">
        <f>IF(SamplingData[[#This Row],[Max Error Bound (up)]] = 0,0,SamplingData[[#This Row],[Max Error Bound (up)]]/SamplingData[[#Totals],[Max Error Bound (up)]])</f>
        <v>2.3175918857018245E-4</v>
      </c>
      <c r="AD558" s="103">
        <f>SUM($AC$5:AC558)</f>
        <v>0.44907205438615683</v>
      </c>
      <c r="AE558" s="99" t="str" cm="1">
        <f t="array" ref="AE558">IF(SamplingData[[#This Row],[up/U Selection Probability]] = 0, "Zero", TEXT(SamplingData[[#This Row],[Lower Range]], REPT("0",LEN('General Info'!$B$42))) &amp; " - " &amp; TEXT(SamplingData[[#This Row],[Upper Range]], REPT("0",LEN('General Info'!$B$42))))</f>
        <v>448840 - 449071</v>
      </c>
      <c r="AF558" s="99">
        <f>SamplingData[[#This Row],[Upper Range]]-SamplingData[[#This Row],[Span]]</f>
        <v>448840.29519758665</v>
      </c>
      <c r="AG558" s="99">
        <f>IF(ISNUMBER('General Info'!$B$42), ((SamplingData[[#This Row],[up/U Selection Probability]]) * 'General Info'!$B$44) - 1, 0)</f>
        <v>230.75918857018246</v>
      </c>
      <c r="AH558" s="99">
        <f>IF(ISNUMBER('General Info'!$B$42), (SamplingData[[#This Row],[Running (cumulative) sum]] * ('General Info'!$B$42 -'General Info'!$B$43 + 1)) + 'General Info'!$B$43 - 1, 0)</f>
        <v>449071.05438615684</v>
      </c>
      <c r="AI558" s="99" t="str">
        <f>IF(ISERROR(MATCH(SamplingData[[#This Row],[Batch by Type (p)]],SelectedPrecincts[Batch Name], 0)), "", INDEX(SelectedPrecincts[Draw], MATCH(SamplingData[[#This Row],[Batch by Type (p)]],SelectedPrecincts[Batch Name], 0)))</f>
        <v/>
      </c>
      <c r="AJ558" s="100">
        <f>IF(COUNTIF(SelectedPrecincts[Batch Name],SamplingData[[#This Row],[Batch by Type (p)]]) &lt;&gt; 0, COUNTIF(SelectedPrecincts[Batch Name],SamplingData[[#This Row],[Batch by Type (p)]]), 0)</f>
        <v>0</v>
      </c>
    </row>
    <row r="559" spans="1:36" ht="15" customHeight="1" x14ac:dyDescent="0.35">
      <c r="A559" s="97" t="s">
        <v>772</v>
      </c>
      <c r="B559" s="97">
        <v>188</v>
      </c>
      <c r="C559" s="97">
        <v>210</v>
      </c>
      <c r="D559" s="92"/>
      <c r="E559" s="92"/>
      <c r="F559" s="92"/>
      <c r="G559" s="96"/>
      <c r="H559" s="96"/>
      <c r="I559" s="92"/>
      <c r="J559" s="92"/>
      <c r="K559" s="92"/>
      <c r="L559" s="92"/>
      <c r="M559" s="92"/>
      <c r="N559" s="97">
        <v>0</v>
      </c>
      <c r="O559" s="97">
        <v>20</v>
      </c>
      <c r="P559" s="98">
        <f>SUM(SamplingData[[#This Row],[Winning Candidate]:[Under Votes]])</f>
        <v>418</v>
      </c>
      <c r="Q559" s="99">
        <f>IF(AND(SamplingData[[#This Row],[Total]]&lt;&gt; 0, NOT(ISBLANK(SamplingData[[#This Row],[Losing Candidate]]))),(SamplingData[[#This Row],[Total]]+SamplingData[[#This Row],[Winning Candidate]]-SamplingData[[#This Row],[Losing Candidate]])/(SamplingData[[#Totals],[Winning Candidate]]-SamplingData[[#Totals],[Losing Candidate]]), 0)</f>
        <v>1.6805296214564589E-2</v>
      </c>
      <c r="R559" s="99">
        <f>IF(AND(SamplingData[[#This Row],[Total]]&lt;&gt; 0, NOT(ISBLANK(SamplingData[[#This Row],[Candidate 3]]))),(SamplingData[[#This Row],[Total]]+SamplingData[[#This Row],[Winning Candidate]]-SamplingData[[#This Row],[Candidate 3]])/(SamplingData[[#Totals],[Winning Candidate]]-SamplingData[[#Totals],[Candidate 3]]), 0)</f>
        <v>0</v>
      </c>
      <c r="S559" s="99">
        <f>IF(AND(SamplingData[[#This Row],[Total]]&lt;&gt; 0, NOT(ISBLANK(SamplingData[[#This Row],[Candidate 4]]))),(SamplingData[[#This Row],[Total]]+SamplingData[[#This Row],[Winning Candidate]]-SamplingData[[#This Row],[Candidate 4]])/(SamplingData[[#Totals],[Winning Candidate]]-SamplingData[[#Totals],[Candidate 4]]), 0)</f>
        <v>0</v>
      </c>
      <c r="T559" s="99">
        <f>IF(AND(SamplingData[[#This Row],[Total]]&lt;&gt; 0, NOT(ISBLANK(SamplingData[[#This Row],[Candidate 5]]))),(SamplingData[[#This Row],[Total]]+SamplingData[[#This Row],[Winning Candidate]]-SamplingData[[#This Row],[Candidate 5]])/(SamplingData[[#Totals],[Winning Candidate]]-SamplingData[[#Totals],[Candidate 5]]), 0)</f>
        <v>0</v>
      </c>
      <c r="U559" s="99">
        <f>IF(AND(SamplingData[[#This Row],[Total]]&lt;&gt; 0, NOT(ISBLANK(SamplingData[[#This Row],[Candidate 6]]))),(SamplingData[[#This Row],[Total]]+SamplingData[[#This Row],[Losing Candidate]]-SamplingData[[#This Row],[Candidate 6]])/(SamplingData[[#Totals],[Winning Candidate]]-SamplingData[[#Totals],[Candidate 6]]), 0)</f>
        <v>0</v>
      </c>
      <c r="V559" s="99">
        <f>IF(AND(SamplingData[[#This Row],[Total]]&lt;&gt; 0, NOT(ISBLANK(SamplingData[[#This Row],[Candidate 7]]))),(SamplingData[[#This Row],[Total]]+SamplingData[[#This Row],[Winning Candidate]]-SamplingData[[#This Row],[Candidate 7]])/(SamplingData[[#Totals],[Winning Candidate]]-SamplingData[[#Totals],[Candidate 7]]), 0)</f>
        <v>0</v>
      </c>
      <c r="W559" s="99">
        <f>IF(AND(SamplingData[[#This Row],[Total]]&lt;&gt; 0, NOT(ISBLANK(SamplingData[[#This Row],[Candidate 8]]))),(SamplingData[[#This Row],[Total]]+SamplingData[[#This Row],[Winning Candidate]]-SamplingData[[#This Row],[Candidate 8]])/(SamplingData[[#Totals],[Winning Candidate]]-SamplingData[[#Totals],[Candidate 8]]), 0)</f>
        <v>0</v>
      </c>
      <c r="X5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9" s="99">
        <f>MAX(SamplingData[[#This Row],[Error Bound (up) - Max. possible relative overstatement - Losing Candidate]:[Error Bound (up) - Max. possible relative overstatement - Candidate 12]])</f>
        <v>1.6805296214564589E-2</v>
      </c>
      <c r="AC559" s="99">
        <f>IF(SamplingData[[#This Row],[Max Error Bound (up)]] = 0,0,SamplingData[[#This Row],[Max Error Bound (up)]]/SamplingData[[#Totals],[Max Error Bound (up)]])</f>
        <v>8.9977096739011998E-4</v>
      </c>
      <c r="AD559" s="103">
        <f>SUM($AC$5:AC559)</f>
        <v>0.44997182535354696</v>
      </c>
      <c r="AE559" s="99" t="str" cm="1">
        <f t="array" ref="AE559">IF(SamplingData[[#This Row],[up/U Selection Probability]] = 0, "Zero", TEXT(SamplingData[[#This Row],[Lower Range]], REPT("0",LEN('General Info'!$B$42))) &amp; " - " &amp; TEXT(SamplingData[[#This Row],[Upper Range]], REPT("0",LEN('General Info'!$B$42))))</f>
        <v>449072 - 449971</v>
      </c>
      <c r="AF559" s="99">
        <f>SamplingData[[#This Row],[Upper Range]]-SamplingData[[#This Row],[Span]]</f>
        <v>449072.05438615684</v>
      </c>
      <c r="AG559" s="99">
        <f>IF(ISNUMBER('General Info'!$B$42), ((SamplingData[[#This Row],[up/U Selection Probability]]) * 'General Info'!$B$44) - 1, 0)</f>
        <v>898.77096739011995</v>
      </c>
      <c r="AH559" s="99">
        <f>IF(ISNUMBER('General Info'!$B$42), (SamplingData[[#This Row],[Running (cumulative) sum]] * ('General Info'!$B$42 -'General Info'!$B$43 + 1)) + 'General Info'!$B$43 - 1, 0)</f>
        <v>449970.82535354694</v>
      </c>
      <c r="AI559" s="99" t="str">
        <f>IF(ISERROR(MATCH(SamplingData[[#This Row],[Batch by Type (p)]],SelectedPrecincts[Batch Name], 0)), "", INDEX(SelectedPrecincts[Draw], MATCH(SamplingData[[#This Row],[Batch by Type (p)]],SelectedPrecincts[Batch Name], 0)))</f>
        <v/>
      </c>
      <c r="AJ559" s="100">
        <f>IF(COUNTIF(SelectedPrecincts[Batch Name],SamplingData[[#This Row],[Batch by Type (p)]]) &lt;&gt; 0, COUNTIF(SelectedPrecincts[Batch Name],SamplingData[[#This Row],[Batch by Type (p)]]), 0)</f>
        <v>0</v>
      </c>
    </row>
    <row r="560" spans="1:36" ht="15" customHeight="1" x14ac:dyDescent="0.35">
      <c r="A560" s="97" t="s">
        <v>773</v>
      </c>
      <c r="B560" s="97">
        <v>168</v>
      </c>
      <c r="C560" s="97">
        <v>184</v>
      </c>
      <c r="D560" s="92"/>
      <c r="E560" s="92"/>
      <c r="F560" s="92"/>
      <c r="G560" s="96"/>
      <c r="H560" s="96"/>
      <c r="I560" s="92"/>
      <c r="J560" s="92"/>
      <c r="K560" s="92"/>
      <c r="L560" s="92"/>
      <c r="M560" s="92"/>
      <c r="N560" s="97">
        <v>0</v>
      </c>
      <c r="O560" s="97">
        <v>19</v>
      </c>
      <c r="P560" s="98">
        <f>SUM(SamplingData[[#This Row],[Winning Candidate]:[Under Votes]])</f>
        <v>371</v>
      </c>
      <c r="Q560" s="99">
        <f>IF(AND(SamplingData[[#This Row],[Total]]&lt;&gt; 0, NOT(ISBLANK(SamplingData[[#This Row],[Losing Candidate]]))),(SamplingData[[#This Row],[Total]]+SamplingData[[#This Row],[Winning Candidate]]-SamplingData[[#This Row],[Losing Candidate]])/(SamplingData[[#Totals],[Winning Candidate]]-SamplingData[[#Totals],[Losing Candidate]]), 0)</f>
        <v>1.5065353929723307E-2</v>
      </c>
      <c r="R560" s="99">
        <f>IF(AND(SamplingData[[#This Row],[Total]]&lt;&gt; 0, NOT(ISBLANK(SamplingData[[#This Row],[Candidate 3]]))),(SamplingData[[#This Row],[Total]]+SamplingData[[#This Row],[Winning Candidate]]-SamplingData[[#This Row],[Candidate 3]])/(SamplingData[[#Totals],[Winning Candidate]]-SamplingData[[#Totals],[Candidate 3]]), 0)</f>
        <v>0</v>
      </c>
      <c r="S560" s="99">
        <f>IF(AND(SamplingData[[#This Row],[Total]]&lt;&gt; 0, NOT(ISBLANK(SamplingData[[#This Row],[Candidate 4]]))),(SamplingData[[#This Row],[Total]]+SamplingData[[#This Row],[Winning Candidate]]-SamplingData[[#This Row],[Candidate 4]])/(SamplingData[[#Totals],[Winning Candidate]]-SamplingData[[#Totals],[Candidate 4]]), 0)</f>
        <v>0</v>
      </c>
      <c r="T560" s="99">
        <f>IF(AND(SamplingData[[#This Row],[Total]]&lt;&gt; 0, NOT(ISBLANK(SamplingData[[#This Row],[Candidate 5]]))),(SamplingData[[#This Row],[Total]]+SamplingData[[#This Row],[Winning Candidate]]-SamplingData[[#This Row],[Candidate 5]])/(SamplingData[[#Totals],[Winning Candidate]]-SamplingData[[#Totals],[Candidate 5]]), 0)</f>
        <v>0</v>
      </c>
      <c r="U560" s="99">
        <f>IF(AND(SamplingData[[#This Row],[Total]]&lt;&gt; 0, NOT(ISBLANK(SamplingData[[#This Row],[Candidate 6]]))),(SamplingData[[#This Row],[Total]]+SamplingData[[#This Row],[Losing Candidate]]-SamplingData[[#This Row],[Candidate 6]])/(SamplingData[[#Totals],[Winning Candidate]]-SamplingData[[#Totals],[Candidate 6]]), 0)</f>
        <v>0</v>
      </c>
      <c r="V560" s="99">
        <f>IF(AND(SamplingData[[#This Row],[Total]]&lt;&gt; 0, NOT(ISBLANK(SamplingData[[#This Row],[Candidate 7]]))),(SamplingData[[#This Row],[Total]]+SamplingData[[#This Row],[Winning Candidate]]-SamplingData[[#This Row],[Candidate 7]])/(SamplingData[[#Totals],[Winning Candidate]]-SamplingData[[#Totals],[Candidate 7]]), 0)</f>
        <v>0</v>
      </c>
      <c r="W560" s="99">
        <f>IF(AND(SamplingData[[#This Row],[Total]]&lt;&gt; 0, NOT(ISBLANK(SamplingData[[#This Row],[Candidate 8]]))),(SamplingData[[#This Row],[Total]]+SamplingData[[#This Row],[Winning Candidate]]-SamplingData[[#This Row],[Candidate 8]])/(SamplingData[[#Totals],[Winning Candidate]]-SamplingData[[#Totals],[Candidate 8]]), 0)</f>
        <v>0</v>
      </c>
      <c r="X5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0" s="99">
        <f>MAX(SamplingData[[#This Row],[Error Bound (up) - Max. possible relative overstatement - Losing Candidate]:[Error Bound (up) - Max. possible relative overstatement - Candidate 12]])</f>
        <v>1.5065353929723307E-2</v>
      </c>
      <c r="AC560" s="99">
        <f>IF(SamplingData[[#This Row],[Max Error Bound (up)]] = 0,0,SamplingData[[#This Row],[Max Error Bound (up)]]/SamplingData[[#Totals],[Max Error Bound (up)]])</f>
        <v>8.0661286218053688E-4</v>
      </c>
      <c r="AD560" s="103">
        <f>SUM($AC$5:AC560)</f>
        <v>0.45077843821572749</v>
      </c>
      <c r="AE560" s="99" t="str" cm="1">
        <f t="array" ref="AE560">IF(SamplingData[[#This Row],[up/U Selection Probability]] = 0, "Zero", TEXT(SamplingData[[#This Row],[Lower Range]], REPT("0",LEN('General Info'!$B$42))) &amp; " - " &amp; TEXT(SamplingData[[#This Row],[Upper Range]], REPT("0",LEN('General Info'!$B$42))))</f>
        <v>449972 - 450777</v>
      </c>
      <c r="AF560" s="99">
        <f>SamplingData[[#This Row],[Upper Range]]-SamplingData[[#This Row],[Span]]</f>
        <v>449971.825353547</v>
      </c>
      <c r="AG560" s="99">
        <f>IF(ISNUMBER('General Info'!$B$42), ((SamplingData[[#This Row],[up/U Selection Probability]]) * 'General Info'!$B$44) - 1, 0)</f>
        <v>805.61286218053692</v>
      </c>
      <c r="AH560" s="99">
        <f>IF(ISNUMBER('General Info'!$B$42), (SamplingData[[#This Row],[Running (cumulative) sum]] * ('General Info'!$B$42 -'General Info'!$B$43 + 1)) + 'General Info'!$B$43 - 1, 0)</f>
        <v>450777.43821572751</v>
      </c>
      <c r="AI560" s="99" t="str">
        <f>IF(ISERROR(MATCH(SamplingData[[#This Row],[Batch by Type (p)]],SelectedPrecincts[Batch Name], 0)), "", INDEX(SelectedPrecincts[Draw], MATCH(SamplingData[[#This Row],[Batch by Type (p)]],SelectedPrecincts[Batch Name], 0)))</f>
        <v/>
      </c>
      <c r="AJ560" s="100">
        <f>IF(COUNTIF(SelectedPrecincts[Batch Name],SamplingData[[#This Row],[Batch by Type (p)]]) &lt;&gt; 0, COUNTIF(SelectedPrecincts[Batch Name],SamplingData[[#This Row],[Batch by Type (p)]]), 0)</f>
        <v>0</v>
      </c>
    </row>
    <row r="561" spans="1:36" ht="15" customHeight="1" x14ac:dyDescent="0.35">
      <c r="A561" s="97" t="s">
        <v>774</v>
      </c>
      <c r="B561" s="97">
        <v>85</v>
      </c>
      <c r="C561" s="97">
        <v>109</v>
      </c>
      <c r="D561" s="92"/>
      <c r="E561" s="92"/>
      <c r="F561" s="92"/>
      <c r="G561" s="96"/>
      <c r="H561" s="96"/>
      <c r="I561" s="92"/>
      <c r="J561" s="92"/>
      <c r="K561" s="92"/>
      <c r="L561" s="92"/>
      <c r="M561" s="92"/>
      <c r="N561" s="97">
        <v>0</v>
      </c>
      <c r="O561" s="97">
        <v>8</v>
      </c>
      <c r="P561" s="98">
        <f>SUM(SamplingData[[#This Row],[Winning Candidate]:[Under Votes]])</f>
        <v>202</v>
      </c>
      <c r="Q561" s="99">
        <f>IF(AND(SamplingData[[#This Row],[Total]]&lt;&gt; 0, NOT(ISBLANK(SamplingData[[#This Row],[Losing Candidate]]))),(SamplingData[[#This Row],[Total]]+SamplingData[[#This Row],[Winning Candidate]]-SamplingData[[#This Row],[Losing Candidate]])/(SamplingData[[#Totals],[Winning Candidate]]-SamplingData[[#Totals],[Losing Candidate]]), 0)</f>
        <v>7.5538957732133767E-3</v>
      </c>
      <c r="R561" s="99">
        <f>IF(AND(SamplingData[[#This Row],[Total]]&lt;&gt; 0, NOT(ISBLANK(SamplingData[[#This Row],[Candidate 3]]))),(SamplingData[[#This Row],[Total]]+SamplingData[[#This Row],[Winning Candidate]]-SamplingData[[#This Row],[Candidate 3]])/(SamplingData[[#Totals],[Winning Candidate]]-SamplingData[[#Totals],[Candidate 3]]), 0)</f>
        <v>0</v>
      </c>
      <c r="S561" s="99">
        <f>IF(AND(SamplingData[[#This Row],[Total]]&lt;&gt; 0, NOT(ISBLANK(SamplingData[[#This Row],[Candidate 4]]))),(SamplingData[[#This Row],[Total]]+SamplingData[[#This Row],[Winning Candidate]]-SamplingData[[#This Row],[Candidate 4]])/(SamplingData[[#Totals],[Winning Candidate]]-SamplingData[[#Totals],[Candidate 4]]), 0)</f>
        <v>0</v>
      </c>
      <c r="T561" s="99">
        <f>IF(AND(SamplingData[[#This Row],[Total]]&lt;&gt; 0, NOT(ISBLANK(SamplingData[[#This Row],[Candidate 5]]))),(SamplingData[[#This Row],[Total]]+SamplingData[[#This Row],[Winning Candidate]]-SamplingData[[#This Row],[Candidate 5]])/(SamplingData[[#Totals],[Winning Candidate]]-SamplingData[[#Totals],[Candidate 5]]), 0)</f>
        <v>0</v>
      </c>
      <c r="U561" s="99">
        <f>IF(AND(SamplingData[[#This Row],[Total]]&lt;&gt; 0, NOT(ISBLANK(SamplingData[[#This Row],[Candidate 6]]))),(SamplingData[[#This Row],[Total]]+SamplingData[[#This Row],[Losing Candidate]]-SamplingData[[#This Row],[Candidate 6]])/(SamplingData[[#Totals],[Winning Candidate]]-SamplingData[[#Totals],[Candidate 6]]), 0)</f>
        <v>0</v>
      </c>
      <c r="V561" s="99">
        <f>IF(AND(SamplingData[[#This Row],[Total]]&lt;&gt; 0, NOT(ISBLANK(SamplingData[[#This Row],[Candidate 7]]))),(SamplingData[[#This Row],[Total]]+SamplingData[[#This Row],[Winning Candidate]]-SamplingData[[#This Row],[Candidate 7]])/(SamplingData[[#Totals],[Winning Candidate]]-SamplingData[[#Totals],[Candidate 7]]), 0)</f>
        <v>0</v>
      </c>
      <c r="W561" s="99">
        <f>IF(AND(SamplingData[[#This Row],[Total]]&lt;&gt; 0, NOT(ISBLANK(SamplingData[[#This Row],[Candidate 8]]))),(SamplingData[[#This Row],[Total]]+SamplingData[[#This Row],[Winning Candidate]]-SamplingData[[#This Row],[Candidate 8]])/(SamplingData[[#Totals],[Winning Candidate]]-SamplingData[[#Totals],[Candidate 8]]), 0)</f>
        <v>0</v>
      </c>
      <c r="X5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1" s="99">
        <f>MAX(SamplingData[[#This Row],[Error Bound (up) - Max. possible relative overstatement - Losing Candidate]:[Error Bound (up) - Max. possible relative overstatement - Candidate 12]])</f>
        <v>7.5538957732133767E-3</v>
      </c>
      <c r="AC561" s="99">
        <f>IF(SamplingData[[#This Row],[Max Error Bound (up)]] = 0,0,SamplingData[[#This Row],[Max Error Bound (up)]]/SamplingData[[#Totals],[Max Error Bound (up)]])</f>
        <v>4.0444250554404388E-4</v>
      </c>
      <c r="AD561" s="103">
        <f>SUM($AC$5:AC561)</f>
        <v>0.45118288072127155</v>
      </c>
      <c r="AE561" s="99" t="str" cm="1">
        <f t="array" ref="AE561">IF(SamplingData[[#This Row],[up/U Selection Probability]] = 0, "Zero", TEXT(SamplingData[[#This Row],[Lower Range]], REPT("0",LEN('General Info'!$B$42))) &amp; " - " &amp; TEXT(SamplingData[[#This Row],[Upper Range]], REPT("0",LEN('General Info'!$B$42))))</f>
        <v>450778 - 451182</v>
      </c>
      <c r="AF561" s="99">
        <f>SamplingData[[#This Row],[Upper Range]]-SamplingData[[#This Row],[Span]]</f>
        <v>450778.43821572751</v>
      </c>
      <c r="AG561" s="99">
        <f>IF(ISNUMBER('General Info'!$B$42), ((SamplingData[[#This Row],[up/U Selection Probability]]) * 'General Info'!$B$44) - 1, 0)</f>
        <v>403.44250554404391</v>
      </c>
      <c r="AH561" s="99">
        <f>IF(ISNUMBER('General Info'!$B$42), (SamplingData[[#This Row],[Running (cumulative) sum]] * ('General Info'!$B$42 -'General Info'!$B$43 + 1)) + 'General Info'!$B$43 - 1, 0)</f>
        <v>451181.88072127156</v>
      </c>
      <c r="AI561" s="99" t="str">
        <f>IF(ISERROR(MATCH(SamplingData[[#This Row],[Batch by Type (p)]],SelectedPrecincts[Batch Name], 0)), "", INDEX(SelectedPrecincts[Draw], MATCH(SamplingData[[#This Row],[Batch by Type (p)]],SelectedPrecincts[Batch Name], 0)))</f>
        <v/>
      </c>
      <c r="AJ561" s="100">
        <f>IF(COUNTIF(SelectedPrecincts[Batch Name],SamplingData[[#This Row],[Batch by Type (p)]]) &lt;&gt; 0, COUNTIF(SelectedPrecincts[Batch Name],SamplingData[[#This Row],[Batch by Type (p)]]), 0)</f>
        <v>0</v>
      </c>
    </row>
    <row r="562" spans="1:36" ht="15" customHeight="1" x14ac:dyDescent="0.35">
      <c r="A562" s="97" t="s">
        <v>775</v>
      </c>
      <c r="B562" s="97">
        <v>50</v>
      </c>
      <c r="C562" s="97">
        <v>204</v>
      </c>
      <c r="D562" s="92"/>
      <c r="E562" s="92"/>
      <c r="F562" s="92"/>
      <c r="G562" s="96"/>
      <c r="H562" s="96"/>
      <c r="I562" s="92"/>
      <c r="J562" s="92"/>
      <c r="K562" s="92"/>
      <c r="L562" s="92"/>
      <c r="M562" s="92"/>
      <c r="N562" s="97">
        <v>0</v>
      </c>
      <c r="O562" s="97">
        <v>8</v>
      </c>
      <c r="P562" s="98">
        <f>SUM(SamplingData[[#This Row],[Winning Candidate]:[Under Votes]])</f>
        <v>262</v>
      </c>
      <c r="Q562" s="99">
        <f>IF(AND(SamplingData[[#This Row],[Total]]&lt;&gt; 0, NOT(ISBLANK(SamplingData[[#This Row],[Losing Candidate]]))),(SamplingData[[#This Row],[Total]]+SamplingData[[#This Row],[Winning Candidate]]-SamplingData[[#This Row],[Losing Candidate]])/(SamplingData[[#Totals],[Winning Candidate]]-SamplingData[[#Totals],[Losing Candidate]]), 0)</f>
        <v>4.5832626039721608E-3</v>
      </c>
      <c r="R562" s="99">
        <f>IF(AND(SamplingData[[#This Row],[Total]]&lt;&gt; 0, NOT(ISBLANK(SamplingData[[#This Row],[Candidate 3]]))),(SamplingData[[#This Row],[Total]]+SamplingData[[#This Row],[Winning Candidate]]-SamplingData[[#This Row],[Candidate 3]])/(SamplingData[[#Totals],[Winning Candidate]]-SamplingData[[#Totals],[Candidate 3]]), 0)</f>
        <v>0</v>
      </c>
      <c r="S562" s="99">
        <f>IF(AND(SamplingData[[#This Row],[Total]]&lt;&gt; 0, NOT(ISBLANK(SamplingData[[#This Row],[Candidate 4]]))),(SamplingData[[#This Row],[Total]]+SamplingData[[#This Row],[Winning Candidate]]-SamplingData[[#This Row],[Candidate 4]])/(SamplingData[[#Totals],[Winning Candidate]]-SamplingData[[#Totals],[Candidate 4]]), 0)</f>
        <v>0</v>
      </c>
      <c r="T562" s="99">
        <f>IF(AND(SamplingData[[#This Row],[Total]]&lt;&gt; 0, NOT(ISBLANK(SamplingData[[#This Row],[Candidate 5]]))),(SamplingData[[#This Row],[Total]]+SamplingData[[#This Row],[Winning Candidate]]-SamplingData[[#This Row],[Candidate 5]])/(SamplingData[[#Totals],[Winning Candidate]]-SamplingData[[#Totals],[Candidate 5]]), 0)</f>
        <v>0</v>
      </c>
      <c r="U562" s="99">
        <f>IF(AND(SamplingData[[#This Row],[Total]]&lt;&gt; 0, NOT(ISBLANK(SamplingData[[#This Row],[Candidate 6]]))),(SamplingData[[#This Row],[Total]]+SamplingData[[#This Row],[Losing Candidate]]-SamplingData[[#This Row],[Candidate 6]])/(SamplingData[[#Totals],[Winning Candidate]]-SamplingData[[#Totals],[Candidate 6]]), 0)</f>
        <v>0</v>
      </c>
      <c r="V562" s="99">
        <f>IF(AND(SamplingData[[#This Row],[Total]]&lt;&gt; 0, NOT(ISBLANK(SamplingData[[#This Row],[Candidate 7]]))),(SamplingData[[#This Row],[Total]]+SamplingData[[#This Row],[Winning Candidate]]-SamplingData[[#This Row],[Candidate 7]])/(SamplingData[[#Totals],[Winning Candidate]]-SamplingData[[#Totals],[Candidate 7]]), 0)</f>
        <v>0</v>
      </c>
      <c r="W562" s="99">
        <f>IF(AND(SamplingData[[#This Row],[Total]]&lt;&gt; 0, NOT(ISBLANK(SamplingData[[#This Row],[Candidate 8]]))),(SamplingData[[#This Row],[Total]]+SamplingData[[#This Row],[Winning Candidate]]-SamplingData[[#This Row],[Candidate 8]])/(SamplingData[[#Totals],[Winning Candidate]]-SamplingData[[#Totals],[Candidate 8]]), 0)</f>
        <v>0</v>
      </c>
      <c r="X5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2" s="99">
        <f>MAX(SamplingData[[#This Row],[Error Bound (up) - Max. possible relative overstatement - Losing Candidate]:[Error Bound (up) - Max. possible relative overstatement - Candidate 12]])</f>
        <v>4.5832626039721608E-3</v>
      </c>
      <c r="AC562" s="99">
        <f>IF(SamplingData[[#This Row],[Max Error Bound (up)]] = 0,0,SamplingData[[#This Row],[Max Error Bound (up)]]/SamplingData[[#Totals],[Max Error Bound (up)]])</f>
        <v>2.4539208201548727E-4</v>
      </c>
      <c r="AD562" s="103">
        <f>SUM($AC$5:AC562)</f>
        <v>0.45142827280328701</v>
      </c>
      <c r="AE562" s="99" t="str" cm="1">
        <f t="array" ref="AE562">IF(SamplingData[[#This Row],[up/U Selection Probability]] = 0, "Zero", TEXT(SamplingData[[#This Row],[Lower Range]], REPT("0",LEN('General Info'!$B$42))) &amp; " - " &amp; TEXT(SamplingData[[#This Row],[Upper Range]], REPT("0",LEN('General Info'!$B$42))))</f>
        <v>451183 - 451427</v>
      </c>
      <c r="AF562" s="99">
        <f>SamplingData[[#This Row],[Upper Range]]-SamplingData[[#This Row],[Span]]</f>
        <v>451182.88072127156</v>
      </c>
      <c r="AG562" s="99">
        <f>IF(ISNUMBER('General Info'!$B$42), ((SamplingData[[#This Row],[up/U Selection Probability]]) * 'General Info'!$B$44) - 1, 0)</f>
        <v>244.39208201548726</v>
      </c>
      <c r="AH562" s="99">
        <f>IF(ISNUMBER('General Info'!$B$42), (SamplingData[[#This Row],[Running (cumulative) sum]] * ('General Info'!$B$42 -'General Info'!$B$43 + 1)) + 'General Info'!$B$43 - 1, 0)</f>
        <v>451427.27280328702</v>
      </c>
      <c r="AI562" s="99" t="str">
        <f>IF(ISERROR(MATCH(SamplingData[[#This Row],[Batch by Type (p)]],SelectedPrecincts[Batch Name], 0)), "", INDEX(SelectedPrecincts[Draw], MATCH(SamplingData[[#This Row],[Batch by Type (p)]],SelectedPrecincts[Batch Name], 0)))</f>
        <v/>
      </c>
      <c r="AJ562" s="100">
        <f>IF(COUNTIF(SelectedPrecincts[Batch Name],SamplingData[[#This Row],[Batch by Type (p)]]) &lt;&gt; 0, COUNTIF(SelectedPrecincts[Batch Name],SamplingData[[#This Row],[Batch by Type (p)]]), 0)</f>
        <v>0</v>
      </c>
    </row>
    <row r="563" spans="1:36" ht="15" customHeight="1" x14ac:dyDescent="0.35">
      <c r="A563" s="97" t="s">
        <v>776</v>
      </c>
      <c r="B563" s="97">
        <v>65</v>
      </c>
      <c r="C563" s="97">
        <v>188</v>
      </c>
      <c r="D563" s="92"/>
      <c r="E563" s="92"/>
      <c r="F563" s="92"/>
      <c r="G563" s="96"/>
      <c r="H563" s="96"/>
      <c r="I563" s="92"/>
      <c r="J563" s="92"/>
      <c r="K563" s="92"/>
      <c r="L563" s="92"/>
      <c r="M563" s="92"/>
      <c r="N563" s="97">
        <v>0</v>
      </c>
      <c r="O563" s="97">
        <v>14</v>
      </c>
      <c r="P563" s="98">
        <f>SUM(SamplingData[[#This Row],[Winning Candidate]:[Under Votes]])</f>
        <v>267</v>
      </c>
      <c r="Q563" s="99">
        <f>IF(AND(SamplingData[[#This Row],[Total]]&lt;&gt; 0, NOT(ISBLANK(SamplingData[[#This Row],[Losing Candidate]]))),(SamplingData[[#This Row],[Total]]+SamplingData[[#This Row],[Winning Candidate]]-SamplingData[[#This Row],[Losing Candidate]])/(SamplingData[[#Totals],[Winning Candidate]]-SamplingData[[#Totals],[Losing Candidate]]), 0)</f>
        <v>6.1110168052962146E-3</v>
      </c>
      <c r="R563" s="99">
        <f>IF(AND(SamplingData[[#This Row],[Total]]&lt;&gt; 0, NOT(ISBLANK(SamplingData[[#This Row],[Candidate 3]]))),(SamplingData[[#This Row],[Total]]+SamplingData[[#This Row],[Winning Candidate]]-SamplingData[[#This Row],[Candidate 3]])/(SamplingData[[#Totals],[Winning Candidate]]-SamplingData[[#Totals],[Candidate 3]]), 0)</f>
        <v>0</v>
      </c>
      <c r="S563" s="99">
        <f>IF(AND(SamplingData[[#This Row],[Total]]&lt;&gt; 0, NOT(ISBLANK(SamplingData[[#This Row],[Candidate 4]]))),(SamplingData[[#This Row],[Total]]+SamplingData[[#This Row],[Winning Candidate]]-SamplingData[[#This Row],[Candidate 4]])/(SamplingData[[#Totals],[Winning Candidate]]-SamplingData[[#Totals],[Candidate 4]]), 0)</f>
        <v>0</v>
      </c>
      <c r="T563" s="99">
        <f>IF(AND(SamplingData[[#This Row],[Total]]&lt;&gt; 0, NOT(ISBLANK(SamplingData[[#This Row],[Candidate 5]]))),(SamplingData[[#This Row],[Total]]+SamplingData[[#This Row],[Winning Candidate]]-SamplingData[[#This Row],[Candidate 5]])/(SamplingData[[#Totals],[Winning Candidate]]-SamplingData[[#Totals],[Candidate 5]]), 0)</f>
        <v>0</v>
      </c>
      <c r="U563" s="99">
        <f>IF(AND(SamplingData[[#This Row],[Total]]&lt;&gt; 0, NOT(ISBLANK(SamplingData[[#This Row],[Candidate 6]]))),(SamplingData[[#This Row],[Total]]+SamplingData[[#This Row],[Losing Candidate]]-SamplingData[[#This Row],[Candidate 6]])/(SamplingData[[#Totals],[Winning Candidate]]-SamplingData[[#Totals],[Candidate 6]]), 0)</f>
        <v>0</v>
      </c>
      <c r="V563" s="99">
        <f>IF(AND(SamplingData[[#This Row],[Total]]&lt;&gt; 0, NOT(ISBLANK(SamplingData[[#This Row],[Candidate 7]]))),(SamplingData[[#This Row],[Total]]+SamplingData[[#This Row],[Winning Candidate]]-SamplingData[[#This Row],[Candidate 7]])/(SamplingData[[#Totals],[Winning Candidate]]-SamplingData[[#Totals],[Candidate 7]]), 0)</f>
        <v>0</v>
      </c>
      <c r="W563" s="99">
        <f>IF(AND(SamplingData[[#This Row],[Total]]&lt;&gt; 0, NOT(ISBLANK(SamplingData[[#This Row],[Candidate 8]]))),(SamplingData[[#This Row],[Total]]+SamplingData[[#This Row],[Winning Candidate]]-SamplingData[[#This Row],[Candidate 8]])/(SamplingData[[#Totals],[Winning Candidate]]-SamplingData[[#Totals],[Candidate 8]]), 0)</f>
        <v>0</v>
      </c>
      <c r="X5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3" s="99">
        <f>MAX(SamplingData[[#This Row],[Error Bound (up) - Max. possible relative overstatement - Losing Candidate]:[Error Bound (up) - Max. possible relative overstatement - Candidate 12]])</f>
        <v>6.1110168052962146E-3</v>
      </c>
      <c r="AC563" s="99">
        <f>IF(SamplingData[[#This Row],[Max Error Bound (up)]] = 0,0,SamplingData[[#This Row],[Max Error Bound (up)]]/SamplingData[[#Totals],[Max Error Bound (up)]])</f>
        <v>3.2718944268731636E-4</v>
      </c>
      <c r="AD563" s="103">
        <f>SUM($AC$5:AC563)</f>
        <v>0.45175546224597435</v>
      </c>
      <c r="AE563" s="99" t="str" cm="1">
        <f t="array" ref="AE563">IF(SamplingData[[#This Row],[up/U Selection Probability]] = 0, "Zero", TEXT(SamplingData[[#This Row],[Lower Range]], REPT("0",LEN('General Info'!$B$42))) &amp; " - " &amp; TEXT(SamplingData[[#This Row],[Upper Range]], REPT("0",LEN('General Info'!$B$42))))</f>
        <v>451428 - 451754</v>
      </c>
      <c r="AF563" s="99">
        <f>SamplingData[[#This Row],[Upper Range]]-SamplingData[[#This Row],[Span]]</f>
        <v>451428.27280328702</v>
      </c>
      <c r="AG563" s="99">
        <f>IF(ISNUMBER('General Info'!$B$42), ((SamplingData[[#This Row],[up/U Selection Probability]]) * 'General Info'!$B$44) - 1, 0)</f>
        <v>326.18944268731633</v>
      </c>
      <c r="AH563" s="99">
        <f>IF(ISNUMBER('General Info'!$B$42), (SamplingData[[#This Row],[Running (cumulative) sum]] * ('General Info'!$B$42 -'General Info'!$B$43 + 1)) + 'General Info'!$B$43 - 1, 0)</f>
        <v>451754.46224597434</v>
      </c>
      <c r="AI563" s="99" t="str">
        <f>IF(ISERROR(MATCH(SamplingData[[#This Row],[Batch by Type (p)]],SelectedPrecincts[Batch Name], 0)), "", INDEX(SelectedPrecincts[Draw], MATCH(SamplingData[[#This Row],[Batch by Type (p)]],SelectedPrecincts[Batch Name], 0)))</f>
        <v/>
      </c>
      <c r="AJ563" s="100">
        <f>IF(COUNTIF(SelectedPrecincts[Batch Name],SamplingData[[#This Row],[Batch by Type (p)]]) &lt;&gt; 0, COUNTIF(SelectedPrecincts[Batch Name],SamplingData[[#This Row],[Batch by Type (p)]]), 0)</f>
        <v>0</v>
      </c>
    </row>
    <row r="564" spans="1:36" ht="15" customHeight="1" x14ac:dyDescent="0.35">
      <c r="A564" s="97" t="s">
        <v>777</v>
      </c>
      <c r="B564" s="97">
        <v>28</v>
      </c>
      <c r="C564" s="97">
        <v>96</v>
      </c>
      <c r="D564" s="92"/>
      <c r="E564" s="92"/>
      <c r="F564" s="92"/>
      <c r="G564" s="96"/>
      <c r="H564" s="96"/>
      <c r="I564" s="92"/>
      <c r="J564" s="92"/>
      <c r="K564" s="92"/>
      <c r="L564" s="92"/>
      <c r="M564" s="92"/>
      <c r="N564" s="97">
        <v>0</v>
      </c>
      <c r="O564" s="97">
        <v>5</v>
      </c>
      <c r="P564" s="98">
        <f>SUM(SamplingData[[#This Row],[Winning Candidate]:[Under Votes]])</f>
        <v>129</v>
      </c>
      <c r="Q564" s="99">
        <f>IF(AND(SamplingData[[#This Row],[Total]]&lt;&gt; 0, NOT(ISBLANK(SamplingData[[#This Row],[Losing Candidate]]))),(SamplingData[[#This Row],[Total]]+SamplingData[[#This Row],[Winning Candidate]]-SamplingData[[#This Row],[Losing Candidate]])/(SamplingData[[#Totals],[Winning Candidate]]-SamplingData[[#Totals],[Losing Candidate]]), 0)</f>
        <v>2.5886946189102021E-3</v>
      </c>
      <c r="R564" s="99">
        <f>IF(AND(SamplingData[[#This Row],[Total]]&lt;&gt; 0, NOT(ISBLANK(SamplingData[[#This Row],[Candidate 3]]))),(SamplingData[[#This Row],[Total]]+SamplingData[[#This Row],[Winning Candidate]]-SamplingData[[#This Row],[Candidate 3]])/(SamplingData[[#Totals],[Winning Candidate]]-SamplingData[[#Totals],[Candidate 3]]), 0)</f>
        <v>0</v>
      </c>
      <c r="S564" s="99">
        <f>IF(AND(SamplingData[[#This Row],[Total]]&lt;&gt; 0, NOT(ISBLANK(SamplingData[[#This Row],[Candidate 4]]))),(SamplingData[[#This Row],[Total]]+SamplingData[[#This Row],[Winning Candidate]]-SamplingData[[#This Row],[Candidate 4]])/(SamplingData[[#Totals],[Winning Candidate]]-SamplingData[[#Totals],[Candidate 4]]), 0)</f>
        <v>0</v>
      </c>
      <c r="T564" s="99">
        <f>IF(AND(SamplingData[[#This Row],[Total]]&lt;&gt; 0, NOT(ISBLANK(SamplingData[[#This Row],[Candidate 5]]))),(SamplingData[[#This Row],[Total]]+SamplingData[[#This Row],[Winning Candidate]]-SamplingData[[#This Row],[Candidate 5]])/(SamplingData[[#Totals],[Winning Candidate]]-SamplingData[[#Totals],[Candidate 5]]), 0)</f>
        <v>0</v>
      </c>
      <c r="U564" s="99">
        <f>IF(AND(SamplingData[[#This Row],[Total]]&lt;&gt; 0, NOT(ISBLANK(SamplingData[[#This Row],[Candidate 6]]))),(SamplingData[[#This Row],[Total]]+SamplingData[[#This Row],[Losing Candidate]]-SamplingData[[#This Row],[Candidate 6]])/(SamplingData[[#Totals],[Winning Candidate]]-SamplingData[[#Totals],[Candidate 6]]), 0)</f>
        <v>0</v>
      </c>
      <c r="V564" s="99">
        <f>IF(AND(SamplingData[[#This Row],[Total]]&lt;&gt; 0, NOT(ISBLANK(SamplingData[[#This Row],[Candidate 7]]))),(SamplingData[[#This Row],[Total]]+SamplingData[[#This Row],[Winning Candidate]]-SamplingData[[#This Row],[Candidate 7]])/(SamplingData[[#Totals],[Winning Candidate]]-SamplingData[[#Totals],[Candidate 7]]), 0)</f>
        <v>0</v>
      </c>
      <c r="W564" s="99">
        <f>IF(AND(SamplingData[[#This Row],[Total]]&lt;&gt; 0, NOT(ISBLANK(SamplingData[[#This Row],[Candidate 8]]))),(SamplingData[[#This Row],[Total]]+SamplingData[[#This Row],[Winning Candidate]]-SamplingData[[#This Row],[Candidate 8]])/(SamplingData[[#Totals],[Winning Candidate]]-SamplingData[[#Totals],[Candidate 8]]), 0)</f>
        <v>0</v>
      </c>
      <c r="X5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4" s="99">
        <f>MAX(SamplingData[[#This Row],[Error Bound (up) - Max. possible relative overstatement - Losing Candidate]:[Error Bound (up) - Max. possible relative overstatement - Candidate 12]])</f>
        <v>2.5886946189102021E-3</v>
      </c>
      <c r="AC564" s="99">
        <f>IF(SamplingData[[#This Row],[Max Error Bound (up)]] = 0,0,SamplingData[[#This Row],[Max Error Bound (up)]]/SamplingData[[#Totals],[Max Error Bound (up)]])</f>
        <v>1.3860108336059929E-4</v>
      </c>
      <c r="AD564" s="103">
        <f>SUM($AC$5:AC564)</f>
        <v>0.45189406332933496</v>
      </c>
      <c r="AE564" s="99" t="str" cm="1">
        <f t="array" ref="AE564">IF(SamplingData[[#This Row],[up/U Selection Probability]] = 0, "Zero", TEXT(SamplingData[[#This Row],[Lower Range]], REPT("0",LEN('General Info'!$B$42))) &amp; " - " &amp; TEXT(SamplingData[[#This Row],[Upper Range]], REPT("0",LEN('General Info'!$B$42))))</f>
        <v>451755 - 451893</v>
      </c>
      <c r="AF564" s="99">
        <f>SamplingData[[#This Row],[Upper Range]]-SamplingData[[#This Row],[Span]]</f>
        <v>451755.46224597434</v>
      </c>
      <c r="AG564" s="99">
        <f>IF(ISNUMBER('General Info'!$B$42), ((SamplingData[[#This Row],[up/U Selection Probability]]) * 'General Info'!$B$44) - 1, 0)</f>
        <v>137.60108336059929</v>
      </c>
      <c r="AH564" s="99">
        <f>IF(ISNUMBER('General Info'!$B$42), (SamplingData[[#This Row],[Running (cumulative) sum]] * ('General Info'!$B$42 -'General Info'!$B$43 + 1)) + 'General Info'!$B$43 - 1, 0)</f>
        <v>451893.06332933495</v>
      </c>
      <c r="AI564" s="99" t="str">
        <f>IF(ISERROR(MATCH(SamplingData[[#This Row],[Batch by Type (p)]],SelectedPrecincts[Batch Name], 0)), "", INDEX(SelectedPrecincts[Draw], MATCH(SamplingData[[#This Row],[Batch by Type (p)]],SelectedPrecincts[Batch Name], 0)))</f>
        <v/>
      </c>
      <c r="AJ564" s="100">
        <f>IF(COUNTIF(SelectedPrecincts[Batch Name],SamplingData[[#This Row],[Batch by Type (p)]]) &lt;&gt; 0, COUNTIF(SelectedPrecincts[Batch Name],SamplingData[[#This Row],[Batch by Type (p)]]), 0)</f>
        <v>0</v>
      </c>
    </row>
    <row r="565" spans="1:36" ht="15" customHeight="1" x14ac:dyDescent="0.35">
      <c r="A565" s="97" t="s">
        <v>778</v>
      </c>
      <c r="B565" s="97">
        <v>288</v>
      </c>
      <c r="C565" s="97">
        <v>43</v>
      </c>
      <c r="D565" s="92"/>
      <c r="E565" s="92"/>
      <c r="F565" s="92"/>
      <c r="G565" s="96"/>
      <c r="H565" s="96"/>
      <c r="I565" s="92"/>
      <c r="J565" s="92"/>
      <c r="K565" s="92"/>
      <c r="L565" s="92"/>
      <c r="M565" s="92"/>
      <c r="N565" s="97">
        <v>0</v>
      </c>
      <c r="O565" s="97">
        <v>12</v>
      </c>
      <c r="P565" s="98">
        <f>SUM(SamplingData[[#This Row],[Winning Candidate]:[Under Votes]])</f>
        <v>343</v>
      </c>
      <c r="Q565" s="99">
        <f>IF(AND(SamplingData[[#This Row],[Total]]&lt;&gt; 0, NOT(ISBLANK(SamplingData[[#This Row],[Losing Candidate]]))),(SamplingData[[#This Row],[Total]]+SamplingData[[#This Row],[Winning Candidate]]-SamplingData[[#This Row],[Losing Candidate]])/(SamplingData[[#Totals],[Winning Candidate]]-SamplingData[[#Totals],[Losing Candidate]]), 0)</f>
        <v>2.4953318621626211E-2</v>
      </c>
      <c r="R565" s="99">
        <f>IF(AND(SamplingData[[#This Row],[Total]]&lt;&gt; 0, NOT(ISBLANK(SamplingData[[#This Row],[Candidate 3]]))),(SamplingData[[#This Row],[Total]]+SamplingData[[#This Row],[Winning Candidate]]-SamplingData[[#This Row],[Candidate 3]])/(SamplingData[[#Totals],[Winning Candidate]]-SamplingData[[#Totals],[Candidate 3]]), 0)</f>
        <v>0</v>
      </c>
      <c r="S565" s="99">
        <f>IF(AND(SamplingData[[#This Row],[Total]]&lt;&gt; 0, NOT(ISBLANK(SamplingData[[#This Row],[Candidate 4]]))),(SamplingData[[#This Row],[Total]]+SamplingData[[#This Row],[Winning Candidate]]-SamplingData[[#This Row],[Candidate 4]])/(SamplingData[[#Totals],[Winning Candidate]]-SamplingData[[#Totals],[Candidate 4]]), 0)</f>
        <v>0</v>
      </c>
      <c r="T565" s="99">
        <f>IF(AND(SamplingData[[#This Row],[Total]]&lt;&gt; 0, NOT(ISBLANK(SamplingData[[#This Row],[Candidate 5]]))),(SamplingData[[#This Row],[Total]]+SamplingData[[#This Row],[Winning Candidate]]-SamplingData[[#This Row],[Candidate 5]])/(SamplingData[[#Totals],[Winning Candidate]]-SamplingData[[#Totals],[Candidate 5]]), 0)</f>
        <v>0</v>
      </c>
      <c r="U565" s="99">
        <f>IF(AND(SamplingData[[#This Row],[Total]]&lt;&gt; 0, NOT(ISBLANK(SamplingData[[#This Row],[Candidate 6]]))),(SamplingData[[#This Row],[Total]]+SamplingData[[#This Row],[Losing Candidate]]-SamplingData[[#This Row],[Candidate 6]])/(SamplingData[[#Totals],[Winning Candidate]]-SamplingData[[#Totals],[Candidate 6]]), 0)</f>
        <v>0</v>
      </c>
      <c r="V565" s="99">
        <f>IF(AND(SamplingData[[#This Row],[Total]]&lt;&gt; 0, NOT(ISBLANK(SamplingData[[#This Row],[Candidate 7]]))),(SamplingData[[#This Row],[Total]]+SamplingData[[#This Row],[Winning Candidate]]-SamplingData[[#This Row],[Candidate 7]])/(SamplingData[[#Totals],[Winning Candidate]]-SamplingData[[#Totals],[Candidate 7]]), 0)</f>
        <v>0</v>
      </c>
      <c r="W565" s="99">
        <f>IF(AND(SamplingData[[#This Row],[Total]]&lt;&gt; 0, NOT(ISBLANK(SamplingData[[#This Row],[Candidate 8]]))),(SamplingData[[#This Row],[Total]]+SamplingData[[#This Row],[Winning Candidate]]-SamplingData[[#This Row],[Candidate 8]])/(SamplingData[[#Totals],[Winning Candidate]]-SamplingData[[#Totals],[Candidate 8]]), 0)</f>
        <v>0</v>
      </c>
      <c r="X5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5" s="99">
        <f>MAX(SamplingData[[#This Row],[Error Bound (up) - Max. possible relative overstatement - Losing Candidate]:[Error Bound (up) - Max. possible relative overstatement - Candidate 12]])</f>
        <v>2.4953318621626211E-2</v>
      </c>
      <c r="AC565" s="99">
        <f>IF(SamplingData[[#This Row],[Max Error Bound (up)]] = 0,0,SamplingData[[#This Row],[Max Error Bound (up)]]/SamplingData[[#Totals],[Max Error Bound (up)]])</f>
        <v>1.3360235576398752E-3</v>
      </c>
      <c r="AD565" s="103">
        <f>SUM($AC$5:AC565)</f>
        <v>0.45323008688697486</v>
      </c>
      <c r="AE565" s="99" t="str" cm="1">
        <f t="array" ref="AE565">IF(SamplingData[[#This Row],[up/U Selection Probability]] = 0, "Zero", TEXT(SamplingData[[#This Row],[Lower Range]], REPT("0",LEN('General Info'!$B$42))) &amp; " - " &amp; TEXT(SamplingData[[#This Row],[Upper Range]], REPT("0",LEN('General Info'!$B$42))))</f>
        <v>451894 - 453229</v>
      </c>
      <c r="AF565" s="99">
        <f>SamplingData[[#This Row],[Upper Range]]-SamplingData[[#This Row],[Span]]</f>
        <v>451894.06332933501</v>
      </c>
      <c r="AG565" s="99">
        <f>IF(ISNUMBER('General Info'!$B$42), ((SamplingData[[#This Row],[up/U Selection Probability]]) * 'General Info'!$B$44) - 1, 0)</f>
        <v>1335.0235576398752</v>
      </c>
      <c r="AH565" s="99">
        <f>IF(ISNUMBER('General Info'!$B$42), (SamplingData[[#This Row],[Running (cumulative) sum]] * ('General Info'!$B$42 -'General Info'!$B$43 + 1)) + 'General Info'!$B$43 - 1, 0)</f>
        <v>453229.08688697487</v>
      </c>
      <c r="AI565" s="99" t="str">
        <f>IF(ISERROR(MATCH(SamplingData[[#This Row],[Batch by Type (p)]],SelectedPrecincts[Batch Name], 0)), "", INDEX(SelectedPrecincts[Draw], MATCH(SamplingData[[#This Row],[Batch by Type (p)]],SelectedPrecincts[Batch Name], 0)))</f>
        <v/>
      </c>
      <c r="AJ565" s="100">
        <f>IF(COUNTIF(SelectedPrecincts[Batch Name],SamplingData[[#This Row],[Batch by Type (p)]]) &lt;&gt; 0, COUNTIF(SelectedPrecincts[Batch Name],SamplingData[[#This Row],[Batch by Type (p)]]), 0)</f>
        <v>0</v>
      </c>
    </row>
    <row r="566" spans="1:36" ht="15" customHeight="1" x14ac:dyDescent="0.35">
      <c r="A566" s="97" t="s">
        <v>779</v>
      </c>
      <c r="B566" s="97">
        <v>319</v>
      </c>
      <c r="C566" s="97">
        <v>43</v>
      </c>
      <c r="D566" s="92"/>
      <c r="E566" s="92"/>
      <c r="F566" s="92"/>
      <c r="G566" s="96"/>
      <c r="H566" s="96"/>
      <c r="I566" s="92"/>
      <c r="J566" s="92"/>
      <c r="K566" s="92"/>
      <c r="L566" s="92"/>
      <c r="M566" s="92"/>
      <c r="N566" s="97">
        <v>0</v>
      </c>
      <c r="O566" s="97">
        <v>9</v>
      </c>
      <c r="P566" s="98">
        <f>SUM(SamplingData[[#This Row],[Winning Candidate]:[Under Votes]])</f>
        <v>371</v>
      </c>
      <c r="Q566" s="99">
        <f>IF(AND(SamplingData[[#This Row],[Total]]&lt;&gt; 0, NOT(ISBLANK(SamplingData[[#This Row],[Losing Candidate]]))),(SamplingData[[#This Row],[Total]]+SamplingData[[#This Row],[Winning Candidate]]-SamplingData[[#This Row],[Losing Candidate]])/(SamplingData[[#Totals],[Winning Candidate]]-SamplingData[[#Totals],[Losing Candidate]]), 0)</f>
        <v>2.7457138007129518E-2</v>
      </c>
      <c r="R566" s="99">
        <f>IF(AND(SamplingData[[#This Row],[Total]]&lt;&gt; 0, NOT(ISBLANK(SamplingData[[#This Row],[Candidate 3]]))),(SamplingData[[#This Row],[Total]]+SamplingData[[#This Row],[Winning Candidate]]-SamplingData[[#This Row],[Candidate 3]])/(SamplingData[[#Totals],[Winning Candidate]]-SamplingData[[#Totals],[Candidate 3]]), 0)</f>
        <v>0</v>
      </c>
      <c r="S566" s="99">
        <f>IF(AND(SamplingData[[#This Row],[Total]]&lt;&gt; 0, NOT(ISBLANK(SamplingData[[#This Row],[Candidate 4]]))),(SamplingData[[#This Row],[Total]]+SamplingData[[#This Row],[Winning Candidate]]-SamplingData[[#This Row],[Candidate 4]])/(SamplingData[[#Totals],[Winning Candidate]]-SamplingData[[#Totals],[Candidate 4]]), 0)</f>
        <v>0</v>
      </c>
      <c r="T566" s="99">
        <f>IF(AND(SamplingData[[#This Row],[Total]]&lt;&gt; 0, NOT(ISBLANK(SamplingData[[#This Row],[Candidate 5]]))),(SamplingData[[#This Row],[Total]]+SamplingData[[#This Row],[Winning Candidate]]-SamplingData[[#This Row],[Candidate 5]])/(SamplingData[[#Totals],[Winning Candidate]]-SamplingData[[#Totals],[Candidate 5]]), 0)</f>
        <v>0</v>
      </c>
      <c r="U566" s="99">
        <f>IF(AND(SamplingData[[#This Row],[Total]]&lt;&gt; 0, NOT(ISBLANK(SamplingData[[#This Row],[Candidate 6]]))),(SamplingData[[#This Row],[Total]]+SamplingData[[#This Row],[Losing Candidate]]-SamplingData[[#This Row],[Candidate 6]])/(SamplingData[[#Totals],[Winning Candidate]]-SamplingData[[#Totals],[Candidate 6]]), 0)</f>
        <v>0</v>
      </c>
      <c r="V566" s="99">
        <f>IF(AND(SamplingData[[#This Row],[Total]]&lt;&gt; 0, NOT(ISBLANK(SamplingData[[#This Row],[Candidate 7]]))),(SamplingData[[#This Row],[Total]]+SamplingData[[#This Row],[Winning Candidate]]-SamplingData[[#This Row],[Candidate 7]])/(SamplingData[[#Totals],[Winning Candidate]]-SamplingData[[#Totals],[Candidate 7]]), 0)</f>
        <v>0</v>
      </c>
      <c r="W566" s="99">
        <f>IF(AND(SamplingData[[#This Row],[Total]]&lt;&gt; 0, NOT(ISBLANK(SamplingData[[#This Row],[Candidate 8]]))),(SamplingData[[#This Row],[Total]]+SamplingData[[#This Row],[Winning Candidate]]-SamplingData[[#This Row],[Candidate 8]])/(SamplingData[[#Totals],[Winning Candidate]]-SamplingData[[#Totals],[Candidate 8]]), 0)</f>
        <v>0</v>
      </c>
      <c r="X5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6" s="99">
        <f>MAX(SamplingData[[#This Row],[Error Bound (up) - Max. possible relative overstatement - Losing Candidate]:[Error Bound (up) - Max. possible relative overstatement - Candidate 12]])</f>
        <v>2.7457138007129518E-2</v>
      </c>
      <c r="AC566" s="99">
        <f>IF(SamplingData[[#This Row],[Max Error Bound (up)]] = 0,0,SamplingData[[#This Row],[Max Error Bound (up)]]/SamplingData[[#Totals],[Max Error Bound (up)]])</f>
        <v>1.4700803431853728E-3</v>
      </c>
      <c r="AD566" s="103">
        <f>SUM($AC$5:AC566)</f>
        <v>0.45470016723016021</v>
      </c>
      <c r="AE566" s="99" t="str" cm="1">
        <f t="array" ref="AE566">IF(SamplingData[[#This Row],[up/U Selection Probability]] = 0, "Zero", TEXT(SamplingData[[#This Row],[Lower Range]], REPT("0",LEN('General Info'!$B$42))) &amp; " - " &amp; TEXT(SamplingData[[#This Row],[Upper Range]], REPT("0",LEN('General Info'!$B$42))))</f>
        <v>453230 - 454699</v>
      </c>
      <c r="AF566" s="99">
        <f>SamplingData[[#This Row],[Upper Range]]-SamplingData[[#This Row],[Span]]</f>
        <v>453230.08688697481</v>
      </c>
      <c r="AG566" s="99">
        <f>IF(ISNUMBER('General Info'!$B$42), ((SamplingData[[#This Row],[up/U Selection Probability]]) * 'General Info'!$B$44) - 1, 0)</f>
        <v>1469.0803431853728</v>
      </c>
      <c r="AH566" s="99">
        <f>IF(ISNUMBER('General Info'!$B$42), (SamplingData[[#This Row],[Running (cumulative) sum]] * ('General Info'!$B$42 -'General Info'!$B$43 + 1)) + 'General Info'!$B$43 - 1, 0)</f>
        <v>454699.16723016021</v>
      </c>
      <c r="AI566" s="99" t="str">
        <f>IF(ISERROR(MATCH(SamplingData[[#This Row],[Batch by Type (p)]],SelectedPrecincts[Batch Name], 0)), "", INDEX(SelectedPrecincts[Draw], MATCH(SamplingData[[#This Row],[Batch by Type (p)]],SelectedPrecincts[Batch Name], 0)))</f>
        <v/>
      </c>
      <c r="AJ566" s="100">
        <f>IF(COUNTIF(SelectedPrecincts[Batch Name],SamplingData[[#This Row],[Batch by Type (p)]]) &lt;&gt; 0, COUNTIF(SelectedPrecincts[Batch Name],SamplingData[[#This Row],[Batch by Type (p)]]), 0)</f>
        <v>0</v>
      </c>
    </row>
    <row r="567" spans="1:36" ht="15" customHeight="1" x14ac:dyDescent="0.35">
      <c r="A567" s="97" t="s">
        <v>780</v>
      </c>
      <c r="B567" s="97">
        <v>56</v>
      </c>
      <c r="C567" s="97">
        <v>122</v>
      </c>
      <c r="D567" s="92"/>
      <c r="E567" s="92"/>
      <c r="F567" s="92"/>
      <c r="G567" s="96"/>
      <c r="H567" s="96"/>
      <c r="I567" s="92"/>
      <c r="J567" s="92"/>
      <c r="K567" s="92"/>
      <c r="L567" s="92"/>
      <c r="M567" s="92"/>
      <c r="N567" s="97">
        <v>0</v>
      </c>
      <c r="O567" s="97">
        <v>10</v>
      </c>
      <c r="P567" s="98">
        <f>SUM(SamplingData[[#This Row],[Winning Candidate]:[Under Votes]])</f>
        <v>188</v>
      </c>
      <c r="Q567" s="99">
        <f>IF(AND(SamplingData[[#This Row],[Total]]&lt;&gt; 0, NOT(ISBLANK(SamplingData[[#This Row],[Losing Candidate]]))),(SamplingData[[#This Row],[Total]]+SamplingData[[#This Row],[Winning Candidate]]-SamplingData[[#This Row],[Losing Candidate]])/(SamplingData[[#Totals],[Winning Candidate]]-SamplingData[[#Totals],[Losing Candidate]]), 0)</f>
        <v>5.1773892378204041E-3</v>
      </c>
      <c r="R567" s="99">
        <f>IF(AND(SamplingData[[#This Row],[Total]]&lt;&gt; 0, NOT(ISBLANK(SamplingData[[#This Row],[Candidate 3]]))),(SamplingData[[#This Row],[Total]]+SamplingData[[#This Row],[Winning Candidate]]-SamplingData[[#This Row],[Candidate 3]])/(SamplingData[[#Totals],[Winning Candidate]]-SamplingData[[#Totals],[Candidate 3]]), 0)</f>
        <v>0</v>
      </c>
      <c r="S567" s="99">
        <f>IF(AND(SamplingData[[#This Row],[Total]]&lt;&gt; 0, NOT(ISBLANK(SamplingData[[#This Row],[Candidate 4]]))),(SamplingData[[#This Row],[Total]]+SamplingData[[#This Row],[Winning Candidate]]-SamplingData[[#This Row],[Candidate 4]])/(SamplingData[[#Totals],[Winning Candidate]]-SamplingData[[#Totals],[Candidate 4]]), 0)</f>
        <v>0</v>
      </c>
      <c r="T567" s="99">
        <f>IF(AND(SamplingData[[#This Row],[Total]]&lt;&gt; 0, NOT(ISBLANK(SamplingData[[#This Row],[Candidate 5]]))),(SamplingData[[#This Row],[Total]]+SamplingData[[#This Row],[Winning Candidate]]-SamplingData[[#This Row],[Candidate 5]])/(SamplingData[[#Totals],[Winning Candidate]]-SamplingData[[#Totals],[Candidate 5]]), 0)</f>
        <v>0</v>
      </c>
      <c r="U567" s="99">
        <f>IF(AND(SamplingData[[#This Row],[Total]]&lt;&gt; 0, NOT(ISBLANK(SamplingData[[#This Row],[Candidate 6]]))),(SamplingData[[#This Row],[Total]]+SamplingData[[#This Row],[Losing Candidate]]-SamplingData[[#This Row],[Candidate 6]])/(SamplingData[[#Totals],[Winning Candidate]]-SamplingData[[#Totals],[Candidate 6]]), 0)</f>
        <v>0</v>
      </c>
      <c r="V567" s="99">
        <f>IF(AND(SamplingData[[#This Row],[Total]]&lt;&gt; 0, NOT(ISBLANK(SamplingData[[#This Row],[Candidate 7]]))),(SamplingData[[#This Row],[Total]]+SamplingData[[#This Row],[Winning Candidate]]-SamplingData[[#This Row],[Candidate 7]])/(SamplingData[[#Totals],[Winning Candidate]]-SamplingData[[#Totals],[Candidate 7]]), 0)</f>
        <v>0</v>
      </c>
      <c r="W567" s="99">
        <f>IF(AND(SamplingData[[#This Row],[Total]]&lt;&gt; 0, NOT(ISBLANK(SamplingData[[#This Row],[Candidate 8]]))),(SamplingData[[#This Row],[Total]]+SamplingData[[#This Row],[Winning Candidate]]-SamplingData[[#This Row],[Candidate 8]])/(SamplingData[[#Totals],[Winning Candidate]]-SamplingData[[#Totals],[Candidate 8]]), 0)</f>
        <v>0</v>
      </c>
      <c r="X5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7" s="99">
        <f>MAX(SamplingData[[#This Row],[Error Bound (up) - Max. possible relative overstatement - Losing Candidate]:[Error Bound (up) - Max. possible relative overstatement - Candidate 12]])</f>
        <v>5.1773892378204041E-3</v>
      </c>
      <c r="AC567" s="99">
        <f>IF(SamplingData[[#This Row],[Max Error Bound (up)]] = 0,0,SamplingData[[#This Row],[Max Error Bound (up)]]/SamplingData[[#Totals],[Max Error Bound (up)]])</f>
        <v>2.7720216672119858E-4</v>
      </c>
      <c r="AD567" s="103">
        <f>SUM($AC$5:AC567)</f>
        <v>0.45497736939688144</v>
      </c>
      <c r="AE567" s="99" t="str" cm="1">
        <f t="array" ref="AE567">IF(SamplingData[[#This Row],[up/U Selection Probability]] = 0, "Zero", TEXT(SamplingData[[#This Row],[Lower Range]], REPT("0",LEN('General Info'!$B$42))) &amp; " - " &amp; TEXT(SamplingData[[#This Row],[Upper Range]], REPT("0",LEN('General Info'!$B$42))))</f>
        <v>454700 - 454976</v>
      </c>
      <c r="AF567" s="99">
        <f>SamplingData[[#This Row],[Upper Range]]-SamplingData[[#This Row],[Span]]</f>
        <v>454700.16723016021</v>
      </c>
      <c r="AG567" s="99">
        <f>IF(ISNUMBER('General Info'!$B$42), ((SamplingData[[#This Row],[up/U Selection Probability]]) * 'General Info'!$B$44) - 1, 0)</f>
        <v>276.20216672119858</v>
      </c>
      <c r="AH567" s="99">
        <f>IF(ISNUMBER('General Info'!$B$42), (SamplingData[[#This Row],[Running (cumulative) sum]] * ('General Info'!$B$42 -'General Info'!$B$43 + 1)) + 'General Info'!$B$43 - 1, 0)</f>
        <v>454976.36939688143</v>
      </c>
      <c r="AI567" s="99" t="str">
        <f>IF(ISERROR(MATCH(SamplingData[[#This Row],[Batch by Type (p)]],SelectedPrecincts[Batch Name], 0)), "", INDEX(SelectedPrecincts[Draw], MATCH(SamplingData[[#This Row],[Batch by Type (p)]],SelectedPrecincts[Batch Name], 0)))</f>
        <v/>
      </c>
      <c r="AJ567" s="100">
        <f>IF(COUNTIF(SelectedPrecincts[Batch Name],SamplingData[[#This Row],[Batch by Type (p)]]) &lt;&gt; 0, COUNTIF(SelectedPrecincts[Batch Name],SamplingData[[#This Row],[Batch by Type (p)]]), 0)</f>
        <v>0</v>
      </c>
    </row>
    <row r="568" spans="1:36" ht="15" customHeight="1" x14ac:dyDescent="0.35">
      <c r="A568" s="97" t="s">
        <v>781</v>
      </c>
      <c r="B568" s="97">
        <v>344</v>
      </c>
      <c r="C568" s="97">
        <v>269</v>
      </c>
      <c r="D568" s="92"/>
      <c r="E568" s="92"/>
      <c r="F568" s="92"/>
      <c r="G568" s="96"/>
      <c r="H568" s="96"/>
      <c r="I568" s="92"/>
      <c r="J568" s="92"/>
      <c r="K568" s="92"/>
      <c r="L568" s="92"/>
      <c r="M568" s="92"/>
      <c r="N568" s="97">
        <v>0</v>
      </c>
      <c r="O568" s="97">
        <v>42</v>
      </c>
      <c r="P568" s="98">
        <f>SUM(SamplingData[[#This Row],[Winning Candidate]:[Under Votes]])</f>
        <v>655</v>
      </c>
      <c r="Q568" s="99">
        <f>IF(AND(SamplingData[[#This Row],[Total]]&lt;&gt; 0, NOT(ISBLANK(SamplingData[[#This Row],[Losing Candidate]]))),(SamplingData[[#This Row],[Total]]+SamplingData[[#This Row],[Winning Candidate]]-SamplingData[[#This Row],[Losing Candidate]])/(SamplingData[[#Totals],[Winning Candidate]]-SamplingData[[#Totals],[Losing Candidate]]), 0)</f>
        <v>3.0979460193515534E-2</v>
      </c>
      <c r="R568" s="99">
        <f>IF(AND(SamplingData[[#This Row],[Total]]&lt;&gt; 0, NOT(ISBLANK(SamplingData[[#This Row],[Candidate 3]]))),(SamplingData[[#This Row],[Total]]+SamplingData[[#This Row],[Winning Candidate]]-SamplingData[[#This Row],[Candidate 3]])/(SamplingData[[#Totals],[Winning Candidate]]-SamplingData[[#Totals],[Candidate 3]]), 0)</f>
        <v>0</v>
      </c>
      <c r="S568" s="99">
        <f>IF(AND(SamplingData[[#This Row],[Total]]&lt;&gt; 0, NOT(ISBLANK(SamplingData[[#This Row],[Candidate 4]]))),(SamplingData[[#This Row],[Total]]+SamplingData[[#This Row],[Winning Candidate]]-SamplingData[[#This Row],[Candidate 4]])/(SamplingData[[#Totals],[Winning Candidate]]-SamplingData[[#Totals],[Candidate 4]]), 0)</f>
        <v>0</v>
      </c>
      <c r="T568" s="99">
        <f>IF(AND(SamplingData[[#This Row],[Total]]&lt;&gt; 0, NOT(ISBLANK(SamplingData[[#This Row],[Candidate 5]]))),(SamplingData[[#This Row],[Total]]+SamplingData[[#This Row],[Winning Candidate]]-SamplingData[[#This Row],[Candidate 5]])/(SamplingData[[#Totals],[Winning Candidate]]-SamplingData[[#Totals],[Candidate 5]]), 0)</f>
        <v>0</v>
      </c>
      <c r="U568" s="99">
        <f>IF(AND(SamplingData[[#This Row],[Total]]&lt;&gt; 0, NOT(ISBLANK(SamplingData[[#This Row],[Candidate 6]]))),(SamplingData[[#This Row],[Total]]+SamplingData[[#This Row],[Losing Candidate]]-SamplingData[[#This Row],[Candidate 6]])/(SamplingData[[#Totals],[Winning Candidate]]-SamplingData[[#Totals],[Candidate 6]]), 0)</f>
        <v>0</v>
      </c>
      <c r="V568" s="99">
        <f>IF(AND(SamplingData[[#This Row],[Total]]&lt;&gt; 0, NOT(ISBLANK(SamplingData[[#This Row],[Candidate 7]]))),(SamplingData[[#This Row],[Total]]+SamplingData[[#This Row],[Winning Candidate]]-SamplingData[[#This Row],[Candidate 7]])/(SamplingData[[#Totals],[Winning Candidate]]-SamplingData[[#Totals],[Candidate 7]]), 0)</f>
        <v>0</v>
      </c>
      <c r="W568" s="99">
        <f>IF(AND(SamplingData[[#This Row],[Total]]&lt;&gt; 0, NOT(ISBLANK(SamplingData[[#This Row],[Candidate 8]]))),(SamplingData[[#This Row],[Total]]+SamplingData[[#This Row],[Winning Candidate]]-SamplingData[[#This Row],[Candidate 8]])/(SamplingData[[#Totals],[Winning Candidate]]-SamplingData[[#Totals],[Candidate 8]]), 0)</f>
        <v>0</v>
      </c>
      <c r="X5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8" s="99">
        <f>MAX(SamplingData[[#This Row],[Error Bound (up) - Max. possible relative overstatement - Losing Candidate]:[Error Bound (up) - Max. possible relative overstatement - Candidate 12]])</f>
        <v>3.0979460193515534E-2</v>
      </c>
      <c r="AC568" s="99">
        <f>IF(SamplingData[[#This Row],[Max Error Bound (up)]] = 0,0,SamplingData[[#This Row],[Max Error Bound (up)]]/SamplingData[[#Totals],[Max Error Bound (up)]])</f>
        <v>1.65866870251209E-3</v>
      </c>
      <c r="AD568" s="103">
        <f>SUM($AC$5:AC568)</f>
        <v>0.45663603809939352</v>
      </c>
      <c r="AE568" s="99" t="str" cm="1">
        <f t="array" ref="AE568">IF(SamplingData[[#This Row],[up/U Selection Probability]] = 0, "Zero", TEXT(SamplingData[[#This Row],[Lower Range]], REPT("0",LEN('General Info'!$B$42))) &amp; " - " &amp; TEXT(SamplingData[[#This Row],[Upper Range]], REPT("0",LEN('General Info'!$B$42))))</f>
        <v>454977 - 456635</v>
      </c>
      <c r="AF568" s="99">
        <f>SamplingData[[#This Row],[Upper Range]]-SamplingData[[#This Row],[Span]]</f>
        <v>454977.36939688143</v>
      </c>
      <c r="AG568" s="99">
        <f>IF(ISNUMBER('General Info'!$B$42), ((SamplingData[[#This Row],[up/U Selection Probability]]) * 'General Info'!$B$44) - 1, 0)</f>
        <v>1657.66870251209</v>
      </c>
      <c r="AH568" s="99">
        <f>IF(ISNUMBER('General Info'!$B$42), (SamplingData[[#This Row],[Running (cumulative) sum]] * ('General Info'!$B$42 -'General Info'!$B$43 + 1)) + 'General Info'!$B$43 - 1, 0)</f>
        <v>456635.03809939354</v>
      </c>
      <c r="AI568" s="99">
        <f>IF(ISERROR(MATCH(SamplingData[[#This Row],[Batch by Type (p)]],SelectedPrecincts[Batch Name], 0)), "", INDEX(SelectedPrecincts[Draw], MATCH(SamplingData[[#This Row],[Batch by Type (p)]],SelectedPrecincts[Batch Name], 0)))</f>
        <v>27</v>
      </c>
      <c r="AJ568" s="100">
        <f>IF(COUNTIF(SelectedPrecincts[Batch Name],SamplingData[[#This Row],[Batch by Type (p)]]) &lt;&gt; 0, COUNTIF(SelectedPrecincts[Batch Name],SamplingData[[#This Row],[Batch by Type (p)]]), 0)</f>
        <v>1</v>
      </c>
    </row>
    <row r="569" spans="1:36" ht="15" customHeight="1" x14ac:dyDescent="0.35">
      <c r="A569" s="97" t="s">
        <v>782</v>
      </c>
      <c r="B569" s="97">
        <v>283</v>
      </c>
      <c r="C569" s="97">
        <v>179</v>
      </c>
      <c r="D569" s="92"/>
      <c r="E569" s="92"/>
      <c r="F569" s="92"/>
      <c r="G569" s="96"/>
      <c r="H569" s="96"/>
      <c r="I569" s="92"/>
      <c r="J569" s="92"/>
      <c r="K569" s="92"/>
      <c r="L569" s="92"/>
      <c r="M569" s="92"/>
      <c r="N569" s="97">
        <v>0</v>
      </c>
      <c r="O569" s="97">
        <v>37</v>
      </c>
      <c r="P569" s="98">
        <f>SUM(SamplingData[[#This Row],[Winning Candidate]:[Under Votes]])</f>
        <v>499</v>
      </c>
      <c r="Q569" s="99">
        <f>IF(AND(SamplingData[[#This Row],[Total]]&lt;&gt; 0, NOT(ISBLANK(SamplingData[[#This Row],[Losing Candidate]]))),(SamplingData[[#This Row],[Total]]+SamplingData[[#This Row],[Winning Candidate]]-SamplingData[[#This Row],[Losing Candidate]])/(SamplingData[[#Totals],[Winning Candidate]]-SamplingData[[#Totals],[Losing Candidate]]), 0)</f>
        <v>2.5589882872177897E-2</v>
      </c>
      <c r="R569" s="99">
        <f>IF(AND(SamplingData[[#This Row],[Total]]&lt;&gt; 0, NOT(ISBLANK(SamplingData[[#This Row],[Candidate 3]]))),(SamplingData[[#This Row],[Total]]+SamplingData[[#This Row],[Winning Candidate]]-SamplingData[[#This Row],[Candidate 3]])/(SamplingData[[#Totals],[Winning Candidate]]-SamplingData[[#Totals],[Candidate 3]]), 0)</f>
        <v>0</v>
      </c>
      <c r="S569" s="99">
        <f>IF(AND(SamplingData[[#This Row],[Total]]&lt;&gt; 0, NOT(ISBLANK(SamplingData[[#This Row],[Candidate 4]]))),(SamplingData[[#This Row],[Total]]+SamplingData[[#This Row],[Winning Candidate]]-SamplingData[[#This Row],[Candidate 4]])/(SamplingData[[#Totals],[Winning Candidate]]-SamplingData[[#Totals],[Candidate 4]]), 0)</f>
        <v>0</v>
      </c>
      <c r="T569" s="99">
        <f>IF(AND(SamplingData[[#This Row],[Total]]&lt;&gt; 0, NOT(ISBLANK(SamplingData[[#This Row],[Candidate 5]]))),(SamplingData[[#This Row],[Total]]+SamplingData[[#This Row],[Winning Candidate]]-SamplingData[[#This Row],[Candidate 5]])/(SamplingData[[#Totals],[Winning Candidate]]-SamplingData[[#Totals],[Candidate 5]]), 0)</f>
        <v>0</v>
      </c>
      <c r="U569" s="99">
        <f>IF(AND(SamplingData[[#This Row],[Total]]&lt;&gt; 0, NOT(ISBLANK(SamplingData[[#This Row],[Candidate 6]]))),(SamplingData[[#This Row],[Total]]+SamplingData[[#This Row],[Losing Candidate]]-SamplingData[[#This Row],[Candidate 6]])/(SamplingData[[#Totals],[Winning Candidate]]-SamplingData[[#Totals],[Candidate 6]]), 0)</f>
        <v>0</v>
      </c>
      <c r="V569" s="99">
        <f>IF(AND(SamplingData[[#This Row],[Total]]&lt;&gt; 0, NOT(ISBLANK(SamplingData[[#This Row],[Candidate 7]]))),(SamplingData[[#This Row],[Total]]+SamplingData[[#This Row],[Winning Candidate]]-SamplingData[[#This Row],[Candidate 7]])/(SamplingData[[#Totals],[Winning Candidate]]-SamplingData[[#Totals],[Candidate 7]]), 0)</f>
        <v>0</v>
      </c>
      <c r="W569" s="99">
        <f>IF(AND(SamplingData[[#This Row],[Total]]&lt;&gt; 0, NOT(ISBLANK(SamplingData[[#This Row],[Candidate 8]]))),(SamplingData[[#This Row],[Total]]+SamplingData[[#This Row],[Winning Candidate]]-SamplingData[[#This Row],[Candidate 8]])/(SamplingData[[#Totals],[Winning Candidate]]-SamplingData[[#Totals],[Candidate 8]]), 0)</f>
        <v>0</v>
      </c>
      <c r="X5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9" s="99">
        <f>MAX(SamplingData[[#This Row],[Error Bound (up) - Max. possible relative overstatement - Losing Candidate]:[Error Bound (up) - Max. possible relative overstatement - Candidate 12]])</f>
        <v>2.5589882872177897E-2</v>
      </c>
      <c r="AC569" s="99">
        <f>IF(SamplingData[[#This Row],[Max Error Bound (up)]] = 0,0,SamplingData[[#This Row],[Max Error Bound (up)]]/SamplingData[[#Totals],[Max Error Bound (up)]])</f>
        <v>1.3701057912531372E-3</v>
      </c>
      <c r="AD569" s="103">
        <f>SUM($AC$5:AC569)</f>
        <v>0.45800614389064664</v>
      </c>
      <c r="AE569" s="99" t="str" cm="1">
        <f t="array" ref="AE569">IF(SamplingData[[#This Row],[up/U Selection Probability]] = 0, "Zero", TEXT(SamplingData[[#This Row],[Lower Range]], REPT("0",LEN('General Info'!$B$42))) &amp; " - " &amp; TEXT(SamplingData[[#This Row],[Upper Range]], REPT("0",LEN('General Info'!$B$42))))</f>
        <v>456636 - 458005</v>
      </c>
      <c r="AF569" s="99">
        <f>SamplingData[[#This Row],[Upper Range]]-SamplingData[[#This Row],[Span]]</f>
        <v>456636.03809939348</v>
      </c>
      <c r="AG569" s="99">
        <f>IF(ISNUMBER('General Info'!$B$42), ((SamplingData[[#This Row],[up/U Selection Probability]]) * 'General Info'!$B$44) - 1, 0)</f>
        <v>1369.1057912531371</v>
      </c>
      <c r="AH569" s="99">
        <f>IF(ISNUMBER('General Info'!$B$42), (SamplingData[[#This Row],[Running (cumulative) sum]] * ('General Info'!$B$42 -'General Info'!$B$43 + 1)) + 'General Info'!$B$43 - 1, 0)</f>
        <v>458005.14389064664</v>
      </c>
      <c r="AI569" s="99" t="str">
        <f>IF(ISERROR(MATCH(SamplingData[[#This Row],[Batch by Type (p)]],SelectedPrecincts[Batch Name], 0)), "", INDEX(SelectedPrecincts[Draw], MATCH(SamplingData[[#This Row],[Batch by Type (p)]],SelectedPrecincts[Batch Name], 0)))</f>
        <v/>
      </c>
      <c r="AJ569" s="100">
        <f>IF(COUNTIF(SelectedPrecincts[Batch Name],SamplingData[[#This Row],[Batch by Type (p)]]) &lt;&gt; 0, COUNTIF(SelectedPrecincts[Batch Name],SamplingData[[#This Row],[Batch by Type (p)]]), 0)</f>
        <v>0</v>
      </c>
    </row>
    <row r="570" spans="1:36" ht="15" customHeight="1" x14ac:dyDescent="0.35">
      <c r="A570" s="97" t="s">
        <v>783</v>
      </c>
      <c r="B570" s="97">
        <v>153</v>
      </c>
      <c r="C570" s="97">
        <v>133</v>
      </c>
      <c r="D570" s="92"/>
      <c r="E570" s="92"/>
      <c r="F570" s="92"/>
      <c r="G570" s="96"/>
      <c r="H570" s="96"/>
      <c r="I570" s="92"/>
      <c r="J570" s="92"/>
      <c r="K570" s="92"/>
      <c r="L570" s="92"/>
      <c r="M570" s="92"/>
      <c r="N570" s="97">
        <v>0</v>
      </c>
      <c r="O570" s="97">
        <v>20</v>
      </c>
      <c r="P570" s="98">
        <f>SUM(SamplingData[[#This Row],[Winning Candidate]:[Under Votes]])</f>
        <v>306</v>
      </c>
      <c r="Q570" s="99">
        <f>IF(AND(SamplingData[[#This Row],[Total]]&lt;&gt; 0, NOT(ISBLANK(SamplingData[[#This Row],[Losing Candidate]]))),(SamplingData[[#This Row],[Total]]+SamplingData[[#This Row],[Winning Candidate]]-SamplingData[[#This Row],[Losing Candidate]])/(SamplingData[[#Totals],[Winning Candidate]]-SamplingData[[#Totals],[Losing Candidate]]), 0)</f>
        <v>1.3834663045323374E-2</v>
      </c>
      <c r="R570" s="99">
        <f>IF(AND(SamplingData[[#This Row],[Total]]&lt;&gt; 0, NOT(ISBLANK(SamplingData[[#This Row],[Candidate 3]]))),(SamplingData[[#This Row],[Total]]+SamplingData[[#This Row],[Winning Candidate]]-SamplingData[[#This Row],[Candidate 3]])/(SamplingData[[#Totals],[Winning Candidate]]-SamplingData[[#Totals],[Candidate 3]]), 0)</f>
        <v>0</v>
      </c>
      <c r="S570" s="99">
        <f>IF(AND(SamplingData[[#This Row],[Total]]&lt;&gt; 0, NOT(ISBLANK(SamplingData[[#This Row],[Candidate 4]]))),(SamplingData[[#This Row],[Total]]+SamplingData[[#This Row],[Winning Candidate]]-SamplingData[[#This Row],[Candidate 4]])/(SamplingData[[#Totals],[Winning Candidate]]-SamplingData[[#Totals],[Candidate 4]]), 0)</f>
        <v>0</v>
      </c>
      <c r="T570" s="99">
        <f>IF(AND(SamplingData[[#This Row],[Total]]&lt;&gt; 0, NOT(ISBLANK(SamplingData[[#This Row],[Candidate 5]]))),(SamplingData[[#This Row],[Total]]+SamplingData[[#This Row],[Winning Candidate]]-SamplingData[[#This Row],[Candidate 5]])/(SamplingData[[#Totals],[Winning Candidate]]-SamplingData[[#Totals],[Candidate 5]]), 0)</f>
        <v>0</v>
      </c>
      <c r="U570" s="99">
        <f>IF(AND(SamplingData[[#This Row],[Total]]&lt;&gt; 0, NOT(ISBLANK(SamplingData[[#This Row],[Candidate 6]]))),(SamplingData[[#This Row],[Total]]+SamplingData[[#This Row],[Losing Candidate]]-SamplingData[[#This Row],[Candidate 6]])/(SamplingData[[#Totals],[Winning Candidate]]-SamplingData[[#Totals],[Candidate 6]]), 0)</f>
        <v>0</v>
      </c>
      <c r="V570" s="99">
        <f>IF(AND(SamplingData[[#This Row],[Total]]&lt;&gt; 0, NOT(ISBLANK(SamplingData[[#This Row],[Candidate 7]]))),(SamplingData[[#This Row],[Total]]+SamplingData[[#This Row],[Winning Candidate]]-SamplingData[[#This Row],[Candidate 7]])/(SamplingData[[#Totals],[Winning Candidate]]-SamplingData[[#Totals],[Candidate 7]]), 0)</f>
        <v>0</v>
      </c>
      <c r="W570" s="99">
        <f>IF(AND(SamplingData[[#This Row],[Total]]&lt;&gt; 0, NOT(ISBLANK(SamplingData[[#This Row],[Candidate 8]]))),(SamplingData[[#This Row],[Total]]+SamplingData[[#This Row],[Winning Candidate]]-SamplingData[[#This Row],[Candidate 8]])/(SamplingData[[#Totals],[Winning Candidate]]-SamplingData[[#Totals],[Candidate 8]]), 0)</f>
        <v>0</v>
      </c>
      <c r="X5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0" s="99">
        <f>MAX(SamplingData[[#This Row],[Error Bound (up) - Max. possible relative overstatement - Losing Candidate]:[Error Bound (up) - Max. possible relative overstatement - Candidate 12]])</f>
        <v>1.3834663045323374E-2</v>
      </c>
      <c r="AC570" s="99">
        <f>IF(SamplingData[[#This Row],[Max Error Bound (up)]] = 0,0,SamplingData[[#This Row],[Max Error Bound (up)]]/SamplingData[[#Totals],[Max Error Bound (up)]])</f>
        <v>7.4072054386156347E-4</v>
      </c>
      <c r="AD570" s="103">
        <f>SUM($AC$5:AC570)</f>
        <v>0.45874686443450818</v>
      </c>
      <c r="AE570" s="99" t="str" cm="1">
        <f t="array" ref="AE570">IF(SamplingData[[#This Row],[up/U Selection Probability]] = 0, "Zero", TEXT(SamplingData[[#This Row],[Lower Range]], REPT("0",LEN('General Info'!$B$42))) &amp; " - " &amp; TEXT(SamplingData[[#This Row],[Upper Range]], REPT("0",LEN('General Info'!$B$42))))</f>
        <v>458006 - 458746</v>
      </c>
      <c r="AF570" s="99">
        <f>SamplingData[[#This Row],[Upper Range]]-SamplingData[[#This Row],[Span]]</f>
        <v>458006.14389064664</v>
      </c>
      <c r="AG570" s="99">
        <f>IF(ISNUMBER('General Info'!$B$42), ((SamplingData[[#This Row],[up/U Selection Probability]]) * 'General Info'!$B$44) - 1, 0)</f>
        <v>739.72054386156344</v>
      </c>
      <c r="AH570" s="99">
        <f>IF(ISNUMBER('General Info'!$B$42), (SamplingData[[#This Row],[Running (cumulative) sum]] * ('General Info'!$B$42 -'General Info'!$B$43 + 1)) + 'General Info'!$B$43 - 1, 0)</f>
        <v>458745.8644345082</v>
      </c>
      <c r="AI570" s="99" t="str">
        <f>IF(ISERROR(MATCH(SamplingData[[#This Row],[Batch by Type (p)]],SelectedPrecincts[Batch Name], 0)), "", INDEX(SelectedPrecincts[Draw], MATCH(SamplingData[[#This Row],[Batch by Type (p)]],SelectedPrecincts[Batch Name], 0)))</f>
        <v/>
      </c>
      <c r="AJ570" s="100">
        <f>IF(COUNTIF(SelectedPrecincts[Batch Name],SamplingData[[#This Row],[Batch by Type (p)]]) &lt;&gt; 0, COUNTIF(SelectedPrecincts[Batch Name],SamplingData[[#This Row],[Batch by Type (p)]]), 0)</f>
        <v>0</v>
      </c>
    </row>
    <row r="571" spans="1:36" ht="15" customHeight="1" x14ac:dyDescent="0.35">
      <c r="A571" s="97" t="s">
        <v>784</v>
      </c>
      <c r="B571" s="97">
        <v>289</v>
      </c>
      <c r="C571" s="97">
        <v>183</v>
      </c>
      <c r="D571" s="92"/>
      <c r="E571" s="92"/>
      <c r="F571" s="92"/>
      <c r="G571" s="96"/>
      <c r="H571" s="96"/>
      <c r="I571" s="92"/>
      <c r="J571" s="92"/>
      <c r="K571" s="92"/>
      <c r="L571" s="92"/>
      <c r="M571" s="92"/>
      <c r="N571" s="97">
        <v>0</v>
      </c>
      <c r="O571" s="97">
        <v>49</v>
      </c>
      <c r="P571" s="98">
        <f>SUM(SamplingData[[#This Row],[Winning Candidate]:[Under Votes]])</f>
        <v>521</v>
      </c>
      <c r="Q571" s="99">
        <f>IF(AND(SamplingData[[#This Row],[Total]]&lt;&gt; 0, NOT(ISBLANK(SamplingData[[#This Row],[Losing Candidate]]))),(SamplingData[[#This Row],[Total]]+SamplingData[[#This Row],[Winning Candidate]]-SamplingData[[#This Row],[Losing Candidate]])/(SamplingData[[#Totals],[Winning Candidate]]-SamplingData[[#Totals],[Losing Candidate]]), 0)</f>
        <v>2.6608385673060602E-2</v>
      </c>
      <c r="R571" s="99">
        <f>IF(AND(SamplingData[[#This Row],[Total]]&lt;&gt; 0, NOT(ISBLANK(SamplingData[[#This Row],[Candidate 3]]))),(SamplingData[[#This Row],[Total]]+SamplingData[[#This Row],[Winning Candidate]]-SamplingData[[#This Row],[Candidate 3]])/(SamplingData[[#Totals],[Winning Candidate]]-SamplingData[[#Totals],[Candidate 3]]), 0)</f>
        <v>0</v>
      </c>
      <c r="S571" s="99">
        <f>IF(AND(SamplingData[[#This Row],[Total]]&lt;&gt; 0, NOT(ISBLANK(SamplingData[[#This Row],[Candidate 4]]))),(SamplingData[[#This Row],[Total]]+SamplingData[[#This Row],[Winning Candidate]]-SamplingData[[#This Row],[Candidate 4]])/(SamplingData[[#Totals],[Winning Candidate]]-SamplingData[[#Totals],[Candidate 4]]), 0)</f>
        <v>0</v>
      </c>
      <c r="T571" s="99">
        <f>IF(AND(SamplingData[[#This Row],[Total]]&lt;&gt; 0, NOT(ISBLANK(SamplingData[[#This Row],[Candidate 5]]))),(SamplingData[[#This Row],[Total]]+SamplingData[[#This Row],[Winning Candidate]]-SamplingData[[#This Row],[Candidate 5]])/(SamplingData[[#Totals],[Winning Candidate]]-SamplingData[[#Totals],[Candidate 5]]), 0)</f>
        <v>0</v>
      </c>
      <c r="U571" s="99">
        <f>IF(AND(SamplingData[[#This Row],[Total]]&lt;&gt; 0, NOT(ISBLANK(SamplingData[[#This Row],[Candidate 6]]))),(SamplingData[[#This Row],[Total]]+SamplingData[[#This Row],[Losing Candidate]]-SamplingData[[#This Row],[Candidate 6]])/(SamplingData[[#Totals],[Winning Candidate]]-SamplingData[[#Totals],[Candidate 6]]), 0)</f>
        <v>0</v>
      </c>
      <c r="V571" s="99">
        <f>IF(AND(SamplingData[[#This Row],[Total]]&lt;&gt; 0, NOT(ISBLANK(SamplingData[[#This Row],[Candidate 7]]))),(SamplingData[[#This Row],[Total]]+SamplingData[[#This Row],[Winning Candidate]]-SamplingData[[#This Row],[Candidate 7]])/(SamplingData[[#Totals],[Winning Candidate]]-SamplingData[[#Totals],[Candidate 7]]), 0)</f>
        <v>0</v>
      </c>
      <c r="W571" s="99">
        <f>IF(AND(SamplingData[[#This Row],[Total]]&lt;&gt; 0, NOT(ISBLANK(SamplingData[[#This Row],[Candidate 8]]))),(SamplingData[[#This Row],[Total]]+SamplingData[[#This Row],[Winning Candidate]]-SamplingData[[#This Row],[Candidate 8]])/(SamplingData[[#Totals],[Winning Candidate]]-SamplingData[[#Totals],[Candidate 8]]), 0)</f>
        <v>0</v>
      </c>
      <c r="X5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1" s="99">
        <f>MAX(SamplingData[[#This Row],[Error Bound (up) - Max. possible relative overstatement - Losing Candidate]:[Error Bound (up) - Max. possible relative overstatement - Candidate 12]])</f>
        <v>2.6608385673060602E-2</v>
      </c>
      <c r="AC571" s="99">
        <f>IF(SamplingData[[#This Row],[Max Error Bound (up)]] = 0,0,SamplingData[[#This Row],[Max Error Bound (up)]]/SamplingData[[#Totals],[Max Error Bound (up)]])</f>
        <v>1.4246373650343568E-3</v>
      </c>
      <c r="AD571" s="103">
        <f>SUM($AC$5:AC571)</f>
        <v>0.46017150179954253</v>
      </c>
      <c r="AE571" s="99" t="str" cm="1">
        <f t="array" ref="AE571">IF(SamplingData[[#This Row],[up/U Selection Probability]] = 0, "Zero", TEXT(SamplingData[[#This Row],[Lower Range]], REPT("0",LEN('General Info'!$B$42))) &amp; " - " &amp; TEXT(SamplingData[[#This Row],[Upper Range]], REPT("0",LEN('General Info'!$B$42))))</f>
        <v>458747 - 460171</v>
      </c>
      <c r="AF571" s="99">
        <f>SamplingData[[#This Row],[Upper Range]]-SamplingData[[#This Row],[Span]]</f>
        <v>458746.86443450814</v>
      </c>
      <c r="AG571" s="99">
        <f>IF(ISNUMBER('General Info'!$B$42), ((SamplingData[[#This Row],[up/U Selection Probability]]) * 'General Info'!$B$44) - 1, 0)</f>
        <v>1423.6373650343567</v>
      </c>
      <c r="AH571" s="99">
        <f>IF(ISNUMBER('General Info'!$B$42), (SamplingData[[#This Row],[Running (cumulative) sum]] * ('General Info'!$B$42 -'General Info'!$B$43 + 1)) + 'General Info'!$B$43 - 1, 0)</f>
        <v>460170.50179954252</v>
      </c>
      <c r="AI571" s="99" t="str">
        <f>IF(ISERROR(MATCH(SamplingData[[#This Row],[Batch by Type (p)]],SelectedPrecincts[Batch Name], 0)), "", INDEX(SelectedPrecincts[Draw], MATCH(SamplingData[[#This Row],[Batch by Type (p)]],SelectedPrecincts[Batch Name], 0)))</f>
        <v/>
      </c>
      <c r="AJ571" s="100">
        <f>IF(COUNTIF(SelectedPrecincts[Batch Name],SamplingData[[#This Row],[Batch by Type (p)]]) &lt;&gt; 0, COUNTIF(SelectedPrecincts[Batch Name],SamplingData[[#This Row],[Batch by Type (p)]]), 0)</f>
        <v>0</v>
      </c>
    </row>
    <row r="572" spans="1:36" ht="15" customHeight="1" x14ac:dyDescent="0.35">
      <c r="A572" s="97" t="s">
        <v>785</v>
      </c>
      <c r="B572" s="97">
        <v>282</v>
      </c>
      <c r="C572" s="97">
        <v>248</v>
      </c>
      <c r="D572" s="92"/>
      <c r="E572" s="92"/>
      <c r="F572" s="92"/>
      <c r="G572" s="96"/>
      <c r="H572" s="96"/>
      <c r="I572" s="92"/>
      <c r="J572" s="92"/>
      <c r="K572" s="92"/>
      <c r="L572" s="92"/>
      <c r="M572" s="92"/>
      <c r="N572" s="97">
        <v>0</v>
      </c>
      <c r="O572" s="97">
        <v>48</v>
      </c>
      <c r="P572" s="98">
        <f>SUM(SamplingData[[#This Row],[Winning Candidate]:[Under Votes]])</f>
        <v>578</v>
      </c>
      <c r="Q572" s="99">
        <f>IF(AND(SamplingData[[#This Row],[Total]]&lt;&gt; 0, NOT(ISBLANK(SamplingData[[#This Row],[Losing Candidate]]))),(SamplingData[[#This Row],[Total]]+SamplingData[[#This Row],[Winning Candidate]]-SamplingData[[#This Row],[Losing Candidate]])/(SamplingData[[#Totals],[Winning Candidate]]-SamplingData[[#Totals],[Losing Candidate]]), 0)</f>
        <v>2.5971821422508912E-2</v>
      </c>
      <c r="R572" s="99">
        <f>IF(AND(SamplingData[[#This Row],[Total]]&lt;&gt; 0, NOT(ISBLANK(SamplingData[[#This Row],[Candidate 3]]))),(SamplingData[[#This Row],[Total]]+SamplingData[[#This Row],[Winning Candidate]]-SamplingData[[#This Row],[Candidate 3]])/(SamplingData[[#Totals],[Winning Candidate]]-SamplingData[[#Totals],[Candidate 3]]), 0)</f>
        <v>0</v>
      </c>
      <c r="S572" s="99">
        <f>IF(AND(SamplingData[[#This Row],[Total]]&lt;&gt; 0, NOT(ISBLANK(SamplingData[[#This Row],[Candidate 4]]))),(SamplingData[[#This Row],[Total]]+SamplingData[[#This Row],[Winning Candidate]]-SamplingData[[#This Row],[Candidate 4]])/(SamplingData[[#Totals],[Winning Candidate]]-SamplingData[[#Totals],[Candidate 4]]), 0)</f>
        <v>0</v>
      </c>
      <c r="T572" s="99">
        <f>IF(AND(SamplingData[[#This Row],[Total]]&lt;&gt; 0, NOT(ISBLANK(SamplingData[[#This Row],[Candidate 5]]))),(SamplingData[[#This Row],[Total]]+SamplingData[[#This Row],[Winning Candidate]]-SamplingData[[#This Row],[Candidate 5]])/(SamplingData[[#Totals],[Winning Candidate]]-SamplingData[[#Totals],[Candidate 5]]), 0)</f>
        <v>0</v>
      </c>
      <c r="U572" s="99">
        <f>IF(AND(SamplingData[[#This Row],[Total]]&lt;&gt; 0, NOT(ISBLANK(SamplingData[[#This Row],[Candidate 6]]))),(SamplingData[[#This Row],[Total]]+SamplingData[[#This Row],[Losing Candidate]]-SamplingData[[#This Row],[Candidate 6]])/(SamplingData[[#Totals],[Winning Candidate]]-SamplingData[[#Totals],[Candidate 6]]), 0)</f>
        <v>0</v>
      </c>
      <c r="V572" s="99">
        <f>IF(AND(SamplingData[[#This Row],[Total]]&lt;&gt; 0, NOT(ISBLANK(SamplingData[[#This Row],[Candidate 7]]))),(SamplingData[[#This Row],[Total]]+SamplingData[[#This Row],[Winning Candidate]]-SamplingData[[#This Row],[Candidate 7]])/(SamplingData[[#Totals],[Winning Candidate]]-SamplingData[[#Totals],[Candidate 7]]), 0)</f>
        <v>0</v>
      </c>
      <c r="W572" s="99">
        <f>IF(AND(SamplingData[[#This Row],[Total]]&lt;&gt; 0, NOT(ISBLANK(SamplingData[[#This Row],[Candidate 8]]))),(SamplingData[[#This Row],[Total]]+SamplingData[[#This Row],[Winning Candidate]]-SamplingData[[#This Row],[Candidate 8]])/(SamplingData[[#Totals],[Winning Candidate]]-SamplingData[[#Totals],[Candidate 8]]), 0)</f>
        <v>0</v>
      </c>
      <c r="X5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2" s="99">
        <f>MAX(SamplingData[[#This Row],[Error Bound (up) - Max. possible relative overstatement - Losing Candidate]:[Error Bound (up) - Max. possible relative overstatement - Candidate 12]])</f>
        <v>2.5971821422508912E-2</v>
      </c>
      <c r="AC572" s="99">
        <f>IF(SamplingData[[#This Row],[Max Error Bound (up)]] = 0,0,SamplingData[[#This Row],[Max Error Bound (up)]]/SamplingData[[#Totals],[Max Error Bound (up)]])</f>
        <v>1.3905551314210946E-3</v>
      </c>
      <c r="AD572" s="103">
        <f>SUM($AC$5:AC572)</f>
        <v>0.46156205693096364</v>
      </c>
      <c r="AE572" s="99" t="str" cm="1">
        <f t="array" ref="AE572">IF(SamplingData[[#This Row],[up/U Selection Probability]] = 0, "Zero", TEXT(SamplingData[[#This Row],[Lower Range]], REPT("0",LEN('General Info'!$B$42))) &amp; " - " &amp; TEXT(SamplingData[[#This Row],[Upper Range]], REPT("0",LEN('General Info'!$B$42))))</f>
        <v>460172 - 461561</v>
      </c>
      <c r="AF572" s="99">
        <f>SamplingData[[#This Row],[Upper Range]]-SamplingData[[#This Row],[Span]]</f>
        <v>460171.50179954257</v>
      </c>
      <c r="AG572" s="99">
        <f>IF(ISNUMBER('General Info'!$B$42), ((SamplingData[[#This Row],[up/U Selection Probability]]) * 'General Info'!$B$44) - 1, 0)</f>
        <v>1389.5551314210945</v>
      </c>
      <c r="AH572" s="99">
        <f>IF(ISNUMBER('General Info'!$B$42), (SamplingData[[#This Row],[Running (cumulative) sum]] * ('General Info'!$B$42 -'General Info'!$B$43 + 1)) + 'General Info'!$B$43 - 1, 0)</f>
        <v>461561.05693096365</v>
      </c>
      <c r="AI572" s="99" t="str">
        <f>IF(ISERROR(MATCH(SamplingData[[#This Row],[Batch by Type (p)]],SelectedPrecincts[Batch Name], 0)), "", INDEX(SelectedPrecincts[Draw], MATCH(SamplingData[[#This Row],[Batch by Type (p)]],SelectedPrecincts[Batch Name], 0)))</f>
        <v/>
      </c>
      <c r="AJ572" s="100">
        <f>IF(COUNTIF(SelectedPrecincts[Batch Name],SamplingData[[#This Row],[Batch by Type (p)]]) &lt;&gt; 0, COUNTIF(SelectedPrecincts[Batch Name],SamplingData[[#This Row],[Batch by Type (p)]]), 0)</f>
        <v>0</v>
      </c>
    </row>
    <row r="573" spans="1:36" ht="15" customHeight="1" x14ac:dyDescent="0.35">
      <c r="A573" s="97" t="s">
        <v>786</v>
      </c>
      <c r="B573" s="97">
        <v>233</v>
      </c>
      <c r="C573" s="97">
        <v>186</v>
      </c>
      <c r="D573" s="92"/>
      <c r="E573" s="92"/>
      <c r="F573" s="92"/>
      <c r="G573" s="96"/>
      <c r="H573" s="96"/>
      <c r="I573" s="92"/>
      <c r="J573" s="92"/>
      <c r="K573" s="92"/>
      <c r="L573" s="92"/>
      <c r="M573" s="92"/>
      <c r="N573" s="97">
        <v>0</v>
      </c>
      <c r="O573" s="97">
        <v>43</v>
      </c>
      <c r="P573" s="98">
        <f>SUM(SamplingData[[#This Row],[Winning Candidate]:[Under Votes]])</f>
        <v>462</v>
      </c>
      <c r="Q573" s="99">
        <f>IF(AND(SamplingData[[#This Row],[Total]]&lt;&gt; 0, NOT(ISBLANK(SamplingData[[#This Row],[Losing Candidate]]))),(SamplingData[[#This Row],[Total]]+SamplingData[[#This Row],[Winning Candidate]]-SamplingData[[#This Row],[Losing Candidate]])/(SamplingData[[#Totals],[Winning Candidate]]-SamplingData[[#Totals],[Losing Candidate]]), 0)</f>
        <v>2.1600746902053981E-2</v>
      </c>
      <c r="R573" s="99">
        <f>IF(AND(SamplingData[[#This Row],[Total]]&lt;&gt; 0, NOT(ISBLANK(SamplingData[[#This Row],[Candidate 3]]))),(SamplingData[[#This Row],[Total]]+SamplingData[[#This Row],[Winning Candidate]]-SamplingData[[#This Row],[Candidate 3]])/(SamplingData[[#Totals],[Winning Candidate]]-SamplingData[[#Totals],[Candidate 3]]), 0)</f>
        <v>0</v>
      </c>
      <c r="S573" s="99">
        <f>IF(AND(SamplingData[[#This Row],[Total]]&lt;&gt; 0, NOT(ISBLANK(SamplingData[[#This Row],[Candidate 4]]))),(SamplingData[[#This Row],[Total]]+SamplingData[[#This Row],[Winning Candidate]]-SamplingData[[#This Row],[Candidate 4]])/(SamplingData[[#Totals],[Winning Candidate]]-SamplingData[[#Totals],[Candidate 4]]), 0)</f>
        <v>0</v>
      </c>
      <c r="T573" s="99">
        <f>IF(AND(SamplingData[[#This Row],[Total]]&lt;&gt; 0, NOT(ISBLANK(SamplingData[[#This Row],[Candidate 5]]))),(SamplingData[[#This Row],[Total]]+SamplingData[[#This Row],[Winning Candidate]]-SamplingData[[#This Row],[Candidate 5]])/(SamplingData[[#Totals],[Winning Candidate]]-SamplingData[[#Totals],[Candidate 5]]), 0)</f>
        <v>0</v>
      </c>
      <c r="U573" s="99">
        <f>IF(AND(SamplingData[[#This Row],[Total]]&lt;&gt; 0, NOT(ISBLANK(SamplingData[[#This Row],[Candidate 6]]))),(SamplingData[[#This Row],[Total]]+SamplingData[[#This Row],[Losing Candidate]]-SamplingData[[#This Row],[Candidate 6]])/(SamplingData[[#Totals],[Winning Candidate]]-SamplingData[[#Totals],[Candidate 6]]), 0)</f>
        <v>0</v>
      </c>
      <c r="V573" s="99">
        <f>IF(AND(SamplingData[[#This Row],[Total]]&lt;&gt; 0, NOT(ISBLANK(SamplingData[[#This Row],[Candidate 7]]))),(SamplingData[[#This Row],[Total]]+SamplingData[[#This Row],[Winning Candidate]]-SamplingData[[#This Row],[Candidate 7]])/(SamplingData[[#Totals],[Winning Candidate]]-SamplingData[[#Totals],[Candidate 7]]), 0)</f>
        <v>0</v>
      </c>
      <c r="W573" s="99">
        <f>IF(AND(SamplingData[[#This Row],[Total]]&lt;&gt; 0, NOT(ISBLANK(SamplingData[[#This Row],[Candidate 8]]))),(SamplingData[[#This Row],[Total]]+SamplingData[[#This Row],[Winning Candidate]]-SamplingData[[#This Row],[Candidate 8]])/(SamplingData[[#Totals],[Winning Candidate]]-SamplingData[[#Totals],[Candidate 8]]), 0)</f>
        <v>0</v>
      </c>
      <c r="X5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3" s="99">
        <f>MAX(SamplingData[[#This Row],[Error Bound (up) - Max. possible relative overstatement - Losing Candidate]:[Error Bound (up) - Max. possible relative overstatement - Candidate 12]])</f>
        <v>2.1600746902053981E-2</v>
      </c>
      <c r="AC573" s="99">
        <f>IF(SamplingData[[#This Row],[Max Error Bound (up)]] = 0,0,SamplingData[[#This Row],[Max Error Bound (up)]]/SamplingData[[#Totals],[Max Error Bound (up)]])</f>
        <v>1.1565237939433614E-3</v>
      </c>
      <c r="AD573" s="103">
        <f>SUM($AC$5:AC573)</f>
        <v>0.46271858072490701</v>
      </c>
      <c r="AE573" s="99" t="str" cm="1">
        <f t="array" ref="AE573">IF(SamplingData[[#This Row],[up/U Selection Probability]] = 0, "Zero", TEXT(SamplingData[[#This Row],[Lower Range]], REPT("0",LEN('General Info'!$B$42))) &amp; " - " &amp; TEXT(SamplingData[[#This Row],[Upper Range]], REPT("0",LEN('General Info'!$B$42))))</f>
        <v>461562 - 462718</v>
      </c>
      <c r="AF573" s="99">
        <f>SamplingData[[#This Row],[Upper Range]]-SamplingData[[#This Row],[Span]]</f>
        <v>461562.05693096365</v>
      </c>
      <c r="AG573" s="99">
        <f>IF(ISNUMBER('General Info'!$B$42), ((SamplingData[[#This Row],[up/U Selection Probability]]) * 'General Info'!$B$44) - 1, 0)</f>
        <v>1155.5237939433614</v>
      </c>
      <c r="AH573" s="99">
        <f>IF(ISNUMBER('General Info'!$B$42), (SamplingData[[#This Row],[Running (cumulative) sum]] * ('General Info'!$B$42 -'General Info'!$B$43 + 1)) + 'General Info'!$B$43 - 1, 0)</f>
        <v>462717.58072490699</v>
      </c>
      <c r="AI573" s="99" t="str">
        <f>IF(ISERROR(MATCH(SamplingData[[#This Row],[Batch by Type (p)]],SelectedPrecincts[Batch Name], 0)), "", INDEX(SelectedPrecincts[Draw], MATCH(SamplingData[[#This Row],[Batch by Type (p)]],SelectedPrecincts[Batch Name], 0)))</f>
        <v/>
      </c>
      <c r="AJ573" s="100">
        <f>IF(COUNTIF(SelectedPrecincts[Batch Name],SamplingData[[#This Row],[Batch by Type (p)]]) &lt;&gt; 0, COUNTIF(SelectedPrecincts[Batch Name],SamplingData[[#This Row],[Batch by Type (p)]]), 0)</f>
        <v>0</v>
      </c>
    </row>
    <row r="574" spans="1:36" ht="15" customHeight="1" x14ac:dyDescent="0.35">
      <c r="A574" s="97" t="s">
        <v>787</v>
      </c>
      <c r="B574" s="97">
        <v>107</v>
      </c>
      <c r="C574" s="97">
        <v>126</v>
      </c>
      <c r="D574" s="92"/>
      <c r="E574" s="92"/>
      <c r="F574" s="92"/>
      <c r="G574" s="96"/>
      <c r="H574" s="96"/>
      <c r="I574" s="92"/>
      <c r="J574" s="92"/>
      <c r="K574" s="92"/>
      <c r="L574" s="92"/>
      <c r="M574" s="92"/>
      <c r="N574" s="97">
        <v>0</v>
      </c>
      <c r="O574" s="97">
        <v>24</v>
      </c>
      <c r="P574" s="98">
        <f>SUM(SamplingData[[#This Row],[Winning Candidate]:[Under Votes]])</f>
        <v>257</v>
      </c>
      <c r="Q574" s="99">
        <f>IF(AND(SamplingData[[#This Row],[Total]]&lt;&gt; 0, NOT(ISBLANK(SamplingData[[#This Row],[Losing Candidate]]))),(SamplingData[[#This Row],[Total]]+SamplingData[[#This Row],[Winning Candidate]]-SamplingData[[#This Row],[Losing Candidate]])/(SamplingData[[#Totals],[Winning Candidate]]-SamplingData[[#Totals],[Losing Candidate]]), 0)</f>
        <v>1.0100152775420132E-2</v>
      </c>
      <c r="R574" s="99">
        <f>IF(AND(SamplingData[[#This Row],[Total]]&lt;&gt; 0, NOT(ISBLANK(SamplingData[[#This Row],[Candidate 3]]))),(SamplingData[[#This Row],[Total]]+SamplingData[[#This Row],[Winning Candidate]]-SamplingData[[#This Row],[Candidate 3]])/(SamplingData[[#Totals],[Winning Candidate]]-SamplingData[[#Totals],[Candidate 3]]), 0)</f>
        <v>0</v>
      </c>
      <c r="S574" s="99">
        <f>IF(AND(SamplingData[[#This Row],[Total]]&lt;&gt; 0, NOT(ISBLANK(SamplingData[[#This Row],[Candidate 4]]))),(SamplingData[[#This Row],[Total]]+SamplingData[[#This Row],[Winning Candidate]]-SamplingData[[#This Row],[Candidate 4]])/(SamplingData[[#Totals],[Winning Candidate]]-SamplingData[[#Totals],[Candidate 4]]), 0)</f>
        <v>0</v>
      </c>
      <c r="T574" s="99">
        <f>IF(AND(SamplingData[[#This Row],[Total]]&lt;&gt; 0, NOT(ISBLANK(SamplingData[[#This Row],[Candidate 5]]))),(SamplingData[[#This Row],[Total]]+SamplingData[[#This Row],[Winning Candidate]]-SamplingData[[#This Row],[Candidate 5]])/(SamplingData[[#Totals],[Winning Candidate]]-SamplingData[[#Totals],[Candidate 5]]), 0)</f>
        <v>0</v>
      </c>
      <c r="U574" s="99">
        <f>IF(AND(SamplingData[[#This Row],[Total]]&lt;&gt; 0, NOT(ISBLANK(SamplingData[[#This Row],[Candidate 6]]))),(SamplingData[[#This Row],[Total]]+SamplingData[[#This Row],[Losing Candidate]]-SamplingData[[#This Row],[Candidate 6]])/(SamplingData[[#Totals],[Winning Candidate]]-SamplingData[[#Totals],[Candidate 6]]), 0)</f>
        <v>0</v>
      </c>
      <c r="V574" s="99">
        <f>IF(AND(SamplingData[[#This Row],[Total]]&lt;&gt; 0, NOT(ISBLANK(SamplingData[[#This Row],[Candidate 7]]))),(SamplingData[[#This Row],[Total]]+SamplingData[[#This Row],[Winning Candidate]]-SamplingData[[#This Row],[Candidate 7]])/(SamplingData[[#Totals],[Winning Candidate]]-SamplingData[[#Totals],[Candidate 7]]), 0)</f>
        <v>0</v>
      </c>
      <c r="W574" s="99">
        <f>IF(AND(SamplingData[[#This Row],[Total]]&lt;&gt; 0, NOT(ISBLANK(SamplingData[[#This Row],[Candidate 8]]))),(SamplingData[[#This Row],[Total]]+SamplingData[[#This Row],[Winning Candidate]]-SamplingData[[#This Row],[Candidate 8]])/(SamplingData[[#Totals],[Winning Candidate]]-SamplingData[[#Totals],[Candidate 8]]), 0)</f>
        <v>0</v>
      </c>
      <c r="X5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4" s="99">
        <f>MAX(SamplingData[[#This Row],[Error Bound (up) - Max. possible relative overstatement - Losing Candidate]:[Error Bound (up) - Max. possible relative overstatement - Candidate 12]])</f>
        <v>1.0100152775420132E-2</v>
      </c>
      <c r="AC574" s="99">
        <f>IF(SamplingData[[#This Row],[Max Error Bound (up)]] = 0,0,SamplingData[[#This Row],[Max Error Bound (up)]]/SamplingData[[#Totals],[Max Error Bound (up)]])</f>
        <v>5.4077143999709237E-4</v>
      </c>
      <c r="AD574" s="103">
        <f>SUM($AC$5:AC574)</f>
        <v>0.4632593521649041</v>
      </c>
      <c r="AE574" s="99" t="str" cm="1">
        <f t="array" ref="AE574">IF(SamplingData[[#This Row],[up/U Selection Probability]] = 0, "Zero", TEXT(SamplingData[[#This Row],[Lower Range]], REPT("0",LEN('General Info'!$B$42))) &amp; " - " &amp; TEXT(SamplingData[[#This Row],[Upper Range]], REPT("0",LEN('General Info'!$B$42))))</f>
        <v>462719 - 463258</v>
      </c>
      <c r="AF574" s="99">
        <f>SamplingData[[#This Row],[Upper Range]]-SamplingData[[#This Row],[Span]]</f>
        <v>462718.58072490705</v>
      </c>
      <c r="AG574" s="99">
        <f>IF(ISNUMBER('General Info'!$B$42), ((SamplingData[[#This Row],[up/U Selection Probability]]) * 'General Info'!$B$44) - 1, 0)</f>
        <v>539.77143999709233</v>
      </c>
      <c r="AH574" s="99">
        <f>IF(ISNUMBER('General Info'!$B$42), (SamplingData[[#This Row],[Running (cumulative) sum]] * ('General Info'!$B$42 -'General Info'!$B$43 + 1)) + 'General Info'!$B$43 - 1, 0)</f>
        <v>463258.35216490412</v>
      </c>
      <c r="AI574" s="99" t="str">
        <f>IF(ISERROR(MATCH(SamplingData[[#This Row],[Batch by Type (p)]],SelectedPrecincts[Batch Name], 0)), "", INDEX(SelectedPrecincts[Draw], MATCH(SamplingData[[#This Row],[Batch by Type (p)]],SelectedPrecincts[Batch Name], 0)))</f>
        <v/>
      </c>
      <c r="AJ574" s="100">
        <f>IF(COUNTIF(SelectedPrecincts[Batch Name],SamplingData[[#This Row],[Batch by Type (p)]]) &lt;&gt; 0, COUNTIF(SelectedPrecincts[Batch Name],SamplingData[[#This Row],[Batch by Type (p)]]), 0)</f>
        <v>0</v>
      </c>
    </row>
    <row r="575" spans="1:36" ht="15" customHeight="1" x14ac:dyDescent="0.35">
      <c r="A575" s="97" t="s">
        <v>788</v>
      </c>
      <c r="B575" s="97">
        <v>292</v>
      </c>
      <c r="C575" s="97">
        <v>274</v>
      </c>
      <c r="D575" s="92"/>
      <c r="E575" s="92"/>
      <c r="F575" s="92"/>
      <c r="G575" s="96"/>
      <c r="H575" s="96"/>
      <c r="I575" s="92"/>
      <c r="J575" s="92"/>
      <c r="K575" s="92"/>
      <c r="L575" s="92"/>
      <c r="M575" s="92"/>
      <c r="N575" s="97">
        <v>1</v>
      </c>
      <c r="O575" s="97">
        <v>46</v>
      </c>
      <c r="P575" s="98">
        <f>SUM(SamplingData[[#This Row],[Winning Candidate]:[Under Votes]])</f>
        <v>613</v>
      </c>
      <c r="Q575" s="99">
        <f>IF(AND(SamplingData[[#This Row],[Total]]&lt;&gt; 0, NOT(ISBLANK(SamplingData[[#This Row],[Losing Candidate]]))),(SamplingData[[#This Row],[Total]]+SamplingData[[#This Row],[Winning Candidate]]-SamplingData[[#This Row],[Losing Candidate]])/(SamplingData[[#Totals],[Winning Candidate]]-SamplingData[[#Totals],[Losing Candidate]]), 0)</f>
        <v>2.6778136139874384E-2</v>
      </c>
      <c r="R575" s="99">
        <f>IF(AND(SamplingData[[#This Row],[Total]]&lt;&gt; 0, NOT(ISBLANK(SamplingData[[#This Row],[Candidate 3]]))),(SamplingData[[#This Row],[Total]]+SamplingData[[#This Row],[Winning Candidate]]-SamplingData[[#This Row],[Candidate 3]])/(SamplingData[[#Totals],[Winning Candidate]]-SamplingData[[#Totals],[Candidate 3]]), 0)</f>
        <v>0</v>
      </c>
      <c r="S575" s="99">
        <f>IF(AND(SamplingData[[#This Row],[Total]]&lt;&gt; 0, NOT(ISBLANK(SamplingData[[#This Row],[Candidate 4]]))),(SamplingData[[#This Row],[Total]]+SamplingData[[#This Row],[Winning Candidate]]-SamplingData[[#This Row],[Candidate 4]])/(SamplingData[[#Totals],[Winning Candidate]]-SamplingData[[#Totals],[Candidate 4]]), 0)</f>
        <v>0</v>
      </c>
      <c r="T575" s="99">
        <f>IF(AND(SamplingData[[#This Row],[Total]]&lt;&gt; 0, NOT(ISBLANK(SamplingData[[#This Row],[Candidate 5]]))),(SamplingData[[#This Row],[Total]]+SamplingData[[#This Row],[Winning Candidate]]-SamplingData[[#This Row],[Candidate 5]])/(SamplingData[[#Totals],[Winning Candidate]]-SamplingData[[#Totals],[Candidate 5]]), 0)</f>
        <v>0</v>
      </c>
      <c r="U575" s="99">
        <f>IF(AND(SamplingData[[#This Row],[Total]]&lt;&gt; 0, NOT(ISBLANK(SamplingData[[#This Row],[Candidate 6]]))),(SamplingData[[#This Row],[Total]]+SamplingData[[#This Row],[Losing Candidate]]-SamplingData[[#This Row],[Candidate 6]])/(SamplingData[[#Totals],[Winning Candidate]]-SamplingData[[#Totals],[Candidate 6]]), 0)</f>
        <v>0</v>
      </c>
      <c r="V575" s="99">
        <f>IF(AND(SamplingData[[#This Row],[Total]]&lt;&gt; 0, NOT(ISBLANK(SamplingData[[#This Row],[Candidate 7]]))),(SamplingData[[#This Row],[Total]]+SamplingData[[#This Row],[Winning Candidate]]-SamplingData[[#This Row],[Candidate 7]])/(SamplingData[[#Totals],[Winning Candidate]]-SamplingData[[#Totals],[Candidate 7]]), 0)</f>
        <v>0</v>
      </c>
      <c r="W575" s="99">
        <f>IF(AND(SamplingData[[#This Row],[Total]]&lt;&gt; 0, NOT(ISBLANK(SamplingData[[#This Row],[Candidate 8]]))),(SamplingData[[#This Row],[Total]]+SamplingData[[#This Row],[Winning Candidate]]-SamplingData[[#This Row],[Candidate 8]])/(SamplingData[[#Totals],[Winning Candidate]]-SamplingData[[#Totals],[Candidate 8]]), 0)</f>
        <v>0</v>
      </c>
      <c r="X5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5" s="99">
        <f>MAX(SamplingData[[#This Row],[Error Bound (up) - Max. possible relative overstatement - Losing Candidate]:[Error Bound (up) - Max. possible relative overstatement - Candidate 12]])</f>
        <v>2.6778136139874384E-2</v>
      </c>
      <c r="AC575" s="99">
        <f>IF(SamplingData[[#This Row],[Max Error Bound (up)]] = 0,0,SamplingData[[#This Row],[Max Error Bound (up)]]/SamplingData[[#Totals],[Max Error Bound (up)]])</f>
        <v>1.4337259606645599E-3</v>
      </c>
      <c r="AD575" s="103">
        <f>SUM($AC$5:AC575)</f>
        <v>0.46469307812556865</v>
      </c>
      <c r="AE575" s="99" t="str" cm="1">
        <f t="array" ref="AE575">IF(SamplingData[[#This Row],[up/U Selection Probability]] = 0, "Zero", TEXT(SamplingData[[#This Row],[Lower Range]], REPT("0",LEN('General Info'!$B$42))) &amp; " - " &amp; TEXT(SamplingData[[#This Row],[Upper Range]], REPT("0",LEN('General Info'!$B$42))))</f>
        <v>463259 - 464692</v>
      </c>
      <c r="AF575" s="99">
        <f>SamplingData[[#This Row],[Upper Range]]-SamplingData[[#This Row],[Span]]</f>
        <v>463259.35216490406</v>
      </c>
      <c r="AG575" s="99">
        <f>IF(ISNUMBER('General Info'!$B$42), ((SamplingData[[#This Row],[up/U Selection Probability]]) * 'General Info'!$B$44) - 1, 0)</f>
        <v>1432.7259606645598</v>
      </c>
      <c r="AH575" s="99">
        <f>IF(ISNUMBER('General Info'!$B$42), (SamplingData[[#This Row],[Running (cumulative) sum]] * ('General Info'!$B$42 -'General Info'!$B$43 + 1)) + 'General Info'!$B$43 - 1, 0)</f>
        <v>464692.07812556863</v>
      </c>
      <c r="AI575" s="99" t="str">
        <f>IF(ISERROR(MATCH(SamplingData[[#This Row],[Batch by Type (p)]],SelectedPrecincts[Batch Name], 0)), "", INDEX(SelectedPrecincts[Draw], MATCH(SamplingData[[#This Row],[Batch by Type (p)]],SelectedPrecincts[Batch Name], 0)))</f>
        <v/>
      </c>
      <c r="AJ575" s="100">
        <f>IF(COUNTIF(SelectedPrecincts[Batch Name],SamplingData[[#This Row],[Batch by Type (p)]]) &lt;&gt; 0, COUNTIF(SelectedPrecincts[Batch Name],SamplingData[[#This Row],[Batch by Type (p)]]), 0)</f>
        <v>0</v>
      </c>
    </row>
    <row r="576" spans="1:36" ht="15" customHeight="1" x14ac:dyDescent="0.35">
      <c r="A576" s="97" t="s">
        <v>789</v>
      </c>
      <c r="B576" s="97">
        <v>260</v>
      </c>
      <c r="C576" s="97">
        <v>211</v>
      </c>
      <c r="D576" s="92"/>
      <c r="E576" s="92"/>
      <c r="F576" s="92"/>
      <c r="G576" s="96"/>
      <c r="H576" s="96"/>
      <c r="I576" s="92"/>
      <c r="J576" s="92"/>
      <c r="K576" s="92"/>
      <c r="L576" s="92"/>
      <c r="M576" s="92"/>
      <c r="N576" s="97">
        <v>0</v>
      </c>
      <c r="O576" s="97">
        <v>52</v>
      </c>
      <c r="P576" s="98">
        <f>SUM(SamplingData[[#This Row],[Winning Candidate]:[Under Votes]])</f>
        <v>523</v>
      </c>
      <c r="Q576" s="99">
        <f>IF(AND(SamplingData[[#This Row],[Total]]&lt;&gt; 0, NOT(ISBLANK(SamplingData[[#This Row],[Losing Candidate]]))),(SamplingData[[#This Row],[Total]]+SamplingData[[#This Row],[Winning Candidate]]-SamplingData[[#This Row],[Losing Candidate]])/(SamplingData[[#Totals],[Winning Candidate]]-SamplingData[[#Totals],[Losing Candidate]]), 0)</f>
        <v>2.4274316754371073E-2</v>
      </c>
      <c r="R576" s="99">
        <f>IF(AND(SamplingData[[#This Row],[Total]]&lt;&gt; 0, NOT(ISBLANK(SamplingData[[#This Row],[Candidate 3]]))),(SamplingData[[#This Row],[Total]]+SamplingData[[#This Row],[Winning Candidate]]-SamplingData[[#This Row],[Candidate 3]])/(SamplingData[[#Totals],[Winning Candidate]]-SamplingData[[#Totals],[Candidate 3]]), 0)</f>
        <v>0</v>
      </c>
      <c r="S576" s="99">
        <f>IF(AND(SamplingData[[#This Row],[Total]]&lt;&gt; 0, NOT(ISBLANK(SamplingData[[#This Row],[Candidate 4]]))),(SamplingData[[#This Row],[Total]]+SamplingData[[#This Row],[Winning Candidate]]-SamplingData[[#This Row],[Candidate 4]])/(SamplingData[[#Totals],[Winning Candidate]]-SamplingData[[#Totals],[Candidate 4]]), 0)</f>
        <v>0</v>
      </c>
      <c r="T576" s="99">
        <f>IF(AND(SamplingData[[#This Row],[Total]]&lt;&gt; 0, NOT(ISBLANK(SamplingData[[#This Row],[Candidate 5]]))),(SamplingData[[#This Row],[Total]]+SamplingData[[#This Row],[Winning Candidate]]-SamplingData[[#This Row],[Candidate 5]])/(SamplingData[[#Totals],[Winning Candidate]]-SamplingData[[#Totals],[Candidate 5]]), 0)</f>
        <v>0</v>
      </c>
      <c r="U576" s="99">
        <f>IF(AND(SamplingData[[#This Row],[Total]]&lt;&gt; 0, NOT(ISBLANK(SamplingData[[#This Row],[Candidate 6]]))),(SamplingData[[#This Row],[Total]]+SamplingData[[#This Row],[Losing Candidate]]-SamplingData[[#This Row],[Candidate 6]])/(SamplingData[[#Totals],[Winning Candidate]]-SamplingData[[#Totals],[Candidate 6]]), 0)</f>
        <v>0</v>
      </c>
      <c r="V576" s="99">
        <f>IF(AND(SamplingData[[#This Row],[Total]]&lt;&gt; 0, NOT(ISBLANK(SamplingData[[#This Row],[Candidate 7]]))),(SamplingData[[#This Row],[Total]]+SamplingData[[#This Row],[Winning Candidate]]-SamplingData[[#This Row],[Candidate 7]])/(SamplingData[[#Totals],[Winning Candidate]]-SamplingData[[#Totals],[Candidate 7]]), 0)</f>
        <v>0</v>
      </c>
      <c r="W576" s="99">
        <f>IF(AND(SamplingData[[#This Row],[Total]]&lt;&gt; 0, NOT(ISBLANK(SamplingData[[#This Row],[Candidate 8]]))),(SamplingData[[#This Row],[Total]]+SamplingData[[#This Row],[Winning Candidate]]-SamplingData[[#This Row],[Candidate 8]])/(SamplingData[[#Totals],[Winning Candidate]]-SamplingData[[#Totals],[Candidate 8]]), 0)</f>
        <v>0</v>
      </c>
      <c r="X5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6" s="99">
        <f>MAX(SamplingData[[#This Row],[Error Bound (up) - Max. possible relative overstatement - Losing Candidate]:[Error Bound (up) - Max. possible relative overstatement - Candidate 12]])</f>
        <v>2.4274316754371073E-2</v>
      </c>
      <c r="AC576" s="99">
        <f>IF(SamplingData[[#This Row],[Max Error Bound (up)]] = 0,0,SamplingData[[#This Row],[Max Error Bound (up)]]/SamplingData[[#Totals],[Max Error Bound (up)]])</f>
        <v>1.2996691751190621E-3</v>
      </c>
      <c r="AD576" s="103">
        <f>SUM($AC$5:AC576)</f>
        <v>0.46599274730068774</v>
      </c>
      <c r="AE576" s="99" t="str" cm="1">
        <f t="array" ref="AE576">IF(SamplingData[[#This Row],[up/U Selection Probability]] = 0, "Zero", TEXT(SamplingData[[#This Row],[Lower Range]], REPT("0",LEN('General Info'!$B$42))) &amp; " - " &amp; TEXT(SamplingData[[#This Row],[Upper Range]], REPT("0",LEN('General Info'!$B$42))))</f>
        <v>464693 - 465992</v>
      </c>
      <c r="AF576" s="99">
        <f>SamplingData[[#This Row],[Upper Range]]-SamplingData[[#This Row],[Span]]</f>
        <v>464693.07812556863</v>
      </c>
      <c r="AG576" s="99">
        <f>IF(ISNUMBER('General Info'!$B$42), ((SamplingData[[#This Row],[up/U Selection Probability]]) * 'General Info'!$B$44) - 1, 0)</f>
        <v>1298.6691751190622</v>
      </c>
      <c r="AH576" s="99">
        <f>IF(ISNUMBER('General Info'!$B$42), (SamplingData[[#This Row],[Running (cumulative) sum]] * ('General Info'!$B$42 -'General Info'!$B$43 + 1)) + 'General Info'!$B$43 - 1, 0)</f>
        <v>465991.74730068771</v>
      </c>
      <c r="AI576" s="99" t="str">
        <f>IF(ISERROR(MATCH(SamplingData[[#This Row],[Batch by Type (p)]],SelectedPrecincts[Batch Name], 0)), "", INDEX(SelectedPrecincts[Draw], MATCH(SamplingData[[#This Row],[Batch by Type (p)]],SelectedPrecincts[Batch Name], 0)))</f>
        <v/>
      </c>
      <c r="AJ576" s="100">
        <f>IF(COUNTIF(SelectedPrecincts[Batch Name],SamplingData[[#This Row],[Batch by Type (p)]]) &lt;&gt; 0, COUNTIF(SelectedPrecincts[Batch Name],SamplingData[[#This Row],[Batch by Type (p)]]), 0)</f>
        <v>0</v>
      </c>
    </row>
    <row r="577" spans="1:36" ht="15" customHeight="1" x14ac:dyDescent="0.35">
      <c r="A577" s="97" t="s">
        <v>790</v>
      </c>
      <c r="B577" s="97">
        <v>271</v>
      </c>
      <c r="C577" s="97">
        <v>161</v>
      </c>
      <c r="D577" s="92"/>
      <c r="E577" s="92"/>
      <c r="F577" s="92"/>
      <c r="G577" s="96"/>
      <c r="H577" s="96"/>
      <c r="I577" s="92"/>
      <c r="J577" s="92"/>
      <c r="K577" s="92"/>
      <c r="L577" s="92"/>
      <c r="M577" s="92"/>
      <c r="N577" s="97">
        <v>0</v>
      </c>
      <c r="O577" s="97">
        <v>36</v>
      </c>
      <c r="P577" s="98">
        <f>SUM(SamplingData[[#This Row],[Winning Candidate]:[Under Votes]])</f>
        <v>468</v>
      </c>
      <c r="Q577" s="99">
        <f>IF(AND(SamplingData[[#This Row],[Total]]&lt;&gt; 0, NOT(ISBLANK(SamplingData[[#This Row],[Losing Candidate]]))),(SamplingData[[#This Row],[Total]]+SamplingData[[#This Row],[Winning Candidate]]-SamplingData[[#This Row],[Losing Candidate]])/(SamplingData[[#Totals],[Winning Candidate]]-SamplingData[[#Totals],[Losing Candidate]]), 0)</f>
        <v>2.4528942454591751E-2</v>
      </c>
      <c r="R577" s="99">
        <f>IF(AND(SamplingData[[#This Row],[Total]]&lt;&gt; 0, NOT(ISBLANK(SamplingData[[#This Row],[Candidate 3]]))),(SamplingData[[#This Row],[Total]]+SamplingData[[#This Row],[Winning Candidate]]-SamplingData[[#This Row],[Candidate 3]])/(SamplingData[[#Totals],[Winning Candidate]]-SamplingData[[#Totals],[Candidate 3]]), 0)</f>
        <v>0</v>
      </c>
      <c r="S577" s="99">
        <f>IF(AND(SamplingData[[#This Row],[Total]]&lt;&gt; 0, NOT(ISBLANK(SamplingData[[#This Row],[Candidate 4]]))),(SamplingData[[#This Row],[Total]]+SamplingData[[#This Row],[Winning Candidate]]-SamplingData[[#This Row],[Candidate 4]])/(SamplingData[[#Totals],[Winning Candidate]]-SamplingData[[#Totals],[Candidate 4]]), 0)</f>
        <v>0</v>
      </c>
      <c r="T577" s="99">
        <f>IF(AND(SamplingData[[#This Row],[Total]]&lt;&gt; 0, NOT(ISBLANK(SamplingData[[#This Row],[Candidate 5]]))),(SamplingData[[#This Row],[Total]]+SamplingData[[#This Row],[Winning Candidate]]-SamplingData[[#This Row],[Candidate 5]])/(SamplingData[[#Totals],[Winning Candidate]]-SamplingData[[#Totals],[Candidate 5]]), 0)</f>
        <v>0</v>
      </c>
      <c r="U577" s="99">
        <f>IF(AND(SamplingData[[#This Row],[Total]]&lt;&gt; 0, NOT(ISBLANK(SamplingData[[#This Row],[Candidate 6]]))),(SamplingData[[#This Row],[Total]]+SamplingData[[#This Row],[Losing Candidate]]-SamplingData[[#This Row],[Candidate 6]])/(SamplingData[[#Totals],[Winning Candidate]]-SamplingData[[#Totals],[Candidate 6]]), 0)</f>
        <v>0</v>
      </c>
      <c r="V577" s="99">
        <f>IF(AND(SamplingData[[#This Row],[Total]]&lt;&gt; 0, NOT(ISBLANK(SamplingData[[#This Row],[Candidate 7]]))),(SamplingData[[#This Row],[Total]]+SamplingData[[#This Row],[Winning Candidate]]-SamplingData[[#This Row],[Candidate 7]])/(SamplingData[[#Totals],[Winning Candidate]]-SamplingData[[#Totals],[Candidate 7]]), 0)</f>
        <v>0</v>
      </c>
      <c r="W577" s="99">
        <f>IF(AND(SamplingData[[#This Row],[Total]]&lt;&gt; 0, NOT(ISBLANK(SamplingData[[#This Row],[Candidate 8]]))),(SamplingData[[#This Row],[Total]]+SamplingData[[#This Row],[Winning Candidate]]-SamplingData[[#This Row],[Candidate 8]])/(SamplingData[[#Totals],[Winning Candidate]]-SamplingData[[#Totals],[Candidate 8]]), 0)</f>
        <v>0</v>
      </c>
      <c r="X5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7" s="99">
        <f>MAX(SamplingData[[#This Row],[Error Bound (up) - Max. possible relative overstatement - Losing Candidate]:[Error Bound (up) - Max. possible relative overstatement - Candidate 12]])</f>
        <v>2.4528942454591751E-2</v>
      </c>
      <c r="AC577" s="99">
        <f>IF(SamplingData[[#This Row],[Max Error Bound (up)]] = 0,0,SamplingData[[#This Row],[Max Error Bound (up)]]/SamplingData[[#Totals],[Max Error Bound (up)]])</f>
        <v>1.3133020685643672E-3</v>
      </c>
      <c r="AD577" s="103">
        <f>SUM($AC$5:AC577)</f>
        <v>0.46730604936925213</v>
      </c>
      <c r="AE577" s="99" t="str" cm="1">
        <f t="array" ref="AE577">IF(SamplingData[[#This Row],[up/U Selection Probability]] = 0, "Zero", TEXT(SamplingData[[#This Row],[Lower Range]], REPT("0",LEN('General Info'!$B$42))) &amp; " - " &amp; TEXT(SamplingData[[#This Row],[Upper Range]], REPT("0",LEN('General Info'!$B$42))))</f>
        <v>465993 - 467305</v>
      </c>
      <c r="AF577" s="99">
        <f>SamplingData[[#This Row],[Upper Range]]-SamplingData[[#This Row],[Span]]</f>
        <v>465992.74730068777</v>
      </c>
      <c r="AG577" s="99">
        <f>IF(ISNUMBER('General Info'!$B$42), ((SamplingData[[#This Row],[up/U Selection Probability]]) * 'General Info'!$B$44) - 1, 0)</f>
        <v>1312.3020685643671</v>
      </c>
      <c r="AH577" s="99">
        <f>IF(ISNUMBER('General Info'!$B$42), (SamplingData[[#This Row],[Running (cumulative) sum]] * ('General Info'!$B$42 -'General Info'!$B$43 + 1)) + 'General Info'!$B$43 - 1, 0)</f>
        <v>467305.04936925211</v>
      </c>
      <c r="AI577" s="99" t="str">
        <f>IF(ISERROR(MATCH(SamplingData[[#This Row],[Batch by Type (p)]],SelectedPrecincts[Batch Name], 0)), "", INDEX(SelectedPrecincts[Draw], MATCH(SamplingData[[#This Row],[Batch by Type (p)]],SelectedPrecincts[Batch Name], 0)))</f>
        <v/>
      </c>
      <c r="AJ577" s="100">
        <f>IF(COUNTIF(SelectedPrecincts[Batch Name],SamplingData[[#This Row],[Batch by Type (p)]]) &lt;&gt; 0, COUNTIF(SelectedPrecincts[Batch Name],SamplingData[[#This Row],[Batch by Type (p)]]), 0)</f>
        <v>0</v>
      </c>
    </row>
    <row r="578" spans="1:36" ht="15" customHeight="1" x14ac:dyDescent="0.35">
      <c r="A578" s="97" t="s">
        <v>791</v>
      </c>
      <c r="B578" s="97">
        <v>132</v>
      </c>
      <c r="C578" s="97">
        <v>152</v>
      </c>
      <c r="D578" s="92"/>
      <c r="E578" s="92"/>
      <c r="F578" s="92"/>
      <c r="G578" s="96"/>
      <c r="H578" s="96"/>
      <c r="I578" s="92"/>
      <c r="J578" s="92"/>
      <c r="K578" s="92"/>
      <c r="L578" s="92"/>
      <c r="M578" s="92"/>
      <c r="N578" s="97">
        <v>0</v>
      </c>
      <c r="O578" s="97">
        <v>28</v>
      </c>
      <c r="P578" s="98">
        <f>SUM(SamplingData[[#This Row],[Winning Candidate]:[Under Votes]])</f>
        <v>312</v>
      </c>
      <c r="Q578" s="99">
        <f>IF(AND(SamplingData[[#This Row],[Total]]&lt;&gt; 0, NOT(ISBLANK(SamplingData[[#This Row],[Losing Candidate]]))),(SamplingData[[#This Row],[Total]]+SamplingData[[#This Row],[Winning Candidate]]-SamplingData[[#This Row],[Losing Candidate]])/(SamplingData[[#Totals],[Winning Candidate]]-SamplingData[[#Totals],[Losing Candidate]]), 0)</f>
        <v>1.2391784077406213E-2</v>
      </c>
      <c r="R578" s="99">
        <f>IF(AND(SamplingData[[#This Row],[Total]]&lt;&gt; 0, NOT(ISBLANK(SamplingData[[#This Row],[Candidate 3]]))),(SamplingData[[#This Row],[Total]]+SamplingData[[#This Row],[Winning Candidate]]-SamplingData[[#This Row],[Candidate 3]])/(SamplingData[[#Totals],[Winning Candidate]]-SamplingData[[#Totals],[Candidate 3]]), 0)</f>
        <v>0</v>
      </c>
      <c r="S578" s="99">
        <f>IF(AND(SamplingData[[#This Row],[Total]]&lt;&gt; 0, NOT(ISBLANK(SamplingData[[#This Row],[Candidate 4]]))),(SamplingData[[#This Row],[Total]]+SamplingData[[#This Row],[Winning Candidate]]-SamplingData[[#This Row],[Candidate 4]])/(SamplingData[[#Totals],[Winning Candidate]]-SamplingData[[#Totals],[Candidate 4]]), 0)</f>
        <v>0</v>
      </c>
      <c r="T578" s="99">
        <f>IF(AND(SamplingData[[#This Row],[Total]]&lt;&gt; 0, NOT(ISBLANK(SamplingData[[#This Row],[Candidate 5]]))),(SamplingData[[#This Row],[Total]]+SamplingData[[#This Row],[Winning Candidate]]-SamplingData[[#This Row],[Candidate 5]])/(SamplingData[[#Totals],[Winning Candidate]]-SamplingData[[#Totals],[Candidate 5]]), 0)</f>
        <v>0</v>
      </c>
      <c r="U578" s="99">
        <f>IF(AND(SamplingData[[#This Row],[Total]]&lt;&gt; 0, NOT(ISBLANK(SamplingData[[#This Row],[Candidate 6]]))),(SamplingData[[#This Row],[Total]]+SamplingData[[#This Row],[Losing Candidate]]-SamplingData[[#This Row],[Candidate 6]])/(SamplingData[[#Totals],[Winning Candidate]]-SamplingData[[#Totals],[Candidate 6]]), 0)</f>
        <v>0</v>
      </c>
      <c r="V578" s="99">
        <f>IF(AND(SamplingData[[#This Row],[Total]]&lt;&gt; 0, NOT(ISBLANK(SamplingData[[#This Row],[Candidate 7]]))),(SamplingData[[#This Row],[Total]]+SamplingData[[#This Row],[Winning Candidate]]-SamplingData[[#This Row],[Candidate 7]])/(SamplingData[[#Totals],[Winning Candidate]]-SamplingData[[#Totals],[Candidate 7]]), 0)</f>
        <v>0</v>
      </c>
      <c r="W578" s="99">
        <f>IF(AND(SamplingData[[#This Row],[Total]]&lt;&gt; 0, NOT(ISBLANK(SamplingData[[#This Row],[Candidate 8]]))),(SamplingData[[#This Row],[Total]]+SamplingData[[#This Row],[Winning Candidate]]-SamplingData[[#This Row],[Candidate 8]])/(SamplingData[[#Totals],[Winning Candidate]]-SamplingData[[#Totals],[Candidate 8]]), 0)</f>
        <v>0</v>
      </c>
      <c r="X5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8" s="99">
        <f>MAX(SamplingData[[#This Row],[Error Bound (up) - Max. possible relative overstatement - Losing Candidate]:[Error Bound (up) - Max. possible relative overstatement - Candidate 12]])</f>
        <v>1.2391784077406213E-2</v>
      </c>
      <c r="AC578" s="99">
        <f>IF(SamplingData[[#This Row],[Max Error Bound (up)]] = 0,0,SamplingData[[#This Row],[Max Error Bound (up)]]/SamplingData[[#Totals],[Max Error Bound (up)]])</f>
        <v>6.6346748100483595E-4</v>
      </c>
      <c r="AD578" s="103">
        <f>SUM($AC$5:AC578)</f>
        <v>0.46796951685025695</v>
      </c>
      <c r="AE578" s="99" t="str" cm="1">
        <f t="array" ref="AE578">IF(SamplingData[[#This Row],[up/U Selection Probability]] = 0, "Zero", TEXT(SamplingData[[#This Row],[Lower Range]], REPT("0",LEN('General Info'!$B$42))) &amp; " - " &amp; TEXT(SamplingData[[#This Row],[Upper Range]], REPT("0",LEN('General Info'!$B$42))))</f>
        <v>467306 - 467969</v>
      </c>
      <c r="AF578" s="99">
        <f>SamplingData[[#This Row],[Upper Range]]-SamplingData[[#This Row],[Span]]</f>
        <v>467306.04936925211</v>
      </c>
      <c r="AG578" s="99">
        <f>IF(ISNUMBER('General Info'!$B$42), ((SamplingData[[#This Row],[up/U Selection Probability]]) * 'General Info'!$B$44) - 1, 0)</f>
        <v>662.46748100483592</v>
      </c>
      <c r="AH578" s="99">
        <f>IF(ISNUMBER('General Info'!$B$42), (SamplingData[[#This Row],[Running (cumulative) sum]] * ('General Info'!$B$42 -'General Info'!$B$43 + 1)) + 'General Info'!$B$43 - 1, 0)</f>
        <v>467968.51685025694</v>
      </c>
      <c r="AI578" s="99" t="str">
        <f>IF(ISERROR(MATCH(SamplingData[[#This Row],[Batch by Type (p)]],SelectedPrecincts[Batch Name], 0)), "", INDEX(SelectedPrecincts[Draw], MATCH(SamplingData[[#This Row],[Batch by Type (p)]],SelectedPrecincts[Batch Name], 0)))</f>
        <v/>
      </c>
      <c r="AJ578" s="100">
        <f>IF(COUNTIF(SelectedPrecincts[Batch Name],SamplingData[[#This Row],[Batch by Type (p)]]) &lt;&gt; 0, COUNTIF(SelectedPrecincts[Batch Name],SamplingData[[#This Row],[Batch by Type (p)]]), 0)</f>
        <v>0</v>
      </c>
    </row>
    <row r="579" spans="1:36" ht="15" customHeight="1" x14ac:dyDescent="0.35">
      <c r="A579" s="97" t="s">
        <v>792</v>
      </c>
      <c r="B579" s="97">
        <v>160</v>
      </c>
      <c r="C579" s="97">
        <v>181</v>
      </c>
      <c r="D579" s="92"/>
      <c r="E579" s="92"/>
      <c r="F579" s="92"/>
      <c r="G579" s="96"/>
      <c r="H579" s="96"/>
      <c r="I579" s="92"/>
      <c r="J579" s="92"/>
      <c r="K579" s="92"/>
      <c r="L579" s="92"/>
      <c r="M579" s="92"/>
      <c r="N579" s="97">
        <v>1</v>
      </c>
      <c r="O579" s="97">
        <v>31</v>
      </c>
      <c r="P579" s="98">
        <f>SUM(SamplingData[[#This Row],[Winning Candidate]:[Under Votes]])</f>
        <v>373</v>
      </c>
      <c r="Q579" s="99">
        <f>IF(AND(SamplingData[[#This Row],[Total]]&lt;&gt; 0, NOT(ISBLANK(SamplingData[[#This Row],[Losing Candidate]]))),(SamplingData[[#This Row],[Total]]+SamplingData[[#This Row],[Winning Candidate]]-SamplingData[[#This Row],[Losing Candidate]])/(SamplingData[[#Totals],[Winning Candidate]]-SamplingData[[#Totals],[Losing Candidate]]), 0)</f>
        <v>1.4938041079612968E-2</v>
      </c>
      <c r="R579" s="99">
        <f>IF(AND(SamplingData[[#This Row],[Total]]&lt;&gt; 0, NOT(ISBLANK(SamplingData[[#This Row],[Candidate 3]]))),(SamplingData[[#This Row],[Total]]+SamplingData[[#This Row],[Winning Candidate]]-SamplingData[[#This Row],[Candidate 3]])/(SamplingData[[#Totals],[Winning Candidate]]-SamplingData[[#Totals],[Candidate 3]]), 0)</f>
        <v>0</v>
      </c>
      <c r="S579" s="99">
        <f>IF(AND(SamplingData[[#This Row],[Total]]&lt;&gt; 0, NOT(ISBLANK(SamplingData[[#This Row],[Candidate 4]]))),(SamplingData[[#This Row],[Total]]+SamplingData[[#This Row],[Winning Candidate]]-SamplingData[[#This Row],[Candidate 4]])/(SamplingData[[#Totals],[Winning Candidate]]-SamplingData[[#Totals],[Candidate 4]]), 0)</f>
        <v>0</v>
      </c>
      <c r="T579" s="99">
        <f>IF(AND(SamplingData[[#This Row],[Total]]&lt;&gt; 0, NOT(ISBLANK(SamplingData[[#This Row],[Candidate 5]]))),(SamplingData[[#This Row],[Total]]+SamplingData[[#This Row],[Winning Candidate]]-SamplingData[[#This Row],[Candidate 5]])/(SamplingData[[#Totals],[Winning Candidate]]-SamplingData[[#Totals],[Candidate 5]]), 0)</f>
        <v>0</v>
      </c>
      <c r="U579" s="99">
        <f>IF(AND(SamplingData[[#This Row],[Total]]&lt;&gt; 0, NOT(ISBLANK(SamplingData[[#This Row],[Candidate 6]]))),(SamplingData[[#This Row],[Total]]+SamplingData[[#This Row],[Losing Candidate]]-SamplingData[[#This Row],[Candidate 6]])/(SamplingData[[#Totals],[Winning Candidate]]-SamplingData[[#Totals],[Candidate 6]]), 0)</f>
        <v>0</v>
      </c>
      <c r="V579" s="99">
        <f>IF(AND(SamplingData[[#This Row],[Total]]&lt;&gt; 0, NOT(ISBLANK(SamplingData[[#This Row],[Candidate 7]]))),(SamplingData[[#This Row],[Total]]+SamplingData[[#This Row],[Winning Candidate]]-SamplingData[[#This Row],[Candidate 7]])/(SamplingData[[#Totals],[Winning Candidate]]-SamplingData[[#Totals],[Candidate 7]]), 0)</f>
        <v>0</v>
      </c>
      <c r="W579" s="99">
        <f>IF(AND(SamplingData[[#This Row],[Total]]&lt;&gt; 0, NOT(ISBLANK(SamplingData[[#This Row],[Candidate 8]]))),(SamplingData[[#This Row],[Total]]+SamplingData[[#This Row],[Winning Candidate]]-SamplingData[[#This Row],[Candidate 8]])/(SamplingData[[#Totals],[Winning Candidate]]-SamplingData[[#Totals],[Candidate 8]]), 0)</f>
        <v>0</v>
      </c>
      <c r="X5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9" s="99">
        <f>MAX(SamplingData[[#This Row],[Error Bound (up) - Max. possible relative overstatement - Losing Candidate]:[Error Bound (up) - Max. possible relative overstatement - Candidate 12]])</f>
        <v>1.4938041079612968E-2</v>
      </c>
      <c r="AC579" s="99">
        <f>IF(SamplingData[[#This Row],[Max Error Bound (up)]] = 0,0,SamplingData[[#This Row],[Max Error Bound (up)]]/SamplingData[[#Totals],[Max Error Bound (up)]])</f>
        <v>7.9979641545788443E-4</v>
      </c>
      <c r="AD579" s="103">
        <f>SUM($AC$5:AC579)</f>
        <v>0.46876931326571486</v>
      </c>
      <c r="AE579" s="99" t="str" cm="1">
        <f t="array" ref="AE579">IF(SamplingData[[#This Row],[up/U Selection Probability]] = 0, "Zero", TEXT(SamplingData[[#This Row],[Lower Range]], REPT("0",LEN('General Info'!$B$42))) &amp; " - " &amp; TEXT(SamplingData[[#This Row],[Upper Range]], REPT("0",LEN('General Info'!$B$42))))</f>
        <v>467970 - 468768</v>
      </c>
      <c r="AF579" s="99">
        <f>SamplingData[[#This Row],[Upper Range]]-SamplingData[[#This Row],[Span]]</f>
        <v>467969.51685025694</v>
      </c>
      <c r="AG579" s="99">
        <f>IF(ISNUMBER('General Info'!$B$42), ((SamplingData[[#This Row],[up/U Selection Probability]]) * 'General Info'!$B$44) - 1, 0)</f>
        <v>798.79641545788445</v>
      </c>
      <c r="AH579" s="99">
        <f>IF(ISNUMBER('General Info'!$B$42), (SamplingData[[#This Row],[Running (cumulative) sum]] * ('General Info'!$B$42 -'General Info'!$B$43 + 1)) + 'General Info'!$B$43 - 1, 0)</f>
        <v>468768.31326571485</v>
      </c>
      <c r="AI579" s="99" t="str">
        <f>IF(ISERROR(MATCH(SamplingData[[#This Row],[Batch by Type (p)]],SelectedPrecincts[Batch Name], 0)), "", INDEX(SelectedPrecincts[Draw], MATCH(SamplingData[[#This Row],[Batch by Type (p)]],SelectedPrecincts[Batch Name], 0)))</f>
        <v/>
      </c>
      <c r="AJ579" s="100">
        <f>IF(COUNTIF(SelectedPrecincts[Batch Name],SamplingData[[#This Row],[Batch by Type (p)]]) &lt;&gt; 0, COUNTIF(SelectedPrecincts[Batch Name],SamplingData[[#This Row],[Batch by Type (p)]]), 0)</f>
        <v>0</v>
      </c>
    </row>
    <row r="580" spans="1:36" ht="15" customHeight="1" x14ac:dyDescent="0.35">
      <c r="A580" s="97" t="s">
        <v>793</v>
      </c>
      <c r="B580" s="97">
        <v>237</v>
      </c>
      <c r="C580" s="97">
        <v>111</v>
      </c>
      <c r="D580" s="92"/>
      <c r="E580" s="92"/>
      <c r="F580" s="92"/>
      <c r="G580" s="96"/>
      <c r="H580" s="96"/>
      <c r="I580" s="92"/>
      <c r="J580" s="92"/>
      <c r="K580" s="92"/>
      <c r="L580" s="92"/>
      <c r="M580" s="92"/>
      <c r="N580" s="97">
        <v>0</v>
      </c>
      <c r="O580" s="97">
        <v>40</v>
      </c>
      <c r="P580" s="98">
        <f>SUM(SamplingData[[#This Row],[Winning Candidate]:[Under Votes]])</f>
        <v>388</v>
      </c>
      <c r="Q580" s="99">
        <f>IF(AND(SamplingData[[#This Row],[Total]]&lt;&gt; 0, NOT(ISBLANK(SamplingData[[#This Row],[Losing Candidate]]))),(SamplingData[[#This Row],[Total]]+SamplingData[[#This Row],[Winning Candidate]]-SamplingData[[#This Row],[Losing Candidate]])/(SamplingData[[#Totals],[Winning Candidate]]-SamplingData[[#Totals],[Losing Candidate]]), 0)</f>
        <v>2.1812934985571211E-2</v>
      </c>
      <c r="R580" s="99">
        <f>IF(AND(SamplingData[[#This Row],[Total]]&lt;&gt; 0, NOT(ISBLANK(SamplingData[[#This Row],[Candidate 3]]))),(SamplingData[[#This Row],[Total]]+SamplingData[[#This Row],[Winning Candidate]]-SamplingData[[#This Row],[Candidate 3]])/(SamplingData[[#Totals],[Winning Candidate]]-SamplingData[[#Totals],[Candidate 3]]), 0)</f>
        <v>0</v>
      </c>
      <c r="S580" s="99">
        <f>IF(AND(SamplingData[[#This Row],[Total]]&lt;&gt; 0, NOT(ISBLANK(SamplingData[[#This Row],[Candidate 4]]))),(SamplingData[[#This Row],[Total]]+SamplingData[[#This Row],[Winning Candidate]]-SamplingData[[#This Row],[Candidate 4]])/(SamplingData[[#Totals],[Winning Candidate]]-SamplingData[[#Totals],[Candidate 4]]), 0)</f>
        <v>0</v>
      </c>
      <c r="T580" s="99">
        <f>IF(AND(SamplingData[[#This Row],[Total]]&lt;&gt; 0, NOT(ISBLANK(SamplingData[[#This Row],[Candidate 5]]))),(SamplingData[[#This Row],[Total]]+SamplingData[[#This Row],[Winning Candidate]]-SamplingData[[#This Row],[Candidate 5]])/(SamplingData[[#Totals],[Winning Candidate]]-SamplingData[[#Totals],[Candidate 5]]), 0)</f>
        <v>0</v>
      </c>
      <c r="U580" s="99">
        <f>IF(AND(SamplingData[[#This Row],[Total]]&lt;&gt; 0, NOT(ISBLANK(SamplingData[[#This Row],[Candidate 6]]))),(SamplingData[[#This Row],[Total]]+SamplingData[[#This Row],[Losing Candidate]]-SamplingData[[#This Row],[Candidate 6]])/(SamplingData[[#Totals],[Winning Candidate]]-SamplingData[[#Totals],[Candidate 6]]), 0)</f>
        <v>0</v>
      </c>
      <c r="V580" s="99">
        <f>IF(AND(SamplingData[[#This Row],[Total]]&lt;&gt; 0, NOT(ISBLANK(SamplingData[[#This Row],[Candidate 7]]))),(SamplingData[[#This Row],[Total]]+SamplingData[[#This Row],[Winning Candidate]]-SamplingData[[#This Row],[Candidate 7]])/(SamplingData[[#Totals],[Winning Candidate]]-SamplingData[[#Totals],[Candidate 7]]), 0)</f>
        <v>0</v>
      </c>
      <c r="W580" s="99">
        <f>IF(AND(SamplingData[[#This Row],[Total]]&lt;&gt; 0, NOT(ISBLANK(SamplingData[[#This Row],[Candidate 8]]))),(SamplingData[[#This Row],[Total]]+SamplingData[[#This Row],[Winning Candidate]]-SamplingData[[#This Row],[Candidate 8]])/(SamplingData[[#Totals],[Winning Candidate]]-SamplingData[[#Totals],[Candidate 8]]), 0)</f>
        <v>0</v>
      </c>
      <c r="X5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0" s="99">
        <f>MAX(SamplingData[[#This Row],[Error Bound (up) - Max. possible relative overstatement - Losing Candidate]:[Error Bound (up) - Max. possible relative overstatement - Candidate 12]])</f>
        <v>2.1812934985571211E-2</v>
      </c>
      <c r="AC580" s="99">
        <f>IF(SamplingData[[#This Row],[Max Error Bound (up)]] = 0,0,SamplingData[[#This Row],[Max Error Bound (up)]]/SamplingData[[#Totals],[Max Error Bound (up)]])</f>
        <v>1.1678845384811155E-3</v>
      </c>
      <c r="AD580" s="103">
        <f>SUM($AC$5:AC580)</f>
        <v>0.46993719780419596</v>
      </c>
      <c r="AE580" s="99" t="str" cm="1">
        <f t="array" ref="AE580">IF(SamplingData[[#This Row],[up/U Selection Probability]] = 0, "Zero", TEXT(SamplingData[[#This Row],[Lower Range]], REPT("0",LEN('General Info'!$B$42))) &amp; " - " &amp; TEXT(SamplingData[[#This Row],[Upper Range]], REPT("0",LEN('General Info'!$B$42))))</f>
        <v>468769 - 469936</v>
      </c>
      <c r="AF580" s="99">
        <f>SamplingData[[#This Row],[Upper Range]]-SamplingData[[#This Row],[Span]]</f>
        <v>468769.31326571485</v>
      </c>
      <c r="AG580" s="99">
        <f>IF(ISNUMBER('General Info'!$B$42), ((SamplingData[[#This Row],[up/U Selection Probability]]) * 'General Info'!$B$44) - 1, 0)</f>
        <v>1166.8845384811154</v>
      </c>
      <c r="AH580" s="99">
        <f>IF(ISNUMBER('General Info'!$B$42), (SamplingData[[#This Row],[Running (cumulative) sum]] * ('General Info'!$B$42 -'General Info'!$B$43 + 1)) + 'General Info'!$B$43 - 1, 0)</f>
        <v>469936.19780419598</v>
      </c>
      <c r="AI580" s="99" t="str">
        <f>IF(ISERROR(MATCH(SamplingData[[#This Row],[Batch by Type (p)]],SelectedPrecincts[Batch Name], 0)), "", INDEX(SelectedPrecincts[Draw], MATCH(SamplingData[[#This Row],[Batch by Type (p)]],SelectedPrecincts[Batch Name], 0)))</f>
        <v/>
      </c>
      <c r="AJ580" s="100">
        <f>IF(COUNTIF(SelectedPrecincts[Batch Name],SamplingData[[#This Row],[Batch by Type (p)]]) &lt;&gt; 0, COUNTIF(SelectedPrecincts[Batch Name],SamplingData[[#This Row],[Batch by Type (p)]]), 0)</f>
        <v>0</v>
      </c>
    </row>
    <row r="581" spans="1:36" ht="15" customHeight="1" x14ac:dyDescent="0.35">
      <c r="A581" s="97" t="s">
        <v>794</v>
      </c>
      <c r="B581" s="97">
        <v>406</v>
      </c>
      <c r="C581" s="97">
        <v>114</v>
      </c>
      <c r="D581" s="92"/>
      <c r="E581" s="92"/>
      <c r="F581" s="92"/>
      <c r="G581" s="96"/>
      <c r="H581" s="96"/>
      <c r="I581" s="92"/>
      <c r="J581" s="92"/>
      <c r="K581" s="92"/>
      <c r="L581" s="92"/>
      <c r="M581" s="92"/>
      <c r="N581" s="97">
        <v>0</v>
      </c>
      <c r="O581" s="97">
        <v>34</v>
      </c>
      <c r="P581" s="98">
        <f>SUM(SamplingData[[#This Row],[Winning Candidate]:[Under Votes]])</f>
        <v>554</v>
      </c>
      <c r="Q581" s="99">
        <f>IF(AND(SamplingData[[#This Row],[Total]]&lt;&gt; 0, NOT(ISBLANK(SamplingData[[#This Row],[Losing Candidate]]))),(SamplingData[[#This Row],[Total]]+SamplingData[[#This Row],[Winning Candidate]]-SamplingData[[#This Row],[Losing Candidate]])/(SamplingData[[#Totals],[Winning Candidate]]-SamplingData[[#Totals],[Losing Candidate]]), 0)</f>
        <v>3.5902223731115263E-2</v>
      </c>
      <c r="R581" s="99">
        <f>IF(AND(SamplingData[[#This Row],[Total]]&lt;&gt; 0, NOT(ISBLANK(SamplingData[[#This Row],[Candidate 3]]))),(SamplingData[[#This Row],[Total]]+SamplingData[[#This Row],[Winning Candidate]]-SamplingData[[#This Row],[Candidate 3]])/(SamplingData[[#Totals],[Winning Candidate]]-SamplingData[[#Totals],[Candidate 3]]), 0)</f>
        <v>0</v>
      </c>
      <c r="S581" s="99">
        <f>IF(AND(SamplingData[[#This Row],[Total]]&lt;&gt; 0, NOT(ISBLANK(SamplingData[[#This Row],[Candidate 4]]))),(SamplingData[[#This Row],[Total]]+SamplingData[[#This Row],[Winning Candidate]]-SamplingData[[#This Row],[Candidate 4]])/(SamplingData[[#Totals],[Winning Candidate]]-SamplingData[[#Totals],[Candidate 4]]), 0)</f>
        <v>0</v>
      </c>
      <c r="T581" s="99">
        <f>IF(AND(SamplingData[[#This Row],[Total]]&lt;&gt; 0, NOT(ISBLANK(SamplingData[[#This Row],[Candidate 5]]))),(SamplingData[[#This Row],[Total]]+SamplingData[[#This Row],[Winning Candidate]]-SamplingData[[#This Row],[Candidate 5]])/(SamplingData[[#Totals],[Winning Candidate]]-SamplingData[[#Totals],[Candidate 5]]), 0)</f>
        <v>0</v>
      </c>
      <c r="U581" s="99">
        <f>IF(AND(SamplingData[[#This Row],[Total]]&lt;&gt; 0, NOT(ISBLANK(SamplingData[[#This Row],[Candidate 6]]))),(SamplingData[[#This Row],[Total]]+SamplingData[[#This Row],[Losing Candidate]]-SamplingData[[#This Row],[Candidate 6]])/(SamplingData[[#Totals],[Winning Candidate]]-SamplingData[[#Totals],[Candidate 6]]), 0)</f>
        <v>0</v>
      </c>
      <c r="V581" s="99">
        <f>IF(AND(SamplingData[[#This Row],[Total]]&lt;&gt; 0, NOT(ISBLANK(SamplingData[[#This Row],[Candidate 7]]))),(SamplingData[[#This Row],[Total]]+SamplingData[[#This Row],[Winning Candidate]]-SamplingData[[#This Row],[Candidate 7]])/(SamplingData[[#Totals],[Winning Candidate]]-SamplingData[[#Totals],[Candidate 7]]), 0)</f>
        <v>0</v>
      </c>
      <c r="W581" s="99">
        <f>IF(AND(SamplingData[[#This Row],[Total]]&lt;&gt; 0, NOT(ISBLANK(SamplingData[[#This Row],[Candidate 8]]))),(SamplingData[[#This Row],[Total]]+SamplingData[[#This Row],[Winning Candidate]]-SamplingData[[#This Row],[Candidate 8]])/(SamplingData[[#Totals],[Winning Candidate]]-SamplingData[[#Totals],[Candidate 8]]), 0)</f>
        <v>0</v>
      </c>
      <c r="X5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1" s="99">
        <f>MAX(SamplingData[[#This Row],[Error Bound (up) - Max. possible relative overstatement - Losing Candidate]:[Error Bound (up) - Max. possible relative overstatement - Candidate 12]])</f>
        <v>3.5902223731115263E-2</v>
      </c>
      <c r="AC581" s="99">
        <f>IF(SamplingData[[#This Row],[Max Error Bound (up)]] = 0,0,SamplingData[[#This Row],[Max Error Bound (up)]]/SamplingData[[#Totals],[Max Error Bound (up)]])</f>
        <v>1.9222379757879839E-3</v>
      </c>
      <c r="AD581" s="103">
        <f>SUM($AC$5:AC581)</f>
        <v>0.47185943577998396</v>
      </c>
      <c r="AE581" s="99" t="str" cm="1">
        <f t="array" ref="AE581">IF(SamplingData[[#This Row],[up/U Selection Probability]] = 0, "Zero", TEXT(SamplingData[[#This Row],[Lower Range]], REPT("0",LEN('General Info'!$B$42))) &amp; " - " &amp; TEXT(SamplingData[[#This Row],[Upper Range]], REPT("0",LEN('General Info'!$B$42))))</f>
        <v>469937 - 471858</v>
      </c>
      <c r="AF581" s="99">
        <f>SamplingData[[#This Row],[Upper Range]]-SamplingData[[#This Row],[Span]]</f>
        <v>469937.19780419592</v>
      </c>
      <c r="AG581" s="99">
        <f>IF(ISNUMBER('General Info'!$B$42), ((SamplingData[[#This Row],[up/U Selection Probability]]) * 'General Info'!$B$44) - 1, 0)</f>
        <v>1921.2379757879839</v>
      </c>
      <c r="AH581" s="99">
        <f>IF(ISNUMBER('General Info'!$B$42), (SamplingData[[#This Row],[Running (cumulative) sum]] * ('General Info'!$B$42 -'General Info'!$B$43 + 1)) + 'General Info'!$B$43 - 1, 0)</f>
        <v>471858.43577998393</v>
      </c>
      <c r="AI581" s="99" t="str">
        <f>IF(ISERROR(MATCH(SamplingData[[#This Row],[Batch by Type (p)]],SelectedPrecincts[Batch Name], 0)), "", INDEX(SelectedPrecincts[Draw], MATCH(SamplingData[[#This Row],[Batch by Type (p)]],SelectedPrecincts[Batch Name], 0)))</f>
        <v/>
      </c>
      <c r="AJ581" s="100">
        <f>IF(COUNTIF(SelectedPrecincts[Batch Name],SamplingData[[#This Row],[Batch by Type (p)]]) &lt;&gt; 0, COUNTIF(SelectedPrecincts[Batch Name],SamplingData[[#This Row],[Batch by Type (p)]]), 0)</f>
        <v>0</v>
      </c>
    </row>
    <row r="582" spans="1:36" ht="15" customHeight="1" x14ac:dyDescent="0.35">
      <c r="A582" s="97" t="s">
        <v>795</v>
      </c>
      <c r="B582" s="97">
        <v>223</v>
      </c>
      <c r="C582" s="97">
        <v>146</v>
      </c>
      <c r="D582" s="92"/>
      <c r="E582" s="92"/>
      <c r="F582" s="92"/>
      <c r="G582" s="96"/>
      <c r="H582" s="96"/>
      <c r="I582" s="92"/>
      <c r="J582" s="92"/>
      <c r="K582" s="92"/>
      <c r="L582" s="92"/>
      <c r="M582" s="92"/>
      <c r="N582" s="97">
        <v>1</v>
      </c>
      <c r="O582" s="97">
        <v>38</v>
      </c>
      <c r="P582" s="98">
        <f>SUM(SamplingData[[#This Row],[Winning Candidate]:[Under Votes]])</f>
        <v>408</v>
      </c>
      <c r="Q582" s="99">
        <f>IF(AND(SamplingData[[#This Row],[Total]]&lt;&gt; 0, NOT(ISBLANK(SamplingData[[#This Row],[Losing Candidate]]))),(SamplingData[[#This Row],[Total]]+SamplingData[[#This Row],[Winning Candidate]]-SamplingData[[#This Row],[Losing Candidate]])/(SamplingData[[#Totals],[Winning Candidate]]-SamplingData[[#Totals],[Losing Candidate]]), 0)</f>
        <v>2.0582244101171279E-2</v>
      </c>
      <c r="R582" s="99">
        <f>IF(AND(SamplingData[[#This Row],[Total]]&lt;&gt; 0, NOT(ISBLANK(SamplingData[[#This Row],[Candidate 3]]))),(SamplingData[[#This Row],[Total]]+SamplingData[[#This Row],[Winning Candidate]]-SamplingData[[#This Row],[Candidate 3]])/(SamplingData[[#Totals],[Winning Candidate]]-SamplingData[[#Totals],[Candidate 3]]), 0)</f>
        <v>0</v>
      </c>
      <c r="S582" s="99">
        <f>IF(AND(SamplingData[[#This Row],[Total]]&lt;&gt; 0, NOT(ISBLANK(SamplingData[[#This Row],[Candidate 4]]))),(SamplingData[[#This Row],[Total]]+SamplingData[[#This Row],[Winning Candidate]]-SamplingData[[#This Row],[Candidate 4]])/(SamplingData[[#Totals],[Winning Candidate]]-SamplingData[[#Totals],[Candidate 4]]), 0)</f>
        <v>0</v>
      </c>
      <c r="T582" s="99">
        <f>IF(AND(SamplingData[[#This Row],[Total]]&lt;&gt; 0, NOT(ISBLANK(SamplingData[[#This Row],[Candidate 5]]))),(SamplingData[[#This Row],[Total]]+SamplingData[[#This Row],[Winning Candidate]]-SamplingData[[#This Row],[Candidate 5]])/(SamplingData[[#Totals],[Winning Candidate]]-SamplingData[[#Totals],[Candidate 5]]), 0)</f>
        <v>0</v>
      </c>
      <c r="U582" s="99">
        <f>IF(AND(SamplingData[[#This Row],[Total]]&lt;&gt; 0, NOT(ISBLANK(SamplingData[[#This Row],[Candidate 6]]))),(SamplingData[[#This Row],[Total]]+SamplingData[[#This Row],[Losing Candidate]]-SamplingData[[#This Row],[Candidate 6]])/(SamplingData[[#Totals],[Winning Candidate]]-SamplingData[[#Totals],[Candidate 6]]), 0)</f>
        <v>0</v>
      </c>
      <c r="V582" s="99">
        <f>IF(AND(SamplingData[[#This Row],[Total]]&lt;&gt; 0, NOT(ISBLANK(SamplingData[[#This Row],[Candidate 7]]))),(SamplingData[[#This Row],[Total]]+SamplingData[[#This Row],[Winning Candidate]]-SamplingData[[#This Row],[Candidate 7]])/(SamplingData[[#Totals],[Winning Candidate]]-SamplingData[[#Totals],[Candidate 7]]), 0)</f>
        <v>0</v>
      </c>
      <c r="W582" s="99">
        <f>IF(AND(SamplingData[[#This Row],[Total]]&lt;&gt; 0, NOT(ISBLANK(SamplingData[[#This Row],[Candidate 8]]))),(SamplingData[[#This Row],[Total]]+SamplingData[[#This Row],[Winning Candidate]]-SamplingData[[#This Row],[Candidate 8]])/(SamplingData[[#Totals],[Winning Candidate]]-SamplingData[[#Totals],[Candidate 8]]), 0)</f>
        <v>0</v>
      </c>
      <c r="X5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2" s="99">
        <f>MAX(SamplingData[[#This Row],[Error Bound (up) - Max. possible relative overstatement - Losing Candidate]:[Error Bound (up) - Max. possible relative overstatement - Candidate 12]])</f>
        <v>2.0582244101171279E-2</v>
      </c>
      <c r="AC582" s="99">
        <f>IF(SamplingData[[#This Row],[Max Error Bound (up)]] = 0,0,SamplingData[[#This Row],[Max Error Bound (up)]]/SamplingData[[#Totals],[Max Error Bound (up)]])</f>
        <v>1.101992220162142E-3</v>
      </c>
      <c r="AD582" s="103">
        <f>SUM($AC$5:AC582)</f>
        <v>0.47296142800014612</v>
      </c>
      <c r="AE582" s="99" t="str" cm="1">
        <f t="array" ref="AE582">IF(SamplingData[[#This Row],[up/U Selection Probability]] = 0, "Zero", TEXT(SamplingData[[#This Row],[Lower Range]], REPT("0",LEN('General Info'!$B$42))) &amp; " - " &amp; TEXT(SamplingData[[#This Row],[Upper Range]], REPT("0",LEN('General Info'!$B$42))))</f>
        <v>471859 - 472960</v>
      </c>
      <c r="AF582" s="99">
        <f>SamplingData[[#This Row],[Upper Range]]-SamplingData[[#This Row],[Span]]</f>
        <v>471859.43577998399</v>
      </c>
      <c r="AG582" s="99">
        <f>IF(ISNUMBER('General Info'!$B$42), ((SamplingData[[#This Row],[up/U Selection Probability]]) * 'General Info'!$B$44) - 1, 0)</f>
        <v>1100.9922201621421</v>
      </c>
      <c r="AH582" s="99">
        <f>IF(ISNUMBER('General Info'!$B$42), (SamplingData[[#This Row],[Running (cumulative) sum]] * ('General Info'!$B$42 -'General Info'!$B$43 + 1)) + 'General Info'!$B$43 - 1, 0)</f>
        <v>472960.42800014612</v>
      </c>
      <c r="AI582" s="99" t="str">
        <f>IF(ISERROR(MATCH(SamplingData[[#This Row],[Batch by Type (p)]],SelectedPrecincts[Batch Name], 0)), "", INDEX(SelectedPrecincts[Draw], MATCH(SamplingData[[#This Row],[Batch by Type (p)]],SelectedPrecincts[Batch Name], 0)))</f>
        <v/>
      </c>
      <c r="AJ582" s="100">
        <f>IF(COUNTIF(SelectedPrecincts[Batch Name],SamplingData[[#This Row],[Batch by Type (p)]]) &lt;&gt; 0, COUNTIF(SelectedPrecincts[Batch Name],SamplingData[[#This Row],[Batch by Type (p)]]), 0)</f>
        <v>0</v>
      </c>
    </row>
    <row r="583" spans="1:36" ht="15" customHeight="1" x14ac:dyDescent="0.35">
      <c r="A583" s="97" t="s">
        <v>796</v>
      </c>
      <c r="B583" s="97">
        <v>327</v>
      </c>
      <c r="C583" s="97">
        <v>161</v>
      </c>
      <c r="D583" s="92"/>
      <c r="E583" s="92"/>
      <c r="F583" s="92"/>
      <c r="G583" s="96"/>
      <c r="H583" s="96"/>
      <c r="I583" s="92"/>
      <c r="J583" s="92"/>
      <c r="K583" s="92"/>
      <c r="L583" s="92"/>
      <c r="M583" s="92"/>
      <c r="N583" s="97">
        <v>0</v>
      </c>
      <c r="O583" s="97">
        <v>46</v>
      </c>
      <c r="P583" s="98">
        <f>SUM(SamplingData[[#This Row],[Winning Candidate]:[Under Votes]])</f>
        <v>534</v>
      </c>
      <c r="Q583" s="99">
        <f>IF(AND(SamplingData[[#This Row],[Total]]&lt;&gt; 0, NOT(ISBLANK(SamplingData[[#This Row],[Losing Candidate]]))),(SamplingData[[#This Row],[Total]]+SamplingData[[#This Row],[Winning Candidate]]-SamplingData[[#This Row],[Losing Candidate]])/(SamplingData[[#Totals],[Winning Candidate]]-SamplingData[[#Totals],[Losing Candidate]]), 0)</f>
        <v>2.9706331692412154E-2</v>
      </c>
      <c r="R583" s="99">
        <f>IF(AND(SamplingData[[#This Row],[Total]]&lt;&gt; 0, NOT(ISBLANK(SamplingData[[#This Row],[Candidate 3]]))),(SamplingData[[#This Row],[Total]]+SamplingData[[#This Row],[Winning Candidate]]-SamplingData[[#This Row],[Candidate 3]])/(SamplingData[[#Totals],[Winning Candidate]]-SamplingData[[#Totals],[Candidate 3]]), 0)</f>
        <v>0</v>
      </c>
      <c r="S583" s="99">
        <f>IF(AND(SamplingData[[#This Row],[Total]]&lt;&gt; 0, NOT(ISBLANK(SamplingData[[#This Row],[Candidate 4]]))),(SamplingData[[#This Row],[Total]]+SamplingData[[#This Row],[Winning Candidate]]-SamplingData[[#This Row],[Candidate 4]])/(SamplingData[[#Totals],[Winning Candidate]]-SamplingData[[#Totals],[Candidate 4]]), 0)</f>
        <v>0</v>
      </c>
      <c r="T583" s="99">
        <f>IF(AND(SamplingData[[#This Row],[Total]]&lt;&gt; 0, NOT(ISBLANK(SamplingData[[#This Row],[Candidate 5]]))),(SamplingData[[#This Row],[Total]]+SamplingData[[#This Row],[Winning Candidate]]-SamplingData[[#This Row],[Candidate 5]])/(SamplingData[[#Totals],[Winning Candidate]]-SamplingData[[#Totals],[Candidate 5]]), 0)</f>
        <v>0</v>
      </c>
      <c r="U583" s="99">
        <f>IF(AND(SamplingData[[#This Row],[Total]]&lt;&gt; 0, NOT(ISBLANK(SamplingData[[#This Row],[Candidate 6]]))),(SamplingData[[#This Row],[Total]]+SamplingData[[#This Row],[Losing Candidate]]-SamplingData[[#This Row],[Candidate 6]])/(SamplingData[[#Totals],[Winning Candidate]]-SamplingData[[#Totals],[Candidate 6]]), 0)</f>
        <v>0</v>
      </c>
      <c r="V583" s="99">
        <f>IF(AND(SamplingData[[#This Row],[Total]]&lt;&gt; 0, NOT(ISBLANK(SamplingData[[#This Row],[Candidate 7]]))),(SamplingData[[#This Row],[Total]]+SamplingData[[#This Row],[Winning Candidate]]-SamplingData[[#This Row],[Candidate 7]])/(SamplingData[[#Totals],[Winning Candidate]]-SamplingData[[#Totals],[Candidate 7]]), 0)</f>
        <v>0</v>
      </c>
      <c r="W583" s="99">
        <f>IF(AND(SamplingData[[#This Row],[Total]]&lt;&gt; 0, NOT(ISBLANK(SamplingData[[#This Row],[Candidate 8]]))),(SamplingData[[#This Row],[Total]]+SamplingData[[#This Row],[Winning Candidate]]-SamplingData[[#This Row],[Candidate 8]])/(SamplingData[[#Totals],[Winning Candidate]]-SamplingData[[#Totals],[Candidate 8]]), 0)</f>
        <v>0</v>
      </c>
      <c r="X5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3" s="99">
        <f>MAX(SamplingData[[#This Row],[Error Bound (up) - Max. possible relative overstatement - Losing Candidate]:[Error Bound (up) - Max. possible relative overstatement - Candidate 12]])</f>
        <v>2.9706331692412154E-2</v>
      </c>
      <c r="AC583" s="99">
        <f>IF(SamplingData[[#This Row],[Max Error Bound (up)]] = 0,0,SamplingData[[#This Row],[Max Error Bound (up)]]/SamplingData[[#Totals],[Max Error Bound (up)]])</f>
        <v>1.5905042352855657E-3</v>
      </c>
      <c r="AD583" s="103">
        <f>SUM($AC$5:AC583)</f>
        <v>0.47455193223543168</v>
      </c>
      <c r="AE583" s="99" t="str" cm="1">
        <f t="array" ref="AE583">IF(SamplingData[[#This Row],[up/U Selection Probability]] = 0, "Zero", TEXT(SamplingData[[#This Row],[Lower Range]], REPT("0",LEN('General Info'!$B$42))) &amp; " - " &amp; TEXT(SamplingData[[#This Row],[Upper Range]], REPT("0",LEN('General Info'!$B$42))))</f>
        <v>472961 - 474551</v>
      </c>
      <c r="AF583" s="99">
        <f>SamplingData[[#This Row],[Upper Range]]-SamplingData[[#This Row],[Span]]</f>
        <v>472961.42800014612</v>
      </c>
      <c r="AG583" s="99">
        <f>IF(ISNUMBER('General Info'!$B$42), ((SamplingData[[#This Row],[up/U Selection Probability]]) * 'General Info'!$B$44) - 1, 0)</f>
        <v>1589.5042352855658</v>
      </c>
      <c r="AH583" s="99">
        <f>IF(ISNUMBER('General Info'!$B$42), (SamplingData[[#This Row],[Running (cumulative) sum]] * ('General Info'!$B$42 -'General Info'!$B$43 + 1)) + 'General Info'!$B$43 - 1, 0)</f>
        <v>474550.93223543168</v>
      </c>
      <c r="AI583" s="99" t="str">
        <f>IF(ISERROR(MATCH(SamplingData[[#This Row],[Batch by Type (p)]],SelectedPrecincts[Batch Name], 0)), "", INDEX(SelectedPrecincts[Draw], MATCH(SamplingData[[#This Row],[Batch by Type (p)]],SelectedPrecincts[Batch Name], 0)))</f>
        <v/>
      </c>
      <c r="AJ583" s="100">
        <f>IF(COUNTIF(SelectedPrecincts[Batch Name],SamplingData[[#This Row],[Batch by Type (p)]]) &lt;&gt; 0, COUNTIF(SelectedPrecincts[Batch Name],SamplingData[[#This Row],[Batch by Type (p)]]), 0)</f>
        <v>0</v>
      </c>
    </row>
    <row r="584" spans="1:36" ht="15" customHeight="1" x14ac:dyDescent="0.35">
      <c r="A584" s="97" t="s">
        <v>797</v>
      </c>
      <c r="B584" s="97">
        <v>152</v>
      </c>
      <c r="C584" s="97">
        <v>175</v>
      </c>
      <c r="D584" s="92"/>
      <c r="E584" s="92"/>
      <c r="F584" s="92"/>
      <c r="G584" s="96"/>
      <c r="H584" s="96"/>
      <c r="I584" s="92"/>
      <c r="J584" s="92"/>
      <c r="K584" s="92"/>
      <c r="L584" s="92"/>
      <c r="M584" s="92"/>
      <c r="N584" s="97">
        <v>0</v>
      </c>
      <c r="O584" s="97">
        <v>30</v>
      </c>
      <c r="P584" s="98">
        <f>SUM(SamplingData[[#This Row],[Winning Candidate]:[Under Votes]])</f>
        <v>357</v>
      </c>
      <c r="Q584" s="99">
        <f>IF(AND(SamplingData[[#This Row],[Total]]&lt;&gt; 0, NOT(ISBLANK(SamplingData[[#This Row],[Losing Candidate]]))),(SamplingData[[#This Row],[Total]]+SamplingData[[#This Row],[Winning Candidate]]-SamplingData[[#This Row],[Losing Candidate]])/(SamplingData[[#Totals],[Winning Candidate]]-SamplingData[[#Totals],[Losing Candidate]]), 0)</f>
        <v>1.4174163978950943E-2</v>
      </c>
      <c r="R584" s="99">
        <f>IF(AND(SamplingData[[#This Row],[Total]]&lt;&gt; 0, NOT(ISBLANK(SamplingData[[#This Row],[Candidate 3]]))),(SamplingData[[#This Row],[Total]]+SamplingData[[#This Row],[Winning Candidate]]-SamplingData[[#This Row],[Candidate 3]])/(SamplingData[[#Totals],[Winning Candidate]]-SamplingData[[#Totals],[Candidate 3]]), 0)</f>
        <v>0</v>
      </c>
      <c r="S584" s="99">
        <f>IF(AND(SamplingData[[#This Row],[Total]]&lt;&gt; 0, NOT(ISBLANK(SamplingData[[#This Row],[Candidate 4]]))),(SamplingData[[#This Row],[Total]]+SamplingData[[#This Row],[Winning Candidate]]-SamplingData[[#This Row],[Candidate 4]])/(SamplingData[[#Totals],[Winning Candidate]]-SamplingData[[#Totals],[Candidate 4]]), 0)</f>
        <v>0</v>
      </c>
      <c r="T584" s="99">
        <f>IF(AND(SamplingData[[#This Row],[Total]]&lt;&gt; 0, NOT(ISBLANK(SamplingData[[#This Row],[Candidate 5]]))),(SamplingData[[#This Row],[Total]]+SamplingData[[#This Row],[Winning Candidate]]-SamplingData[[#This Row],[Candidate 5]])/(SamplingData[[#Totals],[Winning Candidate]]-SamplingData[[#Totals],[Candidate 5]]), 0)</f>
        <v>0</v>
      </c>
      <c r="U584" s="99">
        <f>IF(AND(SamplingData[[#This Row],[Total]]&lt;&gt; 0, NOT(ISBLANK(SamplingData[[#This Row],[Candidate 6]]))),(SamplingData[[#This Row],[Total]]+SamplingData[[#This Row],[Losing Candidate]]-SamplingData[[#This Row],[Candidate 6]])/(SamplingData[[#Totals],[Winning Candidate]]-SamplingData[[#Totals],[Candidate 6]]), 0)</f>
        <v>0</v>
      </c>
      <c r="V584" s="99">
        <f>IF(AND(SamplingData[[#This Row],[Total]]&lt;&gt; 0, NOT(ISBLANK(SamplingData[[#This Row],[Candidate 7]]))),(SamplingData[[#This Row],[Total]]+SamplingData[[#This Row],[Winning Candidate]]-SamplingData[[#This Row],[Candidate 7]])/(SamplingData[[#Totals],[Winning Candidate]]-SamplingData[[#Totals],[Candidate 7]]), 0)</f>
        <v>0</v>
      </c>
      <c r="W584" s="99">
        <f>IF(AND(SamplingData[[#This Row],[Total]]&lt;&gt; 0, NOT(ISBLANK(SamplingData[[#This Row],[Candidate 8]]))),(SamplingData[[#This Row],[Total]]+SamplingData[[#This Row],[Winning Candidate]]-SamplingData[[#This Row],[Candidate 8]])/(SamplingData[[#Totals],[Winning Candidate]]-SamplingData[[#Totals],[Candidate 8]]), 0)</f>
        <v>0</v>
      </c>
      <c r="X5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4" s="99">
        <f>MAX(SamplingData[[#This Row],[Error Bound (up) - Max. possible relative overstatement - Losing Candidate]:[Error Bound (up) - Max. possible relative overstatement - Candidate 12]])</f>
        <v>1.4174163978950943E-2</v>
      </c>
      <c r="AC584" s="99">
        <f>IF(SamplingData[[#This Row],[Max Error Bound (up)]] = 0,0,SamplingData[[#This Row],[Max Error Bound (up)]]/SamplingData[[#Totals],[Max Error Bound (up)]])</f>
        <v>7.5889773512196994E-4</v>
      </c>
      <c r="AD584" s="103">
        <f>SUM($AC$5:AC584)</f>
        <v>0.47531082997055363</v>
      </c>
      <c r="AE584" s="99" t="str" cm="1">
        <f t="array" ref="AE584">IF(SamplingData[[#This Row],[up/U Selection Probability]] = 0, "Zero", TEXT(SamplingData[[#This Row],[Lower Range]], REPT("0",LEN('General Info'!$B$42))) &amp; " - " &amp; TEXT(SamplingData[[#This Row],[Upper Range]], REPT("0",LEN('General Info'!$B$42))))</f>
        <v>474552 - 475310</v>
      </c>
      <c r="AF584" s="99">
        <f>SamplingData[[#This Row],[Upper Range]]-SamplingData[[#This Row],[Span]]</f>
        <v>474551.93223543168</v>
      </c>
      <c r="AG584" s="99">
        <f>IF(ISNUMBER('General Info'!$B$42), ((SamplingData[[#This Row],[up/U Selection Probability]]) * 'General Info'!$B$44) - 1, 0)</f>
        <v>757.89773512196996</v>
      </c>
      <c r="AH584" s="99">
        <f>IF(ISNUMBER('General Info'!$B$42), (SamplingData[[#This Row],[Running (cumulative) sum]] * ('General Info'!$B$42 -'General Info'!$B$43 + 1)) + 'General Info'!$B$43 - 1, 0)</f>
        <v>475309.82997055363</v>
      </c>
      <c r="AI584" s="99" t="str">
        <f>IF(ISERROR(MATCH(SamplingData[[#This Row],[Batch by Type (p)]],SelectedPrecincts[Batch Name], 0)), "", INDEX(SelectedPrecincts[Draw], MATCH(SamplingData[[#This Row],[Batch by Type (p)]],SelectedPrecincts[Batch Name], 0)))</f>
        <v/>
      </c>
      <c r="AJ584" s="100">
        <f>IF(COUNTIF(SelectedPrecincts[Batch Name],SamplingData[[#This Row],[Batch by Type (p)]]) &lt;&gt; 0, COUNTIF(SelectedPrecincts[Batch Name],SamplingData[[#This Row],[Batch by Type (p)]]), 0)</f>
        <v>0</v>
      </c>
    </row>
    <row r="585" spans="1:36" ht="15" customHeight="1" x14ac:dyDescent="0.35">
      <c r="A585" s="97" t="s">
        <v>798</v>
      </c>
      <c r="B585" s="97">
        <v>393</v>
      </c>
      <c r="C585" s="97">
        <v>137</v>
      </c>
      <c r="D585" s="92"/>
      <c r="E585" s="92"/>
      <c r="F585" s="92"/>
      <c r="G585" s="96"/>
      <c r="H585" s="96"/>
      <c r="I585" s="92"/>
      <c r="J585" s="92"/>
      <c r="K585" s="92"/>
      <c r="L585" s="92"/>
      <c r="M585" s="92"/>
      <c r="N585" s="97">
        <v>0</v>
      </c>
      <c r="O585" s="97">
        <v>48</v>
      </c>
      <c r="P585" s="98">
        <f>SUM(SamplingData[[#This Row],[Winning Candidate]:[Under Votes]])</f>
        <v>578</v>
      </c>
      <c r="Q585" s="99">
        <f>IF(AND(SamplingData[[#This Row],[Total]]&lt;&gt; 0, NOT(ISBLANK(SamplingData[[#This Row],[Losing Candidate]]))),(SamplingData[[#This Row],[Total]]+SamplingData[[#This Row],[Winning Candidate]]-SamplingData[[#This Row],[Losing Candidate]])/(SamplingData[[#Totals],[Winning Candidate]]-SamplingData[[#Totals],[Losing Candidate]]), 0)</f>
        <v>3.5392972330673907E-2</v>
      </c>
      <c r="R585" s="99">
        <f>IF(AND(SamplingData[[#This Row],[Total]]&lt;&gt; 0, NOT(ISBLANK(SamplingData[[#This Row],[Candidate 3]]))),(SamplingData[[#This Row],[Total]]+SamplingData[[#This Row],[Winning Candidate]]-SamplingData[[#This Row],[Candidate 3]])/(SamplingData[[#Totals],[Winning Candidate]]-SamplingData[[#Totals],[Candidate 3]]), 0)</f>
        <v>0</v>
      </c>
      <c r="S585" s="99">
        <f>IF(AND(SamplingData[[#This Row],[Total]]&lt;&gt; 0, NOT(ISBLANK(SamplingData[[#This Row],[Candidate 4]]))),(SamplingData[[#This Row],[Total]]+SamplingData[[#This Row],[Winning Candidate]]-SamplingData[[#This Row],[Candidate 4]])/(SamplingData[[#Totals],[Winning Candidate]]-SamplingData[[#Totals],[Candidate 4]]), 0)</f>
        <v>0</v>
      </c>
      <c r="T585" s="99">
        <f>IF(AND(SamplingData[[#This Row],[Total]]&lt;&gt; 0, NOT(ISBLANK(SamplingData[[#This Row],[Candidate 5]]))),(SamplingData[[#This Row],[Total]]+SamplingData[[#This Row],[Winning Candidate]]-SamplingData[[#This Row],[Candidate 5]])/(SamplingData[[#Totals],[Winning Candidate]]-SamplingData[[#Totals],[Candidate 5]]), 0)</f>
        <v>0</v>
      </c>
      <c r="U585" s="99">
        <f>IF(AND(SamplingData[[#This Row],[Total]]&lt;&gt; 0, NOT(ISBLANK(SamplingData[[#This Row],[Candidate 6]]))),(SamplingData[[#This Row],[Total]]+SamplingData[[#This Row],[Losing Candidate]]-SamplingData[[#This Row],[Candidate 6]])/(SamplingData[[#Totals],[Winning Candidate]]-SamplingData[[#Totals],[Candidate 6]]), 0)</f>
        <v>0</v>
      </c>
      <c r="V585" s="99">
        <f>IF(AND(SamplingData[[#This Row],[Total]]&lt;&gt; 0, NOT(ISBLANK(SamplingData[[#This Row],[Candidate 7]]))),(SamplingData[[#This Row],[Total]]+SamplingData[[#This Row],[Winning Candidate]]-SamplingData[[#This Row],[Candidate 7]])/(SamplingData[[#Totals],[Winning Candidate]]-SamplingData[[#Totals],[Candidate 7]]), 0)</f>
        <v>0</v>
      </c>
      <c r="W585" s="99">
        <f>IF(AND(SamplingData[[#This Row],[Total]]&lt;&gt; 0, NOT(ISBLANK(SamplingData[[#This Row],[Candidate 8]]))),(SamplingData[[#This Row],[Total]]+SamplingData[[#This Row],[Winning Candidate]]-SamplingData[[#This Row],[Candidate 8]])/(SamplingData[[#Totals],[Winning Candidate]]-SamplingData[[#Totals],[Candidate 8]]), 0)</f>
        <v>0</v>
      </c>
      <c r="X5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5" s="99">
        <f>MAX(SamplingData[[#This Row],[Error Bound (up) - Max. possible relative overstatement - Losing Candidate]:[Error Bound (up) - Max. possible relative overstatement - Candidate 12]])</f>
        <v>3.5392972330673907E-2</v>
      </c>
      <c r="AC585" s="99">
        <f>IF(SamplingData[[#This Row],[Max Error Bound (up)]] = 0,0,SamplingData[[#This Row],[Max Error Bound (up)]]/SamplingData[[#Totals],[Max Error Bound (up)]])</f>
        <v>1.8949721888973738E-3</v>
      </c>
      <c r="AD585" s="103">
        <f>SUM($AC$5:AC585)</f>
        <v>0.47720580215945102</v>
      </c>
      <c r="AE585" s="99" t="str" cm="1">
        <f t="array" ref="AE585">IF(SamplingData[[#This Row],[up/U Selection Probability]] = 0, "Zero", TEXT(SamplingData[[#This Row],[Lower Range]], REPT("0",LEN('General Info'!$B$42))) &amp; " - " &amp; TEXT(SamplingData[[#This Row],[Upper Range]], REPT("0",LEN('General Info'!$B$42))))</f>
        <v>475311 - 477205</v>
      </c>
      <c r="AF585" s="99">
        <f>SamplingData[[#This Row],[Upper Range]]-SamplingData[[#This Row],[Span]]</f>
        <v>475310.82997055363</v>
      </c>
      <c r="AG585" s="99">
        <f>IF(ISNUMBER('General Info'!$B$42), ((SamplingData[[#This Row],[up/U Selection Probability]]) * 'General Info'!$B$44) - 1, 0)</f>
        <v>1893.9721888973738</v>
      </c>
      <c r="AH585" s="99">
        <f>IF(ISNUMBER('General Info'!$B$42), (SamplingData[[#This Row],[Running (cumulative) sum]] * ('General Info'!$B$42 -'General Info'!$B$43 + 1)) + 'General Info'!$B$43 - 1, 0)</f>
        <v>477204.80215945101</v>
      </c>
      <c r="AI585" s="99">
        <f>IF(ISERROR(MATCH(SamplingData[[#This Row],[Batch by Type (p)]],SelectedPrecincts[Batch Name], 0)), "", INDEX(SelectedPrecincts[Draw], MATCH(SamplingData[[#This Row],[Batch by Type (p)]],SelectedPrecincts[Batch Name], 0)))</f>
        <v>31</v>
      </c>
      <c r="AJ585" s="100">
        <f>IF(COUNTIF(SelectedPrecincts[Batch Name],SamplingData[[#This Row],[Batch by Type (p)]]) &lt;&gt; 0, COUNTIF(SelectedPrecincts[Batch Name],SamplingData[[#This Row],[Batch by Type (p)]]), 0)</f>
        <v>3</v>
      </c>
    </row>
    <row r="586" spans="1:36" ht="15" customHeight="1" x14ac:dyDescent="0.35">
      <c r="A586" s="97" t="s">
        <v>799</v>
      </c>
      <c r="B586" s="97">
        <v>165</v>
      </c>
      <c r="C586" s="97">
        <v>111</v>
      </c>
      <c r="D586" s="92"/>
      <c r="E586" s="92"/>
      <c r="F586" s="92"/>
      <c r="G586" s="96"/>
      <c r="H586" s="96"/>
      <c r="I586" s="92"/>
      <c r="J586" s="92"/>
      <c r="K586" s="92"/>
      <c r="L586" s="92"/>
      <c r="M586" s="92"/>
      <c r="N586" s="97">
        <v>1</v>
      </c>
      <c r="O586" s="97">
        <v>26</v>
      </c>
      <c r="P586" s="98">
        <f>SUM(SamplingData[[#This Row],[Winning Candidate]:[Under Votes]])</f>
        <v>303</v>
      </c>
      <c r="Q586" s="99">
        <f>IF(AND(SamplingData[[#This Row],[Total]]&lt;&gt; 0, NOT(ISBLANK(SamplingData[[#This Row],[Losing Candidate]]))),(SamplingData[[#This Row],[Total]]+SamplingData[[#This Row],[Winning Candidate]]-SamplingData[[#This Row],[Losing Candidate]])/(SamplingData[[#Totals],[Winning Candidate]]-SamplingData[[#Totals],[Losing Candidate]]), 0)</f>
        <v>1.5150229163130198E-2</v>
      </c>
      <c r="R586" s="99">
        <f>IF(AND(SamplingData[[#This Row],[Total]]&lt;&gt; 0, NOT(ISBLANK(SamplingData[[#This Row],[Candidate 3]]))),(SamplingData[[#This Row],[Total]]+SamplingData[[#This Row],[Winning Candidate]]-SamplingData[[#This Row],[Candidate 3]])/(SamplingData[[#Totals],[Winning Candidate]]-SamplingData[[#Totals],[Candidate 3]]), 0)</f>
        <v>0</v>
      </c>
      <c r="S586" s="99">
        <f>IF(AND(SamplingData[[#This Row],[Total]]&lt;&gt; 0, NOT(ISBLANK(SamplingData[[#This Row],[Candidate 4]]))),(SamplingData[[#This Row],[Total]]+SamplingData[[#This Row],[Winning Candidate]]-SamplingData[[#This Row],[Candidate 4]])/(SamplingData[[#Totals],[Winning Candidate]]-SamplingData[[#Totals],[Candidate 4]]), 0)</f>
        <v>0</v>
      </c>
      <c r="T586" s="99">
        <f>IF(AND(SamplingData[[#This Row],[Total]]&lt;&gt; 0, NOT(ISBLANK(SamplingData[[#This Row],[Candidate 5]]))),(SamplingData[[#This Row],[Total]]+SamplingData[[#This Row],[Winning Candidate]]-SamplingData[[#This Row],[Candidate 5]])/(SamplingData[[#Totals],[Winning Candidate]]-SamplingData[[#Totals],[Candidate 5]]), 0)</f>
        <v>0</v>
      </c>
      <c r="U586" s="99">
        <f>IF(AND(SamplingData[[#This Row],[Total]]&lt;&gt; 0, NOT(ISBLANK(SamplingData[[#This Row],[Candidate 6]]))),(SamplingData[[#This Row],[Total]]+SamplingData[[#This Row],[Losing Candidate]]-SamplingData[[#This Row],[Candidate 6]])/(SamplingData[[#Totals],[Winning Candidate]]-SamplingData[[#Totals],[Candidate 6]]), 0)</f>
        <v>0</v>
      </c>
      <c r="V586" s="99">
        <f>IF(AND(SamplingData[[#This Row],[Total]]&lt;&gt; 0, NOT(ISBLANK(SamplingData[[#This Row],[Candidate 7]]))),(SamplingData[[#This Row],[Total]]+SamplingData[[#This Row],[Winning Candidate]]-SamplingData[[#This Row],[Candidate 7]])/(SamplingData[[#Totals],[Winning Candidate]]-SamplingData[[#Totals],[Candidate 7]]), 0)</f>
        <v>0</v>
      </c>
      <c r="W586" s="99">
        <f>IF(AND(SamplingData[[#This Row],[Total]]&lt;&gt; 0, NOT(ISBLANK(SamplingData[[#This Row],[Candidate 8]]))),(SamplingData[[#This Row],[Total]]+SamplingData[[#This Row],[Winning Candidate]]-SamplingData[[#This Row],[Candidate 8]])/(SamplingData[[#Totals],[Winning Candidate]]-SamplingData[[#Totals],[Candidate 8]]), 0)</f>
        <v>0</v>
      </c>
      <c r="X5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6" s="99">
        <f>MAX(SamplingData[[#This Row],[Error Bound (up) - Max. possible relative overstatement - Losing Candidate]:[Error Bound (up) - Max. possible relative overstatement - Candidate 12]])</f>
        <v>1.5150229163130198E-2</v>
      </c>
      <c r="AC586" s="99">
        <f>IF(SamplingData[[#This Row],[Max Error Bound (up)]] = 0,0,SamplingData[[#This Row],[Max Error Bound (up)]]/SamplingData[[#Totals],[Max Error Bound (up)]])</f>
        <v>8.1115715999563844E-4</v>
      </c>
      <c r="AD586" s="103">
        <f>SUM($AC$5:AC586)</f>
        <v>0.47801695931944665</v>
      </c>
      <c r="AE586" s="99" t="str" cm="1">
        <f t="array" ref="AE586">IF(SamplingData[[#This Row],[up/U Selection Probability]] = 0, "Zero", TEXT(SamplingData[[#This Row],[Lower Range]], REPT("0",LEN('General Info'!$B$42))) &amp; " - " &amp; TEXT(SamplingData[[#This Row],[Upper Range]], REPT("0",LEN('General Info'!$B$42))))</f>
        <v>477206 - 478016</v>
      </c>
      <c r="AF586" s="99">
        <f>SamplingData[[#This Row],[Upper Range]]-SamplingData[[#This Row],[Span]]</f>
        <v>477205.80215945101</v>
      </c>
      <c r="AG586" s="99">
        <f>IF(ISNUMBER('General Info'!$B$42), ((SamplingData[[#This Row],[up/U Selection Probability]]) * 'General Info'!$B$44) - 1, 0)</f>
        <v>810.15715999563849</v>
      </c>
      <c r="AH586" s="99">
        <f>IF(ISNUMBER('General Info'!$B$42), (SamplingData[[#This Row],[Running (cumulative) sum]] * ('General Info'!$B$42 -'General Info'!$B$43 + 1)) + 'General Info'!$B$43 - 1, 0)</f>
        <v>478015.95931944664</v>
      </c>
      <c r="AI586" s="99" t="str">
        <f>IF(ISERROR(MATCH(SamplingData[[#This Row],[Batch by Type (p)]],SelectedPrecincts[Batch Name], 0)), "", INDEX(SelectedPrecincts[Draw], MATCH(SamplingData[[#This Row],[Batch by Type (p)]],SelectedPrecincts[Batch Name], 0)))</f>
        <v/>
      </c>
      <c r="AJ586" s="100">
        <f>IF(COUNTIF(SelectedPrecincts[Batch Name],SamplingData[[#This Row],[Batch by Type (p)]]) &lt;&gt; 0, COUNTIF(SelectedPrecincts[Batch Name],SamplingData[[#This Row],[Batch by Type (p)]]), 0)</f>
        <v>0</v>
      </c>
    </row>
    <row r="587" spans="1:36" ht="15" customHeight="1" x14ac:dyDescent="0.35">
      <c r="A587" s="97" t="s">
        <v>800</v>
      </c>
      <c r="B587" s="97">
        <v>223</v>
      </c>
      <c r="C587" s="97">
        <v>75</v>
      </c>
      <c r="D587" s="92"/>
      <c r="E587" s="92"/>
      <c r="F587" s="92"/>
      <c r="G587" s="96"/>
      <c r="H587" s="96"/>
      <c r="I587" s="92"/>
      <c r="J587" s="92"/>
      <c r="K587" s="92"/>
      <c r="L587" s="92"/>
      <c r="M587" s="92"/>
      <c r="N587" s="97">
        <v>0</v>
      </c>
      <c r="O587" s="97">
        <v>25</v>
      </c>
      <c r="P587" s="98">
        <f>SUM(SamplingData[[#This Row],[Winning Candidate]:[Under Votes]])</f>
        <v>323</v>
      </c>
      <c r="Q587" s="99">
        <f>IF(AND(SamplingData[[#This Row],[Total]]&lt;&gt; 0, NOT(ISBLANK(SamplingData[[#This Row],[Losing Candidate]]))),(SamplingData[[#This Row],[Total]]+SamplingData[[#This Row],[Winning Candidate]]-SamplingData[[#This Row],[Losing Candidate]])/(SamplingData[[#Totals],[Winning Candidate]]-SamplingData[[#Totals],[Losing Candidate]]), 0)</f>
        <v>1.9988117467323034E-2</v>
      </c>
      <c r="R587" s="99">
        <f>IF(AND(SamplingData[[#This Row],[Total]]&lt;&gt; 0, NOT(ISBLANK(SamplingData[[#This Row],[Candidate 3]]))),(SamplingData[[#This Row],[Total]]+SamplingData[[#This Row],[Winning Candidate]]-SamplingData[[#This Row],[Candidate 3]])/(SamplingData[[#Totals],[Winning Candidate]]-SamplingData[[#Totals],[Candidate 3]]), 0)</f>
        <v>0</v>
      </c>
      <c r="S587" s="99">
        <f>IF(AND(SamplingData[[#This Row],[Total]]&lt;&gt; 0, NOT(ISBLANK(SamplingData[[#This Row],[Candidate 4]]))),(SamplingData[[#This Row],[Total]]+SamplingData[[#This Row],[Winning Candidate]]-SamplingData[[#This Row],[Candidate 4]])/(SamplingData[[#Totals],[Winning Candidate]]-SamplingData[[#Totals],[Candidate 4]]), 0)</f>
        <v>0</v>
      </c>
      <c r="T587" s="99">
        <f>IF(AND(SamplingData[[#This Row],[Total]]&lt;&gt; 0, NOT(ISBLANK(SamplingData[[#This Row],[Candidate 5]]))),(SamplingData[[#This Row],[Total]]+SamplingData[[#This Row],[Winning Candidate]]-SamplingData[[#This Row],[Candidate 5]])/(SamplingData[[#Totals],[Winning Candidate]]-SamplingData[[#Totals],[Candidate 5]]), 0)</f>
        <v>0</v>
      </c>
      <c r="U587" s="99">
        <f>IF(AND(SamplingData[[#This Row],[Total]]&lt;&gt; 0, NOT(ISBLANK(SamplingData[[#This Row],[Candidate 6]]))),(SamplingData[[#This Row],[Total]]+SamplingData[[#This Row],[Losing Candidate]]-SamplingData[[#This Row],[Candidate 6]])/(SamplingData[[#Totals],[Winning Candidate]]-SamplingData[[#Totals],[Candidate 6]]), 0)</f>
        <v>0</v>
      </c>
      <c r="V587" s="99">
        <f>IF(AND(SamplingData[[#This Row],[Total]]&lt;&gt; 0, NOT(ISBLANK(SamplingData[[#This Row],[Candidate 7]]))),(SamplingData[[#This Row],[Total]]+SamplingData[[#This Row],[Winning Candidate]]-SamplingData[[#This Row],[Candidate 7]])/(SamplingData[[#Totals],[Winning Candidate]]-SamplingData[[#Totals],[Candidate 7]]), 0)</f>
        <v>0</v>
      </c>
      <c r="W587" s="99">
        <f>IF(AND(SamplingData[[#This Row],[Total]]&lt;&gt; 0, NOT(ISBLANK(SamplingData[[#This Row],[Candidate 8]]))),(SamplingData[[#This Row],[Total]]+SamplingData[[#This Row],[Winning Candidate]]-SamplingData[[#This Row],[Candidate 8]])/(SamplingData[[#Totals],[Winning Candidate]]-SamplingData[[#Totals],[Candidate 8]]), 0)</f>
        <v>0</v>
      </c>
      <c r="X5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7" s="99">
        <f>MAX(SamplingData[[#This Row],[Error Bound (up) - Max. possible relative overstatement - Losing Candidate]:[Error Bound (up) - Max. possible relative overstatement - Candidate 12]])</f>
        <v>1.9988117467323034E-2</v>
      </c>
      <c r="AC587" s="99">
        <f>IF(SamplingData[[#This Row],[Max Error Bound (up)]] = 0,0,SamplingData[[#This Row],[Max Error Bound (up)]]/SamplingData[[#Totals],[Max Error Bound (up)]])</f>
        <v>1.0701821354564306E-3</v>
      </c>
      <c r="AD587" s="103">
        <f>SUM($AC$5:AC587)</f>
        <v>0.47908714145490311</v>
      </c>
      <c r="AE587" s="99" t="str" cm="1">
        <f t="array" ref="AE587">IF(SamplingData[[#This Row],[up/U Selection Probability]] = 0, "Zero", TEXT(SamplingData[[#This Row],[Lower Range]], REPT("0",LEN('General Info'!$B$42))) &amp; " - " &amp; TEXT(SamplingData[[#This Row],[Upper Range]], REPT("0",LEN('General Info'!$B$42))))</f>
        <v>478017 - 479086</v>
      </c>
      <c r="AF587" s="99">
        <f>SamplingData[[#This Row],[Upper Range]]-SamplingData[[#This Row],[Span]]</f>
        <v>478016.9593194467</v>
      </c>
      <c r="AG587" s="99">
        <f>IF(ISNUMBER('General Info'!$B$42), ((SamplingData[[#This Row],[up/U Selection Probability]]) * 'General Info'!$B$44) - 1, 0)</f>
        <v>1069.1821354564306</v>
      </c>
      <c r="AH587" s="99">
        <f>IF(ISNUMBER('General Info'!$B$42), (SamplingData[[#This Row],[Running (cumulative) sum]] * ('General Info'!$B$42 -'General Info'!$B$43 + 1)) + 'General Info'!$B$43 - 1, 0)</f>
        <v>479086.14145490312</v>
      </c>
      <c r="AI587" s="99" t="str">
        <f>IF(ISERROR(MATCH(SamplingData[[#This Row],[Batch by Type (p)]],SelectedPrecincts[Batch Name], 0)), "", INDEX(SelectedPrecincts[Draw], MATCH(SamplingData[[#This Row],[Batch by Type (p)]],SelectedPrecincts[Batch Name], 0)))</f>
        <v/>
      </c>
      <c r="AJ587" s="100">
        <f>IF(COUNTIF(SelectedPrecincts[Batch Name],SamplingData[[#This Row],[Batch by Type (p)]]) &lt;&gt; 0, COUNTIF(SelectedPrecincts[Batch Name],SamplingData[[#This Row],[Batch by Type (p)]]), 0)</f>
        <v>0</v>
      </c>
    </row>
    <row r="588" spans="1:36" ht="15" customHeight="1" x14ac:dyDescent="0.35">
      <c r="A588" s="97" t="s">
        <v>801</v>
      </c>
      <c r="B588" s="97">
        <v>268</v>
      </c>
      <c r="C588" s="97">
        <v>133</v>
      </c>
      <c r="D588" s="92"/>
      <c r="E588" s="92"/>
      <c r="F588" s="92"/>
      <c r="G588" s="96"/>
      <c r="H588" s="96"/>
      <c r="I588" s="92"/>
      <c r="J588" s="92"/>
      <c r="K588" s="92"/>
      <c r="L588" s="92"/>
      <c r="M588" s="92"/>
      <c r="N588" s="97">
        <v>0</v>
      </c>
      <c r="O588" s="97">
        <v>30</v>
      </c>
      <c r="P588" s="98">
        <f>SUM(SamplingData[[#This Row],[Winning Candidate]:[Under Votes]])</f>
        <v>431</v>
      </c>
      <c r="Q588" s="99">
        <f>IF(AND(SamplingData[[#This Row],[Total]]&lt;&gt; 0, NOT(ISBLANK(SamplingData[[#This Row],[Losing Candidate]]))),(SamplingData[[#This Row],[Total]]+SamplingData[[#This Row],[Winning Candidate]]-SamplingData[[#This Row],[Losing Candidate]])/(SamplingData[[#Totals],[Winning Candidate]]-SamplingData[[#Totals],[Losing Candidate]]), 0)</f>
        <v>2.4019691054150399E-2</v>
      </c>
      <c r="R588" s="99">
        <f>IF(AND(SamplingData[[#This Row],[Total]]&lt;&gt; 0, NOT(ISBLANK(SamplingData[[#This Row],[Candidate 3]]))),(SamplingData[[#This Row],[Total]]+SamplingData[[#This Row],[Winning Candidate]]-SamplingData[[#This Row],[Candidate 3]])/(SamplingData[[#Totals],[Winning Candidate]]-SamplingData[[#Totals],[Candidate 3]]), 0)</f>
        <v>0</v>
      </c>
      <c r="S588" s="99">
        <f>IF(AND(SamplingData[[#This Row],[Total]]&lt;&gt; 0, NOT(ISBLANK(SamplingData[[#This Row],[Candidate 4]]))),(SamplingData[[#This Row],[Total]]+SamplingData[[#This Row],[Winning Candidate]]-SamplingData[[#This Row],[Candidate 4]])/(SamplingData[[#Totals],[Winning Candidate]]-SamplingData[[#Totals],[Candidate 4]]), 0)</f>
        <v>0</v>
      </c>
      <c r="T588" s="99">
        <f>IF(AND(SamplingData[[#This Row],[Total]]&lt;&gt; 0, NOT(ISBLANK(SamplingData[[#This Row],[Candidate 5]]))),(SamplingData[[#This Row],[Total]]+SamplingData[[#This Row],[Winning Candidate]]-SamplingData[[#This Row],[Candidate 5]])/(SamplingData[[#Totals],[Winning Candidate]]-SamplingData[[#Totals],[Candidate 5]]), 0)</f>
        <v>0</v>
      </c>
      <c r="U588" s="99">
        <f>IF(AND(SamplingData[[#This Row],[Total]]&lt;&gt; 0, NOT(ISBLANK(SamplingData[[#This Row],[Candidate 6]]))),(SamplingData[[#This Row],[Total]]+SamplingData[[#This Row],[Losing Candidate]]-SamplingData[[#This Row],[Candidate 6]])/(SamplingData[[#Totals],[Winning Candidate]]-SamplingData[[#Totals],[Candidate 6]]), 0)</f>
        <v>0</v>
      </c>
      <c r="V588" s="99">
        <f>IF(AND(SamplingData[[#This Row],[Total]]&lt;&gt; 0, NOT(ISBLANK(SamplingData[[#This Row],[Candidate 7]]))),(SamplingData[[#This Row],[Total]]+SamplingData[[#This Row],[Winning Candidate]]-SamplingData[[#This Row],[Candidate 7]])/(SamplingData[[#Totals],[Winning Candidate]]-SamplingData[[#Totals],[Candidate 7]]), 0)</f>
        <v>0</v>
      </c>
      <c r="W588" s="99">
        <f>IF(AND(SamplingData[[#This Row],[Total]]&lt;&gt; 0, NOT(ISBLANK(SamplingData[[#This Row],[Candidate 8]]))),(SamplingData[[#This Row],[Total]]+SamplingData[[#This Row],[Winning Candidate]]-SamplingData[[#This Row],[Candidate 8]])/(SamplingData[[#Totals],[Winning Candidate]]-SamplingData[[#Totals],[Candidate 8]]), 0)</f>
        <v>0</v>
      </c>
      <c r="X5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8" s="99">
        <f>MAX(SamplingData[[#This Row],[Error Bound (up) - Max. possible relative overstatement - Losing Candidate]:[Error Bound (up) - Max. possible relative overstatement - Candidate 12]])</f>
        <v>2.4019691054150399E-2</v>
      </c>
      <c r="AC588" s="99">
        <f>IF(SamplingData[[#This Row],[Max Error Bound (up)]] = 0,0,SamplingData[[#This Row],[Max Error Bound (up)]]/SamplingData[[#Totals],[Max Error Bound (up)]])</f>
        <v>1.2860362816737574E-3</v>
      </c>
      <c r="AD588" s="103">
        <f>SUM($AC$5:AC588)</f>
        <v>0.48037317773657684</v>
      </c>
      <c r="AE588" s="99" t="str" cm="1">
        <f t="array" ref="AE588">IF(SamplingData[[#This Row],[up/U Selection Probability]] = 0, "Zero", TEXT(SamplingData[[#This Row],[Lower Range]], REPT("0",LEN('General Info'!$B$42))) &amp; " - " &amp; TEXT(SamplingData[[#This Row],[Upper Range]], REPT("0",LEN('General Info'!$B$42))))</f>
        <v>479087 - 480372</v>
      </c>
      <c r="AF588" s="99">
        <f>SamplingData[[#This Row],[Upper Range]]-SamplingData[[#This Row],[Span]]</f>
        <v>479087.14145490306</v>
      </c>
      <c r="AG588" s="99">
        <f>IF(ISNUMBER('General Info'!$B$42), ((SamplingData[[#This Row],[up/U Selection Probability]]) * 'General Info'!$B$44) - 1, 0)</f>
        <v>1285.0362816737575</v>
      </c>
      <c r="AH588" s="99">
        <f>IF(ISNUMBER('General Info'!$B$42), (SamplingData[[#This Row],[Running (cumulative) sum]] * ('General Info'!$B$42 -'General Info'!$B$43 + 1)) + 'General Info'!$B$43 - 1, 0)</f>
        <v>480372.17773657682</v>
      </c>
      <c r="AI588" s="99" t="str">
        <f>IF(ISERROR(MATCH(SamplingData[[#This Row],[Batch by Type (p)]],SelectedPrecincts[Batch Name], 0)), "", INDEX(SelectedPrecincts[Draw], MATCH(SamplingData[[#This Row],[Batch by Type (p)]],SelectedPrecincts[Batch Name], 0)))</f>
        <v/>
      </c>
      <c r="AJ588" s="100">
        <f>IF(COUNTIF(SelectedPrecincts[Batch Name],SamplingData[[#This Row],[Batch by Type (p)]]) &lt;&gt; 0, COUNTIF(SelectedPrecincts[Batch Name],SamplingData[[#This Row],[Batch by Type (p)]]), 0)</f>
        <v>0</v>
      </c>
    </row>
    <row r="589" spans="1:36" ht="15" customHeight="1" x14ac:dyDescent="0.35">
      <c r="A589" s="97" t="s">
        <v>802</v>
      </c>
      <c r="B589" s="97">
        <v>293</v>
      </c>
      <c r="C589" s="97">
        <v>194</v>
      </c>
      <c r="D589" s="92"/>
      <c r="E589" s="92"/>
      <c r="F589" s="92"/>
      <c r="G589" s="96"/>
      <c r="H589" s="96"/>
      <c r="I589" s="92"/>
      <c r="J589" s="92"/>
      <c r="K589" s="92"/>
      <c r="L589" s="92"/>
      <c r="M589" s="92"/>
      <c r="N589" s="97">
        <v>1</v>
      </c>
      <c r="O589" s="97">
        <v>56</v>
      </c>
      <c r="P589" s="98">
        <f>SUM(SamplingData[[#This Row],[Winning Candidate]:[Under Votes]])</f>
        <v>544</v>
      </c>
      <c r="Q589" s="99">
        <f>IF(AND(SamplingData[[#This Row],[Total]]&lt;&gt; 0, NOT(ISBLANK(SamplingData[[#This Row],[Losing Candidate]]))),(SamplingData[[#This Row],[Total]]+SamplingData[[#This Row],[Winning Candidate]]-SamplingData[[#This Row],[Losing Candidate]])/(SamplingData[[#Totals],[Winning Candidate]]-SamplingData[[#Totals],[Losing Candidate]]), 0)</f>
        <v>2.7287387540315736E-2</v>
      </c>
      <c r="R589" s="99">
        <f>IF(AND(SamplingData[[#This Row],[Total]]&lt;&gt; 0, NOT(ISBLANK(SamplingData[[#This Row],[Candidate 3]]))),(SamplingData[[#This Row],[Total]]+SamplingData[[#This Row],[Winning Candidate]]-SamplingData[[#This Row],[Candidate 3]])/(SamplingData[[#Totals],[Winning Candidate]]-SamplingData[[#Totals],[Candidate 3]]), 0)</f>
        <v>0</v>
      </c>
      <c r="S589" s="99">
        <f>IF(AND(SamplingData[[#This Row],[Total]]&lt;&gt; 0, NOT(ISBLANK(SamplingData[[#This Row],[Candidate 4]]))),(SamplingData[[#This Row],[Total]]+SamplingData[[#This Row],[Winning Candidate]]-SamplingData[[#This Row],[Candidate 4]])/(SamplingData[[#Totals],[Winning Candidate]]-SamplingData[[#Totals],[Candidate 4]]), 0)</f>
        <v>0</v>
      </c>
      <c r="T589" s="99">
        <f>IF(AND(SamplingData[[#This Row],[Total]]&lt;&gt; 0, NOT(ISBLANK(SamplingData[[#This Row],[Candidate 5]]))),(SamplingData[[#This Row],[Total]]+SamplingData[[#This Row],[Winning Candidate]]-SamplingData[[#This Row],[Candidate 5]])/(SamplingData[[#Totals],[Winning Candidate]]-SamplingData[[#Totals],[Candidate 5]]), 0)</f>
        <v>0</v>
      </c>
      <c r="U589" s="99">
        <f>IF(AND(SamplingData[[#This Row],[Total]]&lt;&gt; 0, NOT(ISBLANK(SamplingData[[#This Row],[Candidate 6]]))),(SamplingData[[#This Row],[Total]]+SamplingData[[#This Row],[Losing Candidate]]-SamplingData[[#This Row],[Candidate 6]])/(SamplingData[[#Totals],[Winning Candidate]]-SamplingData[[#Totals],[Candidate 6]]), 0)</f>
        <v>0</v>
      </c>
      <c r="V589" s="99">
        <f>IF(AND(SamplingData[[#This Row],[Total]]&lt;&gt; 0, NOT(ISBLANK(SamplingData[[#This Row],[Candidate 7]]))),(SamplingData[[#This Row],[Total]]+SamplingData[[#This Row],[Winning Candidate]]-SamplingData[[#This Row],[Candidate 7]])/(SamplingData[[#Totals],[Winning Candidate]]-SamplingData[[#Totals],[Candidate 7]]), 0)</f>
        <v>0</v>
      </c>
      <c r="W589" s="99">
        <f>IF(AND(SamplingData[[#This Row],[Total]]&lt;&gt; 0, NOT(ISBLANK(SamplingData[[#This Row],[Candidate 8]]))),(SamplingData[[#This Row],[Total]]+SamplingData[[#This Row],[Winning Candidate]]-SamplingData[[#This Row],[Candidate 8]])/(SamplingData[[#Totals],[Winning Candidate]]-SamplingData[[#Totals],[Candidate 8]]), 0)</f>
        <v>0</v>
      </c>
      <c r="X5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9" s="99">
        <f>MAX(SamplingData[[#This Row],[Error Bound (up) - Max. possible relative overstatement - Losing Candidate]:[Error Bound (up) - Max. possible relative overstatement - Candidate 12]])</f>
        <v>2.7287387540315736E-2</v>
      </c>
      <c r="AC589" s="99">
        <f>IF(SamplingData[[#This Row],[Max Error Bound (up)]] = 0,0,SamplingData[[#This Row],[Max Error Bound (up)]]/SamplingData[[#Totals],[Max Error Bound (up)]])</f>
        <v>1.4609917475551697E-3</v>
      </c>
      <c r="AD589" s="103">
        <f>SUM($AC$5:AC589)</f>
        <v>0.48183416948413199</v>
      </c>
      <c r="AE589" s="99" t="str" cm="1">
        <f t="array" ref="AE589">IF(SamplingData[[#This Row],[up/U Selection Probability]] = 0, "Zero", TEXT(SamplingData[[#This Row],[Lower Range]], REPT("0",LEN('General Info'!$B$42))) &amp; " - " &amp; TEXT(SamplingData[[#This Row],[Upper Range]], REPT("0",LEN('General Info'!$B$42))))</f>
        <v>480373 - 481833</v>
      </c>
      <c r="AF589" s="99">
        <f>SamplingData[[#This Row],[Upper Range]]-SamplingData[[#This Row],[Span]]</f>
        <v>480373.17773657682</v>
      </c>
      <c r="AG589" s="99">
        <f>IF(ISNUMBER('General Info'!$B$42), ((SamplingData[[#This Row],[up/U Selection Probability]]) * 'General Info'!$B$44) - 1, 0)</f>
        <v>1459.9917475551697</v>
      </c>
      <c r="AH589" s="99">
        <f>IF(ISNUMBER('General Info'!$B$42), (SamplingData[[#This Row],[Running (cumulative) sum]] * ('General Info'!$B$42 -'General Info'!$B$43 + 1)) + 'General Info'!$B$43 - 1, 0)</f>
        <v>481833.16948413197</v>
      </c>
      <c r="AI589" s="99" t="str">
        <f>IF(ISERROR(MATCH(SamplingData[[#This Row],[Batch by Type (p)]],SelectedPrecincts[Batch Name], 0)), "", INDEX(SelectedPrecincts[Draw], MATCH(SamplingData[[#This Row],[Batch by Type (p)]],SelectedPrecincts[Batch Name], 0)))</f>
        <v/>
      </c>
      <c r="AJ589" s="100">
        <f>IF(COUNTIF(SelectedPrecincts[Batch Name],SamplingData[[#This Row],[Batch by Type (p)]]) &lt;&gt; 0, COUNTIF(SelectedPrecincts[Batch Name],SamplingData[[#This Row],[Batch by Type (p)]]), 0)</f>
        <v>0</v>
      </c>
    </row>
    <row r="590" spans="1:36" ht="15" customHeight="1" x14ac:dyDescent="0.35">
      <c r="A590" s="97" t="s">
        <v>803</v>
      </c>
      <c r="B590" s="97">
        <v>272</v>
      </c>
      <c r="C590" s="97">
        <v>181</v>
      </c>
      <c r="D590" s="92"/>
      <c r="E590" s="92"/>
      <c r="F590" s="92"/>
      <c r="G590" s="96"/>
      <c r="H590" s="96"/>
      <c r="I590" s="92"/>
      <c r="J590" s="92"/>
      <c r="K590" s="92"/>
      <c r="L590" s="92"/>
      <c r="M590" s="92"/>
      <c r="N590" s="97">
        <v>0</v>
      </c>
      <c r="O590" s="97">
        <v>49</v>
      </c>
      <c r="P590" s="98">
        <f>SUM(SamplingData[[#This Row],[Winning Candidate]:[Under Votes]])</f>
        <v>502</v>
      </c>
      <c r="Q590" s="99">
        <f>IF(AND(SamplingData[[#This Row],[Total]]&lt;&gt; 0, NOT(ISBLANK(SamplingData[[#This Row],[Losing Candidate]]))),(SamplingData[[#This Row],[Total]]+SamplingData[[#This Row],[Winning Candidate]]-SamplingData[[#This Row],[Losing Candidate]])/(SamplingData[[#Totals],[Winning Candidate]]-SamplingData[[#Totals],[Losing Candidate]]), 0)</f>
        <v>2.5165506705143441E-2</v>
      </c>
      <c r="R590" s="99">
        <f>IF(AND(SamplingData[[#This Row],[Total]]&lt;&gt; 0, NOT(ISBLANK(SamplingData[[#This Row],[Candidate 3]]))),(SamplingData[[#This Row],[Total]]+SamplingData[[#This Row],[Winning Candidate]]-SamplingData[[#This Row],[Candidate 3]])/(SamplingData[[#Totals],[Winning Candidate]]-SamplingData[[#Totals],[Candidate 3]]), 0)</f>
        <v>0</v>
      </c>
      <c r="S590" s="99">
        <f>IF(AND(SamplingData[[#This Row],[Total]]&lt;&gt; 0, NOT(ISBLANK(SamplingData[[#This Row],[Candidate 4]]))),(SamplingData[[#This Row],[Total]]+SamplingData[[#This Row],[Winning Candidate]]-SamplingData[[#This Row],[Candidate 4]])/(SamplingData[[#Totals],[Winning Candidate]]-SamplingData[[#Totals],[Candidate 4]]), 0)</f>
        <v>0</v>
      </c>
      <c r="T590" s="99">
        <f>IF(AND(SamplingData[[#This Row],[Total]]&lt;&gt; 0, NOT(ISBLANK(SamplingData[[#This Row],[Candidate 5]]))),(SamplingData[[#This Row],[Total]]+SamplingData[[#This Row],[Winning Candidate]]-SamplingData[[#This Row],[Candidate 5]])/(SamplingData[[#Totals],[Winning Candidate]]-SamplingData[[#Totals],[Candidate 5]]), 0)</f>
        <v>0</v>
      </c>
      <c r="U590" s="99">
        <f>IF(AND(SamplingData[[#This Row],[Total]]&lt;&gt; 0, NOT(ISBLANK(SamplingData[[#This Row],[Candidate 6]]))),(SamplingData[[#This Row],[Total]]+SamplingData[[#This Row],[Losing Candidate]]-SamplingData[[#This Row],[Candidate 6]])/(SamplingData[[#Totals],[Winning Candidate]]-SamplingData[[#Totals],[Candidate 6]]), 0)</f>
        <v>0</v>
      </c>
      <c r="V590" s="99">
        <f>IF(AND(SamplingData[[#This Row],[Total]]&lt;&gt; 0, NOT(ISBLANK(SamplingData[[#This Row],[Candidate 7]]))),(SamplingData[[#This Row],[Total]]+SamplingData[[#This Row],[Winning Candidate]]-SamplingData[[#This Row],[Candidate 7]])/(SamplingData[[#Totals],[Winning Candidate]]-SamplingData[[#Totals],[Candidate 7]]), 0)</f>
        <v>0</v>
      </c>
      <c r="W590" s="99">
        <f>IF(AND(SamplingData[[#This Row],[Total]]&lt;&gt; 0, NOT(ISBLANK(SamplingData[[#This Row],[Candidate 8]]))),(SamplingData[[#This Row],[Total]]+SamplingData[[#This Row],[Winning Candidate]]-SamplingData[[#This Row],[Candidate 8]])/(SamplingData[[#Totals],[Winning Candidate]]-SamplingData[[#Totals],[Candidate 8]]), 0)</f>
        <v>0</v>
      </c>
      <c r="X5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0" s="99">
        <f>MAX(SamplingData[[#This Row],[Error Bound (up) - Max. possible relative overstatement - Losing Candidate]:[Error Bound (up) - Max. possible relative overstatement - Candidate 12]])</f>
        <v>2.5165506705143441E-2</v>
      </c>
      <c r="AC590" s="99">
        <f>IF(SamplingData[[#This Row],[Max Error Bound (up)]] = 0,0,SamplingData[[#This Row],[Max Error Bound (up)]]/SamplingData[[#Totals],[Max Error Bound (up)]])</f>
        <v>1.3473843021776294E-3</v>
      </c>
      <c r="AD590" s="103">
        <f>SUM($AC$5:AC590)</f>
        <v>0.48318155378630961</v>
      </c>
      <c r="AE590" s="99" t="str" cm="1">
        <f t="array" ref="AE590">IF(SamplingData[[#This Row],[up/U Selection Probability]] = 0, "Zero", TEXT(SamplingData[[#This Row],[Lower Range]], REPT("0",LEN('General Info'!$B$42))) &amp; " - " &amp; TEXT(SamplingData[[#This Row],[Upper Range]], REPT("0",LEN('General Info'!$B$42))))</f>
        <v>481834 - 483181</v>
      </c>
      <c r="AF590" s="99">
        <f>SamplingData[[#This Row],[Upper Range]]-SamplingData[[#This Row],[Span]]</f>
        <v>481834.16948413197</v>
      </c>
      <c r="AG590" s="99">
        <f>IF(ISNUMBER('General Info'!$B$42), ((SamplingData[[#This Row],[up/U Selection Probability]]) * 'General Info'!$B$44) - 1, 0)</f>
        <v>1346.3843021776293</v>
      </c>
      <c r="AH590" s="99">
        <f>IF(ISNUMBER('General Info'!$B$42), (SamplingData[[#This Row],[Running (cumulative) sum]] * ('General Info'!$B$42 -'General Info'!$B$43 + 1)) + 'General Info'!$B$43 - 1, 0)</f>
        <v>483180.55378630961</v>
      </c>
      <c r="AI590" s="99" t="str">
        <f>IF(ISERROR(MATCH(SamplingData[[#This Row],[Batch by Type (p)]],SelectedPrecincts[Batch Name], 0)), "", INDEX(SelectedPrecincts[Draw], MATCH(SamplingData[[#This Row],[Batch by Type (p)]],SelectedPrecincts[Batch Name], 0)))</f>
        <v/>
      </c>
      <c r="AJ590" s="100">
        <f>IF(COUNTIF(SelectedPrecincts[Batch Name],SamplingData[[#This Row],[Batch by Type (p)]]) &lt;&gt; 0, COUNTIF(SelectedPrecincts[Batch Name],SamplingData[[#This Row],[Batch by Type (p)]]), 0)</f>
        <v>0</v>
      </c>
    </row>
    <row r="591" spans="1:36" ht="15" customHeight="1" x14ac:dyDescent="0.35">
      <c r="A591" s="97" t="s">
        <v>804</v>
      </c>
      <c r="B591" s="97">
        <v>330</v>
      </c>
      <c r="C591" s="97">
        <v>34</v>
      </c>
      <c r="D591" s="92"/>
      <c r="E591" s="92"/>
      <c r="F591" s="92"/>
      <c r="G591" s="96"/>
      <c r="H591" s="96"/>
      <c r="I591" s="92"/>
      <c r="J591" s="92"/>
      <c r="K591" s="92"/>
      <c r="L591" s="92"/>
      <c r="M591" s="92"/>
      <c r="N591" s="97">
        <v>0</v>
      </c>
      <c r="O591" s="97">
        <v>35</v>
      </c>
      <c r="P591" s="98">
        <f>SUM(SamplingData[[#This Row],[Winning Candidate]:[Under Votes]])</f>
        <v>399</v>
      </c>
      <c r="Q591" s="99">
        <f>IF(AND(SamplingData[[#This Row],[Total]]&lt;&gt; 0, NOT(ISBLANK(SamplingData[[#This Row],[Losing Candidate]]))),(SamplingData[[#This Row],[Total]]+SamplingData[[#This Row],[Winning Candidate]]-SamplingData[[#This Row],[Losing Candidate]])/(SamplingData[[#Totals],[Winning Candidate]]-SamplingData[[#Totals],[Losing Candidate]]), 0)</f>
        <v>2.9494143608894925E-2</v>
      </c>
      <c r="R591" s="99">
        <f>IF(AND(SamplingData[[#This Row],[Total]]&lt;&gt; 0, NOT(ISBLANK(SamplingData[[#This Row],[Candidate 3]]))),(SamplingData[[#This Row],[Total]]+SamplingData[[#This Row],[Winning Candidate]]-SamplingData[[#This Row],[Candidate 3]])/(SamplingData[[#Totals],[Winning Candidate]]-SamplingData[[#Totals],[Candidate 3]]), 0)</f>
        <v>0</v>
      </c>
      <c r="S591" s="99">
        <f>IF(AND(SamplingData[[#This Row],[Total]]&lt;&gt; 0, NOT(ISBLANK(SamplingData[[#This Row],[Candidate 4]]))),(SamplingData[[#This Row],[Total]]+SamplingData[[#This Row],[Winning Candidate]]-SamplingData[[#This Row],[Candidate 4]])/(SamplingData[[#Totals],[Winning Candidate]]-SamplingData[[#Totals],[Candidate 4]]), 0)</f>
        <v>0</v>
      </c>
      <c r="T591" s="99">
        <f>IF(AND(SamplingData[[#This Row],[Total]]&lt;&gt; 0, NOT(ISBLANK(SamplingData[[#This Row],[Candidate 5]]))),(SamplingData[[#This Row],[Total]]+SamplingData[[#This Row],[Winning Candidate]]-SamplingData[[#This Row],[Candidate 5]])/(SamplingData[[#Totals],[Winning Candidate]]-SamplingData[[#Totals],[Candidate 5]]), 0)</f>
        <v>0</v>
      </c>
      <c r="U591" s="99">
        <f>IF(AND(SamplingData[[#This Row],[Total]]&lt;&gt; 0, NOT(ISBLANK(SamplingData[[#This Row],[Candidate 6]]))),(SamplingData[[#This Row],[Total]]+SamplingData[[#This Row],[Losing Candidate]]-SamplingData[[#This Row],[Candidate 6]])/(SamplingData[[#Totals],[Winning Candidate]]-SamplingData[[#Totals],[Candidate 6]]), 0)</f>
        <v>0</v>
      </c>
      <c r="V591" s="99">
        <f>IF(AND(SamplingData[[#This Row],[Total]]&lt;&gt; 0, NOT(ISBLANK(SamplingData[[#This Row],[Candidate 7]]))),(SamplingData[[#This Row],[Total]]+SamplingData[[#This Row],[Winning Candidate]]-SamplingData[[#This Row],[Candidate 7]])/(SamplingData[[#Totals],[Winning Candidate]]-SamplingData[[#Totals],[Candidate 7]]), 0)</f>
        <v>0</v>
      </c>
      <c r="W591" s="99">
        <f>IF(AND(SamplingData[[#This Row],[Total]]&lt;&gt; 0, NOT(ISBLANK(SamplingData[[#This Row],[Candidate 8]]))),(SamplingData[[#This Row],[Total]]+SamplingData[[#This Row],[Winning Candidate]]-SamplingData[[#This Row],[Candidate 8]])/(SamplingData[[#Totals],[Winning Candidate]]-SamplingData[[#Totals],[Candidate 8]]), 0)</f>
        <v>0</v>
      </c>
      <c r="X5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1" s="99">
        <f>MAX(SamplingData[[#This Row],[Error Bound (up) - Max. possible relative overstatement - Losing Candidate]:[Error Bound (up) - Max. possible relative overstatement - Candidate 12]])</f>
        <v>2.9494143608894925E-2</v>
      </c>
      <c r="AC591" s="99">
        <f>IF(SamplingData[[#This Row],[Max Error Bound (up)]] = 0,0,SamplingData[[#This Row],[Max Error Bound (up)]]/SamplingData[[#Totals],[Max Error Bound (up)]])</f>
        <v>1.5791434907478116E-3</v>
      </c>
      <c r="AD591" s="103">
        <f>SUM($AC$5:AC591)</f>
        <v>0.48476069727705745</v>
      </c>
      <c r="AE591" s="99" t="str" cm="1">
        <f t="array" ref="AE591">IF(SamplingData[[#This Row],[up/U Selection Probability]] = 0, "Zero", TEXT(SamplingData[[#This Row],[Lower Range]], REPT("0",LEN('General Info'!$B$42))) &amp; " - " &amp; TEXT(SamplingData[[#This Row],[Upper Range]], REPT("0",LEN('General Info'!$B$42))))</f>
        <v>483182 - 484760</v>
      </c>
      <c r="AF591" s="99">
        <f>SamplingData[[#This Row],[Upper Range]]-SamplingData[[#This Row],[Span]]</f>
        <v>483181.55378630961</v>
      </c>
      <c r="AG591" s="99">
        <f>IF(ISNUMBER('General Info'!$B$42), ((SamplingData[[#This Row],[up/U Selection Probability]]) * 'General Info'!$B$44) - 1, 0)</f>
        <v>1578.1434907478117</v>
      </c>
      <c r="AH591" s="99">
        <f>IF(ISNUMBER('General Info'!$B$42), (SamplingData[[#This Row],[Running (cumulative) sum]] * ('General Info'!$B$42 -'General Info'!$B$43 + 1)) + 'General Info'!$B$43 - 1, 0)</f>
        <v>484759.69727705745</v>
      </c>
      <c r="AI591" s="99" t="str">
        <f>IF(ISERROR(MATCH(SamplingData[[#This Row],[Batch by Type (p)]],SelectedPrecincts[Batch Name], 0)), "", INDEX(SelectedPrecincts[Draw], MATCH(SamplingData[[#This Row],[Batch by Type (p)]],SelectedPrecincts[Batch Name], 0)))</f>
        <v/>
      </c>
      <c r="AJ591" s="100">
        <f>IF(COUNTIF(SelectedPrecincts[Batch Name],SamplingData[[#This Row],[Batch by Type (p)]]) &lt;&gt; 0, COUNTIF(SelectedPrecincts[Batch Name],SamplingData[[#This Row],[Batch by Type (p)]]), 0)</f>
        <v>0</v>
      </c>
    </row>
    <row r="592" spans="1:36" ht="15" customHeight="1" x14ac:dyDescent="0.35">
      <c r="A592" s="97" t="s">
        <v>805</v>
      </c>
      <c r="B592" s="97">
        <v>199</v>
      </c>
      <c r="C592" s="97">
        <v>64</v>
      </c>
      <c r="D592" s="92"/>
      <c r="E592" s="92"/>
      <c r="F592" s="92"/>
      <c r="G592" s="96"/>
      <c r="H592" s="96"/>
      <c r="I592" s="92"/>
      <c r="J592" s="92"/>
      <c r="K592" s="92"/>
      <c r="L592" s="92"/>
      <c r="M592" s="92"/>
      <c r="N592" s="97">
        <v>0</v>
      </c>
      <c r="O592" s="97">
        <v>15</v>
      </c>
      <c r="P592" s="98">
        <f>SUM(SamplingData[[#This Row],[Winning Candidate]:[Under Votes]])</f>
        <v>278</v>
      </c>
      <c r="Q592" s="99">
        <f>IF(AND(SamplingData[[#This Row],[Total]]&lt;&gt; 0, NOT(ISBLANK(SamplingData[[#This Row],[Losing Candidate]]))),(SamplingData[[#This Row],[Total]]+SamplingData[[#This Row],[Winning Candidate]]-SamplingData[[#This Row],[Losing Candidate]])/(SamplingData[[#Totals],[Winning Candidate]]-SamplingData[[#Totals],[Losing Candidate]]), 0)</f>
        <v>1.7526735698523171E-2</v>
      </c>
      <c r="R592" s="99">
        <f>IF(AND(SamplingData[[#This Row],[Total]]&lt;&gt; 0, NOT(ISBLANK(SamplingData[[#This Row],[Candidate 3]]))),(SamplingData[[#This Row],[Total]]+SamplingData[[#This Row],[Winning Candidate]]-SamplingData[[#This Row],[Candidate 3]])/(SamplingData[[#Totals],[Winning Candidate]]-SamplingData[[#Totals],[Candidate 3]]), 0)</f>
        <v>0</v>
      </c>
      <c r="S592" s="99">
        <f>IF(AND(SamplingData[[#This Row],[Total]]&lt;&gt; 0, NOT(ISBLANK(SamplingData[[#This Row],[Candidate 4]]))),(SamplingData[[#This Row],[Total]]+SamplingData[[#This Row],[Winning Candidate]]-SamplingData[[#This Row],[Candidate 4]])/(SamplingData[[#Totals],[Winning Candidate]]-SamplingData[[#Totals],[Candidate 4]]), 0)</f>
        <v>0</v>
      </c>
      <c r="T592" s="99">
        <f>IF(AND(SamplingData[[#This Row],[Total]]&lt;&gt; 0, NOT(ISBLANK(SamplingData[[#This Row],[Candidate 5]]))),(SamplingData[[#This Row],[Total]]+SamplingData[[#This Row],[Winning Candidate]]-SamplingData[[#This Row],[Candidate 5]])/(SamplingData[[#Totals],[Winning Candidate]]-SamplingData[[#Totals],[Candidate 5]]), 0)</f>
        <v>0</v>
      </c>
      <c r="U592" s="99">
        <f>IF(AND(SamplingData[[#This Row],[Total]]&lt;&gt; 0, NOT(ISBLANK(SamplingData[[#This Row],[Candidate 6]]))),(SamplingData[[#This Row],[Total]]+SamplingData[[#This Row],[Losing Candidate]]-SamplingData[[#This Row],[Candidate 6]])/(SamplingData[[#Totals],[Winning Candidate]]-SamplingData[[#Totals],[Candidate 6]]), 0)</f>
        <v>0</v>
      </c>
      <c r="V592" s="99">
        <f>IF(AND(SamplingData[[#This Row],[Total]]&lt;&gt; 0, NOT(ISBLANK(SamplingData[[#This Row],[Candidate 7]]))),(SamplingData[[#This Row],[Total]]+SamplingData[[#This Row],[Winning Candidate]]-SamplingData[[#This Row],[Candidate 7]])/(SamplingData[[#Totals],[Winning Candidate]]-SamplingData[[#Totals],[Candidate 7]]), 0)</f>
        <v>0</v>
      </c>
      <c r="W592" s="99">
        <f>IF(AND(SamplingData[[#This Row],[Total]]&lt;&gt; 0, NOT(ISBLANK(SamplingData[[#This Row],[Candidate 8]]))),(SamplingData[[#This Row],[Total]]+SamplingData[[#This Row],[Winning Candidate]]-SamplingData[[#This Row],[Candidate 8]])/(SamplingData[[#Totals],[Winning Candidate]]-SamplingData[[#Totals],[Candidate 8]]), 0)</f>
        <v>0</v>
      </c>
      <c r="X5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2" s="99">
        <f>MAX(SamplingData[[#This Row],[Error Bound (up) - Max. possible relative overstatement - Losing Candidate]:[Error Bound (up) - Max. possible relative overstatement - Candidate 12]])</f>
        <v>1.7526735698523171E-2</v>
      </c>
      <c r="AC592" s="99">
        <f>IF(SamplingData[[#This Row],[Max Error Bound (up)]] = 0,0,SamplingData[[#This Row],[Max Error Bound (up)]]/SamplingData[[#Totals],[Max Error Bound (up)]])</f>
        <v>9.383974988184838E-4</v>
      </c>
      <c r="AD592" s="103">
        <f>SUM($AC$5:AC592)</f>
        <v>0.48569909477587592</v>
      </c>
      <c r="AE592" s="99" t="str" cm="1">
        <f t="array" ref="AE592">IF(SamplingData[[#This Row],[up/U Selection Probability]] = 0, "Zero", TEXT(SamplingData[[#This Row],[Lower Range]], REPT("0",LEN('General Info'!$B$42))) &amp; " - " &amp; TEXT(SamplingData[[#This Row],[Upper Range]], REPT("0",LEN('General Info'!$B$42))))</f>
        <v>484761 - 485698</v>
      </c>
      <c r="AF592" s="99">
        <f>SamplingData[[#This Row],[Upper Range]]-SamplingData[[#This Row],[Span]]</f>
        <v>484760.69727705745</v>
      </c>
      <c r="AG592" s="99">
        <f>IF(ISNUMBER('General Info'!$B$42), ((SamplingData[[#This Row],[up/U Selection Probability]]) * 'General Info'!$B$44) - 1, 0)</f>
        <v>937.39749881848377</v>
      </c>
      <c r="AH592" s="99">
        <f>IF(ISNUMBER('General Info'!$B$42), (SamplingData[[#This Row],[Running (cumulative) sum]] * ('General Info'!$B$42 -'General Info'!$B$43 + 1)) + 'General Info'!$B$43 - 1, 0)</f>
        <v>485698.09477587591</v>
      </c>
      <c r="AI592" s="99" t="str">
        <f>IF(ISERROR(MATCH(SamplingData[[#This Row],[Batch by Type (p)]],SelectedPrecincts[Batch Name], 0)), "", INDEX(SelectedPrecincts[Draw], MATCH(SamplingData[[#This Row],[Batch by Type (p)]],SelectedPrecincts[Batch Name], 0)))</f>
        <v/>
      </c>
      <c r="AJ592" s="100">
        <f>IF(COUNTIF(SelectedPrecincts[Batch Name],SamplingData[[#This Row],[Batch by Type (p)]]) &lt;&gt; 0, COUNTIF(SelectedPrecincts[Batch Name],SamplingData[[#This Row],[Batch by Type (p)]]), 0)</f>
        <v>0</v>
      </c>
    </row>
    <row r="593" spans="1:36" ht="15" customHeight="1" x14ac:dyDescent="0.35">
      <c r="A593" s="97" t="s">
        <v>806</v>
      </c>
      <c r="B593" s="97">
        <v>154</v>
      </c>
      <c r="C593" s="97">
        <v>86</v>
      </c>
      <c r="D593" s="92"/>
      <c r="E593" s="92"/>
      <c r="F593" s="92"/>
      <c r="G593" s="96"/>
      <c r="H593" s="96"/>
      <c r="I593" s="92"/>
      <c r="J593" s="92"/>
      <c r="K593" s="92"/>
      <c r="L593" s="92"/>
      <c r="M593" s="92"/>
      <c r="N593" s="97">
        <v>0</v>
      </c>
      <c r="O593" s="97">
        <v>21</v>
      </c>
      <c r="P593" s="98">
        <f>SUM(SamplingData[[#This Row],[Winning Candidate]:[Under Votes]])</f>
        <v>261</v>
      </c>
      <c r="Q593" s="99">
        <f>IF(AND(SamplingData[[#This Row],[Total]]&lt;&gt; 0, NOT(ISBLANK(SamplingData[[#This Row],[Losing Candidate]]))),(SamplingData[[#This Row],[Total]]+SamplingData[[#This Row],[Winning Candidate]]-SamplingData[[#This Row],[Losing Candidate]])/(SamplingData[[#Totals],[Winning Candidate]]-SamplingData[[#Totals],[Losing Candidate]]), 0)</f>
        <v>1.3961975895433713E-2</v>
      </c>
      <c r="R593" s="99">
        <f>IF(AND(SamplingData[[#This Row],[Total]]&lt;&gt; 0, NOT(ISBLANK(SamplingData[[#This Row],[Candidate 3]]))),(SamplingData[[#This Row],[Total]]+SamplingData[[#This Row],[Winning Candidate]]-SamplingData[[#This Row],[Candidate 3]])/(SamplingData[[#Totals],[Winning Candidate]]-SamplingData[[#Totals],[Candidate 3]]), 0)</f>
        <v>0</v>
      </c>
      <c r="S593" s="99">
        <f>IF(AND(SamplingData[[#This Row],[Total]]&lt;&gt; 0, NOT(ISBLANK(SamplingData[[#This Row],[Candidate 4]]))),(SamplingData[[#This Row],[Total]]+SamplingData[[#This Row],[Winning Candidate]]-SamplingData[[#This Row],[Candidate 4]])/(SamplingData[[#Totals],[Winning Candidate]]-SamplingData[[#Totals],[Candidate 4]]), 0)</f>
        <v>0</v>
      </c>
      <c r="T593" s="99">
        <f>IF(AND(SamplingData[[#This Row],[Total]]&lt;&gt; 0, NOT(ISBLANK(SamplingData[[#This Row],[Candidate 5]]))),(SamplingData[[#This Row],[Total]]+SamplingData[[#This Row],[Winning Candidate]]-SamplingData[[#This Row],[Candidate 5]])/(SamplingData[[#Totals],[Winning Candidate]]-SamplingData[[#Totals],[Candidate 5]]), 0)</f>
        <v>0</v>
      </c>
      <c r="U593" s="99">
        <f>IF(AND(SamplingData[[#This Row],[Total]]&lt;&gt; 0, NOT(ISBLANK(SamplingData[[#This Row],[Candidate 6]]))),(SamplingData[[#This Row],[Total]]+SamplingData[[#This Row],[Losing Candidate]]-SamplingData[[#This Row],[Candidate 6]])/(SamplingData[[#Totals],[Winning Candidate]]-SamplingData[[#Totals],[Candidate 6]]), 0)</f>
        <v>0</v>
      </c>
      <c r="V593" s="99">
        <f>IF(AND(SamplingData[[#This Row],[Total]]&lt;&gt; 0, NOT(ISBLANK(SamplingData[[#This Row],[Candidate 7]]))),(SamplingData[[#This Row],[Total]]+SamplingData[[#This Row],[Winning Candidate]]-SamplingData[[#This Row],[Candidate 7]])/(SamplingData[[#Totals],[Winning Candidate]]-SamplingData[[#Totals],[Candidate 7]]), 0)</f>
        <v>0</v>
      </c>
      <c r="W593" s="99">
        <f>IF(AND(SamplingData[[#This Row],[Total]]&lt;&gt; 0, NOT(ISBLANK(SamplingData[[#This Row],[Candidate 8]]))),(SamplingData[[#This Row],[Total]]+SamplingData[[#This Row],[Winning Candidate]]-SamplingData[[#This Row],[Candidate 8]])/(SamplingData[[#Totals],[Winning Candidate]]-SamplingData[[#Totals],[Candidate 8]]), 0)</f>
        <v>0</v>
      </c>
      <c r="X5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3" s="99">
        <f>MAX(SamplingData[[#This Row],[Error Bound (up) - Max. possible relative overstatement - Losing Candidate]:[Error Bound (up) - Max. possible relative overstatement - Candidate 12]])</f>
        <v>1.3961975895433713E-2</v>
      </c>
      <c r="AC593" s="99">
        <f>IF(SamplingData[[#This Row],[Max Error Bound (up)]] = 0,0,SamplingData[[#This Row],[Max Error Bound (up)]]/SamplingData[[#Totals],[Max Error Bound (up)]])</f>
        <v>7.4753699058421592E-4</v>
      </c>
      <c r="AD593" s="103">
        <f>SUM($AC$5:AC593)</f>
        <v>0.48644663176646014</v>
      </c>
      <c r="AE593" s="99" t="str" cm="1">
        <f t="array" ref="AE593">IF(SamplingData[[#This Row],[up/U Selection Probability]] = 0, "Zero", TEXT(SamplingData[[#This Row],[Lower Range]], REPT("0",LEN('General Info'!$B$42))) &amp; " - " &amp; TEXT(SamplingData[[#This Row],[Upper Range]], REPT("0",LEN('General Info'!$B$42))))</f>
        <v>485699 - 486446</v>
      </c>
      <c r="AF593" s="99">
        <f>SamplingData[[#This Row],[Upper Range]]-SamplingData[[#This Row],[Span]]</f>
        <v>485699.09477587591</v>
      </c>
      <c r="AG593" s="99">
        <f>IF(ISNUMBER('General Info'!$B$42), ((SamplingData[[#This Row],[up/U Selection Probability]]) * 'General Info'!$B$44) - 1, 0)</f>
        <v>746.53699058421591</v>
      </c>
      <c r="AH593" s="99">
        <f>IF(ISNUMBER('General Info'!$B$42), (SamplingData[[#This Row],[Running (cumulative) sum]] * ('General Info'!$B$42 -'General Info'!$B$43 + 1)) + 'General Info'!$B$43 - 1, 0)</f>
        <v>486445.63176646014</v>
      </c>
      <c r="AI593" s="99" t="str">
        <f>IF(ISERROR(MATCH(SamplingData[[#This Row],[Batch by Type (p)]],SelectedPrecincts[Batch Name], 0)), "", INDEX(SelectedPrecincts[Draw], MATCH(SamplingData[[#This Row],[Batch by Type (p)]],SelectedPrecincts[Batch Name], 0)))</f>
        <v/>
      </c>
      <c r="AJ593" s="100">
        <f>IF(COUNTIF(SelectedPrecincts[Batch Name],SamplingData[[#This Row],[Batch by Type (p)]]) &lt;&gt; 0, COUNTIF(SelectedPrecincts[Batch Name],SamplingData[[#This Row],[Batch by Type (p)]]), 0)</f>
        <v>0</v>
      </c>
    </row>
    <row r="594" spans="1:36" ht="15" customHeight="1" x14ac:dyDescent="0.35">
      <c r="A594" s="97" t="s">
        <v>807</v>
      </c>
      <c r="B594" s="97">
        <v>364</v>
      </c>
      <c r="C594" s="97">
        <v>58</v>
      </c>
      <c r="D594" s="92"/>
      <c r="E594" s="92"/>
      <c r="F594" s="92"/>
      <c r="G594" s="96"/>
      <c r="H594" s="96"/>
      <c r="I594" s="92"/>
      <c r="J594" s="92"/>
      <c r="K594" s="92"/>
      <c r="L594" s="92"/>
      <c r="M594" s="92"/>
      <c r="N594" s="97">
        <v>0</v>
      </c>
      <c r="O594" s="97">
        <v>33</v>
      </c>
      <c r="P594" s="98">
        <f>SUM(SamplingData[[#This Row],[Winning Candidate]:[Under Votes]])</f>
        <v>455</v>
      </c>
      <c r="Q594" s="99">
        <f>IF(AND(SamplingData[[#This Row],[Total]]&lt;&gt; 0, NOT(ISBLANK(SamplingData[[#This Row],[Losing Candidate]]))),(SamplingData[[#This Row],[Total]]+SamplingData[[#This Row],[Winning Candidate]]-SamplingData[[#This Row],[Losing Candidate]])/(SamplingData[[#Totals],[Winning Candidate]]-SamplingData[[#Totals],[Losing Candidate]]), 0)</f>
        <v>3.2295026311322354E-2</v>
      </c>
      <c r="R594" s="99">
        <f>IF(AND(SamplingData[[#This Row],[Total]]&lt;&gt; 0, NOT(ISBLANK(SamplingData[[#This Row],[Candidate 3]]))),(SamplingData[[#This Row],[Total]]+SamplingData[[#This Row],[Winning Candidate]]-SamplingData[[#This Row],[Candidate 3]])/(SamplingData[[#Totals],[Winning Candidate]]-SamplingData[[#Totals],[Candidate 3]]), 0)</f>
        <v>0</v>
      </c>
      <c r="S594" s="99">
        <f>IF(AND(SamplingData[[#This Row],[Total]]&lt;&gt; 0, NOT(ISBLANK(SamplingData[[#This Row],[Candidate 4]]))),(SamplingData[[#This Row],[Total]]+SamplingData[[#This Row],[Winning Candidate]]-SamplingData[[#This Row],[Candidate 4]])/(SamplingData[[#Totals],[Winning Candidate]]-SamplingData[[#Totals],[Candidate 4]]), 0)</f>
        <v>0</v>
      </c>
      <c r="T594" s="99">
        <f>IF(AND(SamplingData[[#This Row],[Total]]&lt;&gt; 0, NOT(ISBLANK(SamplingData[[#This Row],[Candidate 5]]))),(SamplingData[[#This Row],[Total]]+SamplingData[[#This Row],[Winning Candidate]]-SamplingData[[#This Row],[Candidate 5]])/(SamplingData[[#Totals],[Winning Candidate]]-SamplingData[[#Totals],[Candidate 5]]), 0)</f>
        <v>0</v>
      </c>
      <c r="U594" s="99">
        <f>IF(AND(SamplingData[[#This Row],[Total]]&lt;&gt; 0, NOT(ISBLANK(SamplingData[[#This Row],[Candidate 6]]))),(SamplingData[[#This Row],[Total]]+SamplingData[[#This Row],[Losing Candidate]]-SamplingData[[#This Row],[Candidate 6]])/(SamplingData[[#Totals],[Winning Candidate]]-SamplingData[[#Totals],[Candidate 6]]), 0)</f>
        <v>0</v>
      </c>
      <c r="V594" s="99">
        <f>IF(AND(SamplingData[[#This Row],[Total]]&lt;&gt; 0, NOT(ISBLANK(SamplingData[[#This Row],[Candidate 7]]))),(SamplingData[[#This Row],[Total]]+SamplingData[[#This Row],[Winning Candidate]]-SamplingData[[#This Row],[Candidate 7]])/(SamplingData[[#Totals],[Winning Candidate]]-SamplingData[[#Totals],[Candidate 7]]), 0)</f>
        <v>0</v>
      </c>
      <c r="W594" s="99">
        <f>IF(AND(SamplingData[[#This Row],[Total]]&lt;&gt; 0, NOT(ISBLANK(SamplingData[[#This Row],[Candidate 8]]))),(SamplingData[[#This Row],[Total]]+SamplingData[[#This Row],[Winning Candidate]]-SamplingData[[#This Row],[Candidate 8]])/(SamplingData[[#Totals],[Winning Candidate]]-SamplingData[[#Totals],[Candidate 8]]), 0)</f>
        <v>0</v>
      </c>
      <c r="X5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4" s="99">
        <f>MAX(SamplingData[[#This Row],[Error Bound (up) - Max. possible relative overstatement - Losing Candidate]:[Error Bound (up) - Max. possible relative overstatement - Candidate 12]])</f>
        <v>3.2295026311322354E-2</v>
      </c>
      <c r="AC594" s="99">
        <f>IF(SamplingData[[#This Row],[Max Error Bound (up)]] = 0,0,SamplingData[[#This Row],[Max Error Bound (up)]]/SamplingData[[#Totals],[Max Error Bound (up)]])</f>
        <v>1.7291053186461649E-3</v>
      </c>
      <c r="AD594" s="103">
        <f>SUM($AC$5:AC594)</f>
        <v>0.48817573708510631</v>
      </c>
      <c r="AE594" s="99" t="str" cm="1">
        <f t="array" ref="AE594">IF(SamplingData[[#This Row],[up/U Selection Probability]] = 0, "Zero", TEXT(SamplingData[[#This Row],[Lower Range]], REPT("0",LEN('General Info'!$B$42))) &amp; " - " &amp; TEXT(SamplingData[[#This Row],[Upper Range]], REPT("0",LEN('General Info'!$B$42))))</f>
        <v>486447 - 488175</v>
      </c>
      <c r="AF594" s="99">
        <f>SamplingData[[#This Row],[Upper Range]]-SamplingData[[#This Row],[Span]]</f>
        <v>486446.63176646014</v>
      </c>
      <c r="AG594" s="99">
        <f>IF(ISNUMBER('General Info'!$B$42), ((SamplingData[[#This Row],[up/U Selection Probability]]) * 'General Info'!$B$44) - 1, 0)</f>
        <v>1728.105318646165</v>
      </c>
      <c r="AH594" s="99">
        <f>IF(ISNUMBER('General Info'!$B$42), (SamplingData[[#This Row],[Running (cumulative) sum]] * ('General Info'!$B$42 -'General Info'!$B$43 + 1)) + 'General Info'!$B$43 - 1, 0)</f>
        <v>488174.73708510632</v>
      </c>
      <c r="AI594" s="99" t="str">
        <f>IF(ISERROR(MATCH(SamplingData[[#This Row],[Batch by Type (p)]],SelectedPrecincts[Batch Name], 0)), "", INDEX(SelectedPrecincts[Draw], MATCH(SamplingData[[#This Row],[Batch by Type (p)]],SelectedPrecincts[Batch Name], 0)))</f>
        <v/>
      </c>
      <c r="AJ594" s="100">
        <f>IF(COUNTIF(SelectedPrecincts[Batch Name],SamplingData[[#This Row],[Batch by Type (p)]]) &lt;&gt; 0, COUNTIF(SelectedPrecincts[Batch Name],SamplingData[[#This Row],[Batch by Type (p)]]), 0)</f>
        <v>0</v>
      </c>
    </row>
    <row r="595" spans="1:36" ht="15" customHeight="1" x14ac:dyDescent="0.35">
      <c r="A595" s="97" t="s">
        <v>808</v>
      </c>
      <c r="B595" s="97">
        <v>344</v>
      </c>
      <c r="C595" s="97">
        <v>64</v>
      </c>
      <c r="D595" s="92"/>
      <c r="E595" s="92"/>
      <c r="F595" s="92"/>
      <c r="G595" s="96"/>
      <c r="H595" s="96"/>
      <c r="I595" s="92"/>
      <c r="J595" s="92"/>
      <c r="K595" s="92"/>
      <c r="L595" s="92"/>
      <c r="M595" s="92"/>
      <c r="N595" s="97">
        <v>0</v>
      </c>
      <c r="O595" s="97">
        <v>36</v>
      </c>
      <c r="P595" s="98">
        <f>SUM(SamplingData[[#This Row],[Winning Candidate]:[Under Votes]])</f>
        <v>444</v>
      </c>
      <c r="Q595" s="99">
        <f>IF(AND(SamplingData[[#This Row],[Total]]&lt;&gt; 0, NOT(ISBLANK(SamplingData[[#This Row],[Losing Candidate]]))),(SamplingData[[#This Row],[Total]]+SamplingData[[#This Row],[Winning Candidate]]-SamplingData[[#This Row],[Losing Candidate]])/(SamplingData[[#Totals],[Winning Candidate]]-SamplingData[[#Totals],[Losing Candidate]]), 0)</f>
        <v>3.0724834493294856E-2</v>
      </c>
      <c r="R595" s="99">
        <f>IF(AND(SamplingData[[#This Row],[Total]]&lt;&gt; 0, NOT(ISBLANK(SamplingData[[#This Row],[Candidate 3]]))),(SamplingData[[#This Row],[Total]]+SamplingData[[#This Row],[Winning Candidate]]-SamplingData[[#This Row],[Candidate 3]])/(SamplingData[[#Totals],[Winning Candidate]]-SamplingData[[#Totals],[Candidate 3]]), 0)</f>
        <v>0</v>
      </c>
      <c r="S595" s="99">
        <f>IF(AND(SamplingData[[#This Row],[Total]]&lt;&gt; 0, NOT(ISBLANK(SamplingData[[#This Row],[Candidate 4]]))),(SamplingData[[#This Row],[Total]]+SamplingData[[#This Row],[Winning Candidate]]-SamplingData[[#This Row],[Candidate 4]])/(SamplingData[[#Totals],[Winning Candidate]]-SamplingData[[#Totals],[Candidate 4]]), 0)</f>
        <v>0</v>
      </c>
      <c r="T595" s="99">
        <f>IF(AND(SamplingData[[#This Row],[Total]]&lt;&gt; 0, NOT(ISBLANK(SamplingData[[#This Row],[Candidate 5]]))),(SamplingData[[#This Row],[Total]]+SamplingData[[#This Row],[Winning Candidate]]-SamplingData[[#This Row],[Candidate 5]])/(SamplingData[[#Totals],[Winning Candidate]]-SamplingData[[#Totals],[Candidate 5]]), 0)</f>
        <v>0</v>
      </c>
      <c r="U595" s="99">
        <f>IF(AND(SamplingData[[#This Row],[Total]]&lt;&gt; 0, NOT(ISBLANK(SamplingData[[#This Row],[Candidate 6]]))),(SamplingData[[#This Row],[Total]]+SamplingData[[#This Row],[Losing Candidate]]-SamplingData[[#This Row],[Candidate 6]])/(SamplingData[[#Totals],[Winning Candidate]]-SamplingData[[#Totals],[Candidate 6]]), 0)</f>
        <v>0</v>
      </c>
      <c r="V595" s="99">
        <f>IF(AND(SamplingData[[#This Row],[Total]]&lt;&gt; 0, NOT(ISBLANK(SamplingData[[#This Row],[Candidate 7]]))),(SamplingData[[#This Row],[Total]]+SamplingData[[#This Row],[Winning Candidate]]-SamplingData[[#This Row],[Candidate 7]])/(SamplingData[[#Totals],[Winning Candidate]]-SamplingData[[#Totals],[Candidate 7]]), 0)</f>
        <v>0</v>
      </c>
      <c r="W595" s="99">
        <f>IF(AND(SamplingData[[#This Row],[Total]]&lt;&gt; 0, NOT(ISBLANK(SamplingData[[#This Row],[Candidate 8]]))),(SamplingData[[#This Row],[Total]]+SamplingData[[#This Row],[Winning Candidate]]-SamplingData[[#This Row],[Candidate 8]])/(SamplingData[[#Totals],[Winning Candidate]]-SamplingData[[#Totals],[Candidate 8]]), 0)</f>
        <v>0</v>
      </c>
      <c r="X5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5" s="99">
        <f>MAX(SamplingData[[#This Row],[Error Bound (up) - Max. possible relative overstatement - Losing Candidate]:[Error Bound (up) - Max. possible relative overstatement - Candidate 12]])</f>
        <v>3.0724834493294856E-2</v>
      </c>
      <c r="AC595" s="99">
        <f>IF(SamplingData[[#This Row],[Max Error Bound (up)]] = 0,0,SamplingData[[#This Row],[Max Error Bound (up)]]/SamplingData[[#Totals],[Max Error Bound (up)]])</f>
        <v>1.6450358090667851E-3</v>
      </c>
      <c r="AD595" s="103">
        <f>SUM($AC$5:AC595)</f>
        <v>0.48982077289417308</v>
      </c>
      <c r="AE595" s="99" t="str" cm="1">
        <f t="array" ref="AE595">IF(SamplingData[[#This Row],[up/U Selection Probability]] = 0, "Zero", TEXT(SamplingData[[#This Row],[Lower Range]], REPT("0",LEN('General Info'!$B$42))) &amp; " - " &amp; TEXT(SamplingData[[#This Row],[Upper Range]], REPT("0",LEN('General Info'!$B$42))))</f>
        <v>488176 - 489820</v>
      </c>
      <c r="AF595" s="99">
        <f>SamplingData[[#This Row],[Upper Range]]-SamplingData[[#This Row],[Span]]</f>
        <v>488175.73708510632</v>
      </c>
      <c r="AG595" s="99">
        <f>IF(ISNUMBER('General Info'!$B$42), ((SamplingData[[#This Row],[up/U Selection Probability]]) * 'General Info'!$B$44) - 1, 0)</f>
        <v>1644.0358090667851</v>
      </c>
      <c r="AH595" s="99">
        <f>IF(ISNUMBER('General Info'!$B$42), (SamplingData[[#This Row],[Running (cumulative) sum]] * ('General Info'!$B$42 -'General Info'!$B$43 + 1)) + 'General Info'!$B$43 - 1, 0)</f>
        <v>489819.7728941731</v>
      </c>
      <c r="AI595" s="99" t="str">
        <f>IF(ISERROR(MATCH(SamplingData[[#This Row],[Batch by Type (p)]],SelectedPrecincts[Batch Name], 0)), "", INDEX(SelectedPrecincts[Draw], MATCH(SamplingData[[#This Row],[Batch by Type (p)]],SelectedPrecincts[Batch Name], 0)))</f>
        <v/>
      </c>
      <c r="AJ595" s="100">
        <f>IF(COUNTIF(SelectedPrecincts[Batch Name],SamplingData[[#This Row],[Batch by Type (p)]]) &lt;&gt; 0, COUNTIF(SelectedPrecincts[Batch Name],SamplingData[[#This Row],[Batch by Type (p)]]), 0)</f>
        <v>0</v>
      </c>
    </row>
    <row r="596" spans="1:36" ht="15" customHeight="1" x14ac:dyDescent="0.35">
      <c r="A596" s="97" t="s">
        <v>809</v>
      </c>
      <c r="B596" s="97">
        <v>238</v>
      </c>
      <c r="C596" s="97">
        <v>127</v>
      </c>
      <c r="D596" s="92"/>
      <c r="E596" s="92"/>
      <c r="F596" s="92"/>
      <c r="G596" s="96"/>
      <c r="H596" s="96"/>
      <c r="I596" s="92"/>
      <c r="J596" s="92"/>
      <c r="K596" s="92"/>
      <c r="L596" s="92"/>
      <c r="M596" s="92"/>
      <c r="N596" s="97">
        <v>0</v>
      </c>
      <c r="O596" s="97">
        <v>36</v>
      </c>
      <c r="P596" s="98">
        <f>SUM(SamplingData[[#This Row],[Winning Candidate]:[Under Votes]])</f>
        <v>401</v>
      </c>
      <c r="Q596" s="99">
        <f>IF(AND(SamplingData[[#This Row],[Total]]&lt;&gt; 0, NOT(ISBLANK(SamplingData[[#This Row],[Losing Candidate]]))),(SamplingData[[#This Row],[Total]]+SamplingData[[#This Row],[Winning Candidate]]-SamplingData[[#This Row],[Losing Candidate]])/(SamplingData[[#Totals],[Winning Candidate]]-SamplingData[[#Totals],[Losing Candidate]]), 0)</f>
        <v>2.1728059752164318E-2</v>
      </c>
      <c r="R596" s="99">
        <f>IF(AND(SamplingData[[#This Row],[Total]]&lt;&gt; 0, NOT(ISBLANK(SamplingData[[#This Row],[Candidate 3]]))),(SamplingData[[#This Row],[Total]]+SamplingData[[#This Row],[Winning Candidate]]-SamplingData[[#This Row],[Candidate 3]])/(SamplingData[[#Totals],[Winning Candidate]]-SamplingData[[#Totals],[Candidate 3]]), 0)</f>
        <v>0</v>
      </c>
      <c r="S596" s="99">
        <f>IF(AND(SamplingData[[#This Row],[Total]]&lt;&gt; 0, NOT(ISBLANK(SamplingData[[#This Row],[Candidate 4]]))),(SamplingData[[#This Row],[Total]]+SamplingData[[#This Row],[Winning Candidate]]-SamplingData[[#This Row],[Candidate 4]])/(SamplingData[[#Totals],[Winning Candidate]]-SamplingData[[#Totals],[Candidate 4]]), 0)</f>
        <v>0</v>
      </c>
      <c r="T596" s="99">
        <f>IF(AND(SamplingData[[#This Row],[Total]]&lt;&gt; 0, NOT(ISBLANK(SamplingData[[#This Row],[Candidate 5]]))),(SamplingData[[#This Row],[Total]]+SamplingData[[#This Row],[Winning Candidate]]-SamplingData[[#This Row],[Candidate 5]])/(SamplingData[[#Totals],[Winning Candidate]]-SamplingData[[#Totals],[Candidate 5]]), 0)</f>
        <v>0</v>
      </c>
      <c r="U596" s="99">
        <f>IF(AND(SamplingData[[#This Row],[Total]]&lt;&gt; 0, NOT(ISBLANK(SamplingData[[#This Row],[Candidate 6]]))),(SamplingData[[#This Row],[Total]]+SamplingData[[#This Row],[Losing Candidate]]-SamplingData[[#This Row],[Candidate 6]])/(SamplingData[[#Totals],[Winning Candidate]]-SamplingData[[#Totals],[Candidate 6]]), 0)</f>
        <v>0</v>
      </c>
      <c r="V596" s="99">
        <f>IF(AND(SamplingData[[#This Row],[Total]]&lt;&gt; 0, NOT(ISBLANK(SamplingData[[#This Row],[Candidate 7]]))),(SamplingData[[#This Row],[Total]]+SamplingData[[#This Row],[Winning Candidate]]-SamplingData[[#This Row],[Candidate 7]])/(SamplingData[[#Totals],[Winning Candidate]]-SamplingData[[#Totals],[Candidate 7]]), 0)</f>
        <v>0</v>
      </c>
      <c r="W596" s="99">
        <f>IF(AND(SamplingData[[#This Row],[Total]]&lt;&gt; 0, NOT(ISBLANK(SamplingData[[#This Row],[Candidate 8]]))),(SamplingData[[#This Row],[Total]]+SamplingData[[#This Row],[Winning Candidate]]-SamplingData[[#This Row],[Candidate 8]])/(SamplingData[[#Totals],[Winning Candidate]]-SamplingData[[#Totals],[Candidate 8]]), 0)</f>
        <v>0</v>
      </c>
      <c r="X5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6" s="99">
        <f>MAX(SamplingData[[#This Row],[Error Bound (up) - Max. possible relative overstatement - Losing Candidate]:[Error Bound (up) - Max. possible relative overstatement - Candidate 12]])</f>
        <v>2.1728059752164318E-2</v>
      </c>
      <c r="AC596" s="99">
        <f>IF(SamplingData[[#This Row],[Max Error Bound (up)]] = 0,0,SamplingData[[#This Row],[Max Error Bound (up)]]/SamplingData[[#Totals],[Max Error Bound (up)]])</f>
        <v>1.1633402406660137E-3</v>
      </c>
      <c r="AD596" s="103">
        <f>SUM($AC$5:AC596)</f>
        <v>0.49098411313483908</v>
      </c>
      <c r="AE596" s="99" t="str" cm="1">
        <f t="array" ref="AE596">IF(SamplingData[[#This Row],[up/U Selection Probability]] = 0, "Zero", TEXT(SamplingData[[#This Row],[Lower Range]], REPT("0",LEN('General Info'!$B$42))) &amp; " - " &amp; TEXT(SamplingData[[#This Row],[Upper Range]], REPT("0",LEN('General Info'!$B$42))))</f>
        <v>489821 - 490983</v>
      </c>
      <c r="AF596" s="99">
        <f>SamplingData[[#This Row],[Upper Range]]-SamplingData[[#This Row],[Span]]</f>
        <v>489820.7728941731</v>
      </c>
      <c r="AG596" s="99">
        <f>IF(ISNUMBER('General Info'!$B$42), ((SamplingData[[#This Row],[up/U Selection Probability]]) * 'General Info'!$B$44) - 1, 0)</f>
        <v>1162.3402406660136</v>
      </c>
      <c r="AH596" s="99">
        <f>IF(ISNUMBER('General Info'!$B$42), (SamplingData[[#This Row],[Running (cumulative) sum]] * ('General Info'!$B$42 -'General Info'!$B$43 + 1)) + 'General Info'!$B$43 - 1, 0)</f>
        <v>490983.11313483911</v>
      </c>
      <c r="AI596" s="99" t="str">
        <f>IF(ISERROR(MATCH(SamplingData[[#This Row],[Batch by Type (p)]],SelectedPrecincts[Batch Name], 0)), "", INDEX(SelectedPrecincts[Draw], MATCH(SamplingData[[#This Row],[Batch by Type (p)]],SelectedPrecincts[Batch Name], 0)))</f>
        <v/>
      </c>
      <c r="AJ596" s="100">
        <f>IF(COUNTIF(SelectedPrecincts[Batch Name],SamplingData[[#This Row],[Batch by Type (p)]]) &lt;&gt; 0, COUNTIF(SelectedPrecincts[Batch Name],SamplingData[[#This Row],[Batch by Type (p)]]), 0)</f>
        <v>0</v>
      </c>
    </row>
    <row r="597" spans="1:36" ht="15" customHeight="1" x14ac:dyDescent="0.35">
      <c r="A597" s="97" t="s">
        <v>810</v>
      </c>
      <c r="B597" s="97">
        <v>190</v>
      </c>
      <c r="C597" s="97">
        <v>129</v>
      </c>
      <c r="D597" s="92"/>
      <c r="E597" s="92"/>
      <c r="F597" s="92"/>
      <c r="G597" s="96"/>
      <c r="H597" s="96"/>
      <c r="I597" s="92"/>
      <c r="J597" s="92"/>
      <c r="K597" s="92"/>
      <c r="L597" s="92"/>
      <c r="M597" s="92"/>
      <c r="N597" s="97">
        <v>0</v>
      </c>
      <c r="O597" s="97">
        <v>30</v>
      </c>
      <c r="P597" s="98">
        <f>SUM(SamplingData[[#This Row],[Winning Candidate]:[Under Votes]])</f>
        <v>349</v>
      </c>
      <c r="Q597" s="99">
        <f>IF(AND(SamplingData[[#This Row],[Total]]&lt;&gt; 0, NOT(ISBLANK(SamplingData[[#This Row],[Losing Candidate]]))),(SamplingData[[#This Row],[Total]]+SamplingData[[#This Row],[Winning Candidate]]-SamplingData[[#This Row],[Losing Candidate]])/(SamplingData[[#Totals],[Winning Candidate]]-SamplingData[[#Totals],[Losing Candidate]]), 0)</f>
        <v>1.7399422848412834E-2</v>
      </c>
      <c r="R597" s="99">
        <f>IF(AND(SamplingData[[#This Row],[Total]]&lt;&gt; 0, NOT(ISBLANK(SamplingData[[#This Row],[Candidate 3]]))),(SamplingData[[#This Row],[Total]]+SamplingData[[#This Row],[Winning Candidate]]-SamplingData[[#This Row],[Candidate 3]])/(SamplingData[[#Totals],[Winning Candidate]]-SamplingData[[#Totals],[Candidate 3]]), 0)</f>
        <v>0</v>
      </c>
      <c r="S597" s="99">
        <f>IF(AND(SamplingData[[#This Row],[Total]]&lt;&gt; 0, NOT(ISBLANK(SamplingData[[#This Row],[Candidate 4]]))),(SamplingData[[#This Row],[Total]]+SamplingData[[#This Row],[Winning Candidate]]-SamplingData[[#This Row],[Candidate 4]])/(SamplingData[[#Totals],[Winning Candidate]]-SamplingData[[#Totals],[Candidate 4]]), 0)</f>
        <v>0</v>
      </c>
      <c r="T597" s="99">
        <f>IF(AND(SamplingData[[#This Row],[Total]]&lt;&gt; 0, NOT(ISBLANK(SamplingData[[#This Row],[Candidate 5]]))),(SamplingData[[#This Row],[Total]]+SamplingData[[#This Row],[Winning Candidate]]-SamplingData[[#This Row],[Candidate 5]])/(SamplingData[[#Totals],[Winning Candidate]]-SamplingData[[#Totals],[Candidate 5]]), 0)</f>
        <v>0</v>
      </c>
      <c r="U597" s="99">
        <f>IF(AND(SamplingData[[#This Row],[Total]]&lt;&gt; 0, NOT(ISBLANK(SamplingData[[#This Row],[Candidate 6]]))),(SamplingData[[#This Row],[Total]]+SamplingData[[#This Row],[Losing Candidate]]-SamplingData[[#This Row],[Candidate 6]])/(SamplingData[[#Totals],[Winning Candidate]]-SamplingData[[#Totals],[Candidate 6]]), 0)</f>
        <v>0</v>
      </c>
      <c r="V597" s="99">
        <f>IF(AND(SamplingData[[#This Row],[Total]]&lt;&gt; 0, NOT(ISBLANK(SamplingData[[#This Row],[Candidate 7]]))),(SamplingData[[#This Row],[Total]]+SamplingData[[#This Row],[Winning Candidate]]-SamplingData[[#This Row],[Candidate 7]])/(SamplingData[[#Totals],[Winning Candidate]]-SamplingData[[#Totals],[Candidate 7]]), 0)</f>
        <v>0</v>
      </c>
      <c r="W597" s="99">
        <f>IF(AND(SamplingData[[#This Row],[Total]]&lt;&gt; 0, NOT(ISBLANK(SamplingData[[#This Row],[Candidate 8]]))),(SamplingData[[#This Row],[Total]]+SamplingData[[#This Row],[Winning Candidate]]-SamplingData[[#This Row],[Candidate 8]])/(SamplingData[[#Totals],[Winning Candidate]]-SamplingData[[#Totals],[Candidate 8]]), 0)</f>
        <v>0</v>
      </c>
      <c r="X5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7" s="99">
        <f>MAX(SamplingData[[#This Row],[Error Bound (up) - Max. possible relative overstatement - Losing Candidate]:[Error Bound (up) - Max. possible relative overstatement - Candidate 12]])</f>
        <v>1.7399422848412834E-2</v>
      </c>
      <c r="AC597" s="99">
        <f>IF(SamplingData[[#This Row],[Max Error Bound (up)]] = 0,0,SamplingData[[#This Row],[Max Error Bound (up)]]/SamplingData[[#Totals],[Max Error Bound (up)]])</f>
        <v>9.3158105209583135E-4</v>
      </c>
      <c r="AD597" s="103">
        <f>SUM($AC$5:AC597)</f>
        <v>0.49191569418693493</v>
      </c>
      <c r="AE597" s="99" t="str" cm="1">
        <f t="array" ref="AE597">IF(SamplingData[[#This Row],[up/U Selection Probability]] = 0, "Zero", TEXT(SamplingData[[#This Row],[Lower Range]], REPT("0",LEN('General Info'!$B$42))) &amp; " - " &amp; TEXT(SamplingData[[#This Row],[Upper Range]], REPT("0",LEN('General Info'!$B$42))))</f>
        <v>490984 - 491915</v>
      </c>
      <c r="AF597" s="99">
        <f>SamplingData[[#This Row],[Upper Range]]-SamplingData[[#This Row],[Span]]</f>
        <v>490984.11313483911</v>
      </c>
      <c r="AG597" s="99">
        <f>IF(ISNUMBER('General Info'!$B$42), ((SamplingData[[#This Row],[up/U Selection Probability]]) * 'General Info'!$B$44) - 1, 0)</f>
        <v>930.5810520958313</v>
      </c>
      <c r="AH597" s="99">
        <f>IF(ISNUMBER('General Info'!$B$42), (SamplingData[[#This Row],[Running (cumulative) sum]] * ('General Info'!$B$42 -'General Info'!$B$43 + 1)) + 'General Info'!$B$43 - 1, 0)</f>
        <v>491914.69418693491</v>
      </c>
      <c r="AI597" s="99" t="str">
        <f>IF(ISERROR(MATCH(SamplingData[[#This Row],[Batch by Type (p)]],SelectedPrecincts[Batch Name], 0)), "", INDEX(SelectedPrecincts[Draw], MATCH(SamplingData[[#This Row],[Batch by Type (p)]],SelectedPrecincts[Batch Name], 0)))</f>
        <v/>
      </c>
      <c r="AJ597" s="100">
        <f>IF(COUNTIF(SelectedPrecincts[Batch Name],SamplingData[[#This Row],[Batch by Type (p)]]) &lt;&gt; 0, COUNTIF(SelectedPrecincts[Batch Name],SamplingData[[#This Row],[Batch by Type (p)]]), 0)</f>
        <v>0</v>
      </c>
    </row>
    <row r="598" spans="1:36" ht="15" customHeight="1" x14ac:dyDescent="0.35">
      <c r="A598" s="97" t="s">
        <v>811</v>
      </c>
      <c r="B598" s="97">
        <v>151</v>
      </c>
      <c r="C598" s="97">
        <v>91</v>
      </c>
      <c r="D598" s="92"/>
      <c r="E598" s="92"/>
      <c r="F598" s="92"/>
      <c r="G598" s="96"/>
      <c r="H598" s="96"/>
      <c r="I598" s="92"/>
      <c r="J598" s="92"/>
      <c r="K598" s="92"/>
      <c r="L598" s="92"/>
      <c r="M598" s="92"/>
      <c r="N598" s="97">
        <v>1</v>
      </c>
      <c r="O598" s="97">
        <v>24</v>
      </c>
      <c r="P598" s="98">
        <f>SUM(SamplingData[[#This Row],[Winning Candidate]:[Under Votes]])</f>
        <v>267</v>
      </c>
      <c r="Q598" s="99">
        <f>IF(AND(SamplingData[[#This Row],[Total]]&lt;&gt; 0, NOT(ISBLANK(SamplingData[[#This Row],[Losing Candidate]]))),(SamplingData[[#This Row],[Total]]+SamplingData[[#This Row],[Winning Candidate]]-SamplingData[[#This Row],[Losing Candidate]])/(SamplingData[[#Totals],[Winning Candidate]]-SamplingData[[#Totals],[Losing Candidate]]), 0)</f>
        <v>1.387710066202682E-2</v>
      </c>
      <c r="R598" s="99">
        <f>IF(AND(SamplingData[[#This Row],[Total]]&lt;&gt; 0, NOT(ISBLANK(SamplingData[[#This Row],[Candidate 3]]))),(SamplingData[[#This Row],[Total]]+SamplingData[[#This Row],[Winning Candidate]]-SamplingData[[#This Row],[Candidate 3]])/(SamplingData[[#Totals],[Winning Candidate]]-SamplingData[[#Totals],[Candidate 3]]), 0)</f>
        <v>0</v>
      </c>
      <c r="S598" s="99">
        <f>IF(AND(SamplingData[[#This Row],[Total]]&lt;&gt; 0, NOT(ISBLANK(SamplingData[[#This Row],[Candidate 4]]))),(SamplingData[[#This Row],[Total]]+SamplingData[[#This Row],[Winning Candidate]]-SamplingData[[#This Row],[Candidate 4]])/(SamplingData[[#Totals],[Winning Candidate]]-SamplingData[[#Totals],[Candidate 4]]), 0)</f>
        <v>0</v>
      </c>
      <c r="T598" s="99">
        <f>IF(AND(SamplingData[[#This Row],[Total]]&lt;&gt; 0, NOT(ISBLANK(SamplingData[[#This Row],[Candidate 5]]))),(SamplingData[[#This Row],[Total]]+SamplingData[[#This Row],[Winning Candidate]]-SamplingData[[#This Row],[Candidate 5]])/(SamplingData[[#Totals],[Winning Candidate]]-SamplingData[[#Totals],[Candidate 5]]), 0)</f>
        <v>0</v>
      </c>
      <c r="U598" s="99">
        <f>IF(AND(SamplingData[[#This Row],[Total]]&lt;&gt; 0, NOT(ISBLANK(SamplingData[[#This Row],[Candidate 6]]))),(SamplingData[[#This Row],[Total]]+SamplingData[[#This Row],[Losing Candidate]]-SamplingData[[#This Row],[Candidate 6]])/(SamplingData[[#Totals],[Winning Candidate]]-SamplingData[[#Totals],[Candidate 6]]), 0)</f>
        <v>0</v>
      </c>
      <c r="V598" s="99">
        <f>IF(AND(SamplingData[[#This Row],[Total]]&lt;&gt; 0, NOT(ISBLANK(SamplingData[[#This Row],[Candidate 7]]))),(SamplingData[[#This Row],[Total]]+SamplingData[[#This Row],[Winning Candidate]]-SamplingData[[#This Row],[Candidate 7]])/(SamplingData[[#Totals],[Winning Candidate]]-SamplingData[[#Totals],[Candidate 7]]), 0)</f>
        <v>0</v>
      </c>
      <c r="W598" s="99">
        <f>IF(AND(SamplingData[[#This Row],[Total]]&lt;&gt; 0, NOT(ISBLANK(SamplingData[[#This Row],[Candidate 8]]))),(SamplingData[[#This Row],[Total]]+SamplingData[[#This Row],[Winning Candidate]]-SamplingData[[#This Row],[Candidate 8]])/(SamplingData[[#Totals],[Winning Candidate]]-SamplingData[[#Totals],[Candidate 8]]), 0)</f>
        <v>0</v>
      </c>
      <c r="X5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8" s="99">
        <f>MAX(SamplingData[[#This Row],[Error Bound (up) - Max. possible relative overstatement - Losing Candidate]:[Error Bound (up) - Max. possible relative overstatement - Candidate 12]])</f>
        <v>1.387710066202682E-2</v>
      </c>
      <c r="AC598" s="99">
        <f>IF(SamplingData[[#This Row],[Max Error Bound (up)]] = 0,0,SamplingData[[#This Row],[Max Error Bound (up)]]/SamplingData[[#Totals],[Max Error Bound (up)]])</f>
        <v>7.4299269276911425E-4</v>
      </c>
      <c r="AD598" s="103">
        <f>SUM($AC$5:AC598)</f>
        <v>0.49265868687970404</v>
      </c>
      <c r="AE598" s="99" t="str" cm="1">
        <f t="array" ref="AE598">IF(SamplingData[[#This Row],[up/U Selection Probability]] = 0, "Zero", TEXT(SamplingData[[#This Row],[Lower Range]], REPT("0",LEN('General Info'!$B$42))) &amp; " - " &amp; TEXT(SamplingData[[#This Row],[Upper Range]], REPT("0",LEN('General Info'!$B$42))))</f>
        <v>491916 - 492658</v>
      </c>
      <c r="AF598" s="99">
        <f>SamplingData[[#This Row],[Upper Range]]-SamplingData[[#This Row],[Span]]</f>
        <v>491915.69418693497</v>
      </c>
      <c r="AG598" s="99">
        <f>IF(ISNUMBER('General Info'!$B$42), ((SamplingData[[#This Row],[up/U Selection Probability]]) * 'General Info'!$B$44) - 1, 0)</f>
        <v>741.99269276911423</v>
      </c>
      <c r="AH598" s="99">
        <f>IF(ISNUMBER('General Info'!$B$42), (SamplingData[[#This Row],[Running (cumulative) sum]] * ('General Info'!$B$42 -'General Info'!$B$43 + 1)) + 'General Info'!$B$43 - 1, 0)</f>
        <v>492657.68687970407</v>
      </c>
      <c r="AI598" s="99" t="str">
        <f>IF(ISERROR(MATCH(SamplingData[[#This Row],[Batch by Type (p)]],SelectedPrecincts[Batch Name], 0)), "", INDEX(SelectedPrecincts[Draw], MATCH(SamplingData[[#This Row],[Batch by Type (p)]],SelectedPrecincts[Batch Name], 0)))</f>
        <v/>
      </c>
      <c r="AJ598" s="100">
        <f>IF(COUNTIF(SelectedPrecincts[Batch Name],SamplingData[[#This Row],[Batch by Type (p)]]) &lt;&gt; 0, COUNTIF(SelectedPrecincts[Batch Name],SamplingData[[#This Row],[Batch by Type (p)]]), 0)</f>
        <v>0</v>
      </c>
    </row>
    <row r="599" spans="1:36" ht="15" customHeight="1" x14ac:dyDescent="0.35">
      <c r="A599" s="97" t="s">
        <v>812</v>
      </c>
      <c r="B599" s="97">
        <v>240</v>
      </c>
      <c r="C599" s="97">
        <v>181</v>
      </c>
      <c r="D599" s="92"/>
      <c r="E599" s="92"/>
      <c r="F599" s="92"/>
      <c r="G599" s="96"/>
      <c r="H599" s="96"/>
      <c r="I599" s="92"/>
      <c r="J599" s="92"/>
      <c r="K599" s="92"/>
      <c r="L599" s="92"/>
      <c r="M599" s="92"/>
      <c r="N599" s="97">
        <v>0</v>
      </c>
      <c r="O599" s="97">
        <v>52</v>
      </c>
      <c r="P599" s="98">
        <f>SUM(SamplingData[[#This Row],[Winning Candidate]:[Under Votes]])</f>
        <v>473</v>
      </c>
      <c r="Q599" s="99">
        <f>IF(AND(SamplingData[[#This Row],[Total]]&lt;&gt; 0, NOT(ISBLANK(SamplingData[[#This Row],[Losing Candidate]]))),(SamplingData[[#This Row],[Total]]+SamplingData[[#This Row],[Winning Candidate]]-SamplingData[[#This Row],[Losing Candidate]])/(SamplingData[[#Totals],[Winning Candidate]]-SamplingData[[#Totals],[Losing Candidate]]), 0)</f>
        <v>2.2576812086233237E-2</v>
      </c>
      <c r="R599" s="99">
        <f>IF(AND(SamplingData[[#This Row],[Total]]&lt;&gt; 0, NOT(ISBLANK(SamplingData[[#This Row],[Candidate 3]]))),(SamplingData[[#This Row],[Total]]+SamplingData[[#This Row],[Winning Candidate]]-SamplingData[[#This Row],[Candidate 3]])/(SamplingData[[#Totals],[Winning Candidate]]-SamplingData[[#Totals],[Candidate 3]]), 0)</f>
        <v>0</v>
      </c>
      <c r="S599" s="99">
        <f>IF(AND(SamplingData[[#This Row],[Total]]&lt;&gt; 0, NOT(ISBLANK(SamplingData[[#This Row],[Candidate 4]]))),(SamplingData[[#This Row],[Total]]+SamplingData[[#This Row],[Winning Candidate]]-SamplingData[[#This Row],[Candidate 4]])/(SamplingData[[#Totals],[Winning Candidate]]-SamplingData[[#Totals],[Candidate 4]]), 0)</f>
        <v>0</v>
      </c>
      <c r="T599" s="99">
        <f>IF(AND(SamplingData[[#This Row],[Total]]&lt;&gt; 0, NOT(ISBLANK(SamplingData[[#This Row],[Candidate 5]]))),(SamplingData[[#This Row],[Total]]+SamplingData[[#This Row],[Winning Candidate]]-SamplingData[[#This Row],[Candidate 5]])/(SamplingData[[#Totals],[Winning Candidate]]-SamplingData[[#Totals],[Candidate 5]]), 0)</f>
        <v>0</v>
      </c>
      <c r="U599" s="99">
        <f>IF(AND(SamplingData[[#This Row],[Total]]&lt;&gt; 0, NOT(ISBLANK(SamplingData[[#This Row],[Candidate 6]]))),(SamplingData[[#This Row],[Total]]+SamplingData[[#This Row],[Losing Candidate]]-SamplingData[[#This Row],[Candidate 6]])/(SamplingData[[#Totals],[Winning Candidate]]-SamplingData[[#Totals],[Candidate 6]]), 0)</f>
        <v>0</v>
      </c>
      <c r="V599" s="99">
        <f>IF(AND(SamplingData[[#This Row],[Total]]&lt;&gt; 0, NOT(ISBLANK(SamplingData[[#This Row],[Candidate 7]]))),(SamplingData[[#This Row],[Total]]+SamplingData[[#This Row],[Winning Candidate]]-SamplingData[[#This Row],[Candidate 7]])/(SamplingData[[#Totals],[Winning Candidate]]-SamplingData[[#Totals],[Candidate 7]]), 0)</f>
        <v>0</v>
      </c>
      <c r="W599" s="99">
        <f>IF(AND(SamplingData[[#This Row],[Total]]&lt;&gt; 0, NOT(ISBLANK(SamplingData[[#This Row],[Candidate 8]]))),(SamplingData[[#This Row],[Total]]+SamplingData[[#This Row],[Winning Candidate]]-SamplingData[[#This Row],[Candidate 8]])/(SamplingData[[#Totals],[Winning Candidate]]-SamplingData[[#Totals],[Candidate 8]]), 0)</f>
        <v>0</v>
      </c>
      <c r="X5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9" s="99">
        <f>MAX(SamplingData[[#This Row],[Error Bound (up) - Max. possible relative overstatement - Losing Candidate]:[Error Bound (up) - Max. possible relative overstatement - Candidate 12]])</f>
        <v>2.2576812086233237E-2</v>
      </c>
      <c r="AC599" s="99">
        <f>IF(SamplingData[[#This Row],[Max Error Bound (up)]] = 0,0,SamplingData[[#This Row],[Max Error Bound (up)]]/SamplingData[[#Totals],[Max Error Bound (up)]])</f>
        <v>1.20878321881703E-3</v>
      </c>
      <c r="AD599" s="103">
        <f>SUM($AC$5:AC599)</f>
        <v>0.49386747009852106</v>
      </c>
      <c r="AE599" s="99" t="str" cm="1">
        <f t="array" ref="AE599">IF(SamplingData[[#This Row],[up/U Selection Probability]] = 0, "Zero", TEXT(SamplingData[[#This Row],[Lower Range]], REPT("0",LEN('General Info'!$B$42))) &amp; " - " &amp; TEXT(SamplingData[[#This Row],[Upper Range]], REPT("0",LEN('General Info'!$B$42))))</f>
        <v>492659 - 493866</v>
      </c>
      <c r="AF599" s="99">
        <f>SamplingData[[#This Row],[Upper Range]]-SamplingData[[#This Row],[Span]]</f>
        <v>492658.68687970401</v>
      </c>
      <c r="AG599" s="99">
        <f>IF(ISNUMBER('General Info'!$B$42), ((SamplingData[[#This Row],[up/U Selection Probability]]) * 'General Info'!$B$44) - 1, 0)</f>
        <v>1207.78321881703</v>
      </c>
      <c r="AH599" s="99">
        <f>IF(ISNUMBER('General Info'!$B$42), (SamplingData[[#This Row],[Running (cumulative) sum]] * ('General Info'!$B$42 -'General Info'!$B$43 + 1)) + 'General Info'!$B$43 - 1, 0)</f>
        <v>493866.47009852104</v>
      </c>
      <c r="AI599" s="99" t="str">
        <f>IF(ISERROR(MATCH(SamplingData[[#This Row],[Batch by Type (p)]],SelectedPrecincts[Batch Name], 0)), "", INDEX(SelectedPrecincts[Draw], MATCH(SamplingData[[#This Row],[Batch by Type (p)]],SelectedPrecincts[Batch Name], 0)))</f>
        <v/>
      </c>
      <c r="AJ599" s="100">
        <f>IF(COUNTIF(SelectedPrecincts[Batch Name],SamplingData[[#This Row],[Batch by Type (p)]]) &lt;&gt; 0, COUNTIF(SelectedPrecincts[Batch Name],SamplingData[[#This Row],[Batch by Type (p)]]), 0)</f>
        <v>0</v>
      </c>
    </row>
    <row r="600" spans="1:36" ht="15" customHeight="1" x14ac:dyDescent="0.35">
      <c r="A600" s="97" t="s">
        <v>813</v>
      </c>
      <c r="B600" s="97">
        <v>258</v>
      </c>
      <c r="C600" s="97">
        <v>164</v>
      </c>
      <c r="D600" s="92"/>
      <c r="E600" s="92"/>
      <c r="F600" s="92"/>
      <c r="G600" s="96"/>
      <c r="H600" s="96"/>
      <c r="I600" s="92"/>
      <c r="J600" s="92"/>
      <c r="K600" s="92"/>
      <c r="L600" s="92"/>
      <c r="M600" s="92"/>
      <c r="N600" s="97">
        <v>0</v>
      </c>
      <c r="O600" s="97">
        <v>49</v>
      </c>
      <c r="P600" s="98">
        <f>SUM(SamplingData[[#This Row],[Winning Candidate]:[Under Votes]])</f>
        <v>471</v>
      </c>
      <c r="Q600" s="99">
        <f>IF(AND(SamplingData[[#This Row],[Total]]&lt;&gt; 0, NOT(ISBLANK(SamplingData[[#This Row],[Losing Candidate]]))),(SamplingData[[#This Row],[Total]]+SamplingData[[#This Row],[Winning Candidate]]-SamplingData[[#This Row],[Losing Candidate]])/(SamplingData[[#Totals],[Winning Candidate]]-SamplingData[[#Totals],[Losing Candidate]]), 0)</f>
        <v>2.3977253437446954E-2</v>
      </c>
      <c r="R600" s="99">
        <f>IF(AND(SamplingData[[#This Row],[Total]]&lt;&gt; 0, NOT(ISBLANK(SamplingData[[#This Row],[Candidate 3]]))),(SamplingData[[#This Row],[Total]]+SamplingData[[#This Row],[Winning Candidate]]-SamplingData[[#This Row],[Candidate 3]])/(SamplingData[[#Totals],[Winning Candidate]]-SamplingData[[#Totals],[Candidate 3]]), 0)</f>
        <v>0</v>
      </c>
      <c r="S600" s="99">
        <f>IF(AND(SamplingData[[#This Row],[Total]]&lt;&gt; 0, NOT(ISBLANK(SamplingData[[#This Row],[Candidate 4]]))),(SamplingData[[#This Row],[Total]]+SamplingData[[#This Row],[Winning Candidate]]-SamplingData[[#This Row],[Candidate 4]])/(SamplingData[[#Totals],[Winning Candidate]]-SamplingData[[#Totals],[Candidate 4]]), 0)</f>
        <v>0</v>
      </c>
      <c r="T600" s="99">
        <f>IF(AND(SamplingData[[#This Row],[Total]]&lt;&gt; 0, NOT(ISBLANK(SamplingData[[#This Row],[Candidate 5]]))),(SamplingData[[#This Row],[Total]]+SamplingData[[#This Row],[Winning Candidate]]-SamplingData[[#This Row],[Candidate 5]])/(SamplingData[[#Totals],[Winning Candidate]]-SamplingData[[#Totals],[Candidate 5]]), 0)</f>
        <v>0</v>
      </c>
      <c r="U600" s="99">
        <f>IF(AND(SamplingData[[#This Row],[Total]]&lt;&gt; 0, NOT(ISBLANK(SamplingData[[#This Row],[Candidate 6]]))),(SamplingData[[#This Row],[Total]]+SamplingData[[#This Row],[Losing Candidate]]-SamplingData[[#This Row],[Candidate 6]])/(SamplingData[[#Totals],[Winning Candidate]]-SamplingData[[#Totals],[Candidate 6]]), 0)</f>
        <v>0</v>
      </c>
      <c r="V600" s="99">
        <f>IF(AND(SamplingData[[#This Row],[Total]]&lt;&gt; 0, NOT(ISBLANK(SamplingData[[#This Row],[Candidate 7]]))),(SamplingData[[#This Row],[Total]]+SamplingData[[#This Row],[Winning Candidate]]-SamplingData[[#This Row],[Candidate 7]])/(SamplingData[[#Totals],[Winning Candidate]]-SamplingData[[#Totals],[Candidate 7]]), 0)</f>
        <v>0</v>
      </c>
      <c r="W600" s="99">
        <f>IF(AND(SamplingData[[#This Row],[Total]]&lt;&gt; 0, NOT(ISBLANK(SamplingData[[#This Row],[Candidate 8]]))),(SamplingData[[#This Row],[Total]]+SamplingData[[#This Row],[Winning Candidate]]-SamplingData[[#This Row],[Candidate 8]])/(SamplingData[[#Totals],[Winning Candidate]]-SamplingData[[#Totals],[Candidate 8]]), 0)</f>
        <v>0</v>
      </c>
      <c r="X6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0" s="99">
        <f>MAX(SamplingData[[#This Row],[Error Bound (up) - Max. possible relative overstatement - Losing Candidate]:[Error Bound (up) - Max. possible relative overstatement - Candidate 12]])</f>
        <v>2.3977253437446954E-2</v>
      </c>
      <c r="AC600" s="99">
        <f>IF(SamplingData[[#This Row],[Max Error Bound (up)]] = 0,0,SamplingData[[#This Row],[Max Error Bound (up)]]/SamplingData[[#Totals],[Max Error Bound (up)]])</f>
        <v>1.2837641327662066E-3</v>
      </c>
      <c r="AD600" s="103">
        <f>SUM($AC$5:AC600)</f>
        <v>0.49515123423128726</v>
      </c>
      <c r="AE600" s="99" t="str" cm="1">
        <f t="array" ref="AE600">IF(SamplingData[[#This Row],[up/U Selection Probability]] = 0, "Zero", TEXT(SamplingData[[#This Row],[Lower Range]], REPT("0",LEN('General Info'!$B$42))) &amp; " - " &amp; TEXT(SamplingData[[#This Row],[Upper Range]], REPT("0",LEN('General Info'!$B$42))))</f>
        <v>493867 - 495150</v>
      </c>
      <c r="AF600" s="99">
        <f>SamplingData[[#This Row],[Upper Range]]-SamplingData[[#This Row],[Span]]</f>
        <v>493867.47009852104</v>
      </c>
      <c r="AG600" s="99">
        <f>IF(ISNUMBER('General Info'!$B$42), ((SamplingData[[#This Row],[up/U Selection Probability]]) * 'General Info'!$B$44) - 1, 0)</f>
        <v>1282.7641327662066</v>
      </c>
      <c r="AH600" s="99">
        <f>IF(ISNUMBER('General Info'!$B$42), (SamplingData[[#This Row],[Running (cumulative) sum]] * ('General Info'!$B$42 -'General Info'!$B$43 + 1)) + 'General Info'!$B$43 - 1, 0)</f>
        <v>495150.23423128726</v>
      </c>
      <c r="AI600" s="99" t="str">
        <f>IF(ISERROR(MATCH(SamplingData[[#This Row],[Batch by Type (p)]],SelectedPrecincts[Batch Name], 0)), "", INDEX(SelectedPrecincts[Draw], MATCH(SamplingData[[#This Row],[Batch by Type (p)]],SelectedPrecincts[Batch Name], 0)))</f>
        <v/>
      </c>
      <c r="AJ600" s="100">
        <f>IF(COUNTIF(SelectedPrecincts[Batch Name],SamplingData[[#This Row],[Batch by Type (p)]]) &lt;&gt; 0, COUNTIF(SelectedPrecincts[Batch Name],SamplingData[[#This Row],[Batch by Type (p)]]), 0)</f>
        <v>0</v>
      </c>
    </row>
    <row r="601" spans="1:36" ht="15" customHeight="1" x14ac:dyDescent="0.35">
      <c r="A601" s="97" t="s">
        <v>814</v>
      </c>
      <c r="B601" s="97">
        <v>191</v>
      </c>
      <c r="C601" s="97">
        <v>141</v>
      </c>
      <c r="D601" s="92"/>
      <c r="E601" s="92"/>
      <c r="F601" s="92"/>
      <c r="G601" s="96"/>
      <c r="H601" s="96"/>
      <c r="I601" s="92"/>
      <c r="J601" s="92"/>
      <c r="K601" s="92"/>
      <c r="L601" s="92"/>
      <c r="M601" s="92"/>
      <c r="N601" s="97">
        <v>0</v>
      </c>
      <c r="O601" s="97">
        <v>21</v>
      </c>
      <c r="P601" s="98">
        <f>SUM(SamplingData[[#This Row],[Winning Candidate]:[Under Votes]])</f>
        <v>353</v>
      </c>
      <c r="Q601" s="99">
        <f>IF(AND(SamplingData[[#This Row],[Total]]&lt;&gt; 0, NOT(ISBLANK(SamplingData[[#This Row],[Losing Candidate]]))),(SamplingData[[#This Row],[Total]]+SamplingData[[#This Row],[Winning Candidate]]-SamplingData[[#This Row],[Losing Candidate]])/(SamplingData[[#Totals],[Winning Candidate]]-SamplingData[[#Totals],[Losing Candidate]]), 0)</f>
        <v>1.7102359531488712E-2</v>
      </c>
      <c r="R601" s="99">
        <f>IF(AND(SamplingData[[#This Row],[Total]]&lt;&gt; 0, NOT(ISBLANK(SamplingData[[#This Row],[Candidate 3]]))),(SamplingData[[#This Row],[Total]]+SamplingData[[#This Row],[Winning Candidate]]-SamplingData[[#This Row],[Candidate 3]])/(SamplingData[[#Totals],[Winning Candidate]]-SamplingData[[#Totals],[Candidate 3]]), 0)</f>
        <v>0</v>
      </c>
      <c r="S601" s="99">
        <f>IF(AND(SamplingData[[#This Row],[Total]]&lt;&gt; 0, NOT(ISBLANK(SamplingData[[#This Row],[Candidate 4]]))),(SamplingData[[#This Row],[Total]]+SamplingData[[#This Row],[Winning Candidate]]-SamplingData[[#This Row],[Candidate 4]])/(SamplingData[[#Totals],[Winning Candidate]]-SamplingData[[#Totals],[Candidate 4]]), 0)</f>
        <v>0</v>
      </c>
      <c r="T601" s="99">
        <f>IF(AND(SamplingData[[#This Row],[Total]]&lt;&gt; 0, NOT(ISBLANK(SamplingData[[#This Row],[Candidate 5]]))),(SamplingData[[#This Row],[Total]]+SamplingData[[#This Row],[Winning Candidate]]-SamplingData[[#This Row],[Candidate 5]])/(SamplingData[[#Totals],[Winning Candidate]]-SamplingData[[#Totals],[Candidate 5]]), 0)</f>
        <v>0</v>
      </c>
      <c r="U601" s="99">
        <f>IF(AND(SamplingData[[#This Row],[Total]]&lt;&gt; 0, NOT(ISBLANK(SamplingData[[#This Row],[Candidate 6]]))),(SamplingData[[#This Row],[Total]]+SamplingData[[#This Row],[Losing Candidate]]-SamplingData[[#This Row],[Candidate 6]])/(SamplingData[[#Totals],[Winning Candidate]]-SamplingData[[#Totals],[Candidate 6]]), 0)</f>
        <v>0</v>
      </c>
      <c r="V601" s="99">
        <f>IF(AND(SamplingData[[#This Row],[Total]]&lt;&gt; 0, NOT(ISBLANK(SamplingData[[#This Row],[Candidate 7]]))),(SamplingData[[#This Row],[Total]]+SamplingData[[#This Row],[Winning Candidate]]-SamplingData[[#This Row],[Candidate 7]])/(SamplingData[[#Totals],[Winning Candidate]]-SamplingData[[#Totals],[Candidate 7]]), 0)</f>
        <v>0</v>
      </c>
      <c r="W601" s="99">
        <f>IF(AND(SamplingData[[#This Row],[Total]]&lt;&gt; 0, NOT(ISBLANK(SamplingData[[#This Row],[Candidate 8]]))),(SamplingData[[#This Row],[Total]]+SamplingData[[#This Row],[Winning Candidate]]-SamplingData[[#This Row],[Candidate 8]])/(SamplingData[[#Totals],[Winning Candidate]]-SamplingData[[#Totals],[Candidate 8]]), 0)</f>
        <v>0</v>
      </c>
      <c r="X6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1" s="99">
        <f>MAX(SamplingData[[#This Row],[Error Bound (up) - Max. possible relative overstatement - Losing Candidate]:[Error Bound (up) - Max. possible relative overstatement - Candidate 12]])</f>
        <v>1.7102359531488712E-2</v>
      </c>
      <c r="AC601" s="99">
        <f>IF(SamplingData[[#This Row],[Max Error Bound (up)]] = 0,0,SamplingData[[#This Row],[Max Error Bound (up)]]/SamplingData[[#Totals],[Max Error Bound (up)]])</f>
        <v>9.1567600974297567E-4</v>
      </c>
      <c r="AD601" s="103">
        <f>SUM($AC$5:AC601)</f>
        <v>0.49606691024103022</v>
      </c>
      <c r="AE601" s="99" t="str" cm="1">
        <f t="array" ref="AE601">IF(SamplingData[[#This Row],[up/U Selection Probability]] = 0, "Zero", TEXT(SamplingData[[#This Row],[Lower Range]], REPT("0",LEN('General Info'!$B$42))) &amp; " - " &amp; TEXT(SamplingData[[#This Row],[Upper Range]], REPT("0",LEN('General Info'!$B$42))))</f>
        <v>495151 - 496066</v>
      </c>
      <c r="AF601" s="99">
        <f>SamplingData[[#This Row],[Upper Range]]-SamplingData[[#This Row],[Span]]</f>
        <v>495151.23423128726</v>
      </c>
      <c r="AG601" s="99">
        <f>IF(ISNUMBER('General Info'!$B$42), ((SamplingData[[#This Row],[up/U Selection Probability]]) * 'General Info'!$B$44) - 1, 0)</f>
        <v>914.67600974297568</v>
      </c>
      <c r="AH601" s="99">
        <f>IF(ISNUMBER('General Info'!$B$42), (SamplingData[[#This Row],[Running (cumulative) sum]] * ('General Info'!$B$42 -'General Info'!$B$43 + 1)) + 'General Info'!$B$43 - 1, 0)</f>
        <v>496065.91024103021</v>
      </c>
      <c r="AI601" s="99" t="str">
        <f>IF(ISERROR(MATCH(SamplingData[[#This Row],[Batch by Type (p)]],SelectedPrecincts[Batch Name], 0)), "", INDEX(SelectedPrecincts[Draw], MATCH(SamplingData[[#This Row],[Batch by Type (p)]],SelectedPrecincts[Batch Name], 0)))</f>
        <v/>
      </c>
      <c r="AJ601" s="100">
        <f>IF(COUNTIF(SelectedPrecincts[Batch Name],SamplingData[[#This Row],[Batch by Type (p)]]) &lt;&gt; 0, COUNTIF(SelectedPrecincts[Batch Name],SamplingData[[#This Row],[Batch by Type (p)]]), 0)</f>
        <v>0</v>
      </c>
    </row>
    <row r="602" spans="1:36" ht="15" customHeight="1" x14ac:dyDescent="0.35">
      <c r="A602" s="97" t="s">
        <v>815</v>
      </c>
      <c r="B602" s="97">
        <v>199</v>
      </c>
      <c r="C602" s="97">
        <v>202</v>
      </c>
      <c r="D602" s="92"/>
      <c r="E602" s="92"/>
      <c r="F602" s="92"/>
      <c r="G602" s="96"/>
      <c r="H602" s="96"/>
      <c r="I602" s="92"/>
      <c r="J602" s="92"/>
      <c r="K602" s="92"/>
      <c r="L602" s="92"/>
      <c r="M602" s="92"/>
      <c r="N602" s="97">
        <v>0</v>
      </c>
      <c r="O602" s="97">
        <v>43</v>
      </c>
      <c r="P602" s="98">
        <f>SUM(SamplingData[[#This Row],[Winning Candidate]:[Under Votes]])</f>
        <v>444</v>
      </c>
      <c r="Q602" s="99">
        <f>IF(AND(SamplingData[[#This Row],[Total]]&lt;&gt; 0, NOT(ISBLANK(SamplingData[[#This Row],[Losing Candidate]]))),(SamplingData[[#This Row],[Total]]+SamplingData[[#This Row],[Winning Candidate]]-SamplingData[[#This Row],[Losing Candidate]])/(SamplingData[[#Totals],[Winning Candidate]]-SamplingData[[#Totals],[Losing Candidate]]), 0)</f>
        <v>1.8714988966219658E-2</v>
      </c>
      <c r="R602" s="99">
        <f>IF(AND(SamplingData[[#This Row],[Total]]&lt;&gt; 0, NOT(ISBLANK(SamplingData[[#This Row],[Candidate 3]]))),(SamplingData[[#This Row],[Total]]+SamplingData[[#This Row],[Winning Candidate]]-SamplingData[[#This Row],[Candidate 3]])/(SamplingData[[#Totals],[Winning Candidate]]-SamplingData[[#Totals],[Candidate 3]]), 0)</f>
        <v>0</v>
      </c>
      <c r="S602" s="99">
        <f>IF(AND(SamplingData[[#This Row],[Total]]&lt;&gt; 0, NOT(ISBLANK(SamplingData[[#This Row],[Candidate 4]]))),(SamplingData[[#This Row],[Total]]+SamplingData[[#This Row],[Winning Candidate]]-SamplingData[[#This Row],[Candidate 4]])/(SamplingData[[#Totals],[Winning Candidate]]-SamplingData[[#Totals],[Candidate 4]]), 0)</f>
        <v>0</v>
      </c>
      <c r="T602" s="99">
        <f>IF(AND(SamplingData[[#This Row],[Total]]&lt;&gt; 0, NOT(ISBLANK(SamplingData[[#This Row],[Candidate 5]]))),(SamplingData[[#This Row],[Total]]+SamplingData[[#This Row],[Winning Candidate]]-SamplingData[[#This Row],[Candidate 5]])/(SamplingData[[#Totals],[Winning Candidate]]-SamplingData[[#Totals],[Candidate 5]]), 0)</f>
        <v>0</v>
      </c>
      <c r="U602" s="99">
        <f>IF(AND(SamplingData[[#This Row],[Total]]&lt;&gt; 0, NOT(ISBLANK(SamplingData[[#This Row],[Candidate 6]]))),(SamplingData[[#This Row],[Total]]+SamplingData[[#This Row],[Losing Candidate]]-SamplingData[[#This Row],[Candidate 6]])/(SamplingData[[#Totals],[Winning Candidate]]-SamplingData[[#Totals],[Candidate 6]]), 0)</f>
        <v>0</v>
      </c>
      <c r="V602" s="99">
        <f>IF(AND(SamplingData[[#This Row],[Total]]&lt;&gt; 0, NOT(ISBLANK(SamplingData[[#This Row],[Candidate 7]]))),(SamplingData[[#This Row],[Total]]+SamplingData[[#This Row],[Winning Candidate]]-SamplingData[[#This Row],[Candidate 7]])/(SamplingData[[#Totals],[Winning Candidate]]-SamplingData[[#Totals],[Candidate 7]]), 0)</f>
        <v>0</v>
      </c>
      <c r="W602" s="99">
        <f>IF(AND(SamplingData[[#This Row],[Total]]&lt;&gt; 0, NOT(ISBLANK(SamplingData[[#This Row],[Candidate 8]]))),(SamplingData[[#This Row],[Total]]+SamplingData[[#This Row],[Winning Candidate]]-SamplingData[[#This Row],[Candidate 8]])/(SamplingData[[#Totals],[Winning Candidate]]-SamplingData[[#Totals],[Candidate 8]]), 0)</f>
        <v>0</v>
      </c>
      <c r="X6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2" s="99">
        <f>MAX(SamplingData[[#This Row],[Error Bound (up) - Max. possible relative overstatement - Losing Candidate]:[Error Bound (up) - Max. possible relative overstatement - Candidate 12]])</f>
        <v>1.8714988966219658E-2</v>
      </c>
      <c r="AC602" s="99">
        <f>IF(SamplingData[[#This Row],[Max Error Bound (up)]] = 0,0,SamplingData[[#This Row],[Max Error Bound (up)]]/SamplingData[[#Totals],[Max Error Bound (up)]])</f>
        <v>1.0020176682299065E-3</v>
      </c>
      <c r="AD602" s="103">
        <f>SUM($AC$5:AC602)</f>
        <v>0.49706892790926011</v>
      </c>
      <c r="AE602" s="99" t="str" cm="1">
        <f t="array" ref="AE602">IF(SamplingData[[#This Row],[up/U Selection Probability]] = 0, "Zero", TEXT(SamplingData[[#This Row],[Lower Range]], REPT("0",LEN('General Info'!$B$42))) &amp; " - " &amp; TEXT(SamplingData[[#This Row],[Upper Range]], REPT("0",LEN('General Info'!$B$42))))</f>
        <v>496067 - 497068</v>
      </c>
      <c r="AF602" s="99">
        <f>SamplingData[[#This Row],[Upper Range]]-SamplingData[[#This Row],[Span]]</f>
        <v>496066.91024103016</v>
      </c>
      <c r="AG602" s="99">
        <f>IF(ISNUMBER('General Info'!$B$42), ((SamplingData[[#This Row],[up/U Selection Probability]]) * 'General Info'!$B$44) - 1, 0)</f>
        <v>1001.0176682299066</v>
      </c>
      <c r="AH602" s="99">
        <f>IF(ISNUMBER('General Info'!$B$42), (SamplingData[[#This Row],[Running (cumulative) sum]] * ('General Info'!$B$42 -'General Info'!$B$43 + 1)) + 'General Info'!$B$43 - 1, 0)</f>
        <v>497067.92790926009</v>
      </c>
      <c r="AI602" s="99" t="str">
        <f>IF(ISERROR(MATCH(SamplingData[[#This Row],[Batch by Type (p)]],SelectedPrecincts[Batch Name], 0)), "", INDEX(SelectedPrecincts[Draw], MATCH(SamplingData[[#This Row],[Batch by Type (p)]],SelectedPrecincts[Batch Name], 0)))</f>
        <v/>
      </c>
      <c r="AJ602" s="100">
        <f>IF(COUNTIF(SelectedPrecincts[Batch Name],SamplingData[[#This Row],[Batch by Type (p)]]) &lt;&gt; 0, COUNTIF(SelectedPrecincts[Batch Name],SamplingData[[#This Row],[Batch by Type (p)]]), 0)</f>
        <v>0</v>
      </c>
    </row>
    <row r="603" spans="1:36" ht="15" customHeight="1" x14ac:dyDescent="0.35">
      <c r="A603" s="97" t="s">
        <v>816</v>
      </c>
      <c r="B603" s="97">
        <v>263</v>
      </c>
      <c r="C603" s="97">
        <v>174</v>
      </c>
      <c r="D603" s="92"/>
      <c r="E603" s="92"/>
      <c r="F603" s="92"/>
      <c r="G603" s="96"/>
      <c r="H603" s="96"/>
      <c r="I603" s="92"/>
      <c r="J603" s="92"/>
      <c r="K603" s="92"/>
      <c r="L603" s="92"/>
      <c r="M603" s="92"/>
      <c r="N603" s="97">
        <v>1</v>
      </c>
      <c r="O603" s="97">
        <v>55</v>
      </c>
      <c r="P603" s="98">
        <f>SUM(SamplingData[[#This Row],[Winning Candidate]:[Under Votes]])</f>
        <v>493</v>
      </c>
      <c r="Q603" s="99">
        <f>IF(AND(SamplingData[[#This Row],[Total]]&lt;&gt; 0, NOT(ISBLANK(SamplingData[[#This Row],[Losing Candidate]]))),(SamplingData[[#This Row],[Total]]+SamplingData[[#This Row],[Winning Candidate]]-SamplingData[[#This Row],[Losing Candidate]])/(SamplingData[[#Totals],[Winning Candidate]]-SamplingData[[#Totals],[Losing Candidate]]), 0)</f>
        <v>2.4698692921405533E-2</v>
      </c>
      <c r="R603" s="99">
        <f>IF(AND(SamplingData[[#This Row],[Total]]&lt;&gt; 0, NOT(ISBLANK(SamplingData[[#This Row],[Candidate 3]]))),(SamplingData[[#This Row],[Total]]+SamplingData[[#This Row],[Winning Candidate]]-SamplingData[[#This Row],[Candidate 3]])/(SamplingData[[#Totals],[Winning Candidate]]-SamplingData[[#Totals],[Candidate 3]]), 0)</f>
        <v>0</v>
      </c>
      <c r="S603" s="99">
        <f>IF(AND(SamplingData[[#This Row],[Total]]&lt;&gt; 0, NOT(ISBLANK(SamplingData[[#This Row],[Candidate 4]]))),(SamplingData[[#This Row],[Total]]+SamplingData[[#This Row],[Winning Candidate]]-SamplingData[[#This Row],[Candidate 4]])/(SamplingData[[#Totals],[Winning Candidate]]-SamplingData[[#Totals],[Candidate 4]]), 0)</f>
        <v>0</v>
      </c>
      <c r="T603" s="99">
        <f>IF(AND(SamplingData[[#This Row],[Total]]&lt;&gt; 0, NOT(ISBLANK(SamplingData[[#This Row],[Candidate 5]]))),(SamplingData[[#This Row],[Total]]+SamplingData[[#This Row],[Winning Candidate]]-SamplingData[[#This Row],[Candidate 5]])/(SamplingData[[#Totals],[Winning Candidate]]-SamplingData[[#Totals],[Candidate 5]]), 0)</f>
        <v>0</v>
      </c>
      <c r="U603" s="99">
        <f>IF(AND(SamplingData[[#This Row],[Total]]&lt;&gt; 0, NOT(ISBLANK(SamplingData[[#This Row],[Candidate 6]]))),(SamplingData[[#This Row],[Total]]+SamplingData[[#This Row],[Losing Candidate]]-SamplingData[[#This Row],[Candidate 6]])/(SamplingData[[#Totals],[Winning Candidate]]-SamplingData[[#Totals],[Candidate 6]]), 0)</f>
        <v>0</v>
      </c>
      <c r="V603" s="99">
        <f>IF(AND(SamplingData[[#This Row],[Total]]&lt;&gt; 0, NOT(ISBLANK(SamplingData[[#This Row],[Candidate 7]]))),(SamplingData[[#This Row],[Total]]+SamplingData[[#This Row],[Winning Candidate]]-SamplingData[[#This Row],[Candidate 7]])/(SamplingData[[#Totals],[Winning Candidate]]-SamplingData[[#Totals],[Candidate 7]]), 0)</f>
        <v>0</v>
      </c>
      <c r="W603" s="99">
        <f>IF(AND(SamplingData[[#This Row],[Total]]&lt;&gt; 0, NOT(ISBLANK(SamplingData[[#This Row],[Candidate 8]]))),(SamplingData[[#This Row],[Total]]+SamplingData[[#This Row],[Winning Candidate]]-SamplingData[[#This Row],[Candidate 8]])/(SamplingData[[#Totals],[Winning Candidate]]-SamplingData[[#Totals],[Candidate 8]]), 0)</f>
        <v>0</v>
      </c>
      <c r="X6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3" s="99">
        <f>MAX(SamplingData[[#This Row],[Error Bound (up) - Max. possible relative overstatement - Losing Candidate]:[Error Bound (up) - Max. possible relative overstatement - Candidate 12]])</f>
        <v>2.4698692921405533E-2</v>
      </c>
      <c r="AC603" s="99">
        <f>IF(SamplingData[[#This Row],[Max Error Bound (up)]] = 0,0,SamplingData[[#This Row],[Max Error Bound (up)]]/SamplingData[[#Totals],[Max Error Bound (up)]])</f>
        <v>1.3223906641945703E-3</v>
      </c>
      <c r="AD603" s="103">
        <f>SUM($AC$5:AC603)</f>
        <v>0.4983913185734547</v>
      </c>
      <c r="AE603" s="99" t="str" cm="1">
        <f t="array" ref="AE603">IF(SamplingData[[#This Row],[up/U Selection Probability]] = 0, "Zero", TEXT(SamplingData[[#This Row],[Lower Range]], REPT("0",LEN('General Info'!$B$42))) &amp; " - " &amp; TEXT(SamplingData[[#This Row],[Upper Range]], REPT("0",LEN('General Info'!$B$42))))</f>
        <v>497069 - 498390</v>
      </c>
      <c r="AF603" s="99">
        <f>SamplingData[[#This Row],[Upper Range]]-SamplingData[[#This Row],[Span]]</f>
        <v>497068.92790926009</v>
      </c>
      <c r="AG603" s="99">
        <f>IF(ISNUMBER('General Info'!$B$42), ((SamplingData[[#This Row],[up/U Selection Probability]]) * 'General Info'!$B$44) - 1, 0)</f>
        <v>1321.3906641945703</v>
      </c>
      <c r="AH603" s="99">
        <f>IF(ISNUMBER('General Info'!$B$42), (SamplingData[[#This Row],[Running (cumulative) sum]] * ('General Info'!$B$42 -'General Info'!$B$43 + 1)) + 'General Info'!$B$43 - 1, 0)</f>
        <v>498390.31857345469</v>
      </c>
      <c r="AI603" s="99" t="str">
        <f>IF(ISERROR(MATCH(SamplingData[[#This Row],[Batch by Type (p)]],SelectedPrecincts[Batch Name], 0)), "", INDEX(SelectedPrecincts[Draw], MATCH(SamplingData[[#This Row],[Batch by Type (p)]],SelectedPrecincts[Batch Name], 0)))</f>
        <v/>
      </c>
      <c r="AJ603" s="100">
        <f>IF(COUNTIF(SelectedPrecincts[Batch Name],SamplingData[[#This Row],[Batch by Type (p)]]) &lt;&gt; 0, COUNTIF(SelectedPrecincts[Batch Name],SamplingData[[#This Row],[Batch by Type (p)]]), 0)</f>
        <v>0</v>
      </c>
    </row>
    <row r="604" spans="1:36" ht="15" customHeight="1" x14ac:dyDescent="0.35">
      <c r="A604" s="97" t="s">
        <v>817</v>
      </c>
      <c r="B604" s="97">
        <v>154</v>
      </c>
      <c r="C604" s="97">
        <v>214</v>
      </c>
      <c r="D604" s="92"/>
      <c r="E604" s="92"/>
      <c r="F604" s="92"/>
      <c r="G604" s="96"/>
      <c r="H604" s="96"/>
      <c r="I604" s="92"/>
      <c r="J604" s="92"/>
      <c r="K604" s="92"/>
      <c r="L604" s="92"/>
      <c r="M604" s="92"/>
      <c r="N604" s="97">
        <v>0</v>
      </c>
      <c r="O604" s="97">
        <v>29</v>
      </c>
      <c r="P604" s="98">
        <f>SUM(SamplingData[[#This Row],[Winning Candidate]:[Under Votes]])</f>
        <v>397</v>
      </c>
      <c r="Q604" s="99">
        <f>IF(AND(SamplingData[[#This Row],[Total]]&lt;&gt; 0, NOT(ISBLANK(SamplingData[[#This Row],[Losing Candidate]]))),(SamplingData[[#This Row],[Total]]+SamplingData[[#This Row],[Winning Candidate]]-SamplingData[[#This Row],[Losing Candidate]])/(SamplingData[[#Totals],[Winning Candidate]]-SamplingData[[#Totals],[Losing Candidate]]), 0)</f>
        <v>1.430147682906128E-2</v>
      </c>
      <c r="R604" s="99">
        <f>IF(AND(SamplingData[[#This Row],[Total]]&lt;&gt; 0, NOT(ISBLANK(SamplingData[[#This Row],[Candidate 3]]))),(SamplingData[[#This Row],[Total]]+SamplingData[[#This Row],[Winning Candidate]]-SamplingData[[#This Row],[Candidate 3]])/(SamplingData[[#Totals],[Winning Candidate]]-SamplingData[[#Totals],[Candidate 3]]), 0)</f>
        <v>0</v>
      </c>
      <c r="S604" s="99">
        <f>IF(AND(SamplingData[[#This Row],[Total]]&lt;&gt; 0, NOT(ISBLANK(SamplingData[[#This Row],[Candidate 4]]))),(SamplingData[[#This Row],[Total]]+SamplingData[[#This Row],[Winning Candidate]]-SamplingData[[#This Row],[Candidate 4]])/(SamplingData[[#Totals],[Winning Candidate]]-SamplingData[[#Totals],[Candidate 4]]), 0)</f>
        <v>0</v>
      </c>
      <c r="T604" s="99">
        <f>IF(AND(SamplingData[[#This Row],[Total]]&lt;&gt; 0, NOT(ISBLANK(SamplingData[[#This Row],[Candidate 5]]))),(SamplingData[[#This Row],[Total]]+SamplingData[[#This Row],[Winning Candidate]]-SamplingData[[#This Row],[Candidate 5]])/(SamplingData[[#Totals],[Winning Candidate]]-SamplingData[[#Totals],[Candidate 5]]), 0)</f>
        <v>0</v>
      </c>
      <c r="U604" s="99">
        <f>IF(AND(SamplingData[[#This Row],[Total]]&lt;&gt; 0, NOT(ISBLANK(SamplingData[[#This Row],[Candidate 6]]))),(SamplingData[[#This Row],[Total]]+SamplingData[[#This Row],[Losing Candidate]]-SamplingData[[#This Row],[Candidate 6]])/(SamplingData[[#Totals],[Winning Candidate]]-SamplingData[[#Totals],[Candidate 6]]), 0)</f>
        <v>0</v>
      </c>
      <c r="V604" s="99">
        <f>IF(AND(SamplingData[[#This Row],[Total]]&lt;&gt; 0, NOT(ISBLANK(SamplingData[[#This Row],[Candidate 7]]))),(SamplingData[[#This Row],[Total]]+SamplingData[[#This Row],[Winning Candidate]]-SamplingData[[#This Row],[Candidate 7]])/(SamplingData[[#Totals],[Winning Candidate]]-SamplingData[[#Totals],[Candidate 7]]), 0)</f>
        <v>0</v>
      </c>
      <c r="W604" s="99">
        <f>IF(AND(SamplingData[[#This Row],[Total]]&lt;&gt; 0, NOT(ISBLANK(SamplingData[[#This Row],[Candidate 8]]))),(SamplingData[[#This Row],[Total]]+SamplingData[[#This Row],[Winning Candidate]]-SamplingData[[#This Row],[Candidate 8]])/(SamplingData[[#Totals],[Winning Candidate]]-SamplingData[[#Totals],[Candidate 8]]), 0)</f>
        <v>0</v>
      </c>
      <c r="X6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4" s="99">
        <f>MAX(SamplingData[[#This Row],[Error Bound (up) - Max. possible relative overstatement - Losing Candidate]:[Error Bound (up) - Max. possible relative overstatement - Candidate 12]])</f>
        <v>1.430147682906128E-2</v>
      </c>
      <c r="AC604" s="99">
        <f>IF(SamplingData[[#This Row],[Max Error Bound (up)]] = 0,0,SamplingData[[#This Row],[Max Error Bound (up)]]/SamplingData[[#Totals],[Max Error Bound (up)]])</f>
        <v>7.6571418184462239E-4</v>
      </c>
      <c r="AD604" s="103">
        <f>SUM($AC$5:AC604)</f>
        <v>0.49915703275529932</v>
      </c>
      <c r="AE604" s="99" t="str" cm="1">
        <f t="array" ref="AE604">IF(SamplingData[[#This Row],[up/U Selection Probability]] = 0, "Zero", TEXT(SamplingData[[#This Row],[Lower Range]], REPT("0",LEN('General Info'!$B$42))) &amp; " - " &amp; TEXT(SamplingData[[#This Row],[Upper Range]], REPT("0",LEN('General Info'!$B$42))))</f>
        <v>498391 - 499156</v>
      </c>
      <c r="AF604" s="99">
        <f>SamplingData[[#This Row],[Upper Range]]-SamplingData[[#This Row],[Span]]</f>
        <v>498391.31857345469</v>
      </c>
      <c r="AG604" s="99">
        <f>IF(ISNUMBER('General Info'!$B$42), ((SamplingData[[#This Row],[up/U Selection Probability]]) * 'General Info'!$B$44) - 1, 0)</f>
        <v>764.71418184462243</v>
      </c>
      <c r="AH604" s="99">
        <f>IF(ISNUMBER('General Info'!$B$42), (SamplingData[[#This Row],[Running (cumulative) sum]] * ('General Info'!$B$42 -'General Info'!$B$43 + 1)) + 'General Info'!$B$43 - 1, 0)</f>
        <v>499156.0327552993</v>
      </c>
      <c r="AI604" s="99" t="str">
        <f>IF(ISERROR(MATCH(SamplingData[[#This Row],[Batch by Type (p)]],SelectedPrecincts[Batch Name], 0)), "", INDEX(SelectedPrecincts[Draw], MATCH(SamplingData[[#This Row],[Batch by Type (p)]],SelectedPrecincts[Batch Name], 0)))</f>
        <v/>
      </c>
      <c r="AJ604" s="100">
        <f>IF(COUNTIF(SelectedPrecincts[Batch Name],SamplingData[[#This Row],[Batch by Type (p)]]) &lt;&gt; 0, COUNTIF(SelectedPrecincts[Batch Name],SamplingData[[#This Row],[Batch by Type (p)]]), 0)</f>
        <v>0</v>
      </c>
    </row>
    <row r="605" spans="1:36" ht="15" customHeight="1" x14ac:dyDescent="0.35">
      <c r="A605" s="97" t="s">
        <v>818</v>
      </c>
      <c r="B605" s="97">
        <v>240</v>
      </c>
      <c r="C605" s="97">
        <v>200</v>
      </c>
      <c r="D605" s="92"/>
      <c r="E605" s="92"/>
      <c r="F605" s="92"/>
      <c r="G605" s="96"/>
      <c r="H605" s="96"/>
      <c r="I605" s="92"/>
      <c r="J605" s="92"/>
      <c r="K605" s="92"/>
      <c r="L605" s="92"/>
      <c r="M605" s="92"/>
      <c r="N605" s="97">
        <v>0</v>
      </c>
      <c r="O605" s="97">
        <v>36</v>
      </c>
      <c r="P605" s="98">
        <f>SUM(SamplingData[[#This Row],[Winning Candidate]:[Under Votes]])</f>
        <v>476</v>
      </c>
      <c r="Q605" s="99">
        <f>IF(AND(SamplingData[[#This Row],[Total]]&lt;&gt; 0, NOT(ISBLANK(SamplingData[[#This Row],[Losing Candidate]]))),(SamplingData[[#This Row],[Total]]+SamplingData[[#This Row],[Winning Candidate]]-SamplingData[[#This Row],[Losing Candidate]])/(SamplingData[[#Totals],[Winning Candidate]]-SamplingData[[#Totals],[Losing Candidate]]), 0)</f>
        <v>2.1897810218978103E-2</v>
      </c>
      <c r="R605" s="99">
        <f>IF(AND(SamplingData[[#This Row],[Total]]&lt;&gt; 0, NOT(ISBLANK(SamplingData[[#This Row],[Candidate 3]]))),(SamplingData[[#This Row],[Total]]+SamplingData[[#This Row],[Winning Candidate]]-SamplingData[[#This Row],[Candidate 3]])/(SamplingData[[#Totals],[Winning Candidate]]-SamplingData[[#Totals],[Candidate 3]]), 0)</f>
        <v>0</v>
      </c>
      <c r="S605" s="99">
        <f>IF(AND(SamplingData[[#This Row],[Total]]&lt;&gt; 0, NOT(ISBLANK(SamplingData[[#This Row],[Candidate 4]]))),(SamplingData[[#This Row],[Total]]+SamplingData[[#This Row],[Winning Candidate]]-SamplingData[[#This Row],[Candidate 4]])/(SamplingData[[#Totals],[Winning Candidate]]-SamplingData[[#Totals],[Candidate 4]]), 0)</f>
        <v>0</v>
      </c>
      <c r="T605" s="99">
        <f>IF(AND(SamplingData[[#This Row],[Total]]&lt;&gt; 0, NOT(ISBLANK(SamplingData[[#This Row],[Candidate 5]]))),(SamplingData[[#This Row],[Total]]+SamplingData[[#This Row],[Winning Candidate]]-SamplingData[[#This Row],[Candidate 5]])/(SamplingData[[#Totals],[Winning Candidate]]-SamplingData[[#Totals],[Candidate 5]]), 0)</f>
        <v>0</v>
      </c>
      <c r="U605" s="99">
        <f>IF(AND(SamplingData[[#This Row],[Total]]&lt;&gt; 0, NOT(ISBLANK(SamplingData[[#This Row],[Candidate 6]]))),(SamplingData[[#This Row],[Total]]+SamplingData[[#This Row],[Losing Candidate]]-SamplingData[[#This Row],[Candidate 6]])/(SamplingData[[#Totals],[Winning Candidate]]-SamplingData[[#Totals],[Candidate 6]]), 0)</f>
        <v>0</v>
      </c>
      <c r="V605" s="99">
        <f>IF(AND(SamplingData[[#This Row],[Total]]&lt;&gt; 0, NOT(ISBLANK(SamplingData[[#This Row],[Candidate 7]]))),(SamplingData[[#This Row],[Total]]+SamplingData[[#This Row],[Winning Candidate]]-SamplingData[[#This Row],[Candidate 7]])/(SamplingData[[#Totals],[Winning Candidate]]-SamplingData[[#Totals],[Candidate 7]]), 0)</f>
        <v>0</v>
      </c>
      <c r="W605" s="99">
        <f>IF(AND(SamplingData[[#This Row],[Total]]&lt;&gt; 0, NOT(ISBLANK(SamplingData[[#This Row],[Candidate 8]]))),(SamplingData[[#This Row],[Total]]+SamplingData[[#This Row],[Winning Candidate]]-SamplingData[[#This Row],[Candidate 8]])/(SamplingData[[#Totals],[Winning Candidate]]-SamplingData[[#Totals],[Candidate 8]]), 0)</f>
        <v>0</v>
      </c>
      <c r="X6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5" s="99">
        <f>MAX(SamplingData[[#This Row],[Error Bound (up) - Max. possible relative overstatement - Losing Candidate]:[Error Bound (up) - Max. possible relative overstatement - Candidate 12]])</f>
        <v>2.1897810218978103E-2</v>
      </c>
      <c r="AC605" s="99">
        <f>IF(SamplingData[[#This Row],[Max Error Bound (up)]] = 0,0,SamplingData[[#This Row],[Max Error Bound (up)]]/SamplingData[[#Totals],[Max Error Bound (up)]])</f>
        <v>1.1724288362962171E-3</v>
      </c>
      <c r="AD605" s="103">
        <f>SUM($AC$5:AC605)</f>
        <v>0.50032946159159553</v>
      </c>
      <c r="AE605" s="99" t="str" cm="1">
        <f t="array" ref="AE605">IF(SamplingData[[#This Row],[up/U Selection Probability]] = 0, "Zero", TEXT(SamplingData[[#This Row],[Lower Range]], REPT("0",LEN('General Info'!$B$42))) &amp; " - " &amp; TEXT(SamplingData[[#This Row],[Upper Range]], REPT("0",LEN('General Info'!$B$42))))</f>
        <v>499157 - 500328</v>
      </c>
      <c r="AF605" s="99">
        <f>SamplingData[[#This Row],[Upper Range]]-SamplingData[[#This Row],[Span]]</f>
        <v>499157.03275529935</v>
      </c>
      <c r="AG605" s="99">
        <f>IF(ISNUMBER('General Info'!$B$42), ((SamplingData[[#This Row],[up/U Selection Probability]]) * 'General Info'!$B$44) - 1, 0)</f>
        <v>1171.428836296217</v>
      </c>
      <c r="AH605" s="99">
        <f>IF(ISNUMBER('General Info'!$B$42), (SamplingData[[#This Row],[Running (cumulative) sum]] * ('General Info'!$B$42 -'General Info'!$B$43 + 1)) + 'General Info'!$B$43 - 1, 0)</f>
        <v>500328.46159159555</v>
      </c>
      <c r="AI605" s="99" t="str">
        <f>IF(ISERROR(MATCH(SamplingData[[#This Row],[Batch by Type (p)]],SelectedPrecincts[Batch Name], 0)), "", INDEX(SelectedPrecincts[Draw], MATCH(SamplingData[[#This Row],[Batch by Type (p)]],SelectedPrecincts[Batch Name], 0)))</f>
        <v/>
      </c>
      <c r="AJ605" s="100">
        <f>IF(COUNTIF(SelectedPrecincts[Batch Name],SamplingData[[#This Row],[Batch by Type (p)]]) &lt;&gt; 0, COUNTIF(SelectedPrecincts[Batch Name],SamplingData[[#This Row],[Batch by Type (p)]]), 0)</f>
        <v>0</v>
      </c>
    </row>
    <row r="606" spans="1:36" ht="15" customHeight="1" x14ac:dyDescent="0.35">
      <c r="A606" s="97" t="s">
        <v>819</v>
      </c>
      <c r="B606" s="97">
        <v>135</v>
      </c>
      <c r="C606" s="97">
        <v>69</v>
      </c>
      <c r="D606" s="92"/>
      <c r="E606" s="92"/>
      <c r="F606" s="92"/>
      <c r="G606" s="96"/>
      <c r="H606" s="96"/>
      <c r="I606" s="92"/>
      <c r="J606" s="92"/>
      <c r="K606" s="92"/>
      <c r="L606" s="92"/>
      <c r="M606" s="92"/>
      <c r="N606" s="97">
        <v>0</v>
      </c>
      <c r="O606" s="97">
        <v>14</v>
      </c>
      <c r="P606" s="98">
        <f>SUM(SamplingData[[#This Row],[Winning Candidate]:[Under Votes]])</f>
        <v>218</v>
      </c>
      <c r="Q606" s="99">
        <f>IF(AND(SamplingData[[#This Row],[Total]]&lt;&gt; 0, NOT(ISBLANK(SamplingData[[#This Row],[Losing Candidate]]))),(SamplingData[[#This Row],[Total]]+SamplingData[[#This Row],[Winning Candidate]]-SamplingData[[#This Row],[Losing Candidate]])/(SamplingData[[#Totals],[Winning Candidate]]-SamplingData[[#Totals],[Losing Candidate]]), 0)</f>
        <v>1.2052283143778646E-2</v>
      </c>
      <c r="R606" s="99">
        <f>IF(AND(SamplingData[[#This Row],[Total]]&lt;&gt; 0, NOT(ISBLANK(SamplingData[[#This Row],[Candidate 3]]))),(SamplingData[[#This Row],[Total]]+SamplingData[[#This Row],[Winning Candidate]]-SamplingData[[#This Row],[Candidate 3]])/(SamplingData[[#Totals],[Winning Candidate]]-SamplingData[[#Totals],[Candidate 3]]), 0)</f>
        <v>0</v>
      </c>
      <c r="S606" s="99">
        <f>IF(AND(SamplingData[[#This Row],[Total]]&lt;&gt; 0, NOT(ISBLANK(SamplingData[[#This Row],[Candidate 4]]))),(SamplingData[[#This Row],[Total]]+SamplingData[[#This Row],[Winning Candidate]]-SamplingData[[#This Row],[Candidate 4]])/(SamplingData[[#Totals],[Winning Candidate]]-SamplingData[[#Totals],[Candidate 4]]), 0)</f>
        <v>0</v>
      </c>
      <c r="T606" s="99">
        <f>IF(AND(SamplingData[[#This Row],[Total]]&lt;&gt; 0, NOT(ISBLANK(SamplingData[[#This Row],[Candidate 5]]))),(SamplingData[[#This Row],[Total]]+SamplingData[[#This Row],[Winning Candidate]]-SamplingData[[#This Row],[Candidate 5]])/(SamplingData[[#Totals],[Winning Candidate]]-SamplingData[[#Totals],[Candidate 5]]), 0)</f>
        <v>0</v>
      </c>
      <c r="U606" s="99">
        <f>IF(AND(SamplingData[[#This Row],[Total]]&lt;&gt; 0, NOT(ISBLANK(SamplingData[[#This Row],[Candidate 6]]))),(SamplingData[[#This Row],[Total]]+SamplingData[[#This Row],[Losing Candidate]]-SamplingData[[#This Row],[Candidate 6]])/(SamplingData[[#Totals],[Winning Candidate]]-SamplingData[[#Totals],[Candidate 6]]), 0)</f>
        <v>0</v>
      </c>
      <c r="V606" s="99">
        <f>IF(AND(SamplingData[[#This Row],[Total]]&lt;&gt; 0, NOT(ISBLANK(SamplingData[[#This Row],[Candidate 7]]))),(SamplingData[[#This Row],[Total]]+SamplingData[[#This Row],[Winning Candidate]]-SamplingData[[#This Row],[Candidate 7]])/(SamplingData[[#Totals],[Winning Candidate]]-SamplingData[[#Totals],[Candidate 7]]), 0)</f>
        <v>0</v>
      </c>
      <c r="W606" s="99">
        <f>IF(AND(SamplingData[[#This Row],[Total]]&lt;&gt; 0, NOT(ISBLANK(SamplingData[[#This Row],[Candidate 8]]))),(SamplingData[[#This Row],[Total]]+SamplingData[[#This Row],[Winning Candidate]]-SamplingData[[#This Row],[Candidate 8]])/(SamplingData[[#Totals],[Winning Candidate]]-SamplingData[[#Totals],[Candidate 8]]), 0)</f>
        <v>0</v>
      </c>
      <c r="X6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6" s="99">
        <f>MAX(SamplingData[[#This Row],[Error Bound (up) - Max. possible relative overstatement - Losing Candidate]:[Error Bound (up) - Max. possible relative overstatement - Candidate 12]])</f>
        <v>1.2052283143778646E-2</v>
      </c>
      <c r="AC606" s="99">
        <f>IF(SamplingData[[#This Row],[Max Error Bound (up)]] = 0,0,SamplingData[[#This Row],[Max Error Bound (up)]]/SamplingData[[#Totals],[Max Error Bound (up)]])</f>
        <v>6.4529028974442948E-4</v>
      </c>
      <c r="AD606" s="103">
        <f>SUM($AC$5:AC606)</f>
        <v>0.50097475188134</v>
      </c>
      <c r="AE606" s="99" t="str" cm="1">
        <f t="array" ref="AE606">IF(SamplingData[[#This Row],[up/U Selection Probability]] = 0, "Zero", TEXT(SamplingData[[#This Row],[Lower Range]], REPT("0",LEN('General Info'!$B$42))) &amp; " - " &amp; TEXT(SamplingData[[#This Row],[Upper Range]], REPT("0",LEN('General Info'!$B$42))))</f>
        <v>500329 - 500974</v>
      </c>
      <c r="AF606" s="99">
        <f>SamplingData[[#This Row],[Upper Range]]-SamplingData[[#This Row],[Span]]</f>
        <v>500329.46159159555</v>
      </c>
      <c r="AG606" s="99">
        <f>IF(ISNUMBER('General Info'!$B$42), ((SamplingData[[#This Row],[up/U Selection Probability]]) * 'General Info'!$B$44) - 1, 0)</f>
        <v>644.29028974442951</v>
      </c>
      <c r="AH606" s="99">
        <f>IF(ISNUMBER('General Info'!$B$42), (SamplingData[[#This Row],[Running (cumulative) sum]] * ('General Info'!$B$42 -'General Info'!$B$43 + 1)) + 'General Info'!$B$43 - 1, 0)</f>
        <v>500973.75188133999</v>
      </c>
      <c r="AI606" s="99" t="str">
        <f>IF(ISERROR(MATCH(SamplingData[[#This Row],[Batch by Type (p)]],SelectedPrecincts[Batch Name], 0)), "", INDEX(SelectedPrecincts[Draw], MATCH(SamplingData[[#This Row],[Batch by Type (p)]],SelectedPrecincts[Batch Name], 0)))</f>
        <v/>
      </c>
      <c r="AJ606" s="100">
        <f>IF(COUNTIF(SelectedPrecincts[Batch Name],SamplingData[[#This Row],[Batch by Type (p)]]) &lt;&gt; 0, COUNTIF(SelectedPrecincts[Batch Name],SamplingData[[#This Row],[Batch by Type (p)]]), 0)</f>
        <v>0</v>
      </c>
    </row>
    <row r="607" spans="1:36" ht="15" customHeight="1" x14ac:dyDescent="0.35">
      <c r="A607" s="97" t="s">
        <v>820</v>
      </c>
      <c r="B607" s="97">
        <v>221</v>
      </c>
      <c r="C607" s="97">
        <v>205</v>
      </c>
      <c r="D607" s="92"/>
      <c r="E607" s="92"/>
      <c r="F607" s="92"/>
      <c r="G607" s="96"/>
      <c r="H607" s="96"/>
      <c r="I607" s="92"/>
      <c r="J607" s="92"/>
      <c r="K607" s="92"/>
      <c r="L607" s="92"/>
      <c r="M607" s="92"/>
      <c r="N607" s="97">
        <v>0</v>
      </c>
      <c r="O607" s="97">
        <v>30</v>
      </c>
      <c r="P607" s="98">
        <f>SUM(SamplingData[[#This Row],[Winning Candidate]:[Under Votes]])</f>
        <v>456</v>
      </c>
      <c r="Q607" s="99">
        <f>IF(AND(SamplingData[[#This Row],[Total]]&lt;&gt; 0, NOT(ISBLANK(SamplingData[[#This Row],[Losing Candidate]]))),(SamplingData[[#This Row],[Total]]+SamplingData[[#This Row],[Winning Candidate]]-SamplingData[[#This Row],[Losing Candidate]])/(SamplingData[[#Totals],[Winning Candidate]]-SamplingData[[#Totals],[Losing Candidate]]), 0)</f>
        <v>2.0030555084026482E-2</v>
      </c>
      <c r="R607" s="99">
        <f>IF(AND(SamplingData[[#This Row],[Total]]&lt;&gt; 0, NOT(ISBLANK(SamplingData[[#This Row],[Candidate 3]]))),(SamplingData[[#This Row],[Total]]+SamplingData[[#This Row],[Winning Candidate]]-SamplingData[[#This Row],[Candidate 3]])/(SamplingData[[#Totals],[Winning Candidate]]-SamplingData[[#Totals],[Candidate 3]]), 0)</f>
        <v>0</v>
      </c>
      <c r="S607" s="99">
        <f>IF(AND(SamplingData[[#This Row],[Total]]&lt;&gt; 0, NOT(ISBLANK(SamplingData[[#This Row],[Candidate 4]]))),(SamplingData[[#This Row],[Total]]+SamplingData[[#This Row],[Winning Candidate]]-SamplingData[[#This Row],[Candidate 4]])/(SamplingData[[#Totals],[Winning Candidate]]-SamplingData[[#Totals],[Candidate 4]]), 0)</f>
        <v>0</v>
      </c>
      <c r="T607" s="99">
        <f>IF(AND(SamplingData[[#This Row],[Total]]&lt;&gt; 0, NOT(ISBLANK(SamplingData[[#This Row],[Candidate 5]]))),(SamplingData[[#This Row],[Total]]+SamplingData[[#This Row],[Winning Candidate]]-SamplingData[[#This Row],[Candidate 5]])/(SamplingData[[#Totals],[Winning Candidate]]-SamplingData[[#Totals],[Candidate 5]]), 0)</f>
        <v>0</v>
      </c>
      <c r="U607" s="99">
        <f>IF(AND(SamplingData[[#This Row],[Total]]&lt;&gt; 0, NOT(ISBLANK(SamplingData[[#This Row],[Candidate 6]]))),(SamplingData[[#This Row],[Total]]+SamplingData[[#This Row],[Losing Candidate]]-SamplingData[[#This Row],[Candidate 6]])/(SamplingData[[#Totals],[Winning Candidate]]-SamplingData[[#Totals],[Candidate 6]]), 0)</f>
        <v>0</v>
      </c>
      <c r="V607" s="99">
        <f>IF(AND(SamplingData[[#This Row],[Total]]&lt;&gt; 0, NOT(ISBLANK(SamplingData[[#This Row],[Candidate 7]]))),(SamplingData[[#This Row],[Total]]+SamplingData[[#This Row],[Winning Candidate]]-SamplingData[[#This Row],[Candidate 7]])/(SamplingData[[#Totals],[Winning Candidate]]-SamplingData[[#Totals],[Candidate 7]]), 0)</f>
        <v>0</v>
      </c>
      <c r="W607" s="99">
        <f>IF(AND(SamplingData[[#This Row],[Total]]&lt;&gt; 0, NOT(ISBLANK(SamplingData[[#This Row],[Candidate 8]]))),(SamplingData[[#This Row],[Total]]+SamplingData[[#This Row],[Winning Candidate]]-SamplingData[[#This Row],[Candidate 8]])/(SamplingData[[#Totals],[Winning Candidate]]-SamplingData[[#Totals],[Candidate 8]]), 0)</f>
        <v>0</v>
      </c>
      <c r="X6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7" s="99">
        <f>MAX(SamplingData[[#This Row],[Error Bound (up) - Max. possible relative overstatement - Losing Candidate]:[Error Bound (up) - Max. possible relative overstatement - Candidate 12]])</f>
        <v>2.0030555084026482E-2</v>
      </c>
      <c r="AC607" s="99">
        <f>IF(SamplingData[[#This Row],[Max Error Bound (up)]] = 0,0,SamplingData[[#This Row],[Max Error Bound (up)]]/SamplingData[[#Totals],[Max Error Bound (up)]])</f>
        <v>1.0724542843639816E-3</v>
      </c>
      <c r="AD607" s="103">
        <f>SUM($AC$5:AC607)</f>
        <v>0.50204720616570397</v>
      </c>
      <c r="AE607" s="99" t="str" cm="1">
        <f t="array" ref="AE607">IF(SamplingData[[#This Row],[up/U Selection Probability]] = 0, "Zero", TEXT(SamplingData[[#This Row],[Lower Range]], REPT("0",LEN('General Info'!$B$42))) &amp; " - " &amp; TEXT(SamplingData[[#This Row],[Upper Range]], REPT("0",LEN('General Info'!$B$42))))</f>
        <v>500975 - 502046</v>
      </c>
      <c r="AF607" s="99">
        <f>SamplingData[[#This Row],[Upper Range]]-SamplingData[[#This Row],[Span]]</f>
        <v>500974.75188133999</v>
      </c>
      <c r="AG607" s="99">
        <f>IF(ISNUMBER('General Info'!$B$42), ((SamplingData[[#This Row],[up/U Selection Probability]]) * 'General Info'!$B$44) - 1, 0)</f>
        <v>1071.4542843639815</v>
      </c>
      <c r="AH607" s="99">
        <f>IF(ISNUMBER('General Info'!$B$42), (SamplingData[[#This Row],[Running (cumulative) sum]] * ('General Info'!$B$42 -'General Info'!$B$43 + 1)) + 'General Info'!$B$43 - 1, 0)</f>
        <v>502046.206165704</v>
      </c>
      <c r="AI607" s="99" t="str">
        <f>IF(ISERROR(MATCH(SamplingData[[#This Row],[Batch by Type (p)]],SelectedPrecincts[Batch Name], 0)), "", INDEX(SelectedPrecincts[Draw], MATCH(SamplingData[[#This Row],[Batch by Type (p)]],SelectedPrecincts[Batch Name], 0)))</f>
        <v/>
      </c>
      <c r="AJ607" s="100">
        <f>IF(COUNTIF(SelectedPrecincts[Batch Name],SamplingData[[#This Row],[Batch by Type (p)]]) &lt;&gt; 0, COUNTIF(SelectedPrecincts[Batch Name],SamplingData[[#This Row],[Batch by Type (p)]]), 0)</f>
        <v>0</v>
      </c>
    </row>
    <row r="608" spans="1:36" ht="15" customHeight="1" x14ac:dyDescent="0.35">
      <c r="A608" s="97" t="s">
        <v>821</v>
      </c>
      <c r="B608" s="97">
        <v>286</v>
      </c>
      <c r="C608" s="97">
        <v>230</v>
      </c>
      <c r="D608" s="92"/>
      <c r="E608" s="92"/>
      <c r="F608" s="92"/>
      <c r="G608" s="96"/>
      <c r="H608" s="96"/>
      <c r="I608" s="92"/>
      <c r="J608" s="92"/>
      <c r="K608" s="92"/>
      <c r="L608" s="92"/>
      <c r="M608" s="92"/>
      <c r="N608" s="97">
        <v>0</v>
      </c>
      <c r="O608" s="97">
        <v>55</v>
      </c>
      <c r="P608" s="98">
        <f>SUM(SamplingData[[#This Row],[Winning Candidate]:[Under Votes]])</f>
        <v>571</v>
      </c>
      <c r="Q608" s="99">
        <f>IF(AND(SamplingData[[#This Row],[Total]]&lt;&gt; 0, NOT(ISBLANK(SamplingData[[#This Row],[Losing Candidate]]))),(SamplingData[[#This Row],[Total]]+SamplingData[[#This Row],[Winning Candidate]]-SamplingData[[#This Row],[Losing Candidate]])/(SamplingData[[#Totals],[Winning Candidate]]-SamplingData[[#Totals],[Losing Candidate]]), 0)</f>
        <v>2.6608385673060602E-2</v>
      </c>
      <c r="R608" s="99">
        <f>IF(AND(SamplingData[[#This Row],[Total]]&lt;&gt; 0, NOT(ISBLANK(SamplingData[[#This Row],[Candidate 3]]))),(SamplingData[[#This Row],[Total]]+SamplingData[[#This Row],[Winning Candidate]]-SamplingData[[#This Row],[Candidate 3]])/(SamplingData[[#Totals],[Winning Candidate]]-SamplingData[[#Totals],[Candidate 3]]), 0)</f>
        <v>0</v>
      </c>
      <c r="S608" s="99">
        <f>IF(AND(SamplingData[[#This Row],[Total]]&lt;&gt; 0, NOT(ISBLANK(SamplingData[[#This Row],[Candidate 4]]))),(SamplingData[[#This Row],[Total]]+SamplingData[[#This Row],[Winning Candidate]]-SamplingData[[#This Row],[Candidate 4]])/(SamplingData[[#Totals],[Winning Candidate]]-SamplingData[[#Totals],[Candidate 4]]), 0)</f>
        <v>0</v>
      </c>
      <c r="T608" s="99">
        <f>IF(AND(SamplingData[[#This Row],[Total]]&lt;&gt; 0, NOT(ISBLANK(SamplingData[[#This Row],[Candidate 5]]))),(SamplingData[[#This Row],[Total]]+SamplingData[[#This Row],[Winning Candidate]]-SamplingData[[#This Row],[Candidate 5]])/(SamplingData[[#Totals],[Winning Candidate]]-SamplingData[[#Totals],[Candidate 5]]), 0)</f>
        <v>0</v>
      </c>
      <c r="U608" s="99">
        <f>IF(AND(SamplingData[[#This Row],[Total]]&lt;&gt; 0, NOT(ISBLANK(SamplingData[[#This Row],[Candidate 6]]))),(SamplingData[[#This Row],[Total]]+SamplingData[[#This Row],[Losing Candidate]]-SamplingData[[#This Row],[Candidate 6]])/(SamplingData[[#Totals],[Winning Candidate]]-SamplingData[[#Totals],[Candidate 6]]), 0)</f>
        <v>0</v>
      </c>
      <c r="V608" s="99">
        <f>IF(AND(SamplingData[[#This Row],[Total]]&lt;&gt; 0, NOT(ISBLANK(SamplingData[[#This Row],[Candidate 7]]))),(SamplingData[[#This Row],[Total]]+SamplingData[[#This Row],[Winning Candidate]]-SamplingData[[#This Row],[Candidate 7]])/(SamplingData[[#Totals],[Winning Candidate]]-SamplingData[[#Totals],[Candidate 7]]), 0)</f>
        <v>0</v>
      </c>
      <c r="W608" s="99">
        <f>IF(AND(SamplingData[[#This Row],[Total]]&lt;&gt; 0, NOT(ISBLANK(SamplingData[[#This Row],[Candidate 8]]))),(SamplingData[[#This Row],[Total]]+SamplingData[[#This Row],[Winning Candidate]]-SamplingData[[#This Row],[Candidate 8]])/(SamplingData[[#Totals],[Winning Candidate]]-SamplingData[[#Totals],[Candidate 8]]), 0)</f>
        <v>0</v>
      </c>
      <c r="X6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8" s="99">
        <f>MAX(SamplingData[[#This Row],[Error Bound (up) - Max. possible relative overstatement - Losing Candidate]:[Error Bound (up) - Max. possible relative overstatement - Candidate 12]])</f>
        <v>2.6608385673060602E-2</v>
      </c>
      <c r="AC608" s="99">
        <f>IF(SamplingData[[#This Row],[Max Error Bound (up)]] = 0,0,SamplingData[[#This Row],[Max Error Bound (up)]]/SamplingData[[#Totals],[Max Error Bound (up)]])</f>
        <v>1.4246373650343568E-3</v>
      </c>
      <c r="AD608" s="103">
        <f>SUM($AC$5:AC608)</f>
        <v>0.50347184353073837</v>
      </c>
      <c r="AE608" s="99" t="str" cm="1">
        <f t="array" ref="AE608">IF(SamplingData[[#This Row],[up/U Selection Probability]] = 0, "Zero", TEXT(SamplingData[[#This Row],[Lower Range]], REPT("0",LEN('General Info'!$B$42))) &amp; " - " &amp; TEXT(SamplingData[[#This Row],[Upper Range]], REPT("0",LEN('General Info'!$B$42))))</f>
        <v>502047 - 503471</v>
      </c>
      <c r="AF608" s="99">
        <f>SamplingData[[#This Row],[Upper Range]]-SamplingData[[#This Row],[Span]]</f>
        <v>502047.206165704</v>
      </c>
      <c r="AG608" s="99">
        <f>IF(ISNUMBER('General Info'!$B$42), ((SamplingData[[#This Row],[up/U Selection Probability]]) * 'General Info'!$B$44) - 1, 0)</f>
        <v>1423.6373650343567</v>
      </c>
      <c r="AH608" s="99">
        <f>IF(ISNUMBER('General Info'!$B$42), (SamplingData[[#This Row],[Running (cumulative) sum]] * ('General Info'!$B$42 -'General Info'!$B$43 + 1)) + 'General Info'!$B$43 - 1, 0)</f>
        <v>503470.84353073838</v>
      </c>
      <c r="AI608" s="99" t="str">
        <f>IF(ISERROR(MATCH(SamplingData[[#This Row],[Batch by Type (p)]],SelectedPrecincts[Batch Name], 0)), "", INDEX(SelectedPrecincts[Draw], MATCH(SamplingData[[#This Row],[Batch by Type (p)]],SelectedPrecincts[Batch Name], 0)))</f>
        <v/>
      </c>
      <c r="AJ608" s="100">
        <f>IF(COUNTIF(SelectedPrecincts[Batch Name],SamplingData[[#This Row],[Batch by Type (p)]]) &lt;&gt; 0, COUNTIF(SelectedPrecincts[Batch Name],SamplingData[[#This Row],[Batch by Type (p)]]), 0)</f>
        <v>0</v>
      </c>
    </row>
    <row r="609" spans="1:36" ht="15" customHeight="1" x14ac:dyDescent="0.35">
      <c r="A609" s="97" t="s">
        <v>822</v>
      </c>
      <c r="B609" s="97">
        <v>150</v>
      </c>
      <c r="C609" s="97">
        <v>157</v>
      </c>
      <c r="D609" s="92"/>
      <c r="E609" s="92"/>
      <c r="F609" s="92"/>
      <c r="G609" s="96"/>
      <c r="H609" s="96"/>
      <c r="I609" s="92"/>
      <c r="J609" s="92"/>
      <c r="K609" s="92"/>
      <c r="L609" s="92"/>
      <c r="M609" s="92"/>
      <c r="N609" s="97">
        <v>0</v>
      </c>
      <c r="O609" s="97">
        <v>19</v>
      </c>
      <c r="P609" s="98">
        <f>SUM(SamplingData[[#This Row],[Winning Candidate]:[Under Votes]])</f>
        <v>326</v>
      </c>
      <c r="Q609" s="99">
        <f>IF(AND(SamplingData[[#This Row],[Total]]&lt;&gt; 0, NOT(ISBLANK(SamplingData[[#This Row],[Losing Candidate]]))),(SamplingData[[#This Row],[Total]]+SamplingData[[#This Row],[Winning Candidate]]-SamplingData[[#This Row],[Losing Candidate]])/(SamplingData[[#Totals],[Winning Candidate]]-SamplingData[[#Totals],[Losing Candidate]]), 0)</f>
        <v>1.3537599728399253E-2</v>
      </c>
      <c r="R609" s="99">
        <f>IF(AND(SamplingData[[#This Row],[Total]]&lt;&gt; 0, NOT(ISBLANK(SamplingData[[#This Row],[Candidate 3]]))),(SamplingData[[#This Row],[Total]]+SamplingData[[#This Row],[Winning Candidate]]-SamplingData[[#This Row],[Candidate 3]])/(SamplingData[[#Totals],[Winning Candidate]]-SamplingData[[#Totals],[Candidate 3]]), 0)</f>
        <v>0</v>
      </c>
      <c r="S609" s="99">
        <f>IF(AND(SamplingData[[#This Row],[Total]]&lt;&gt; 0, NOT(ISBLANK(SamplingData[[#This Row],[Candidate 4]]))),(SamplingData[[#This Row],[Total]]+SamplingData[[#This Row],[Winning Candidate]]-SamplingData[[#This Row],[Candidate 4]])/(SamplingData[[#Totals],[Winning Candidate]]-SamplingData[[#Totals],[Candidate 4]]), 0)</f>
        <v>0</v>
      </c>
      <c r="T609" s="99">
        <f>IF(AND(SamplingData[[#This Row],[Total]]&lt;&gt; 0, NOT(ISBLANK(SamplingData[[#This Row],[Candidate 5]]))),(SamplingData[[#This Row],[Total]]+SamplingData[[#This Row],[Winning Candidate]]-SamplingData[[#This Row],[Candidate 5]])/(SamplingData[[#Totals],[Winning Candidate]]-SamplingData[[#Totals],[Candidate 5]]), 0)</f>
        <v>0</v>
      </c>
      <c r="U609" s="99">
        <f>IF(AND(SamplingData[[#This Row],[Total]]&lt;&gt; 0, NOT(ISBLANK(SamplingData[[#This Row],[Candidate 6]]))),(SamplingData[[#This Row],[Total]]+SamplingData[[#This Row],[Losing Candidate]]-SamplingData[[#This Row],[Candidate 6]])/(SamplingData[[#Totals],[Winning Candidate]]-SamplingData[[#Totals],[Candidate 6]]), 0)</f>
        <v>0</v>
      </c>
      <c r="V609" s="99">
        <f>IF(AND(SamplingData[[#This Row],[Total]]&lt;&gt; 0, NOT(ISBLANK(SamplingData[[#This Row],[Candidate 7]]))),(SamplingData[[#This Row],[Total]]+SamplingData[[#This Row],[Winning Candidate]]-SamplingData[[#This Row],[Candidate 7]])/(SamplingData[[#Totals],[Winning Candidate]]-SamplingData[[#Totals],[Candidate 7]]), 0)</f>
        <v>0</v>
      </c>
      <c r="W609" s="99">
        <f>IF(AND(SamplingData[[#This Row],[Total]]&lt;&gt; 0, NOT(ISBLANK(SamplingData[[#This Row],[Candidate 8]]))),(SamplingData[[#This Row],[Total]]+SamplingData[[#This Row],[Winning Candidate]]-SamplingData[[#This Row],[Candidate 8]])/(SamplingData[[#Totals],[Winning Candidate]]-SamplingData[[#Totals],[Candidate 8]]), 0)</f>
        <v>0</v>
      </c>
      <c r="X6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9" s="99">
        <f>MAX(SamplingData[[#This Row],[Error Bound (up) - Max. possible relative overstatement - Losing Candidate]:[Error Bound (up) - Max. possible relative overstatement - Candidate 12]])</f>
        <v>1.3537599728399253E-2</v>
      </c>
      <c r="AC609" s="99">
        <f>IF(SamplingData[[#This Row],[Max Error Bound (up)]] = 0,0,SamplingData[[#This Row],[Max Error Bound (up)]]/SamplingData[[#Totals],[Max Error Bound (up)]])</f>
        <v>7.2481550150870779E-4</v>
      </c>
      <c r="AD609" s="103">
        <f>SUM($AC$5:AC609)</f>
        <v>0.50419665903224709</v>
      </c>
      <c r="AE609" s="99" t="str" cm="1">
        <f t="array" ref="AE609">IF(SamplingData[[#This Row],[up/U Selection Probability]] = 0, "Zero", TEXT(SamplingData[[#This Row],[Lower Range]], REPT("0",LEN('General Info'!$B$42))) &amp; " - " &amp; TEXT(SamplingData[[#This Row],[Upper Range]], REPT("0",LEN('General Info'!$B$42))))</f>
        <v>503472 - 504196</v>
      </c>
      <c r="AF609" s="99">
        <f>SamplingData[[#This Row],[Upper Range]]-SamplingData[[#This Row],[Span]]</f>
        <v>503471.84353073838</v>
      </c>
      <c r="AG609" s="99">
        <f>IF(ISNUMBER('General Info'!$B$42), ((SamplingData[[#This Row],[up/U Selection Probability]]) * 'General Info'!$B$44) - 1, 0)</f>
        <v>723.81550150870783</v>
      </c>
      <c r="AH609" s="99">
        <f>IF(ISNUMBER('General Info'!$B$42), (SamplingData[[#This Row],[Running (cumulative) sum]] * ('General Info'!$B$42 -'General Info'!$B$43 + 1)) + 'General Info'!$B$43 - 1, 0)</f>
        <v>504195.65903224709</v>
      </c>
      <c r="AI609" s="99" t="str">
        <f>IF(ISERROR(MATCH(SamplingData[[#This Row],[Batch by Type (p)]],SelectedPrecincts[Batch Name], 0)), "", INDEX(SelectedPrecincts[Draw], MATCH(SamplingData[[#This Row],[Batch by Type (p)]],SelectedPrecincts[Batch Name], 0)))</f>
        <v/>
      </c>
      <c r="AJ609" s="100">
        <f>IF(COUNTIF(SelectedPrecincts[Batch Name],SamplingData[[#This Row],[Batch by Type (p)]]) &lt;&gt; 0, COUNTIF(SelectedPrecincts[Batch Name],SamplingData[[#This Row],[Batch by Type (p)]]), 0)</f>
        <v>0</v>
      </c>
    </row>
    <row r="610" spans="1:36" ht="15" customHeight="1" x14ac:dyDescent="0.35">
      <c r="A610" s="97" t="s">
        <v>823</v>
      </c>
      <c r="B610" s="97">
        <v>212</v>
      </c>
      <c r="C610" s="97">
        <v>218</v>
      </c>
      <c r="D610" s="92"/>
      <c r="E610" s="92"/>
      <c r="F610" s="92"/>
      <c r="G610" s="96"/>
      <c r="H610" s="96"/>
      <c r="I610" s="92"/>
      <c r="J610" s="92"/>
      <c r="K610" s="92"/>
      <c r="L610" s="92"/>
      <c r="M610" s="92"/>
      <c r="N610" s="97">
        <v>1</v>
      </c>
      <c r="O610" s="97">
        <v>36</v>
      </c>
      <c r="P610" s="98">
        <f>SUM(SamplingData[[#This Row],[Winning Candidate]:[Under Votes]])</f>
        <v>467</v>
      </c>
      <c r="Q610" s="99">
        <f>IF(AND(SamplingData[[#This Row],[Total]]&lt;&gt; 0, NOT(ISBLANK(SamplingData[[#This Row],[Losing Candidate]]))),(SamplingData[[#This Row],[Total]]+SamplingData[[#This Row],[Winning Candidate]]-SamplingData[[#This Row],[Losing Candidate]])/(SamplingData[[#Totals],[Winning Candidate]]-SamplingData[[#Totals],[Losing Candidate]]), 0)</f>
        <v>1.9563741300288574E-2</v>
      </c>
      <c r="R610" s="99">
        <f>IF(AND(SamplingData[[#This Row],[Total]]&lt;&gt; 0, NOT(ISBLANK(SamplingData[[#This Row],[Candidate 3]]))),(SamplingData[[#This Row],[Total]]+SamplingData[[#This Row],[Winning Candidate]]-SamplingData[[#This Row],[Candidate 3]])/(SamplingData[[#Totals],[Winning Candidate]]-SamplingData[[#Totals],[Candidate 3]]), 0)</f>
        <v>0</v>
      </c>
      <c r="S610" s="99">
        <f>IF(AND(SamplingData[[#This Row],[Total]]&lt;&gt; 0, NOT(ISBLANK(SamplingData[[#This Row],[Candidate 4]]))),(SamplingData[[#This Row],[Total]]+SamplingData[[#This Row],[Winning Candidate]]-SamplingData[[#This Row],[Candidate 4]])/(SamplingData[[#Totals],[Winning Candidate]]-SamplingData[[#Totals],[Candidate 4]]), 0)</f>
        <v>0</v>
      </c>
      <c r="T610" s="99">
        <f>IF(AND(SamplingData[[#This Row],[Total]]&lt;&gt; 0, NOT(ISBLANK(SamplingData[[#This Row],[Candidate 5]]))),(SamplingData[[#This Row],[Total]]+SamplingData[[#This Row],[Winning Candidate]]-SamplingData[[#This Row],[Candidate 5]])/(SamplingData[[#Totals],[Winning Candidate]]-SamplingData[[#Totals],[Candidate 5]]), 0)</f>
        <v>0</v>
      </c>
      <c r="U610" s="99">
        <f>IF(AND(SamplingData[[#This Row],[Total]]&lt;&gt; 0, NOT(ISBLANK(SamplingData[[#This Row],[Candidate 6]]))),(SamplingData[[#This Row],[Total]]+SamplingData[[#This Row],[Losing Candidate]]-SamplingData[[#This Row],[Candidate 6]])/(SamplingData[[#Totals],[Winning Candidate]]-SamplingData[[#Totals],[Candidate 6]]), 0)</f>
        <v>0</v>
      </c>
      <c r="V610" s="99">
        <f>IF(AND(SamplingData[[#This Row],[Total]]&lt;&gt; 0, NOT(ISBLANK(SamplingData[[#This Row],[Candidate 7]]))),(SamplingData[[#This Row],[Total]]+SamplingData[[#This Row],[Winning Candidate]]-SamplingData[[#This Row],[Candidate 7]])/(SamplingData[[#Totals],[Winning Candidate]]-SamplingData[[#Totals],[Candidate 7]]), 0)</f>
        <v>0</v>
      </c>
      <c r="W610" s="99">
        <f>IF(AND(SamplingData[[#This Row],[Total]]&lt;&gt; 0, NOT(ISBLANK(SamplingData[[#This Row],[Candidate 8]]))),(SamplingData[[#This Row],[Total]]+SamplingData[[#This Row],[Winning Candidate]]-SamplingData[[#This Row],[Candidate 8]])/(SamplingData[[#Totals],[Winning Candidate]]-SamplingData[[#Totals],[Candidate 8]]), 0)</f>
        <v>0</v>
      </c>
      <c r="X6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0" s="99">
        <f>MAX(SamplingData[[#This Row],[Error Bound (up) - Max. possible relative overstatement - Losing Candidate]:[Error Bound (up) - Max. possible relative overstatement - Candidate 12]])</f>
        <v>1.9563741300288574E-2</v>
      </c>
      <c r="AC610" s="99">
        <f>IF(SamplingData[[#This Row],[Max Error Bound (up)]] = 0,0,SamplingData[[#This Row],[Max Error Bound (up)]]/SamplingData[[#Totals],[Max Error Bound (up)]])</f>
        <v>1.0474606463809226E-3</v>
      </c>
      <c r="AD610" s="103">
        <f>SUM($AC$5:AC610)</f>
        <v>0.50524411967862803</v>
      </c>
      <c r="AE610" s="99" t="str" cm="1">
        <f t="array" ref="AE610">IF(SamplingData[[#This Row],[up/U Selection Probability]] = 0, "Zero", TEXT(SamplingData[[#This Row],[Lower Range]], REPT("0",LEN('General Info'!$B$42))) &amp; " - " &amp; TEXT(SamplingData[[#This Row],[Upper Range]], REPT("0",LEN('General Info'!$B$42))))</f>
        <v>504197 - 505243</v>
      </c>
      <c r="AF610" s="99">
        <f>SamplingData[[#This Row],[Upper Range]]-SamplingData[[#This Row],[Span]]</f>
        <v>504196.65903224715</v>
      </c>
      <c r="AG610" s="99">
        <f>IF(ISNUMBER('General Info'!$B$42), ((SamplingData[[#This Row],[up/U Selection Probability]]) * 'General Info'!$B$44) - 1, 0)</f>
        <v>1046.4606463809225</v>
      </c>
      <c r="AH610" s="99">
        <f>IF(ISNUMBER('General Info'!$B$42), (SamplingData[[#This Row],[Running (cumulative) sum]] * ('General Info'!$B$42 -'General Info'!$B$43 + 1)) + 'General Info'!$B$43 - 1, 0)</f>
        <v>505243.11967862805</v>
      </c>
      <c r="AI610" s="99" t="str">
        <f>IF(ISERROR(MATCH(SamplingData[[#This Row],[Batch by Type (p)]],SelectedPrecincts[Batch Name], 0)), "", INDEX(SelectedPrecincts[Draw], MATCH(SamplingData[[#This Row],[Batch by Type (p)]],SelectedPrecincts[Batch Name], 0)))</f>
        <v/>
      </c>
      <c r="AJ610" s="100">
        <f>IF(COUNTIF(SelectedPrecincts[Batch Name],SamplingData[[#This Row],[Batch by Type (p)]]) &lt;&gt; 0, COUNTIF(SelectedPrecincts[Batch Name],SamplingData[[#This Row],[Batch by Type (p)]]), 0)</f>
        <v>0</v>
      </c>
    </row>
    <row r="611" spans="1:36" ht="15" customHeight="1" x14ac:dyDescent="0.35">
      <c r="A611" s="97" t="s">
        <v>824</v>
      </c>
      <c r="B611" s="97">
        <v>222</v>
      </c>
      <c r="C611" s="97">
        <v>48</v>
      </c>
      <c r="D611" s="92"/>
      <c r="E611" s="92"/>
      <c r="F611" s="92"/>
      <c r="G611" s="96"/>
      <c r="H611" s="96"/>
      <c r="I611" s="92"/>
      <c r="J611" s="92"/>
      <c r="K611" s="92"/>
      <c r="L611" s="92"/>
      <c r="M611" s="92"/>
      <c r="N611" s="97">
        <v>0</v>
      </c>
      <c r="O611" s="97">
        <v>26</v>
      </c>
      <c r="P611" s="98">
        <f>SUM(SamplingData[[#This Row],[Winning Candidate]:[Under Votes]])</f>
        <v>296</v>
      </c>
      <c r="Q611" s="99">
        <f>IF(AND(SamplingData[[#This Row],[Total]]&lt;&gt; 0, NOT(ISBLANK(SamplingData[[#This Row],[Losing Candidate]]))),(SamplingData[[#This Row],[Total]]+SamplingData[[#This Row],[Winning Candidate]]-SamplingData[[#This Row],[Losing Candidate]])/(SamplingData[[#Totals],[Winning Candidate]]-SamplingData[[#Totals],[Losing Candidate]]), 0)</f>
        <v>1.994567985061959E-2</v>
      </c>
      <c r="R611" s="99">
        <f>IF(AND(SamplingData[[#This Row],[Total]]&lt;&gt; 0, NOT(ISBLANK(SamplingData[[#This Row],[Candidate 3]]))),(SamplingData[[#This Row],[Total]]+SamplingData[[#This Row],[Winning Candidate]]-SamplingData[[#This Row],[Candidate 3]])/(SamplingData[[#Totals],[Winning Candidate]]-SamplingData[[#Totals],[Candidate 3]]), 0)</f>
        <v>0</v>
      </c>
      <c r="S611" s="99">
        <f>IF(AND(SamplingData[[#This Row],[Total]]&lt;&gt; 0, NOT(ISBLANK(SamplingData[[#This Row],[Candidate 4]]))),(SamplingData[[#This Row],[Total]]+SamplingData[[#This Row],[Winning Candidate]]-SamplingData[[#This Row],[Candidate 4]])/(SamplingData[[#Totals],[Winning Candidate]]-SamplingData[[#Totals],[Candidate 4]]), 0)</f>
        <v>0</v>
      </c>
      <c r="T611" s="99">
        <f>IF(AND(SamplingData[[#This Row],[Total]]&lt;&gt; 0, NOT(ISBLANK(SamplingData[[#This Row],[Candidate 5]]))),(SamplingData[[#This Row],[Total]]+SamplingData[[#This Row],[Winning Candidate]]-SamplingData[[#This Row],[Candidate 5]])/(SamplingData[[#Totals],[Winning Candidate]]-SamplingData[[#Totals],[Candidate 5]]), 0)</f>
        <v>0</v>
      </c>
      <c r="U611" s="99">
        <f>IF(AND(SamplingData[[#This Row],[Total]]&lt;&gt; 0, NOT(ISBLANK(SamplingData[[#This Row],[Candidate 6]]))),(SamplingData[[#This Row],[Total]]+SamplingData[[#This Row],[Losing Candidate]]-SamplingData[[#This Row],[Candidate 6]])/(SamplingData[[#Totals],[Winning Candidate]]-SamplingData[[#Totals],[Candidate 6]]), 0)</f>
        <v>0</v>
      </c>
      <c r="V611" s="99">
        <f>IF(AND(SamplingData[[#This Row],[Total]]&lt;&gt; 0, NOT(ISBLANK(SamplingData[[#This Row],[Candidate 7]]))),(SamplingData[[#This Row],[Total]]+SamplingData[[#This Row],[Winning Candidate]]-SamplingData[[#This Row],[Candidate 7]])/(SamplingData[[#Totals],[Winning Candidate]]-SamplingData[[#Totals],[Candidate 7]]), 0)</f>
        <v>0</v>
      </c>
      <c r="W611" s="99">
        <f>IF(AND(SamplingData[[#This Row],[Total]]&lt;&gt; 0, NOT(ISBLANK(SamplingData[[#This Row],[Candidate 8]]))),(SamplingData[[#This Row],[Total]]+SamplingData[[#This Row],[Winning Candidate]]-SamplingData[[#This Row],[Candidate 8]])/(SamplingData[[#Totals],[Winning Candidate]]-SamplingData[[#Totals],[Candidate 8]]), 0)</f>
        <v>0</v>
      </c>
      <c r="X6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1" s="99">
        <f>MAX(SamplingData[[#This Row],[Error Bound (up) - Max. possible relative overstatement - Losing Candidate]:[Error Bound (up) - Max. possible relative overstatement - Candidate 12]])</f>
        <v>1.994567985061959E-2</v>
      </c>
      <c r="AC611" s="99">
        <f>IF(SamplingData[[#This Row],[Max Error Bound (up)]] = 0,0,SamplingData[[#This Row],[Max Error Bound (up)]]/SamplingData[[#Totals],[Max Error Bound (up)]])</f>
        <v>1.0679099865488798E-3</v>
      </c>
      <c r="AD611" s="103">
        <f>SUM($AC$5:AC611)</f>
        <v>0.50631202966517697</v>
      </c>
      <c r="AE611" s="99" t="str" cm="1">
        <f t="array" ref="AE611">IF(SamplingData[[#This Row],[up/U Selection Probability]] = 0, "Zero", TEXT(SamplingData[[#This Row],[Lower Range]], REPT("0",LEN('General Info'!$B$42))) &amp; " - " &amp; TEXT(SamplingData[[#This Row],[Upper Range]], REPT("0",LEN('General Info'!$B$42))))</f>
        <v>505244 - 506311</v>
      </c>
      <c r="AF611" s="99">
        <f>SamplingData[[#This Row],[Upper Range]]-SamplingData[[#This Row],[Span]]</f>
        <v>505244.11967862811</v>
      </c>
      <c r="AG611" s="99">
        <f>IF(ISNUMBER('General Info'!$B$42), ((SamplingData[[#This Row],[up/U Selection Probability]]) * 'General Info'!$B$44) - 1, 0)</f>
        <v>1066.9099865488799</v>
      </c>
      <c r="AH611" s="99">
        <f>IF(ISNUMBER('General Info'!$B$42), (SamplingData[[#This Row],[Running (cumulative) sum]] * ('General Info'!$B$42 -'General Info'!$B$43 + 1)) + 'General Info'!$B$43 - 1, 0)</f>
        <v>506311.02966517699</v>
      </c>
      <c r="AI611" s="99" t="str">
        <f>IF(ISERROR(MATCH(SamplingData[[#This Row],[Batch by Type (p)]],SelectedPrecincts[Batch Name], 0)), "", INDEX(SelectedPrecincts[Draw], MATCH(SamplingData[[#This Row],[Batch by Type (p)]],SelectedPrecincts[Batch Name], 0)))</f>
        <v/>
      </c>
      <c r="AJ611" s="100">
        <f>IF(COUNTIF(SelectedPrecincts[Batch Name],SamplingData[[#This Row],[Batch by Type (p)]]) &lt;&gt; 0, COUNTIF(SelectedPrecincts[Batch Name],SamplingData[[#This Row],[Batch by Type (p)]]), 0)</f>
        <v>0</v>
      </c>
    </row>
    <row r="612" spans="1:36" ht="15" customHeight="1" x14ac:dyDescent="0.35">
      <c r="A612" s="97" t="s">
        <v>825</v>
      </c>
      <c r="B612" s="97">
        <v>200</v>
      </c>
      <c r="C612" s="97">
        <v>239</v>
      </c>
      <c r="D612" s="92"/>
      <c r="E612" s="92"/>
      <c r="F612" s="92"/>
      <c r="G612" s="96"/>
      <c r="H612" s="96"/>
      <c r="I612" s="92"/>
      <c r="J612" s="92"/>
      <c r="K612" s="92"/>
      <c r="L612" s="92"/>
      <c r="M612" s="92"/>
      <c r="N612" s="97">
        <v>0</v>
      </c>
      <c r="O612" s="97">
        <v>18</v>
      </c>
      <c r="P612" s="98">
        <f>SUM(SamplingData[[#This Row],[Winning Candidate]:[Under Votes]])</f>
        <v>457</v>
      </c>
      <c r="Q612" s="99">
        <f>IF(AND(SamplingData[[#This Row],[Total]]&lt;&gt; 0, NOT(ISBLANK(SamplingData[[#This Row],[Losing Candidate]]))),(SamplingData[[#This Row],[Total]]+SamplingData[[#This Row],[Winning Candidate]]-SamplingData[[#This Row],[Losing Candidate]])/(SamplingData[[#Totals],[Winning Candidate]]-SamplingData[[#Totals],[Losing Candidate]]), 0)</f>
        <v>1.7738923782040401E-2</v>
      </c>
      <c r="R612" s="99">
        <f>IF(AND(SamplingData[[#This Row],[Total]]&lt;&gt; 0, NOT(ISBLANK(SamplingData[[#This Row],[Candidate 3]]))),(SamplingData[[#This Row],[Total]]+SamplingData[[#This Row],[Winning Candidate]]-SamplingData[[#This Row],[Candidate 3]])/(SamplingData[[#Totals],[Winning Candidate]]-SamplingData[[#Totals],[Candidate 3]]), 0)</f>
        <v>0</v>
      </c>
      <c r="S612" s="99">
        <f>IF(AND(SamplingData[[#This Row],[Total]]&lt;&gt; 0, NOT(ISBLANK(SamplingData[[#This Row],[Candidate 4]]))),(SamplingData[[#This Row],[Total]]+SamplingData[[#This Row],[Winning Candidate]]-SamplingData[[#This Row],[Candidate 4]])/(SamplingData[[#Totals],[Winning Candidate]]-SamplingData[[#Totals],[Candidate 4]]), 0)</f>
        <v>0</v>
      </c>
      <c r="T612" s="99">
        <f>IF(AND(SamplingData[[#This Row],[Total]]&lt;&gt; 0, NOT(ISBLANK(SamplingData[[#This Row],[Candidate 5]]))),(SamplingData[[#This Row],[Total]]+SamplingData[[#This Row],[Winning Candidate]]-SamplingData[[#This Row],[Candidate 5]])/(SamplingData[[#Totals],[Winning Candidate]]-SamplingData[[#Totals],[Candidate 5]]), 0)</f>
        <v>0</v>
      </c>
      <c r="U612" s="99">
        <f>IF(AND(SamplingData[[#This Row],[Total]]&lt;&gt; 0, NOT(ISBLANK(SamplingData[[#This Row],[Candidate 6]]))),(SamplingData[[#This Row],[Total]]+SamplingData[[#This Row],[Losing Candidate]]-SamplingData[[#This Row],[Candidate 6]])/(SamplingData[[#Totals],[Winning Candidate]]-SamplingData[[#Totals],[Candidate 6]]), 0)</f>
        <v>0</v>
      </c>
      <c r="V612" s="99">
        <f>IF(AND(SamplingData[[#This Row],[Total]]&lt;&gt; 0, NOT(ISBLANK(SamplingData[[#This Row],[Candidate 7]]))),(SamplingData[[#This Row],[Total]]+SamplingData[[#This Row],[Winning Candidate]]-SamplingData[[#This Row],[Candidate 7]])/(SamplingData[[#Totals],[Winning Candidate]]-SamplingData[[#Totals],[Candidate 7]]), 0)</f>
        <v>0</v>
      </c>
      <c r="W612" s="99">
        <f>IF(AND(SamplingData[[#This Row],[Total]]&lt;&gt; 0, NOT(ISBLANK(SamplingData[[#This Row],[Candidate 8]]))),(SamplingData[[#This Row],[Total]]+SamplingData[[#This Row],[Winning Candidate]]-SamplingData[[#This Row],[Candidate 8]])/(SamplingData[[#Totals],[Winning Candidate]]-SamplingData[[#Totals],[Candidate 8]]), 0)</f>
        <v>0</v>
      </c>
      <c r="X6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2" s="99">
        <f>MAX(SamplingData[[#This Row],[Error Bound (up) - Max. possible relative overstatement - Losing Candidate]:[Error Bound (up) - Max. possible relative overstatement - Candidate 12]])</f>
        <v>1.7738923782040401E-2</v>
      </c>
      <c r="AC612" s="99">
        <f>IF(SamplingData[[#This Row],[Max Error Bound (up)]] = 0,0,SamplingData[[#This Row],[Max Error Bound (up)]]/SamplingData[[#Totals],[Max Error Bound (up)]])</f>
        <v>9.4975824335623781E-4</v>
      </c>
      <c r="AD612" s="103">
        <f>SUM($AC$5:AC612)</f>
        <v>0.50726178790853316</v>
      </c>
      <c r="AE612" s="99" t="str" cm="1">
        <f t="array" ref="AE612">IF(SamplingData[[#This Row],[up/U Selection Probability]] = 0, "Zero", TEXT(SamplingData[[#This Row],[Lower Range]], REPT("0",LEN('General Info'!$B$42))) &amp; " - " &amp; TEXT(SamplingData[[#This Row],[Upper Range]], REPT("0",LEN('General Info'!$B$42))))</f>
        <v>506312 - 507261</v>
      </c>
      <c r="AF612" s="99">
        <f>SamplingData[[#This Row],[Upper Range]]-SamplingData[[#This Row],[Span]]</f>
        <v>506312.02966517693</v>
      </c>
      <c r="AG612" s="99">
        <f>IF(ISNUMBER('General Info'!$B$42), ((SamplingData[[#This Row],[up/U Selection Probability]]) * 'General Info'!$B$44) - 1, 0)</f>
        <v>948.75824335623781</v>
      </c>
      <c r="AH612" s="99">
        <f>IF(ISNUMBER('General Info'!$B$42), (SamplingData[[#This Row],[Running (cumulative) sum]] * ('General Info'!$B$42 -'General Info'!$B$43 + 1)) + 'General Info'!$B$43 - 1, 0)</f>
        <v>507260.78790853318</v>
      </c>
      <c r="AI612" s="99" t="str">
        <f>IF(ISERROR(MATCH(SamplingData[[#This Row],[Batch by Type (p)]],SelectedPrecincts[Batch Name], 0)), "", INDEX(SelectedPrecincts[Draw], MATCH(SamplingData[[#This Row],[Batch by Type (p)]],SelectedPrecincts[Batch Name], 0)))</f>
        <v/>
      </c>
      <c r="AJ612" s="100">
        <f>IF(COUNTIF(SelectedPrecincts[Batch Name],SamplingData[[#This Row],[Batch by Type (p)]]) &lt;&gt; 0, COUNTIF(SelectedPrecincts[Batch Name],SamplingData[[#This Row],[Batch by Type (p)]]), 0)</f>
        <v>0</v>
      </c>
    </row>
    <row r="613" spans="1:36" ht="15" customHeight="1" x14ac:dyDescent="0.35">
      <c r="A613" s="97" t="s">
        <v>826</v>
      </c>
      <c r="B613" s="97">
        <v>428</v>
      </c>
      <c r="C613" s="97">
        <v>150</v>
      </c>
      <c r="D613" s="92"/>
      <c r="E613" s="92"/>
      <c r="F613" s="92"/>
      <c r="G613" s="96"/>
      <c r="H613" s="96"/>
      <c r="I613" s="92"/>
      <c r="J613" s="92"/>
      <c r="K613" s="92"/>
      <c r="L613" s="92"/>
      <c r="M613" s="92"/>
      <c r="N613" s="97">
        <v>0</v>
      </c>
      <c r="O613" s="97">
        <v>60</v>
      </c>
      <c r="P613" s="98">
        <f>SUM(SamplingData[[#This Row],[Winning Candidate]:[Under Votes]])</f>
        <v>638</v>
      </c>
      <c r="Q613" s="99">
        <f>IF(AND(SamplingData[[#This Row],[Total]]&lt;&gt; 0, NOT(ISBLANK(SamplingData[[#This Row],[Losing Candidate]]))),(SamplingData[[#This Row],[Total]]+SamplingData[[#This Row],[Winning Candidate]]-SamplingData[[#This Row],[Losing Candidate]])/(SamplingData[[#Totals],[Winning Candidate]]-SamplingData[[#Totals],[Losing Candidate]]), 0)</f>
        <v>3.8872856900356474E-2</v>
      </c>
      <c r="R613" s="99">
        <f>IF(AND(SamplingData[[#This Row],[Total]]&lt;&gt; 0, NOT(ISBLANK(SamplingData[[#This Row],[Candidate 3]]))),(SamplingData[[#This Row],[Total]]+SamplingData[[#This Row],[Winning Candidate]]-SamplingData[[#This Row],[Candidate 3]])/(SamplingData[[#Totals],[Winning Candidate]]-SamplingData[[#Totals],[Candidate 3]]), 0)</f>
        <v>0</v>
      </c>
      <c r="S613" s="99">
        <f>IF(AND(SamplingData[[#This Row],[Total]]&lt;&gt; 0, NOT(ISBLANK(SamplingData[[#This Row],[Candidate 4]]))),(SamplingData[[#This Row],[Total]]+SamplingData[[#This Row],[Winning Candidate]]-SamplingData[[#This Row],[Candidate 4]])/(SamplingData[[#Totals],[Winning Candidate]]-SamplingData[[#Totals],[Candidate 4]]), 0)</f>
        <v>0</v>
      </c>
      <c r="T613" s="99">
        <f>IF(AND(SamplingData[[#This Row],[Total]]&lt;&gt; 0, NOT(ISBLANK(SamplingData[[#This Row],[Candidate 5]]))),(SamplingData[[#This Row],[Total]]+SamplingData[[#This Row],[Winning Candidate]]-SamplingData[[#This Row],[Candidate 5]])/(SamplingData[[#Totals],[Winning Candidate]]-SamplingData[[#Totals],[Candidate 5]]), 0)</f>
        <v>0</v>
      </c>
      <c r="U613" s="99">
        <f>IF(AND(SamplingData[[#This Row],[Total]]&lt;&gt; 0, NOT(ISBLANK(SamplingData[[#This Row],[Candidate 6]]))),(SamplingData[[#This Row],[Total]]+SamplingData[[#This Row],[Losing Candidate]]-SamplingData[[#This Row],[Candidate 6]])/(SamplingData[[#Totals],[Winning Candidate]]-SamplingData[[#Totals],[Candidate 6]]), 0)</f>
        <v>0</v>
      </c>
      <c r="V613" s="99">
        <f>IF(AND(SamplingData[[#This Row],[Total]]&lt;&gt; 0, NOT(ISBLANK(SamplingData[[#This Row],[Candidate 7]]))),(SamplingData[[#This Row],[Total]]+SamplingData[[#This Row],[Winning Candidate]]-SamplingData[[#This Row],[Candidate 7]])/(SamplingData[[#Totals],[Winning Candidate]]-SamplingData[[#Totals],[Candidate 7]]), 0)</f>
        <v>0</v>
      </c>
      <c r="W613" s="99">
        <f>IF(AND(SamplingData[[#This Row],[Total]]&lt;&gt; 0, NOT(ISBLANK(SamplingData[[#This Row],[Candidate 8]]))),(SamplingData[[#This Row],[Total]]+SamplingData[[#This Row],[Winning Candidate]]-SamplingData[[#This Row],[Candidate 8]])/(SamplingData[[#Totals],[Winning Candidate]]-SamplingData[[#Totals],[Candidate 8]]), 0)</f>
        <v>0</v>
      </c>
      <c r="X6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3" s="99">
        <f>MAX(SamplingData[[#This Row],[Error Bound (up) - Max. possible relative overstatement - Losing Candidate]:[Error Bound (up) - Max. possible relative overstatement - Candidate 12]])</f>
        <v>3.8872856900356474E-2</v>
      </c>
      <c r="AC613" s="99">
        <f>IF(SamplingData[[#This Row],[Max Error Bound (up)]] = 0,0,SamplingData[[#This Row],[Max Error Bound (up)]]/SamplingData[[#Totals],[Max Error Bound (up)]])</f>
        <v>2.0812883993165401E-3</v>
      </c>
      <c r="AD613" s="103">
        <f>SUM($AC$5:AC613)</f>
        <v>0.5093430763078497</v>
      </c>
      <c r="AE613" s="99" t="str" cm="1">
        <f t="array" ref="AE613">IF(SamplingData[[#This Row],[up/U Selection Probability]] = 0, "Zero", TEXT(SamplingData[[#This Row],[Lower Range]], REPT("0",LEN('General Info'!$B$42))) &amp; " - " &amp; TEXT(SamplingData[[#This Row],[Upper Range]], REPT("0",LEN('General Info'!$B$42))))</f>
        <v>507262 - 509342</v>
      </c>
      <c r="AF613" s="99">
        <f>SamplingData[[#This Row],[Upper Range]]-SamplingData[[#This Row],[Span]]</f>
        <v>507261.78790853312</v>
      </c>
      <c r="AG613" s="99">
        <f>IF(ISNUMBER('General Info'!$B$42), ((SamplingData[[#This Row],[up/U Selection Probability]]) * 'General Info'!$B$44) - 1, 0)</f>
        <v>2080.2883993165401</v>
      </c>
      <c r="AH613" s="99">
        <f>IF(ISNUMBER('General Info'!$B$42), (SamplingData[[#This Row],[Running (cumulative) sum]] * ('General Info'!$B$42 -'General Info'!$B$43 + 1)) + 'General Info'!$B$43 - 1, 0)</f>
        <v>509342.07630784967</v>
      </c>
      <c r="AI613" s="99" t="str">
        <f>IF(ISERROR(MATCH(SamplingData[[#This Row],[Batch by Type (p)]],SelectedPrecincts[Batch Name], 0)), "", INDEX(SelectedPrecincts[Draw], MATCH(SamplingData[[#This Row],[Batch by Type (p)]],SelectedPrecincts[Batch Name], 0)))</f>
        <v/>
      </c>
      <c r="AJ613" s="100">
        <f>IF(COUNTIF(SelectedPrecincts[Batch Name],SamplingData[[#This Row],[Batch by Type (p)]]) &lt;&gt; 0, COUNTIF(SelectedPrecincts[Batch Name],SamplingData[[#This Row],[Batch by Type (p)]]), 0)</f>
        <v>0</v>
      </c>
    </row>
    <row r="614" spans="1:36" ht="15" customHeight="1" x14ac:dyDescent="0.35">
      <c r="A614" s="97" t="s">
        <v>827</v>
      </c>
      <c r="B614" s="97">
        <v>258</v>
      </c>
      <c r="C614" s="97">
        <v>136</v>
      </c>
      <c r="D614" s="92"/>
      <c r="E614" s="92"/>
      <c r="F614" s="92"/>
      <c r="G614" s="96"/>
      <c r="H614" s="96"/>
      <c r="I614" s="92"/>
      <c r="J614" s="92"/>
      <c r="K614" s="92"/>
      <c r="L614" s="92"/>
      <c r="M614" s="92"/>
      <c r="N614" s="97">
        <v>0</v>
      </c>
      <c r="O614" s="97">
        <v>29</v>
      </c>
      <c r="P614" s="98">
        <f>SUM(SamplingData[[#This Row],[Winning Candidate]:[Under Votes]])</f>
        <v>423</v>
      </c>
      <c r="Q614" s="99">
        <f>IF(AND(SamplingData[[#This Row],[Total]]&lt;&gt; 0, NOT(ISBLANK(SamplingData[[#This Row],[Losing Candidate]]))),(SamplingData[[#This Row],[Total]]+SamplingData[[#This Row],[Winning Candidate]]-SamplingData[[#This Row],[Losing Candidate]])/(SamplingData[[#Totals],[Winning Candidate]]-SamplingData[[#Totals],[Losing Candidate]]), 0)</f>
        <v>2.3128501103378035E-2</v>
      </c>
      <c r="R614" s="99">
        <f>IF(AND(SamplingData[[#This Row],[Total]]&lt;&gt; 0, NOT(ISBLANK(SamplingData[[#This Row],[Candidate 3]]))),(SamplingData[[#This Row],[Total]]+SamplingData[[#This Row],[Winning Candidate]]-SamplingData[[#This Row],[Candidate 3]])/(SamplingData[[#Totals],[Winning Candidate]]-SamplingData[[#Totals],[Candidate 3]]), 0)</f>
        <v>0</v>
      </c>
      <c r="S614" s="99">
        <f>IF(AND(SamplingData[[#This Row],[Total]]&lt;&gt; 0, NOT(ISBLANK(SamplingData[[#This Row],[Candidate 4]]))),(SamplingData[[#This Row],[Total]]+SamplingData[[#This Row],[Winning Candidate]]-SamplingData[[#This Row],[Candidate 4]])/(SamplingData[[#Totals],[Winning Candidate]]-SamplingData[[#Totals],[Candidate 4]]), 0)</f>
        <v>0</v>
      </c>
      <c r="T614" s="99">
        <f>IF(AND(SamplingData[[#This Row],[Total]]&lt;&gt; 0, NOT(ISBLANK(SamplingData[[#This Row],[Candidate 5]]))),(SamplingData[[#This Row],[Total]]+SamplingData[[#This Row],[Winning Candidate]]-SamplingData[[#This Row],[Candidate 5]])/(SamplingData[[#Totals],[Winning Candidate]]-SamplingData[[#Totals],[Candidate 5]]), 0)</f>
        <v>0</v>
      </c>
      <c r="U614" s="99">
        <f>IF(AND(SamplingData[[#This Row],[Total]]&lt;&gt; 0, NOT(ISBLANK(SamplingData[[#This Row],[Candidate 6]]))),(SamplingData[[#This Row],[Total]]+SamplingData[[#This Row],[Losing Candidate]]-SamplingData[[#This Row],[Candidate 6]])/(SamplingData[[#Totals],[Winning Candidate]]-SamplingData[[#Totals],[Candidate 6]]), 0)</f>
        <v>0</v>
      </c>
      <c r="V614" s="99">
        <f>IF(AND(SamplingData[[#This Row],[Total]]&lt;&gt; 0, NOT(ISBLANK(SamplingData[[#This Row],[Candidate 7]]))),(SamplingData[[#This Row],[Total]]+SamplingData[[#This Row],[Winning Candidate]]-SamplingData[[#This Row],[Candidate 7]])/(SamplingData[[#Totals],[Winning Candidate]]-SamplingData[[#Totals],[Candidate 7]]), 0)</f>
        <v>0</v>
      </c>
      <c r="W614" s="99">
        <f>IF(AND(SamplingData[[#This Row],[Total]]&lt;&gt; 0, NOT(ISBLANK(SamplingData[[#This Row],[Candidate 8]]))),(SamplingData[[#This Row],[Total]]+SamplingData[[#This Row],[Winning Candidate]]-SamplingData[[#This Row],[Candidate 8]])/(SamplingData[[#Totals],[Winning Candidate]]-SamplingData[[#Totals],[Candidate 8]]), 0)</f>
        <v>0</v>
      </c>
      <c r="X6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4" s="99">
        <f>MAX(SamplingData[[#This Row],[Error Bound (up) - Max. possible relative overstatement - Losing Candidate]:[Error Bound (up) - Max. possible relative overstatement - Candidate 12]])</f>
        <v>2.3128501103378035E-2</v>
      </c>
      <c r="AC614" s="99">
        <f>IF(SamplingData[[#This Row],[Max Error Bound (up)]] = 0,0,SamplingData[[#This Row],[Max Error Bound (up)]]/SamplingData[[#Totals],[Max Error Bound (up)]])</f>
        <v>1.2383211546151904E-3</v>
      </c>
      <c r="AD614" s="103">
        <f>SUM($AC$5:AC614)</f>
        <v>0.51058139746246489</v>
      </c>
      <c r="AE614" s="99" t="str" cm="1">
        <f t="array" ref="AE614">IF(SamplingData[[#This Row],[up/U Selection Probability]] = 0, "Zero", TEXT(SamplingData[[#This Row],[Lower Range]], REPT("0",LEN('General Info'!$B$42))) &amp; " - " &amp; TEXT(SamplingData[[#This Row],[Upper Range]], REPT("0",LEN('General Info'!$B$42))))</f>
        <v>509343 - 510580</v>
      </c>
      <c r="AF614" s="99">
        <f>SamplingData[[#This Row],[Upper Range]]-SamplingData[[#This Row],[Span]]</f>
        <v>509343.07630784967</v>
      </c>
      <c r="AG614" s="99">
        <f>IF(ISNUMBER('General Info'!$B$42), ((SamplingData[[#This Row],[up/U Selection Probability]]) * 'General Info'!$B$44) - 1, 0)</f>
        <v>1237.3211546151904</v>
      </c>
      <c r="AH614" s="99">
        <f>IF(ISNUMBER('General Info'!$B$42), (SamplingData[[#This Row],[Running (cumulative) sum]] * ('General Info'!$B$42 -'General Info'!$B$43 + 1)) + 'General Info'!$B$43 - 1, 0)</f>
        <v>510580.39746246487</v>
      </c>
      <c r="AI614" s="99" t="str">
        <f>IF(ISERROR(MATCH(SamplingData[[#This Row],[Batch by Type (p)]],SelectedPrecincts[Batch Name], 0)), "", INDEX(SelectedPrecincts[Draw], MATCH(SamplingData[[#This Row],[Batch by Type (p)]],SelectedPrecincts[Batch Name], 0)))</f>
        <v/>
      </c>
      <c r="AJ614" s="100">
        <f>IF(COUNTIF(SelectedPrecincts[Batch Name],SamplingData[[#This Row],[Batch by Type (p)]]) &lt;&gt; 0, COUNTIF(SelectedPrecincts[Batch Name],SamplingData[[#This Row],[Batch by Type (p)]]), 0)</f>
        <v>0</v>
      </c>
    </row>
    <row r="615" spans="1:36" ht="15" customHeight="1" x14ac:dyDescent="0.35">
      <c r="A615" s="97" t="s">
        <v>828</v>
      </c>
      <c r="B615" s="97">
        <v>400</v>
      </c>
      <c r="C615" s="97">
        <v>81</v>
      </c>
      <c r="D615" s="92"/>
      <c r="E615" s="92"/>
      <c r="F615" s="92"/>
      <c r="G615" s="96"/>
      <c r="H615" s="96"/>
      <c r="I615" s="92"/>
      <c r="J615" s="92"/>
      <c r="K615" s="92"/>
      <c r="L615" s="92"/>
      <c r="M615" s="92"/>
      <c r="N615" s="97">
        <v>0</v>
      </c>
      <c r="O615" s="97">
        <v>26</v>
      </c>
      <c r="P615" s="98">
        <f>SUM(SamplingData[[#This Row],[Winning Candidate]:[Under Votes]])</f>
        <v>507</v>
      </c>
      <c r="Q615" s="99">
        <f>IF(AND(SamplingData[[#This Row],[Total]]&lt;&gt; 0, NOT(ISBLANK(SamplingData[[#This Row],[Losing Candidate]]))),(SamplingData[[#This Row],[Total]]+SamplingData[[#This Row],[Winning Candidate]]-SamplingData[[#This Row],[Losing Candidate]])/(SamplingData[[#Totals],[Winning Candidate]]-SamplingData[[#Totals],[Losing Candidate]]), 0)</f>
        <v>3.5053471397046343E-2</v>
      </c>
      <c r="R615" s="99">
        <f>IF(AND(SamplingData[[#This Row],[Total]]&lt;&gt; 0, NOT(ISBLANK(SamplingData[[#This Row],[Candidate 3]]))),(SamplingData[[#This Row],[Total]]+SamplingData[[#This Row],[Winning Candidate]]-SamplingData[[#This Row],[Candidate 3]])/(SamplingData[[#Totals],[Winning Candidate]]-SamplingData[[#Totals],[Candidate 3]]), 0)</f>
        <v>0</v>
      </c>
      <c r="S615" s="99">
        <f>IF(AND(SamplingData[[#This Row],[Total]]&lt;&gt; 0, NOT(ISBLANK(SamplingData[[#This Row],[Candidate 4]]))),(SamplingData[[#This Row],[Total]]+SamplingData[[#This Row],[Winning Candidate]]-SamplingData[[#This Row],[Candidate 4]])/(SamplingData[[#Totals],[Winning Candidate]]-SamplingData[[#Totals],[Candidate 4]]), 0)</f>
        <v>0</v>
      </c>
      <c r="T615" s="99">
        <f>IF(AND(SamplingData[[#This Row],[Total]]&lt;&gt; 0, NOT(ISBLANK(SamplingData[[#This Row],[Candidate 5]]))),(SamplingData[[#This Row],[Total]]+SamplingData[[#This Row],[Winning Candidate]]-SamplingData[[#This Row],[Candidate 5]])/(SamplingData[[#Totals],[Winning Candidate]]-SamplingData[[#Totals],[Candidate 5]]), 0)</f>
        <v>0</v>
      </c>
      <c r="U615" s="99">
        <f>IF(AND(SamplingData[[#This Row],[Total]]&lt;&gt; 0, NOT(ISBLANK(SamplingData[[#This Row],[Candidate 6]]))),(SamplingData[[#This Row],[Total]]+SamplingData[[#This Row],[Losing Candidate]]-SamplingData[[#This Row],[Candidate 6]])/(SamplingData[[#Totals],[Winning Candidate]]-SamplingData[[#Totals],[Candidate 6]]), 0)</f>
        <v>0</v>
      </c>
      <c r="V615" s="99">
        <f>IF(AND(SamplingData[[#This Row],[Total]]&lt;&gt; 0, NOT(ISBLANK(SamplingData[[#This Row],[Candidate 7]]))),(SamplingData[[#This Row],[Total]]+SamplingData[[#This Row],[Winning Candidate]]-SamplingData[[#This Row],[Candidate 7]])/(SamplingData[[#Totals],[Winning Candidate]]-SamplingData[[#Totals],[Candidate 7]]), 0)</f>
        <v>0</v>
      </c>
      <c r="W615" s="99">
        <f>IF(AND(SamplingData[[#This Row],[Total]]&lt;&gt; 0, NOT(ISBLANK(SamplingData[[#This Row],[Candidate 8]]))),(SamplingData[[#This Row],[Total]]+SamplingData[[#This Row],[Winning Candidate]]-SamplingData[[#This Row],[Candidate 8]])/(SamplingData[[#Totals],[Winning Candidate]]-SamplingData[[#Totals],[Candidate 8]]), 0)</f>
        <v>0</v>
      </c>
      <c r="X6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5" s="99">
        <f>MAX(SamplingData[[#This Row],[Error Bound (up) - Max. possible relative overstatement - Losing Candidate]:[Error Bound (up) - Max. possible relative overstatement - Candidate 12]])</f>
        <v>3.5053471397046343E-2</v>
      </c>
      <c r="AC615" s="99">
        <f>IF(SamplingData[[#This Row],[Max Error Bound (up)]] = 0,0,SamplingData[[#This Row],[Max Error Bound (up)]]/SamplingData[[#Totals],[Max Error Bound (up)]])</f>
        <v>1.8767949976369676E-3</v>
      </c>
      <c r="AD615" s="103">
        <f>SUM($AC$5:AC615)</f>
        <v>0.51245819246010182</v>
      </c>
      <c r="AE615" s="99" t="str" cm="1">
        <f t="array" ref="AE615">IF(SamplingData[[#This Row],[up/U Selection Probability]] = 0, "Zero", TEXT(SamplingData[[#This Row],[Lower Range]], REPT("0",LEN('General Info'!$B$42))) &amp; " - " &amp; TEXT(SamplingData[[#This Row],[Upper Range]], REPT("0",LEN('General Info'!$B$42))))</f>
        <v>510581 - 512457</v>
      </c>
      <c r="AF615" s="99">
        <f>SamplingData[[#This Row],[Upper Range]]-SamplingData[[#This Row],[Span]]</f>
        <v>510581.39746246481</v>
      </c>
      <c r="AG615" s="99">
        <f>IF(ISNUMBER('General Info'!$B$42), ((SamplingData[[#This Row],[up/U Selection Probability]]) * 'General Info'!$B$44) - 1, 0)</f>
        <v>1875.7949976369675</v>
      </c>
      <c r="AH615" s="99">
        <f>IF(ISNUMBER('General Info'!$B$42), (SamplingData[[#This Row],[Running (cumulative) sum]] * ('General Info'!$B$42 -'General Info'!$B$43 + 1)) + 'General Info'!$B$43 - 1, 0)</f>
        <v>512457.1924601018</v>
      </c>
      <c r="AI615" s="99" t="str">
        <f>IF(ISERROR(MATCH(SamplingData[[#This Row],[Batch by Type (p)]],SelectedPrecincts[Batch Name], 0)), "", INDEX(SelectedPrecincts[Draw], MATCH(SamplingData[[#This Row],[Batch by Type (p)]],SelectedPrecincts[Batch Name], 0)))</f>
        <v/>
      </c>
      <c r="AJ615" s="100">
        <f>IF(COUNTIF(SelectedPrecincts[Batch Name],SamplingData[[#This Row],[Batch by Type (p)]]) &lt;&gt; 0, COUNTIF(SelectedPrecincts[Batch Name],SamplingData[[#This Row],[Batch by Type (p)]]), 0)</f>
        <v>0</v>
      </c>
    </row>
    <row r="616" spans="1:36" ht="15" customHeight="1" x14ac:dyDescent="0.35">
      <c r="A616" s="97" t="s">
        <v>829</v>
      </c>
      <c r="B616" s="97">
        <v>421</v>
      </c>
      <c r="C616" s="97">
        <v>83</v>
      </c>
      <c r="D616" s="92"/>
      <c r="E616" s="92"/>
      <c r="F616" s="92"/>
      <c r="G616" s="96"/>
      <c r="H616" s="96"/>
      <c r="I616" s="92"/>
      <c r="J616" s="92"/>
      <c r="K616" s="92"/>
      <c r="L616" s="92"/>
      <c r="M616" s="92"/>
      <c r="N616" s="97">
        <v>0</v>
      </c>
      <c r="O616" s="97">
        <v>40</v>
      </c>
      <c r="P616" s="98">
        <f>SUM(SamplingData[[#This Row],[Winning Candidate]:[Under Votes]])</f>
        <v>544</v>
      </c>
      <c r="Q616" s="99">
        <f>IF(AND(SamplingData[[#This Row],[Total]]&lt;&gt; 0, NOT(ISBLANK(SamplingData[[#This Row],[Losing Candidate]]))),(SamplingData[[#This Row],[Total]]+SamplingData[[#This Row],[Winning Candidate]]-SamplingData[[#This Row],[Losing Candidate]])/(SamplingData[[#Totals],[Winning Candidate]]-SamplingData[[#Totals],[Losing Candidate]]), 0)</f>
        <v>3.7429977932439316E-2</v>
      </c>
      <c r="R616" s="99">
        <f>IF(AND(SamplingData[[#This Row],[Total]]&lt;&gt; 0, NOT(ISBLANK(SamplingData[[#This Row],[Candidate 3]]))),(SamplingData[[#This Row],[Total]]+SamplingData[[#This Row],[Winning Candidate]]-SamplingData[[#This Row],[Candidate 3]])/(SamplingData[[#Totals],[Winning Candidate]]-SamplingData[[#Totals],[Candidate 3]]), 0)</f>
        <v>0</v>
      </c>
      <c r="S616" s="99">
        <f>IF(AND(SamplingData[[#This Row],[Total]]&lt;&gt; 0, NOT(ISBLANK(SamplingData[[#This Row],[Candidate 4]]))),(SamplingData[[#This Row],[Total]]+SamplingData[[#This Row],[Winning Candidate]]-SamplingData[[#This Row],[Candidate 4]])/(SamplingData[[#Totals],[Winning Candidate]]-SamplingData[[#Totals],[Candidate 4]]), 0)</f>
        <v>0</v>
      </c>
      <c r="T616" s="99">
        <f>IF(AND(SamplingData[[#This Row],[Total]]&lt;&gt; 0, NOT(ISBLANK(SamplingData[[#This Row],[Candidate 5]]))),(SamplingData[[#This Row],[Total]]+SamplingData[[#This Row],[Winning Candidate]]-SamplingData[[#This Row],[Candidate 5]])/(SamplingData[[#Totals],[Winning Candidate]]-SamplingData[[#Totals],[Candidate 5]]), 0)</f>
        <v>0</v>
      </c>
      <c r="U616" s="99">
        <f>IF(AND(SamplingData[[#This Row],[Total]]&lt;&gt; 0, NOT(ISBLANK(SamplingData[[#This Row],[Candidate 6]]))),(SamplingData[[#This Row],[Total]]+SamplingData[[#This Row],[Losing Candidate]]-SamplingData[[#This Row],[Candidate 6]])/(SamplingData[[#Totals],[Winning Candidate]]-SamplingData[[#Totals],[Candidate 6]]), 0)</f>
        <v>0</v>
      </c>
      <c r="V616" s="99">
        <f>IF(AND(SamplingData[[#This Row],[Total]]&lt;&gt; 0, NOT(ISBLANK(SamplingData[[#This Row],[Candidate 7]]))),(SamplingData[[#This Row],[Total]]+SamplingData[[#This Row],[Winning Candidate]]-SamplingData[[#This Row],[Candidate 7]])/(SamplingData[[#Totals],[Winning Candidate]]-SamplingData[[#Totals],[Candidate 7]]), 0)</f>
        <v>0</v>
      </c>
      <c r="W616" s="99">
        <f>IF(AND(SamplingData[[#This Row],[Total]]&lt;&gt; 0, NOT(ISBLANK(SamplingData[[#This Row],[Candidate 8]]))),(SamplingData[[#This Row],[Total]]+SamplingData[[#This Row],[Winning Candidate]]-SamplingData[[#This Row],[Candidate 8]])/(SamplingData[[#Totals],[Winning Candidate]]-SamplingData[[#Totals],[Candidate 8]]), 0)</f>
        <v>0</v>
      </c>
      <c r="X6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6" s="99">
        <f>MAX(SamplingData[[#This Row],[Error Bound (up) - Max. possible relative overstatement - Losing Candidate]:[Error Bound (up) - Max. possible relative overstatement - Candidate 12]])</f>
        <v>3.7429977932439316E-2</v>
      </c>
      <c r="AC616" s="99">
        <f>IF(SamplingData[[#This Row],[Max Error Bound (up)]] = 0,0,SamplingData[[#This Row],[Max Error Bound (up)]]/SamplingData[[#Totals],[Max Error Bound (up)]])</f>
        <v>2.0040353364598131E-3</v>
      </c>
      <c r="AD616" s="103">
        <f>SUM($AC$5:AC616)</f>
        <v>0.51446222779656159</v>
      </c>
      <c r="AE616" s="99" t="str" cm="1">
        <f t="array" ref="AE616">IF(SamplingData[[#This Row],[up/U Selection Probability]] = 0, "Zero", TEXT(SamplingData[[#This Row],[Lower Range]], REPT("0",LEN('General Info'!$B$42))) &amp; " - " &amp; TEXT(SamplingData[[#This Row],[Upper Range]], REPT("0",LEN('General Info'!$B$42))))</f>
        <v>512458 - 514461</v>
      </c>
      <c r="AF616" s="99">
        <f>SamplingData[[#This Row],[Upper Range]]-SamplingData[[#This Row],[Span]]</f>
        <v>512458.1924601018</v>
      </c>
      <c r="AG616" s="99">
        <f>IF(ISNUMBER('General Info'!$B$42), ((SamplingData[[#This Row],[up/U Selection Probability]]) * 'General Info'!$B$44) - 1, 0)</f>
        <v>2003.0353364598132</v>
      </c>
      <c r="AH616" s="99">
        <f>IF(ISNUMBER('General Info'!$B$42), (SamplingData[[#This Row],[Running (cumulative) sum]] * ('General Info'!$B$42 -'General Info'!$B$43 + 1)) + 'General Info'!$B$43 - 1, 0)</f>
        <v>514461.22779656161</v>
      </c>
      <c r="AI616" s="99" t="str">
        <f>IF(ISERROR(MATCH(SamplingData[[#This Row],[Batch by Type (p)]],SelectedPrecincts[Batch Name], 0)), "", INDEX(SelectedPrecincts[Draw], MATCH(SamplingData[[#This Row],[Batch by Type (p)]],SelectedPrecincts[Batch Name], 0)))</f>
        <v/>
      </c>
      <c r="AJ616" s="100">
        <f>IF(COUNTIF(SelectedPrecincts[Batch Name],SamplingData[[#This Row],[Batch by Type (p)]]) &lt;&gt; 0, COUNTIF(SelectedPrecincts[Batch Name],SamplingData[[#This Row],[Batch by Type (p)]]), 0)</f>
        <v>0</v>
      </c>
    </row>
    <row r="617" spans="1:36" ht="15" customHeight="1" x14ac:dyDescent="0.35">
      <c r="A617" s="97" t="s">
        <v>830</v>
      </c>
      <c r="B617" s="97">
        <v>287</v>
      </c>
      <c r="C617" s="97">
        <v>168</v>
      </c>
      <c r="D617" s="92"/>
      <c r="E617" s="92"/>
      <c r="F617" s="92"/>
      <c r="G617" s="96"/>
      <c r="H617" s="96"/>
      <c r="I617" s="92"/>
      <c r="J617" s="92"/>
      <c r="K617" s="92"/>
      <c r="L617" s="92"/>
      <c r="M617" s="92"/>
      <c r="N617" s="97">
        <v>0</v>
      </c>
      <c r="O617" s="97">
        <v>29</v>
      </c>
      <c r="P617" s="98">
        <f>SUM(SamplingData[[#This Row],[Winning Candidate]:[Under Votes]])</f>
        <v>484</v>
      </c>
      <c r="Q617" s="99">
        <f>IF(AND(SamplingData[[#This Row],[Total]]&lt;&gt; 0, NOT(ISBLANK(SamplingData[[#This Row],[Losing Candidate]]))),(SamplingData[[#This Row],[Total]]+SamplingData[[#This Row],[Winning Candidate]]-SamplingData[[#This Row],[Losing Candidate]])/(SamplingData[[#Totals],[Winning Candidate]]-SamplingData[[#Totals],[Losing Candidate]]), 0)</f>
        <v>2.5589882872177897E-2</v>
      </c>
      <c r="R617" s="99">
        <f>IF(AND(SamplingData[[#This Row],[Total]]&lt;&gt; 0, NOT(ISBLANK(SamplingData[[#This Row],[Candidate 3]]))),(SamplingData[[#This Row],[Total]]+SamplingData[[#This Row],[Winning Candidate]]-SamplingData[[#This Row],[Candidate 3]])/(SamplingData[[#Totals],[Winning Candidate]]-SamplingData[[#Totals],[Candidate 3]]), 0)</f>
        <v>0</v>
      </c>
      <c r="S617" s="99">
        <f>IF(AND(SamplingData[[#This Row],[Total]]&lt;&gt; 0, NOT(ISBLANK(SamplingData[[#This Row],[Candidate 4]]))),(SamplingData[[#This Row],[Total]]+SamplingData[[#This Row],[Winning Candidate]]-SamplingData[[#This Row],[Candidate 4]])/(SamplingData[[#Totals],[Winning Candidate]]-SamplingData[[#Totals],[Candidate 4]]), 0)</f>
        <v>0</v>
      </c>
      <c r="T617" s="99">
        <f>IF(AND(SamplingData[[#This Row],[Total]]&lt;&gt; 0, NOT(ISBLANK(SamplingData[[#This Row],[Candidate 5]]))),(SamplingData[[#This Row],[Total]]+SamplingData[[#This Row],[Winning Candidate]]-SamplingData[[#This Row],[Candidate 5]])/(SamplingData[[#Totals],[Winning Candidate]]-SamplingData[[#Totals],[Candidate 5]]), 0)</f>
        <v>0</v>
      </c>
      <c r="U617" s="99">
        <f>IF(AND(SamplingData[[#This Row],[Total]]&lt;&gt; 0, NOT(ISBLANK(SamplingData[[#This Row],[Candidate 6]]))),(SamplingData[[#This Row],[Total]]+SamplingData[[#This Row],[Losing Candidate]]-SamplingData[[#This Row],[Candidate 6]])/(SamplingData[[#Totals],[Winning Candidate]]-SamplingData[[#Totals],[Candidate 6]]), 0)</f>
        <v>0</v>
      </c>
      <c r="V617" s="99">
        <f>IF(AND(SamplingData[[#This Row],[Total]]&lt;&gt; 0, NOT(ISBLANK(SamplingData[[#This Row],[Candidate 7]]))),(SamplingData[[#This Row],[Total]]+SamplingData[[#This Row],[Winning Candidate]]-SamplingData[[#This Row],[Candidate 7]])/(SamplingData[[#Totals],[Winning Candidate]]-SamplingData[[#Totals],[Candidate 7]]), 0)</f>
        <v>0</v>
      </c>
      <c r="W617" s="99">
        <f>IF(AND(SamplingData[[#This Row],[Total]]&lt;&gt; 0, NOT(ISBLANK(SamplingData[[#This Row],[Candidate 8]]))),(SamplingData[[#This Row],[Total]]+SamplingData[[#This Row],[Winning Candidate]]-SamplingData[[#This Row],[Candidate 8]])/(SamplingData[[#Totals],[Winning Candidate]]-SamplingData[[#Totals],[Candidate 8]]), 0)</f>
        <v>0</v>
      </c>
      <c r="X6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7" s="99">
        <f>MAX(SamplingData[[#This Row],[Error Bound (up) - Max. possible relative overstatement - Losing Candidate]:[Error Bound (up) - Max. possible relative overstatement - Candidate 12]])</f>
        <v>2.5589882872177897E-2</v>
      </c>
      <c r="AC617" s="99">
        <f>IF(SamplingData[[#This Row],[Max Error Bound (up)]] = 0,0,SamplingData[[#This Row],[Max Error Bound (up)]]/SamplingData[[#Totals],[Max Error Bound (up)]])</f>
        <v>1.3701057912531372E-3</v>
      </c>
      <c r="AD617" s="103">
        <f>SUM($AC$5:AC617)</f>
        <v>0.51583233358781477</v>
      </c>
      <c r="AE617" s="99" t="str" cm="1">
        <f t="array" ref="AE617">IF(SamplingData[[#This Row],[up/U Selection Probability]] = 0, "Zero", TEXT(SamplingData[[#This Row],[Lower Range]], REPT("0",LEN('General Info'!$B$42))) &amp; " - " &amp; TEXT(SamplingData[[#This Row],[Upper Range]], REPT("0",LEN('General Info'!$B$42))))</f>
        <v>514462 - 515831</v>
      </c>
      <c r="AF617" s="99">
        <f>SamplingData[[#This Row],[Upper Range]]-SamplingData[[#This Row],[Span]]</f>
        <v>514462.22779656161</v>
      </c>
      <c r="AG617" s="99">
        <f>IF(ISNUMBER('General Info'!$B$42), ((SamplingData[[#This Row],[up/U Selection Probability]]) * 'General Info'!$B$44) - 1, 0)</f>
        <v>1369.1057912531371</v>
      </c>
      <c r="AH617" s="99">
        <f>IF(ISNUMBER('General Info'!$B$42), (SamplingData[[#This Row],[Running (cumulative) sum]] * ('General Info'!$B$42 -'General Info'!$B$43 + 1)) + 'General Info'!$B$43 - 1, 0)</f>
        <v>515831.33358781476</v>
      </c>
      <c r="AI617" s="99" t="str">
        <f>IF(ISERROR(MATCH(SamplingData[[#This Row],[Batch by Type (p)]],SelectedPrecincts[Batch Name], 0)), "", INDEX(SelectedPrecincts[Draw], MATCH(SamplingData[[#This Row],[Batch by Type (p)]],SelectedPrecincts[Batch Name], 0)))</f>
        <v/>
      </c>
      <c r="AJ617" s="100">
        <f>IF(COUNTIF(SelectedPrecincts[Batch Name],SamplingData[[#This Row],[Batch by Type (p)]]) &lt;&gt; 0, COUNTIF(SelectedPrecincts[Batch Name],SamplingData[[#This Row],[Batch by Type (p)]]), 0)</f>
        <v>0</v>
      </c>
    </row>
    <row r="618" spans="1:36" ht="15" customHeight="1" x14ac:dyDescent="0.35">
      <c r="A618" s="97" t="s">
        <v>831</v>
      </c>
      <c r="B618" s="97">
        <v>290</v>
      </c>
      <c r="C618" s="97">
        <v>48</v>
      </c>
      <c r="D618" s="92"/>
      <c r="E618" s="92"/>
      <c r="F618" s="92"/>
      <c r="G618" s="96"/>
      <c r="H618" s="96"/>
      <c r="I618" s="92"/>
      <c r="J618" s="92"/>
      <c r="K618" s="92"/>
      <c r="L618" s="92"/>
      <c r="M618" s="92"/>
      <c r="N618" s="97">
        <v>0</v>
      </c>
      <c r="O618" s="97">
        <v>22</v>
      </c>
      <c r="P618" s="98">
        <f>SUM(SamplingData[[#This Row],[Winning Candidate]:[Under Votes]])</f>
        <v>360</v>
      </c>
      <c r="Q618" s="99">
        <f>IF(AND(SamplingData[[#This Row],[Total]]&lt;&gt; 0, NOT(ISBLANK(SamplingData[[#This Row],[Losing Candidate]]))),(SamplingData[[#This Row],[Total]]+SamplingData[[#This Row],[Winning Candidate]]-SamplingData[[#This Row],[Losing Candidate]])/(SamplingData[[#Totals],[Winning Candidate]]-SamplingData[[#Totals],[Losing Candidate]]), 0)</f>
        <v>2.5547445255474453E-2</v>
      </c>
      <c r="R618" s="99">
        <f>IF(AND(SamplingData[[#This Row],[Total]]&lt;&gt; 0, NOT(ISBLANK(SamplingData[[#This Row],[Candidate 3]]))),(SamplingData[[#This Row],[Total]]+SamplingData[[#This Row],[Winning Candidate]]-SamplingData[[#This Row],[Candidate 3]])/(SamplingData[[#Totals],[Winning Candidate]]-SamplingData[[#Totals],[Candidate 3]]), 0)</f>
        <v>0</v>
      </c>
      <c r="S618" s="99">
        <f>IF(AND(SamplingData[[#This Row],[Total]]&lt;&gt; 0, NOT(ISBLANK(SamplingData[[#This Row],[Candidate 4]]))),(SamplingData[[#This Row],[Total]]+SamplingData[[#This Row],[Winning Candidate]]-SamplingData[[#This Row],[Candidate 4]])/(SamplingData[[#Totals],[Winning Candidate]]-SamplingData[[#Totals],[Candidate 4]]), 0)</f>
        <v>0</v>
      </c>
      <c r="T618" s="99">
        <f>IF(AND(SamplingData[[#This Row],[Total]]&lt;&gt; 0, NOT(ISBLANK(SamplingData[[#This Row],[Candidate 5]]))),(SamplingData[[#This Row],[Total]]+SamplingData[[#This Row],[Winning Candidate]]-SamplingData[[#This Row],[Candidate 5]])/(SamplingData[[#Totals],[Winning Candidate]]-SamplingData[[#Totals],[Candidate 5]]), 0)</f>
        <v>0</v>
      </c>
      <c r="U618" s="99">
        <f>IF(AND(SamplingData[[#This Row],[Total]]&lt;&gt; 0, NOT(ISBLANK(SamplingData[[#This Row],[Candidate 6]]))),(SamplingData[[#This Row],[Total]]+SamplingData[[#This Row],[Losing Candidate]]-SamplingData[[#This Row],[Candidate 6]])/(SamplingData[[#Totals],[Winning Candidate]]-SamplingData[[#Totals],[Candidate 6]]), 0)</f>
        <v>0</v>
      </c>
      <c r="V618" s="99">
        <f>IF(AND(SamplingData[[#This Row],[Total]]&lt;&gt; 0, NOT(ISBLANK(SamplingData[[#This Row],[Candidate 7]]))),(SamplingData[[#This Row],[Total]]+SamplingData[[#This Row],[Winning Candidate]]-SamplingData[[#This Row],[Candidate 7]])/(SamplingData[[#Totals],[Winning Candidate]]-SamplingData[[#Totals],[Candidate 7]]), 0)</f>
        <v>0</v>
      </c>
      <c r="W618" s="99">
        <f>IF(AND(SamplingData[[#This Row],[Total]]&lt;&gt; 0, NOT(ISBLANK(SamplingData[[#This Row],[Candidate 8]]))),(SamplingData[[#This Row],[Total]]+SamplingData[[#This Row],[Winning Candidate]]-SamplingData[[#This Row],[Candidate 8]])/(SamplingData[[#Totals],[Winning Candidate]]-SamplingData[[#Totals],[Candidate 8]]), 0)</f>
        <v>0</v>
      </c>
      <c r="X6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8" s="99">
        <f>MAX(SamplingData[[#This Row],[Error Bound (up) - Max. possible relative overstatement - Losing Candidate]:[Error Bound (up) - Max. possible relative overstatement - Candidate 12]])</f>
        <v>2.5547445255474453E-2</v>
      </c>
      <c r="AC618" s="99">
        <f>IF(SamplingData[[#This Row],[Max Error Bound (up)]] = 0,0,SamplingData[[#This Row],[Max Error Bound (up)]]/SamplingData[[#Totals],[Max Error Bound (up)]])</f>
        <v>1.3678336423455866E-3</v>
      </c>
      <c r="AD618" s="103">
        <f>SUM($AC$5:AC618)</f>
        <v>0.51720016723016038</v>
      </c>
      <c r="AE618" s="99" t="str" cm="1">
        <f t="array" ref="AE618">IF(SamplingData[[#This Row],[up/U Selection Probability]] = 0, "Zero", TEXT(SamplingData[[#This Row],[Lower Range]], REPT("0",LEN('General Info'!$B$42))) &amp; " - " &amp; TEXT(SamplingData[[#This Row],[Upper Range]], REPT("0",LEN('General Info'!$B$42))))</f>
        <v>515832 - 517199</v>
      </c>
      <c r="AF618" s="99">
        <f>SamplingData[[#This Row],[Upper Range]]-SamplingData[[#This Row],[Span]]</f>
        <v>515832.33358781482</v>
      </c>
      <c r="AG618" s="99">
        <f>IF(ISNUMBER('General Info'!$B$42), ((SamplingData[[#This Row],[up/U Selection Probability]]) * 'General Info'!$B$44) - 1, 0)</f>
        <v>1366.8336423455867</v>
      </c>
      <c r="AH618" s="99">
        <f>IF(ISNUMBER('General Info'!$B$42), (SamplingData[[#This Row],[Running (cumulative) sum]] * ('General Info'!$B$42 -'General Info'!$B$43 + 1)) + 'General Info'!$B$43 - 1, 0)</f>
        <v>517199.16723016038</v>
      </c>
      <c r="AI618" s="99" t="str">
        <f>IF(ISERROR(MATCH(SamplingData[[#This Row],[Batch by Type (p)]],SelectedPrecincts[Batch Name], 0)), "", INDEX(SelectedPrecincts[Draw], MATCH(SamplingData[[#This Row],[Batch by Type (p)]],SelectedPrecincts[Batch Name], 0)))</f>
        <v/>
      </c>
      <c r="AJ618" s="100">
        <f>IF(COUNTIF(SelectedPrecincts[Batch Name],SamplingData[[#This Row],[Batch by Type (p)]]) &lt;&gt; 0, COUNTIF(SelectedPrecincts[Batch Name],SamplingData[[#This Row],[Batch by Type (p)]]), 0)</f>
        <v>0</v>
      </c>
    </row>
    <row r="619" spans="1:36" ht="15" customHeight="1" x14ac:dyDescent="0.35">
      <c r="A619" s="97" t="s">
        <v>832</v>
      </c>
      <c r="B619" s="97">
        <v>123</v>
      </c>
      <c r="C619" s="97">
        <v>14</v>
      </c>
      <c r="D619" s="92"/>
      <c r="E619" s="92"/>
      <c r="F619" s="92"/>
      <c r="G619" s="96"/>
      <c r="H619" s="96"/>
      <c r="I619" s="92"/>
      <c r="J619" s="92"/>
      <c r="K619" s="92"/>
      <c r="L619" s="92"/>
      <c r="M619" s="92"/>
      <c r="N619" s="97">
        <v>0</v>
      </c>
      <c r="O619" s="97">
        <v>8</v>
      </c>
      <c r="P619" s="98">
        <f>SUM(SamplingData[[#This Row],[Winning Candidate]:[Under Votes]])</f>
        <v>145</v>
      </c>
      <c r="Q619" s="99">
        <f>IF(AND(SamplingData[[#This Row],[Total]]&lt;&gt; 0, NOT(ISBLANK(SamplingData[[#This Row],[Losing Candidate]]))),(SamplingData[[#This Row],[Total]]+SamplingData[[#This Row],[Winning Candidate]]-SamplingData[[#This Row],[Losing Candidate]])/(SamplingData[[#Totals],[Winning Candidate]]-SamplingData[[#Totals],[Losing Candidate]]), 0)</f>
        <v>1.0779154642675268E-2</v>
      </c>
      <c r="R619" s="99">
        <f>IF(AND(SamplingData[[#This Row],[Total]]&lt;&gt; 0, NOT(ISBLANK(SamplingData[[#This Row],[Candidate 3]]))),(SamplingData[[#This Row],[Total]]+SamplingData[[#This Row],[Winning Candidate]]-SamplingData[[#This Row],[Candidate 3]])/(SamplingData[[#Totals],[Winning Candidate]]-SamplingData[[#Totals],[Candidate 3]]), 0)</f>
        <v>0</v>
      </c>
      <c r="S619" s="99">
        <f>IF(AND(SamplingData[[#This Row],[Total]]&lt;&gt; 0, NOT(ISBLANK(SamplingData[[#This Row],[Candidate 4]]))),(SamplingData[[#This Row],[Total]]+SamplingData[[#This Row],[Winning Candidate]]-SamplingData[[#This Row],[Candidate 4]])/(SamplingData[[#Totals],[Winning Candidate]]-SamplingData[[#Totals],[Candidate 4]]), 0)</f>
        <v>0</v>
      </c>
      <c r="T619" s="99">
        <f>IF(AND(SamplingData[[#This Row],[Total]]&lt;&gt; 0, NOT(ISBLANK(SamplingData[[#This Row],[Candidate 5]]))),(SamplingData[[#This Row],[Total]]+SamplingData[[#This Row],[Winning Candidate]]-SamplingData[[#This Row],[Candidate 5]])/(SamplingData[[#Totals],[Winning Candidate]]-SamplingData[[#Totals],[Candidate 5]]), 0)</f>
        <v>0</v>
      </c>
      <c r="U619" s="99">
        <f>IF(AND(SamplingData[[#This Row],[Total]]&lt;&gt; 0, NOT(ISBLANK(SamplingData[[#This Row],[Candidate 6]]))),(SamplingData[[#This Row],[Total]]+SamplingData[[#This Row],[Losing Candidate]]-SamplingData[[#This Row],[Candidate 6]])/(SamplingData[[#Totals],[Winning Candidate]]-SamplingData[[#Totals],[Candidate 6]]), 0)</f>
        <v>0</v>
      </c>
      <c r="V619" s="99">
        <f>IF(AND(SamplingData[[#This Row],[Total]]&lt;&gt; 0, NOT(ISBLANK(SamplingData[[#This Row],[Candidate 7]]))),(SamplingData[[#This Row],[Total]]+SamplingData[[#This Row],[Winning Candidate]]-SamplingData[[#This Row],[Candidate 7]])/(SamplingData[[#Totals],[Winning Candidate]]-SamplingData[[#Totals],[Candidate 7]]), 0)</f>
        <v>0</v>
      </c>
      <c r="W619" s="99">
        <f>IF(AND(SamplingData[[#This Row],[Total]]&lt;&gt; 0, NOT(ISBLANK(SamplingData[[#This Row],[Candidate 8]]))),(SamplingData[[#This Row],[Total]]+SamplingData[[#This Row],[Winning Candidate]]-SamplingData[[#This Row],[Candidate 8]])/(SamplingData[[#Totals],[Winning Candidate]]-SamplingData[[#Totals],[Candidate 8]]), 0)</f>
        <v>0</v>
      </c>
      <c r="X6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9" s="99">
        <f>MAX(SamplingData[[#This Row],[Error Bound (up) - Max. possible relative overstatement - Losing Candidate]:[Error Bound (up) - Max. possible relative overstatement - Candidate 12]])</f>
        <v>1.0779154642675268E-2</v>
      </c>
      <c r="AC619" s="99">
        <f>IF(SamplingData[[#This Row],[Max Error Bound (up)]] = 0,0,SamplingData[[#This Row],[Max Error Bound (up)]]/SamplingData[[#Totals],[Max Error Bound (up)]])</f>
        <v>5.771258225179053E-4</v>
      </c>
      <c r="AD619" s="103">
        <f>SUM($AC$5:AC619)</f>
        <v>0.51777729305267828</v>
      </c>
      <c r="AE619" s="99" t="str" cm="1">
        <f t="array" ref="AE619">IF(SamplingData[[#This Row],[up/U Selection Probability]] = 0, "Zero", TEXT(SamplingData[[#This Row],[Lower Range]], REPT("0",LEN('General Info'!$B$42))) &amp; " - " &amp; TEXT(SamplingData[[#This Row],[Upper Range]], REPT("0",LEN('General Info'!$B$42))))</f>
        <v>517200 - 517776</v>
      </c>
      <c r="AF619" s="99">
        <f>SamplingData[[#This Row],[Upper Range]]-SamplingData[[#This Row],[Span]]</f>
        <v>517200.16723016038</v>
      </c>
      <c r="AG619" s="99">
        <f>IF(ISNUMBER('General Info'!$B$42), ((SamplingData[[#This Row],[up/U Selection Probability]]) * 'General Info'!$B$44) - 1, 0)</f>
        <v>576.12582251790525</v>
      </c>
      <c r="AH619" s="99">
        <f>IF(ISNUMBER('General Info'!$B$42), (SamplingData[[#This Row],[Running (cumulative) sum]] * ('General Info'!$B$42 -'General Info'!$B$43 + 1)) + 'General Info'!$B$43 - 1, 0)</f>
        <v>517776.29305267829</v>
      </c>
      <c r="AI619" s="99" t="str">
        <f>IF(ISERROR(MATCH(SamplingData[[#This Row],[Batch by Type (p)]],SelectedPrecincts[Batch Name], 0)), "", INDEX(SelectedPrecincts[Draw], MATCH(SamplingData[[#This Row],[Batch by Type (p)]],SelectedPrecincts[Batch Name], 0)))</f>
        <v/>
      </c>
      <c r="AJ619" s="100">
        <f>IF(COUNTIF(SelectedPrecincts[Batch Name],SamplingData[[#This Row],[Batch by Type (p)]]) &lt;&gt; 0, COUNTIF(SelectedPrecincts[Batch Name],SamplingData[[#This Row],[Batch by Type (p)]]), 0)</f>
        <v>0</v>
      </c>
    </row>
    <row r="620" spans="1:36" ht="15" customHeight="1" x14ac:dyDescent="0.35">
      <c r="A620" s="97" t="s">
        <v>833</v>
      </c>
      <c r="B620" s="97">
        <v>283</v>
      </c>
      <c r="C620" s="97">
        <v>23</v>
      </c>
      <c r="D620" s="92"/>
      <c r="E620" s="92"/>
      <c r="F620" s="92"/>
      <c r="G620" s="96"/>
      <c r="H620" s="96"/>
      <c r="I620" s="92"/>
      <c r="J620" s="92"/>
      <c r="K620" s="92"/>
      <c r="L620" s="92"/>
      <c r="M620" s="92"/>
      <c r="N620" s="97">
        <v>0</v>
      </c>
      <c r="O620" s="97">
        <v>15</v>
      </c>
      <c r="P620" s="98">
        <f>SUM(SamplingData[[#This Row],[Winning Candidate]:[Under Votes]])</f>
        <v>321</v>
      </c>
      <c r="Q620" s="99">
        <f>IF(AND(SamplingData[[#This Row],[Total]]&lt;&gt; 0, NOT(ISBLANK(SamplingData[[#This Row],[Losing Candidate]]))),(SamplingData[[#This Row],[Total]]+SamplingData[[#This Row],[Winning Candidate]]-SamplingData[[#This Row],[Losing Candidate]])/(SamplingData[[#Totals],[Winning Candidate]]-SamplingData[[#Totals],[Losing Candidate]]), 0)</f>
        <v>2.4656255304702088E-2</v>
      </c>
      <c r="R620" s="99">
        <f>IF(AND(SamplingData[[#This Row],[Total]]&lt;&gt; 0, NOT(ISBLANK(SamplingData[[#This Row],[Candidate 3]]))),(SamplingData[[#This Row],[Total]]+SamplingData[[#This Row],[Winning Candidate]]-SamplingData[[#This Row],[Candidate 3]])/(SamplingData[[#Totals],[Winning Candidate]]-SamplingData[[#Totals],[Candidate 3]]), 0)</f>
        <v>0</v>
      </c>
      <c r="S620" s="99">
        <f>IF(AND(SamplingData[[#This Row],[Total]]&lt;&gt; 0, NOT(ISBLANK(SamplingData[[#This Row],[Candidate 4]]))),(SamplingData[[#This Row],[Total]]+SamplingData[[#This Row],[Winning Candidate]]-SamplingData[[#This Row],[Candidate 4]])/(SamplingData[[#Totals],[Winning Candidate]]-SamplingData[[#Totals],[Candidate 4]]), 0)</f>
        <v>0</v>
      </c>
      <c r="T620" s="99">
        <f>IF(AND(SamplingData[[#This Row],[Total]]&lt;&gt; 0, NOT(ISBLANK(SamplingData[[#This Row],[Candidate 5]]))),(SamplingData[[#This Row],[Total]]+SamplingData[[#This Row],[Winning Candidate]]-SamplingData[[#This Row],[Candidate 5]])/(SamplingData[[#Totals],[Winning Candidate]]-SamplingData[[#Totals],[Candidate 5]]), 0)</f>
        <v>0</v>
      </c>
      <c r="U620" s="99">
        <f>IF(AND(SamplingData[[#This Row],[Total]]&lt;&gt; 0, NOT(ISBLANK(SamplingData[[#This Row],[Candidate 6]]))),(SamplingData[[#This Row],[Total]]+SamplingData[[#This Row],[Losing Candidate]]-SamplingData[[#This Row],[Candidate 6]])/(SamplingData[[#Totals],[Winning Candidate]]-SamplingData[[#Totals],[Candidate 6]]), 0)</f>
        <v>0</v>
      </c>
      <c r="V620" s="99">
        <f>IF(AND(SamplingData[[#This Row],[Total]]&lt;&gt; 0, NOT(ISBLANK(SamplingData[[#This Row],[Candidate 7]]))),(SamplingData[[#This Row],[Total]]+SamplingData[[#This Row],[Winning Candidate]]-SamplingData[[#This Row],[Candidate 7]])/(SamplingData[[#Totals],[Winning Candidate]]-SamplingData[[#Totals],[Candidate 7]]), 0)</f>
        <v>0</v>
      </c>
      <c r="W620" s="99">
        <f>IF(AND(SamplingData[[#This Row],[Total]]&lt;&gt; 0, NOT(ISBLANK(SamplingData[[#This Row],[Candidate 8]]))),(SamplingData[[#This Row],[Total]]+SamplingData[[#This Row],[Winning Candidate]]-SamplingData[[#This Row],[Candidate 8]])/(SamplingData[[#Totals],[Winning Candidate]]-SamplingData[[#Totals],[Candidate 8]]), 0)</f>
        <v>0</v>
      </c>
      <c r="X6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0" s="99">
        <f>MAX(SamplingData[[#This Row],[Error Bound (up) - Max. possible relative overstatement - Losing Candidate]:[Error Bound (up) - Max. possible relative overstatement - Candidate 12]])</f>
        <v>2.4656255304702088E-2</v>
      </c>
      <c r="AC620" s="99">
        <f>IF(SamplingData[[#This Row],[Max Error Bound (up)]] = 0,0,SamplingData[[#This Row],[Max Error Bound (up)]]/SamplingData[[#Totals],[Max Error Bound (up)]])</f>
        <v>1.3201185152870195E-3</v>
      </c>
      <c r="AD620" s="103">
        <f>SUM($AC$5:AC620)</f>
        <v>0.51909741156796529</v>
      </c>
      <c r="AE620" s="99" t="str" cm="1">
        <f t="array" ref="AE620">IF(SamplingData[[#This Row],[up/U Selection Probability]] = 0, "Zero", TEXT(SamplingData[[#This Row],[Lower Range]], REPT("0",LEN('General Info'!$B$42))) &amp; " - " &amp; TEXT(SamplingData[[#This Row],[Upper Range]], REPT("0",LEN('General Info'!$B$42))))</f>
        <v>517777 - 519096</v>
      </c>
      <c r="AF620" s="99">
        <f>SamplingData[[#This Row],[Upper Range]]-SamplingData[[#This Row],[Span]]</f>
        <v>517777.29305267829</v>
      </c>
      <c r="AG620" s="99">
        <f>IF(ISNUMBER('General Info'!$B$42), ((SamplingData[[#This Row],[up/U Selection Probability]]) * 'General Info'!$B$44) - 1, 0)</f>
        <v>1319.1185152870196</v>
      </c>
      <c r="AH620" s="99">
        <f>IF(ISNUMBER('General Info'!$B$42), (SamplingData[[#This Row],[Running (cumulative) sum]] * ('General Info'!$B$42 -'General Info'!$B$43 + 1)) + 'General Info'!$B$43 - 1, 0)</f>
        <v>519096.41156796529</v>
      </c>
      <c r="AI620" s="99">
        <f>IF(ISERROR(MATCH(SamplingData[[#This Row],[Batch by Type (p)]],SelectedPrecincts[Batch Name], 0)), "", INDEX(SelectedPrecincts[Draw], MATCH(SamplingData[[#This Row],[Batch by Type (p)]],SelectedPrecincts[Batch Name], 0)))</f>
        <v>20</v>
      </c>
      <c r="AJ620" s="100">
        <f>IF(COUNTIF(SelectedPrecincts[Batch Name],SamplingData[[#This Row],[Batch by Type (p)]]) &lt;&gt; 0, COUNTIF(SelectedPrecincts[Batch Name],SamplingData[[#This Row],[Batch by Type (p)]]), 0)</f>
        <v>1</v>
      </c>
    </row>
    <row r="621" spans="1:36" ht="15" customHeight="1" x14ac:dyDescent="0.35">
      <c r="A621" s="97" t="s">
        <v>834</v>
      </c>
      <c r="B621" s="97">
        <v>264</v>
      </c>
      <c r="C621" s="97">
        <v>38</v>
      </c>
      <c r="D621" s="92"/>
      <c r="E621" s="92"/>
      <c r="F621" s="92"/>
      <c r="G621" s="96"/>
      <c r="H621" s="96"/>
      <c r="I621" s="92"/>
      <c r="J621" s="92"/>
      <c r="K621" s="92"/>
      <c r="L621" s="92"/>
      <c r="M621" s="92"/>
      <c r="N621" s="97">
        <v>0</v>
      </c>
      <c r="O621" s="97">
        <v>23</v>
      </c>
      <c r="P621" s="98">
        <f>SUM(SamplingData[[#This Row],[Winning Candidate]:[Under Votes]])</f>
        <v>325</v>
      </c>
      <c r="Q621" s="99">
        <f>IF(AND(SamplingData[[#This Row],[Total]]&lt;&gt; 0, NOT(ISBLANK(SamplingData[[#This Row],[Losing Candidate]]))),(SamplingData[[#This Row],[Total]]+SamplingData[[#This Row],[Winning Candidate]]-SamplingData[[#This Row],[Losing Candidate]])/(SamplingData[[#Totals],[Winning Candidate]]-SamplingData[[#Totals],[Losing Candidate]]), 0)</f>
        <v>2.3383126803598709E-2</v>
      </c>
      <c r="R621" s="99">
        <f>IF(AND(SamplingData[[#This Row],[Total]]&lt;&gt; 0, NOT(ISBLANK(SamplingData[[#This Row],[Candidate 3]]))),(SamplingData[[#This Row],[Total]]+SamplingData[[#This Row],[Winning Candidate]]-SamplingData[[#This Row],[Candidate 3]])/(SamplingData[[#Totals],[Winning Candidate]]-SamplingData[[#Totals],[Candidate 3]]), 0)</f>
        <v>0</v>
      </c>
      <c r="S621" s="99">
        <f>IF(AND(SamplingData[[#This Row],[Total]]&lt;&gt; 0, NOT(ISBLANK(SamplingData[[#This Row],[Candidate 4]]))),(SamplingData[[#This Row],[Total]]+SamplingData[[#This Row],[Winning Candidate]]-SamplingData[[#This Row],[Candidate 4]])/(SamplingData[[#Totals],[Winning Candidate]]-SamplingData[[#Totals],[Candidate 4]]), 0)</f>
        <v>0</v>
      </c>
      <c r="T621" s="99">
        <f>IF(AND(SamplingData[[#This Row],[Total]]&lt;&gt; 0, NOT(ISBLANK(SamplingData[[#This Row],[Candidate 5]]))),(SamplingData[[#This Row],[Total]]+SamplingData[[#This Row],[Winning Candidate]]-SamplingData[[#This Row],[Candidate 5]])/(SamplingData[[#Totals],[Winning Candidate]]-SamplingData[[#Totals],[Candidate 5]]), 0)</f>
        <v>0</v>
      </c>
      <c r="U621" s="99">
        <f>IF(AND(SamplingData[[#This Row],[Total]]&lt;&gt; 0, NOT(ISBLANK(SamplingData[[#This Row],[Candidate 6]]))),(SamplingData[[#This Row],[Total]]+SamplingData[[#This Row],[Losing Candidate]]-SamplingData[[#This Row],[Candidate 6]])/(SamplingData[[#Totals],[Winning Candidate]]-SamplingData[[#Totals],[Candidate 6]]), 0)</f>
        <v>0</v>
      </c>
      <c r="V621" s="99">
        <f>IF(AND(SamplingData[[#This Row],[Total]]&lt;&gt; 0, NOT(ISBLANK(SamplingData[[#This Row],[Candidate 7]]))),(SamplingData[[#This Row],[Total]]+SamplingData[[#This Row],[Winning Candidate]]-SamplingData[[#This Row],[Candidate 7]])/(SamplingData[[#Totals],[Winning Candidate]]-SamplingData[[#Totals],[Candidate 7]]), 0)</f>
        <v>0</v>
      </c>
      <c r="W621" s="99">
        <f>IF(AND(SamplingData[[#This Row],[Total]]&lt;&gt; 0, NOT(ISBLANK(SamplingData[[#This Row],[Candidate 8]]))),(SamplingData[[#This Row],[Total]]+SamplingData[[#This Row],[Winning Candidate]]-SamplingData[[#This Row],[Candidate 8]])/(SamplingData[[#Totals],[Winning Candidate]]-SamplingData[[#Totals],[Candidate 8]]), 0)</f>
        <v>0</v>
      </c>
      <c r="X6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1" s="99">
        <f>MAX(SamplingData[[#This Row],[Error Bound (up) - Max. possible relative overstatement - Losing Candidate]:[Error Bound (up) - Max. possible relative overstatement - Candidate 12]])</f>
        <v>2.3383126803598709E-2</v>
      </c>
      <c r="AC621" s="99">
        <f>IF(SamplingData[[#This Row],[Max Error Bound (up)]] = 0,0,SamplingData[[#This Row],[Max Error Bound (up)]]/SamplingData[[#Totals],[Max Error Bound (up)]])</f>
        <v>1.2519540480604953E-3</v>
      </c>
      <c r="AD621" s="103">
        <f>SUM($AC$5:AC621)</f>
        <v>0.52034936561602574</v>
      </c>
      <c r="AE621" s="99" t="str" cm="1">
        <f t="array" ref="AE621">IF(SamplingData[[#This Row],[up/U Selection Probability]] = 0, "Zero", TEXT(SamplingData[[#This Row],[Lower Range]], REPT("0",LEN('General Info'!$B$42))) &amp; " - " &amp; TEXT(SamplingData[[#This Row],[Upper Range]], REPT("0",LEN('General Info'!$B$42))))</f>
        <v>519097 - 520348</v>
      </c>
      <c r="AF621" s="99">
        <f>SamplingData[[#This Row],[Upper Range]]-SamplingData[[#This Row],[Span]]</f>
        <v>519097.41156796523</v>
      </c>
      <c r="AG621" s="99">
        <f>IF(ISNUMBER('General Info'!$B$42), ((SamplingData[[#This Row],[up/U Selection Probability]]) * 'General Info'!$B$44) - 1, 0)</f>
        <v>1250.9540480604953</v>
      </c>
      <c r="AH621" s="99">
        <f>IF(ISNUMBER('General Info'!$B$42), (SamplingData[[#This Row],[Running (cumulative) sum]] * ('General Info'!$B$42 -'General Info'!$B$43 + 1)) + 'General Info'!$B$43 - 1, 0)</f>
        <v>520348.36561602575</v>
      </c>
      <c r="AI621" s="99">
        <f>IF(ISERROR(MATCH(SamplingData[[#This Row],[Batch by Type (p)]],SelectedPrecincts[Batch Name], 0)), "", INDEX(SelectedPrecincts[Draw], MATCH(SamplingData[[#This Row],[Batch by Type (p)]],SelectedPrecincts[Batch Name], 0)))</f>
        <v>7</v>
      </c>
      <c r="AJ621" s="100">
        <f>IF(COUNTIF(SelectedPrecincts[Batch Name],SamplingData[[#This Row],[Batch by Type (p)]]) &lt;&gt; 0, COUNTIF(SelectedPrecincts[Batch Name],SamplingData[[#This Row],[Batch by Type (p)]]), 0)</f>
        <v>1</v>
      </c>
    </row>
    <row r="622" spans="1:36" ht="15" customHeight="1" x14ac:dyDescent="0.35">
      <c r="A622" s="97" t="s">
        <v>835</v>
      </c>
      <c r="B622" s="97">
        <v>154</v>
      </c>
      <c r="C622" s="97">
        <v>13</v>
      </c>
      <c r="D622" s="92"/>
      <c r="E622" s="92"/>
      <c r="F622" s="92"/>
      <c r="G622" s="96"/>
      <c r="H622" s="96"/>
      <c r="I622" s="92"/>
      <c r="J622" s="92"/>
      <c r="K622" s="92"/>
      <c r="L622" s="92"/>
      <c r="M622" s="92"/>
      <c r="N622" s="97">
        <v>0</v>
      </c>
      <c r="O622" s="97">
        <v>14</v>
      </c>
      <c r="P622" s="98">
        <f>SUM(SamplingData[[#This Row],[Winning Candidate]:[Under Votes]])</f>
        <v>181</v>
      </c>
      <c r="Q622" s="99">
        <f>IF(AND(SamplingData[[#This Row],[Total]]&lt;&gt; 0, NOT(ISBLANK(SamplingData[[#This Row],[Losing Candidate]]))),(SamplingData[[#This Row],[Total]]+SamplingData[[#This Row],[Winning Candidate]]-SamplingData[[#This Row],[Losing Candidate]])/(SamplingData[[#Totals],[Winning Candidate]]-SamplingData[[#Totals],[Losing Candidate]]), 0)</f>
        <v>1.366491257850959E-2</v>
      </c>
      <c r="R622" s="99">
        <f>IF(AND(SamplingData[[#This Row],[Total]]&lt;&gt; 0, NOT(ISBLANK(SamplingData[[#This Row],[Candidate 3]]))),(SamplingData[[#This Row],[Total]]+SamplingData[[#This Row],[Winning Candidate]]-SamplingData[[#This Row],[Candidate 3]])/(SamplingData[[#Totals],[Winning Candidate]]-SamplingData[[#Totals],[Candidate 3]]), 0)</f>
        <v>0</v>
      </c>
      <c r="S622" s="99">
        <f>IF(AND(SamplingData[[#This Row],[Total]]&lt;&gt; 0, NOT(ISBLANK(SamplingData[[#This Row],[Candidate 4]]))),(SamplingData[[#This Row],[Total]]+SamplingData[[#This Row],[Winning Candidate]]-SamplingData[[#This Row],[Candidate 4]])/(SamplingData[[#Totals],[Winning Candidate]]-SamplingData[[#Totals],[Candidate 4]]), 0)</f>
        <v>0</v>
      </c>
      <c r="T622" s="99">
        <f>IF(AND(SamplingData[[#This Row],[Total]]&lt;&gt; 0, NOT(ISBLANK(SamplingData[[#This Row],[Candidate 5]]))),(SamplingData[[#This Row],[Total]]+SamplingData[[#This Row],[Winning Candidate]]-SamplingData[[#This Row],[Candidate 5]])/(SamplingData[[#Totals],[Winning Candidate]]-SamplingData[[#Totals],[Candidate 5]]), 0)</f>
        <v>0</v>
      </c>
      <c r="U622" s="99">
        <f>IF(AND(SamplingData[[#This Row],[Total]]&lt;&gt; 0, NOT(ISBLANK(SamplingData[[#This Row],[Candidate 6]]))),(SamplingData[[#This Row],[Total]]+SamplingData[[#This Row],[Losing Candidate]]-SamplingData[[#This Row],[Candidate 6]])/(SamplingData[[#Totals],[Winning Candidate]]-SamplingData[[#Totals],[Candidate 6]]), 0)</f>
        <v>0</v>
      </c>
      <c r="V622" s="99">
        <f>IF(AND(SamplingData[[#This Row],[Total]]&lt;&gt; 0, NOT(ISBLANK(SamplingData[[#This Row],[Candidate 7]]))),(SamplingData[[#This Row],[Total]]+SamplingData[[#This Row],[Winning Candidate]]-SamplingData[[#This Row],[Candidate 7]])/(SamplingData[[#Totals],[Winning Candidate]]-SamplingData[[#Totals],[Candidate 7]]), 0)</f>
        <v>0</v>
      </c>
      <c r="W622" s="99">
        <f>IF(AND(SamplingData[[#This Row],[Total]]&lt;&gt; 0, NOT(ISBLANK(SamplingData[[#This Row],[Candidate 8]]))),(SamplingData[[#This Row],[Total]]+SamplingData[[#This Row],[Winning Candidate]]-SamplingData[[#This Row],[Candidate 8]])/(SamplingData[[#Totals],[Winning Candidate]]-SamplingData[[#Totals],[Candidate 8]]), 0)</f>
        <v>0</v>
      </c>
      <c r="X6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2" s="99">
        <f>MAX(SamplingData[[#This Row],[Error Bound (up) - Max. possible relative overstatement - Losing Candidate]:[Error Bound (up) - Max. possible relative overstatement - Candidate 12]])</f>
        <v>1.366491257850959E-2</v>
      </c>
      <c r="AC622" s="99">
        <f>IF(SamplingData[[#This Row],[Max Error Bound (up)]] = 0,0,SamplingData[[#This Row],[Max Error Bound (up)]]/SamplingData[[#Totals],[Max Error Bound (up)]])</f>
        <v>7.3163194823136024E-4</v>
      </c>
      <c r="AD622" s="103">
        <f>SUM($AC$5:AC622)</f>
        <v>0.52108099756425708</v>
      </c>
      <c r="AE622" s="99" t="str" cm="1">
        <f t="array" ref="AE622">IF(SamplingData[[#This Row],[up/U Selection Probability]] = 0, "Zero", TEXT(SamplingData[[#This Row],[Lower Range]], REPT("0",LEN('General Info'!$B$42))) &amp; " - " &amp; TEXT(SamplingData[[#This Row],[Upper Range]], REPT("0",LEN('General Info'!$B$42))))</f>
        <v>520349 - 521080</v>
      </c>
      <c r="AF622" s="99">
        <f>SamplingData[[#This Row],[Upper Range]]-SamplingData[[#This Row],[Span]]</f>
        <v>520349.36561602569</v>
      </c>
      <c r="AG622" s="99">
        <f>IF(ISNUMBER('General Info'!$B$42), ((SamplingData[[#This Row],[up/U Selection Probability]]) * 'General Info'!$B$44) - 1, 0)</f>
        <v>730.6319482313603</v>
      </c>
      <c r="AH622" s="99">
        <f>IF(ISNUMBER('General Info'!$B$42), (SamplingData[[#This Row],[Running (cumulative) sum]] * ('General Info'!$B$42 -'General Info'!$B$43 + 1)) + 'General Info'!$B$43 - 1, 0)</f>
        <v>521079.99756425706</v>
      </c>
      <c r="AI622" s="99" t="str">
        <f>IF(ISERROR(MATCH(SamplingData[[#This Row],[Batch by Type (p)]],SelectedPrecincts[Batch Name], 0)), "", INDEX(SelectedPrecincts[Draw], MATCH(SamplingData[[#This Row],[Batch by Type (p)]],SelectedPrecincts[Batch Name], 0)))</f>
        <v/>
      </c>
      <c r="AJ622" s="100">
        <f>IF(COUNTIF(SelectedPrecincts[Batch Name],SamplingData[[#This Row],[Batch by Type (p)]]) &lt;&gt; 0, COUNTIF(SelectedPrecincts[Batch Name],SamplingData[[#This Row],[Batch by Type (p)]]), 0)</f>
        <v>0</v>
      </c>
    </row>
    <row r="623" spans="1:36" ht="15" customHeight="1" x14ac:dyDescent="0.35">
      <c r="A623" s="97" t="s">
        <v>836</v>
      </c>
      <c r="B623" s="97">
        <v>204</v>
      </c>
      <c r="C623" s="97">
        <v>17</v>
      </c>
      <c r="D623" s="92"/>
      <c r="E623" s="92"/>
      <c r="F623" s="92"/>
      <c r="G623" s="96"/>
      <c r="H623" s="96"/>
      <c r="I623" s="92"/>
      <c r="J623" s="92"/>
      <c r="K623" s="92"/>
      <c r="L623" s="92"/>
      <c r="M623" s="92"/>
      <c r="N623" s="97">
        <v>0</v>
      </c>
      <c r="O623" s="97">
        <v>16</v>
      </c>
      <c r="P623" s="98">
        <f>SUM(SamplingData[[#This Row],[Winning Candidate]:[Under Votes]])</f>
        <v>237</v>
      </c>
      <c r="Q623" s="99">
        <f>IF(AND(SamplingData[[#This Row],[Total]]&lt;&gt; 0, NOT(ISBLANK(SamplingData[[#This Row],[Losing Candidate]]))),(SamplingData[[#This Row],[Total]]+SamplingData[[#This Row],[Winning Candidate]]-SamplingData[[#This Row],[Losing Candidate]])/(SamplingData[[#Totals],[Winning Candidate]]-SamplingData[[#Totals],[Losing Candidate]]), 0)</f>
        <v>1.7993549482261076E-2</v>
      </c>
      <c r="R623" s="99">
        <f>IF(AND(SamplingData[[#This Row],[Total]]&lt;&gt; 0, NOT(ISBLANK(SamplingData[[#This Row],[Candidate 3]]))),(SamplingData[[#This Row],[Total]]+SamplingData[[#This Row],[Winning Candidate]]-SamplingData[[#This Row],[Candidate 3]])/(SamplingData[[#Totals],[Winning Candidate]]-SamplingData[[#Totals],[Candidate 3]]), 0)</f>
        <v>0</v>
      </c>
      <c r="S623" s="99">
        <f>IF(AND(SamplingData[[#This Row],[Total]]&lt;&gt; 0, NOT(ISBLANK(SamplingData[[#This Row],[Candidate 4]]))),(SamplingData[[#This Row],[Total]]+SamplingData[[#This Row],[Winning Candidate]]-SamplingData[[#This Row],[Candidate 4]])/(SamplingData[[#Totals],[Winning Candidate]]-SamplingData[[#Totals],[Candidate 4]]), 0)</f>
        <v>0</v>
      </c>
      <c r="T623" s="99">
        <f>IF(AND(SamplingData[[#This Row],[Total]]&lt;&gt; 0, NOT(ISBLANK(SamplingData[[#This Row],[Candidate 5]]))),(SamplingData[[#This Row],[Total]]+SamplingData[[#This Row],[Winning Candidate]]-SamplingData[[#This Row],[Candidate 5]])/(SamplingData[[#Totals],[Winning Candidate]]-SamplingData[[#Totals],[Candidate 5]]), 0)</f>
        <v>0</v>
      </c>
      <c r="U623" s="99">
        <f>IF(AND(SamplingData[[#This Row],[Total]]&lt;&gt; 0, NOT(ISBLANK(SamplingData[[#This Row],[Candidate 6]]))),(SamplingData[[#This Row],[Total]]+SamplingData[[#This Row],[Losing Candidate]]-SamplingData[[#This Row],[Candidate 6]])/(SamplingData[[#Totals],[Winning Candidate]]-SamplingData[[#Totals],[Candidate 6]]), 0)</f>
        <v>0</v>
      </c>
      <c r="V623" s="99">
        <f>IF(AND(SamplingData[[#This Row],[Total]]&lt;&gt; 0, NOT(ISBLANK(SamplingData[[#This Row],[Candidate 7]]))),(SamplingData[[#This Row],[Total]]+SamplingData[[#This Row],[Winning Candidate]]-SamplingData[[#This Row],[Candidate 7]])/(SamplingData[[#Totals],[Winning Candidate]]-SamplingData[[#Totals],[Candidate 7]]), 0)</f>
        <v>0</v>
      </c>
      <c r="W623" s="99">
        <f>IF(AND(SamplingData[[#This Row],[Total]]&lt;&gt; 0, NOT(ISBLANK(SamplingData[[#This Row],[Candidate 8]]))),(SamplingData[[#This Row],[Total]]+SamplingData[[#This Row],[Winning Candidate]]-SamplingData[[#This Row],[Candidate 8]])/(SamplingData[[#Totals],[Winning Candidate]]-SamplingData[[#Totals],[Candidate 8]]), 0)</f>
        <v>0</v>
      </c>
      <c r="X6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3" s="99">
        <f>MAX(SamplingData[[#This Row],[Error Bound (up) - Max. possible relative overstatement - Losing Candidate]:[Error Bound (up) - Max. possible relative overstatement - Candidate 12]])</f>
        <v>1.7993549482261076E-2</v>
      </c>
      <c r="AC623" s="99">
        <f>IF(SamplingData[[#This Row],[Max Error Bound (up)]] = 0,0,SamplingData[[#This Row],[Max Error Bound (up)]]/SamplingData[[#Totals],[Max Error Bound (up)]])</f>
        <v>9.6339113680154261E-4</v>
      </c>
      <c r="AD623" s="103">
        <f>SUM($AC$5:AC623)</f>
        <v>0.52204438870105863</v>
      </c>
      <c r="AE623" s="99" t="str" cm="1">
        <f t="array" ref="AE623">IF(SamplingData[[#This Row],[up/U Selection Probability]] = 0, "Zero", TEXT(SamplingData[[#This Row],[Lower Range]], REPT("0",LEN('General Info'!$B$42))) &amp; " - " &amp; TEXT(SamplingData[[#This Row],[Upper Range]], REPT("0",LEN('General Info'!$B$42))))</f>
        <v>521081 - 522043</v>
      </c>
      <c r="AF623" s="99">
        <f>SamplingData[[#This Row],[Upper Range]]-SamplingData[[#This Row],[Span]]</f>
        <v>521080.99756425706</v>
      </c>
      <c r="AG623" s="99">
        <f>IF(ISNUMBER('General Info'!$B$42), ((SamplingData[[#This Row],[up/U Selection Probability]]) * 'General Info'!$B$44) - 1, 0)</f>
        <v>962.39113680154264</v>
      </c>
      <c r="AH623" s="99">
        <f>IF(ISNUMBER('General Info'!$B$42), (SamplingData[[#This Row],[Running (cumulative) sum]] * ('General Info'!$B$42 -'General Info'!$B$43 + 1)) + 'General Info'!$B$43 - 1, 0)</f>
        <v>522043.38870105863</v>
      </c>
      <c r="AI623" s="99" t="str">
        <f>IF(ISERROR(MATCH(SamplingData[[#This Row],[Batch by Type (p)]],SelectedPrecincts[Batch Name], 0)), "", INDEX(SelectedPrecincts[Draw], MATCH(SamplingData[[#This Row],[Batch by Type (p)]],SelectedPrecincts[Batch Name], 0)))</f>
        <v/>
      </c>
      <c r="AJ623" s="100">
        <f>IF(COUNTIF(SelectedPrecincts[Batch Name],SamplingData[[#This Row],[Batch by Type (p)]]) &lt;&gt; 0, COUNTIF(SelectedPrecincts[Batch Name],SamplingData[[#This Row],[Batch by Type (p)]]), 0)</f>
        <v>0</v>
      </c>
    </row>
    <row r="624" spans="1:36" ht="15" customHeight="1" x14ac:dyDescent="0.35">
      <c r="A624" s="97" t="s">
        <v>837</v>
      </c>
      <c r="B624" s="97">
        <v>286</v>
      </c>
      <c r="C624" s="97">
        <v>32</v>
      </c>
      <c r="D624" s="92"/>
      <c r="E624" s="92"/>
      <c r="F624" s="92"/>
      <c r="G624" s="96"/>
      <c r="H624" s="96"/>
      <c r="I624" s="92"/>
      <c r="J624" s="92"/>
      <c r="K624" s="92"/>
      <c r="L624" s="92"/>
      <c r="M624" s="92"/>
      <c r="N624" s="97">
        <v>0</v>
      </c>
      <c r="O624" s="97">
        <v>25</v>
      </c>
      <c r="P624" s="98">
        <f>SUM(SamplingData[[#This Row],[Winning Candidate]:[Under Votes]])</f>
        <v>343</v>
      </c>
      <c r="Q624" s="99">
        <f>IF(AND(SamplingData[[#This Row],[Total]]&lt;&gt; 0, NOT(ISBLANK(SamplingData[[#This Row],[Losing Candidate]]))),(SamplingData[[#This Row],[Total]]+SamplingData[[#This Row],[Winning Candidate]]-SamplingData[[#This Row],[Losing Candidate]])/(SamplingData[[#Totals],[Winning Candidate]]-SamplingData[[#Totals],[Losing Candidate]]), 0)</f>
        <v>2.5335257171957223E-2</v>
      </c>
      <c r="R624" s="99">
        <f>IF(AND(SamplingData[[#This Row],[Total]]&lt;&gt; 0, NOT(ISBLANK(SamplingData[[#This Row],[Candidate 3]]))),(SamplingData[[#This Row],[Total]]+SamplingData[[#This Row],[Winning Candidate]]-SamplingData[[#This Row],[Candidate 3]])/(SamplingData[[#Totals],[Winning Candidate]]-SamplingData[[#Totals],[Candidate 3]]), 0)</f>
        <v>0</v>
      </c>
      <c r="S624" s="99">
        <f>IF(AND(SamplingData[[#This Row],[Total]]&lt;&gt; 0, NOT(ISBLANK(SamplingData[[#This Row],[Candidate 4]]))),(SamplingData[[#This Row],[Total]]+SamplingData[[#This Row],[Winning Candidate]]-SamplingData[[#This Row],[Candidate 4]])/(SamplingData[[#Totals],[Winning Candidate]]-SamplingData[[#Totals],[Candidate 4]]), 0)</f>
        <v>0</v>
      </c>
      <c r="T624" s="99">
        <f>IF(AND(SamplingData[[#This Row],[Total]]&lt;&gt; 0, NOT(ISBLANK(SamplingData[[#This Row],[Candidate 5]]))),(SamplingData[[#This Row],[Total]]+SamplingData[[#This Row],[Winning Candidate]]-SamplingData[[#This Row],[Candidate 5]])/(SamplingData[[#Totals],[Winning Candidate]]-SamplingData[[#Totals],[Candidate 5]]), 0)</f>
        <v>0</v>
      </c>
      <c r="U624" s="99">
        <f>IF(AND(SamplingData[[#This Row],[Total]]&lt;&gt; 0, NOT(ISBLANK(SamplingData[[#This Row],[Candidate 6]]))),(SamplingData[[#This Row],[Total]]+SamplingData[[#This Row],[Losing Candidate]]-SamplingData[[#This Row],[Candidate 6]])/(SamplingData[[#Totals],[Winning Candidate]]-SamplingData[[#Totals],[Candidate 6]]), 0)</f>
        <v>0</v>
      </c>
      <c r="V624" s="99">
        <f>IF(AND(SamplingData[[#This Row],[Total]]&lt;&gt; 0, NOT(ISBLANK(SamplingData[[#This Row],[Candidate 7]]))),(SamplingData[[#This Row],[Total]]+SamplingData[[#This Row],[Winning Candidate]]-SamplingData[[#This Row],[Candidate 7]])/(SamplingData[[#Totals],[Winning Candidate]]-SamplingData[[#Totals],[Candidate 7]]), 0)</f>
        <v>0</v>
      </c>
      <c r="W624" s="99">
        <f>IF(AND(SamplingData[[#This Row],[Total]]&lt;&gt; 0, NOT(ISBLANK(SamplingData[[#This Row],[Candidate 8]]))),(SamplingData[[#This Row],[Total]]+SamplingData[[#This Row],[Winning Candidate]]-SamplingData[[#This Row],[Candidate 8]])/(SamplingData[[#Totals],[Winning Candidate]]-SamplingData[[#Totals],[Candidate 8]]), 0)</f>
        <v>0</v>
      </c>
      <c r="X6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4" s="99">
        <f>MAX(SamplingData[[#This Row],[Error Bound (up) - Max. possible relative overstatement - Losing Candidate]:[Error Bound (up) - Max. possible relative overstatement - Candidate 12]])</f>
        <v>2.5335257171957223E-2</v>
      </c>
      <c r="AC624" s="99">
        <f>IF(SamplingData[[#This Row],[Max Error Bound (up)]] = 0,0,SamplingData[[#This Row],[Max Error Bound (up)]]/SamplingData[[#Totals],[Max Error Bound (up)]])</f>
        <v>1.3564728978078325E-3</v>
      </c>
      <c r="AD624" s="103">
        <f>SUM($AC$5:AC624)</f>
        <v>0.52340086159886645</v>
      </c>
      <c r="AE624" s="99" t="str" cm="1">
        <f t="array" ref="AE624">IF(SamplingData[[#This Row],[up/U Selection Probability]] = 0, "Zero", TEXT(SamplingData[[#This Row],[Lower Range]], REPT("0",LEN('General Info'!$B$42))) &amp; " - " &amp; TEXT(SamplingData[[#This Row],[Upper Range]], REPT("0",LEN('General Info'!$B$42))))</f>
        <v>522044 - 523400</v>
      </c>
      <c r="AF624" s="99">
        <f>SamplingData[[#This Row],[Upper Range]]-SamplingData[[#This Row],[Span]]</f>
        <v>522044.38870105863</v>
      </c>
      <c r="AG624" s="99">
        <f>IF(ISNUMBER('General Info'!$B$42), ((SamplingData[[#This Row],[up/U Selection Probability]]) * 'General Info'!$B$44) - 1, 0)</f>
        <v>1355.4728978078324</v>
      </c>
      <c r="AH624" s="99">
        <f>IF(ISNUMBER('General Info'!$B$42), (SamplingData[[#This Row],[Running (cumulative) sum]] * ('General Info'!$B$42 -'General Info'!$B$43 + 1)) + 'General Info'!$B$43 - 1, 0)</f>
        <v>523399.86159886647</v>
      </c>
      <c r="AI624" s="99" t="str">
        <f>IF(ISERROR(MATCH(SamplingData[[#This Row],[Batch by Type (p)]],SelectedPrecincts[Batch Name], 0)), "", INDEX(SelectedPrecincts[Draw], MATCH(SamplingData[[#This Row],[Batch by Type (p)]],SelectedPrecincts[Batch Name], 0)))</f>
        <v/>
      </c>
      <c r="AJ624" s="100">
        <f>IF(COUNTIF(SelectedPrecincts[Batch Name],SamplingData[[#This Row],[Batch by Type (p)]]) &lt;&gt; 0, COUNTIF(SelectedPrecincts[Batch Name],SamplingData[[#This Row],[Batch by Type (p)]]), 0)</f>
        <v>0</v>
      </c>
    </row>
    <row r="625" spans="1:36" ht="15" customHeight="1" x14ac:dyDescent="0.35">
      <c r="A625" s="97" t="s">
        <v>838</v>
      </c>
      <c r="B625" s="97">
        <v>278</v>
      </c>
      <c r="C625" s="97">
        <v>29</v>
      </c>
      <c r="D625" s="92"/>
      <c r="E625" s="92"/>
      <c r="F625" s="92"/>
      <c r="G625" s="96"/>
      <c r="H625" s="96"/>
      <c r="I625" s="92"/>
      <c r="J625" s="92"/>
      <c r="K625" s="92"/>
      <c r="L625" s="92"/>
      <c r="M625" s="92"/>
      <c r="N625" s="97">
        <v>1</v>
      </c>
      <c r="O625" s="97">
        <v>23</v>
      </c>
      <c r="P625" s="98">
        <f>SUM(SamplingData[[#This Row],[Winning Candidate]:[Under Votes]])</f>
        <v>331</v>
      </c>
      <c r="Q625" s="99">
        <f>IF(AND(SamplingData[[#This Row],[Total]]&lt;&gt; 0, NOT(ISBLANK(SamplingData[[#This Row],[Losing Candidate]]))),(SamplingData[[#This Row],[Total]]+SamplingData[[#This Row],[Winning Candidate]]-SamplingData[[#This Row],[Losing Candidate]])/(SamplingData[[#Totals],[Winning Candidate]]-SamplingData[[#Totals],[Losing Candidate]]), 0)</f>
        <v>2.461381768799864E-2</v>
      </c>
      <c r="R625" s="99">
        <f>IF(AND(SamplingData[[#This Row],[Total]]&lt;&gt; 0, NOT(ISBLANK(SamplingData[[#This Row],[Candidate 3]]))),(SamplingData[[#This Row],[Total]]+SamplingData[[#This Row],[Winning Candidate]]-SamplingData[[#This Row],[Candidate 3]])/(SamplingData[[#Totals],[Winning Candidate]]-SamplingData[[#Totals],[Candidate 3]]), 0)</f>
        <v>0</v>
      </c>
      <c r="S625" s="99">
        <f>IF(AND(SamplingData[[#This Row],[Total]]&lt;&gt; 0, NOT(ISBLANK(SamplingData[[#This Row],[Candidate 4]]))),(SamplingData[[#This Row],[Total]]+SamplingData[[#This Row],[Winning Candidate]]-SamplingData[[#This Row],[Candidate 4]])/(SamplingData[[#Totals],[Winning Candidate]]-SamplingData[[#Totals],[Candidate 4]]), 0)</f>
        <v>0</v>
      </c>
      <c r="T625" s="99">
        <f>IF(AND(SamplingData[[#This Row],[Total]]&lt;&gt; 0, NOT(ISBLANK(SamplingData[[#This Row],[Candidate 5]]))),(SamplingData[[#This Row],[Total]]+SamplingData[[#This Row],[Winning Candidate]]-SamplingData[[#This Row],[Candidate 5]])/(SamplingData[[#Totals],[Winning Candidate]]-SamplingData[[#Totals],[Candidate 5]]), 0)</f>
        <v>0</v>
      </c>
      <c r="U625" s="99">
        <f>IF(AND(SamplingData[[#This Row],[Total]]&lt;&gt; 0, NOT(ISBLANK(SamplingData[[#This Row],[Candidate 6]]))),(SamplingData[[#This Row],[Total]]+SamplingData[[#This Row],[Losing Candidate]]-SamplingData[[#This Row],[Candidate 6]])/(SamplingData[[#Totals],[Winning Candidate]]-SamplingData[[#Totals],[Candidate 6]]), 0)</f>
        <v>0</v>
      </c>
      <c r="V625" s="99">
        <f>IF(AND(SamplingData[[#This Row],[Total]]&lt;&gt; 0, NOT(ISBLANK(SamplingData[[#This Row],[Candidate 7]]))),(SamplingData[[#This Row],[Total]]+SamplingData[[#This Row],[Winning Candidate]]-SamplingData[[#This Row],[Candidate 7]])/(SamplingData[[#Totals],[Winning Candidate]]-SamplingData[[#Totals],[Candidate 7]]), 0)</f>
        <v>0</v>
      </c>
      <c r="W625" s="99">
        <f>IF(AND(SamplingData[[#This Row],[Total]]&lt;&gt; 0, NOT(ISBLANK(SamplingData[[#This Row],[Candidate 8]]))),(SamplingData[[#This Row],[Total]]+SamplingData[[#This Row],[Winning Candidate]]-SamplingData[[#This Row],[Candidate 8]])/(SamplingData[[#Totals],[Winning Candidate]]-SamplingData[[#Totals],[Candidate 8]]), 0)</f>
        <v>0</v>
      </c>
      <c r="X6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5" s="99">
        <f>MAX(SamplingData[[#This Row],[Error Bound (up) - Max. possible relative overstatement - Losing Candidate]:[Error Bound (up) - Max. possible relative overstatement - Candidate 12]])</f>
        <v>2.461381768799864E-2</v>
      </c>
      <c r="AC625" s="99">
        <f>IF(SamplingData[[#This Row],[Max Error Bound (up)]] = 0,0,SamplingData[[#This Row],[Max Error Bound (up)]]/SamplingData[[#Totals],[Max Error Bound (up)]])</f>
        <v>1.3178463663794686E-3</v>
      </c>
      <c r="AD625" s="103">
        <f>SUM($AC$5:AC625)</f>
        <v>0.52471870796524589</v>
      </c>
      <c r="AE625" s="99" t="str" cm="1">
        <f t="array" ref="AE625">IF(SamplingData[[#This Row],[up/U Selection Probability]] = 0, "Zero", TEXT(SamplingData[[#This Row],[Lower Range]], REPT("0",LEN('General Info'!$B$42))) &amp; " - " &amp; TEXT(SamplingData[[#This Row],[Upper Range]], REPT("0",LEN('General Info'!$B$42))))</f>
        <v>523401 - 524718</v>
      </c>
      <c r="AF625" s="99">
        <f>SamplingData[[#This Row],[Upper Range]]-SamplingData[[#This Row],[Span]]</f>
        <v>523400.86159886647</v>
      </c>
      <c r="AG625" s="99">
        <f>IF(ISNUMBER('General Info'!$B$42), ((SamplingData[[#This Row],[up/U Selection Probability]]) * 'General Info'!$B$44) - 1, 0)</f>
        <v>1316.8463663794685</v>
      </c>
      <c r="AH625" s="99">
        <f>IF(ISNUMBER('General Info'!$B$42), (SamplingData[[#This Row],[Running (cumulative) sum]] * ('General Info'!$B$42 -'General Info'!$B$43 + 1)) + 'General Info'!$B$43 - 1, 0)</f>
        <v>524717.70796524594</v>
      </c>
      <c r="AI625" s="99" t="str">
        <f>IF(ISERROR(MATCH(SamplingData[[#This Row],[Batch by Type (p)]],SelectedPrecincts[Batch Name], 0)), "", INDEX(SelectedPrecincts[Draw], MATCH(SamplingData[[#This Row],[Batch by Type (p)]],SelectedPrecincts[Batch Name], 0)))</f>
        <v/>
      </c>
      <c r="AJ625" s="100">
        <f>IF(COUNTIF(SelectedPrecincts[Batch Name],SamplingData[[#This Row],[Batch by Type (p)]]) &lt;&gt; 0, COUNTIF(SelectedPrecincts[Batch Name],SamplingData[[#This Row],[Batch by Type (p)]]), 0)</f>
        <v>0</v>
      </c>
    </row>
    <row r="626" spans="1:36" ht="15" customHeight="1" x14ac:dyDescent="0.35">
      <c r="A626" s="97" t="s">
        <v>839</v>
      </c>
      <c r="B626" s="97">
        <v>259</v>
      </c>
      <c r="C626" s="97">
        <v>37</v>
      </c>
      <c r="D626" s="92"/>
      <c r="E626" s="92"/>
      <c r="F626" s="92"/>
      <c r="G626" s="96"/>
      <c r="H626" s="96"/>
      <c r="I626" s="92"/>
      <c r="J626" s="92"/>
      <c r="K626" s="92"/>
      <c r="L626" s="92"/>
      <c r="M626" s="92"/>
      <c r="N626" s="97">
        <v>0</v>
      </c>
      <c r="O626" s="97">
        <v>20</v>
      </c>
      <c r="P626" s="98">
        <f>SUM(SamplingData[[#This Row],[Winning Candidate]:[Under Votes]])</f>
        <v>316</v>
      </c>
      <c r="Q626" s="99">
        <f>IF(AND(SamplingData[[#This Row],[Total]]&lt;&gt; 0, NOT(ISBLANK(SamplingData[[#This Row],[Losing Candidate]]))),(SamplingData[[#This Row],[Total]]+SamplingData[[#This Row],[Winning Candidate]]-SamplingData[[#This Row],[Losing Candidate]])/(SamplingData[[#Totals],[Winning Candidate]]-SamplingData[[#Totals],[Losing Candidate]]), 0)</f>
        <v>2.2831437786453912E-2</v>
      </c>
      <c r="R626" s="99">
        <f>IF(AND(SamplingData[[#This Row],[Total]]&lt;&gt; 0, NOT(ISBLANK(SamplingData[[#This Row],[Candidate 3]]))),(SamplingData[[#This Row],[Total]]+SamplingData[[#This Row],[Winning Candidate]]-SamplingData[[#This Row],[Candidate 3]])/(SamplingData[[#Totals],[Winning Candidate]]-SamplingData[[#Totals],[Candidate 3]]), 0)</f>
        <v>0</v>
      </c>
      <c r="S626" s="99">
        <f>IF(AND(SamplingData[[#This Row],[Total]]&lt;&gt; 0, NOT(ISBLANK(SamplingData[[#This Row],[Candidate 4]]))),(SamplingData[[#This Row],[Total]]+SamplingData[[#This Row],[Winning Candidate]]-SamplingData[[#This Row],[Candidate 4]])/(SamplingData[[#Totals],[Winning Candidate]]-SamplingData[[#Totals],[Candidate 4]]), 0)</f>
        <v>0</v>
      </c>
      <c r="T626" s="99">
        <f>IF(AND(SamplingData[[#This Row],[Total]]&lt;&gt; 0, NOT(ISBLANK(SamplingData[[#This Row],[Candidate 5]]))),(SamplingData[[#This Row],[Total]]+SamplingData[[#This Row],[Winning Candidate]]-SamplingData[[#This Row],[Candidate 5]])/(SamplingData[[#Totals],[Winning Candidate]]-SamplingData[[#Totals],[Candidate 5]]), 0)</f>
        <v>0</v>
      </c>
      <c r="U626" s="99">
        <f>IF(AND(SamplingData[[#This Row],[Total]]&lt;&gt; 0, NOT(ISBLANK(SamplingData[[#This Row],[Candidate 6]]))),(SamplingData[[#This Row],[Total]]+SamplingData[[#This Row],[Losing Candidate]]-SamplingData[[#This Row],[Candidate 6]])/(SamplingData[[#Totals],[Winning Candidate]]-SamplingData[[#Totals],[Candidate 6]]), 0)</f>
        <v>0</v>
      </c>
      <c r="V626" s="99">
        <f>IF(AND(SamplingData[[#This Row],[Total]]&lt;&gt; 0, NOT(ISBLANK(SamplingData[[#This Row],[Candidate 7]]))),(SamplingData[[#This Row],[Total]]+SamplingData[[#This Row],[Winning Candidate]]-SamplingData[[#This Row],[Candidate 7]])/(SamplingData[[#Totals],[Winning Candidate]]-SamplingData[[#Totals],[Candidate 7]]), 0)</f>
        <v>0</v>
      </c>
      <c r="W626" s="99">
        <f>IF(AND(SamplingData[[#This Row],[Total]]&lt;&gt; 0, NOT(ISBLANK(SamplingData[[#This Row],[Candidate 8]]))),(SamplingData[[#This Row],[Total]]+SamplingData[[#This Row],[Winning Candidate]]-SamplingData[[#This Row],[Candidate 8]])/(SamplingData[[#Totals],[Winning Candidate]]-SamplingData[[#Totals],[Candidate 8]]), 0)</f>
        <v>0</v>
      </c>
      <c r="X6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6" s="99">
        <f>MAX(SamplingData[[#This Row],[Error Bound (up) - Max. possible relative overstatement - Losing Candidate]:[Error Bound (up) - Max. possible relative overstatement - Candidate 12]])</f>
        <v>2.2831437786453912E-2</v>
      </c>
      <c r="AC626" s="99">
        <f>IF(SamplingData[[#This Row],[Max Error Bound (up)]] = 0,0,SamplingData[[#This Row],[Max Error Bound (up)]]/SamplingData[[#Totals],[Max Error Bound (up)]])</f>
        <v>1.2224161122623347E-3</v>
      </c>
      <c r="AD626" s="103">
        <f>SUM($AC$5:AC626)</f>
        <v>0.52594112407750826</v>
      </c>
      <c r="AE626" s="99" t="str" cm="1">
        <f t="array" ref="AE626">IF(SamplingData[[#This Row],[up/U Selection Probability]] = 0, "Zero", TEXT(SamplingData[[#This Row],[Lower Range]], REPT("0",LEN('General Info'!$B$42))) &amp; " - " &amp; TEXT(SamplingData[[#This Row],[Upper Range]], REPT("0",LEN('General Info'!$B$42))))</f>
        <v>524719 - 525940</v>
      </c>
      <c r="AF626" s="99">
        <f>SamplingData[[#This Row],[Upper Range]]-SamplingData[[#This Row],[Span]]</f>
        <v>524718.70796524594</v>
      </c>
      <c r="AG626" s="99">
        <f>IF(ISNUMBER('General Info'!$B$42), ((SamplingData[[#This Row],[up/U Selection Probability]]) * 'General Info'!$B$44) - 1, 0)</f>
        <v>1221.4161122623348</v>
      </c>
      <c r="AH626" s="99">
        <f>IF(ISNUMBER('General Info'!$B$42), (SamplingData[[#This Row],[Running (cumulative) sum]] * ('General Info'!$B$42 -'General Info'!$B$43 + 1)) + 'General Info'!$B$43 - 1, 0)</f>
        <v>525940.12407750823</v>
      </c>
      <c r="AI626" s="99" t="str">
        <f>IF(ISERROR(MATCH(SamplingData[[#This Row],[Batch by Type (p)]],SelectedPrecincts[Batch Name], 0)), "", INDEX(SelectedPrecincts[Draw], MATCH(SamplingData[[#This Row],[Batch by Type (p)]],SelectedPrecincts[Batch Name], 0)))</f>
        <v/>
      </c>
      <c r="AJ626" s="100">
        <f>IF(COUNTIF(SelectedPrecincts[Batch Name],SamplingData[[#This Row],[Batch by Type (p)]]) &lt;&gt; 0, COUNTIF(SelectedPrecincts[Batch Name],SamplingData[[#This Row],[Batch by Type (p)]]), 0)</f>
        <v>0</v>
      </c>
    </row>
    <row r="627" spans="1:36" ht="15" customHeight="1" x14ac:dyDescent="0.35">
      <c r="A627" s="97" t="s">
        <v>840</v>
      </c>
      <c r="B627" s="97">
        <v>94</v>
      </c>
      <c r="C627" s="97">
        <v>5</v>
      </c>
      <c r="D627" s="92"/>
      <c r="E627" s="92"/>
      <c r="F627" s="92"/>
      <c r="G627" s="96"/>
      <c r="H627" s="96"/>
      <c r="I627" s="92"/>
      <c r="J627" s="92"/>
      <c r="K627" s="92"/>
      <c r="L627" s="92"/>
      <c r="M627" s="92"/>
      <c r="N627" s="97">
        <v>0</v>
      </c>
      <c r="O627" s="97">
        <v>13</v>
      </c>
      <c r="P627" s="98">
        <f>SUM(SamplingData[[#This Row],[Winning Candidate]:[Under Votes]])</f>
        <v>112</v>
      </c>
      <c r="Q627" s="99">
        <f>IF(AND(SamplingData[[#This Row],[Total]]&lt;&gt; 0, NOT(ISBLANK(SamplingData[[#This Row],[Losing Candidate]]))),(SamplingData[[#This Row],[Total]]+SamplingData[[#This Row],[Winning Candidate]]-SamplingData[[#This Row],[Losing Candidate]])/(SamplingData[[#Totals],[Winning Candidate]]-SamplingData[[#Totals],[Losing Candidate]]), 0)</f>
        <v>8.5299609573926335E-3</v>
      </c>
      <c r="R627" s="99">
        <f>IF(AND(SamplingData[[#This Row],[Total]]&lt;&gt; 0, NOT(ISBLANK(SamplingData[[#This Row],[Candidate 3]]))),(SamplingData[[#This Row],[Total]]+SamplingData[[#This Row],[Winning Candidate]]-SamplingData[[#This Row],[Candidate 3]])/(SamplingData[[#Totals],[Winning Candidate]]-SamplingData[[#Totals],[Candidate 3]]), 0)</f>
        <v>0</v>
      </c>
      <c r="S627" s="99">
        <f>IF(AND(SamplingData[[#This Row],[Total]]&lt;&gt; 0, NOT(ISBLANK(SamplingData[[#This Row],[Candidate 4]]))),(SamplingData[[#This Row],[Total]]+SamplingData[[#This Row],[Winning Candidate]]-SamplingData[[#This Row],[Candidate 4]])/(SamplingData[[#Totals],[Winning Candidate]]-SamplingData[[#Totals],[Candidate 4]]), 0)</f>
        <v>0</v>
      </c>
      <c r="T627" s="99">
        <f>IF(AND(SamplingData[[#This Row],[Total]]&lt;&gt; 0, NOT(ISBLANK(SamplingData[[#This Row],[Candidate 5]]))),(SamplingData[[#This Row],[Total]]+SamplingData[[#This Row],[Winning Candidate]]-SamplingData[[#This Row],[Candidate 5]])/(SamplingData[[#Totals],[Winning Candidate]]-SamplingData[[#Totals],[Candidate 5]]), 0)</f>
        <v>0</v>
      </c>
      <c r="U627" s="99">
        <f>IF(AND(SamplingData[[#This Row],[Total]]&lt;&gt; 0, NOT(ISBLANK(SamplingData[[#This Row],[Candidate 6]]))),(SamplingData[[#This Row],[Total]]+SamplingData[[#This Row],[Losing Candidate]]-SamplingData[[#This Row],[Candidate 6]])/(SamplingData[[#Totals],[Winning Candidate]]-SamplingData[[#Totals],[Candidate 6]]), 0)</f>
        <v>0</v>
      </c>
      <c r="V627" s="99">
        <f>IF(AND(SamplingData[[#This Row],[Total]]&lt;&gt; 0, NOT(ISBLANK(SamplingData[[#This Row],[Candidate 7]]))),(SamplingData[[#This Row],[Total]]+SamplingData[[#This Row],[Winning Candidate]]-SamplingData[[#This Row],[Candidate 7]])/(SamplingData[[#Totals],[Winning Candidate]]-SamplingData[[#Totals],[Candidate 7]]), 0)</f>
        <v>0</v>
      </c>
      <c r="W627" s="99">
        <f>IF(AND(SamplingData[[#This Row],[Total]]&lt;&gt; 0, NOT(ISBLANK(SamplingData[[#This Row],[Candidate 8]]))),(SamplingData[[#This Row],[Total]]+SamplingData[[#This Row],[Winning Candidate]]-SamplingData[[#This Row],[Candidate 8]])/(SamplingData[[#Totals],[Winning Candidate]]-SamplingData[[#Totals],[Candidate 8]]), 0)</f>
        <v>0</v>
      </c>
      <c r="X6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7" s="99">
        <f>MAX(SamplingData[[#This Row],[Error Bound (up) - Max. possible relative overstatement - Losing Candidate]:[Error Bound (up) - Max. possible relative overstatement - Candidate 12]])</f>
        <v>8.5299609573926335E-3</v>
      </c>
      <c r="AC627" s="99">
        <f>IF(SamplingData[[#This Row],[Max Error Bound (up)]] = 0,0,SamplingData[[#This Row],[Max Error Bound (up)]]/SamplingData[[#Totals],[Max Error Bound (up)]])</f>
        <v>4.567019304177125E-4</v>
      </c>
      <c r="AD627" s="103">
        <f>SUM($AC$5:AC627)</f>
        <v>0.52639782600792595</v>
      </c>
      <c r="AE627" s="99" t="str" cm="1">
        <f t="array" ref="AE627">IF(SamplingData[[#This Row],[up/U Selection Probability]] = 0, "Zero", TEXT(SamplingData[[#This Row],[Lower Range]], REPT("0",LEN('General Info'!$B$42))) &amp; " - " &amp; TEXT(SamplingData[[#This Row],[Upper Range]], REPT("0",LEN('General Info'!$B$42))))</f>
        <v>525941 - 526397</v>
      </c>
      <c r="AF627" s="99">
        <f>SamplingData[[#This Row],[Upper Range]]-SamplingData[[#This Row],[Span]]</f>
        <v>525941.12407750823</v>
      </c>
      <c r="AG627" s="99">
        <f>IF(ISNUMBER('General Info'!$B$42), ((SamplingData[[#This Row],[up/U Selection Probability]]) * 'General Info'!$B$44) - 1, 0)</f>
        <v>455.7019304177125</v>
      </c>
      <c r="AH627" s="99">
        <f>IF(ISNUMBER('General Info'!$B$42), (SamplingData[[#This Row],[Running (cumulative) sum]] * ('General Info'!$B$42 -'General Info'!$B$43 + 1)) + 'General Info'!$B$43 - 1, 0)</f>
        <v>526396.82600792591</v>
      </c>
      <c r="AI627" s="99" t="str">
        <f>IF(ISERROR(MATCH(SamplingData[[#This Row],[Batch by Type (p)]],SelectedPrecincts[Batch Name], 0)), "", INDEX(SelectedPrecincts[Draw], MATCH(SamplingData[[#This Row],[Batch by Type (p)]],SelectedPrecincts[Batch Name], 0)))</f>
        <v/>
      </c>
      <c r="AJ627" s="100">
        <f>IF(COUNTIF(SelectedPrecincts[Batch Name],SamplingData[[#This Row],[Batch by Type (p)]]) &lt;&gt; 0, COUNTIF(SelectedPrecincts[Batch Name],SamplingData[[#This Row],[Batch by Type (p)]]), 0)</f>
        <v>0</v>
      </c>
    </row>
    <row r="628" spans="1:36" ht="15" customHeight="1" x14ac:dyDescent="0.35">
      <c r="A628" s="97" t="s">
        <v>841</v>
      </c>
      <c r="B628" s="97">
        <v>274</v>
      </c>
      <c r="C628" s="97">
        <v>33</v>
      </c>
      <c r="D628" s="92"/>
      <c r="E628" s="92"/>
      <c r="F628" s="92"/>
      <c r="G628" s="96"/>
      <c r="H628" s="96"/>
      <c r="I628" s="92"/>
      <c r="J628" s="92"/>
      <c r="K628" s="92"/>
      <c r="L628" s="92"/>
      <c r="M628" s="92"/>
      <c r="N628" s="97">
        <v>0</v>
      </c>
      <c r="O628" s="97">
        <v>19</v>
      </c>
      <c r="P628" s="98">
        <f>SUM(SamplingData[[#This Row],[Winning Candidate]:[Under Votes]])</f>
        <v>326</v>
      </c>
      <c r="Q628" s="99">
        <f>IF(AND(SamplingData[[#This Row],[Total]]&lt;&gt; 0, NOT(ISBLANK(SamplingData[[#This Row],[Losing Candidate]]))),(SamplingData[[#This Row],[Total]]+SamplingData[[#This Row],[Winning Candidate]]-SamplingData[[#This Row],[Losing Candidate]])/(SamplingData[[#Totals],[Winning Candidate]]-SamplingData[[#Totals],[Losing Candidate]]), 0)</f>
        <v>2.4062128670853843E-2</v>
      </c>
      <c r="R628" s="99">
        <f>IF(AND(SamplingData[[#This Row],[Total]]&lt;&gt; 0, NOT(ISBLANK(SamplingData[[#This Row],[Candidate 3]]))),(SamplingData[[#This Row],[Total]]+SamplingData[[#This Row],[Winning Candidate]]-SamplingData[[#This Row],[Candidate 3]])/(SamplingData[[#Totals],[Winning Candidate]]-SamplingData[[#Totals],[Candidate 3]]), 0)</f>
        <v>0</v>
      </c>
      <c r="S628" s="99">
        <f>IF(AND(SamplingData[[#This Row],[Total]]&lt;&gt; 0, NOT(ISBLANK(SamplingData[[#This Row],[Candidate 4]]))),(SamplingData[[#This Row],[Total]]+SamplingData[[#This Row],[Winning Candidate]]-SamplingData[[#This Row],[Candidate 4]])/(SamplingData[[#Totals],[Winning Candidate]]-SamplingData[[#Totals],[Candidate 4]]), 0)</f>
        <v>0</v>
      </c>
      <c r="T628" s="99">
        <f>IF(AND(SamplingData[[#This Row],[Total]]&lt;&gt; 0, NOT(ISBLANK(SamplingData[[#This Row],[Candidate 5]]))),(SamplingData[[#This Row],[Total]]+SamplingData[[#This Row],[Winning Candidate]]-SamplingData[[#This Row],[Candidate 5]])/(SamplingData[[#Totals],[Winning Candidate]]-SamplingData[[#Totals],[Candidate 5]]), 0)</f>
        <v>0</v>
      </c>
      <c r="U628" s="99">
        <f>IF(AND(SamplingData[[#This Row],[Total]]&lt;&gt; 0, NOT(ISBLANK(SamplingData[[#This Row],[Candidate 6]]))),(SamplingData[[#This Row],[Total]]+SamplingData[[#This Row],[Losing Candidate]]-SamplingData[[#This Row],[Candidate 6]])/(SamplingData[[#Totals],[Winning Candidate]]-SamplingData[[#Totals],[Candidate 6]]), 0)</f>
        <v>0</v>
      </c>
      <c r="V628" s="99">
        <f>IF(AND(SamplingData[[#This Row],[Total]]&lt;&gt; 0, NOT(ISBLANK(SamplingData[[#This Row],[Candidate 7]]))),(SamplingData[[#This Row],[Total]]+SamplingData[[#This Row],[Winning Candidate]]-SamplingData[[#This Row],[Candidate 7]])/(SamplingData[[#Totals],[Winning Candidate]]-SamplingData[[#Totals],[Candidate 7]]), 0)</f>
        <v>0</v>
      </c>
      <c r="W628" s="99">
        <f>IF(AND(SamplingData[[#This Row],[Total]]&lt;&gt; 0, NOT(ISBLANK(SamplingData[[#This Row],[Candidate 8]]))),(SamplingData[[#This Row],[Total]]+SamplingData[[#This Row],[Winning Candidate]]-SamplingData[[#This Row],[Candidate 8]])/(SamplingData[[#Totals],[Winning Candidate]]-SamplingData[[#Totals],[Candidate 8]]), 0)</f>
        <v>0</v>
      </c>
      <c r="X6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8" s="99">
        <f>MAX(SamplingData[[#This Row],[Error Bound (up) - Max. possible relative overstatement - Losing Candidate]:[Error Bound (up) - Max. possible relative overstatement - Candidate 12]])</f>
        <v>2.4062128670853843E-2</v>
      </c>
      <c r="AC628" s="99">
        <f>IF(SamplingData[[#This Row],[Max Error Bound (up)]] = 0,0,SamplingData[[#This Row],[Max Error Bound (up)]]/SamplingData[[#Totals],[Max Error Bound (up)]])</f>
        <v>1.2883084305813082E-3</v>
      </c>
      <c r="AD628" s="103">
        <f>SUM($AC$5:AC628)</f>
        <v>0.5276861344385072</v>
      </c>
      <c r="AE628" s="99" t="str" cm="1">
        <f t="array" ref="AE628">IF(SamplingData[[#This Row],[up/U Selection Probability]] = 0, "Zero", TEXT(SamplingData[[#This Row],[Lower Range]], REPT("0",LEN('General Info'!$B$42))) &amp; " - " &amp; TEXT(SamplingData[[#This Row],[Upper Range]], REPT("0",LEN('General Info'!$B$42))))</f>
        <v>526398 - 527685</v>
      </c>
      <c r="AF628" s="99">
        <f>SamplingData[[#This Row],[Upper Range]]-SamplingData[[#This Row],[Span]]</f>
        <v>526397.82600792591</v>
      </c>
      <c r="AG628" s="99">
        <f>IF(ISNUMBER('General Info'!$B$42), ((SamplingData[[#This Row],[up/U Selection Probability]]) * 'General Info'!$B$44) - 1, 0)</f>
        <v>1287.3084305813081</v>
      </c>
      <c r="AH628" s="99">
        <f>IF(ISNUMBER('General Info'!$B$42), (SamplingData[[#This Row],[Running (cumulative) sum]] * ('General Info'!$B$42 -'General Info'!$B$43 + 1)) + 'General Info'!$B$43 - 1, 0)</f>
        <v>527685.13443850726</v>
      </c>
      <c r="AI628" s="99" t="str">
        <f>IF(ISERROR(MATCH(SamplingData[[#This Row],[Batch by Type (p)]],SelectedPrecincts[Batch Name], 0)), "", INDEX(SelectedPrecincts[Draw], MATCH(SamplingData[[#This Row],[Batch by Type (p)]],SelectedPrecincts[Batch Name], 0)))</f>
        <v/>
      </c>
      <c r="AJ628" s="100">
        <f>IF(COUNTIF(SelectedPrecincts[Batch Name],SamplingData[[#This Row],[Batch by Type (p)]]) &lt;&gt; 0, COUNTIF(SelectedPrecincts[Batch Name],SamplingData[[#This Row],[Batch by Type (p)]]), 0)</f>
        <v>0</v>
      </c>
    </row>
    <row r="629" spans="1:36" ht="15" customHeight="1" x14ac:dyDescent="0.35">
      <c r="A629" s="97" t="s">
        <v>842</v>
      </c>
      <c r="B629" s="97">
        <v>287</v>
      </c>
      <c r="C629" s="97">
        <v>57</v>
      </c>
      <c r="D629" s="92"/>
      <c r="E629" s="92"/>
      <c r="F629" s="92"/>
      <c r="G629" s="96"/>
      <c r="H629" s="96"/>
      <c r="I629" s="92"/>
      <c r="J629" s="92"/>
      <c r="K629" s="92"/>
      <c r="L629" s="92"/>
      <c r="M629" s="92"/>
      <c r="N629" s="97">
        <v>0</v>
      </c>
      <c r="O629" s="97">
        <v>25</v>
      </c>
      <c r="P629" s="98">
        <f>SUM(SamplingData[[#This Row],[Winning Candidate]:[Under Votes]])</f>
        <v>369</v>
      </c>
      <c r="Q629" s="99">
        <f>IF(AND(SamplingData[[#This Row],[Total]]&lt;&gt; 0, NOT(ISBLANK(SamplingData[[#This Row],[Losing Candidate]]))),(SamplingData[[#This Row],[Total]]+SamplingData[[#This Row],[Winning Candidate]]-SamplingData[[#This Row],[Losing Candidate]])/(SamplingData[[#Totals],[Winning Candidate]]-SamplingData[[#Totals],[Losing Candidate]]), 0)</f>
        <v>2.5420132405364115E-2</v>
      </c>
      <c r="R629" s="99">
        <f>IF(AND(SamplingData[[#This Row],[Total]]&lt;&gt; 0, NOT(ISBLANK(SamplingData[[#This Row],[Candidate 3]]))),(SamplingData[[#This Row],[Total]]+SamplingData[[#This Row],[Winning Candidate]]-SamplingData[[#This Row],[Candidate 3]])/(SamplingData[[#Totals],[Winning Candidate]]-SamplingData[[#Totals],[Candidate 3]]), 0)</f>
        <v>0</v>
      </c>
      <c r="S629" s="99">
        <f>IF(AND(SamplingData[[#This Row],[Total]]&lt;&gt; 0, NOT(ISBLANK(SamplingData[[#This Row],[Candidate 4]]))),(SamplingData[[#This Row],[Total]]+SamplingData[[#This Row],[Winning Candidate]]-SamplingData[[#This Row],[Candidate 4]])/(SamplingData[[#Totals],[Winning Candidate]]-SamplingData[[#Totals],[Candidate 4]]), 0)</f>
        <v>0</v>
      </c>
      <c r="T629" s="99">
        <f>IF(AND(SamplingData[[#This Row],[Total]]&lt;&gt; 0, NOT(ISBLANK(SamplingData[[#This Row],[Candidate 5]]))),(SamplingData[[#This Row],[Total]]+SamplingData[[#This Row],[Winning Candidate]]-SamplingData[[#This Row],[Candidate 5]])/(SamplingData[[#Totals],[Winning Candidate]]-SamplingData[[#Totals],[Candidate 5]]), 0)</f>
        <v>0</v>
      </c>
      <c r="U629" s="99">
        <f>IF(AND(SamplingData[[#This Row],[Total]]&lt;&gt; 0, NOT(ISBLANK(SamplingData[[#This Row],[Candidate 6]]))),(SamplingData[[#This Row],[Total]]+SamplingData[[#This Row],[Losing Candidate]]-SamplingData[[#This Row],[Candidate 6]])/(SamplingData[[#Totals],[Winning Candidate]]-SamplingData[[#Totals],[Candidate 6]]), 0)</f>
        <v>0</v>
      </c>
      <c r="V629" s="99">
        <f>IF(AND(SamplingData[[#This Row],[Total]]&lt;&gt; 0, NOT(ISBLANK(SamplingData[[#This Row],[Candidate 7]]))),(SamplingData[[#This Row],[Total]]+SamplingData[[#This Row],[Winning Candidate]]-SamplingData[[#This Row],[Candidate 7]])/(SamplingData[[#Totals],[Winning Candidate]]-SamplingData[[#Totals],[Candidate 7]]), 0)</f>
        <v>0</v>
      </c>
      <c r="W629" s="99">
        <f>IF(AND(SamplingData[[#This Row],[Total]]&lt;&gt; 0, NOT(ISBLANK(SamplingData[[#This Row],[Candidate 8]]))),(SamplingData[[#This Row],[Total]]+SamplingData[[#This Row],[Winning Candidate]]-SamplingData[[#This Row],[Candidate 8]])/(SamplingData[[#Totals],[Winning Candidate]]-SamplingData[[#Totals],[Candidate 8]]), 0)</f>
        <v>0</v>
      </c>
      <c r="X6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9" s="99">
        <f>MAX(SamplingData[[#This Row],[Error Bound (up) - Max. possible relative overstatement - Losing Candidate]:[Error Bound (up) - Max. possible relative overstatement - Candidate 12]])</f>
        <v>2.5420132405364115E-2</v>
      </c>
      <c r="AC629" s="99">
        <f>IF(SamplingData[[#This Row],[Max Error Bound (up)]] = 0,0,SamplingData[[#This Row],[Max Error Bound (up)]]/SamplingData[[#Totals],[Max Error Bound (up)]])</f>
        <v>1.361017195622934E-3</v>
      </c>
      <c r="AD629" s="103">
        <f>SUM($AC$5:AC629)</f>
        <v>0.52904715163413019</v>
      </c>
      <c r="AE629" s="99" t="str" cm="1">
        <f t="array" ref="AE629">IF(SamplingData[[#This Row],[up/U Selection Probability]] = 0, "Zero", TEXT(SamplingData[[#This Row],[Lower Range]], REPT("0",LEN('General Info'!$B$42))) &amp; " - " &amp; TEXT(SamplingData[[#This Row],[Upper Range]], REPT("0",LEN('General Info'!$B$42))))</f>
        <v>527686 - 529046</v>
      </c>
      <c r="AF629" s="99">
        <f>SamplingData[[#This Row],[Upper Range]]-SamplingData[[#This Row],[Span]]</f>
        <v>527686.13443850726</v>
      </c>
      <c r="AG629" s="99">
        <f>IF(ISNUMBER('General Info'!$B$42), ((SamplingData[[#This Row],[up/U Selection Probability]]) * 'General Info'!$B$44) - 1, 0)</f>
        <v>1360.017195622934</v>
      </c>
      <c r="AH629" s="99">
        <f>IF(ISNUMBER('General Info'!$B$42), (SamplingData[[#This Row],[Running (cumulative) sum]] * ('General Info'!$B$42 -'General Info'!$B$43 + 1)) + 'General Info'!$B$43 - 1, 0)</f>
        <v>529046.15163413016</v>
      </c>
      <c r="AI629" s="99" t="str">
        <f>IF(ISERROR(MATCH(SamplingData[[#This Row],[Batch by Type (p)]],SelectedPrecincts[Batch Name], 0)), "", INDEX(SelectedPrecincts[Draw], MATCH(SamplingData[[#This Row],[Batch by Type (p)]],SelectedPrecincts[Batch Name], 0)))</f>
        <v/>
      </c>
      <c r="AJ629" s="100">
        <f>IF(COUNTIF(SelectedPrecincts[Batch Name],SamplingData[[#This Row],[Batch by Type (p)]]) &lt;&gt; 0, COUNTIF(SelectedPrecincts[Batch Name],SamplingData[[#This Row],[Batch by Type (p)]]), 0)</f>
        <v>0</v>
      </c>
    </row>
    <row r="630" spans="1:36" ht="15" customHeight="1" x14ac:dyDescent="0.35">
      <c r="A630" s="97" t="s">
        <v>843</v>
      </c>
      <c r="B630" s="97">
        <v>268</v>
      </c>
      <c r="C630" s="97">
        <v>122</v>
      </c>
      <c r="D630" s="92"/>
      <c r="E630" s="92"/>
      <c r="F630" s="92"/>
      <c r="G630" s="96"/>
      <c r="H630" s="96"/>
      <c r="I630" s="92"/>
      <c r="J630" s="92"/>
      <c r="K630" s="92"/>
      <c r="L630" s="92"/>
      <c r="M630" s="92"/>
      <c r="N630" s="97">
        <v>0</v>
      </c>
      <c r="O630" s="97">
        <v>40</v>
      </c>
      <c r="P630" s="98">
        <f>SUM(SamplingData[[#This Row],[Winning Candidate]:[Under Votes]])</f>
        <v>430</v>
      </c>
      <c r="Q630" s="99">
        <f>IF(AND(SamplingData[[#This Row],[Total]]&lt;&gt; 0, NOT(ISBLANK(SamplingData[[#This Row],[Losing Candidate]]))),(SamplingData[[#This Row],[Total]]+SamplingData[[#This Row],[Winning Candidate]]-SamplingData[[#This Row],[Losing Candidate]])/(SamplingData[[#Totals],[Winning Candidate]]-SamplingData[[#Totals],[Losing Candidate]]), 0)</f>
        <v>2.4444067221184859E-2</v>
      </c>
      <c r="R630" s="99">
        <f>IF(AND(SamplingData[[#This Row],[Total]]&lt;&gt; 0, NOT(ISBLANK(SamplingData[[#This Row],[Candidate 3]]))),(SamplingData[[#This Row],[Total]]+SamplingData[[#This Row],[Winning Candidate]]-SamplingData[[#This Row],[Candidate 3]])/(SamplingData[[#Totals],[Winning Candidate]]-SamplingData[[#Totals],[Candidate 3]]), 0)</f>
        <v>0</v>
      </c>
      <c r="S630" s="99">
        <f>IF(AND(SamplingData[[#This Row],[Total]]&lt;&gt; 0, NOT(ISBLANK(SamplingData[[#This Row],[Candidate 4]]))),(SamplingData[[#This Row],[Total]]+SamplingData[[#This Row],[Winning Candidate]]-SamplingData[[#This Row],[Candidate 4]])/(SamplingData[[#Totals],[Winning Candidate]]-SamplingData[[#Totals],[Candidate 4]]), 0)</f>
        <v>0</v>
      </c>
      <c r="T630" s="99">
        <f>IF(AND(SamplingData[[#This Row],[Total]]&lt;&gt; 0, NOT(ISBLANK(SamplingData[[#This Row],[Candidate 5]]))),(SamplingData[[#This Row],[Total]]+SamplingData[[#This Row],[Winning Candidate]]-SamplingData[[#This Row],[Candidate 5]])/(SamplingData[[#Totals],[Winning Candidate]]-SamplingData[[#Totals],[Candidate 5]]), 0)</f>
        <v>0</v>
      </c>
      <c r="U630" s="99">
        <f>IF(AND(SamplingData[[#This Row],[Total]]&lt;&gt; 0, NOT(ISBLANK(SamplingData[[#This Row],[Candidate 6]]))),(SamplingData[[#This Row],[Total]]+SamplingData[[#This Row],[Losing Candidate]]-SamplingData[[#This Row],[Candidate 6]])/(SamplingData[[#Totals],[Winning Candidate]]-SamplingData[[#Totals],[Candidate 6]]), 0)</f>
        <v>0</v>
      </c>
      <c r="V630" s="99">
        <f>IF(AND(SamplingData[[#This Row],[Total]]&lt;&gt; 0, NOT(ISBLANK(SamplingData[[#This Row],[Candidate 7]]))),(SamplingData[[#This Row],[Total]]+SamplingData[[#This Row],[Winning Candidate]]-SamplingData[[#This Row],[Candidate 7]])/(SamplingData[[#Totals],[Winning Candidate]]-SamplingData[[#Totals],[Candidate 7]]), 0)</f>
        <v>0</v>
      </c>
      <c r="W630" s="99">
        <f>IF(AND(SamplingData[[#This Row],[Total]]&lt;&gt; 0, NOT(ISBLANK(SamplingData[[#This Row],[Candidate 8]]))),(SamplingData[[#This Row],[Total]]+SamplingData[[#This Row],[Winning Candidate]]-SamplingData[[#This Row],[Candidate 8]])/(SamplingData[[#Totals],[Winning Candidate]]-SamplingData[[#Totals],[Candidate 8]]), 0)</f>
        <v>0</v>
      </c>
      <c r="X6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0" s="99">
        <f>MAX(SamplingData[[#This Row],[Error Bound (up) - Max. possible relative overstatement - Losing Candidate]:[Error Bound (up) - Max. possible relative overstatement - Candidate 12]])</f>
        <v>2.4444067221184859E-2</v>
      </c>
      <c r="AC630" s="99">
        <f>IF(SamplingData[[#This Row],[Max Error Bound (up)]] = 0,0,SamplingData[[#This Row],[Max Error Bound (up)]]/SamplingData[[#Totals],[Max Error Bound (up)]])</f>
        <v>1.3087577707492654E-3</v>
      </c>
      <c r="AD630" s="103">
        <f>SUM($AC$5:AC630)</f>
        <v>0.53035590940487942</v>
      </c>
      <c r="AE630" s="99" t="str" cm="1">
        <f t="array" ref="AE630">IF(SamplingData[[#This Row],[up/U Selection Probability]] = 0, "Zero", TEXT(SamplingData[[#This Row],[Lower Range]], REPT("0",LEN('General Info'!$B$42))) &amp; " - " &amp; TEXT(SamplingData[[#This Row],[Upper Range]], REPT("0",LEN('General Info'!$B$42))))</f>
        <v>529047 - 530355</v>
      </c>
      <c r="AF630" s="99">
        <f>SamplingData[[#This Row],[Upper Range]]-SamplingData[[#This Row],[Span]]</f>
        <v>529047.15163413016</v>
      </c>
      <c r="AG630" s="99">
        <f>IF(ISNUMBER('General Info'!$B$42), ((SamplingData[[#This Row],[up/U Selection Probability]]) * 'General Info'!$B$44) - 1, 0)</f>
        <v>1307.7577707492653</v>
      </c>
      <c r="AH630" s="99">
        <f>IF(ISNUMBER('General Info'!$B$42), (SamplingData[[#This Row],[Running (cumulative) sum]] * ('General Info'!$B$42 -'General Info'!$B$43 + 1)) + 'General Info'!$B$43 - 1, 0)</f>
        <v>530354.90940487944</v>
      </c>
      <c r="AI630" s="99" t="str">
        <f>IF(ISERROR(MATCH(SamplingData[[#This Row],[Batch by Type (p)]],SelectedPrecincts[Batch Name], 0)), "", INDEX(SelectedPrecincts[Draw], MATCH(SamplingData[[#This Row],[Batch by Type (p)]],SelectedPrecincts[Batch Name], 0)))</f>
        <v/>
      </c>
      <c r="AJ630" s="100">
        <f>IF(COUNTIF(SelectedPrecincts[Batch Name],SamplingData[[#This Row],[Batch by Type (p)]]) &lt;&gt; 0, COUNTIF(SelectedPrecincts[Batch Name],SamplingData[[#This Row],[Batch by Type (p)]]), 0)</f>
        <v>0</v>
      </c>
    </row>
    <row r="631" spans="1:36" ht="15" customHeight="1" x14ac:dyDescent="0.35">
      <c r="A631" s="97" t="s">
        <v>844</v>
      </c>
      <c r="B631" s="97">
        <v>249</v>
      </c>
      <c r="C631" s="97">
        <v>177</v>
      </c>
      <c r="D631" s="92"/>
      <c r="E631" s="92"/>
      <c r="F631" s="92"/>
      <c r="G631" s="96"/>
      <c r="H631" s="96"/>
      <c r="I631" s="92"/>
      <c r="J631" s="92"/>
      <c r="K631" s="92"/>
      <c r="L631" s="92"/>
      <c r="M631" s="92"/>
      <c r="N631" s="97">
        <v>0</v>
      </c>
      <c r="O631" s="97">
        <v>34</v>
      </c>
      <c r="P631" s="98">
        <f>SUM(SamplingData[[#This Row],[Winning Candidate]:[Under Votes]])</f>
        <v>460</v>
      </c>
      <c r="Q631" s="99">
        <f>IF(AND(SamplingData[[#This Row],[Total]]&lt;&gt; 0, NOT(ISBLANK(SamplingData[[#This Row],[Losing Candidate]]))),(SamplingData[[#This Row],[Total]]+SamplingData[[#This Row],[Winning Candidate]]-SamplingData[[#This Row],[Losing Candidate]])/(SamplingData[[#Totals],[Winning Candidate]]-SamplingData[[#Totals],[Losing Candidate]]), 0)</f>
        <v>2.2576812086233237E-2</v>
      </c>
      <c r="R631" s="99">
        <f>IF(AND(SamplingData[[#This Row],[Total]]&lt;&gt; 0, NOT(ISBLANK(SamplingData[[#This Row],[Candidate 3]]))),(SamplingData[[#This Row],[Total]]+SamplingData[[#This Row],[Winning Candidate]]-SamplingData[[#This Row],[Candidate 3]])/(SamplingData[[#Totals],[Winning Candidate]]-SamplingData[[#Totals],[Candidate 3]]), 0)</f>
        <v>0</v>
      </c>
      <c r="S631" s="99">
        <f>IF(AND(SamplingData[[#This Row],[Total]]&lt;&gt; 0, NOT(ISBLANK(SamplingData[[#This Row],[Candidate 4]]))),(SamplingData[[#This Row],[Total]]+SamplingData[[#This Row],[Winning Candidate]]-SamplingData[[#This Row],[Candidate 4]])/(SamplingData[[#Totals],[Winning Candidate]]-SamplingData[[#Totals],[Candidate 4]]), 0)</f>
        <v>0</v>
      </c>
      <c r="T631" s="99">
        <f>IF(AND(SamplingData[[#This Row],[Total]]&lt;&gt; 0, NOT(ISBLANK(SamplingData[[#This Row],[Candidate 5]]))),(SamplingData[[#This Row],[Total]]+SamplingData[[#This Row],[Winning Candidate]]-SamplingData[[#This Row],[Candidate 5]])/(SamplingData[[#Totals],[Winning Candidate]]-SamplingData[[#Totals],[Candidate 5]]), 0)</f>
        <v>0</v>
      </c>
      <c r="U631" s="99">
        <f>IF(AND(SamplingData[[#This Row],[Total]]&lt;&gt; 0, NOT(ISBLANK(SamplingData[[#This Row],[Candidate 6]]))),(SamplingData[[#This Row],[Total]]+SamplingData[[#This Row],[Losing Candidate]]-SamplingData[[#This Row],[Candidate 6]])/(SamplingData[[#Totals],[Winning Candidate]]-SamplingData[[#Totals],[Candidate 6]]), 0)</f>
        <v>0</v>
      </c>
      <c r="V631" s="99">
        <f>IF(AND(SamplingData[[#This Row],[Total]]&lt;&gt; 0, NOT(ISBLANK(SamplingData[[#This Row],[Candidate 7]]))),(SamplingData[[#This Row],[Total]]+SamplingData[[#This Row],[Winning Candidate]]-SamplingData[[#This Row],[Candidate 7]])/(SamplingData[[#Totals],[Winning Candidate]]-SamplingData[[#Totals],[Candidate 7]]), 0)</f>
        <v>0</v>
      </c>
      <c r="W631" s="99">
        <f>IF(AND(SamplingData[[#This Row],[Total]]&lt;&gt; 0, NOT(ISBLANK(SamplingData[[#This Row],[Candidate 8]]))),(SamplingData[[#This Row],[Total]]+SamplingData[[#This Row],[Winning Candidate]]-SamplingData[[#This Row],[Candidate 8]])/(SamplingData[[#Totals],[Winning Candidate]]-SamplingData[[#Totals],[Candidate 8]]), 0)</f>
        <v>0</v>
      </c>
      <c r="X6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1" s="99">
        <f>MAX(SamplingData[[#This Row],[Error Bound (up) - Max. possible relative overstatement - Losing Candidate]:[Error Bound (up) - Max. possible relative overstatement - Candidate 12]])</f>
        <v>2.2576812086233237E-2</v>
      </c>
      <c r="AC631" s="99">
        <f>IF(SamplingData[[#This Row],[Max Error Bound (up)]] = 0,0,SamplingData[[#This Row],[Max Error Bound (up)]]/SamplingData[[#Totals],[Max Error Bound (up)]])</f>
        <v>1.20878321881703E-3</v>
      </c>
      <c r="AD631" s="103">
        <f>SUM($AC$5:AC631)</f>
        <v>0.53156469262369643</v>
      </c>
      <c r="AE631" s="99" t="str" cm="1">
        <f t="array" ref="AE631">IF(SamplingData[[#This Row],[up/U Selection Probability]] = 0, "Zero", TEXT(SamplingData[[#This Row],[Lower Range]], REPT("0",LEN('General Info'!$B$42))) &amp; " - " &amp; TEXT(SamplingData[[#This Row],[Upper Range]], REPT("0",LEN('General Info'!$B$42))))</f>
        <v>530356 - 531564</v>
      </c>
      <c r="AF631" s="99">
        <f>SamplingData[[#This Row],[Upper Range]]-SamplingData[[#This Row],[Span]]</f>
        <v>530355.90940487932</v>
      </c>
      <c r="AG631" s="99">
        <f>IF(ISNUMBER('General Info'!$B$42), ((SamplingData[[#This Row],[up/U Selection Probability]]) * 'General Info'!$B$44) - 1, 0)</f>
        <v>1207.78321881703</v>
      </c>
      <c r="AH631" s="99">
        <f>IF(ISNUMBER('General Info'!$B$42), (SamplingData[[#This Row],[Running (cumulative) sum]] * ('General Info'!$B$42 -'General Info'!$B$43 + 1)) + 'General Info'!$B$43 - 1, 0)</f>
        <v>531563.69262369641</v>
      </c>
      <c r="AI631" s="99" t="str">
        <f>IF(ISERROR(MATCH(SamplingData[[#This Row],[Batch by Type (p)]],SelectedPrecincts[Batch Name], 0)), "", INDEX(SelectedPrecincts[Draw], MATCH(SamplingData[[#This Row],[Batch by Type (p)]],SelectedPrecincts[Batch Name], 0)))</f>
        <v/>
      </c>
      <c r="AJ631" s="100">
        <f>IF(COUNTIF(SelectedPrecincts[Batch Name],SamplingData[[#This Row],[Batch by Type (p)]]) &lt;&gt; 0, COUNTIF(SelectedPrecincts[Batch Name],SamplingData[[#This Row],[Batch by Type (p)]]), 0)</f>
        <v>0</v>
      </c>
    </row>
    <row r="632" spans="1:36" ht="15" customHeight="1" x14ac:dyDescent="0.35">
      <c r="A632" s="97" t="s">
        <v>845</v>
      </c>
      <c r="B632" s="97">
        <v>350</v>
      </c>
      <c r="C632" s="97">
        <v>44</v>
      </c>
      <c r="D632" s="92"/>
      <c r="E632" s="92"/>
      <c r="F632" s="92"/>
      <c r="G632" s="96"/>
      <c r="H632" s="96"/>
      <c r="I632" s="92"/>
      <c r="J632" s="92"/>
      <c r="K632" s="92"/>
      <c r="L632" s="92"/>
      <c r="M632" s="92"/>
      <c r="N632" s="97">
        <v>0</v>
      </c>
      <c r="O632" s="97">
        <v>31</v>
      </c>
      <c r="P632" s="98">
        <f>SUM(SamplingData[[#This Row],[Winning Candidate]:[Under Votes]])</f>
        <v>425</v>
      </c>
      <c r="Q632" s="99">
        <f>IF(AND(SamplingData[[#This Row],[Total]]&lt;&gt; 0, NOT(ISBLANK(SamplingData[[#This Row],[Losing Candidate]]))),(SamplingData[[#This Row],[Total]]+SamplingData[[#This Row],[Winning Candidate]]-SamplingData[[#This Row],[Losing Candidate]])/(SamplingData[[#Totals],[Winning Candidate]]-SamplingData[[#Totals],[Losing Candidate]]), 0)</f>
        <v>3.1021897810218978E-2</v>
      </c>
      <c r="R632" s="99">
        <f>IF(AND(SamplingData[[#This Row],[Total]]&lt;&gt; 0, NOT(ISBLANK(SamplingData[[#This Row],[Candidate 3]]))),(SamplingData[[#This Row],[Total]]+SamplingData[[#This Row],[Winning Candidate]]-SamplingData[[#This Row],[Candidate 3]])/(SamplingData[[#Totals],[Winning Candidate]]-SamplingData[[#Totals],[Candidate 3]]), 0)</f>
        <v>0</v>
      </c>
      <c r="S632" s="99">
        <f>IF(AND(SamplingData[[#This Row],[Total]]&lt;&gt; 0, NOT(ISBLANK(SamplingData[[#This Row],[Candidate 4]]))),(SamplingData[[#This Row],[Total]]+SamplingData[[#This Row],[Winning Candidate]]-SamplingData[[#This Row],[Candidate 4]])/(SamplingData[[#Totals],[Winning Candidate]]-SamplingData[[#Totals],[Candidate 4]]), 0)</f>
        <v>0</v>
      </c>
      <c r="T632" s="99">
        <f>IF(AND(SamplingData[[#This Row],[Total]]&lt;&gt; 0, NOT(ISBLANK(SamplingData[[#This Row],[Candidate 5]]))),(SamplingData[[#This Row],[Total]]+SamplingData[[#This Row],[Winning Candidate]]-SamplingData[[#This Row],[Candidate 5]])/(SamplingData[[#Totals],[Winning Candidate]]-SamplingData[[#Totals],[Candidate 5]]), 0)</f>
        <v>0</v>
      </c>
      <c r="U632" s="99">
        <f>IF(AND(SamplingData[[#This Row],[Total]]&lt;&gt; 0, NOT(ISBLANK(SamplingData[[#This Row],[Candidate 6]]))),(SamplingData[[#This Row],[Total]]+SamplingData[[#This Row],[Losing Candidate]]-SamplingData[[#This Row],[Candidate 6]])/(SamplingData[[#Totals],[Winning Candidate]]-SamplingData[[#Totals],[Candidate 6]]), 0)</f>
        <v>0</v>
      </c>
      <c r="V632" s="99">
        <f>IF(AND(SamplingData[[#This Row],[Total]]&lt;&gt; 0, NOT(ISBLANK(SamplingData[[#This Row],[Candidate 7]]))),(SamplingData[[#This Row],[Total]]+SamplingData[[#This Row],[Winning Candidate]]-SamplingData[[#This Row],[Candidate 7]])/(SamplingData[[#Totals],[Winning Candidate]]-SamplingData[[#Totals],[Candidate 7]]), 0)</f>
        <v>0</v>
      </c>
      <c r="W632" s="99">
        <f>IF(AND(SamplingData[[#This Row],[Total]]&lt;&gt; 0, NOT(ISBLANK(SamplingData[[#This Row],[Candidate 8]]))),(SamplingData[[#This Row],[Total]]+SamplingData[[#This Row],[Winning Candidate]]-SamplingData[[#This Row],[Candidate 8]])/(SamplingData[[#Totals],[Winning Candidate]]-SamplingData[[#Totals],[Candidate 8]]), 0)</f>
        <v>0</v>
      </c>
      <c r="X6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2" s="99">
        <f>MAX(SamplingData[[#This Row],[Error Bound (up) - Max. possible relative overstatement - Losing Candidate]:[Error Bound (up) - Max. possible relative overstatement - Candidate 12]])</f>
        <v>3.1021897810218978E-2</v>
      </c>
      <c r="AC632" s="99">
        <f>IF(SamplingData[[#This Row],[Max Error Bound (up)]] = 0,0,SamplingData[[#This Row],[Max Error Bound (up)]]/SamplingData[[#Totals],[Max Error Bound (up)]])</f>
        <v>1.6609408514196408E-3</v>
      </c>
      <c r="AD632" s="103">
        <f>SUM($AC$5:AC632)</f>
        <v>0.53322563347511609</v>
      </c>
      <c r="AE632" s="99" t="str" cm="1">
        <f t="array" ref="AE632">IF(SamplingData[[#This Row],[up/U Selection Probability]] = 0, "Zero", TEXT(SamplingData[[#This Row],[Lower Range]], REPT("0",LEN('General Info'!$B$42))) &amp; " - " &amp; TEXT(SamplingData[[#This Row],[Upper Range]], REPT("0",LEN('General Info'!$B$42))))</f>
        <v>531565 - 533225</v>
      </c>
      <c r="AF632" s="99">
        <f>SamplingData[[#This Row],[Upper Range]]-SamplingData[[#This Row],[Span]]</f>
        <v>531564.69262369641</v>
      </c>
      <c r="AG632" s="99">
        <f>IF(ISNUMBER('General Info'!$B$42), ((SamplingData[[#This Row],[up/U Selection Probability]]) * 'General Info'!$B$44) - 1, 0)</f>
        <v>1659.9408514196409</v>
      </c>
      <c r="AH632" s="99">
        <f>IF(ISNUMBER('General Info'!$B$42), (SamplingData[[#This Row],[Running (cumulative) sum]] * ('General Info'!$B$42 -'General Info'!$B$43 + 1)) + 'General Info'!$B$43 - 1, 0)</f>
        <v>533224.6334751161</v>
      </c>
      <c r="AI632" s="99" t="str">
        <f>IF(ISERROR(MATCH(SamplingData[[#This Row],[Batch by Type (p)]],SelectedPrecincts[Batch Name], 0)), "", INDEX(SelectedPrecincts[Draw], MATCH(SamplingData[[#This Row],[Batch by Type (p)]],SelectedPrecincts[Batch Name], 0)))</f>
        <v/>
      </c>
      <c r="AJ632" s="100">
        <f>IF(COUNTIF(SelectedPrecincts[Batch Name],SamplingData[[#This Row],[Batch by Type (p)]]) &lt;&gt; 0, COUNTIF(SelectedPrecincts[Batch Name],SamplingData[[#This Row],[Batch by Type (p)]]), 0)</f>
        <v>0</v>
      </c>
    </row>
    <row r="633" spans="1:36" ht="15" customHeight="1" x14ac:dyDescent="0.35">
      <c r="A633" s="97" t="s">
        <v>846</v>
      </c>
      <c r="B633" s="97">
        <v>167</v>
      </c>
      <c r="C633" s="97">
        <v>17</v>
      </c>
      <c r="D633" s="92"/>
      <c r="E633" s="92"/>
      <c r="F633" s="92"/>
      <c r="G633" s="96"/>
      <c r="H633" s="96"/>
      <c r="I633" s="92"/>
      <c r="J633" s="92"/>
      <c r="K633" s="92"/>
      <c r="L633" s="92"/>
      <c r="M633" s="92"/>
      <c r="N633" s="97">
        <v>0</v>
      </c>
      <c r="O633" s="97">
        <v>14</v>
      </c>
      <c r="P633" s="98">
        <f>SUM(SamplingData[[#This Row],[Winning Candidate]:[Under Votes]])</f>
        <v>198</v>
      </c>
      <c r="Q633" s="99">
        <f>IF(AND(SamplingData[[#This Row],[Total]]&lt;&gt; 0, NOT(ISBLANK(SamplingData[[#This Row],[Losing Candidate]]))),(SamplingData[[#This Row],[Total]]+SamplingData[[#This Row],[Winning Candidate]]-SamplingData[[#This Row],[Losing Candidate]])/(SamplingData[[#Totals],[Winning Candidate]]-SamplingData[[#Totals],[Losing Candidate]]), 0)</f>
        <v>1.4768290612799185E-2</v>
      </c>
      <c r="R633" s="99">
        <f>IF(AND(SamplingData[[#This Row],[Total]]&lt;&gt; 0, NOT(ISBLANK(SamplingData[[#This Row],[Candidate 3]]))),(SamplingData[[#This Row],[Total]]+SamplingData[[#This Row],[Winning Candidate]]-SamplingData[[#This Row],[Candidate 3]])/(SamplingData[[#Totals],[Winning Candidate]]-SamplingData[[#Totals],[Candidate 3]]), 0)</f>
        <v>0</v>
      </c>
      <c r="S633" s="99">
        <f>IF(AND(SamplingData[[#This Row],[Total]]&lt;&gt; 0, NOT(ISBLANK(SamplingData[[#This Row],[Candidate 4]]))),(SamplingData[[#This Row],[Total]]+SamplingData[[#This Row],[Winning Candidate]]-SamplingData[[#This Row],[Candidate 4]])/(SamplingData[[#Totals],[Winning Candidate]]-SamplingData[[#Totals],[Candidate 4]]), 0)</f>
        <v>0</v>
      </c>
      <c r="T633" s="99">
        <f>IF(AND(SamplingData[[#This Row],[Total]]&lt;&gt; 0, NOT(ISBLANK(SamplingData[[#This Row],[Candidate 5]]))),(SamplingData[[#This Row],[Total]]+SamplingData[[#This Row],[Winning Candidate]]-SamplingData[[#This Row],[Candidate 5]])/(SamplingData[[#Totals],[Winning Candidate]]-SamplingData[[#Totals],[Candidate 5]]), 0)</f>
        <v>0</v>
      </c>
      <c r="U633" s="99">
        <f>IF(AND(SamplingData[[#This Row],[Total]]&lt;&gt; 0, NOT(ISBLANK(SamplingData[[#This Row],[Candidate 6]]))),(SamplingData[[#This Row],[Total]]+SamplingData[[#This Row],[Losing Candidate]]-SamplingData[[#This Row],[Candidate 6]])/(SamplingData[[#Totals],[Winning Candidate]]-SamplingData[[#Totals],[Candidate 6]]), 0)</f>
        <v>0</v>
      </c>
      <c r="V633" s="99">
        <f>IF(AND(SamplingData[[#This Row],[Total]]&lt;&gt; 0, NOT(ISBLANK(SamplingData[[#This Row],[Candidate 7]]))),(SamplingData[[#This Row],[Total]]+SamplingData[[#This Row],[Winning Candidate]]-SamplingData[[#This Row],[Candidate 7]])/(SamplingData[[#Totals],[Winning Candidate]]-SamplingData[[#Totals],[Candidate 7]]), 0)</f>
        <v>0</v>
      </c>
      <c r="W633" s="99">
        <f>IF(AND(SamplingData[[#This Row],[Total]]&lt;&gt; 0, NOT(ISBLANK(SamplingData[[#This Row],[Candidate 8]]))),(SamplingData[[#This Row],[Total]]+SamplingData[[#This Row],[Winning Candidate]]-SamplingData[[#This Row],[Candidate 8]])/(SamplingData[[#Totals],[Winning Candidate]]-SamplingData[[#Totals],[Candidate 8]]), 0)</f>
        <v>0</v>
      </c>
      <c r="X6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3" s="99">
        <f>MAX(SamplingData[[#This Row],[Error Bound (up) - Max. possible relative overstatement - Losing Candidate]:[Error Bound (up) - Max. possible relative overstatement - Candidate 12]])</f>
        <v>1.4768290612799185E-2</v>
      </c>
      <c r="AC633" s="99">
        <f>IF(SamplingData[[#This Row],[Max Error Bound (up)]] = 0,0,SamplingData[[#This Row],[Max Error Bound (up)]]/SamplingData[[#Totals],[Max Error Bound (up)]])</f>
        <v>7.907078198276812E-4</v>
      </c>
      <c r="AD633" s="103">
        <f>SUM($AC$5:AC633)</f>
        <v>0.5340163412949438</v>
      </c>
      <c r="AE633" s="99" t="str" cm="1">
        <f t="array" ref="AE633">IF(SamplingData[[#This Row],[up/U Selection Probability]] = 0, "Zero", TEXT(SamplingData[[#This Row],[Lower Range]], REPT("0",LEN('General Info'!$B$42))) &amp; " - " &amp; TEXT(SamplingData[[#This Row],[Upper Range]], REPT("0",LEN('General Info'!$B$42))))</f>
        <v>533226 - 534015</v>
      </c>
      <c r="AF633" s="99">
        <f>SamplingData[[#This Row],[Upper Range]]-SamplingData[[#This Row],[Span]]</f>
        <v>533225.6334751161</v>
      </c>
      <c r="AG633" s="99">
        <f>IF(ISNUMBER('General Info'!$B$42), ((SamplingData[[#This Row],[up/U Selection Probability]]) * 'General Info'!$B$44) - 1, 0)</f>
        <v>789.70781982768119</v>
      </c>
      <c r="AH633" s="99">
        <f>IF(ISNUMBER('General Info'!$B$42), (SamplingData[[#This Row],[Running (cumulative) sum]] * ('General Info'!$B$42 -'General Info'!$B$43 + 1)) + 'General Info'!$B$43 - 1, 0)</f>
        <v>534015.34129494382</v>
      </c>
      <c r="AI633" s="99" t="str">
        <f>IF(ISERROR(MATCH(SamplingData[[#This Row],[Batch by Type (p)]],SelectedPrecincts[Batch Name], 0)), "", INDEX(SelectedPrecincts[Draw], MATCH(SamplingData[[#This Row],[Batch by Type (p)]],SelectedPrecincts[Batch Name], 0)))</f>
        <v/>
      </c>
      <c r="AJ633" s="100">
        <f>IF(COUNTIF(SelectedPrecincts[Batch Name],SamplingData[[#This Row],[Batch by Type (p)]]) &lt;&gt; 0, COUNTIF(SelectedPrecincts[Batch Name],SamplingData[[#This Row],[Batch by Type (p)]]), 0)</f>
        <v>0</v>
      </c>
    </row>
    <row r="634" spans="1:36" ht="15" customHeight="1" x14ac:dyDescent="0.35">
      <c r="A634" s="97" t="s">
        <v>847</v>
      </c>
      <c r="B634" s="97">
        <v>373</v>
      </c>
      <c r="C634" s="97">
        <v>116</v>
      </c>
      <c r="D634" s="92"/>
      <c r="E634" s="92"/>
      <c r="F634" s="92"/>
      <c r="G634" s="96"/>
      <c r="H634" s="96"/>
      <c r="I634" s="92"/>
      <c r="J634" s="92"/>
      <c r="K634" s="92"/>
      <c r="L634" s="92"/>
      <c r="M634" s="92"/>
      <c r="N634" s="97">
        <v>1</v>
      </c>
      <c r="O634" s="97">
        <v>38</v>
      </c>
      <c r="P634" s="98">
        <f>SUM(SamplingData[[#This Row],[Winning Candidate]:[Under Votes]])</f>
        <v>528</v>
      </c>
      <c r="Q634" s="99">
        <f>IF(AND(SamplingData[[#This Row],[Total]]&lt;&gt; 0, NOT(ISBLANK(SamplingData[[#This Row],[Losing Candidate]]))),(SamplingData[[#This Row],[Total]]+SamplingData[[#This Row],[Winning Candidate]]-SamplingData[[#This Row],[Losing Candidate]])/(SamplingData[[#Totals],[Winning Candidate]]-SamplingData[[#Totals],[Losing Candidate]]), 0)</f>
        <v>3.3313529112205059E-2</v>
      </c>
      <c r="R634" s="99">
        <f>IF(AND(SamplingData[[#This Row],[Total]]&lt;&gt; 0, NOT(ISBLANK(SamplingData[[#This Row],[Candidate 3]]))),(SamplingData[[#This Row],[Total]]+SamplingData[[#This Row],[Winning Candidate]]-SamplingData[[#This Row],[Candidate 3]])/(SamplingData[[#Totals],[Winning Candidate]]-SamplingData[[#Totals],[Candidate 3]]), 0)</f>
        <v>0</v>
      </c>
      <c r="S634" s="99">
        <f>IF(AND(SamplingData[[#This Row],[Total]]&lt;&gt; 0, NOT(ISBLANK(SamplingData[[#This Row],[Candidate 4]]))),(SamplingData[[#This Row],[Total]]+SamplingData[[#This Row],[Winning Candidate]]-SamplingData[[#This Row],[Candidate 4]])/(SamplingData[[#Totals],[Winning Candidate]]-SamplingData[[#Totals],[Candidate 4]]), 0)</f>
        <v>0</v>
      </c>
      <c r="T634" s="99">
        <f>IF(AND(SamplingData[[#This Row],[Total]]&lt;&gt; 0, NOT(ISBLANK(SamplingData[[#This Row],[Candidate 5]]))),(SamplingData[[#This Row],[Total]]+SamplingData[[#This Row],[Winning Candidate]]-SamplingData[[#This Row],[Candidate 5]])/(SamplingData[[#Totals],[Winning Candidate]]-SamplingData[[#Totals],[Candidate 5]]), 0)</f>
        <v>0</v>
      </c>
      <c r="U634" s="99">
        <f>IF(AND(SamplingData[[#This Row],[Total]]&lt;&gt; 0, NOT(ISBLANK(SamplingData[[#This Row],[Candidate 6]]))),(SamplingData[[#This Row],[Total]]+SamplingData[[#This Row],[Losing Candidate]]-SamplingData[[#This Row],[Candidate 6]])/(SamplingData[[#Totals],[Winning Candidate]]-SamplingData[[#Totals],[Candidate 6]]), 0)</f>
        <v>0</v>
      </c>
      <c r="V634" s="99">
        <f>IF(AND(SamplingData[[#This Row],[Total]]&lt;&gt; 0, NOT(ISBLANK(SamplingData[[#This Row],[Candidate 7]]))),(SamplingData[[#This Row],[Total]]+SamplingData[[#This Row],[Winning Candidate]]-SamplingData[[#This Row],[Candidate 7]])/(SamplingData[[#Totals],[Winning Candidate]]-SamplingData[[#Totals],[Candidate 7]]), 0)</f>
        <v>0</v>
      </c>
      <c r="W634" s="99">
        <f>IF(AND(SamplingData[[#This Row],[Total]]&lt;&gt; 0, NOT(ISBLANK(SamplingData[[#This Row],[Candidate 8]]))),(SamplingData[[#This Row],[Total]]+SamplingData[[#This Row],[Winning Candidate]]-SamplingData[[#This Row],[Candidate 8]])/(SamplingData[[#Totals],[Winning Candidate]]-SamplingData[[#Totals],[Candidate 8]]), 0)</f>
        <v>0</v>
      </c>
      <c r="X6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4" s="99">
        <f>MAX(SamplingData[[#This Row],[Error Bound (up) - Max. possible relative overstatement - Losing Candidate]:[Error Bound (up) - Max. possible relative overstatement - Candidate 12]])</f>
        <v>3.3313529112205059E-2</v>
      </c>
      <c r="AC634" s="99">
        <f>IF(SamplingData[[#This Row],[Max Error Bound (up)]] = 0,0,SamplingData[[#This Row],[Max Error Bound (up)]]/SamplingData[[#Totals],[Max Error Bound (up)]])</f>
        <v>1.7836368924273845E-3</v>
      </c>
      <c r="AD634" s="103">
        <f>SUM($AC$5:AC634)</f>
        <v>0.53579997818737113</v>
      </c>
      <c r="AE634" s="99" t="str" cm="1">
        <f t="array" ref="AE634">IF(SamplingData[[#This Row],[up/U Selection Probability]] = 0, "Zero", TEXT(SamplingData[[#This Row],[Lower Range]], REPT("0",LEN('General Info'!$B$42))) &amp; " - " &amp; TEXT(SamplingData[[#This Row],[Upper Range]], REPT("0",LEN('General Info'!$B$42))))</f>
        <v>534016 - 535799</v>
      </c>
      <c r="AF634" s="99">
        <f>SamplingData[[#This Row],[Upper Range]]-SamplingData[[#This Row],[Span]]</f>
        <v>534016.34129494382</v>
      </c>
      <c r="AG634" s="99">
        <f>IF(ISNUMBER('General Info'!$B$42), ((SamplingData[[#This Row],[up/U Selection Probability]]) * 'General Info'!$B$44) - 1, 0)</f>
        <v>1782.6368924273845</v>
      </c>
      <c r="AH634" s="99">
        <f>IF(ISNUMBER('General Info'!$B$42), (SamplingData[[#This Row],[Running (cumulative) sum]] * ('General Info'!$B$42 -'General Info'!$B$43 + 1)) + 'General Info'!$B$43 - 1, 0)</f>
        <v>535798.97818737116</v>
      </c>
      <c r="AI634" s="99" t="str">
        <f>IF(ISERROR(MATCH(SamplingData[[#This Row],[Batch by Type (p)]],SelectedPrecincts[Batch Name], 0)), "", INDEX(SelectedPrecincts[Draw], MATCH(SamplingData[[#This Row],[Batch by Type (p)]],SelectedPrecincts[Batch Name], 0)))</f>
        <v/>
      </c>
      <c r="AJ634" s="100">
        <f>IF(COUNTIF(SelectedPrecincts[Batch Name],SamplingData[[#This Row],[Batch by Type (p)]]) &lt;&gt; 0, COUNTIF(SelectedPrecincts[Batch Name],SamplingData[[#This Row],[Batch by Type (p)]]), 0)</f>
        <v>0</v>
      </c>
    </row>
    <row r="635" spans="1:36" ht="15" customHeight="1" x14ac:dyDescent="0.35">
      <c r="A635" s="97" t="s">
        <v>848</v>
      </c>
      <c r="B635" s="97">
        <v>269</v>
      </c>
      <c r="C635" s="97">
        <v>37</v>
      </c>
      <c r="D635" s="92"/>
      <c r="E635" s="92"/>
      <c r="F635" s="92"/>
      <c r="G635" s="96"/>
      <c r="H635" s="96"/>
      <c r="I635" s="92"/>
      <c r="J635" s="92"/>
      <c r="K635" s="92"/>
      <c r="L635" s="92"/>
      <c r="M635" s="92"/>
      <c r="N635" s="97">
        <v>0</v>
      </c>
      <c r="O635" s="97">
        <v>42</v>
      </c>
      <c r="P635" s="98">
        <f>SUM(SamplingData[[#This Row],[Winning Candidate]:[Under Votes]])</f>
        <v>348</v>
      </c>
      <c r="Q635" s="99">
        <f>IF(AND(SamplingData[[#This Row],[Total]]&lt;&gt; 0, NOT(ISBLANK(SamplingData[[#This Row],[Losing Candidate]]))),(SamplingData[[#This Row],[Total]]+SamplingData[[#This Row],[Winning Candidate]]-SamplingData[[#This Row],[Losing Candidate]])/(SamplingData[[#Totals],[Winning Candidate]]-SamplingData[[#Totals],[Losing Candidate]]), 0)</f>
        <v>2.461381768799864E-2</v>
      </c>
      <c r="R635" s="99">
        <f>IF(AND(SamplingData[[#This Row],[Total]]&lt;&gt; 0, NOT(ISBLANK(SamplingData[[#This Row],[Candidate 3]]))),(SamplingData[[#This Row],[Total]]+SamplingData[[#This Row],[Winning Candidate]]-SamplingData[[#This Row],[Candidate 3]])/(SamplingData[[#Totals],[Winning Candidate]]-SamplingData[[#Totals],[Candidate 3]]), 0)</f>
        <v>0</v>
      </c>
      <c r="S635" s="99">
        <f>IF(AND(SamplingData[[#This Row],[Total]]&lt;&gt; 0, NOT(ISBLANK(SamplingData[[#This Row],[Candidate 4]]))),(SamplingData[[#This Row],[Total]]+SamplingData[[#This Row],[Winning Candidate]]-SamplingData[[#This Row],[Candidate 4]])/(SamplingData[[#Totals],[Winning Candidate]]-SamplingData[[#Totals],[Candidate 4]]), 0)</f>
        <v>0</v>
      </c>
      <c r="T635" s="99">
        <f>IF(AND(SamplingData[[#This Row],[Total]]&lt;&gt; 0, NOT(ISBLANK(SamplingData[[#This Row],[Candidate 5]]))),(SamplingData[[#This Row],[Total]]+SamplingData[[#This Row],[Winning Candidate]]-SamplingData[[#This Row],[Candidate 5]])/(SamplingData[[#Totals],[Winning Candidate]]-SamplingData[[#Totals],[Candidate 5]]), 0)</f>
        <v>0</v>
      </c>
      <c r="U635" s="99">
        <f>IF(AND(SamplingData[[#This Row],[Total]]&lt;&gt; 0, NOT(ISBLANK(SamplingData[[#This Row],[Candidate 6]]))),(SamplingData[[#This Row],[Total]]+SamplingData[[#This Row],[Losing Candidate]]-SamplingData[[#This Row],[Candidate 6]])/(SamplingData[[#Totals],[Winning Candidate]]-SamplingData[[#Totals],[Candidate 6]]), 0)</f>
        <v>0</v>
      </c>
      <c r="V635" s="99">
        <f>IF(AND(SamplingData[[#This Row],[Total]]&lt;&gt; 0, NOT(ISBLANK(SamplingData[[#This Row],[Candidate 7]]))),(SamplingData[[#This Row],[Total]]+SamplingData[[#This Row],[Winning Candidate]]-SamplingData[[#This Row],[Candidate 7]])/(SamplingData[[#Totals],[Winning Candidate]]-SamplingData[[#Totals],[Candidate 7]]), 0)</f>
        <v>0</v>
      </c>
      <c r="W635" s="99">
        <f>IF(AND(SamplingData[[#This Row],[Total]]&lt;&gt; 0, NOT(ISBLANK(SamplingData[[#This Row],[Candidate 8]]))),(SamplingData[[#This Row],[Total]]+SamplingData[[#This Row],[Winning Candidate]]-SamplingData[[#This Row],[Candidate 8]])/(SamplingData[[#Totals],[Winning Candidate]]-SamplingData[[#Totals],[Candidate 8]]), 0)</f>
        <v>0</v>
      </c>
      <c r="X6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5" s="99">
        <f>MAX(SamplingData[[#This Row],[Error Bound (up) - Max. possible relative overstatement - Losing Candidate]:[Error Bound (up) - Max. possible relative overstatement - Candidate 12]])</f>
        <v>2.461381768799864E-2</v>
      </c>
      <c r="AC635" s="99">
        <f>IF(SamplingData[[#This Row],[Max Error Bound (up)]] = 0,0,SamplingData[[#This Row],[Max Error Bound (up)]]/SamplingData[[#Totals],[Max Error Bound (up)]])</f>
        <v>1.3178463663794686E-3</v>
      </c>
      <c r="AD635" s="103">
        <f>SUM($AC$5:AC635)</f>
        <v>0.53711782455375057</v>
      </c>
      <c r="AE635" s="99" t="str" cm="1">
        <f t="array" ref="AE635">IF(SamplingData[[#This Row],[up/U Selection Probability]] = 0, "Zero", TEXT(SamplingData[[#This Row],[Lower Range]], REPT("0",LEN('General Info'!$B$42))) &amp; " - " &amp; TEXT(SamplingData[[#This Row],[Upper Range]], REPT("0",LEN('General Info'!$B$42))))</f>
        <v>535800 - 537117</v>
      </c>
      <c r="AF635" s="99">
        <f>SamplingData[[#This Row],[Upper Range]]-SamplingData[[#This Row],[Span]]</f>
        <v>535799.97818737105</v>
      </c>
      <c r="AG635" s="99">
        <f>IF(ISNUMBER('General Info'!$B$42), ((SamplingData[[#This Row],[up/U Selection Probability]]) * 'General Info'!$B$44) - 1, 0)</f>
        <v>1316.8463663794685</v>
      </c>
      <c r="AH635" s="99">
        <f>IF(ISNUMBER('General Info'!$B$42), (SamplingData[[#This Row],[Running (cumulative) sum]] * ('General Info'!$B$42 -'General Info'!$B$43 + 1)) + 'General Info'!$B$43 - 1, 0)</f>
        <v>537116.82455375057</v>
      </c>
      <c r="AI635" s="99" t="str">
        <f>IF(ISERROR(MATCH(SamplingData[[#This Row],[Batch by Type (p)]],SelectedPrecincts[Batch Name], 0)), "", INDEX(SelectedPrecincts[Draw], MATCH(SamplingData[[#This Row],[Batch by Type (p)]],SelectedPrecincts[Batch Name], 0)))</f>
        <v/>
      </c>
      <c r="AJ635" s="100">
        <f>IF(COUNTIF(SelectedPrecincts[Batch Name],SamplingData[[#This Row],[Batch by Type (p)]]) &lt;&gt; 0, COUNTIF(SelectedPrecincts[Batch Name],SamplingData[[#This Row],[Batch by Type (p)]]), 0)</f>
        <v>0</v>
      </c>
    </row>
    <row r="636" spans="1:36" ht="15" customHeight="1" x14ac:dyDescent="0.35">
      <c r="A636" s="97" t="s">
        <v>849</v>
      </c>
      <c r="B636" s="97">
        <v>230</v>
      </c>
      <c r="C636" s="97">
        <v>29</v>
      </c>
      <c r="D636" s="92"/>
      <c r="E636" s="92"/>
      <c r="F636" s="92"/>
      <c r="G636" s="96"/>
      <c r="H636" s="96"/>
      <c r="I636" s="92"/>
      <c r="J636" s="92"/>
      <c r="K636" s="92"/>
      <c r="L636" s="92"/>
      <c r="M636" s="92"/>
      <c r="N636" s="97">
        <v>0</v>
      </c>
      <c r="O636" s="97">
        <v>26</v>
      </c>
      <c r="P636" s="98">
        <f>SUM(SamplingData[[#This Row],[Winning Candidate]:[Under Votes]])</f>
        <v>285</v>
      </c>
      <c r="Q636" s="99">
        <f>IF(AND(SamplingData[[#This Row],[Total]]&lt;&gt; 0, NOT(ISBLANK(SamplingData[[#This Row],[Losing Candidate]]))),(SamplingData[[#This Row],[Total]]+SamplingData[[#This Row],[Winning Candidate]]-SamplingData[[#This Row],[Losing Candidate]])/(SamplingData[[#Totals],[Winning Candidate]]-SamplingData[[#Totals],[Losing Candidate]]), 0)</f>
        <v>2.0624681717874724E-2</v>
      </c>
      <c r="R636" s="99">
        <f>IF(AND(SamplingData[[#This Row],[Total]]&lt;&gt; 0, NOT(ISBLANK(SamplingData[[#This Row],[Candidate 3]]))),(SamplingData[[#This Row],[Total]]+SamplingData[[#This Row],[Winning Candidate]]-SamplingData[[#This Row],[Candidate 3]])/(SamplingData[[#Totals],[Winning Candidate]]-SamplingData[[#Totals],[Candidate 3]]), 0)</f>
        <v>0</v>
      </c>
      <c r="S636" s="99">
        <f>IF(AND(SamplingData[[#This Row],[Total]]&lt;&gt; 0, NOT(ISBLANK(SamplingData[[#This Row],[Candidate 4]]))),(SamplingData[[#This Row],[Total]]+SamplingData[[#This Row],[Winning Candidate]]-SamplingData[[#This Row],[Candidate 4]])/(SamplingData[[#Totals],[Winning Candidate]]-SamplingData[[#Totals],[Candidate 4]]), 0)</f>
        <v>0</v>
      </c>
      <c r="T636" s="99">
        <f>IF(AND(SamplingData[[#This Row],[Total]]&lt;&gt; 0, NOT(ISBLANK(SamplingData[[#This Row],[Candidate 5]]))),(SamplingData[[#This Row],[Total]]+SamplingData[[#This Row],[Winning Candidate]]-SamplingData[[#This Row],[Candidate 5]])/(SamplingData[[#Totals],[Winning Candidate]]-SamplingData[[#Totals],[Candidate 5]]), 0)</f>
        <v>0</v>
      </c>
      <c r="U636" s="99">
        <f>IF(AND(SamplingData[[#This Row],[Total]]&lt;&gt; 0, NOT(ISBLANK(SamplingData[[#This Row],[Candidate 6]]))),(SamplingData[[#This Row],[Total]]+SamplingData[[#This Row],[Losing Candidate]]-SamplingData[[#This Row],[Candidate 6]])/(SamplingData[[#Totals],[Winning Candidate]]-SamplingData[[#Totals],[Candidate 6]]), 0)</f>
        <v>0</v>
      </c>
      <c r="V636" s="99">
        <f>IF(AND(SamplingData[[#This Row],[Total]]&lt;&gt; 0, NOT(ISBLANK(SamplingData[[#This Row],[Candidate 7]]))),(SamplingData[[#This Row],[Total]]+SamplingData[[#This Row],[Winning Candidate]]-SamplingData[[#This Row],[Candidate 7]])/(SamplingData[[#Totals],[Winning Candidate]]-SamplingData[[#Totals],[Candidate 7]]), 0)</f>
        <v>0</v>
      </c>
      <c r="W636" s="99">
        <f>IF(AND(SamplingData[[#This Row],[Total]]&lt;&gt; 0, NOT(ISBLANK(SamplingData[[#This Row],[Candidate 8]]))),(SamplingData[[#This Row],[Total]]+SamplingData[[#This Row],[Winning Candidate]]-SamplingData[[#This Row],[Candidate 8]])/(SamplingData[[#Totals],[Winning Candidate]]-SamplingData[[#Totals],[Candidate 8]]), 0)</f>
        <v>0</v>
      </c>
      <c r="X6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6" s="99">
        <f>MAX(SamplingData[[#This Row],[Error Bound (up) - Max. possible relative overstatement - Losing Candidate]:[Error Bound (up) - Max. possible relative overstatement - Candidate 12]])</f>
        <v>2.0624681717874724E-2</v>
      </c>
      <c r="AC636" s="99">
        <f>IF(SamplingData[[#This Row],[Max Error Bound (up)]] = 0,0,SamplingData[[#This Row],[Max Error Bound (up)]]/SamplingData[[#Totals],[Max Error Bound (up)]])</f>
        <v>1.1042643690696928E-3</v>
      </c>
      <c r="AD636" s="103">
        <f>SUM($AC$5:AC636)</f>
        <v>0.53822208892282031</v>
      </c>
      <c r="AE636" s="99" t="str" cm="1">
        <f t="array" ref="AE636">IF(SamplingData[[#This Row],[up/U Selection Probability]] = 0, "Zero", TEXT(SamplingData[[#This Row],[Lower Range]], REPT("0",LEN('General Info'!$B$42))) &amp; " - " &amp; TEXT(SamplingData[[#This Row],[Upper Range]], REPT("0",LEN('General Info'!$B$42))))</f>
        <v>537118 - 538221</v>
      </c>
      <c r="AF636" s="99">
        <f>SamplingData[[#This Row],[Upper Range]]-SamplingData[[#This Row],[Span]]</f>
        <v>537117.82455375057</v>
      </c>
      <c r="AG636" s="99">
        <f>IF(ISNUMBER('General Info'!$B$42), ((SamplingData[[#This Row],[up/U Selection Probability]]) * 'General Info'!$B$44) - 1, 0)</f>
        <v>1103.2643690696927</v>
      </c>
      <c r="AH636" s="99">
        <f>IF(ISNUMBER('General Info'!$B$42), (SamplingData[[#This Row],[Running (cumulative) sum]] * ('General Info'!$B$42 -'General Info'!$B$43 + 1)) + 'General Info'!$B$43 - 1, 0)</f>
        <v>538221.08892282029</v>
      </c>
      <c r="AI636" s="99" t="str">
        <f>IF(ISERROR(MATCH(SamplingData[[#This Row],[Batch by Type (p)]],SelectedPrecincts[Batch Name], 0)), "", INDEX(SelectedPrecincts[Draw], MATCH(SamplingData[[#This Row],[Batch by Type (p)]],SelectedPrecincts[Batch Name], 0)))</f>
        <v/>
      </c>
      <c r="AJ636" s="100">
        <f>IF(COUNTIF(SelectedPrecincts[Batch Name],SamplingData[[#This Row],[Batch by Type (p)]]) &lt;&gt; 0, COUNTIF(SelectedPrecincts[Batch Name],SamplingData[[#This Row],[Batch by Type (p)]]), 0)</f>
        <v>0</v>
      </c>
    </row>
    <row r="637" spans="1:36" ht="15" customHeight="1" x14ac:dyDescent="0.35">
      <c r="A637" s="97" t="s">
        <v>850</v>
      </c>
      <c r="B637" s="97">
        <v>302</v>
      </c>
      <c r="C637" s="97">
        <v>177</v>
      </c>
      <c r="D637" s="92"/>
      <c r="E637" s="92"/>
      <c r="F637" s="92"/>
      <c r="G637" s="96"/>
      <c r="H637" s="96"/>
      <c r="I637" s="92"/>
      <c r="J637" s="92"/>
      <c r="K637" s="92"/>
      <c r="L637" s="92"/>
      <c r="M637" s="92"/>
      <c r="N637" s="97">
        <v>0</v>
      </c>
      <c r="O637" s="97">
        <v>38</v>
      </c>
      <c r="P637" s="98">
        <f>SUM(SamplingData[[#This Row],[Winning Candidate]:[Under Votes]])</f>
        <v>517</v>
      </c>
      <c r="Q637" s="99">
        <f>IF(AND(SamplingData[[#This Row],[Total]]&lt;&gt; 0, NOT(ISBLANK(SamplingData[[#This Row],[Losing Candidate]]))),(SamplingData[[#This Row],[Total]]+SamplingData[[#This Row],[Winning Candidate]]-SamplingData[[#This Row],[Losing Candidate]])/(SamplingData[[#Totals],[Winning Candidate]]-SamplingData[[#Totals],[Losing Candidate]]), 0)</f>
        <v>2.7244949923612288E-2</v>
      </c>
      <c r="R637" s="99">
        <f>IF(AND(SamplingData[[#This Row],[Total]]&lt;&gt; 0, NOT(ISBLANK(SamplingData[[#This Row],[Candidate 3]]))),(SamplingData[[#This Row],[Total]]+SamplingData[[#This Row],[Winning Candidate]]-SamplingData[[#This Row],[Candidate 3]])/(SamplingData[[#Totals],[Winning Candidate]]-SamplingData[[#Totals],[Candidate 3]]), 0)</f>
        <v>0</v>
      </c>
      <c r="S637" s="99">
        <f>IF(AND(SamplingData[[#This Row],[Total]]&lt;&gt; 0, NOT(ISBLANK(SamplingData[[#This Row],[Candidate 4]]))),(SamplingData[[#This Row],[Total]]+SamplingData[[#This Row],[Winning Candidate]]-SamplingData[[#This Row],[Candidate 4]])/(SamplingData[[#Totals],[Winning Candidate]]-SamplingData[[#Totals],[Candidate 4]]), 0)</f>
        <v>0</v>
      </c>
      <c r="T637" s="99">
        <f>IF(AND(SamplingData[[#This Row],[Total]]&lt;&gt; 0, NOT(ISBLANK(SamplingData[[#This Row],[Candidate 5]]))),(SamplingData[[#This Row],[Total]]+SamplingData[[#This Row],[Winning Candidate]]-SamplingData[[#This Row],[Candidate 5]])/(SamplingData[[#Totals],[Winning Candidate]]-SamplingData[[#Totals],[Candidate 5]]), 0)</f>
        <v>0</v>
      </c>
      <c r="U637" s="99">
        <f>IF(AND(SamplingData[[#This Row],[Total]]&lt;&gt; 0, NOT(ISBLANK(SamplingData[[#This Row],[Candidate 6]]))),(SamplingData[[#This Row],[Total]]+SamplingData[[#This Row],[Losing Candidate]]-SamplingData[[#This Row],[Candidate 6]])/(SamplingData[[#Totals],[Winning Candidate]]-SamplingData[[#Totals],[Candidate 6]]), 0)</f>
        <v>0</v>
      </c>
      <c r="V637" s="99">
        <f>IF(AND(SamplingData[[#This Row],[Total]]&lt;&gt; 0, NOT(ISBLANK(SamplingData[[#This Row],[Candidate 7]]))),(SamplingData[[#This Row],[Total]]+SamplingData[[#This Row],[Winning Candidate]]-SamplingData[[#This Row],[Candidate 7]])/(SamplingData[[#Totals],[Winning Candidate]]-SamplingData[[#Totals],[Candidate 7]]), 0)</f>
        <v>0</v>
      </c>
      <c r="W637" s="99">
        <f>IF(AND(SamplingData[[#This Row],[Total]]&lt;&gt; 0, NOT(ISBLANK(SamplingData[[#This Row],[Candidate 8]]))),(SamplingData[[#This Row],[Total]]+SamplingData[[#This Row],[Winning Candidate]]-SamplingData[[#This Row],[Candidate 8]])/(SamplingData[[#Totals],[Winning Candidate]]-SamplingData[[#Totals],[Candidate 8]]), 0)</f>
        <v>0</v>
      </c>
      <c r="X6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7" s="99">
        <f>MAX(SamplingData[[#This Row],[Error Bound (up) - Max. possible relative overstatement - Losing Candidate]:[Error Bound (up) - Max. possible relative overstatement - Candidate 12]])</f>
        <v>2.7244949923612288E-2</v>
      </c>
      <c r="AC637" s="99">
        <f>IF(SamplingData[[#This Row],[Max Error Bound (up)]] = 0,0,SamplingData[[#This Row],[Max Error Bound (up)]]/SamplingData[[#Totals],[Max Error Bound (up)]])</f>
        <v>1.4587195986476187E-3</v>
      </c>
      <c r="AD637" s="103">
        <f>SUM($AC$5:AC637)</f>
        <v>0.53968080852146794</v>
      </c>
      <c r="AE637" s="99" t="str" cm="1">
        <f t="array" ref="AE637">IF(SamplingData[[#This Row],[up/U Selection Probability]] = 0, "Zero", TEXT(SamplingData[[#This Row],[Lower Range]], REPT("0",LEN('General Info'!$B$42))) &amp; " - " &amp; TEXT(SamplingData[[#This Row],[Upper Range]], REPT("0",LEN('General Info'!$B$42))))</f>
        <v>538222 - 539680</v>
      </c>
      <c r="AF637" s="99">
        <f>SamplingData[[#This Row],[Upper Range]]-SamplingData[[#This Row],[Span]]</f>
        <v>538222.08892282029</v>
      </c>
      <c r="AG637" s="99">
        <f>IF(ISNUMBER('General Info'!$B$42), ((SamplingData[[#This Row],[up/U Selection Probability]]) * 'General Info'!$B$44) - 1, 0)</f>
        <v>1457.7195986476188</v>
      </c>
      <c r="AH637" s="99">
        <f>IF(ISNUMBER('General Info'!$B$42), (SamplingData[[#This Row],[Running (cumulative) sum]] * ('General Info'!$B$42 -'General Info'!$B$43 + 1)) + 'General Info'!$B$43 - 1, 0)</f>
        <v>539679.80852146796</v>
      </c>
      <c r="AI637" s="99" t="str">
        <f>IF(ISERROR(MATCH(SamplingData[[#This Row],[Batch by Type (p)]],SelectedPrecincts[Batch Name], 0)), "", INDEX(SelectedPrecincts[Draw], MATCH(SamplingData[[#This Row],[Batch by Type (p)]],SelectedPrecincts[Batch Name], 0)))</f>
        <v/>
      </c>
      <c r="AJ637" s="100">
        <f>IF(COUNTIF(SelectedPrecincts[Batch Name],SamplingData[[#This Row],[Batch by Type (p)]]) &lt;&gt; 0, COUNTIF(SelectedPrecincts[Batch Name],SamplingData[[#This Row],[Batch by Type (p)]]), 0)</f>
        <v>0</v>
      </c>
    </row>
    <row r="638" spans="1:36" ht="15" customHeight="1" x14ac:dyDescent="0.35">
      <c r="A638" s="97" t="s">
        <v>851</v>
      </c>
      <c r="B638" s="97">
        <v>269</v>
      </c>
      <c r="C638" s="97">
        <v>51</v>
      </c>
      <c r="D638" s="92"/>
      <c r="E638" s="92"/>
      <c r="F638" s="92"/>
      <c r="G638" s="96"/>
      <c r="H638" s="96"/>
      <c r="I638" s="92"/>
      <c r="J638" s="92"/>
      <c r="K638" s="92"/>
      <c r="L638" s="92"/>
      <c r="M638" s="92"/>
      <c r="N638" s="97">
        <v>1</v>
      </c>
      <c r="O638" s="97">
        <v>27</v>
      </c>
      <c r="P638" s="98">
        <f>SUM(SamplingData[[#This Row],[Winning Candidate]:[Under Votes]])</f>
        <v>348</v>
      </c>
      <c r="Q638" s="99">
        <f>IF(AND(SamplingData[[#This Row],[Total]]&lt;&gt; 0, NOT(ISBLANK(SamplingData[[#This Row],[Losing Candidate]]))),(SamplingData[[#This Row],[Total]]+SamplingData[[#This Row],[Winning Candidate]]-SamplingData[[#This Row],[Losing Candidate]])/(SamplingData[[#Totals],[Winning Candidate]]-SamplingData[[#Totals],[Losing Candidate]]), 0)</f>
        <v>2.4019691054150399E-2</v>
      </c>
      <c r="R638" s="99">
        <f>IF(AND(SamplingData[[#This Row],[Total]]&lt;&gt; 0, NOT(ISBLANK(SamplingData[[#This Row],[Candidate 3]]))),(SamplingData[[#This Row],[Total]]+SamplingData[[#This Row],[Winning Candidate]]-SamplingData[[#This Row],[Candidate 3]])/(SamplingData[[#Totals],[Winning Candidate]]-SamplingData[[#Totals],[Candidate 3]]), 0)</f>
        <v>0</v>
      </c>
      <c r="S638" s="99">
        <f>IF(AND(SamplingData[[#This Row],[Total]]&lt;&gt; 0, NOT(ISBLANK(SamplingData[[#This Row],[Candidate 4]]))),(SamplingData[[#This Row],[Total]]+SamplingData[[#This Row],[Winning Candidate]]-SamplingData[[#This Row],[Candidate 4]])/(SamplingData[[#Totals],[Winning Candidate]]-SamplingData[[#Totals],[Candidate 4]]), 0)</f>
        <v>0</v>
      </c>
      <c r="T638" s="99">
        <f>IF(AND(SamplingData[[#This Row],[Total]]&lt;&gt; 0, NOT(ISBLANK(SamplingData[[#This Row],[Candidate 5]]))),(SamplingData[[#This Row],[Total]]+SamplingData[[#This Row],[Winning Candidate]]-SamplingData[[#This Row],[Candidate 5]])/(SamplingData[[#Totals],[Winning Candidate]]-SamplingData[[#Totals],[Candidate 5]]), 0)</f>
        <v>0</v>
      </c>
      <c r="U638" s="99">
        <f>IF(AND(SamplingData[[#This Row],[Total]]&lt;&gt; 0, NOT(ISBLANK(SamplingData[[#This Row],[Candidate 6]]))),(SamplingData[[#This Row],[Total]]+SamplingData[[#This Row],[Losing Candidate]]-SamplingData[[#This Row],[Candidate 6]])/(SamplingData[[#Totals],[Winning Candidate]]-SamplingData[[#Totals],[Candidate 6]]), 0)</f>
        <v>0</v>
      </c>
      <c r="V638" s="99">
        <f>IF(AND(SamplingData[[#This Row],[Total]]&lt;&gt; 0, NOT(ISBLANK(SamplingData[[#This Row],[Candidate 7]]))),(SamplingData[[#This Row],[Total]]+SamplingData[[#This Row],[Winning Candidate]]-SamplingData[[#This Row],[Candidate 7]])/(SamplingData[[#Totals],[Winning Candidate]]-SamplingData[[#Totals],[Candidate 7]]), 0)</f>
        <v>0</v>
      </c>
      <c r="W638" s="99">
        <f>IF(AND(SamplingData[[#This Row],[Total]]&lt;&gt; 0, NOT(ISBLANK(SamplingData[[#This Row],[Candidate 8]]))),(SamplingData[[#This Row],[Total]]+SamplingData[[#This Row],[Winning Candidate]]-SamplingData[[#This Row],[Candidate 8]])/(SamplingData[[#Totals],[Winning Candidate]]-SamplingData[[#Totals],[Candidate 8]]), 0)</f>
        <v>0</v>
      </c>
      <c r="X6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8" s="99">
        <f>MAX(SamplingData[[#This Row],[Error Bound (up) - Max. possible relative overstatement - Losing Candidate]:[Error Bound (up) - Max. possible relative overstatement - Candidate 12]])</f>
        <v>2.4019691054150399E-2</v>
      </c>
      <c r="AC638" s="99">
        <f>IF(SamplingData[[#This Row],[Max Error Bound (up)]] = 0,0,SamplingData[[#This Row],[Max Error Bound (up)]]/SamplingData[[#Totals],[Max Error Bound (up)]])</f>
        <v>1.2860362816737574E-3</v>
      </c>
      <c r="AD638" s="103">
        <f>SUM($AC$5:AC638)</f>
        <v>0.54096684480314172</v>
      </c>
      <c r="AE638" s="99" t="str" cm="1">
        <f t="array" ref="AE638">IF(SamplingData[[#This Row],[up/U Selection Probability]] = 0, "Zero", TEXT(SamplingData[[#This Row],[Lower Range]], REPT("0",LEN('General Info'!$B$42))) &amp; " - " &amp; TEXT(SamplingData[[#This Row],[Upper Range]], REPT("0",LEN('General Info'!$B$42))))</f>
        <v>539681 - 540966</v>
      </c>
      <c r="AF638" s="99">
        <f>SamplingData[[#This Row],[Upper Range]]-SamplingData[[#This Row],[Span]]</f>
        <v>539680.80852146808</v>
      </c>
      <c r="AG638" s="99">
        <f>IF(ISNUMBER('General Info'!$B$42), ((SamplingData[[#This Row],[up/U Selection Probability]]) * 'General Info'!$B$44) - 1, 0)</f>
        <v>1285.0362816737575</v>
      </c>
      <c r="AH638" s="99">
        <f>IF(ISNUMBER('General Info'!$B$42), (SamplingData[[#This Row],[Running (cumulative) sum]] * ('General Info'!$B$42 -'General Info'!$B$43 + 1)) + 'General Info'!$B$43 - 1, 0)</f>
        <v>540965.84480314178</v>
      </c>
      <c r="AI638" s="99" t="str">
        <f>IF(ISERROR(MATCH(SamplingData[[#This Row],[Batch by Type (p)]],SelectedPrecincts[Batch Name], 0)), "", INDEX(SelectedPrecincts[Draw], MATCH(SamplingData[[#This Row],[Batch by Type (p)]],SelectedPrecincts[Batch Name], 0)))</f>
        <v/>
      </c>
      <c r="AJ638" s="100">
        <f>IF(COUNTIF(SelectedPrecincts[Batch Name],SamplingData[[#This Row],[Batch by Type (p)]]) &lt;&gt; 0, COUNTIF(SelectedPrecincts[Batch Name],SamplingData[[#This Row],[Batch by Type (p)]]), 0)</f>
        <v>0</v>
      </c>
    </row>
    <row r="639" spans="1:36" ht="15" customHeight="1" x14ac:dyDescent="0.35">
      <c r="A639" s="97" t="s">
        <v>852</v>
      </c>
      <c r="B639" s="97">
        <v>286</v>
      </c>
      <c r="C639" s="97">
        <v>45</v>
      </c>
      <c r="D639" s="92"/>
      <c r="E639" s="92"/>
      <c r="F639" s="92"/>
      <c r="G639" s="96"/>
      <c r="H639" s="96"/>
      <c r="I639" s="92"/>
      <c r="J639" s="92"/>
      <c r="K639" s="92"/>
      <c r="L639" s="92"/>
      <c r="M639" s="92"/>
      <c r="N639" s="97">
        <v>0</v>
      </c>
      <c r="O639" s="97">
        <v>25</v>
      </c>
      <c r="P639" s="98">
        <f>SUM(SamplingData[[#This Row],[Winning Candidate]:[Under Votes]])</f>
        <v>356</v>
      </c>
      <c r="Q639" s="99">
        <f>IF(AND(SamplingData[[#This Row],[Total]]&lt;&gt; 0, NOT(ISBLANK(SamplingData[[#This Row],[Losing Candidate]]))),(SamplingData[[#This Row],[Total]]+SamplingData[[#This Row],[Winning Candidate]]-SamplingData[[#This Row],[Losing Candidate]])/(SamplingData[[#Totals],[Winning Candidate]]-SamplingData[[#Totals],[Losing Candidate]]), 0)</f>
        <v>2.5335257171957223E-2</v>
      </c>
      <c r="R639" s="99">
        <f>IF(AND(SamplingData[[#This Row],[Total]]&lt;&gt; 0, NOT(ISBLANK(SamplingData[[#This Row],[Candidate 3]]))),(SamplingData[[#This Row],[Total]]+SamplingData[[#This Row],[Winning Candidate]]-SamplingData[[#This Row],[Candidate 3]])/(SamplingData[[#Totals],[Winning Candidate]]-SamplingData[[#Totals],[Candidate 3]]), 0)</f>
        <v>0</v>
      </c>
      <c r="S639" s="99">
        <f>IF(AND(SamplingData[[#This Row],[Total]]&lt;&gt; 0, NOT(ISBLANK(SamplingData[[#This Row],[Candidate 4]]))),(SamplingData[[#This Row],[Total]]+SamplingData[[#This Row],[Winning Candidate]]-SamplingData[[#This Row],[Candidate 4]])/(SamplingData[[#Totals],[Winning Candidate]]-SamplingData[[#Totals],[Candidate 4]]), 0)</f>
        <v>0</v>
      </c>
      <c r="T639" s="99">
        <f>IF(AND(SamplingData[[#This Row],[Total]]&lt;&gt; 0, NOT(ISBLANK(SamplingData[[#This Row],[Candidate 5]]))),(SamplingData[[#This Row],[Total]]+SamplingData[[#This Row],[Winning Candidate]]-SamplingData[[#This Row],[Candidate 5]])/(SamplingData[[#Totals],[Winning Candidate]]-SamplingData[[#Totals],[Candidate 5]]), 0)</f>
        <v>0</v>
      </c>
      <c r="U639" s="99">
        <f>IF(AND(SamplingData[[#This Row],[Total]]&lt;&gt; 0, NOT(ISBLANK(SamplingData[[#This Row],[Candidate 6]]))),(SamplingData[[#This Row],[Total]]+SamplingData[[#This Row],[Losing Candidate]]-SamplingData[[#This Row],[Candidate 6]])/(SamplingData[[#Totals],[Winning Candidate]]-SamplingData[[#Totals],[Candidate 6]]), 0)</f>
        <v>0</v>
      </c>
      <c r="V639" s="99">
        <f>IF(AND(SamplingData[[#This Row],[Total]]&lt;&gt; 0, NOT(ISBLANK(SamplingData[[#This Row],[Candidate 7]]))),(SamplingData[[#This Row],[Total]]+SamplingData[[#This Row],[Winning Candidate]]-SamplingData[[#This Row],[Candidate 7]])/(SamplingData[[#Totals],[Winning Candidate]]-SamplingData[[#Totals],[Candidate 7]]), 0)</f>
        <v>0</v>
      </c>
      <c r="W639" s="99">
        <f>IF(AND(SamplingData[[#This Row],[Total]]&lt;&gt; 0, NOT(ISBLANK(SamplingData[[#This Row],[Candidate 8]]))),(SamplingData[[#This Row],[Total]]+SamplingData[[#This Row],[Winning Candidate]]-SamplingData[[#This Row],[Candidate 8]])/(SamplingData[[#Totals],[Winning Candidate]]-SamplingData[[#Totals],[Candidate 8]]), 0)</f>
        <v>0</v>
      </c>
      <c r="X6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9" s="99">
        <f>MAX(SamplingData[[#This Row],[Error Bound (up) - Max. possible relative overstatement - Losing Candidate]:[Error Bound (up) - Max. possible relative overstatement - Candidate 12]])</f>
        <v>2.5335257171957223E-2</v>
      </c>
      <c r="AC639" s="99">
        <f>IF(SamplingData[[#This Row],[Max Error Bound (up)]] = 0,0,SamplingData[[#This Row],[Max Error Bound (up)]]/SamplingData[[#Totals],[Max Error Bound (up)]])</f>
        <v>1.3564728978078325E-3</v>
      </c>
      <c r="AD639" s="103">
        <f>SUM($AC$5:AC639)</f>
        <v>0.54232331770094955</v>
      </c>
      <c r="AE639" s="99" t="str" cm="1">
        <f t="array" ref="AE639">IF(SamplingData[[#This Row],[up/U Selection Probability]] = 0, "Zero", TEXT(SamplingData[[#This Row],[Lower Range]], REPT("0",LEN('General Info'!$B$42))) &amp; " - " &amp; TEXT(SamplingData[[#This Row],[Upper Range]], REPT("0",LEN('General Info'!$B$42))))</f>
        <v>540967 - 542322</v>
      </c>
      <c r="AF639" s="99">
        <f>SamplingData[[#This Row],[Upper Range]]-SamplingData[[#This Row],[Span]]</f>
        <v>540966.84480314166</v>
      </c>
      <c r="AG639" s="99">
        <f>IF(ISNUMBER('General Info'!$B$42), ((SamplingData[[#This Row],[up/U Selection Probability]]) * 'General Info'!$B$44) - 1, 0)</f>
        <v>1355.4728978078324</v>
      </c>
      <c r="AH639" s="99">
        <f>IF(ISNUMBER('General Info'!$B$42), (SamplingData[[#This Row],[Running (cumulative) sum]] * ('General Info'!$B$42 -'General Info'!$B$43 + 1)) + 'General Info'!$B$43 - 1, 0)</f>
        <v>542322.3177009495</v>
      </c>
      <c r="AI639" s="99" t="str">
        <f>IF(ISERROR(MATCH(SamplingData[[#This Row],[Batch by Type (p)]],SelectedPrecincts[Batch Name], 0)), "", INDEX(SelectedPrecincts[Draw], MATCH(SamplingData[[#This Row],[Batch by Type (p)]],SelectedPrecincts[Batch Name], 0)))</f>
        <v/>
      </c>
      <c r="AJ639" s="100">
        <f>IF(COUNTIF(SelectedPrecincts[Batch Name],SamplingData[[#This Row],[Batch by Type (p)]]) &lt;&gt; 0, COUNTIF(SelectedPrecincts[Batch Name],SamplingData[[#This Row],[Batch by Type (p)]]), 0)</f>
        <v>0</v>
      </c>
    </row>
    <row r="640" spans="1:36" ht="15" customHeight="1" x14ac:dyDescent="0.35">
      <c r="A640" s="97" t="s">
        <v>853</v>
      </c>
      <c r="B640" s="97">
        <v>263</v>
      </c>
      <c r="C640" s="97">
        <v>72</v>
      </c>
      <c r="D640" s="92"/>
      <c r="E640" s="92"/>
      <c r="F640" s="92"/>
      <c r="G640" s="96"/>
      <c r="H640" s="96"/>
      <c r="I640" s="92"/>
      <c r="J640" s="92"/>
      <c r="K640" s="92"/>
      <c r="L640" s="92"/>
      <c r="M640" s="92"/>
      <c r="N640" s="97">
        <v>1</v>
      </c>
      <c r="O640" s="97">
        <v>31</v>
      </c>
      <c r="P640" s="98">
        <f>SUM(SamplingData[[#This Row],[Winning Candidate]:[Under Votes]])</f>
        <v>367</v>
      </c>
      <c r="Q640" s="99">
        <f>IF(AND(SamplingData[[#This Row],[Total]]&lt;&gt; 0, NOT(ISBLANK(SamplingData[[#This Row],[Losing Candidate]]))),(SamplingData[[#This Row],[Total]]+SamplingData[[#This Row],[Winning Candidate]]-SamplingData[[#This Row],[Losing Candidate]])/(SamplingData[[#Totals],[Winning Candidate]]-SamplingData[[#Totals],[Losing Candidate]]), 0)</f>
        <v>2.3680190120522832E-2</v>
      </c>
      <c r="R640" s="99">
        <f>IF(AND(SamplingData[[#This Row],[Total]]&lt;&gt; 0, NOT(ISBLANK(SamplingData[[#This Row],[Candidate 3]]))),(SamplingData[[#This Row],[Total]]+SamplingData[[#This Row],[Winning Candidate]]-SamplingData[[#This Row],[Candidate 3]])/(SamplingData[[#Totals],[Winning Candidate]]-SamplingData[[#Totals],[Candidate 3]]), 0)</f>
        <v>0</v>
      </c>
      <c r="S640" s="99">
        <f>IF(AND(SamplingData[[#This Row],[Total]]&lt;&gt; 0, NOT(ISBLANK(SamplingData[[#This Row],[Candidate 4]]))),(SamplingData[[#This Row],[Total]]+SamplingData[[#This Row],[Winning Candidate]]-SamplingData[[#This Row],[Candidate 4]])/(SamplingData[[#Totals],[Winning Candidate]]-SamplingData[[#Totals],[Candidate 4]]), 0)</f>
        <v>0</v>
      </c>
      <c r="T640" s="99">
        <f>IF(AND(SamplingData[[#This Row],[Total]]&lt;&gt; 0, NOT(ISBLANK(SamplingData[[#This Row],[Candidate 5]]))),(SamplingData[[#This Row],[Total]]+SamplingData[[#This Row],[Winning Candidate]]-SamplingData[[#This Row],[Candidate 5]])/(SamplingData[[#Totals],[Winning Candidate]]-SamplingData[[#Totals],[Candidate 5]]), 0)</f>
        <v>0</v>
      </c>
      <c r="U640" s="99">
        <f>IF(AND(SamplingData[[#This Row],[Total]]&lt;&gt; 0, NOT(ISBLANK(SamplingData[[#This Row],[Candidate 6]]))),(SamplingData[[#This Row],[Total]]+SamplingData[[#This Row],[Losing Candidate]]-SamplingData[[#This Row],[Candidate 6]])/(SamplingData[[#Totals],[Winning Candidate]]-SamplingData[[#Totals],[Candidate 6]]), 0)</f>
        <v>0</v>
      </c>
      <c r="V640" s="99">
        <f>IF(AND(SamplingData[[#This Row],[Total]]&lt;&gt; 0, NOT(ISBLANK(SamplingData[[#This Row],[Candidate 7]]))),(SamplingData[[#This Row],[Total]]+SamplingData[[#This Row],[Winning Candidate]]-SamplingData[[#This Row],[Candidate 7]])/(SamplingData[[#Totals],[Winning Candidate]]-SamplingData[[#Totals],[Candidate 7]]), 0)</f>
        <v>0</v>
      </c>
      <c r="W640" s="99">
        <f>IF(AND(SamplingData[[#This Row],[Total]]&lt;&gt; 0, NOT(ISBLANK(SamplingData[[#This Row],[Candidate 8]]))),(SamplingData[[#This Row],[Total]]+SamplingData[[#This Row],[Winning Candidate]]-SamplingData[[#This Row],[Candidate 8]])/(SamplingData[[#Totals],[Winning Candidate]]-SamplingData[[#Totals],[Candidate 8]]), 0)</f>
        <v>0</v>
      </c>
      <c r="X6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0" s="99">
        <f>MAX(SamplingData[[#This Row],[Error Bound (up) - Max. possible relative overstatement - Losing Candidate]:[Error Bound (up) - Max. possible relative overstatement - Candidate 12]])</f>
        <v>2.3680190120522832E-2</v>
      </c>
      <c r="AC640" s="99">
        <f>IF(SamplingData[[#This Row],[Max Error Bound (up)]] = 0,0,SamplingData[[#This Row],[Max Error Bound (up)]]/SamplingData[[#Totals],[Max Error Bound (up)]])</f>
        <v>1.2678590904133509E-3</v>
      </c>
      <c r="AD640" s="103">
        <f>SUM($AC$5:AC640)</f>
        <v>0.54359117679136293</v>
      </c>
      <c r="AE640" s="99" t="str" cm="1">
        <f t="array" ref="AE640">IF(SamplingData[[#This Row],[up/U Selection Probability]] = 0, "Zero", TEXT(SamplingData[[#This Row],[Lower Range]], REPT("0",LEN('General Info'!$B$42))) &amp; " - " &amp; TEXT(SamplingData[[#This Row],[Upper Range]], REPT("0",LEN('General Info'!$B$42))))</f>
        <v>542323 - 543590</v>
      </c>
      <c r="AF640" s="99">
        <f>SamplingData[[#This Row],[Upper Range]]-SamplingData[[#This Row],[Span]]</f>
        <v>542323.31770094961</v>
      </c>
      <c r="AG640" s="99">
        <f>IF(ISNUMBER('General Info'!$B$42), ((SamplingData[[#This Row],[up/U Selection Probability]]) * 'General Info'!$B$44) - 1, 0)</f>
        <v>1266.8590904133509</v>
      </c>
      <c r="AH640" s="99">
        <f>IF(ISNUMBER('General Info'!$B$42), (SamplingData[[#This Row],[Running (cumulative) sum]] * ('General Info'!$B$42 -'General Info'!$B$43 + 1)) + 'General Info'!$B$43 - 1, 0)</f>
        <v>543590.17679136293</v>
      </c>
      <c r="AI640" s="99" t="str">
        <f>IF(ISERROR(MATCH(SamplingData[[#This Row],[Batch by Type (p)]],SelectedPrecincts[Batch Name], 0)), "", INDEX(SelectedPrecincts[Draw], MATCH(SamplingData[[#This Row],[Batch by Type (p)]],SelectedPrecincts[Batch Name], 0)))</f>
        <v/>
      </c>
      <c r="AJ640" s="100">
        <f>IF(COUNTIF(SelectedPrecincts[Batch Name],SamplingData[[#This Row],[Batch by Type (p)]]) &lt;&gt; 0, COUNTIF(SelectedPrecincts[Batch Name],SamplingData[[#This Row],[Batch by Type (p)]]), 0)</f>
        <v>0</v>
      </c>
    </row>
    <row r="641" spans="1:36" ht="15" customHeight="1" x14ac:dyDescent="0.35">
      <c r="A641" s="97" t="s">
        <v>854</v>
      </c>
      <c r="B641" s="97">
        <v>239</v>
      </c>
      <c r="C641" s="97">
        <v>74</v>
      </c>
      <c r="D641" s="92"/>
      <c r="E641" s="92"/>
      <c r="F641" s="92"/>
      <c r="G641" s="96"/>
      <c r="H641" s="96"/>
      <c r="I641" s="92"/>
      <c r="J641" s="92"/>
      <c r="K641" s="92"/>
      <c r="L641" s="92"/>
      <c r="M641" s="92"/>
      <c r="N641" s="97">
        <v>0</v>
      </c>
      <c r="O641" s="97">
        <v>24</v>
      </c>
      <c r="P641" s="98">
        <f>SUM(SamplingData[[#This Row],[Winning Candidate]:[Under Votes]])</f>
        <v>337</v>
      </c>
      <c r="Q641" s="99">
        <f>IF(AND(SamplingData[[#This Row],[Total]]&lt;&gt; 0, NOT(ISBLANK(SamplingData[[#This Row],[Losing Candidate]]))),(SamplingData[[#This Row],[Total]]+SamplingData[[#This Row],[Winning Candidate]]-SamplingData[[#This Row],[Losing Candidate]])/(SamplingData[[#Totals],[Winning Candidate]]-SamplingData[[#Totals],[Losing Candidate]]), 0)</f>
        <v>2.1303683585129858E-2</v>
      </c>
      <c r="R641" s="99">
        <f>IF(AND(SamplingData[[#This Row],[Total]]&lt;&gt; 0, NOT(ISBLANK(SamplingData[[#This Row],[Candidate 3]]))),(SamplingData[[#This Row],[Total]]+SamplingData[[#This Row],[Winning Candidate]]-SamplingData[[#This Row],[Candidate 3]])/(SamplingData[[#Totals],[Winning Candidate]]-SamplingData[[#Totals],[Candidate 3]]), 0)</f>
        <v>0</v>
      </c>
      <c r="S641" s="99">
        <f>IF(AND(SamplingData[[#This Row],[Total]]&lt;&gt; 0, NOT(ISBLANK(SamplingData[[#This Row],[Candidate 4]]))),(SamplingData[[#This Row],[Total]]+SamplingData[[#This Row],[Winning Candidate]]-SamplingData[[#This Row],[Candidate 4]])/(SamplingData[[#Totals],[Winning Candidate]]-SamplingData[[#Totals],[Candidate 4]]), 0)</f>
        <v>0</v>
      </c>
      <c r="T641" s="99">
        <f>IF(AND(SamplingData[[#This Row],[Total]]&lt;&gt; 0, NOT(ISBLANK(SamplingData[[#This Row],[Candidate 5]]))),(SamplingData[[#This Row],[Total]]+SamplingData[[#This Row],[Winning Candidate]]-SamplingData[[#This Row],[Candidate 5]])/(SamplingData[[#Totals],[Winning Candidate]]-SamplingData[[#Totals],[Candidate 5]]), 0)</f>
        <v>0</v>
      </c>
      <c r="U641" s="99">
        <f>IF(AND(SamplingData[[#This Row],[Total]]&lt;&gt; 0, NOT(ISBLANK(SamplingData[[#This Row],[Candidate 6]]))),(SamplingData[[#This Row],[Total]]+SamplingData[[#This Row],[Losing Candidate]]-SamplingData[[#This Row],[Candidate 6]])/(SamplingData[[#Totals],[Winning Candidate]]-SamplingData[[#Totals],[Candidate 6]]), 0)</f>
        <v>0</v>
      </c>
      <c r="V641" s="99">
        <f>IF(AND(SamplingData[[#This Row],[Total]]&lt;&gt; 0, NOT(ISBLANK(SamplingData[[#This Row],[Candidate 7]]))),(SamplingData[[#This Row],[Total]]+SamplingData[[#This Row],[Winning Candidate]]-SamplingData[[#This Row],[Candidate 7]])/(SamplingData[[#Totals],[Winning Candidate]]-SamplingData[[#Totals],[Candidate 7]]), 0)</f>
        <v>0</v>
      </c>
      <c r="W641" s="99">
        <f>IF(AND(SamplingData[[#This Row],[Total]]&lt;&gt; 0, NOT(ISBLANK(SamplingData[[#This Row],[Candidate 8]]))),(SamplingData[[#This Row],[Total]]+SamplingData[[#This Row],[Winning Candidate]]-SamplingData[[#This Row],[Candidate 8]])/(SamplingData[[#Totals],[Winning Candidate]]-SamplingData[[#Totals],[Candidate 8]]), 0)</f>
        <v>0</v>
      </c>
      <c r="X6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1" s="99">
        <f>MAX(SamplingData[[#This Row],[Error Bound (up) - Max. possible relative overstatement - Losing Candidate]:[Error Bound (up) - Max. possible relative overstatement - Candidate 12]])</f>
        <v>2.1303683585129858E-2</v>
      </c>
      <c r="AC641" s="99">
        <f>IF(SamplingData[[#This Row],[Max Error Bound (up)]] = 0,0,SamplingData[[#This Row],[Max Error Bound (up)]]/SamplingData[[#Totals],[Max Error Bound (up)]])</f>
        <v>1.1406187515905057E-3</v>
      </c>
      <c r="AD641" s="103">
        <f>SUM($AC$5:AC641)</f>
        <v>0.54473179554295348</v>
      </c>
      <c r="AE641" s="99" t="str" cm="1">
        <f t="array" ref="AE641">IF(SamplingData[[#This Row],[up/U Selection Probability]] = 0, "Zero", TEXT(SamplingData[[#This Row],[Lower Range]], REPT("0",LEN('General Info'!$B$42))) &amp; " - " &amp; TEXT(SamplingData[[#This Row],[Upper Range]], REPT("0",LEN('General Info'!$B$42))))</f>
        <v>543591 - 544731</v>
      </c>
      <c r="AF641" s="99">
        <f>SamplingData[[#This Row],[Upper Range]]-SamplingData[[#This Row],[Span]]</f>
        <v>543591.17679136305</v>
      </c>
      <c r="AG641" s="99">
        <f>IF(ISNUMBER('General Info'!$B$42), ((SamplingData[[#This Row],[up/U Selection Probability]]) * 'General Info'!$B$44) - 1, 0)</f>
        <v>1139.6187515905058</v>
      </c>
      <c r="AH641" s="99">
        <f>IF(ISNUMBER('General Info'!$B$42), (SamplingData[[#This Row],[Running (cumulative) sum]] * ('General Info'!$B$42 -'General Info'!$B$43 + 1)) + 'General Info'!$B$43 - 1, 0)</f>
        <v>544730.79554295354</v>
      </c>
      <c r="AI641" s="99" t="str">
        <f>IF(ISERROR(MATCH(SamplingData[[#This Row],[Batch by Type (p)]],SelectedPrecincts[Batch Name], 0)), "", INDEX(SelectedPrecincts[Draw], MATCH(SamplingData[[#This Row],[Batch by Type (p)]],SelectedPrecincts[Batch Name], 0)))</f>
        <v/>
      </c>
      <c r="AJ641" s="100">
        <f>IF(COUNTIF(SelectedPrecincts[Batch Name],SamplingData[[#This Row],[Batch by Type (p)]]) &lt;&gt; 0, COUNTIF(SelectedPrecincts[Batch Name],SamplingData[[#This Row],[Batch by Type (p)]]), 0)</f>
        <v>0</v>
      </c>
    </row>
    <row r="642" spans="1:36" ht="15" customHeight="1" x14ac:dyDescent="0.35">
      <c r="A642" s="97" t="s">
        <v>855</v>
      </c>
      <c r="B642" s="97">
        <v>161</v>
      </c>
      <c r="C642" s="97">
        <v>44</v>
      </c>
      <c r="D642" s="92"/>
      <c r="E642" s="92"/>
      <c r="F642" s="92"/>
      <c r="G642" s="96"/>
      <c r="H642" s="96"/>
      <c r="I642" s="92"/>
      <c r="J642" s="92"/>
      <c r="K642" s="92"/>
      <c r="L642" s="92"/>
      <c r="M642" s="92"/>
      <c r="N642" s="97">
        <v>0</v>
      </c>
      <c r="O642" s="97">
        <v>39</v>
      </c>
      <c r="P642" s="98">
        <f>SUM(SamplingData[[#This Row],[Winning Candidate]:[Under Votes]])</f>
        <v>244</v>
      </c>
      <c r="Q642" s="99">
        <f>IF(AND(SamplingData[[#This Row],[Total]]&lt;&gt; 0, NOT(ISBLANK(SamplingData[[#This Row],[Losing Candidate]]))),(SamplingData[[#This Row],[Total]]+SamplingData[[#This Row],[Winning Candidate]]-SamplingData[[#This Row],[Losing Candidate]])/(SamplingData[[#Totals],[Winning Candidate]]-SamplingData[[#Totals],[Losing Candidate]]), 0)</f>
        <v>1.5319979629943982E-2</v>
      </c>
      <c r="R642" s="99">
        <f>IF(AND(SamplingData[[#This Row],[Total]]&lt;&gt; 0, NOT(ISBLANK(SamplingData[[#This Row],[Candidate 3]]))),(SamplingData[[#This Row],[Total]]+SamplingData[[#This Row],[Winning Candidate]]-SamplingData[[#This Row],[Candidate 3]])/(SamplingData[[#Totals],[Winning Candidate]]-SamplingData[[#Totals],[Candidate 3]]), 0)</f>
        <v>0</v>
      </c>
      <c r="S642" s="99">
        <f>IF(AND(SamplingData[[#This Row],[Total]]&lt;&gt; 0, NOT(ISBLANK(SamplingData[[#This Row],[Candidate 4]]))),(SamplingData[[#This Row],[Total]]+SamplingData[[#This Row],[Winning Candidate]]-SamplingData[[#This Row],[Candidate 4]])/(SamplingData[[#Totals],[Winning Candidate]]-SamplingData[[#Totals],[Candidate 4]]), 0)</f>
        <v>0</v>
      </c>
      <c r="T642" s="99">
        <f>IF(AND(SamplingData[[#This Row],[Total]]&lt;&gt; 0, NOT(ISBLANK(SamplingData[[#This Row],[Candidate 5]]))),(SamplingData[[#This Row],[Total]]+SamplingData[[#This Row],[Winning Candidate]]-SamplingData[[#This Row],[Candidate 5]])/(SamplingData[[#Totals],[Winning Candidate]]-SamplingData[[#Totals],[Candidate 5]]), 0)</f>
        <v>0</v>
      </c>
      <c r="U642" s="99">
        <f>IF(AND(SamplingData[[#This Row],[Total]]&lt;&gt; 0, NOT(ISBLANK(SamplingData[[#This Row],[Candidate 6]]))),(SamplingData[[#This Row],[Total]]+SamplingData[[#This Row],[Losing Candidate]]-SamplingData[[#This Row],[Candidate 6]])/(SamplingData[[#Totals],[Winning Candidate]]-SamplingData[[#Totals],[Candidate 6]]), 0)</f>
        <v>0</v>
      </c>
      <c r="V642" s="99">
        <f>IF(AND(SamplingData[[#This Row],[Total]]&lt;&gt; 0, NOT(ISBLANK(SamplingData[[#This Row],[Candidate 7]]))),(SamplingData[[#This Row],[Total]]+SamplingData[[#This Row],[Winning Candidate]]-SamplingData[[#This Row],[Candidate 7]])/(SamplingData[[#Totals],[Winning Candidate]]-SamplingData[[#Totals],[Candidate 7]]), 0)</f>
        <v>0</v>
      </c>
      <c r="W642" s="99">
        <f>IF(AND(SamplingData[[#This Row],[Total]]&lt;&gt; 0, NOT(ISBLANK(SamplingData[[#This Row],[Candidate 8]]))),(SamplingData[[#This Row],[Total]]+SamplingData[[#This Row],[Winning Candidate]]-SamplingData[[#This Row],[Candidate 8]])/(SamplingData[[#Totals],[Winning Candidate]]-SamplingData[[#Totals],[Candidate 8]]), 0)</f>
        <v>0</v>
      </c>
      <c r="X6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2" s="99">
        <f>MAX(SamplingData[[#This Row],[Error Bound (up) - Max. possible relative overstatement - Losing Candidate]:[Error Bound (up) - Max. possible relative overstatement - Candidate 12]])</f>
        <v>1.5319979629943982E-2</v>
      </c>
      <c r="AC642" s="99">
        <f>IF(SamplingData[[#This Row],[Max Error Bound (up)]] = 0,0,SamplingData[[#This Row],[Max Error Bound (up)]]/SamplingData[[#Totals],[Max Error Bound (up)]])</f>
        <v>8.2024575562584167E-4</v>
      </c>
      <c r="AD642" s="103">
        <f>SUM($AC$5:AC642)</f>
        <v>0.54555204129857937</v>
      </c>
      <c r="AE642" s="99" t="str" cm="1">
        <f t="array" ref="AE642">IF(SamplingData[[#This Row],[up/U Selection Probability]] = 0, "Zero", TEXT(SamplingData[[#This Row],[Lower Range]], REPT("0",LEN('General Info'!$B$42))) &amp; " - " &amp; TEXT(SamplingData[[#This Row],[Upper Range]], REPT("0",LEN('General Info'!$B$42))))</f>
        <v>544732 - 545551</v>
      </c>
      <c r="AF642" s="99">
        <f>SamplingData[[#This Row],[Upper Range]]-SamplingData[[#This Row],[Span]]</f>
        <v>544731.79554295354</v>
      </c>
      <c r="AG642" s="99">
        <f>IF(ISNUMBER('General Info'!$B$42), ((SamplingData[[#This Row],[up/U Selection Probability]]) * 'General Info'!$B$44) - 1, 0)</f>
        <v>819.24575562584164</v>
      </c>
      <c r="AH642" s="99">
        <f>IF(ISNUMBER('General Info'!$B$42), (SamplingData[[#This Row],[Running (cumulative) sum]] * ('General Info'!$B$42 -'General Info'!$B$43 + 1)) + 'General Info'!$B$43 - 1, 0)</f>
        <v>545551.04129857942</v>
      </c>
      <c r="AI642" s="99" t="str">
        <f>IF(ISERROR(MATCH(SamplingData[[#This Row],[Batch by Type (p)]],SelectedPrecincts[Batch Name], 0)), "", INDEX(SelectedPrecincts[Draw], MATCH(SamplingData[[#This Row],[Batch by Type (p)]],SelectedPrecincts[Batch Name], 0)))</f>
        <v/>
      </c>
      <c r="AJ642" s="100">
        <f>IF(COUNTIF(SelectedPrecincts[Batch Name],SamplingData[[#This Row],[Batch by Type (p)]]) &lt;&gt; 0, COUNTIF(SelectedPrecincts[Batch Name],SamplingData[[#This Row],[Batch by Type (p)]]), 0)</f>
        <v>0</v>
      </c>
    </row>
    <row r="643" spans="1:36" ht="15" customHeight="1" x14ac:dyDescent="0.35">
      <c r="A643" s="97" t="s">
        <v>856</v>
      </c>
      <c r="B643" s="97">
        <v>221</v>
      </c>
      <c r="C643" s="97">
        <v>51</v>
      </c>
      <c r="D643" s="92"/>
      <c r="E643" s="92"/>
      <c r="F643" s="92"/>
      <c r="G643" s="96"/>
      <c r="H643" s="96"/>
      <c r="I643" s="92"/>
      <c r="J643" s="92"/>
      <c r="K643" s="92"/>
      <c r="L643" s="92"/>
      <c r="M643" s="92"/>
      <c r="N643" s="97">
        <v>1</v>
      </c>
      <c r="O643" s="97">
        <v>31</v>
      </c>
      <c r="P643" s="98">
        <f>SUM(SamplingData[[#This Row],[Winning Candidate]:[Under Votes]])</f>
        <v>304</v>
      </c>
      <c r="Q643" s="99">
        <f>IF(AND(SamplingData[[#This Row],[Total]]&lt;&gt; 0, NOT(ISBLANK(SamplingData[[#This Row],[Losing Candidate]]))),(SamplingData[[#This Row],[Total]]+SamplingData[[#This Row],[Winning Candidate]]-SamplingData[[#This Row],[Losing Candidate]])/(SamplingData[[#Totals],[Winning Candidate]]-SamplingData[[#Totals],[Losing Candidate]]), 0)</f>
        <v>2.0115430317433371E-2</v>
      </c>
      <c r="R643" s="99">
        <f>IF(AND(SamplingData[[#This Row],[Total]]&lt;&gt; 0, NOT(ISBLANK(SamplingData[[#This Row],[Candidate 3]]))),(SamplingData[[#This Row],[Total]]+SamplingData[[#This Row],[Winning Candidate]]-SamplingData[[#This Row],[Candidate 3]])/(SamplingData[[#Totals],[Winning Candidate]]-SamplingData[[#Totals],[Candidate 3]]), 0)</f>
        <v>0</v>
      </c>
      <c r="S643" s="99">
        <f>IF(AND(SamplingData[[#This Row],[Total]]&lt;&gt; 0, NOT(ISBLANK(SamplingData[[#This Row],[Candidate 4]]))),(SamplingData[[#This Row],[Total]]+SamplingData[[#This Row],[Winning Candidate]]-SamplingData[[#This Row],[Candidate 4]])/(SamplingData[[#Totals],[Winning Candidate]]-SamplingData[[#Totals],[Candidate 4]]), 0)</f>
        <v>0</v>
      </c>
      <c r="T643" s="99">
        <f>IF(AND(SamplingData[[#This Row],[Total]]&lt;&gt; 0, NOT(ISBLANK(SamplingData[[#This Row],[Candidate 5]]))),(SamplingData[[#This Row],[Total]]+SamplingData[[#This Row],[Winning Candidate]]-SamplingData[[#This Row],[Candidate 5]])/(SamplingData[[#Totals],[Winning Candidate]]-SamplingData[[#Totals],[Candidate 5]]), 0)</f>
        <v>0</v>
      </c>
      <c r="U643" s="99">
        <f>IF(AND(SamplingData[[#This Row],[Total]]&lt;&gt; 0, NOT(ISBLANK(SamplingData[[#This Row],[Candidate 6]]))),(SamplingData[[#This Row],[Total]]+SamplingData[[#This Row],[Losing Candidate]]-SamplingData[[#This Row],[Candidate 6]])/(SamplingData[[#Totals],[Winning Candidate]]-SamplingData[[#Totals],[Candidate 6]]), 0)</f>
        <v>0</v>
      </c>
      <c r="V643" s="99">
        <f>IF(AND(SamplingData[[#This Row],[Total]]&lt;&gt; 0, NOT(ISBLANK(SamplingData[[#This Row],[Candidate 7]]))),(SamplingData[[#This Row],[Total]]+SamplingData[[#This Row],[Winning Candidate]]-SamplingData[[#This Row],[Candidate 7]])/(SamplingData[[#Totals],[Winning Candidate]]-SamplingData[[#Totals],[Candidate 7]]), 0)</f>
        <v>0</v>
      </c>
      <c r="W643" s="99">
        <f>IF(AND(SamplingData[[#This Row],[Total]]&lt;&gt; 0, NOT(ISBLANK(SamplingData[[#This Row],[Candidate 8]]))),(SamplingData[[#This Row],[Total]]+SamplingData[[#This Row],[Winning Candidate]]-SamplingData[[#This Row],[Candidate 8]])/(SamplingData[[#Totals],[Winning Candidate]]-SamplingData[[#Totals],[Candidate 8]]), 0)</f>
        <v>0</v>
      </c>
      <c r="X6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3" s="99">
        <f>MAX(SamplingData[[#This Row],[Error Bound (up) - Max. possible relative overstatement - Losing Candidate]:[Error Bound (up) - Max. possible relative overstatement - Candidate 12]])</f>
        <v>2.0115430317433371E-2</v>
      </c>
      <c r="AC643" s="99">
        <f>IF(SamplingData[[#This Row],[Max Error Bound (up)]] = 0,0,SamplingData[[#This Row],[Max Error Bound (up)]]/SamplingData[[#Totals],[Max Error Bound (up)]])</f>
        <v>1.076998582179083E-3</v>
      </c>
      <c r="AD643" s="103">
        <f>SUM($AC$5:AC643)</f>
        <v>0.5466290398807585</v>
      </c>
      <c r="AE643" s="99" t="str" cm="1">
        <f t="array" ref="AE643">IF(SamplingData[[#This Row],[up/U Selection Probability]] = 0, "Zero", TEXT(SamplingData[[#This Row],[Lower Range]], REPT("0",LEN('General Info'!$B$42))) &amp; " - " &amp; TEXT(SamplingData[[#This Row],[Upper Range]], REPT("0",LEN('General Info'!$B$42))))</f>
        <v>545552 - 546628</v>
      </c>
      <c r="AF643" s="99">
        <f>SamplingData[[#This Row],[Upper Range]]-SamplingData[[#This Row],[Span]]</f>
        <v>545552.04129857942</v>
      </c>
      <c r="AG643" s="99">
        <f>IF(ISNUMBER('General Info'!$B$42), ((SamplingData[[#This Row],[up/U Selection Probability]]) * 'General Info'!$B$44) - 1, 0)</f>
        <v>1075.9985821790829</v>
      </c>
      <c r="AH643" s="99">
        <f>IF(ISNUMBER('General Info'!$B$42), (SamplingData[[#This Row],[Running (cumulative) sum]] * ('General Info'!$B$42 -'General Info'!$B$43 + 1)) + 'General Info'!$B$43 - 1, 0)</f>
        <v>546628.0398807585</v>
      </c>
      <c r="AI643" s="99" t="str">
        <f>IF(ISERROR(MATCH(SamplingData[[#This Row],[Batch by Type (p)]],SelectedPrecincts[Batch Name], 0)), "", INDEX(SelectedPrecincts[Draw], MATCH(SamplingData[[#This Row],[Batch by Type (p)]],SelectedPrecincts[Batch Name], 0)))</f>
        <v/>
      </c>
      <c r="AJ643" s="100">
        <f>IF(COUNTIF(SelectedPrecincts[Batch Name],SamplingData[[#This Row],[Batch by Type (p)]]) &lt;&gt; 0, COUNTIF(SelectedPrecincts[Batch Name],SamplingData[[#This Row],[Batch by Type (p)]]), 0)</f>
        <v>0</v>
      </c>
    </row>
    <row r="644" spans="1:36" ht="15" customHeight="1" x14ac:dyDescent="0.35">
      <c r="A644" s="97" t="s">
        <v>857</v>
      </c>
      <c r="B644" s="97">
        <v>169</v>
      </c>
      <c r="C644" s="97">
        <v>48</v>
      </c>
      <c r="D644" s="92"/>
      <c r="E644" s="92"/>
      <c r="F644" s="92"/>
      <c r="G644" s="96"/>
      <c r="H644" s="96"/>
      <c r="I644" s="92"/>
      <c r="J644" s="92"/>
      <c r="K644" s="92"/>
      <c r="L644" s="92"/>
      <c r="M644" s="92"/>
      <c r="N644" s="97">
        <v>0</v>
      </c>
      <c r="O644" s="97">
        <v>40</v>
      </c>
      <c r="P644" s="98">
        <f>SUM(SamplingData[[#This Row],[Winning Candidate]:[Under Votes]])</f>
        <v>257</v>
      </c>
      <c r="Q644" s="99">
        <f>IF(AND(SamplingData[[#This Row],[Total]]&lt;&gt; 0, NOT(ISBLANK(SamplingData[[#This Row],[Losing Candidate]]))),(SamplingData[[#This Row],[Total]]+SamplingData[[#This Row],[Winning Candidate]]-SamplingData[[#This Row],[Losing Candidate]])/(SamplingData[[#Totals],[Winning Candidate]]-SamplingData[[#Totals],[Losing Candidate]]), 0)</f>
        <v>1.6041419113902562E-2</v>
      </c>
      <c r="R644" s="99">
        <f>IF(AND(SamplingData[[#This Row],[Total]]&lt;&gt; 0, NOT(ISBLANK(SamplingData[[#This Row],[Candidate 3]]))),(SamplingData[[#This Row],[Total]]+SamplingData[[#This Row],[Winning Candidate]]-SamplingData[[#This Row],[Candidate 3]])/(SamplingData[[#Totals],[Winning Candidate]]-SamplingData[[#Totals],[Candidate 3]]), 0)</f>
        <v>0</v>
      </c>
      <c r="S644" s="99">
        <f>IF(AND(SamplingData[[#This Row],[Total]]&lt;&gt; 0, NOT(ISBLANK(SamplingData[[#This Row],[Candidate 4]]))),(SamplingData[[#This Row],[Total]]+SamplingData[[#This Row],[Winning Candidate]]-SamplingData[[#This Row],[Candidate 4]])/(SamplingData[[#Totals],[Winning Candidate]]-SamplingData[[#Totals],[Candidate 4]]), 0)</f>
        <v>0</v>
      </c>
      <c r="T644" s="99">
        <f>IF(AND(SamplingData[[#This Row],[Total]]&lt;&gt; 0, NOT(ISBLANK(SamplingData[[#This Row],[Candidate 5]]))),(SamplingData[[#This Row],[Total]]+SamplingData[[#This Row],[Winning Candidate]]-SamplingData[[#This Row],[Candidate 5]])/(SamplingData[[#Totals],[Winning Candidate]]-SamplingData[[#Totals],[Candidate 5]]), 0)</f>
        <v>0</v>
      </c>
      <c r="U644" s="99">
        <f>IF(AND(SamplingData[[#This Row],[Total]]&lt;&gt; 0, NOT(ISBLANK(SamplingData[[#This Row],[Candidate 6]]))),(SamplingData[[#This Row],[Total]]+SamplingData[[#This Row],[Losing Candidate]]-SamplingData[[#This Row],[Candidate 6]])/(SamplingData[[#Totals],[Winning Candidate]]-SamplingData[[#Totals],[Candidate 6]]), 0)</f>
        <v>0</v>
      </c>
      <c r="V644" s="99">
        <f>IF(AND(SamplingData[[#This Row],[Total]]&lt;&gt; 0, NOT(ISBLANK(SamplingData[[#This Row],[Candidate 7]]))),(SamplingData[[#This Row],[Total]]+SamplingData[[#This Row],[Winning Candidate]]-SamplingData[[#This Row],[Candidate 7]])/(SamplingData[[#Totals],[Winning Candidate]]-SamplingData[[#Totals],[Candidate 7]]), 0)</f>
        <v>0</v>
      </c>
      <c r="W644" s="99">
        <f>IF(AND(SamplingData[[#This Row],[Total]]&lt;&gt; 0, NOT(ISBLANK(SamplingData[[#This Row],[Candidate 8]]))),(SamplingData[[#This Row],[Total]]+SamplingData[[#This Row],[Winning Candidate]]-SamplingData[[#This Row],[Candidate 8]])/(SamplingData[[#Totals],[Winning Candidate]]-SamplingData[[#Totals],[Candidate 8]]), 0)</f>
        <v>0</v>
      </c>
      <c r="X6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4" s="99">
        <f>MAX(SamplingData[[#This Row],[Error Bound (up) - Max. possible relative overstatement - Losing Candidate]:[Error Bound (up) - Max. possible relative overstatement - Candidate 12]])</f>
        <v>1.6041419113902562E-2</v>
      </c>
      <c r="AC644" s="99">
        <f>IF(SamplingData[[#This Row],[Max Error Bound (up)]] = 0,0,SamplingData[[#This Row],[Max Error Bound (up)]]/SamplingData[[#Totals],[Max Error Bound (up)]])</f>
        <v>8.5887228705420538E-4</v>
      </c>
      <c r="AD644" s="103">
        <f>SUM($AC$5:AC644)</f>
        <v>0.54748791216781267</v>
      </c>
      <c r="AE644" s="99" t="str" cm="1">
        <f t="array" ref="AE644">IF(SamplingData[[#This Row],[up/U Selection Probability]] = 0, "Zero", TEXT(SamplingData[[#This Row],[Lower Range]], REPT("0",LEN('General Info'!$B$42))) &amp; " - " &amp; TEXT(SamplingData[[#This Row],[Upper Range]], REPT("0",LEN('General Info'!$B$42))))</f>
        <v>546629 - 547487</v>
      </c>
      <c r="AF644" s="99">
        <f>SamplingData[[#This Row],[Upper Range]]-SamplingData[[#This Row],[Span]]</f>
        <v>546629.0398807585</v>
      </c>
      <c r="AG644" s="99">
        <f>IF(ISNUMBER('General Info'!$B$42), ((SamplingData[[#This Row],[up/U Selection Probability]]) * 'General Info'!$B$44) - 1, 0)</f>
        <v>857.87228705420534</v>
      </c>
      <c r="AH644" s="99">
        <f>IF(ISNUMBER('General Info'!$B$42), (SamplingData[[#This Row],[Running (cumulative) sum]] * ('General Info'!$B$42 -'General Info'!$B$43 + 1)) + 'General Info'!$B$43 - 1, 0)</f>
        <v>547486.9121678127</v>
      </c>
      <c r="AI644" s="99">
        <f>IF(ISERROR(MATCH(SamplingData[[#This Row],[Batch by Type (p)]],SelectedPrecincts[Batch Name], 0)), "", INDEX(SelectedPrecincts[Draw], MATCH(SamplingData[[#This Row],[Batch by Type (p)]],SelectedPrecincts[Batch Name], 0)))</f>
        <v>2</v>
      </c>
      <c r="AJ644" s="100">
        <f>IF(COUNTIF(SelectedPrecincts[Batch Name],SamplingData[[#This Row],[Batch by Type (p)]]) &lt;&gt; 0, COUNTIF(SelectedPrecincts[Batch Name],SamplingData[[#This Row],[Batch by Type (p)]]), 0)</f>
        <v>1</v>
      </c>
    </row>
    <row r="645" spans="1:36" ht="15" customHeight="1" x14ac:dyDescent="0.35">
      <c r="A645" s="97" t="s">
        <v>858</v>
      </c>
      <c r="B645" s="97">
        <v>172</v>
      </c>
      <c r="C645" s="97">
        <v>51</v>
      </c>
      <c r="D645" s="92"/>
      <c r="E645" s="92"/>
      <c r="F645" s="92"/>
      <c r="G645" s="96"/>
      <c r="H645" s="96"/>
      <c r="I645" s="92"/>
      <c r="J645" s="92"/>
      <c r="K645" s="92"/>
      <c r="L645" s="92"/>
      <c r="M645" s="92"/>
      <c r="N645" s="97">
        <v>0</v>
      </c>
      <c r="O645" s="97">
        <v>48</v>
      </c>
      <c r="P645" s="98">
        <f>SUM(SamplingData[[#This Row],[Winning Candidate]:[Under Votes]])</f>
        <v>271</v>
      </c>
      <c r="Q645" s="99">
        <f>IF(AND(SamplingData[[#This Row],[Total]]&lt;&gt; 0, NOT(ISBLANK(SamplingData[[#This Row],[Losing Candidate]]))),(SamplingData[[#This Row],[Total]]+SamplingData[[#This Row],[Winning Candidate]]-SamplingData[[#This Row],[Losing Candidate]])/(SamplingData[[#Totals],[Winning Candidate]]-SamplingData[[#Totals],[Losing Candidate]]), 0)</f>
        <v>1.6635545747750807E-2</v>
      </c>
      <c r="R645" s="99">
        <f>IF(AND(SamplingData[[#This Row],[Total]]&lt;&gt; 0, NOT(ISBLANK(SamplingData[[#This Row],[Candidate 3]]))),(SamplingData[[#This Row],[Total]]+SamplingData[[#This Row],[Winning Candidate]]-SamplingData[[#This Row],[Candidate 3]])/(SamplingData[[#Totals],[Winning Candidate]]-SamplingData[[#Totals],[Candidate 3]]), 0)</f>
        <v>0</v>
      </c>
      <c r="S645" s="99">
        <f>IF(AND(SamplingData[[#This Row],[Total]]&lt;&gt; 0, NOT(ISBLANK(SamplingData[[#This Row],[Candidate 4]]))),(SamplingData[[#This Row],[Total]]+SamplingData[[#This Row],[Winning Candidate]]-SamplingData[[#This Row],[Candidate 4]])/(SamplingData[[#Totals],[Winning Candidate]]-SamplingData[[#Totals],[Candidate 4]]), 0)</f>
        <v>0</v>
      </c>
      <c r="T645" s="99">
        <f>IF(AND(SamplingData[[#This Row],[Total]]&lt;&gt; 0, NOT(ISBLANK(SamplingData[[#This Row],[Candidate 5]]))),(SamplingData[[#This Row],[Total]]+SamplingData[[#This Row],[Winning Candidate]]-SamplingData[[#This Row],[Candidate 5]])/(SamplingData[[#Totals],[Winning Candidate]]-SamplingData[[#Totals],[Candidate 5]]), 0)</f>
        <v>0</v>
      </c>
      <c r="U645" s="99">
        <f>IF(AND(SamplingData[[#This Row],[Total]]&lt;&gt; 0, NOT(ISBLANK(SamplingData[[#This Row],[Candidate 6]]))),(SamplingData[[#This Row],[Total]]+SamplingData[[#This Row],[Losing Candidate]]-SamplingData[[#This Row],[Candidate 6]])/(SamplingData[[#Totals],[Winning Candidate]]-SamplingData[[#Totals],[Candidate 6]]), 0)</f>
        <v>0</v>
      </c>
      <c r="V645" s="99">
        <f>IF(AND(SamplingData[[#This Row],[Total]]&lt;&gt; 0, NOT(ISBLANK(SamplingData[[#This Row],[Candidate 7]]))),(SamplingData[[#This Row],[Total]]+SamplingData[[#This Row],[Winning Candidate]]-SamplingData[[#This Row],[Candidate 7]])/(SamplingData[[#Totals],[Winning Candidate]]-SamplingData[[#Totals],[Candidate 7]]), 0)</f>
        <v>0</v>
      </c>
      <c r="W645" s="99">
        <f>IF(AND(SamplingData[[#This Row],[Total]]&lt;&gt; 0, NOT(ISBLANK(SamplingData[[#This Row],[Candidate 8]]))),(SamplingData[[#This Row],[Total]]+SamplingData[[#This Row],[Winning Candidate]]-SamplingData[[#This Row],[Candidate 8]])/(SamplingData[[#Totals],[Winning Candidate]]-SamplingData[[#Totals],[Candidate 8]]), 0)</f>
        <v>0</v>
      </c>
      <c r="X6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5" s="99">
        <f>MAX(SamplingData[[#This Row],[Error Bound (up) - Max. possible relative overstatement - Losing Candidate]:[Error Bound (up) - Max. possible relative overstatement - Candidate 12]])</f>
        <v>1.6635545747750807E-2</v>
      </c>
      <c r="AC645" s="99">
        <f>IF(SamplingData[[#This Row],[Max Error Bound (up)]] = 0,0,SamplingData[[#This Row],[Max Error Bound (up)]]/SamplingData[[#Totals],[Max Error Bound (up)]])</f>
        <v>8.9068237175991686E-4</v>
      </c>
      <c r="AD645" s="103">
        <f>SUM($AC$5:AC645)</f>
        <v>0.54837859453957261</v>
      </c>
      <c r="AE645" s="99" t="str" cm="1">
        <f t="array" ref="AE645">IF(SamplingData[[#This Row],[up/U Selection Probability]] = 0, "Zero", TEXT(SamplingData[[#This Row],[Lower Range]], REPT("0",LEN('General Info'!$B$42))) &amp; " - " &amp; TEXT(SamplingData[[#This Row],[Upper Range]], REPT("0",LEN('General Info'!$B$42))))</f>
        <v>547488 - 548378</v>
      </c>
      <c r="AF645" s="99">
        <f>SamplingData[[#This Row],[Upper Range]]-SamplingData[[#This Row],[Span]]</f>
        <v>547487.9121678127</v>
      </c>
      <c r="AG645" s="99">
        <f>IF(ISNUMBER('General Info'!$B$42), ((SamplingData[[#This Row],[up/U Selection Probability]]) * 'General Info'!$B$44) - 1, 0)</f>
        <v>889.6823717599168</v>
      </c>
      <c r="AH645" s="99">
        <f>IF(ISNUMBER('General Info'!$B$42), (SamplingData[[#This Row],[Running (cumulative) sum]] * ('General Info'!$B$42 -'General Info'!$B$43 + 1)) + 'General Info'!$B$43 - 1, 0)</f>
        <v>548377.5945395726</v>
      </c>
      <c r="AI645" s="99" t="str">
        <f>IF(ISERROR(MATCH(SamplingData[[#This Row],[Batch by Type (p)]],SelectedPrecincts[Batch Name], 0)), "", INDEX(SelectedPrecincts[Draw], MATCH(SamplingData[[#This Row],[Batch by Type (p)]],SelectedPrecincts[Batch Name], 0)))</f>
        <v/>
      </c>
      <c r="AJ645" s="100">
        <f>IF(COUNTIF(SelectedPrecincts[Batch Name],SamplingData[[#This Row],[Batch by Type (p)]]) &lt;&gt; 0, COUNTIF(SelectedPrecincts[Batch Name],SamplingData[[#This Row],[Batch by Type (p)]]), 0)</f>
        <v>0</v>
      </c>
    </row>
    <row r="646" spans="1:36" ht="15" customHeight="1" x14ac:dyDescent="0.35">
      <c r="A646" s="97" t="s">
        <v>859</v>
      </c>
      <c r="B646" s="97">
        <v>216</v>
      </c>
      <c r="C646" s="97">
        <v>43</v>
      </c>
      <c r="D646" s="92"/>
      <c r="E646" s="92"/>
      <c r="F646" s="92"/>
      <c r="G646" s="96"/>
      <c r="H646" s="96"/>
      <c r="I646" s="92"/>
      <c r="J646" s="92"/>
      <c r="K646" s="92"/>
      <c r="L646" s="92"/>
      <c r="M646" s="92"/>
      <c r="N646" s="97">
        <v>0</v>
      </c>
      <c r="O646" s="97">
        <v>30</v>
      </c>
      <c r="P646" s="98">
        <f>SUM(SamplingData[[#This Row],[Winning Candidate]:[Under Votes]])</f>
        <v>289</v>
      </c>
      <c r="Q646" s="99">
        <f>IF(AND(SamplingData[[#This Row],[Total]]&lt;&gt; 0, NOT(ISBLANK(SamplingData[[#This Row],[Losing Candidate]]))),(SamplingData[[#This Row],[Total]]+SamplingData[[#This Row],[Winning Candidate]]-SamplingData[[#This Row],[Losing Candidate]])/(SamplingData[[#Totals],[Winning Candidate]]-SamplingData[[#Totals],[Losing Candidate]]), 0)</f>
        <v>1.9606178916992022E-2</v>
      </c>
      <c r="R646" s="99">
        <f>IF(AND(SamplingData[[#This Row],[Total]]&lt;&gt; 0, NOT(ISBLANK(SamplingData[[#This Row],[Candidate 3]]))),(SamplingData[[#This Row],[Total]]+SamplingData[[#This Row],[Winning Candidate]]-SamplingData[[#This Row],[Candidate 3]])/(SamplingData[[#Totals],[Winning Candidate]]-SamplingData[[#Totals],[Candidate 3]]), 0)</f>
        <v>0</v>
      </c>
      <c r="S646" s="99">
        <f>IF(AND(SamplingData[[#This Row],[Total]]&lt;&gt; 0, NOT(ISBLANK(SamplingData[[#This Row],[Candidate 4]]))),(SamplingData[[#This Row],[Total]]+SamplingData[[#This Row],[Winning Candidate]]-SamplingData[[#This Row],[Candidate 4]])/(SamplingData[[#Totals],[Winning Candidate]]-SamplingData[[#Totals],[Candidate 4]]), 0)</f>
        <v>0</v>
      </c>
      <c r="T646" s="99">
        <f>IF(AND(SamplingData[[#This Row],[Total]]&lt;&gt; 0, NOT(ISBLANK(SamplingData[[#This Row],[Candidate 5]]))),(SamplingData[[#This Row],[Total]]+SamplingData[[#This Row],[Winning Candidate]]-SamplingData[[#This Row],[Candidate 5]])/(SamplingData[[#Totals],[Winning Candidate]]-SamplingData[[#Totals],[Candidate 5]]), 0)</f>
        <v>0</v>
      </c>
      <c r="U646" s="99">
        <f>IF(AND(SamplingData[[#This Row],[Total]]&lt;&gt; 0, NOT(ISBLANK(SamplingData[[#This Row],[Candidate 6]]))),(SamplingData[[#This Row],[Total]]+SamplingData[[#This Row],[Losing Candidate]]-SamplingData[[#This Row],[Candidate 6]])/(SamplingData[[#Totals],[Winning Candidate]]-SamplingData[[#Totals],[Candidate 6]]), 0)</f>
        <v>0</v>
      </c>
      <c r="V646" s="99">
        <f>IF(AND(SamplingData[[#This Row],[Total]]&lt;&gt; 0, NOT(ISBLANK(SamplingData[[#This Row],[Candidate 7]]))),(SamplingData[[#This Row],[Total]]+SamplingData[[#This Row],[Winning Candidate]]-SamplingData[[#This Row],[Candidate 7]])/(SamplingData[[#Totals],[Winning Candidate]]-SamplingData[[#Totals],[Candidate 7]]), 0)</f>
        <v>0</v>
      </c>
      <c r="W646" s="99">
        <f>IF(AND(SamplingData[[#This Row],[Total]]&lt;&gt; 0, NOT(ISBLANK(SamplingData[[#This Row],[Candidate 8]]))),(SamplingData[[#This Row],[Total]]+SamplingData[[#This Row],[Winning Candidate]]-SamplingData[[#This Row],[Candidate 8]])/(SamplingData[[#Totals],[Winning Candidate]]-SamplingData[[#Totals],[Candidate 8]]), 0)</f>
        <v>0</v>
      </c>
      <c r="X6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6" s="99">
        <f>MAX(SamplingData[[#This Row],[Error Bound (up) - Max. possible relative overstatement - Losing Candidate]:[Error Bound (up) - Max. possible relative overstatement - Candidate 12]])</f>
        <v>1.9606178916992022E-2</v>
      </c>
      <c r="AC646" s="99">
        <f>IF(SamplingData[[#This Row],[Max Error Bound (up)]] = 0,0,SamplingData[[#This Row],[Max Error Bound (up)]]/SamplingData[[#Totals],[Max Error Bound (up)]])</f>
        <v>1.0497327952884734E-3</v>
      </c>
      <c r="AD646" s="103">
        <f>SUM($AC$5:AC646)</f>
        <v>0.54942832733486113</v>
      </c>
      <c r="AE646" s="99" t="str" cm="1">
        <f t="array" ref="AE646">IF(SamplingData[[#This Row],[up/U Selection Probability]] = 0, "Zero", TEXT(SamplingData[[#This Row],[Lower Range]], REPT("0",LEN('General Info'!$B$42))) &amp; " - " &amp; TEXT(SamplingData[[#This Row],[Upper Range]], REPT("0",LEN('General Info'!$B$42))))</f>
        <v>548379 - 549427</v>
      </c>
      <c r="AF646" s="99">
        <f>SamplingData[[#This Row],[Upper Range]]-SamplingData[[#This Row],[Span]]</f>
        <v>548378.59453957272</v>
      </c>
      <c r="AG646" s="99">
        <f>IF(ISNUMBER('General Info'!$B$42), ((SamplingData[[#This Row],[up/U Selection Probability]]) * 'General Info'!$B$44) - 1, 0)</f>
        <v>1048.7327952884734</v>
      </c>
      <c r="AH646" s="99">
        <f>IF(ISNUMBER('General Info'!$B$42), (SamplingData[[#This Row],[Running (cumulative) sum]] * ('General Info'!$B$42 -'General Info'!$B$43 + 1)) + 'General Info'!$B$43 - 1, 0)</f>
        <v>549427.32733486115</v>
      </c>
      <c r="AI646" s="99" t="str">
        <f>IF(ISERROR(MATCH(SamplingData[[#This Row],[Batch by Type (p)]],SelectedPrecincts[Batch Name], 0)), "", INDEX(SelectedPrecincts[Draw], MATCH(SamplingData[[#This Row],[Batch by Type (p)]],SelectedPrecincts[Batch Name], 0)))</f>
        <v/>
      </c>
      <c r="AJ646" s="100">
        <f>IF(COUNTIF(SelectedPrecincts[Batch Name],SamplingData[[#This Row],[Batch by Type (p)]]) &lt;&gt; 0, COUNTIF(SelectedPrecincts[Batch Name],SamplingData[[#This Row],[Batch by Type (p)]]), 0)</f>
        <v>0</v>
      </c>
    </row>
    <row r="647" spans="1:36" ht="15" customHeight="1" x14ac:dyDescent="0.35">
      <c r="A647" s="97" t="s">
        <v>860</v>
      </c>
      <c r="B647" s="97">
        <v>221</v>
      </c>
      <c r="C647" s="97">
        <v>54</v>
      </c>
      <c r="D647" s="92"/>
      <c r="E647" s="92"/>
      <c r="F647" s="92"/>
      <c r="G647" s="96"/>
      <c r="H647" s="96"/>
      <c r="I647" s="92"/>
      <c r="J647" s="92"/>
      <c r="K647" s="92"/>
      <c r="L647" s="92"/>
      <c r="M647" s="92"/>
      <c r="N647" s="97">
        <v>0</v>
      </c>
      <c r="O647" s="97">
        <v>26</v>
      </c>
      <c r="P647" s="98">
        <f>SUM(SamplingData[[#This Row],[Winning Candidate]:[Under Votes]])</f>
        <v>301</v>
      </c>
      <c r="Q647" s="99">
        <f>IF(AND(SamplingData[[#This Row],[Total]]&lt;&gt; 0, NOT(ISBLANK(SamplingData[[#This Row],[Losing Candidate]]))),(SamplingData[[#This Row],[Total]]+SamplingData[[#This Row],[Winning Candidate]]-SamplingData[[#This Row],[Losing Candidate]])/(SamplingData[[#Totals],[Winning Candidate]]-SamplingData[[#Totals],[Losing Candidate]]), 0)</f>
        <v>1.9860804617212697E-2</v>
      </c>
      <c r="R647" s="99">
        <f>IF(AND(SamplingData[[#This Row],[Total]]&lt;&gt; 0, NOT(ISBLANK(SamplingData[[#This Row],[Candidate 3]]))),(SamplingData[[#This Row],[Total]]+SamplingData[[#This Row],[Winning Candidate]]-SamplingData[[#This Row],[Candidate 3]])/(SamplingData[[#Totals],[Winning Candidate]]-SamplingData[[#Totals],[Candidate 3]]), 0)</f>
        <v>0</v>
      </c>
      <c r="S647" s="99">
        <f>IF(AND(SamplingData[[#This Row],[Total]]&lt;&gt; 0, NOT(ISBLANK(SamplingData[[#This Row],[Candidate 4]]))),(SamplingData[[#This Row],[Total]]+SamplingData[[#This Row],[Winning Candidate]]-SamplingData[[#This Row],[Candidate 4]])/(SamplingData[[#Totals],[Winning Candidate]]-SamplingData[[#Totals],[Candidate 4]]), 0)</f>
        <v>0</v>
      </c>
      <c r="T647" s="99">
        <f>IF(AND(SamplingData[[#This Row],[Total]]&lt;&gt; 0, NOT(ISBLANK(SamplingData[[#This Row],[Candidate 5]]))),(SamplingData[[#This Row],[Total]]+SamplingData[[#This Row],[Winning Candidate]]-SamplingData[[#This Row],[Candidate 5]])/(SamplingData[[#Totals],[Winning Candidate]]-SamplingData[[#Totals],[Candidate 5]]), 0)</f>
        <v>0</v>
      </c>
      <c r="U647" s="99">
        <f>IF(AND(SamplingData[[#This Row],[Total]]&lt;&gt; 0, NOT(ISBLANK(SamplingData[[#This Row],[Candidate 6]]))),(SamplingData[[#This Row],[Total]]+SamplingData[[#This Row],[Losing Candidate]]-SamplingData[[#This Row],[Candidate 6]])/(SamplingData[[#Totals],[Winning Candidate]]-SamplingData[[#Totals],[Candidate 6]]), 0)</f>
        <v>0</v>
      </c>
      <c r="V647" s="99">
        <f>IF(AND(SamplingData[[#This Row],[Total]]&lt;&gt; 0, NOT(ISBLANK(SamplingData[[#This Row],[Candidate 7]]))),(SamplingData[[#This Row],[Total]]+SamplingData[[#This Row],[Winning Candidate]]-SamplingData[[#This Row],[Candidate 7]])/(SamplingData[[#Totals],[Winning Candidate]]-SamplingData[[#Totals],[Candidate 7]]), 0)</f>
        <v>0</v>
      </c>
      <c r="W647" s="99">
        <f>IF(AND(SamplingData[[#This Row],[Total]]&lt;&gt; 0, NOT(ISBLANK(SamplingData[[#This Row],[Candidate 8]]))),(SamplingData[[#This Row],[Total]]+SamplingData[[#This Row],[Winning Candidate]]-SamplingData[[#This Row],[Candidate 8]])/(SamplingData[[#Totals],[Winning Candidate]]-SamplingData[[#Totals],[Candidate 8]]), 0)</f>
        <v>0</v>
      </c>
      <c r="X6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7" s="99">
        <f>MAX(SamplingData[[#This Row],[Error Bound (up) - Max. possible relative overstatement - Losing Candidate]:[Error Bound (up) - Max. possible relative overstatement - Candidate 12]])</f>
        <v>1.9860804617212697E-2</v>
      </c>
      <c r="AC647" s="99">
        <f>IF(SamplingData[[#This Row],[Max Error Bound (up)]] = 0,0,SamplingData[[#This Row],[Max Error Bound (up)]]/SamplingData[[#Totals],[Max Error Bound (up)]])</f>
        <v>1.0633656887337783E-3</v>
      </c>
      <c r="AD647" s="103">
        <f>SUM($AC$5:AC647)</f>
        <v>0.55049169302359491</v>
      </c>
      <c r="AE647" s="99" t="str" cm="1">
        <f t="array" ref="AE647">IF(SamplingData[[#This Row],[up/U Selection Probability]] = 0, "Zero", TEXT(SamplingData[[#This Row],[Lower Range]], REPT("0",LEN('General Info'!$B$42))) &amp; " - " &amp; TEXT(SamplingData[[#This Row],[Upper Range]], REPT("0",LEN('General Info'!$B$42))))</f>
        <v>549428 - 550491</v>
      </c>
      <c r="AF647" s="99">
        <f>SamplingData[[#This Row],[Upper Range]]-SamplingData[[#This Row],[Span]]</f>
        <v>549428.32733486115</v>
      </c>
      <c r="AG647" s="99">
        <f>IF(ISNUMBER('General Info'!$B$42), ((SamplingData[[#This Row],[up/U Selection Probability]]) * 'General Info'!$B$44) - 1, 0)</f>
        <v>1062.3656887337784</v>
      </c>
      <c r="AH647" s="99">
        <f>IF(ISNUMBER('General Info'!$B$42), (SamplingData[[#This Row],[Running (cumulative) sum]] * ('General Info'!$B$42 -'General Info'!$B$43 + 1)) + 'General Info'!$B$43 - 1, 0)</f>
        <v>550490.69302359491</v>
      </c>
      <c r="AI647" s="99" t="str">
        <f>IF(ISERROR(MATCH(SamplingData[[#This Row],[Batch by Type (p)]],SelectedPrecincts[Batch Name], 0)), "", INDEX(SelectedPrecincts[Draw], MATCH(SamplingData[[#This Row],[Batch by Type (p)]],SelectedPrecincts[Batch Name], 0)))</f>
        <v/>
      </c>
      <c r="AJ647" s="100">
        <f>IF(COUNTIF(SelectedPrecincts[Batch Name],SamplingData[[#This Row],[Batch by Type (p)]]) &lt;&gt; 0, COUNTIF(SelectedPrecincts[Batch Name],SamplingData[[#This Row],[Batch by Type (p)]]), 0)</f>
        <v>0</v>
      </c>
    </row>
    <row r="648" spans="1:36" ht="15" customHeight="1" x14ac:dyDescent="0.35">
      <c r="A648" s="97" t="s">
        <v>861</v>
      </c>
      <c r="B648" s="97">
        <v>211</v>
      </c>
      <c r="C648" s="97">
        <v>56</v>
      </c>
      <c r="D648" s="92"/>
      <c r="E648" s="92"/>
      <c r="F648" s="92"/>
      <c r="G648" s="96"/>
      <c r="H648" s="96"/>
      <c r="I648" s="92"/>
      <c r="J648" s="92"/>
      <c r="K648" s="92"/>
      <c r="L648" s="92"/>
      <c r="M648" s="92"/>
      <c r="N648" s="97">
        <v>0</v>
      </c>
      <c r="O648" s="97">
        <v>35</v>
      </c>
      <c r="P648" s="98">
        <f>SUM(SamplingData[[#This Row],[Winning Candidate]:[Under Votes]])</f>
        <v>302</v>
      </c>
      <c r="Q648" s="99">
        <f>IF(AND(SamplingData[[#This Row],[Total]]&lt;&gt; 0, NOT(ISBLANK(SamplingData[[#This Row],[Losing Candidate]]))),(SamplingData[[#This Row],[Total]]+SamplingData[[#This Row],[Winning Candidate]]-SamplingData[[#This Row],[Losing Candidate]])/(SamplingData[[#Totals],[Winning Candidate]]-SamplingData[[#Totals],[Losing Candidate]]), 0)</f>
        <v>1.9393990833474792E-2</v>
      </c>
      <c r="R648" s="99">
        <f>IF(AND(SamplingData[[#This Row],[Total]]&lt;&gt; 0, NOT(ISBLANK(SamplingData[[#This Row],[Candidate 3]]))),(SamplingData[[#This Row],[Total]]+SamplingData[[#This Row],[Winning Candidate]]-SamplingData[[#This Row],[Candidate 3]])/(SamplingData[[#Totals],[Winning Candidate]]-SamplingData[[#Totals],[Candidate 3]]), 0)</f>
        <v>0</v>
      </c>
      <c r="S648" s="99">
        <f>IF(AND(SamplingData[[#This Row],[Total]]&lt;&gt; 0, NOT(ISBLANK(SamplingData[[#This Row],[Candidate 4]]))),(SamplingData[[#This Row],[Total]]+SamplingData[[#This Row],[Winning Candidate]]-SamplingData[[#This Row],[Candidate 4]])/(SamplingData[[#Totals],[Winning Candidate]]-SamplingData[[#Totals],[Candidate 4]]), 0)</f>
        <v>0</v>
      </c>
      <c r="T648" s="99">
        <f>IF(AND(SamplingData[[#This Row],[Total]]&lt;&gt; 0, NOT(ISBLANK(SamplingData[[#This Row],[Candidate 5]]))),(SamplingData[[#This Row],[Total]]+SamplingData[[#This Row],[Winning Candidate]]-SamplingData[[#This Row],[Candidate 5]])/(SamplingData[[#Totals],[Winning Candidate]]-SamplingData[[#Totals],[Candidate 5]]), 0)</f>
        <v>0</v>
      </c>
      <c r="U648" s="99">
        <f>IF(AND(SamplingData[[#This Row],[Total]]&lt;&gt; 0, NOT(ISBLANK(SamplingData[[#This Row],[Candidate 6]]))),(SamplingData[[#This Row],[Total]]+SamplingData[[#This Row],[Losing Candidate]]-SamplingData[[#This Row],[Candidate 6]])/(SamplingData[[#Totals],[Winning Candidate]]-SamplingData[[#Totals],[Candidate 6]]), 0)</f>
        <v>0</v>
      </c>
      <c r="V648" s="99">
        <f>IF(AND(SamplingData[[#This Row],[Total]]&lt;&gt; 0, NOT(ISBLANK(SamplingData[[#This Row],[Candidate 7]]))),(SamplingData[[#This Row],[Total]]+SamplingData[[#This Row],[Winning Candidate]]-SamplingData[[#This Row],[Candidate 7]])/(SamplingData[[#Totals],[Winning Candidate]]-SamplingData[[#Totals],[Candidate 7]]), 0)</f>
        <v>0</v>
      </c>
      <c r="W648" s="99">
        <f>IF(AND(SamplingData[[#This Row],[Total]]&lt;&gt; 0, NOT(ISBLANK(SamplingData[[#This Row],[Candidate 8]]))),(SamplingData[[#This Row],[Total]]+SamplingData[[#This Row],[Winning Candidate]]-SamplingData[[#This Row],[Candidate 8]])/(SamplingData[[#Totals],[Winning Candidate]]-SamplingData[[#Totals],[Candidate 8]]), 0)</f>
        <v>0</v>
      </c>
      <c r="X6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8" s="99">
        <f>MAX(SamplingData[[#This Row],[Error Bound (up) - Max. possible relative overstatement - Losing Candidate]:[Error Bound (up) - Max. possible relative overstatement - Candidate 12]])</f>
        <v>1.9393990833474792E-2</v>
      </c>
      <c r="AC648" s="99">
        <f>IF(SamplingData[[#This Row],[Max Error Bound (up)]] = 0,0,SamplingData[[#This Row],[Max Error Bound (up)]]/SamplingData[[#Totals],[Max Error Bound (up)]])</f>
        <v>1.0383720507507192E-3</v>
      </c>
      <c r="AD648" s="103">
        <f>SUM($AC$5:AC648)</f>
        <v>0.55153006507434565</v>
      </c>
      <c r="AE648" s="99" t="str" cm="1">
        <f t="array" ref="AE648">IF(SamplingData[[#This Row],[up/U Selection Probability]] = 0, "Zero", TEXT(SamplingData[[#This Row],[Lower Range]], REPT("0",LEN('General Info'!$B$42))) &amp; " - " &amp; TEXT(SamplingData[[#This Row],[Upper Range]], REPT("0",LEN('General Info'!$B$42))))</f>
        <v>550492 - 551529</v>
      </c>
      <c r="AF648" s="99">
        <f>SamplingData[[#This Row],[Upper Range]]-SamplingData[[#This Row],[Span]]</f>
        <v>550491.69302359491</v>
      </c>
      <c r="AG648" s="99">
        <f>IF(ISNUMBER('General Info'!$B$42), ((SamplingData[[#This Row],[up/U Selection Probability]]) * 'General Info'!$B$44) - 1, 0)</f>
        <v>1037.3720507507192</v>
      </c>
      <c r="AH648" s="99">
        <f>IF(ISNUMBER('General Info'!$B$42), (SamplingData[[#This Row],[Running (cumulative) sum]] * ('General Info'!$B$42 -'General Info'!$B$43 + 1)) + 'General Info'!$B$43 - 1, 0)</f>
        <v>551529.06507434568</v>
      </c>
      <c r="AI648" s="99" t="str">
        <f>IF(ISERROR(MATCH(SamplingData[[#This Row],[Batch by Type (p)]],SelectedPrecincts[Batch Name], 0)), "", INDEX(SelectedPrecincts[Draw], MATCH(SamplingData[[#This Row],[Batch by Type (p)]],SelectedPrecincts[Batch Name], 0)))</f>
        <v/>
      </c>
      <c r="AJ648" s="100">
        <f>IF(COUNTIF(SelectedPrecincts[Batch Name],SamplingData[[#This Row],[Batch by Type (p)]]) &lt;&gt; 0, COUNTIF(SelectedPrecincts[Batch Name],SamplingData[[#This Row],[Batch by Type (p)]]), 0)</f>
        <v>0</v>
      </c>
    </row>
    <row r="649" spans="1:36" ht="15" customHeight="1" x14ac:dyDescent="0.35">
      <c r="A649" s="97" t="s">
        <v>862</v>
      </c>
      <c r="B649" s="97">
        <v>217</v>
      </c>
      <c r="C649" s="97">
        <v>11</v>
      </c>
      <c r="D649" s="92"/>
      <c r="E649" s="92"/>
      <c r="F649" s="92"/>
      <c r="G649" s="96"/>
      <c r="H649" s="96"/>
      <c r="I649" s="92"/>
      <c r="J649" s="92"/>
      <c r="K649" s="92"/>
      <c r="L649" s="92"/>
      <c r="M649" s="92"/>
      <c r="N649" s="97">
        <v>0</v>
      </c>
      <c r="O649" s="97">
        <v>17</v>
      </c>
      <c r="P649" s="98">
        <f>SUM(SamplingData[[#This Row],[Winning Candidate]:[Under Votes]])</f>
        <v>245</v>
      </c>
      <c r="Q649" s="99">
        <f>IF(AND(SamplingData[[#This Row],[Total]]&lt;&gt; 0, NOT(ISBLANK(SamplingData[[#This Row],[Losing Candidate]]))),(SamplingData[[#This Row],[Total]]+SamplingData[[#This Row],[Winning Candidate]]-SamplingData[[#This Row],[Losing Candidate]])/(SamplingData[[#Totals],[Winning Candidate]]-SamplingData[[#Totals],[Losing Candidate]]), 0)</f>
        <v>1.9139365133254118E-2</v>
      </c>
      <c r="R649" s="99">
        <f>IF(AND(SamplingData[[#This Row],[Total]]&lt;&gt; 0, NOT(ISBLANK(SamplingData[[#This Row],[Candidate 3]]))),(SamplingData[[#This Row],[Total]]+SamplingData[[#This Row],[Winning Candidate]]-SamplingData[[#This Row],[Candidate 3]])/(SamplingData[[#Totals],[Winning Candidate]]-SamplingData[[#Totals],[Candidate 3]]), 0)</f>
        <v>0</v>
      </c>
      <c r="S649" s="99">
        <f>IF(AND(SamplingData[[#This Row],[Total]]&lt;&gt; 0, NOT(ISBLANK(SamplingData[[#This Row],[Candidate 4]]))),(SamplingData[[#This Row],[Total]]+SamplingData[[#This Row],[Winning Candidate]]-SamplingData[[#This Row],[Candidate 4]])/(SamplingData[[#Totals],[Winning Candidate]]-SamplingData[[#Totals],[Candidate 4]]), 0)</f>
        <v>0</v>
      </c>
      <c r="T649" s="99">
        <f>IF(AND(SamplingData[[#This Row],[Total]]&lt;&gt; 0, NOT(ISBLANK(SamplingData[[#This Row],[Candidate 5]]))),(SamplingData[[#This Row],[Total]]+SamplingData[[#This Row],[Winning Candidate]]-SamplingData[[#This Row],[Candidate 5]])/(SamplingData[[#Totals],[Winning Candidate]]-SamplingData[[#Totals],[Candidate 5]]), 0)</f>
        <v>0</v>
      </c>
      <c r="U649" s="99">
        <f>IF(AND(SamplingData[[#This Row],[Total]]&lt;&gt; 0, NOT(ISBLANK(SamplingData[[#This Row],[Candidate 6]]))),(SamplingData[[#This Row],[Total]]+SamplingData[[#This Row],[Losing Candidate]]-SamplingData[[#This Row],[Candidate 6]])/(SamplingData[[#Totals],[Winning Candidate]]-SamplingData[[#Totals],[Candidate 6]]), 0)</f>
        <v>0</v>
      </c>
      <c r="V649" s="99">
        <f>IF(AND(SamplingData[[#This Row],[Total]]&lt;&gt; 0, NOT(ISBLANK(SamplingData[[#This Row],[Candidate 7]]))),(SamplingData[[#This Row],[Total]]+SamplingData[[#This Row],[Winning Candidate]]-SamplingData[[#This Row],[Candidate 7]])/(SamplingData[[#Totals],[Winning Candidate]]-SamplingData[[#Totals],[Candidate 7]]), 0)</f>
        <v>0</v>
      </c>
      <c r="W649" s="99">
        <f>IF(AND(SamplingData[[#This Row],[Total]]&lt;&gt; 0, NOT(ISBLANK(SamplingData[[#This Row],[Candidate 8]]))),(SamplingData[[#This Row],[Total]]+SamplingData[[#This Row],[Winning Candidate]]-SamplingData[[#This Row],[Candidate 8]])/(SamplingData[[#Totals],[Winning Candidate]]-SamplingData[[#Totals],[Candidate 8]]), 0)</f>
        <v>0</v>
      </c>
      <c r="X6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9" s="99">
        <f>MAX(SamplingData[[#This Row],[Error Bound (up) - Max. possible relative overstatement - Losing Candidate]:[Error Bound (up) - Max. possible relative overstatement - Candidate 12]])</f>
        <v>1.9139365133254118E-2</v>
      </c>
      <c r="AC649" s="99">
        <f>IF(SamplingData[[#This Row],[Max Error Bound (up)]] = 0,0,SamplingData[[#This Row],[Max Error Bound (up)]]/SamplingData[[#Totals],[Max Error Bound (up)]])</f>
        <v>1.0247391573054146E-3</v>
      </c>
      <c r="AD649" s="103">
        <f>SUM($AC$5:AC649)</f>
        <v>0.55255480423165104</v>
      </c>
      <c r="AE649" s="99" t="str" cm="1">
        <f t="array" ref="AE649">IF(SamplingData[[#This Row],[up/U Selection Probability]] = 0, "Zero", TEXT(SamplingData[[#This Row],[Lower Range]], REPT("0",LEN('General Info'!$B$42))) &amp; " - " &amp; TEXT(SamplingData[[#This Row],[Upper Range]], REPT("0",LEN('General Info'!$B$42))))</f>
        <v>551530 - 552554</v>
      </c>
      <c r="AF649" s="99">
        <f>SamplingData[[#This Row],[Upper Range]]-SamplingData[[#This Row],[Span]]</f>
        <v>551530.06507434556</v>
      </c>
      <c r="AG649" s="99">
        <f>IF(ISNUMBER('General Info'!$B$42), ((SamplingData[[#This Row],[up/U Selection Probability]]) * 'General Info'!$B$44) - 1, 0)</f>
        <v>1023.7391573054147</v>
      </c>
      <c r="AH649" s="99">
        <f>IF(ISNUMBER('General Info'!$B$42), (SamplingData[[#This Row],[Running (cumulative) sum]] * ('General Info'!$B$42 -'General Info'!$B$43 + 1)) + 'General Info'!$B$43 - 1, 0)</f>
        <v>552553.80423165101</v>
      </c>
      <c r="AI649" s="99" t="str">
        <f>IF(ISERROR(MATCH(SamplingData[[#This Row],[Batch by Type (p)]],SelectedPrecincts[Batch Name], 0)), "", INDEX(SelectedPrecincts[Draw], MATCH(SamplingData[[#This Row],[Batch by Type (p)]],SelectedPrecincts[Batch Name], 0)))</f>
        <v/>
      </c>
      <c r="AJ649" s="100">
        <f>IF(COUNTIF(SelectedPrecincts[Batch Name],SamplingData[[#This Row],[Batch by Type (p)]]) &lt;&gt; 0, COUNTIF(SelectedPrecincts[Batch Name],SamplingData[[#This Row],[Batch by Type (p)]]), 0)</f>
        <v>0</v>
      </c>
    </row>
    <row r="650" spans="1:36" ht="15" customHeight="1" x14ac:dyDescent="0.35">
      <c r="A650" s="97" t="s">
        <v>863</v>
      </c>
      <c r="B650" s="97">
        <v>167</v>
      </c>
      <c r="C650" s="97">
        <v>58</v>
      </c>
      <c r="D650" s="92"/>
      <c r="E650" s="92"/>
      <c r="F650" s="92"/>
      <c r="G650" s="96"/>
      <c r="H650" s="96"/>
      <c r="I650" s="92"/>
      <c r="J650" s="92"/>
      <c r="K650" s="92"/>
      <c r="L650" s="92"/>
      <c r="M650" s="92"/>
      <c r="N650" s="97">
        <v>0</v>
      </c>
      <c r="O650" s="97">
        <v>22</v>
      </c>
      <c r="P650" s="98">
        <f>SUM(SamplingData[[#This Row],[Winning Candidate]:[Under Votes]])</f>
        <v>247</v>
      </c>
      <c r="Q650" s="99">
        <f>IF(AND(SamplingData[[#This Row],[Total]]&lt;&gt; 0, NOT(ISBLANK(SamplingData[[#This Row],[Losing Candidate]]))),(SamplingData[[#This Row],[Total]]+SamplingData[[#This Row],[Winning Candidate]]-SamplingData[[#This Row],[Losing Candidate]])/(SamplingData[[#Totals],[Winning Candidate]]-SamplingData[[#Totals],[Losing Candidate]]), 0)</f>
        <v>1.5107791546426753E-2</v>
      </c>
      <c r="R650" s="99">
        <f>IF(AND(SamplingData[[#This Row],[Total]]&lt;&gt; 0, NOT(ISBLANK(SamplingData[[#This Row],[Candidate 3]]))),(SamplingData[[#This Row],[Total]]+SamplingData[[#This Row],[Winning Candidate]]-SamplingData[[#This Row],[Candidate 3]])/(SamplingData[[#Totals],[Winning Candidate]]-SamplingData[[#Totals],[Candidate 3]]), 0)</f>
        <v>0</v>
      </c>
      <c r="S650" s="99">
        <f>IF(AND(SamplingData[[#This Row],[Total]]&lt;&gt; 0, NOT(ISBLANK(SamplingData[[#This Row],[Candidate 4]]))),(SamplingData[[#This Row],[Total]]+SamplingData[[#This Row],[Winning Candidate]]-SamplingData[[#This Row],[Candidate 4]])/(SamplingData[[#Totals],[Winning Candidate]]-SamplingData[[#Totals],[Candidate 4]]), 0)</f>
        <v>0</v>
      </c>
      <c r="T650" s="99">
        <f>IF(AND(SamplingData[[#This Row],[Total]]&lt;&gt; 0, NOT(ISBLANK(SamplingData[[#This Row],[Candidate 5]]))),(SamplingData[[#This Row],[Total]]+SamplingData[[#This Row],[Winning Candidate]]-SamplingData[[#This Row],[Candidate 5]])/(SamplingData[[#Totals],[Winning Candidate]]-SamplingData[[#Totals],[Candidate 5]]), 0)</f>
        <v>0</v>
      </c>
      <c r="U650" s="99">
        <f>IF(AND(SamplingData[[#This Row],[Total]]&lt;&gt; 0, NOT(ISBLANK(SamplingData[[#This Row],[Candidate 6]]))),(SamplingData[[#This Row],[Total]]+SamplingData[[#This Row],[Losing Candidate]]-SamplingData[[#This Row],[Candidate 6]])/(SamplingData[[#Totals],[Winning Candidate]]-SamplingData[[#Totals],[Candidate 6]]), 0)</f>
        <v>0</v>
      </c>
      <c r="V650" s="99">
        <f>IF(AND(SamplingData[[#This Row],[Total]]&lt;&gt; 0, NOT(ISBLANK(SamplingData[[#This Row],[Candidate 7]]))),(SamplingData[[#This Row],[Total]]+SamplingData[[#This Row],[Winning Candidate]]-SamplingData[[#This Row],[Candidate 7]])/(SamplingData[[#Totals],[Winning Candidate]]-SamplingData[[#Totals],[Candidate 7]]), 0)</f>
        <v>0</v>
      </c>
      <c r="W650" s="99">
        <f>IF(AND(SamplingData[[#This Row],[Total]]&lt;&gt; 0, NOT(ISBLANK(SamplingData[[#This Row],[Candidate 8]]))),(SamplingData[[#This Row],[Total]]+SamplingData[[#This Row],[Winning Candidate]]-SamplingData[[#This Row],[Candidate 8]])/(SamplingData[[#Totals],[Winning Candidate]]-SamplingData[[#Totals],[Candidate 8]]), 0)</f>
        <v>0</v>
      </c>
      <c r="X6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0" s="99">
        <f>MAX(SamplingData[[#This Row],[Error Bound (up) - Max. possible relative overstatement - Losing Candidate]:[Error Bound (up) - Max. possible relative overstatement - Candidate 12]])</f>
        <v>1.5107791546426753E-2</v>
      </c>
      <c r="AC650" s="99">
        <f>IF(SamplingData[[#This Row],[Max Error Bound (up)]] = 0,0,SamplingData[[#This Row],[Max Error Bound (up)]]/SamplingData[[#Totals],[Max Error Bound (up)]])</f>
        <v>8.0888501108808777E-4</v>
      </c>
      <c r="AD650" s="103">
        <f>SUM($AC$5:AC650)</f>
        <v>0.55336368924273915</v>
      </c>
      <c r="AE650" s="99" t="str" cm="1">
        <f t="array" ref="AE650">IF(SamplingData[[#This Row],[up/U Selection Probability]] = 0, "Zero", TEXT(SamplingData[[#This Row],[Lower Range]], REPT("0",LEN('General Info'!$B$42))) &amp; " - " &amp; TEXT(SamplingData[[#This Row],[Upper Range]], REPT("0",LEN('General Info'!$B$42))))</f>
        <v>552555 - 553363</v>
      </c>
      <c r="AF650" s="99">
        <f>SamplingData[[#This Row],[Upper Range]]-SamplingData[[#This Row],[Span]]</f>
        <v>552554.80423165101</v>
      </c>
      <c r="AG650" s="99">
        <f>IF(ISNUMBER('General Info'!$B$42), ((SamplingData[[#This Row],[up/U Selection Probability]]) * 'General Info'!$B$44) - 1, 0)</f>
        <v>807.88501108808782</v>
      </c>
      <c r="AH650" s="99">
        <f>IF(ISNUMBER('General Info'!$B$42), (SamplingData[[#This Row],[Running (cumulative) sum]] * ('General Info'!$B$42 -'General Info'!$B$43 + 1)) + 'General Info'!$B$43 - 1, 0)</f>
        <v>553362.68924273911</v>
      </c>
      <c r="AI650" s="99" t="str">
        <f>IF(ISERROR(MATCH(SamplingData[[#This Row],[Batch by Type (p)]],SelectedPrecincts[Batch Name], 0)), "", INDEX(SelectedPrecincts[Draw], MATCH(SamplingData[[#This Row],[Batch by Type (p)]],SelectedPrecincts[Batch Name], 0)))</f>
        <v/>
      </c>
      <c r="AJ650" s="100">
        <f>IF(COUNTIF(SelectedPrecincts[Batch Name],SamplingData[[#This Row],[Batch by Type (p)]]) &lt;&gt; 0, COUNTIF(SelectedPrecincts[Batch Name],SamplingData[[#This Row],[Batch by Type (p)]]), 0)</f>
        <v>0</v>
      </c>
    </row>
    <row r="651" spans="1:36" ht="15" customHeight="1" x14ac:dyDescent="0.35">
      <c r="A651" s="97" t="s">
        <v>864</v>
      </c>
      <c r="B651" s="97">
        <v>227</v>
      </c>
      <c r="C651" s="97">
        <v>34</v>
      </c>
      <c r="D651" s="92"/>
      <c r="E651" s="92"/>
      <c r="F651" s="92"/>
      <c r="G651" s="96"/>
      <c r="H651" s="96"/>
      <c r="I651" s="92"/>
      <c r="J651" s="92"/>
      <c r="K651" s="92"/>
      <c r="L651" s="92"/>
      <c r="M651" s="92"/>
      <c r="N651" s="97">
        <v>0</v>
      </c>
      <c r="O651" s="97">
        <v>23</v>
      </c>
      <c r="P651" s="98">
        <f>SUM(SamplingData[[#This Row],[Winning Candidate]:[Under Votes]])</f>
        <v>284</v>
      </c>
      <c r="Q651" s="99">
        <f>IF(AND(SamplingData[[#This Row],[Total]]&lt;&gt; 0, NOT(ISBLANK(SamplingData[[#This Row],[Losing Candidate]]))),(SamplingData[[#This Row],[Total]]+SamplingData[[#This Row],[Winning Candidate]]-SamplingData[[#This Row],[Losing Candidate]])/(SamplingData[[#Totals],[Winning Candidate]]-SamplingData[[#Totals],[Losing Candidate]]), 0)</f>
        <v>2.0242743167543712E-2</v>
      </c>
      <c r="R651" s="99">
        <f>IF(AND(SamplingData[[#This Row],[Total]]&lt;&gt; 0, NOT(ISBLANK(SamplingData[[#This Row],[Candidate 3]]))),(SamplingData[[#This Row],[Total]]+SamplingData[[#This Row],[Winning Candidate]]-SamplingData[[#This Row],[Candidate 3]])/(SamplingData[[#Totals],[Winning Candidate]]-SamplingData[[#Totals],[Candidate 3]]), 0)</f>
        <v>0</v>
      </c>
      <c r="S651" s="99">
        <f>IF(AND(SamplingData[[#This Row],[Total]]&lt;&gt; 0, NOT(ISBLANK(SamplingData[[#This Row],[Candidate 4]]))),(SamplingData[[#This Row],[Total]]+SamplingData[[#This Row],[Winning Candidate]]-SamplingData[[#This Row],[Candidate 4]])/(SamplingData[[#Totals],[Winning Candidate]]-SamplingData[[#Totals],[Candidate 4]]), 0)</f>
        <v>0</v>
      </c>
      <c r="T651" s="99">
        <f>IF(AND(SamplingData[[#This Row],[Total]]&lt;&gt; 0, NOT(ISBLANK(SamplingData[[#This Row],[Candidate 5]]))),(SamplingData[[#This Row],[Total]]+SamplingData[[#This Row],[Winning Candidate]]-SamplingData[[#This Row],[Candidate 5]])/(SamplingData[[#Totals],[Winning Candidate]]-SamplingData[[#Totals],[Candidate 5]]), 0)</f>
        <v>0</v>
      </c>
      <c r="U651" s="99">
        <f>IF(AND(SamplingData[[#This Row],[Total]]&lt;&gt; 0, NOT(ISBLANK(SamplingData[[#This Row],[Candidate 6]]))),(SamplingData[[#This Row],[Total]]+SamplingData[[#This Row],[Losing Candidate]]-SamplingData[[#This Row],[Candidate 6]])/(SamplingData[[#Totals],[Winning Candidate]]-SamplingData[[#Totals],[Candidate 6]]), 0)</f>
        <v>0</v>
      </c>
      <c r="V651" s="99">
        <f>IF(AND(SamplingData[[#This Row],[Total]]&lt;&gt; 0, NOT(ISBLANK(SamplingData[[#This Row],[Candidate 7]]))),(SamplingData[[#This Row],[Total]]+SamplingData[[#This Row],[Winning Candidate]]-SamplingData[[#This Row],[Candidate 7]])/(SamplingData[[#Totals],[Winning Candidate]]-SamplingData[[#Totals],[Candidate 7]]), 0)</f>
        <v>0</v>
      </c>
      <c r="W651" s="99">
        <f>IF(AND(SamplingData[[#This Row],[Total]]&lt;&gt; 0, NOT(ISBLANK(SamplingData[[#This Row],[Candidate 8]]))),(SamplingData[[#This Row],[Total]]+SamplingData[[#This Row],[Winning Candidate]]-SamplingData[[#This Row],[Candidate 8]])/(SamplingData[[#Totals],[Winning Candidate]]-SamplingData[[#Totals],[Candidate 8]]), 0)</f>
        <v>0</v>
      </c>
      <c r="X6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1" s="99">
        <f>MAX(SamplingData[[#This Row],[Error Bound (up) - Max. possible relative overstatement - Losing Candidate]:[Error Bound (up) - Max. possible relative overstatement - Candidate 12]])</f>
        <v>2.0242743167543712E-2</v>
      </c>
      <c r="AC651" s="99">
        <f>IF(SamplingData[[#This Row],[Max Error Bound (up)]] = 0,0,SamplingData[[#This Row],[Max Error Bound (up)]]/SamplingData[[#Totals],[Max Error Bound (up)]])</f>
        <v>1.0838150289017355E-3</v>
      </c>
      <c r="AD651" s="103">
        <f>SUM($AC$5:AC651)</f>
        <v>0.55444750427164091</v>
      </c>
      <c r="AE651" s="99" t="str" cm="1">
        <f t="array" ref="AE651">IF(SamplingData[[#This Row],[up/U Selection Probability]] = 0, "Zero", TEXT(SamplingData[[#This Row],[Lower Range]], REPT("0",LEN('General Info'!$B$42))) &amp; " - " &amp; TEXT(SamplingData[[#This Row],[Upper Range]], REPT("0",LEN('General Info'!$B$42))))</f>
        <v>553364 - 554447</v>
      </c>
      <c r="AF651" s="99">
        <f>SamplingData[[#This Row],[Upper Range]]-SamplingData[[#This Row],[Span]]</f>
        <v>553363.68924273923</v>
      </c>
      <c r="AG651" s="99">
        <f>IF(ISNUMBER('General Info'!$B$42), ((SamplingData[[#This Row],[up/U Selection Probability]]) * 'General Info'!$B$44) - 1, 0)</f>
        <v>1082.8150289017356</v>
      </c>
      <c r="AH651" s="99">
        <f>IF(ISNUMBER('General Info'!$B$42), (SamplingData[[#This Row],[Running (cumulative) sum]] * ('General Info'!$B$42 -'General Info'!$B$43 + 1)) + 'General Info'!$B$43 - 1, 0)</f>
        <v>554446.50427164091</v>
      </c>
      <c r="AI651" s="99" t="str">
        <f>IF(ISERROR(MATCH(SamplingData[[#This Row],[Batch by Type (p)]],SelectedPrecincts[Batch Name], 0)), "", INDEX(SelectedPrecincts[Draw], MATCH(SamplingData[[#This Row],[Batch by Type (p)]],SelectedPrecincts[Batch Name], 0)))</f>
        <v/>
      </c>
      <c r="AJ651" s="100">
        <f>IF(COUNTIF(SelectedPrecincts[Batch Name],SamplingData[[#This Row],[Batch by Type (p)]]) &lt;&gt; 0, COUNTIF(SelectedPrecincts[Batch Name],SamplingData[[#This Row],[Batch by Type (p)]]), 0)</f>
        <v>0</v>
      </c>
    </row>
    <row r="652" spans="1:36" ht="15" customHeight="1" x14ac:dyDescent="0.35">
      <c r="A652" s="97" t="s">
        <v>865</v>
      </c>
      <c r="B652" s="97">
        <v>249</v>
      </c>
      <c r="C652" s="97">
        <v>23</v>
      </c>
      <c r="D652" s="92"/>
      <c r="E652" s="92"/>
      <c r="F652" s="92"/>
      <c r="G652" s="96"/>
      <c r="H652" s="96"/>
      <c r="I652" s="92"/>
      <c r="J652" s="92"/>
      <c r="K652" s="92"/>
      <c r="L652" s="92"/>
      <c r="M652" s="92"/>
      <c r="N652" s="97">
        <v>0</v>
      </c>
      <c r="O652" s="97">
        <v>15</v>
      </c>
      <c r="P652" s="98">
        <f>SUM(SamplingData[[#This Row],[Winning Candidate]:[Under Votes]])</f>
        <v>287</v>
      </c>
      <c r="Q652" s="99">
        <f>IF(AND(SamplingData[[#This Row],[Total]]&lt;&gt; 0, NOT(ISBLANK(SamplingData[[#This Row],[Losing Candidate]]))),(SamplingData[[#This Row],[Total]]+SamplingData[[#This Row],[Winning Candidate]]-SamplingData[[#This Row],[Losing Candidate]])/(SamplingData[[#Totals],[Winning Candidate]]-SamplingData[[#Totals],[Losing Candidate]]), 0)</f>
        <v>2.1770497368867766E-2</v>
      </c>
      <c r="R652" s="99">
        <f>IF(AND(SamplingData[[#This Row],[Total]]&lt;&gt; 0, NOT(ISBLANK(SamplingData[[#This Row],[Candidate 3]]))),(SamplingData[[#This Row],[Total]]+SamplingData[[#This Row],[Winning Candidate]]-SamplingData[[#This Row],[Candidate 3]])/(SamplingData[[#Totals],[Winning Candidate]]-SamplingData[[#Totals],[Candidate 3]]), 0)</f>
        <v>0</v>
      </c>
      <c r="S652" s="99">
        <f>IF(AND(SamplingData[[#This Row],[Total]]&lt;&gt; 0, NOT(ISBLANK(SamplingData[[#This Row],[Candidate 4]]))),(SamplingData[[#This Row],[Total]]+SamplingData[[#This Row],[Winning Candidate]]-SamplingData[[#This Row],[Candidate 4]])/(SamplingData[[#Totals],[Winning Candidate]]-SamplingData[[#Totals],[Candidate 4]]), 0)</f>
        <v>0</v>
      </c>
      <c r="T652" s="99">
        <f>IF(AND(SamplingData[[#This Row],[Total]]&lt;&gt; 0, NOT(ISBLANK(SamplingData[[#This Row],[Candidate 5]]))),(SamplingData[[#This Row],[Total]]+SamplingData[[#This Row],[Winning Candidate]]-SamplingData[[#This Row],[Candidate 5]])/(SamplingData[[#Totals],[Winning Candidate]]-SamplingData[[#Totals],[Candidate 5]]), 0)</f>
        <v>0</v>
      </c>
      <c r="U652" s="99">
        <f>IF(AND(SamplingData[[#This Row],[Total]]&lt;&gt; 0, NOT(ISBLANK(SamplingData[[#This Row],[Candidate 6]]))),(SamplingData[[#This Row],[Total]]+SamplingData[[#This Row],[Losing Candidate]]-SamplingData[[#This Row],[Candidate 6]])/(SamplingData[[#Totals],[Winning Candidate]]-SamplingData[[#Totals],[Candidate 6]]), 0)</f>
        <v>0</v>
      </c>
      <c r="V652" s="99">
        <f>IF(AND(SamplingData[[#This Row],[Total]]&lt;&gt; 0, NOT(ISBLANK(SamplingData[[#This Row],[Candidate 7]]))),(SamplingData[[#This Row],[Total]]+SamplingData[[#This Row],[Winning Candidate]]-SamplingData[[#This Row],[Candidate 7]])/(SamplingData[[#Totals],[Winning Candidate]]-SamplingData[[#Totals],[Candidate 7]]), 0)</f>
        <v>0</v>
      </c>
      <c r="W652" s="99">
        <f>IF(AND(SamplingData[[#This Row],[Total]]&lt;&gt; 0, NOT(ISBLANK(SamplingData[[#This Row],[Candidate 8]]))),(SamplingData[[#This Row],[Total]]+SamplingData[[#This Row],[Winning Candidate]]-SamplingData[[#This Row],[Candidate 8]])/(SamplingData[[#Totals],[Winning Candidate]]-SamplingData[[#Totals],[Candidate 8]]), 0)</f>
        <v>0</v>
      </c>
      <c r="X6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2" s="99">
        <f>MAX(SamplingData[[#This Row],[Error Bound (up) - Max. possible relative overstatement - Losing Candidate]:[Error Bound (up) - Max. possible relative overstatement - Candidate 12]])</f>
        <v>2.1770497368867766E-2</v>
      </c>
      <c r="AC652" s="99">
        <f>IF(SamplingData[[#This Row],[Max Error Bound (up)]] = 0,0,SamplingData[[#This Row],[Max Error Bound (up)]]/SamplingData[[#Totals],[Max Error Bound (up)]])</f>
        <v>1.1656123895735647E-3</v>
      </c>
      <c r="AD652" s="103">
        <f>SUM($AC$5:AC652)</f>
        <v>0.55561311666121449</v>
      </c>
      <c r="AE652" s="99" t="str" cm="1">
        <f t="array" ref="AE652">IF(SamplingData[[#This Row],[up/U Selection Probability]] = 0, "Zero", TEXT(SamplingData[[#This Row],[Lower Range]], REPT("0",LEN('General Info'!$B$42))) &amp; " - " &amp; TEXT(SamplingData[[#This Row],[Upper Range]], REPT("0",LEN('General Info'!$B$42))))</f>
        <v>554448 - 555612</v>
      </c>
      <c r="AF652" s="99">
        <f>SamplingData[[#This Row],[Upper Range]]-SamplingData[[#This Row],[Span]]</f>
        <v>554447.50427164091</v>
      </c>
      <c r="AG652" s="99">
        <f>IF(ISNUMBER('General Info'!$B$42), ((SamplingData[[#This Row],[up/U Selection Probability]]) * 'General Info'!$B$44) - 1, 0)</f>
        <v>1164.6123895735648</v>
      </c>
      <c r="AH652" s="99">
        <f>IF(ISNUMBER('General Info'!$B$42), (SamplingData[[#This Row],[Running (cumulative) sum]] * ('General Info'!$B$42 -'General Info'!$B$43 + 1)) + 'General Info'!$B$43 - 1, 0)</f>
        <v>555612.1166612145</v>
      </c>
      <c r="AI652" s="99" t="str">
        <f>IF(ISERROR(MATCH(SamplingData[[#This Row],[Batch by Type (p)]],SelectedPrecincts[Batch Name], 0)), "", INDEX(SelectedPrecincts[Draw], MATCH(SamplingData[[#This Row],[Batch by Type (p)]],SelectedPrecincts[Batch Name], 0)))</f>
        <v/>
      </c>
      <c r="AJ652" s="100">
        <f>IF(COUNTIF(SelectedPrecincts[Batch Name],SamplingData[[#This Row],[Batch by Type (p)]]) &lt;&gt; 0, COUNTIF(SelectedPrecincts[Batch Name],SamplingData[[#This Row],[Batch by Type (p)]]), 0)</f>
        <v>0</v>
      </c>
    </row>
    <row r="653" spans="1:36" ht="15" customHeight="1" x14ac:dyDescent="0.35">
      <c r="A653" s="97" t="s">
        <v>866</v>
      </c>
      <c r="B653" s="97">
        <v>211</v>
      </c>
      <c r="C653" s="97">
        <v>70</v>
      </c>
      <c r="D653" s="92"/>
      <c r="E653" s="92"/>
      <c r="F653" s="92"/>
      <c r="G653" s="96"/>
      <c r="H653" s="96"/>
      <c r="I653" s="92"/>
      <c r="J653" s="92"/>
      <c r="K653" s="92"/>
      <c r="L653" s="92"/>
      <c r="M653" s="92"/>
      <c r="N653" s="97">
        <v>0</v>
      </c>
      <c r="O653" s="97">
        <v>27</v>
      </c>
      <c r="P653" s="98">
        <f>SUM(SamplingData[[#This Row],[Winning Candidate]:[Under Votes]])</f>
        <v>308</v>
      </c>
      <c r="Q653" s="99">
        <f>IF(AND(SamplingData[[#This Row],[Total]]&lt;&gt; 0, NOT(ISBLANK(SamplingData[[#This Row],[Losing Candidate]]))),(SamplingData[[#This Row],[Total]]+SamplingData[[#This Row],[Winning Candidate]]-SamplingData[[#This Row],[Losing Candidate]])/(SamplingData[[#Totals],[Winning Candidate]]-SamplingData[[#Totals],[Losing Candidate]]), 0)</f>
        <v>1.9054489899847225E-2</v>
      </c>
      <c r="R653" s="99">
        <f>IF(AND(SamplingData[[#This Row],[Total]]&lt;&gt; 0, NOT(ISBLANK(SamplingData[[#This Row],[Candidate 3]]))),(SamplingData[[#This Row],[Total]]+SamplingData[[#This Row],[Winning Candidate]]-SamplingData[[#This Row],[Candidate 3]])/(SamplingData[[#Totals],[Winning Candidate]]-SamplingData[[#Totals],[Candidate 3]]), 0)</f>
        <v>0</v>
      </c>
      <c r="S653" s="99">
        <f>IF(AND(SamplingData[[#This Row],[Total]]&lt;&gt; 0, NOT(ISBLANK(SamplingData[[#This Row],[Candidate 4]]))),(SamplingData[[#This Row],[Total]]+SamplingData[[#This Row],[Winning Candidate]]-SamplingData[[#This Row],[Candidate 4]])/(SamplingData[[#Totals],[Winning Candidate]]-SamplingData[[#Totals],[Candidate 4]]), 0)</f>
        <v>0</v>
      </c>
      <c r="T653" s="99">
        <f>IF(AND(SamplingData[[#This Row],[Total]]&lt;&gt; 0, NOT(ISBLANK(SamplingData[[#This Row],[Candidate 5]]))),(SamplingData[[#This Row],[Total]]+SamplingData[[#This Row],[Winning Candidate]]-SamplingData[[#This Row],[Candidate 5]])/(SamplingData[[#Totals],[Winning Candidate]]-SamplingData[[#Totals],[Candidate 5]]), 0)</f>
        <v>0</v>
      </c>
      <c r="U653" s="99">
        <f>IF(AND(SamplingData[[#This Row],[Total]]&lt;&gt; 0, NOT(ISBLANK(SamplingData[[#This Row],[Candidate 6]]))),(SamplingData[[#This Row],[Total]]+SamplingData[[#This Row],[Losing Candidate]]-SamplingData[[#This Row],[Candidate 6]])/(SamplingData[[#Totals],[Winning Candidate]]-SamplingData[[#Totals],[Candidate 6]]), 0)</f>
        <v>0</v>
      </c>
      <c r="V653" s="99">
        <f>IF(AND(SamplingData[[#This Row],[Total]]&lt;&gt; 0, NOT(ISBLANK(SamplingData[[#This Row],[Candidate 7]]))),(SamplingData[[#This Row],[Total]]+SamplingData[[#This Row],[Winning Candidate]]-SamplingData[[#This Row],[Candidate 7]])/(SamplingData[[#Totals],[Winning Candidate]]-SamplingData[[#Totals],[Candidate 7]]), 0)</f>
        <v>0</v>
      </c>
      <c r="W653" s="99">
        <f>IF(AND(SamplingData[[#This Row],[Total]]&lt;&gt; 0, NOT(ISBLANK(SamplingData[[#This Row],[Candidate 8]]))),(SamplingData[[#This Row],[Total]]+SamplingData[[#This Row],[Winning Candidate]]-SamplingData[[#This Row],[Candidate 8]])/(SamplingData[[#Totals],[Winning Candidate]]-SamplingData[[#Totals],[Candidate 8]]), 0)</f>
        <v>0</v>
      </c>
      <c r="X6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3" s="99">
        <f>MAX(SamplingData[[#This Row],[Error Bound (up) - Max. possible relative overstatement - Losing Candidate]:[Error Bound (up) - Max. possible relative overstatement - Candidate 12]])</f>
        <v>1.9054489899847225E-2</v>
      </c>
      <c r="AC653" s="99">
        <f>IF(SamplingData[[#This Row],[Max Error Bound (up)]] = 0,0,SamplingData[[#This Row],[Max Error Bound (up)]]/SamplingData[[#Totals],[Max Error Bound (up)]])</f>
        <v>1.020194859490313E-3</v>
      </c>
      <c r="AD653" s="103">
        <f>SUM($AC$5:AC653)</f>
        <v>0.55663331152070483</v>
      </c>
      <c r="AE653" s="99" t="str" cm="1">
        <f t="array" ref="AE653">IF(SamplingData[[#This Row],[up/U Selection Probability]] = 0, "Zero", TEXT(SamplingData[[#This Row],[Lower Range]], REPT("0",LEN('General Info'!$B$42))) &amp; " - " &amp; TEXT(SamplingData[[#This Row],[Upper Range]], REPT("0",LEN('General Info'!$B$42))))</f>
        <v>555613 - 556632</v>
      </c>
      <c r="AF653" s="99">
        <f>SamplingData[[#This Row],[Upper Range]]-SamplingData[[#This Row],[Span]]</f>
        <v>555613.11666121462</v>
      </c>
      <c r="AG653" s="99">
        <f>IF(ISNUMBER('General Info'!$B$42), ((SamplingData[[#This Row],[up/U Selection Probability]]) * 'General Info'!$B$44) - 1, 0)</f>
        <v>1019.194859490313</v>
      </c>
      <c r="AH653" s="99">
        <f>IF(ISNUMBER('General Info'!$B$42), (SamplingData[[#This Row],[Running (cumulative) sum]] * ('General Info'!$B$42 -'General Info'!$B$43 + 1)) + 'General Info'!$B$43 - 1, 0)</f>
        <v>556632.31152070488</v>
      </c>
      <c r="AI653" s="99" t="str">
        <f>IF(ISERROR(MATCH(SamplingData[[#This Row],[Batch by Type (p)]],SelectedPrecincts[Batch Name], 0)), "", INDEX(SelectedPrecincts[Draw], MATCH(SamplingData[[#This Row],[Batch by Type (p)]],SelectedPrecincts[Batch Name], 0)))</f>
        <v/>
      </c>
      <c r="AJ653" s="100">
        <f>IF(COUNTIF(SelectedPrecincts[Batch Name],SamplingData[[#This Row],[Batch by Type (p)]]) &lt;&gt; 0, COUNTIF(SelectedPrecincts[Batch Name],SamplingData[[#This Row],[Batch by Type (p)]]), 0)</f>
        <v>0</v>
      </c>
    </row>
    <row r="654" spans="1:36" ht="15" customHeight="1" x14ac:dyDescent="0.35">
      <c r="A654" s="97" t="s">
        <v>867</v>
      </c>
      <c r="B654" s="97">
        <v>236</v>
      </c>
      <c r="C654" s="97">
        <v>24</v>
      </c>
      <c r="D654" s="92"/>
      <c r="E654" s="92"/>
      <c r="F654" s="92"/>
      <c r="G654" s="96"/>
      <c r="H654" s="96"/>
      <c r="I654" s="92"/>
      <c r="J654" s="92"/>
      <c r="K654" s="92"/>
      <c r="L654" s="92"/>
      <c r="M654" s="92"/>
      <c r="N654" s="97">
        <v>1</v>
      </c>
      <c r="O654" s="97">
        <v>15</v>
      </c>
      <c r="P654" s="98">
        <f>SUM(SamplingData[[#This Row],[Winning Candidate]:[Under Votes]])</f>
        <v>276</v>
      </c>
      <c r="Q654" s="99">
        <f>IF(AND(SamplingData[[#This Row],[Total]]&lt;&gt; 0, NOT(ISBLANK(SamplingData[[#This Row],[Losing Candidate]]))),(SamplingData[[#This Row],[Total]]+SamplingData[[#This Row],[Winning Candidate]]-SamplingData[[#This Row],[Losing Candidate]])/(SamplingData[[#Totals],[Winning Candidate]]-SamplingData[[#Totals],[Losing Candidate]]), 0)</f>
        <v>2.0709556951281616E-2</v>
      </c>
      <c r="R654" s="99">
        <f>IF(AND(SamplingData[[#This Row],[Total]]&lt;&gt; 0, NOT(ISBLANK(SamplingData[[#This Row],[Candidate 3]]))),(SamplingData[[#This Row],[Total]]+SamplingData[[#This Row],[Winning Candidate]]-SamplingData[[#This Row],[Candidate 3]])/(SamplingData[[#Totals],[Winning Candidate]]-SamplingData[[#Totals],[Candidate 3]]), 0)</f>
        <v>0</v>
      </c>
      <c r="S654" s="99">
        <f>IF(AND(SamplingData[[#This Row],[Total]]&lt;&gt; 0, NOT(ISBLANK(SamplingData[[#This Row],[Candidate 4]]))),(SamplingData[[#This Row],[Total]]+SamplingData[[#This Row],[Winning Candidate]]-SamplingData[[#This Row],[Candidate 4]])/(SamplingData[[#Totals],[Winning Candidate]]-SamplingData[[#Totals],[Candidate 4]]), 0)</f>
        <v>0</v>
      </c>
      <c r="T654" s="99">
        <f>IF(AND(SamplingData[[#This Row],[Total]]&lt;&gt; 0, NOT(ISBLANK(SamplingData[[#This Row],[Candidate 5]]))),(SamplingData[[#This Row],[Total]]+SamplingData[[#This Row],[Winning Candidate]]-SamplingData[[#This Row],[Candidate 5]])/(SamplingData[[#Totals],[Winning Candidate]]-SamplingData[[#Totals],[Candidate 5]]), 0)</f>
        <v>0</v>
      </c>
      <c r="U654" s="99">
        <f>IF(AND(SamplingData[[#This Row],[Total]]&lt;&gt; 0, NOT(ISBLANK(SamplingData[[#This Row],[Candidate 6]]))),(SamplingData[[#This Row],[Total]]+SamplingData[[#This Row],[Losing Candidate]]-SamplingData[[#This Row],[Candidate 6]])/(SamplingData[[#Totals],[Winning Candidate]]-SamplingData[[#Totals],[Candidate 6]]), 0)</f>
        <v>0</v>
      </c>
      <c r="V654" s="99">
        <f>IF(AND(SamplingData[[#This Row],[Total]]&lt;&gt; 0, NOT(ISBLANK(SamplingData[[#This Row],[Candidate 7]]))),(SamplingData[[#This Row],[Total]]+SamplingData[[#This Row],[Winning Candidate]]-SamplingData[[#This Row],[Candidate 7]])/(SamplingData[[#Totals],[Winning Candidate]]-SamplingData[[#Totals],[Candidate 7]]), 0)</f>
        <v>0</v>
      </c>
      <c r="W654" s="99">
        <f>IF(AND(SamplingData[[#This Row],[Total]]&lt;&gt; 0, NOT(ISBLANK(SamplingData[[#This Row],[Candidate 8]]))),(SamplingData[[#This Row],[Total]]+SamplingData[[#This Row],[Winning Candidate]]-SamplingData[[#This Row],[Candidate 8]])/(SamplingData[[#Totals],[Winning Candidate]]-SamplingData[[#Totals],[Candidate 8]]), 0)</f>
        <v>0</v>
      </c>
      <c r="X6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4" s="99">
        <f>MAX(SamplingData[[#This Row],[Error Bound (up) - Max. possible relative overstatement - Losing Candidate]:[Error Bound (up) - Max. possible relative overstatement - Candidate 12]])</f>
        <v>2.0709556951281616E-2</v>
      </c>
      <c r="AC654" s="99">
        <f>IF(SamplingData[[#This Row],[Max Error Bound (up)]] = 0,0,SamplingData[[#This Row],[Max Error Bound (up)]]/SamplingData[[#Totals],[Max Error Bound (up)]])</f>
        <v>1.1088086668847943E-3</v>
      </c>
      <c r="AD654" s="103">
        <f>SUM($AC$5:AC654)</f>
        <v>0.55774212018758962</v>
      </c>
      <c r="AE654" s="99" t="str" cm="1">
        <f t="array" ref="AE654">IF(SamplingData[[#This Row],[up/U Selection Probability]] = 0, "Zero", TEXT(SamplingData[[#This Row],[Lower Range]], REPT("0",LEN('General Info'!$B$42))) &amp; " - " &amp; TEXT(SamplingData[[#This Row],[Upper Range]], REPT("0",LEN('General Info'!$B$42))))</f>
        <v>556633 - 557741</v>
      </c>
      <c r="AF654" s="99">
        <f>SamplingData[[#This Row],[Upper Range]]-SamplingData[[#This Row],[Span]]</f>
        <v>556633.31152070488</v>
      </c>
      <c r="AG654" s="99">
        <f>IF(ISNUMBER('General Info'!$B$42), ((SamplingData[[#This Row],[up/U Selection Probability]]) * 'General Info'!$B$44) - 1, 0)</f>
        <v>1107.8086668847943</v>
      </c>
      <c r="AH654" s="99">
        <f>IF(ISNUMBER('General Info'!$B$42), (SamplingData[[#This Row],[Running (cumulative) sum]] * ('General Info'!$B$42 -'General Info'!$B$43 + 1)) + 'General Info'!$B$43 - 1, 0)</f>
        <v>557741.12018758967</v>
      </c>
      <c r="AI654" s="99" t="str">
        <f>IF(ISERROR(MATCH(SamplingData[[#This Row],[Batch by Type (p)]],SelectedPrecincts[Batch Name], 0)), "", INDEX(SelectedPrecincts[Draw], MATCH(SamplingData[[#This Row],[Batch by Type (p)]],SelectedPrecincts[Batch Name], 0)))</f>
        <v/>
      </c>
      <c r="AJ654" s="100">
        <f>IF(COUNTIF(SelectedPrecincts[Batch Name],SamplingData[[#This Row],[Batch by Type (p)]]) &lt;&gt; 0, COUNTIF(SelectedPrecincts[Batch Name],SamplingData[[#This Row],[Batch by Type (p)]]), 0)</f>
        <v>0</v>
      </c>
    </row>
    <row r="655" spans="1:36" ht="15" customHeight="1" x14ac:dyDescent="0.35">
      <c r="A655" s="97" t="s">
        <v>868</v>
      </c>
      <c r="B655" s="97">
        <v>295</v>
      </c>
      <c r="C655" s="97">
        <v>27</v>
      </c>
      <c r="D655" s="92"/>
      <c r="E655" s="92"/>
      <c r="F655" s="92"/>
      <c r="G655" s="96"/>
      <c r="H655" s="96"/>
      <c r="I655" s="92"/>
      <c r="J655" s="92"/>
      <c r="K655" s="92"/>
      <c r="L655" s="92"/>
      <c r="M655" s="92"/>
      <c r="N655" s="97">
        <v>0</v>
      </c>
      <c r="O655" s="97">
        <v>16</v>
      </c>
      <c r="P655" s="98">
        <f>SUM(SamplingData[[#This Row],[Winning Candidate]:[Under Votes]])</f>
        <v>338</v>
      </c>
      <c r="Q655" s="99">
        <f>IF(AND(SamplingData[[#This Row],[Total]]&lt;&gt; 0, NOT(ISBLANK(SamplingData[[#This Row],[Losing Candidate]]))),(SamplingData[[#This Row],[Total]]+SamplingData[[#This Row],[Winning Candidate]]-SamplingData[[#This Row],[Losing Candidate]])/(SamplingData[[#Totals],[Winning Candidate]]-SamplingData[[#Totals],[Losing Candidate]]), 0)</f>
        <v>2.5717195722288238E-2</v>
      </c>
      <c r="R655" s="99">
        <f>IF(AND(SamplingData[[#This Row],[Total]]&lt;&gt; 0, NOT(ISBLANK(SamplingData[[#This Row],[Candidate 3]]))),(SamplingData[[#This Row],[Total]]+SamplingData[[#This Row],[Winning Candidate]]-SamplingData[[#This Row],[Candidate 3]])/(SamplingData[[#Totals],[Winning Candidate]]-SamplingData[[#Totals],[Candidate 3]]), 0)</f>
        <v>0</v>
      </c>
      <c r="S655" s="99">
        <f>IF(AND(SamplingData[[#This Row],[Total]]&lt;&gt; 0, NOT(ISBLANK(SamplingData[[#This Row],[Candidate 4]]))),(SamplingData[[#This Row],[Total]]+SamplingData[[#This Row],[Winning Candidate]]-SamplingData[[#This Row],[Candidate 4]])/(SamplingData[[#Totals],[Winning Candidate]]-SamplingData[[#Totals],[Candidate 4]]), 0)</f>
        <v>0</v>
      </c>
      <c r="T655" s="99">
        <f>IF(AND(SamplingData[[#This Row],[Total]]&lt;&gt; 0, NOT(ISBLANK(SamplingData[[#This Row],[Candidate 5]]))),(SamplingData[[#This Row],[Total]]+SamplingData[[#This Row],[Winning Candidate]]-SamplingData[[#This Row],[Candidate 5]])/(SamplingData[[#Totals],[Winning Candidate]]-SamplingData[[#Totals],[Candidate 5]]), 0)</f>
        <v>0</v>
      </c>
      <c r="U655" s="99">
        <f>IF(AND(SamplingData[[#This Row],[Total]]&lt;&gt; 0, NOT(ISBLANK(SamplingData[[#This Row],[Candidate 6]]))),(SamplingData[[#This Row],[Total]]+SamplingData[[#This Row],[Losing Candidate]]-SamplingData[[#This Row],[Candidate 6]])/(SamplingData[[#Totals],[Winning Candidate]]-SamplingData[[#Totals],[Candidate 6]]), 0)</f>
        <v>0</v>
      </c>
      <c r="V655" s="99">
        <f>IF(AND(SamplingData[[#This Row],[Total]]&lt;&gt; 0, NOT(ISBLANK(SamplingData[[#This Row],[Candidate 7]]))),(SamplingData[[#This Row],[Total]]+SamplingData[[#This Row],[Winning Candidate]]-SamplingData[[#This Row],[Candidate 7]])/(SamplingData[[#Totals],[Winning Candidate]]-SamplingData[[#Totals],[Candidate 7]]), 0)</f>
        <v>0</v>
      </c>
      <c r="W655" s="99">
        <f>IF(AND(SamplingData[[#This Row],[Total]]&lt;&gt; 0, NOT(ISBLANK(SamplingData[[#This Row],[Candidate 8]]))),(SamplingData[[#This Row],[Total]]+SamplingData[[#This Row],[Winning Candidate]]-SamplingData[[#This Row],[Candidate 8]])/(SamplingData[[#Totals],[Winning Candidate]]-SamplingData[[#Totals],[Candidate 8]]), 0)</f>
        <v>0</v>
      </c>
      <c r="X6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5" s="99">
        <f>MAX(SamplingData[[#This Row],[Error Bound (up) - Max. possible relative overstatement - Losing Candidate]:[Error Bound (up) - Max. possible relative overstatement - Candidate 12]])</f>
        <v>2.5717195722288238E-2</v>
      </c>
      <c r="AC655" s="99">
        <f>IF(SamplingData[[#This Row],[Max Error Bound (up)]] = 0,0,SamplingData[[#This Row],[Max Error Bound (up)]]/SamplingData[[#Totals],[Max Error Bound (up)]])</f>
        <v>1.3769222379757897E-3</v>
      </c>
      <c r="AD655" s="103">
        <f>SUM($AC$5:AC655)</f>
        <v>0.55911904242556543</v>
      </c>
      <c r="AE655" s="99" t="str" cm="1">
        <f t="array" ref="AE655">IF(SamplingData[[#This Row],[up/U Selection Probability]] = 0, "Zero", TEXT(SamplingData[[#This Row],[Lower Range]], REPT("0",LEN('General Info'!$B$42))) &amp; " - " &amp; TEXT(SamplingData[[#This Row],[Upper Range]], REPT("0",LEN('General Info'!$B$42))))</f>
        <v>557742 - 559118</v>
      </c>
      <c r="AF655" s="99">
        <f>SamplingData[[#This Row],[Upper Range]]-SamplingData[[#This Row],[Span]]</f>
        <v>557742.12018758967</v>
      </c>
      <c r="AG655" s="99">
        <f>IF(ISNUMBER('General Info'!$B$42), ((SamplingData[[#This Row],[up/U Selection Probability]]) * 'General Info'!$B$44) - 1, 0)</f>
        <v>1375.9222379757898</v>
      </c>
      <c r="AH655" s="99">
        <f>IF(ISNUMBER('General Info'!$B$42), (SamplingData[[#This Row],[Running (cumulative) sum]] * ('General Info'!$B$42 -'General Info'!$B$43 + 1)) + 'General Info'!$B$43 - 1, 0)</f>
        <v>559118.04242556542</v>
      </c>
      <c r="AI655" s="99" t="str">
        <f>IF(ISERROR(MATCH(SamplingData[[#This Row],[Batch by Type (p)]],SelectedPrecincts[Batch Name], 0)), "", INDEX(SelectedPrecincts[Draw], MATCH(SamplingData[[#This Row],[Batch by Type (p)]],SelectedPrecincts[Batch Name], 0)))</f>
        <v/>
      </c>
      <c r="AJ655" s="100">
        <f>IF(COUNTIF(SelectedPrecincts[Batch Name],SamplingData[[#This Row],[Batch by Type (p)]]) &lt;&gt; 0, COUNTIF(SelectedPrecincts[Batch Name],SamplingData[[#This Row],[Batch by Type (p)]]), 0)</f>
        <v>0</v>
      </c>
    </row>
    <row r="656" spans="1:36" ht="15" customHeight="1" x14ac:dyDescent="0.35">
      <c r="A656" s="97" t="s">
        <v>869</v>
      </c>
      <c r="B656" s="97">
        <v>64</v>
      </c>
      <c r="C656" s="97">
        <v>18</v>
      </c>
      <c r="D656" s="92"/>
      <c r="E656" s="92"/>
      <c r="F656" s="92"/>
      <c r="G656" s="96"/>
      <c r="H656" s="96"/>
      <c r="I656" s="92"/>
      <c r="J656" s="92"/>
      <c r="K656" s="92"/>
      <c r="L656" s="92"/>
      <c r="M656" s="92"/>
      <c r="N656" s="97">
        <v>1</v>
      </c>
      <c r="O656" s="97">
        <v>7</v>
      </c>
      <c r="P656" s="98">
        <f>SUM(SamplingData[[#This Row],[Winning Candidate]:[Under Votes]])</f>
        <v>90</v>
      </c>
      <c r="Q656" s="99">
        <f>IF(AND(SamplingData[[#This Row],[Total]]&lt;&gt; 0, NOT(ISBLANK(SamplingData[[#This Row],[Losing Candidate]]))),(SamplingData[[#This Row],[Total]]+SamplingData[[#This Row],[Winning Candidate]]-SamplingData[[#This Row],[Losing Candidate]])/(SamplingData[[#Totals],[Winning Candidate]]-SamplingData[[#Totals],[Losing Candidate]]), 0)</f>
        <v>5.7715158716686475E-3</v>
      </c>
      <c r="R656" s="99">
        <f>IF(AND(SamplingData[[#This Row],[Total]]&lt;&gt; 0, NOT(ISBLANK(SamplingData[[#This Row],[Candidate 3]]))),(SamplingData[[#This Row],[Total]]+SamplingData[[#This Row],[Winning Candidate]]-SamplingData[[#This Row],[Candidate 3]])/(SamplingData[[#Totals],[Winning Candidate]]-SamplingData[[#Totals],[Candidate 3]]), 0)</f>
        <v>0</v>
      </c>
      <c r="S656" s="99">
        <f>IF(AND(SamplingData[[#This Row],[Total]]&lt;&gt; 0, NOT(ISBLANK(SamplingData[[#This Row],[Candidate 4]]))),(SamplingData[[#This Row],[Total]]+SamplingData[[#This Row],[Winning Candidate]]-SamplingData[[#This Row],[Candidate 4]])/(SamplingData[[#Totals],[Winning Candidate]]-SamplingData[[#Totals],[Candidate 4]]), 0)</f>
        <v>0</v>
      </c>
      <c r="T656" s="99">
        <f>IF(AND(SamplingData[[#This Row],[Total]]&lt;&gt; 0, NOT(ISBLANK(SamplingData[[#This Row],[Candidate 5]]))),(SamplingData[[#This Row],[Total]]+SamplingData[[#This Row],[Winning Candidate]]-SamplingData[[#This Row],[Candidate 5]])/(SamplingData[[#Totals],[Winning Candidate]]-SamplingData[[#Totals],[Candidate 5]]), 0)</f>
        <v>0</v>
      </c>
      <c r="U656" s="99">
        <f>IF(AND(SamplingData[[#This Row],[Total]]&lt;&gt; 0, NOT(ISBLANK(SamplingData[[#This Row],[Candidate 6]]))),(SamplingData[[#This Row],[Total]]+SamplingData[[#This Row],[Losing Candidate]]-SamplingData[[#This Row],[Candidate 6]])/(SamplingData[[#Totals],[Winning Candidate]]-SamplingData[[#Totals],[Candidate 6]]), 0)</f>
        <v>0</v>
      </c>
      <c r="V656" s="99">
        <f>IF(AND(SamplingData[[#This Row],[Total]]&lt;&gt; 0, NOT(ISBLANK(SamplingData[[#This Row],[Candidate 7]]))),(SamplingData[[#This Row],[Total]]+SamplingData[[#This Row],[Winning Candidate]]-SamplingData[[#This Row],[Candidate 7]])/(SamplingData[[#Totals],[Winning Candidate]]-SamplingData[[#Totals],[Candidate 7]]), 0)</f>
        <v>0</v>
      </c>
      <c r="W656" s="99">
        <f>IF(AND(SamplingData[[#This Row],[Total]]&lt;&gt; 0, NOT(ISBLANK(SamplingData[[#This Row],[Candidate 8]]))),(SamplingData[[#This Row],[Total]]+SamplingData[[#This Row],[Winning Candidate]]-SamplingData[[#This Row],[Candidate 8]])/(SamplingData[[#Totals],[Winning Candidate]]-SamplingData[[#Totals],[Candidate 8]]), 0)</f>
        <v>0</v>
      </c>
      <c r="X6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6" s="99">
        <f>MAX(SamplingData[[#This Row],[Error Bound (up) - Max. possible relative overstatement - Losing Candidate]:[Error Bound (up) - Max. possible relative overstatement - Candidate 12]])</f>
        <v>5.7715158716686475E-3</v>
      </c>
      <c r="AC656" s="99">
        <f>IF(SamplingData[[#This Row],[Max Error Bound (up)]] = 0,0,SamplingData[[#This Row],[Max Error Bound (up)]]/SamplingData[[#Totals],[Max Error Bound (up)]])</f>
        <v>3.0901225142690995E-4</v>
      </c>
      <c r="AD656" s="103">
        <f>SUM($AC$5:AC656)</f>
        <v>0.5594280546769923</v>
      </c>
      <c r="AE656" s="99" t="str" cm="1">
        <f t="array" ref="AE656">IF(SamplingData[[#This Row],[up/U Selection Probability]] = 0, "Zero", TEXT(SamplingData[[#This Row],[Lower Range]], REPT("0",LEN('General Info'!$B$42))) &amp; " - " &amp; TEXT(SamplingData[[#This Row],[Upper Range]], REPT("0",LEN('General Info'!$B$42))))</f>
        <v>559119 - 559427</v>
      </c>
      <c r="AF656" s="99">
        <f>SamplingData[[#This Row],[Upper Range]]-SamplingData[[#This Row],[Span]]</f>
        <v>559119.04242556542</v>
      </c>
      <c r="AG656" s="99">
        <f>IF(ISNUMBER('General Info'!$B$42), ((SamplingData[[#This Row],[up/U Selection Probability]]) * 'General Info'!$B$44) - 1, 0)</f>
        <v>308.01225142690993</v>
      </c>
      <c r="AH656" s="99">
        <f>IF(ISNUMBER('General Info'!$B$42), (SamplingData[[#This Row],[Running (cumulative) sum]] * ('General Info'!$B$42 -'General Info'!$B$43 + 1)) + 'General Info'!$B$43 - 1, 0)</f>
        <v>559427.05467699235</v>
      </c>
      <c r="AI656" s="99" t="str">
        <f>IF(ISERROR(MATCH(SamplingData[[#This Row],[Batch by Type (p)]],SelectedPrecincts[Batch Name], 0)), "", INDEX(SelectedPrecincts[Draw], MATCH(SamplingData[[#This Row],[Batch by Type (p)]],SelectedPrecincts[Batch Name], 0)))</f>
        <v/>
      </c>
      <c r="AJ656" s="100">
        <f>IF(COUNTIF(SelectedPrecincts[Batch Name],SamplingData[[#This Row],[Batch by Type (p)]]) &lt;&gt; 0, COUNTIF(SelectedPrecincts[Batch Name],SamplingData[[#This Row],[Batch by Type (p)]]), 0)</f>
        <v>0</v>
      </c>
    </row>
    <row r="657" spans="1:36" ht="15" customHeight="1" x14ac:dyDescent="0.35">
      <c r="A657" s="97" t="s">
        <v>870</v>
      </c>
      <c r="B657" s="97">
        <v>282</v>
      </c>
      <c r="C657" s="97">
        <v>107</v>
      </c>
      <c r="D657" s="92"/>
      <c r="E657" s="92"/>
      <c r="F657" s="92"/>
      <c r="G657" s="96"/>
      <c r="H657" s="96"/>
      <c r="I657" s="92"/>
      <c r="J657" s="92"/>
      <c r="K657" s="92"/>
      <c r="L657" s="92"/>
      <c r="M657" s="92"/>
      <c r="N657" s="97">
        <v>0</v>
      </c>
      <c r="O657" s="97">
        <v>34</v>
      </c>
      <c r="P657" s="98">
        <f>SUM(SamplingData[[#This Row],[Winning Candidate]:[Under Votes]])</f>
        <v>423</v>
      </c>
      <c r="Q657" s="99">
        <f>IF(AND(SamplingData[[#This Row],[Total]]&lt;&gt; 0, NOT(ISBLANK(SamplingData[[#This Row],[Losing Candidate]]))),(SamplingData[[#This Row],[Total]]+SamplingData[[#This Row],[Winning Candidate]]-SamplingData[[#This Row],[Losing Candidate]])/(SamplingData[[#Totals],[Winning Candidate]]-SamplingData[[#Totals],[Losing Candidate]]), 0)</f>
        <v>2.5377694788660667E-2</v>
      </c>
      <c r="R657" s="99">
        <f>IF(AND(SamplingData[[#This Row],[Total]]&lt;&gt; 0, NOT(ISBLANK(SamplingData[[#This Row],[Candidate 3]]))),(SamplingData[[#This Row],[Total]]+SamplingData[[#This Row],[Winning Candidate]]-SamplingData[[#This Row],[Candidate 3]])/(SamplingData[[#Totals],[Winning Candidate]]-SamplingData[[#Totals],[Candidate 3]]), 0)</f>
        <v>0</v>
      </c>
      <c r="S657" s="99">
        <f>IF(AND(SamplingData[[#This Row],[Total]]&lt;&gt; 0, NOT(ISBLANK(SamplingData[[#This Row],[Candidate 4]]))),(SamplingData[[#This Row],[Total]]+SamplingData[[#This Row],[Winning Candidate]]-SamplingData[[#This Row],[Candidate 4]])/(SamplingData[[#Totals],[Winning Candidate]]-SamplingData[[#Totals],[Candidate 4]]), 0)</f>
        <v>0</v>
      </c>
      <c r="T657" s="99">
        <f>IF(AND(SamplingData[[#This Row],[Total]]&lt;&gt; 0, NOT(ISBLANK(SamplingData[[#This Row],[Candidate 5]]))),(SamplingData[[#This Row],[Total]]+SamplingData[[#This Row],[Winning Candidate]]-SamplingData[[#This Row],[Candidate 5]])/(SamplingData[[#Totals],[Winning Candidate]]-SamplingData[[#Totals],[Candidate 5]]), 0)</f>
        <v>0</v>
      </c>
      <c r="U657" s="99">
        <f>IF(AND(SamplingData[[#This Row],[Total]]&lt;&gt; 0, NOT(ISBLANK(SamplingData[[#This Row],[Candidate 6]]))),(SamplingData[[#This Row],[Total]]+SamplingData[[#This Row],[Losing Candidate]]-SamplingData[[#This Row],[Candidate 6]])/(SamplingData[[#Totals],[Winning Candidate]]-SamplingData[[#Totals],[Candidate 6]]), 0)</f>
        <v>0</v>
      </c>
      <c r="V657" s="99">
        <f>IF(AND(SamplingData[[#This Row],[Total]]&lt;&gt; 0, NOT(ISBLANK(SamplingData[[#This Row],[Candidate 7]]))),(SamplingData[[#This Row],[Total]]+SamplingData[[#This Row],[Winning Candidate]]-SamplingData[[#This Row],[Candidate 7]])/(SamplingData[[#Totals],[Winning Candidate]]-SamplingData[[#Totals],[Candidate 7]]), 0)</f>
        <v>0</v>
      </c>
      <c r="W657" s="99">
        <f>IF(AND(SamplingData[[#This Row],[Total]]&lt;&gt; 0, NOT(ISBLANK(SamplingData[[#This Row],[Candidate 8]]))),(SamplingData[[#This Row],[Total]]+SamplingData[[#This Row],[Winning Candidate]]-SamplingData[[#This Row],[Candidate 8]])/(SamplingData[[#Totals],[Winning Candidate]]-SamplingData[[#Totals],[Candidate 8]]), 0)</f>
        <v>0</v>
      </c>
      <c r="X6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7" s="99">
        <f>MAX(SamplingData[[#This Row],[Error Bound (up) - Max. possible relative overstatement - Losing Candidate]:[Error Bound (up) - Max. possible relative overstatement - Candidate 12]])</f>
        <v>2.5377694788660667E-2</v>
      </c>
      <c r="AC657" s="99">
        <f>IF(SamplingData[[#This Row],[Max Error Bound (up)]] = 0,0,SamplingData[[#This Row],[Max Error Bound (up)]]/SamplingData[[#Totals],[Max Error Bound (up)]])</f>
        <v>1.3587450467153833E-3</v>
      </c>
      <c r="AD657" s="103">
        <f>SUM($AC$5:AC657)</f>
        <v>0.56078679972370771</v>
      </c>
      <c r="AE657" s="99" t="str" cm="1">
        <f t="array" ref="AE657">IF(SamplingData[[#This Row],[up/U Selection Probability]] = 0, "Zero", TEXT(SamplingData[[#This Row],[Lower Range]], REPT("0",LEN('General Info'!$B$42))) &amp; " - " &amp; TEXT(SamplingData[[#This Row],[Upper Range]], REPT("0",LEN('General Info'!$B$42))))</f>
        <v>559428 - 560786</v>
      </c>
      <c r="AF657" s="99">
        <f>SamplingData[[#This Row],[Upper Range]]-SamplingData[[#This Row],[Span]]</f>
        <v>559428.05467699235</v>
      </c>
      <c r="AG657" s="99">
        <f>IF(ISNUMBER('General Info'!$B$42), ((SamplingData[[#This Row],[up/U Selection Probability]]) * 'General Info'!$B$44) - 1, 0)</f>
        <v>1357.7450467153833</v>
      </c>
      <c r="AH657" s="99">
        <f>IF(ISNUMBER('General Info'!$B$42), (SamplingData[[#This Row],[Running (cumulative) sum]] * ('General Info'!$B$42 -'General Info'!$B$43 + 1)) + 'General Info'!$B$43 - 1, 0)</f>
        <v>560785.79972370772</v>
      </c>
      <c r="AI657" s="99" t="str">
        <f>IF(ISERROR(MATCH(SamplingData[[#This Row],[Batch by Type (p)]],SelectedPrecincts[Batch Name], 0)), "", INDEX(SelectedPrecincts[Draw], MATCH(SamplingData[[#This Row],[Batch by Type (p)]],SelectedPrecincts[Batch Name], 0)))</f>
        <v/>
      </c>
      <c r="AJ657" s="100">
        <f>IF(COUNTIF(SelectedPrecincts[Batch Name],SamplingData[[#This Row],[Batch by Type (p)]]) &lt;&gt; 0, COUNTIF(SelectedPrecincts[Batch Name],SamplingData[[#This Row],[Batch by Type (p)]]), 0)</f>
        <v>0</v>
      </c>
    </row>
    <row r="658" spans="1:36" ht="15" customHeight="1" x14ac:dyDescent="0.35">
      <c r="A658" s="97" t="s">
        <v>871</v>
      </c>
      <c r="B658" s="97">
        <v>370</v>
      </c>
      <c r="C658" s="97">
        <v>45</v>
      </c>
      <c r="D658" s="92"/>
      <c r="E658" s="92"/>
      <c r="F658" s="92"/>
      <c r="G658" s="96"/>
      <c r="H658" s="96"/>
      <c r="I658" s="92"/>
      <c r="J658" s="92"/>
      <c r="K658" s="92"/>
      <c r="L658" s="92"/>
      <c r="M658" s="92"/>
      <c r="N658" s="97">
        <v>0</v>
      </c>
      <c r="O658" s="97">
        <v>26</v>
      </c>
      <c r="P658" s="98">
        <f>SUM(SamplingData[[#This Row],[Winning Candidate]:[Under Votes]])</f>
        <v>441</v>
      </c>
      <c r="Q658" s="99">
        <f>IF(AND(SamplingData[[#This Row],[Total]]&lt;&gt; 0, NOT(ISBLANK(SamplingData[[#This Row],[Losing Candidate]]))),(SamplingData[[#This Row],[Total]]+SamplingData[[#This Row],[Winning Candidate]]-SamplingData[[#This Row],[Losing Candidate]])/(SamplingData[[#Totals],[Winning Candidate]]-SamplingData[[#Totals],[Losing Candidate]]), 0)</f>
        <v>3.2507214394839584E-2</v>
      </c>
      <c r="R658" s="99">
        <f>IF(AND(SamplingData[[#This Row],[Total]]&lt;&gt; 0, NOT(ISBLANK(SamplingData[[#This Row],[Candidate 3]]))),(SamplingData[[#This Row],[Total]]+SamplingData[[#This Row],[Winning Candidate]]-SamplingData[[#This Row],[Candidate 3]])/(SamplingData[[#Totals],[Winning Candidate]]-SamplingData[[#Totals],[Candidate 3]]), 0)</f>
        <v>0</v>
      </c>
      <c r="S658" s="99">
        <f>IF(AND(SamplingData[[#This Row],[Total]]&lt;&gt; 0, NOT(ISBLANK(SamplingData[[#This Row],[Candidate 4]]))),(SamplingData[[#This Row],[Total]]+SamplingData[[#This Row],[Winning Candidate]]-SamplingData[[#This Row],[Candidate 4]])/(SamplingData[[#Totals],[Winning Candidate]]-SamplingData[[#Totals],[Candidate 4]]), 0)</f>
        <v>0</v>
      </c>
      <c r="T658" s="99">
        <f>IF(AND(SamplingData[[#This Row],[Total]]&lt;&gt; 0, NOT(ISBLANK(SamplingData[[#This Row],[Candidate 5]]))),(SamplingData[[#This Row],[Total]]+SamplingData[[#This Row],[Winning Candidate]]-SamplingData[[#This Row],[Candidate 5]])/(SamplingData[[#Totals],[Winning Candidate]]-SamplingData[[#Totals],[Candidate 5]]), 0)</f>
        <v>0</v>
      </c>
      <c r="U658" s="99">
        <f>IF(AND(SamplingData[[#This Row],[Total]]&lt;&gt; 0, NOT(ISBLANK(SamplingData[[#This Row],[Candidate 6]]))),(SamplingData[[#This Row],[Total]]+SamplingData[[#This Row],[Losing Candidate]]-SamplingData[[#This Row],[Candidate 6]])/(SamplingData[[#Totals],[Winning Candidate]]-SamplingData[[#Totals],[Candidate 6]]), 0)</f>
        <v>0</v>
      </c>
      <c r="V658" s="99">
        <f>IF(AND(SamplingData[[#This Row],[Total]]&lt;&gt; 0, NOT(ISBLANK(SamplingData[[#This Row],[Candidate 7]]))),(SamplingData[[#This Row],[Total]]+SamplingData[[#This Row],[Winning Candidate]]-SamplingData[[#This Row],[Candidate 7]])/(SamplingData[[#Totals],[Winning Candidate]]-SamplingData[[#Totals],[Candidate 7]]), 0)</f>
        <v>0</v>
      </c>
      <c r="W658" s="99">
        <f>IF(AND(SamplingData[[#This Row],[Total]]&lt;&gt; 0, NOT(ISBLANK(SamplingData[[#This Row],[Candidate 8]]))),(SamplingData[[#This Row],[Total]]+SamplingData[[#This Row],[Winning Candidate]]-SamplingData[[#This Row],[Candidate 8]])/(SamplingData[[#Totals],[Winning Candidate]]-SamplingData[[#Totals],[Candidate 8]]), 0)</f>
        <v>0</v>
      </c>
      <c r="X6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8" s="99">
        <f>MAX(SamplingData[[#This Row],[Error Bound (up) - Max. possible relative overstatement - Losing Candidate]:[Error Bound (up) - Max. possible relative overstatement - Candidate 12]])</f>
        <v>3.2507214394839584E-2</v>
      </c>
      <c r="AC658" s="99">
        <f>IF(SamplingData[[#This Row],[Max Error Bound (up)]] = 0,0,SamplingData[[#This Row],[Max Error Bound (up)]]/SamplingData[[#Totals],[Max Error Bound (up)]])</f>
        <v>1.740466063183919E-3</v>
      </c>
      <c r="AD658" s="103">
        <f>SUM($AC$5:AC658)</f>
        <v>0.56252726578689161</v>
      </c>
      <c r="AE658" s="99" t="str" cm="1">
        <f t="array" ref="AE658">IF(SamplingData[[#This Row],[up/U Selection Probability]] = 0, "Zero", TEXT(SamplingData[[#This Row],[Lower Range]], REPT("0",LEN('General Info'!$B$42))) &amp; " - " &amp; TEXT(SamplingData[[#This Row],[Upper Range]], REPT("0",LEN('General Info'!$B$42))))</f>
        <v>560787 - 562526</v>
      </c>
      <c r="AF658" s="99">
        <f>SamplingData[[#This Row],[Upper Range]]-SamplingData[[#This Row],[Span]]</f>
        <v>560786.79972370761</v>
      </c>
      <c r="AG658" s="99">
        <f>IF(ISNUMBER('General Info'!$B$42), ((SamplingData[[#This Row],[up/U Selection Probability]]) * 'General Info'!$B$44) - 1, 0)</f>
        <v>1739.466063183919</v>
      </c>
      <c r="AH658" s="99">
        <f>IF(ISNUMBER('General Info'!$B$42), (SamplingData[[#This Row],[Running (cumulative) sum]] * ('General Info'!$B$42 -'General Info'!$B$43 + 1)) + 'General Info'!$B$43 - 1, 0)</f>
        <v>562526.26578689157</v>
      </c>
      <c r="AI658" s="99" t="str">
        <f>IF(ISERROR(MATCH(SamplingData[[#This Row],[Batch by Type (p)]],SelectedPrecincts[Batch Name], 0)), "", INDEX(SelectedPrecincts[Draw], MATCH(SamplingData[[#This Row],[Batch by Type (p)]],SelectedPrecincts[Batch Name], 0)))</f>
        <v/>
      </c>
      <c r="AJ658" s="100">
        <f>IF(COUNTIF(SelectedPrecincts[Batch Name],SamplingData[[#This Row],[Batch by Type (p)]]) &lt;&gt; 0, COUNTIF(SelectedPrecincts[Batch Name],SamplingData[[#This Row],[Batch by Type (p)]]), 0)</f>
        <v>0</v>
      </c>
    </row>
    <row r="659" spans="1:36" ht="15" customHeight="1" x14ac:dyDescent="0.35">
      <c r="A659" s="97" t="s">
        <v>872</v>
      </c>
      <c r="B659" s="97">
        <v>106</v>
      </c>
      <c r="C659" s="97">
        <v>63</v>
      </c>
      <c r="D659" s="92"/>
      <c r="E659" s="92"/>
      <c r="F659" s="92"/>
      <c r="G659" s="96"/>
      <c r="H659" s="96"/>
      <c r="I659" s="92"/>
      <c r="J659" s="92"/>
      <c r="K659" s="92"/>
      <c r="L659" s="92"/>
      <c r="M659" s="92"/>
      <c r="N659" s="97">
        <v>0</v>
      </c>
      <c r="O659" s="97">
        <v>23</v>
      </c>
      <c r="P659" s="98">
        <f>SUM(SamplingData[[#This Row],[Winning Candidate]:[Under Votes]])</f>
        <v>192</v>
      </c>
      <c r="Q659" s="99">
        <f>IF(AND(SamplingData[[#This Row],[Total]]&lt;&gt; 0, NOT(ISBLANK(SamplingData[[#This Row],[Losing Candidate]]))),(SamplingData[[#This Row],[Total]]+SamplingData[[#This Row],[Winning Candidate]]-SamplingData[[#This Row],[Losing Candidate]])/(SamplingData[[#Totals],[Winning Candidate]]-SamplingData[[#Totals],[Losing Candidate]]), 0)</f>
        <v>9.9728399253097948E-3</v>
      </c>
      <c r="R659" s="99">
        <f>IF(AND(SamplingData[[#This Row],[Total]]&lt;&gt; 0, NOT(ISBLANK(SamplingData[[#This Row],[Candidate 3]]))),(SamplingData[[#This Row],[Total]]+SamplingData[[#This Row],[Winning Candidate]]-SamplingData[[#This Row],[Candidate 3]])/(SamplingData[[#Totals],[Winning Candidate]]-SamplingData[[#Totals],[Candidate 3]]), 0)</f>
        <v>0</v>
      </c>
      <c r="S659" s="99">
        <f>IF(AND(SamplingData[[#This Row],[Total]]&lt;&gt; 0, NOT(ISBLANK(SamplingData[[#This Row],[Candidate 4]]))),(SamplingData[[#This Row],[Total]]+SamplingData[[#This Row],[Winning Candidate]]-SamplingData[[#This Row],[Candidate 4]])/(SamplingData[[#Totals],[Winning Candidate]]-SamplingData[[#Totals],[Candidate 4]]), 0)</f>
        <v>0</v>
      </c>
      <c r="T659" s="99">
        <f>IF(AND(SamplingData[[#This Row],[Total]]&lt;&gt; 0, NOT(ISBLANK(SamplingData[[#This Row],[Candidate 5]]))),(SamplingData[[#This Row],[Total]]+SamplingData[[#This Row],[Winning Candidate]]-SamplingData[[#This Row],[Candidate 5]])/(SamplingData[[#Totals],[Winning Candidate]]-SamplingData[[#Totals],[Candidate 5]]), 0)</f>
        <v>0</v>
      </c>
      <c r="U659" s="99">
        <f>IF(AND(SamplingData[[#This Row],[Total]]&lt;&gt; 0, NOT(ISBLANK(SamplingData[[#This Row],[Candidate 6]]))),(SamplingData[[#This Row],[Total]]+SamplingData[[#This Row],[Losing Candidate]]-SamplingData[[#This Row],[Candidate 6]])/(SamplingData[[#Totals],[Winning Candidate]]-SamplingData[[#Totals],[Candidate 6]]), 0)</f>
        <v>0</v>
      </c>
      <c r="V659" s="99">
        <f>IF(AND(SamplingData[[#This Row],[Total]]&lt;&gt; 0, NOT(ISBLANK(SamplingData[[#This Row],[Candidate 7]]))),(SamplingData[[#This Row],[Total]]+SamplingData[[#This Row],[Winning Candidate]]-SamplingData[[#This Row],[Candidate 7]])/(SamplingData[[#Totals],[Winning Candidate]]-SamplingData[[#Totals],[Candidate 7]]), 0)</f>
        <v>0</v>
      </c>
      <c r="W659" s="99">
        <f>IF(AND(SamplingData[[#This Row],[Total]]&lt;&gt; 0, NOT(ISBLANK(SamplingData[[#This Row],[Candidate 8]]))),(SamplingData[[#This Row],[Total]]+SamplingData[[#This Row],[Winning Candidate]]-SamplingData[[#This Row],[Candidate 8]])/(SamplingData[[#Totals],[Winning Candidate]]-SamplingData[[#Totals],[Candidate 8]]), 0)</f>
        <v>0</v>
      </c>
      <c r="X6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9" s="99">
        <f>MAX(SamplingData[[#This Row],[Error Bound (up) - Max. possible relative overstatement - Losing Candidate]:[Error Bound (up) - Max. possible relative overstatement - Candidate 12]])</f>
        <v>9.9728399253097948E-3</v>
      </c>
      <c r="AC659" s="99">
        <f>IF(SamplingData[[#This Row],[Max Error Bound (up)]] = 0,0,SamplingData[[#This Row],[Max Error Bound (up)]]/SamplingData[[#Totals],[Max Error Bound (up)]])</f>
        <v>5.3395499327443992E-4</v>
      </c>
      <c r="AD659" s="103">
        <f>SUM($AC$5:AC659)</f>
        <v>0.56306122078016607</v>
      </c>
      <c r="AE659" s="99" t="str" cm="1">
        <f t="array" ref="AE659">IF(SamplingData[[#This Row],[up/U Selection Probability]] = 0, "Zero", TEXT(SamplingData[[#This Row],[Lower Range]], REPT("0",LEN('General Info'!$B$42))) &amp; " - " &amp; TEXT(SamplingData[[#This Row],[Upper Range]], REPT("0",LEN('General Info'!$B$42))))</f>
        <v>562527 - 563060</v>
      </c>
      <c r="AF659" s="99">
        <f>SamplingData[[#This Row],[Upper Range]]-SamplingData[[#This Row],[Span]]</f>
        <v>562527.26578689169</v>
      </c>
      <c r="AG659" s="99">
        <f>IF(ISNUMBER('General Info'!$B$42), ((SamplingData[[#This Row],[up/U Selection Probability]]) * 'General Info'!$B$44) - 1, 0)</f>
        <v>532.95499327443997</v>
      </c>
      <c r="AH659" s="99">
        <f>IF(ISNUMBER('General Info'!$B$42), (SamplingData[[#This Row],[Running (cumulative) sum]] * ('General Info'!$B$42 -'General Info'!$B$43 + 1)) + 'General Info'!$B$43 - 1, 0)</f>
        <v>563060.2207801661</v>
      </c>
      <c r="AI659" s="99" t="str">
        <f>IF(ISERROR(MATCH(SamplingData[[#This Row],[Batch by Type (p)]],SelectedPrecincts[Batch Name], 0)), "", INDEX(SelectedPrecincts[Draw], MATCH(SamplingData[[#This Row],[Batch by Type (p)]],SelectedPrecincts[Batch Name], 0)))</f>
        <v/>
      </c>
      <c r="AJ659" s="100">
        <f>IF(COUNTIF(SelectedPrecincts[Batch Name],SamplingData[[#This Row],[Batch by Type (p)]]) &lt;&gt; 0, COUNTIF(SelectedPrecincts[Batch Name],SamplingData[[#This Row],[Batch by Type (p)]]), 0)</f>
        <v>0</v>
      </c>
    </row>
    <row r="660" spans="1:36" ht="15" customHeight="1" x14ac:dyDescent="0.35">
      <c r="A660" s="97" t="s">
        <v>873</v>
      </c>
      <c r="B660" s="97">
        <v>318</v>
      </c>
      <c r="C660" s="97">
        <v>72</v>
      </c>
      <c r="D660" s="92"/>
      <c r="E660" s="92"/>
      <c r="F660" s="92"/>
      <c r="G660" s="96"/>
      <c r="H660" s="96"/>
      <c r="I660" s="92"/>
      <c r="J660" s="92"/>
      <c r="K660" s="92"/>
      <c r="L660" s="92"/>
      <c r="M660" s="92"/>
      <c r="N660" s="97">
        <v>0</v>
      </c>
      <c r="O660" s="97">
        <v>26</v>
      </c>
      <c r="P660" s="98">
        <f>SUM(SamplingData[[#This Row],[Winning Candidate]:[Under Votes]])</f>
        <v>416</v>
      </c>
      <c r="Q660" s="99">
        <f>IF(AND(SamplingData[[#This Row],[Total]]&lt;&gt; 0, NOT(ISBLANK(SamplingData[[#This Row],[Losing Candidate]]))),(SamplingData[[#This Row],[Total]]+SamplingData[[#This Row],[Winning Candidate]]-SamplingData[[#This Row],[Losing Candidate]])/(SamplingData[[#Totals],[Winning Candidate]]-SamplingData[[#Totals],[Losing Candidate]]), 0)</f>
        <v>2.8093702257681208E-2</v>
      </c>
      <c r="R660" s="99">
        <f>IF(AND(SamplingData[[#This Row],[Total]]&lt;&gt; 0, NOT(ISBLANK(SamplingData[[#This Row],[Candidate 3]]))),(SamplingData[[#This Row],[Total]]+SamplingData[[#This Row],[Winning Candidate]]-SamplingData[[#This Row],[Candidate 3]])/(SamplingData[[#Totals],[Winning Candidate]]-SamplingData[[#Totals],[Candidate 3]]), 0)</f>
        <v>0</v>
      </c>
      <c r="S660" s="99">
        <f>IF(AND(SamplingData[[#This Row],[Total]]&lt;&gt; 0, NOT(ISBLANK(SamplingData[[#This Row],[Candidate 4]]))),(SamplingData[[#This Row],[Total]]+SamplingData[[#This Row],[Winning Candidate]]-SamplingData[[#This Row],[Candidate 4]])/(SamplingData[[#Totals],[Winning Candidate]]-SamplingData[[#Totals],[Candidate 4]]), 0)</f>
        <v>0</v>
      </c>
      <c r="T660" s="99">
        <f>IF(AND(SamplingData[[#This Row],[Total]]&lt;&gt; 0, NOT(ISBLANK(SamplingData[[#This Row],[Candidate 5]]))),(SamplingData[[#This Row],[Total]]+SamplingData[[#This Row],[Winning Candidate]]-SamplingData[[#This Row],[Candidate 5]])/(SamplingData[[#Totals],[Winning Candidate]]-SamplingData[[#Totals],[Candidate 5]]), 0)</f>
        <v>0</v>
      </c>
      <c r="U660" s="99">
        <f>IF(AND(SamplingData[[#This Row],[Total]]&lt;&gt; 0, NOT(ISBLANK(SamplingData[[#This Row],[Candidate 6]]))),(SamplingData[[#This Row],[Total]]+SamplingData[[#This Row],[Losing Candidate]]-SamplingData[[#This Row],[Candidate 6]])/(SamplingData[[#Totals],[Winning Candidate]]-SamplingData[[#Totals],[Candidate 6]]), 0)</f>
        <v>0</v>
      </c>
      <c r="V660" s="99">
        <f>IF(AND(SamplingData[[#This Row],[Total]]&lt;&gt; 0, NOT(ISBLANK(SamplingData[[#This Row],[Candidate 7]]))),(SamplingData[[#This Row],[Total]]+SamplingData[[#This Row],[Winning Candidate]]-SamplingData[[#This Row],[Candidate 7]])/(SamplingData[[#Totals],[Winning Candidate]]-SamplingData[[#Totals],[Candidate 7]]), 0)</f>
        <v>0</v>
      </c>
      <c r="W660" s="99">
        <f>IF(AND(SamplingData[[#This Row],[Total]]&lt;&gt; 0, NOT(ISBLANK(SamplingData[[#This Row],[Candidate 8]]))),(SamplingData[[#This Row],[Total]]+SamplingData[[#This Row],[Winning Candidate]]-SamplingData[[#This Row],[Candidate 8]])/(SamplingData[[#Totals],[Winning Candidate]]-SamplingData[[#Totals],[Candidate 8]]), 0)</f>
        <v>0</v>
      </c>
      <c r="X6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0" s="99">
        <f>MAX(SamplingData[[#This Row],[Error Bound (up) - Max. possible relative overstatement - Losing Candidate]:[Error Bound (up) - Max. possible relative overstatement - Candidate 12]])</f>
        <v>2.8093702257681208E-2</v>
      </c>
      <c r="AC660" s="99">
        <f>IF(SamplingData[[#This Row],[Max Error Bound (up)]] = 0,0,SamplingData[[#This Row],[Max Error Bound (up)]]/SamplingData[[#Totals],[Max Error Bound (up)]])</f>
        <v>1.504162576798635E-3</v>
      </c>
      <c r="AD660" s="103">
        <f>SUM($AC$5:AC660)</f>
        <v>0.56456538335696471</v>
      </c>
      <c r="AE660" s="99" t="str" cm="1">
        <f t="array" ref="AE660">IF(SamplingData[[#This Row],[up/U Selection Probability]] = 0, "Zero", TEXT(SamplingData[[#This Row],[Lower Range]], REPT("0",LEN('General Info'!$B$42))) &amp; " - " &amp; TEXT(SamplingData[[#This Row],[Upper Range]], REPT("0",LEN('General Info'!$B$42))))</f>
        <v>563061 - 564564</v>
      </c>
      <c r="AF660" s="99">
        <f>SamplingData[[#This Row],[Upper Range]]-SamplingData[[#This Row],[Span]]</f>
        <v>563061.2207801661</v>
      </c>
      <c r="AG660" s="99">
        <f>IF(ISNUMBER('General Info'!$B$42), ((SamplingData[[#This Row],[up/U Selection Probability]]) * 'General Info'!$B$44) - 1, 0)</f>
        <v>1503.162576798635</v>
      </c>
      <c r="AH660" s="99">
        <f>IF(ISNUMBER('General Info'!$B$42), (SamplingData[[#This Row],[Running (cumulative) sum]] * ('General Info'!$B$42 -'General Info'!$B$43 + 1)) + 'General Info'!$B$43 - 1, 0)</f>
        <v>564564.38335696468</v>
      </c>
      <c r="AI660" s="99" t="str">
        <f>IF(ISERROR(MATCH(SamplingData[[#This Row],[Batch by Type (p)]],SelectedPrecincts[Batch Name], 0)), "", INDEX(SelectedPrecincts[Draw], MATCH(SamplingData[[#This Row],[Batch by Type (p)]],SelectedPrecincts[Batch Name], 0)))</f>
        <v/>
      </c>
      <c r="AJ660" s="100">
        <f>IF(COUNTIF(SelectedPrecincts[Batch Name],SamplingData[[#This Row],[Batch by Type (p)]]) &lt;&gt; 0, COUNTIF(SelectedPrecincts[Batch Name],SamplingData[[#This Row],[Batch by Type (p)]]), 0)</f>
        <v>0</v>
      </c>
    </row>
    <row r="661" spans="1:36" ht="15" customHeight="1" x14ac:dyDescent="0.35">
      <c r="A661" s="97" t="s">
        <v>874</v>
      </c>
      <c r="B661" s="97">
        <v>268</v>
      </c>
      <c r="C661" s="97">
        <v>62</v>
      </c>
      <c r="D661" s="92"/>
      <c r="E661" s="92"/>
      <c r="F661" s="92"/>
      <c r="G661" s="96"/>
      <c r="H661" s="96"/>
      <c r="I661" s="92"/>
      <c r="J661" s="92"/>
      <c r="K661" s="92"/>
      <c r="L661" s="92"/>
      <c r="M661" s="92"/>
      <c r="N661" s="97">
        <v>1</v>
      </c>
      <c r="O661" s="97">
        <v>26</v>
      </c>
      <c r="P661" s="98">
        <f>SUM(SamplingData[[#This Row],[Winning Candidate]:[Under Votes]])</f>
        <v>357</v>
      </c>
      <c r="Q661" s="99">
        <f>IF(AND(SamplingData[[#This Row],[Total]]&lt;&gt; 0, NOT(ISBLANK(SamplingData[[#This Row],[Losing Candidate]]))),(SamplingData[[#This Row],[Total]]+SamplingData[[#This Row],[Winning Candidate]]-SamplingData[[#This Row],[Losing Candidate]])/(SamplingData[[#Totals],[Winning Candidate]]-SamplingData[[#Totals],[Losing Candidate]]), 0)</f>
        <v>2.3892378204040061E-2</v>
      </c>
      <c r="R661" s="99">
        <f>IF(AND(SamplingData[[#This Row],[Total]]&lt;&gt; 0, NOT(ISBLANK(SamplingData[[#This Row],[Candidate 3]]))),(SamplingData[[#This Row],[Total]]+SamplingData[[#This Row],[Winning Candidate]]-SamplingData[[#This Row],[Candidate 3]])/(SamplingData[[#Totals],[Winning Candidate]]-SamplingData[[#Totals],[Candidate 3]]), 0)</f>
        <v>0</v>
      </c>
      <c r="S661" s="99">
        <f>IF(AND(SamplingData[[#This Row],[Total]]&lt;&gt; 0, NOT(ISBLANK(SamplingData[[#This Row],[Candidate 4]]))),(SamplingData[[#This Row],[Total]]+SamplingData[[#This Row],[Winning Candidate]]-SamplingData[[#This Row],[Candidate 4]])/(SamplingData[[#Totals],[Winning Candidate]]-SamplingData[[#Totals],[Candidate 4]]), 0)</f>
        <v>0</v>
      </c>
      <c r="T661" s="99">
        <f>IF(AND(SamplingData[[#This Row],[Total]]&lt;&gt; 0, NOT(ISBLANK(SamplingData[[#This Row],[Candidate 5]]))),(SamplingData[[#This Row],[Total]]+SamplingData[[#This Row],[Winning Candidate]]-SamplingData[[#This Row],[Candidate 5]])/(SamplingData[[#Totals],[Winning Candidate]]-SamplingData[[#Totals],[Candidate 5]]), 0)</f>
        <v>0</v>
      </c>
      <c r="U661" s="99">
        <f>IF(AND(SamplingData[[#This Row],[Total]]&lt;&gt; 0, NOT(ISBLANK(SamplingData[[#This Row],[Candidate 6]]))),(SamplingData[[#This Row],[Total]]+SamplingData[[#This Row],[Losing Candidate]]-SamplingData[[#This Row],[Candidate 6]])/(SamplingData[[#Totals],[Winning Candidate]]-SamplingData[[#Totals],[Candidate 6]]), 0)</f>
        <v>0</v>
      </c>
      <c r="V661" s="99">
        <f>IF(AND(SamplingData[[#This Row],[Total]]&lt;&gt; 0, NOT(ISBLANK(SamplingData[[#This Row],[Candidate 7]]))),(SamplingData[[#This Row],[Total]]+SamplingData[[#This Row],[Winning Candidate]]-SamplingData[[#This Row],[Candidate 7]])/(SamplingData[[#Totals],[Winning Candidate]]-SamplingData[[#Totals],[Candidate 7]]), 0)</f>
        <v>0</v>
      </c>
      <c r="W661" s="99">
        <f>IF(AND(SamplingData[[#This Row],[Total]]&lt;&gt; 0, NOT(ISBLANK(SamplingData[[#This Row],[Candidate 8]]))),(SamplingData[[#This Row],[Total]]+SamplingData[[#This Row],[Winning Candidate]]-SamplingData[[#This Row],[Candidate 8]])/(SamplingData[[#Totals],[Winning Candidate]]-SamplingData[[#Totals],[Candidate 8]]), 0)</f>
        <v>0</v>
      </c>
      <c r="X6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1" s="99">
        <f>MAX(SamplingData[[#This Row],[Error Bound (up) - Max. possible relative overstatement - Losing Candidate]:[Error Bound (up) - Max. possible relative overstatement - Candidate 12]])</f>
        <v>2.3892378204040061E-2</v>
      </c>
      <c r="AC661" s="99">
        <f>IF(SamplingData[[#This Row],[Max Error Bound (up)]] = 0,0,SamplingData[[#This Row],[Max Error Bound (up)]]/SamplingData[[#Totals],[Max Error Bound (up)]])</f>
        <v>1.2792198349511051E-3</v>
      </c>
      <c r="AD661" s="103">
        <f>SUM($AC$5:AC661)</f>
        <v>0.56584460319191576</v>
      </c>
      <c r="AE661" s="99" t="str" cm="1">
        <f t="array" ref="AE661">IF(SamplingData[[#This Row],[up/U Selection Probability]] = 0, "Zero", TEXT(SamplingData[[#This Row],[Lower Range]], REPT("0",LEN('General Info'!$B$42))) &amp; " - " &amp; TEXT(SamplingData[[#This Row],[Upper Range]], REPT("0",LEN('General Info'!$B$42))))</f>
        <v>564565 - 565844</v>
      </c>
      <c r="AF661" s="99">
        <f>SamplingData[[#This Row],[Upper Range]]-SamplingData[[#This Row],[Span]]</f>
        <v>564565.38335696468</v>
      </c>
      <c r="AG661" s="99">
        <f>IF(ISNUMBER('General Info'!$B$42), ((SamplingData[[#This Row],[up/U Selection Probability]]) * 'General Info'!$B$44) - 1, 0)</f>
        <v>1278.219834951105</v>
      </c>
      <c r="AH661" s="99">
        <f>IF(ISNUMBER('General Info'!$B$42), (SamplingData[[#This Row],[Running (cumulative) sum]] * ('General Info'!$B$42 -'General Info'!$B$43 + 1)) + 'General Info'!$B$43 - 1, 0)</f>
        <v>565843.60319191578</v>
      </c>
      <c r="AI661" s="99" t="str">
        <f>IF(ISERROR(MATCH(SamplingData[[#This Row],[Batch by Type (p)]],SelectedPrecincts[Batch Name], 0)), "", INDEX(SelectedPrecincts[Draw], MATCH(SamplingData[[#This Row],[Batch by Type (p)]],SelectedPrecincts[Batch Name], 0)))</f>
        <v/>
      </c>
      <c r="AJ661" s="100">
        <f>IF(COUNTIF(SelectedPrecincts[Batch Name],SamplingData[[#This Row],[Batch by Type (p)]]) &lt;&gt; 0, COUNTIF(SelectedPrecincts[Batch Name],SamplingData[[#This Row],[Batch by Type (p)]]), 0)</f>
        <v>0</v>
      </c>
    </row>
    <row r="662" spans="1:36" ht="15" customHeight="1" x14ac:dyDescent="0.35">
      <c r="A662" s="97" t="s">
        <v>875</v>
      </c>
      <c r="B662" s="97">
        <v>273</v>
      </c>
      <c r="C662" s="97">
        <v>58</v>
      </c>
      <c r="D662" s="92"/>
      <c r="E662" s="92"/>
      <c r="F662" s="92"/>
      <c r="G662" s="96"/>
      <c r="H662" s="96"/>
      <c r="I662" s="92"/>
      <c r="J662" s="92"/>
      <c r="K662" s="92"/>
      <c r="L662" s="92"/>
      <c r="M662" s="92"/>
      <c r="N662" s="97">
        <v>0</v>
      </c>
      <c r="O662" s="97">
        <v>25</v>
      </c>
      <c r="P662" s="98">
        <f>SUM(SamplingData[[#This Row],[Winning Candidate]:[Under Votes]])</f>
        <v>356</v>
      </c>
      <c r="Q662" s="99">
        <f>IF(AND(SamplingData[[#This Row],[Total]]&lt;&gt; 0, NOT(ISBLANK(SamplingData[[#This Row],[Losing Candidate]]))),(SamplingData[[#This Row],[Total]]+SamplingData[[#This Row],[Winning Candidate]]-SamplingData[[#This Row],[Losing Candidate]])/(SamplingData[[#Totals],[Winning Candidate]]-SamplingData[[#Totals],[Losing Candidate]]), 0)</f>
        <v>2.4231879137667629E-2</v>
      </c>
      <c r="R662" s="99">
        <f>IF(AND(SamplingData[[#This Row],[Total]]&lt;&gt; 0, NOT(ISBLANK(SamplingData[[#This Row],[Candidate 3]]))),(SamplingData[[#This Row],[Total]]+SamplingData[[#This Row],[Winning Candidate]]-SamplingData[[#This Row],[Candidate 3]])/(SamplingData[[#Totals],[Winning Candidate]]-SamplingData[[#Totals],[Candidate 3]]), 0)</f>
        <v>0</v>
      </c>
      <c r="S662" s="99">
        <f>IF(AND(SamplingData[[#This Row],[Total]]&lt;&gt; 0, NOT(ISBLANK(SamplingData[[#This Row],[Candidate 4]]))),(SamplingData[[#This Row],[Total]]+SamplingData[[#This Row],[Winning Candidate]]-SamplingData[[#This Row],[Candidate 4]])/(SamplingData[[#Totals],[Winning Candidate]]-SamplingData[[#Totals],[Candidate 4]]), 0)</f>
        <v>0</v>
      </c>
      <c r="T662" s="99">
        <f>IF(AND(SamplingData[[#This Row],[Total]]&lt;&gt; 0, NOT(ISBLANK(SamplingData[[#This Row],[Candidate 5]]))),(SamplingData[[#This Row],[Total]]+SamplingData[[#This Row],[Winning Candidate]]-SamplingData[[#This Row],[Candidate 5]])/(SamplingData[[#Totals],[Winning Candidate]]-SamplingData[[#Totals],[Candidate 5]]), 0)</f>
        <v>0</v>
      </c>
      <c r="U662" s="99">
        <f>IF(AND(SamplingData[[#This Row],[Total]]&lt;&gt; 0, NOT(ISBLANK(SamplingData[[#This Row],[Candidate 6]]))),(SamplingData[[#This Row],[Total]]+SamplingData[[#This Row],[Losing Candidate]]-SamplingData[[#This Row],[Candidate 6]])/(SamplingData[[#Totals],[Winning Candidate]]-SamplingData[[#Totals],[Candidate 6]]), 0)</f>
        <v>0</v>
      </c>
      <c r="V662" s="99">
        <f>IF(AND(SamplingData[[#This Row],[Total]]&lt;&gt; 0, NOT(ISBLANK(SamplingData[[#This Row],[Candidate 7]]))),(SamplingData[[#This Row],[Total]]+SamplingData[[#This Row],[Winning Candidate]]-SamplingData[[#This Row],[Candidate 7]])/(SamplingData[[#Totals],[Winning Candidate]]-SamplingData[[#Totals],[Candidate 7]]), 0)</f>
        <v>0</v>
      </c>
      <c r="W662" s="99">
        <f>IF(AND(SamplingData[[#This Row],[Total]]&lt;&gt; 0, NOT(ISBLANK(SamplingData[[#This Row],[Candidate 8]]))),(SamplingData[[#This Row],[Total]]+SamplingData[[#This Row],[Winning Candidate]]-SamplingData[[#This Row],[Candidate 8]])/(SamplingData[[#Totals],[Winning Candidate]]-SamplingData[[#Totals],[Candidate 8]]), 0)</f>
        <v>0</v>
      </c>
      <c r="X6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2" s="99">
        <f>MAX(SamplingData[[#This Row],[Error Bound (up) - Max. possible relative overstatement - Losing Candidate]:[Error Bound (up) - Max. possible relative overstatement - Candidate 12]])</f>
        <v>2.4231879137667629E-2</v>
      </c>
      <c r="AC662" s="99">
        <f>IF(SamplingData[[#This Row],[Max Error Bound (up)]] = 0,0,SamplingData[[#This Row],[Max Error Bound (up)]]/SamplingData[[#Totals],[Max Error Bound (up)]])</f>
        <v>1.2973970262115115E-3</v>
      </c>
      <c r="AD662" s="103">
        <f>SUM($AC$5:AC662)</f>
        <v>0.56714200021812733</v>
      </c>
      <c r="AE662" s="99" t="str" cm="1">
        <f t="array" ref="AE662">IF(SamplingData[[#This Row],[up/U Selection Probability]] = 0, "Zero", TEXT(SamplingData[[#This Row],[Lower Range]], REPT("0",LEN('General Info'!$B$42))) &amp; " - " &amp; TEXT(SamplingData[[#This Row],[Upper Range]], REPT("0",LEN('General Info'!$B$42))))</f>
        <v>565845 - 567141</v>
      </c>
      <c r="AF662" s="99">
        <f>SamplingData[[#This Row],[Upper Range]]-SamplingData[[#This Row],[Span]]</f>
        <v>565844.60319191578</v>
      </c>
      <c r="AG662" s="99">
        <f>IF(ISNUMBER('General Info'!$B$42), ((SamplingData[[#This Row],[up/U Selection Probability]]) * 'General Info'!$B$44) - 1, 0)</f>
        <v>1296.3970262115115</v>
      </c>
      <c r="AH662" s="99">
        <f>IF(ISNUMBER('General Info'!$B$42), (SamplingData[[#This Row],[Running (cumulative) sum]] * ('General Info'!$B$42 -'General Info'!$B$43 + 1)) + 'General Info'!$B$43 - 1, 0)</f>
        <v>567141.00021812727</v>
      </c>
      <c r="AI662" s="99" t="str">
        <f>IF(ISERROR(MATCH(SamplingData[[#This Row],[Batch by Type (p)]],SelectedPrecincts[Batch Name], 0)), "", INDEX(SelectedPrecincts[Draw], MATCH(SamplingData[[#This Row],[Batch by Type (p)]],SelectedPrecincts[Batch Name], 0)))</f>
        <v/>
      </c>
      <c r="AJ662" s="100">
        <f>IF(COUNTIF(SelectedPrecincts[Batch Name],SamplingData[[#This Row],[Batch by Type (p)]]) &lt;&gt; 0, COUNTIF(SelectedPrecincts[Batch Name],SamplingData[[#This Row],[Batch by Type (p)]]), 0)</f>
        <v>0</v>
      </c>
    </row>
    <row r="663" spans="1:36" ht="15" customHeight="1" x14ac:dyDescent="0.35">
      <c r="A663" s="97" t="s">
        <v>876</v>
      </c>
      <c r="B663" s="97">
        <v>294</v>
      </c>
      <c r="C663" s="97">
        <v>121</v>
      </c>
      <c r="D663" s="92"/>
      <c r="E663" s="92"/>
      <c r="F663" s="92"/>
      <c r="G663" s="96"/>
      <c r="H663" s="96"/>
      <c r="I663" s="92"/>
      <c r="J663" s="92"/>
      <c r="K663" s="92"/>
      <c r="L663" s="92"/>
      <c r="M663" s="92"/>
      <c r="N663" s="97">
        <v>0</v>
      </c>
      <c r="O663" s="97">
        <v>31</v>
      </c>
      <c r="P663" s="98">
        <f>SUM(SamplingData[[#This Row],[Winning Candidate]:[Under Votes]])</f>
        <v>446</v>
      </c>
      <c r="Q663" s="99">
        <f>IF(AND(SamplingData[[#This Row],[Total]]&lt;&gt; 0, NOT(ISBLANK(SamplingData[[#This Row],[Losing Candidate]]))),(SamplingData[[#This Row],[Total]]+SamplingData[[#This Row],[Winning Candidate]]-SamplingData[[#This Row],[Losing Candidate]])/(SamplingData[[#Totals],[Winning Candidate]]-SamplingData[[#Totals],[Losing Candidate]]), 0)</f>
        <v>2.6268884739433035E-2</v>
      </c>
      <c r="R663" s="99">
        <f>IF(AND(SamplingData[[#This Row],[Total]]&lt;&gt; 0, NOT(ISBLANK(SamplingData[[#This Row],[Candidate 3]]))),(SamplingData[[#This Row],[Total]]+SamplingData[[#This Row],[Winning Candidate]]-SamplingData[[#This Row],[Candidate 3]])/(SamplingData[[#Totals],[Winning Candidate]]-SamplingData[[#Totals],[Candidate 3]]), 0)</f>
        <v>0</v>
      </c>
      <c r="S663" s="99">
        <f>IF(AND(SamplingData[[#This Row],[Total]]&lt;&gt; 0, NOT(ISBLANK(SamplingData[[#This Row],[Candidate 4]]))),(SamplingData[[#This Row],[Total]]+SamplingData[[#This Row],[Winning Candidate]]-SamplingData[[#This Row],[Candidate 4]])/(SamplingData[[#Totals],[Winning Candidate]]-SamplingData[[#Totals],[Candidate 4]]), 0)</f>
        <v>0</v>
      </c>
      <c r="T663" s="99">
        <f>IF(AND(SamplingData[[#This Row],[Total]]&lt;&gt; 0, NOT(ISBLANK(SamplingData[[#This Row],[Candidate 5]]))),(SamplingData[[#This Row],[Total]]+SamplingData[[#This Row],[Winning Candidate]]-SamplingData[[#This Row],[Candidate 5]])/(SamplingData[[#Totals],[Winning Candidate]]-SamplingData[[#Totals],[Candidate 5]]), 0)</f>
        <v>0</v>
      </c>
      <c r="U663" s="99">
        <f>IF(AND(SamplingData[[#This Row],[Total]]&lt;&gt; 0, NOT(ISBLANK(SamplingData[[#This Row],[Candidate 6]]))),(SamplingData[[#This Row],[Total]]+SamplingData[[#This Row],[Losing Candidate]]-SamplingData[[#This Row],[Candidate 6]])/(SamplingData[[#Totals],[Winning Candidate]]-SamplingData[[#Totals],[Candidate 6]]), 0)</f>
        <v>0</v>
      </c>
      <c r="V663" s="99">
        <f>IF(AND(SamplingData[[#This Row],[Total]]&lt;&gt; 0, NOT(ISBLANK(SamplingData[[#This Row],[Candidate 7]]))),(SamplingData[[#This Row],[Total]]+SamplingData[[#This Row],[Winning Candidate]]-SamplingData[[#This Row],[Candidate 7]])/(SamplingData[[#Totals],[Winning Candidate]]-SamplingData[[#Totals],[Candidate 7]]), 0)</f>
        <v>0</v>
      </c>
      <c r="W663" s="99">
        <f>IF(AND(SamplingData[[#This Row],[Total]]&lt;&gt; 0, NOT(ISBLANK(SamplingData[[#This Row],[Candidate 8]]))),(SamplingData[[#This Row],[Total]]+SamplingData[[#This Row],[Winning Candidate]]-SamplingData[[#This Row],[Candidate 8]])/(SamplingData[[#Totals],[Winning Candidate]]-SamplingData[[#Totals],[Candidate 8]]), 0)</f>
        <v>0</v>
      </c>
      <c r="X6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3" s="99">
        <f>MAX(SamplingData[[#This Row],[Error Bound (up) - Max. possible relative overstatement - Losing Candidate]:[Error Bound (up) - Max. possible relative overstatement - Candidate 12]])</f>
        <v>2.6268884739433035E-2</v>
      </c>
      <c r="AC663" s="99">
        <f>IF(SamplingData[[#This Row],[Max Error Bound (up)]] = 0,0,SamplingData[[#This Row],[Max Error Bound (up)]]/SamplingData[[#Totals],[Max Error Bound (up)]])</f>
        <v>1.4064601737739503E-3</v>
      </c>
      <c r="AD663" s="103">
        <f>SUM($AC$5:AC663)</f>
        <v>0.56854846039190132</v>
      </c>
      <c r="AE663" s="99" t="str" cm="1">
        <f t="array" ref="AE663">IF(SamplingData[[#This Row],[up/U Selection Probability]] = 0, "Zero", TEXT(SamplingData[[#This Row],[Lower Range]], REPT("0",LEN('General Info'!$B$42))) &amp; " - " &amp; TEXT(SamplingData[[#This Row],[Upper Range]], REPT("0",LEN('General Info'!$B$42))))</f>
        <v>567142 - 568547</v>
      </c>
      <c r="AF663" s="99">
        <f>SamplingData[[#This Row],[Upper Range]]-SamplingData[[#This Row],[Span]]</f>
        <v>567142.00021812739</v>
      </c>
      <c r="AG663" s="99">
        <f>IF(ISNUMBER('General Info'!$B$42), ((SamplingData[[#This Row],[up/U Selection Probability]]) * 'General Info'!$B$44) - 1, 0)</f>
        <v>1405.4601737739504</v>
      </c>
      <c r="AH663" s="99">
        <f>IF(ISNUMBER('General Info'!$B$42), (SamplingData[[#This Row],[Running (cumulative) sum]] * ('General Info'!$B$42 -'General Info'!$B$43 + 1)) + 'General Info'!$B$43 - 1, 0)</f>
        <v>568547.46039190132</v>
      </c>
      <c r="AI663" s="99" t="str">
        <f>IF(ISERROR(MATCH(SamplingData[[#This Row],[Batch by Type (p)]],SelectedPrecincts[Batch Name], 0)), "", INDEX(SelectedPrecincts[Draw], MATCH(SamplingData[[#This Row],[Batch by Type (p)]],SelectedPrecincts[Batch Name], 0)))</f>
        <v/>
      </c>
      <c r="AJ663" s="100">
        <f>IF(COUNTIF(SelectedPrecincts[Batch Name],SamplingData[[#This Row],[Batch by Type (p)]]) &lt;&gt; 0, COUNTIF(SelectedPrecincts[Batch Name],SamplingData[[#This Row],[Batch by Type (p)]]), 0)</f>
        <v>0</v>
      </c>
    </row>
    <row r="664" spans="1:36" ht="15" customHeight="1" x14ac:dyDescent="0.35">
      <c r="A664" s="97" t="s">
        <v>877</v>
      </c>
      <c r="B664" s="97">
        <v>265</v>
      </c>
      <c r="C664" s="97">
        <v>91</v>
      </c>
      <c r="D664" s="92"/>
      <c r="E664" s="92"/>
      <c r="F664" s="92"/>
      <c r="G664" s="96"/>
      <c r="H664" s="96"/>
      <c r="I664" s="92"/>
      <c r="J664" s="92"/>
      <c r="K664" s="92"/>
      <c r="L664" s="92"/>
      <c r="M664" s="92"/>
      <c r="N664" s="97">
        <v>0</v>
      </c>
      <c r="O664" s="97">
        <v>32</v>
      </c>
      <c r="P664" s="98">
        <f>SUM(SamplingData[[#This Row],[Winning Candidate]:[Under Votes]])</f>
        <v>388</v>
      </c>
      <c r="Q664" s="99">
        <f>IF(AND(SamplingData[[#This Row],[Total]]&lt;&gt; 0, NOT(ISBLANK(SamplingData[[#This Row],[Losing Candidate]]))),(SamplingData[[#This Row],[Total]]+SamplingData[[#This Row],[Winning Candidate]]-SamplingData[[#This Row],[Losing Candidate]])/(SamplingData[[#Totals],[Winning Candidate]]-SamplingData[[#Totals],[Losing Candidate]]), 0)</f>
        <v>2.3849940587336617E-2</v>
      </c>
      <c r="R664" s="99">
        <f>IF(AND(SamplingData[[#This Row],[Total]]&lt;&gt; 0, NOT(ISBLANK(SamplingData[[#This Row],[Candidate 3]]))),(SamplingData[[#This Row],[Total]]+SamplingData[[#This Row],[Winning Candidate]]-SamplingData[[#This Row],[Candidate 3]])/(SamplingData[[#Totals],[Winning Candidate]]-SamplingData[[#Totals],[Candidate 3]]), 0)</f>
        <v>0</v>
      </c>
      <c r="S664" s="99">
        <f>IF(AND(SamplingData[[#This Row],[Total]]&lt;&gt; 0, NOT(ISBLANK(SamplingData[[#This Row],[Candidate 4]]))),(SamplingData[[#This Row],[Total]]+SamplingData[[#This Row],[Winning Candidate]]-SamplingData[[#This Row],[Candidate 4]])/(SamplingData[[#Totals],[Winning Candidate]]-SamplingData[[#Totals],[Candidate 4]]), 0)</f>
        <v>0</v>
      </c>
      <c r="T664" s="99">
        <f>IF(AND(SamplingData[[#This Row],[Total]]&lt;&gt; 0, NOT(ISBLANK(SamplingData[[#This Row],[Candidate 5]]))),(SamplingData[[#This Row],[Total]]+SamplingData[[#This Row],[Winning Candidate]]-SamplingData[[#This Row],[Candidate 5]])/(SamplingData[[#Totals],[Winning Candidate]]-SamplingData[[#Totals],[Candidate 5]]), 0)</f>
        <v>0</v>
      </c>
      <c r="U664" s="99">
        <f>IF(AND(SamplingData[[#This Row],[Total]]&lt;&gt; 0, NOT(ISBLANK(SamplingData[[#This Row],[Candidate 6]]))),(SamplingData[[#This Row],[Total]]+SamplingData[[#This Row],[Losing Candidate]]-SamplingData[[#This Row],[Candidate 6]])/(SamplingData[[#Totals],[Winning Candidate]]-SamplingData[[#Totals],[Candidate 6]]), 0)</f>
        <v>0</v>
      </c>
      <c r="V664" s="99">
        <f>IF(AND(SamplingData[[#This Row],[Total]]&lt;&gt; 0, NOT(ISBLANK(SamplingData[[#This Row],[Candidate 7]]))),(SamplingData[[#This Row],[Total]]+SamplingData[[#This Row],[Winning Candidate]]-SamplingData[[#This Row],[Candidate 7]])/(SamplingData[[#Totals],[Winning Candidate]]-SamplingData[[#Totals],[Candidate 7]]), 0)</f>
        <v>0</v>
      </c>
      <c r="W664" s="99">
        <f>IF(AND(SamplingData[[#This Row],[Total]]&lt;&gt; 0, NOT(ISBLANK(SamplingData[[#This Row],[Candidate 8]]))),(SamplingData[[#This Row],[Total]]+SamplingData[[#This Row],[Winning Candidate]]-SamplingData[[#This Row],[Candidate 8]])/(SamplingData[[#Totals],[Winning Candidate]]-SamplingData[[#Totals],[Candidate 8]]), 0)</f>
        <v>0</v>
      </c>
      <c r="X6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4" s="99">
        <f>MAX(SamplingData[[#This Row],[Error Bound (up) - Max. possible relative overstatement - Losing Candidate]:[Error Bound (up) - Max. possible relative overstatement - Candidate 12]])</f>
        <v>2.3849940587336617E-2</v>
      </c>
      <c r="AC664" s="99">
        <f>IF(SamplingData[[#This Row],[Max Error Bound (up)]] = 0,0,SamplingData[[#This Row],[Max Error Bound (up)]]/SamplingData[[#Totals],[Max Error Bound (up)]])</f>
        <v>1.2769476860435543E-3</v>
      </c>
      <c r="AD664" s="103">
        <f>SUM($AC$5:AC664)</f>
        <v>0.56982540807794491</v>
      </c>
      <c r="AE664" s="99" t="str" cm="1">
        <f t="array" ref="AE664">IF(SamplingData[[#This Row],[up/U Selection Probability]] = 0, "Zero", TEXT(SamplingData[[#This Row],[Lower Range]], REPT("0",LEN('General Info'!$B$42))) &amp; " - " &amp; TEXT(SamplingData[[#This Row],[Upper Range]], REPT("0",LEN('General Info'!$B$42))))</f>
        <v>568548 - 569824</v>
      </c>
      <c r="AF664" s="99">
        <f>SamplingData[[#This Row],[Upper Range]]-SamplingData[[#This Row],[Span]]</f>
        <v>568548.46039190132</v>
      </c>
      <c r="AG664" s="99">
        <f>IF(ISNUMBER('General Info'!$B$42), ((SamplingData[[#This Row],[up/U Selection Probability]]) * 'General Info'!$B$44) - 1, 0)</f>
        <v>1275.9476860435543</v>
      </c>
      <c r="AH664" s="99">
        <f>IF(ISNUMBER('General Info'!$B$42), (SamplingData[[#This Row],[Running (cumulative) sum]] * ('General Info'!$B$42 -'General Info'!$B$43 + 1)) + 'General Info'!$B$43 - 1, 0)</f>
        <v>569824.40807794489</v>
      </c>
      <c r="AI664" s="99" t="str">
        <f>IF(ISERROR(MATCH(SamplingData[[#This Row],[Batch by Type (p)]],SelectedPrecincts[Batch Name], 0)), "", INDEX(SelectedPrecincts[Draw], MATCH(SamplingData[[#This Row],[Batch by Type (p)]],SelectedPrecincts[Batch Name], 0)))</f>
        <v/>
      </c>
      <c r="AJ664" s="100">
        <f>IF(COUNTIF(SelectedPrecincts[Batch Name],SamplingData[[#This Row],[Batch by Type (p)]]) &lt;&gt; 0, COUNTIF(SelectedPrecincts[Batch Name],SamplingData[[#This Row],[Batch by Type (p)]]), 0)</f>
        <v>0</v>
      </c>
    </row>
    <row r="665" spans="1:36" ht="15" customHeight="1" x14ac:dyDescent="0.35">
      <c r="A665" s="97" t="s">
        <v>878</v>
      </c>
      <c r="B665" s="97">
        <v>262</v>
      </c>
      <c r="C665" s="97">
        <v>89</v>
      </c>
      <c r="D665" s="92"/>
      <c r="E665" s="92"/>
      <c r="F665" s="92"/>
      <c r="G665" s="96"/>
      <c r="H665" s="96"/>
      <c r="I665" s="92"/>
      <c r="J665" s="92"/>
      <c r="K665" s="92"/>
      <c r="L665" s="92"/>
      <c r="M665" s="92"/>
      <c r="N665" s="97">
        <v>0</v>
      </c>
      <c r="O665" s="97">
        <v>26</v>
      </c>
      <c r="P665" s="98">
        <f>SUM(SamplingData[[#This Row],[Winning Candidate]:[Under Votes]])</f>
        <v>377</v>
      </c>
      <c r="Q665" s="99">
        <f>IF(AND(SamplingData[[#This Row],[Total]]&lt;&gt; 0, NOT(ISBLANK(SamplingData[[#This Row],[Losing Candidate]]))),(SamplingData[[#This Row],[Total]]+SamplingData[[#This Row],[Winning Candidate]]-SamplingData[[#This Row],[Losing Candidate]])/(SamplingData[[#Totals],[Winning Candidate]]-SamplingData[[#Totals],[Losing Candidate]]), 0)</f>
        <v>2.3340689186895264E-2</v>
      </c>
      <c r="R665" s="99">
        <f>IF(AND(SamplingData[[#This Row],[Total]]&lt;&gt; 0, NOT(ISBLANK(SamplingData[[#This Row],[Candidate 3]]))),(SamplingData[[#This Row],[Total]]+SamplingData[[#This Row],[Winning Candidate]]-SamplingData[[#This Row],[Candidate 3]])/(SamplingData[[#Totals],[Winning Candidate]]-SamplingData[[#Totals],[Candidate 3]]), 0)</f>
        <v>0</v>
      </c>
      <c r="S665" s="99">
        <f>IF(AND(SamplingData[[#This Row],[Total]]&lt;&gt; 0, NOT(ISBLANK(SamplingData[[#This Row],[Candidate 4]]))),(SamplingData[[#This Row],[Total]]+SamplingData[[#This Row],[Winning Candidate]]-SamplingData[[#This Row],[Candidate 4]])/(SamplingData[[#Totals],[Winning Candidate]]-SamplingData[[#Totals],[Candidate 4]]), 0)</f>
        <v>0</v>
      </c>
      <c r="T665" s="99">
        <f>IF(AND(SamplingData[[#This Row],[Total]]&lt;&gt; 0, NOT(ISBLANK(SamplingData[[#This Row],[Candidate 5]]))),(SamplingData[[#This Row],[Total]]+SamplingData[[#This Row],[Winning Candidate]]-SamplingData[[#This Row],[Candidate 5]])/(SamplingData[[#Totals],[Winning Candidate]]-SamplingData[[#Totals],[Candidate 5]]), 0)</f>
        <v>0</v>
      </c>
      <c r="U665" s="99">
        <f>IF(AND(SamplingData[[#This Row],[Total]]&lt;&gt; 0, NOT(ISBLANK(SamplingData[[#This Row],[Candidate 6]]))),(SamplingData[[#This Row],[Total]]+SamplingData[[#This Row],[Losing Candidate]]-SamplingData[[#This Row],[Candidate 6]])/(SamplingData[[#Totals],[Winning Candidate]]-SamplingData[[#Totals],[Candidate 6]]), 0)</f>
        <v>0</v>
      </c>
      <c r="V665" s="99">
        <f>IF(AND(SamplingData[[#This Row],[Total]]&lt;&gt; 0, NOT(ISBLANK(SamplingData[[#This Row],[Candidate 7]]))),(SamplingData[[#This Row],[Total]]+SamplingData[[#This Row],[Winning Candidate]]-SamplingData[[#This Row],[Candidate 7]])/(SamplingData[[#Totals],[Winning Candidate]]-SamplingData[[#Totals],[Candidate 7]]), 0)</f>
        <v>0</v>
      </c>
      <c r="W665" s="99">
        <f>IF(AND(SamplingData[[#This Row],[Total]]&lt;&gt; 0, NOT(ISBLANK(SamplingData[[#This Row],[Candidate 8]]))),(SamplingData[[#This Row],[Total]]+SamplingData[[#This Row],[Winning Candidate]]-SamplingData[[#This Row],[Candidate 8]])/(SamplingData[[#Totals],[Winning Candidate]]-SamplingData[[#Totals],[Candidate 8]]), 0)</f>
        <v>0</v>
      </c>
      <c r="X6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5" s="99">
        <f>MAX(SamplingData[[#This Row],[Error Bound (up) - Max. possible relative overstatement - Losing Candidate]:[Error Bound (up) - Max. possible relative overstatement - Candidate 12]])</f>
        <v>2.3340689186895264E-2</v>
      </c>
      <c r="AC665" s="99">
        <f>IF(SamplingData[[#This Row],[Max Error Bound (up)]] = 0,0,SamplingData[[#This Row],[Max Error Bound (up)]]/SamplingData[[#Totals],[Max Error Bound (up)]])</f>
        <v>1.2496818991529445E-3</v>
      </c>
      <c r="AD665" s="103">
        <f>SUM($AC$5:AC665)</f>
        <v>0.57107508997709788</v>
      </c>
      <c r="AE665" s="99" t="str" cm="1">
        <f t="array" ref="AE665">IF(SamplingData[[#This Row],[up/U Selection Probability]] = 0, "Zero", TEXT(SamplingData[[#This Row],[Lower Range]], REPT("0",LEN('General Info'!$B$42))) &amp; " - " &amp; TEXT(SamplingData[[#This Row],[Upper Range]], REPT("0",LEN('General Info'!$B$42))))</f>
        <v>569825 - 571074</v>
      </c>
      <c r="AF665" s="99">
        <f>SamplingData[[#This Row],[Upper Range]]-SamplingData[[#This Row],[Span]]</f>
        <v>569825.408077945</v>
      </c>
      <c r="AG665" s="99">
        <f>IF(ISNUMBER('General Info'!$B$42), ((SamplingData[[#This Row],[up/U Selection Probability]]) * 'General Info'!$B$44) - 1, 0)</f>
        <v>1248.6818991529444</v>
      </c>
      <c r="AH665" s="99">
        <f>IF(ISNUMBER('General Info'!$B$42), (SamplingData[[#This Row],[Running (cumulative) sum]] * ('General Info'!$B$42 -'General Info'!$B$43 + 1)) + 'General Info'!$B$43 - 1, 0)</f>
        <v>571074.08997709793</v>
      </c>
      <c r="AI665" s="99" t="str">
        <f>IF(ISERROR(MATCH(SamplingData[[#This Row],[Batch by Type (p)]],SelectedPrecincts[Batch Name], 0)), "", INDEX(SelectedPrecincts[Draw], MATCH(SamplingData[[#This Row],[Batch by Type (p)]],SelectedPrecincts[Batch Name], 0)))</f>
        <v/>
      </c>
      <c r="AJ665" s="100">
        <f>IF(COUNTIF(SelectedPrecincts[Batch Name],SamplingData[[#This Row],[Batch by Type (p)]]) &lt;&gt; 0, COUNTIF(SelectedPrecincts[Batch Name],SamplingData[[#This Row],[Batch by Type (p)]]), 0)</f>
        <v>0</v>
      </c>
    </row>
    <row r="666" spans="1:36" ht="15" customHeight="1" x14ac:dyDescent="0.35">
      <c r="A666" s="97" t="s">
        <v>879</v>
      </c>
      <c r="B666" s="97">
        <v>431</v>
      </c>
      <c r="C666" s="97">
        <v>55</v>
      </c>
      <c r="D666" s="92"/>
      <c r="E666" s="92"/>
      <c r="F666" s="92"/>
      <c r="G666" s="96"/>
      <c r="H666" s="96"/>
      <c r="I666" s="92"/>
      <c r="J666" s="92"/>
      <c r="K666" s="92"/>
      <c r="L666" s="92"/>
      <c r="M666" s="92"/>
      <c r="N666" s="97">
        <v>0</v>
      </c>
      <c r="O666" s="97">
        <v>37</v>
      </c>
      <c r="P666" s="98">
        <f>SUM(SamplingData[[#This Row],[Winning Candidate]:[Under Votes]])</f>
        <v>523</v>
      </c>
      <c r="Q666" s="99">
        <f>IF(AND(SamplingData[[#This Row],[Total]]&lt;&gt; 0, NOT(ISBLANK(SamplingData[[#This Row],[Losing Candidate]]))),(SamplingData[[#This Row],[Total]]+SamplingData[[#This Row],[Winning Candidate]]-SamplingData[[#This Row],[Losing Candidate]])/(SamplingData[[#Totals],[Winning Candidate]]-SamplingData[[#Totals],[Losing Candidate]]), 0)</f>
        <v>3.8151417416397895E-2</v>
      </c>
      <c r="R666" s="99">
        <f>IF(AND(SamplingData[[#This Row],[Total]]&lt;&gt; 0, NOT(ISBLANK(SamplingData[[#This Row],[Candidate 3]]))),(SamplingData[[#This Row],[Total]]+SamplingData[[#This Row],[Winning Candidate]]-SamplingData[[#This Row],[Candidate 3]])/(SamplingData[[#Totals],[Winning Candidate]]-SamplingData[[#Totals],[Candidate 3]]), 0)</f>
        <v>0</v>
      </c>
      <c r="S666" s="99">
        <f>IF(AND(SamplingData[[#This Row],[Total]]&lt;&gt; 0, NOT(ISBLANK(SamplingData[[#This Row],[Candidate 4]]))),(SamplingData[[#This Row],[Total]]+SamplingData[[#This Row],[Winning Candidate]]-SamplingData[[#This Row],[Candidate 4]])/(SamplingData[[#Totals],[Winning Candidate]]-SamplingData[[#Totals],[Candidate 4]]), 0)</f>
        <v>0</v>
      </c>
      <c r="T666" s="99">
        <f>IF(AND(SamplingData[[#This Row],[Total]]&lt;&gt; 0, NOT(ISBLANK(SamplingData[[#This Row],[Candidate 5]]))),(SamplingData[[#This Row],[Total]]+SamplingData[[#This Row],[Winning Candidate]]-SamplingData[[#This Row],[Candidate 5]])/(SamplingData[[#Totals],[Winning Candidate]]-SamplingData[[#Totals],[Candidate 5]]), 0)</f>
        <v>0</v>
      </c>
      <c r="U666" s="99">
        <f>IF(AND(SamplingData[[#This Row],[Total]]&lt;&gt; 0, NOT(ISBLANK(SamplingData[[#This Row],[Candidate 6]]))),(SamplingData[[#This Row],[Total]]+SamplingData[[#This Row],[Losing Candidate]]-SamplingData[[#This Row],[Candidate 6]])/(SamplingData[[#Totals],[Winning Candidate]]-SamplingData[[#Totals],[Candidate 6]]), 0)</f>
        <v>0</v>
      </c>
      <c r="V666" s="99">
        <f>IF(AND(SamplingData[[#This Row],[Total]]&lt;&gt; 0, NOT(ISBLANK(SamplingData[[#This Row],[Candidate 7]]))),(SamplingData[[#This Row],[Total]]+SamplingData[[#This Row],[Winning Candidate]]-SamplingData[[#This Row],[Candidate 7]])/(SamplingData[[#Totals],[Winning Candidate]]-SamplingData[[#Totals],[Candidate 7]]), 0)</f>
        <v>0</v>
      </c>
      <c r="W666" s="99">
        <f>IF(AND(SamplingData[[#This Row],[Total]]&lt;&gt; 0, NOT(ISBLANK(SamplingData[[#This Row],[Candidate 8]]))),(SamplingData[[#This Row],[Total]]+SamplingData[[#This Row],[Winning Candidate]]-SamplingData[[#This Row],[Candidate 8]])/(SamplingData[[#Totals],[Winning Candidate]]-SamplingData[[#Totals],[Candidate 8]]), 0)</f>
        <v>0</v>
      </c>
      <c r="X6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6" s="99">
        <f>MAX(SamplingData[[#This Row],[Error Bound (up) - Max. possible relative overstatement - Losing Candidate]:[Error Bound (up) - Max. possible relative overstatement - Candidate 12]])</f>
        <v>3.8151417416397895E-2</v>
      </c>
      <c r="AC666" s="99">
        <f>IF(SamplingData[[#This Row],[Max Error Bound (up)]] = 0,0,SamplingData[[#This Row],[Max Error Bound (up)]]/SamplingData[[#Totals],[Max Error Bound (up)]])</f>
        <v>2.0426618678881766E-3</v>
      </c>
      <c r="AD666" s="103">
        <f>SUM($AC$5:AC666)</f>
        <v>0.57311775184498603</v>
      </c>
      <c r="AE666" s="99" t="str" cm="1">
        <f t="array" ref="AE666">IF(SamplingData[[#This Row],[up/U Selection Probability]] = 0, "Zero", TEXT(SamplingData[[#This Row],[Lower Range]], REPT("0",LEN('General Info'!$B$42))) &amp; " - " &amp; TEXT(SamplingData[[#This Row],[Upper Range]], REPT("0",LEN('General Info'!$B$42))))</f>
        <v>571075 - 573117</v>
      </c>
      <c r="AF666" s="99">
        <f>SamplingData[[#This Row],[Upper Range]]-SamplingData[[#This Row],[Span]]</f>
        <v>571075.08997709781</v>
      </c>
      <c r="AG666" s="99">
        <f>IF(ISNUMBER('General Info'!$B$42), ((SamplingData[[#This Row],[up/U Selection Probability]]) * 'General Info'!$B$44) - 1, 0)</f>
        <v>2041.6618678881766</v>
      </c>
      <c r="AH666" s="99">
        <f>IF(ISNUMBER('General Info'!$B$42), (SamplingData[[#This Row],[Running (cumulative) sum]] * ('General Info'!$B$42 -'General Info'!$B$43 + 1)) + 'General Info'!$B$43 - 1, 0)</f>
        <v>573116.75184498599</v>
      </c>
      <c r="AI666" s="99" t="str">
        <f>IF(ISERROR(MATCH(SamplingData[[#This Row],[Batch by Type (p)]],SelectedPrecincts[Batch Name], 0)), "", INDEX(SelectedPrecincts[Draw], MATCH(SamplingData[[#This Row],[Batch by Type (p)]],SelectedPrecincts[Batch Name], 0)))</f>
        <v/>
      </c>
      <c r="AJ666" s="100">
        <f>IF(COUNTIF(SelectedPrecincts[Batch Name],SamplingData[[#This Row],[Batch by Type (p)]]) &lt;&gt; 0, COUNTIF(SelectedPrecincts[Batch Name],SamplingData[[#This Row],[Batch by Type (p)]]), 0)</f>
        <v>0</v>
      </c>
    </row>
    <row r="667" spans="1:36" ht="15" customHeight="1" x14ac:dyDescent="0.35">
      <c r="A667" s="97" t="s">
        <v>880</v>
      </c>
      <c r="B667" s="97">
        <v>347</v>
      </c>
      <c r="C667" s="97">
        <v>71</v>
      </c>
      <c r="D667" s="92"/>
      <c r="E667" s="92"/>
      <c r="F667" s="92"/>
      <c r="G667" s="96"/>
      <c r="H667" s="96"/>
      <c r="I667" s="92"/>
      <c r="J667" s="92"/>
      <c r="K667" s="92"/>
      <c r="L667" s="92"/>
      <c r="M667" s="92"/>
      <c r="N667" s="97">
        <v>1</v>
      </c>
      <c r="O667" s="97">
        <v>24</v>
      </c>
      <c r="P667" s="98">
        <f>SUM(SamplingData[[#This Row],[Winning Candidate]:[Under Votes]])</f>
        <v>443</v>
      </c>
      <c r="Q667" s="99">
        <f>IF(AND(SamplingData[[#This Row],[Total]]&lt;&gt; 0, NOT(ISBLANK(SamplingData[[#This Row],[Losing Candidate]]))),(SamplingData[[#This Row],[Total]]+SamplingData[[#This Row],[Winning Candidate]]-SamplingData[[#This Row],[Losing Candidate]])/(SamplingData[[#Totals],[Winning Candidate]]-SamplingData[[#Totals],[Losing Candidate]]), 0)</f>
        <v>3.0512646409777626E-2</v>
      </c>
      <c r="R667" s="99">
        <f>IF(AND(SamplingData[[#This Row],[Total]]&lt;&gt; 0, NOT(ISBLANK(SamplingData[[#This Row],[Candidate 3]]))),(SamplingData[[#This Row],[Total]]+SamplingData[[#This Row],[Winning Candidate]]-SamplingData[[#This Row],[Candidate 3]])/(SamplingData[[#Totals],[Winning Candidate]]-SamplingData[[#Totals],[Candidate 3]]), 0)</f>
        <v>0</v>
      </c>
      <c r="S667" s="99">
        <f>IF(AND(SamplingData[[#This Row],[Total]]&lt;&gt; 0, NOT(ISBLANK(SamplingData[[#This Row],[Candidate 4]]))),(SamplingData[[#This Row],[Total]]+SamplingData[[#This Row],[Winning Candidate]]-SamplingData[[#This Row],[Candidate 4]])/(SamplingData[[#Totals],[Winning Candidate]]-SamplingData[[#Totals],[Candidate 4]]), 0)</f>
        <v>0</v>
      </c>
      <c r="T667" s="99">
        <f>IF(AND(SamplingData[[#This Row],[Total]]&lt;&gt; 0, NOT(ISBLANK(SamplingData[[#This Row],[Candidate 5]]))),(SamplingData[[#This Row],[Total]]+SamplingData[[#This Row],[Winning Candidate]]-SamplingData[[#This Row],[Candidate 5]])/(SamplingData[[#Totals],[Winning Candidate]]-SamplingData[[#Totals],[Candidate 5]]), 0)</f>
        <v>0</v>
      </c>
      <c r="U667" s="99">
        <f>IF(AND(SamplingData[[#This Row],[Total]]&lt;&gt; 0, NOT(ISBLANK(SamplingData[[#This Row],[Candidate 6]]))),(SamplingData[[#This Row],[Total]]+SamplingData[[#This Row],[Losing Candidate]]-SamplingData[[#This Row],[Candidate 6]])/(SamplingData[[#Totals],[Winning Candidate]]-SamplingData[[#Totals],[Candidate 6]]), 0)</f>
        <v>0</v>
      </c>
      <c r="V667" s="99">
        <f>IF(AND(SamplingData[[#This Row],[Total]]&lt;&gt; 0, NOT(ISBLANK(SamplingData[[#This Row],[Candidate 7]]))),(SamplingData[[#This Row],[Total]]+SamplingData[[#This Row],[Winning Candidate]]-SamplingData[[#This Row],[Candidate 7]])/(SamplingData[[#Totals],[Winning Candidate]]-SamplingData[[#Totals],[Candidate 7]]), 0)</f>
        <v>0</v>
      </c>
      <c r="W667" s="99">
        <f>IF(AND(SamplingData[[#This Row],[Total]]&lt;&gt; 0, NOT(ISBLANK(SamplingData[[#This Row],[Candidate 8]]))),(SamplingData[[#This Row],[Total]]+SamplingData[[#This Row],[Winning Candidate]]-SamplingData[[#This Row],[Candidate 8]])/(SamplingData[[#Totals],[Winning Candidate]]-SamplingData[[#Totals],[Candidate 8]]), 0)</f>
        <v>0</v>
      </c>
      <c r="X6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7" s="99">
        <f>MAX(SamplingData[[#This Row],[Error Bound (up) - Max. possible relative overstatement - Losing Candidate]:[Error Bound (up) - Max. possible relative overstatement - Candidate 12]])</f>
        <v>3.0512646409777626E-2</v>
      </c>
      <c r="AC667" s="99">
        <f>IF(SamplingData[[#This Row],[Max Error Bound (up)]] = 0,0,SamplingData[[#This Row],[Max Error Bound (up)]]/SamplingData[[#Totals],[Max Error Bound (up)]])</f>
        <v>1.633675064529031E-3</v>
      </c>
      <c r="AD667" s="103">
        <f>SUM($AC$5:AC667)</f>
        <v>0.57475142690951508</v>
      </c>
      <c r="AE667" s="99" t="str" cm="1">
        <f t="array" ref="AE667">IF(SamplingData[[#This Row],[up/U Selection Probability]] = 0, "Zero", TEXT(SamplingData[[#This Row],[Lower Range]], REPT("0",LEN('General Info'!$B$42))) &amp; " - " &amp; TEXT(SamplingData[[#This Row],[Upper Range]], REPT("0",LEN('General Info'!$B$42))))</f>
        <v>573118 - 574750</v>
      </c>
      <c r="AF667" s="99">
        <f>SamplingData[[#This Row],[Upper Range]]-SamplingData[[#This Row],[Span]]</f>
        <v>573117.75184498599</v>
      </c>
      <c r="AG667" s="99">
        <f>IF(ISNUMBER('General Info'!$B$42), ((SamplingData[[#This Row],[up/U Selection Probability]]) * 'General Info'!$B$44) - 1, 0)</f>
        <v>1632.675064529031</v>
      </c>
      <c r="AH667" s="99">
        <f>IF(ISNUMBER('General Info'!$B$42), (SamplingData[[#This Row],[Running (cumulative) sum]] * ('General Info'!$B$42 -'General Info'!$B$43 + 1)) + 'General Info'!$B$43 - 1, 0)</f>
        <v>574750.42690951505</v>
      </c>
      <c r="AI667" s="99" t="str">
        <f>IF(ISERROR(MATCH(SamplingData[[#This Row],[Batch by Type (p)]],SelectedPrecincts[Batch Name], 0)), "", INDEX(SelectedPrecincts[Draw], MATCH(SamplingData[[#This Row],[Batch by Type (p)]],SelectedPrecincts[Batch Name], 0)))</f>
        <v/>
      </c>
      <c r="AJ667" s="100">
        <f>IF(COUNTIF(SelectedPrecincts[Batch Name],SamplingData[[#This Row],[Batch by Type (p)]]) &lt;&gt; 0, COUNTIF(SelectedPrecincts[Batch Name],SamplingData[[#This Row],[Batch by Type (p)]]), 0)</f>
        <v>0</v>
      </c>
    </row>
    <row r="668" spans="1:36" ht="15" customHeight="1" x14ac:dyDescent="0.35">
      <c r="A668" s="97" t="s">
        <v>881</v>
      </c>
      <c r="B668" s="97">
        <v>211</v>
      </c>
      <c r="C668" s="97">
        <v>31</v>
      </c>
      <c r="D668" s="92"/>
      <c r="E668" s="92"/>
      <c r="F668" s="92"/>
      <c r="G668" s="96"/>
      <c r="H668" s="96"/>
      <c r="I668" s="92"/>
      <c r="J668" s="92"/>
      <c r="K668" s="92"/>
      <c r="L668" s="92"/>
      <c r="M668" s="92"/>
      <c r="N668" s="97">
        <v>0</v>
      </c>
      <c r="O668" s="97">
        <v>23</v>
      </c>
      <c r="P668" s="98">
        <f>SUM(SamplingData[[#This Row],[Winning Candidate]:[Under Votes]])</f>
        <v>265</v>
      </c>
      <c r="Q668" s="99">
        <f>IF(AND(SamplingData[[#This Row],[Total]]&lt;&gt; 0, NOT(ISBLANK(SamplingData[[#This Row],[Losing Candidate]]))),(SamplingData[[#This Row],[Total]]+SamplingData[[#This Row],[Winning Candidate]]-SamplingData[[#This Row],[Losing Candidate]])/(SamplingData[[#Totals],[Winning Candidate]]-SamplingData[[#Totals],[Losing Candidate]]), 0)</f>
        <v>1.888473943303344E-2</v>
      </c>
      <c r="R668" s="99">
        <f>IF(AND(SamplingData[[#This Row],[Total]]&lt;&gt; 0, NOT(ISBLANK(SamplingData[[#This Row],[Candidate 3]]))),(SamplingData[[#This Row],[Total]]+SamplingData[[#This Row],[Winning Candidate]]-SamplingData[[#This Row],[Candidate 3]])/(SamplingData[[#Totals],[Winning Candidate]]-SamplingData[[#Totals],[Candidate 3]]), 0)</f>
        <v>0</v>
      </c>
      <c r="S668" s="99">
        <f>IF(AND(SamplingData[[#This Row],[Total]]&lt;&gt; 0, NOT(ISBLANK(SamplingData[[#This Row],[Candidate 4]]))),(SamplingData[[#This Row],[Total]]+SamplingData[[#This Row],[Winning Candidate]]-SamplingData[[#This Row],[Candidate 4]])/(SamplingData[[#Totals],[Winning Candidate]]-SamplingData[[#Totals],[Candidate 4]]), 0)</f>
        <v>0</v>
      </c>
      <c r="T668" s="99">
        <f>IF(AND(SamplingData[[#This Row],[Total]]&lt;&gt; 0, NOT(ISBLANK(SamplingData[[#This Row],[Candidate 5]]))),(SamplingData[[#This Row],[Total]]+SamplingData[[#This Row],[Winning Candidate]]-SamplingData[[#This Row],[Candidate 5]])/(SamplingData[[#Totals],[Winning Candidate]]-SamplingData[[#Totals],[Candidate 5]]), 0)</f>
        <v>0</v>
      </c>
      <c r="U668" s="99">
        <f>IF(AND(SamplingData[[#This Row],[Total]]&lt;&gt; 0, NOT(ISBLANK(SamplingData[[#This Row],[Candidate 6]]))),(SamplingData[[#This Row],[Total]]+SamplingData[[#This Row],[Losing Candidate]]-SamplingData[[#This Row],[Candidate 6]])/(SamplingData[[#Totals],[Winning Candidate]]-SamplingData[[#Totals],[Candidate 6]]), 0)</f>
        <v>0</v>
      </c>
      <c r="V668" s="99">
        <f>IF(AND(SamplingData[[#This Row],[Total]]&lt;&gt; 0, NOT(ISBLANK(SamplingData[[#This Row],[Candidate 7]]))),(SamplingData[[#This Row],[Total]]+SamplingData[[#This Row],[Winning Candidate]]-SamplingData[[#This Row],[Candidate 7]])/(SamplingData[[#Totals],[Winning Candidate]]-SamplingData[[#Totals],[Candidate 7]]), 0)</f>
        <v>0</v>
      </c>
      <c r="W668" s="99">
        <f>IF(AND(SamplingData[[#This Row],[Total]]&lt;&gt; 0, NOT(ISBLANK(SamplingData[[#This Row],[Candidate 8]]))),(SamplingData[[#This Row],[Total]]+SamplingData[[#This Row],[Winning Candidate]]-SamplingData[[#This Row],[Candidate 8]])/(SamplingData[[#Totals],[Winning Candidate]]-SamplingData[[#Totals],[Candidate 8]]), 0)</f>
        <v>0</v>
      </c>
      <c r="X6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8" s="99">
        <f>MAX(SamplingData[[#This Row],[Error Bound (up) - Max. possible relative overstatement - Losing Candidate]:[Error Bound (up) - Max. possible relative overstatement - Candidate 12]])</f>
        <v>1.888473943303344E-2</v>
      </c>
      <c r="AC668" s="99">
        <f>IF(SamplingData[[#This Row],[Max Error Bound (up)]] = 0,0,SamplingData[[#This Row],[Max Error Bound (up)]]/SamplingData[[#Totals],[Max Error Bound (up)]])</f>
        <v>1.0111062638601097E-3</v>
      </c>
      <c r="AD668" s="103">
        <f>SUM($AC$5:AC668)</f>
        <v>0.57576253317337522</v>
      </c>
      <c r="AE668" s="99" t="str" cm="1">
        <f t="array" ref="AE668">IF(SamplingData[[#This Row],[up/U Selection Probability]] = 0, "Zero", TEXT(SamplingData[[#This Row],[Lower Range]], REPT("0",LEN('General Info'!$B$42))) &amp; " - " &amp; TEXT(SamplingData[[#This Row],[Upper Range]], REPT("0",LEN('General Info'!$B$42))))</f>
        <v>574751 - 575762</v>
      </c>
      <c r="AF668" s="99">
        <f>SamplingData[[#This Row],[Upper Range]]-SamplingData[[#This Row],[Span]]</f>
        <v>574751.42690951505</v>
      </c>
      <c r="AG668" s="99">
        <f>IF(ISNUMBER('General Info'!$B$42), ((SamplingData[[#This Row],[up/U Selection Probability]]) * 'General Info'!$B$44) - 1, 0)</f>
        <v>1010.1062638601096</v>
      </c>
      <c r="AH668" s="99">
        <f>IF(ISNUMBER('General Info'!$B$42), (SamplingData[[#This Row],[Running (cumulative) sum]] * ('General Info'!$B$42 -'General Info'!$B$43 + 1)) + 'General Info'!$B$43 - 1, 0)</f>
        <v>575761.53317337518</v>
      </c>
      <c r="AI668" s="99" t="str">
        <f>IF(ISERROR(MATCH(SamplingData[[#This Row],[Batch by Type (p)]],SelectedPrecincts[Batch Name], 0)), "", INDEX(SelectedPrecincts[Draw], MATCH(SamplingData[[#This Row],[Batch by Type (p)]],SelectedPrecincts[Batch Name], 0)))</f>
        <v/>
      </c>
      <c r="AJ668" s="100">
        <f>IF(COUNTIF(SelectedPrecincts[Batch Name],SamplingData[[#This Row],[Batch by Type (p)]]) &lt;&gt; 0, COUNTIF(SelectedPrecincts[Batch Name],SamplingData[[#This Row],[Batch by Type (p)]]), 0)</f>
        <v>0</v>
      </c>
    </row>
    <row r="669" spans="1:36" ht="15" customHeight="1" x14ac:dyDescent="0.35">
      <c r="A669" s="97" t="s">
        <v>882</v>
      </c>
      <c r="B669" s="97">
        <v>176</v>
      </c>
      <c r="C669" s="97">
        <v>19</v>
      </c>
      <c r="D669" s="92"/>
      <c r="E669" s="92"/>
      <c r="F669" s="92"/>
      <c r="G669" s="96"/>
      <c r="H669" s="96"/>
      <c r="I669" s="92"/>
      <c r="J669" s="92"/>
      <c r="K669" s="92"/>
      <c r="L669" s="92"/>
      <c r="M669" s="92"/>
      <c r="N669" s="97">
        <v>0</v>
      </c>
      <c r="O669" s="97">
        <v>17</v>
      </c>
      <c r="P669" s="98">
        <f>SUM(SamplingData[[#This Row],[Winning Candidate]:[Under Votes]])</f>
        <v>212</v>
      </c>
      <c r="Q669" s="99">
        <f>IF(AND(SamplingData[[#This Row],[Total]]&lt;&gt; 0, NOT(ISBLANK(SamplingData[[#This Row],[Losing Candidate]]))),(SamplingData[[#This Row],[Total]]+SamplingData[[#This Row],[Winning Candidate]]-SamplingData[[#This Row],[Losing Candidate]])/(SamplingData[[#Totals],[Winning Candidate]]-SamplingData[[#Totals],[Losing Candidate]]), 0)</f>
        <v>1.565948056357155E-2</v>
      </c>
      <c r="R669" s="99">
        <f>IF(AND(SamplingData[[#This Row],[Total]]&lt;&gt; 0, NOT(ISBLANK(SamplingData[[#This Row],[Candidate 3]]))),(SamplingData[[#This Row],[Total]]+SamplingData[[#This Row],[Winning Candidate]]-SamplingData[[#This Row],[Candidate 3]])/(SamplingData[[#Totals],[Winning Candidate]]-SamplingData[[#Totals],[Candidate 3]]), 0)</f>
        <v>0</v>
      </c>
      <c r="S669" s="99">
        <f>IF(AND(SamplingData[[#This Row],[Total]]&lt;&gt; 0, NOT(ISBLANK(SamplingData[[#This Row],[Candidate 4]]))),(SamplingData[[#This Row],[Total]]+SamplingData[[#This Row],[Winning Candidate]]-SamplingData[[#This Row],[Candidate 4]])/(SamplingData[[#Totals],[Winning Candidate]]-SamplingData[[#Totals],[Candidate 4]]), 0)</f>
        <v>0</v>
      </c>
      <c r="T669" s="99">
        <f>IF(AND(SamplingData[[#This Row],[Total]]&lt;&gt; 0, NOT(ISBLANK(SamplingData[[#This Row],[Candidate 5]]))),(SamplingData[[#This Row],[Total]]+SamplingData[[#This Row],[Winning Candidate]]-SamplingData[[#This Row],[Candidate 5]])/(SamplingData[[#Totals],[Winning Candidate]]-SamplingData[[#Totals],[Candidate 5]]), 0)</f>
        <v>0</v>
      </c>
      <c r="U669" s="99">
        <f>IF(AND(SamplingData[[#This Row],[Total]]&lt;&gt; 0, NOT(ISBLANK(SamplingData[[#This Row],[Candidate 6]]))),(SamplingData[[#This Row],[Total]]+SamplingData[[#This Row],[Losing Candidate]]-SamplingData[[#This Row],[Candidate 6]])/(SamplingData[[#Totals],[Winning Candidate]]-SamplingData[[#Totals],[Candidate 6]]), 0)</f>
        <v>0</v>
      </c>
      <c r="V669" s="99">
        <f>IF(AND(SamplingData[[#This Row],[Total]]&lt;&gt; 0, NOT(ISBLANK(SamplingData[[#This Row],[Candidate 7]]))),(SamplingData[[#This Row],[Total]]+SamplingData[[#This Row],[Winning Candidate]]-SamplingData[[#This Row],[Candidate 7]])/(SamplingData[[#Totals],[Winning Candidate]]-SamplingData[[#Totals],[Candidate 7]]), 0)</f>
        <v>0</v>
      </c>
      <c r="W669" s="99">
        <f>IF(AND(SamplingData[[#This Row],[Total]]&lt;&gt; 0, NOT(ISBLANK(SamplingData[[#This Row],[Candidate 8]]))),(SamplingData[[#This Row],[Total]]+SamplingData[[#This Row],[Winning Candidate]]-SamplingData[[#This Row],[Candidate 8]])/(SamplingData[[#Totals],[Winning Candidate]]-SamplingData[[#Totals],[Candidate 8]]), 0)</f>
        <v>0</v>
      </c>
      <c r="X6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9" s="99">
        <f>MAX(SamplingData[[#This Row],[Error Bound (up) - Max. possible relative overstatement - Losing Candidate]:[Error Bound (up) - Max. possible relative overstatement - Candidate 12]])</f>
        <v>1.565948056357155E-2</v>
      </c>
      <c r="AC669" s="99">
        <f>IF(SamplingData[[#This Row],[Max Error Bound (up)]] = 0,0,SamplingData[[#This Row],[Max Error Bound (up)]]/SamplingData[[#Totals],[Max Error Bound (up)]])</f>
        <v>8.3842294688624825E-4</v>
      </c>
      <c r="AD669" s="103">
        <f>SUM($AC$5:AC669)</f>
        <v>0.57660095612026152</v>
      </c>
      <c r="AE669" s="99" t="str" cm="1">
        <f t="array" ref="AE669">IF(SamplingData[[#This Row],[up/U Selection Probability]] = 0, "Zero", TEXT(SamplingData[[#This Row],[Lower Range]], REPT("0",LEN('General Info'!$B$42))) &amp; " - " &amp; TEXT(SamplingData[[#This Row],[Upper Range]], REPT("0",LEN('General Info'!$B$42))))</f>
        <v>575763 - 576600</v>
      </c>
      <c r="AF669" s="99">
        <f>SamplingData[[#This Row],[Upper Range]]-SamplingData[[#This Row],[Span]]</f>
        <v>575762.5331733753</v>
      </c>
      <c r="AG669" s="99">
        <f>IF(ISNUMBER('General Info'!$B$42), ((SamplingData[[#This Row],[up/U Selection Probability]]) * 'General Info'!$B$44) - 1, 0)</f>
        <v>837.42294688624827</v>
      </c>
      <c r="AH669" s="99">
        <f>IF(ISNUMBER('General Info'!$B$42), (SamplingData[[#This Row],[Running (cumulative) sum]] * ('General Info'!$B$42 -'General Info'!$B$43 + 1)) + 'General Info'!$B$43 - 1, 0)</f>
        <v>576599.95612026157</v>
      </c>
      <c r="AI669" s="99" t="str">
        <f>IF(ISERROR(MATCH(SamplingData[[#This Row],[Batch by Type (p)]],SelectedPrecincts[Batch Name], 0)), "", INDEX(SelectedPrecincts[Draw], MATCH(SamplingData[[#This Row],[Batch by Type (p)]],SelectedPrecincts[Batch Name], 0)))</f>
        <v/>
      </c>
      <c r="AJ669" s="100">
        <f>IF(COUNTIF(SelectedPrecincts[Batch Name],SamplingData[[#This Row],[Batch by Type (p)]]) &lt;&gt; 0, COUNTIF(SelectedPrecincts[Batch Name],SamplingData[[#This Row],[Batch by Type (p)]]), 0)</f>
        <v>0</v>
      </c>
    </row>
    <row r="670" spans="1:36" ht="15" customHeight="1" x14ac:dyDescent="0.35">
      <c r="A670" s="97" t="s">
        <v>883</v>
      </c>
      <c r="B670" s="97">
        <v>344</v>
      </c>
      <c r="C670" s="97">
        <v>54</v>
      </c>
      <c r="D670" s="92"/>
      <c r="E670" s="92"/>
      <c r="F670" s="92"/>
      <c r="G670" s="96"/>
      <c r="H670" s="96"/>
      <c r="I670" s="92"/>
      <c r="J670" s="92"/>
      <c r="K670" s="92"/>
      <c r="L670" s="92"/>
      <c r="M670" s="92"/>
      <c r="N670" s="97">
        <v>0</v>
      </c>
      <c r="O670" s="97">
        <v>35</v>
      </c>
      <c r="P670" s="98">
        <f>SUM(SamplingData[[#This Row],[Winning Candidate]:[Under Votes]])</f>
        <v>433</v>
      </c>
      <c r="Q670" s="99">
        <f>IF(AND(SamplingData[[#This Row],[Total]]&lt;&gt; 0, NOT(ISBLANK(SamplingData[[#This Row],[Losing Candidate]]))),(SamplingData[[#This Row],[Total]]+SamplingData[[#This Row],[Winning Candidate]]-SamplingData[[#This Row],[Losing Candidate]])/(SamplingData[[#Totals],[Winning Candidate]]-SamplingData[[#Totals],[Losing Candidate]]), 0)</f>
        <v>3.0682396876591411E-2</v>
      </c>
      <c r="R670" s="99">
        <f>IF(AND(SamplingData[[#This Row],[Total]]&lt;&gt; 0, NOT(ISBLANK(SamplingData[[#This Row],[Candidate 3]]))),(SamplingData[[#This Row],[Total]]+SamplingData[[#This Row],[Winning Candidate]]-SamplingData[[#This Row],[Candidate 3]])/(SamplingData[[#Totals],[Winning Candidate]]-SamplingData[[#Totals],[Candidate 3]]), 0)</f>
        <v>0</v>
      </c>
      <c r="S670" s="99">
        <f>IF(AND(SamplingData[[#This Row],[Total]]&lt;&gt; 0, NOT(ISBLANK(SamplingData[[#This Row],[Candidate 4]]))),(SamplingData[[#This Row],[Total]]+SamplingData[[#This Row],[Winning Candidate]]-SamplingData[[#This Row],[Candidate 4]])/(SamplingData[[#Totals],[Winning Candidate]]-SamplingData[[#Totals],[Candidate 4]]), 0)</f>
        <v>0</v>
      </c>
      <c r="T670" s="99">
        <f>IF(AND(SamplingData[[#This Row],[Total]]&lt;&gt; 0, NOT(ISBLANK(SamplingData[[#This Row],[Candidate 5]]))),(SamplingData[[#This Row],[Total]]+SamplingData[[#This Row],[Winning Candidate]]-SamplingData[[#This Row],[Candidate 5]])/(SamplingData[[#Totals],[Winning Candidate]]-SamplingData[[#Totals],[Candidate 5]]), 0)</f>
        <v>0</v>
      </c>
      <c r="U670" s="99">
        <f>IF(AND(SamplingData[[#This Row],[Total]]&lt;&gt; 0, NOT(ISBLANK(SamplingData[[#This Row],[Candidate 6]]))),(SamplingData[[#This Row],[Total]]+SamplingData[[#This Row],[Losing Candidate]]-SamplingData[[#This Row],[Candidate 6]])/(SamplingData[[#Totals],[Winning Candidate]]-SamplingData[[#Totals],[Candidate 6]]), 0)</f>
        <v>0</v>
      </c>
      <c r="V670" s="99">
        <f>IF(AND(SamplingData[[#This Row],[Total]]&lt;&gt; 0, NOT(ISBLANK(SamplingData[[#This Row],[Candidate 7]]))),(SamplingData[[#This Row],[Total]]+SamplingData[[#This Row],[Winning Candidate]]-SamplingData[[#This Row],[Candidate 7]])/(SamplingData[[#Totals],[Winning Candidate]]-SamplingData[[#Totals],[Candidate 7]]), 0)</f>
        <v>0</v>
      </c>
      <c r="W670" s="99">
        <f>IF(AND(SamplingData[[#This Row],[Total]]&lt;&gt; 0, NOT(ISBLANK(SamplingData[[#This Row],[Candidate 8]]))),(SamplingData[[#This Row],[Total]]+SamplingData[[#This Row],[Winning Candidate]]-SamplingData[[#This Row],[Candidate 8]])/(SamplingData[[#Totals],[Winning Candidate]]-SamplingData[[#Totals],[Candidate 8]]), 0)</f>
        <v>0</v>
      </c>
      <c r="X6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0" s="99">
        <f>MAX(SamplingData[[#This Row],[Error Bound (up) - Max. possible relative overstatement - Losing Candidate]:[Error Bound (up) - Max. possible relative overstatement - Candidate 12]])</f>
        <v>3.0682396876591411E-2</v>
      </c>
      <c r="AC670" s="99">
        <f>IF(SamplingData[[#This Row],[Max Error Bound (up)]] = 0,0,SamplingData[[#This Row],[Max Error Bound (up)]]/SamplingData[[#Totals],[Max Error Bound (up)]])</f>
        <v>1.6427636601592343E-3</v>
      </c>
      <c r="AD670" s="103">
        <f>SUM($AC$5:AC670)</f>
        <v>0.57824371978042077</v>
      </c>
      <c r="AE670" s="99" t="str" cm="1">
        <f t="array" ref="AE670">IF(SamplingData[[#This Row],[up/U Selection Probability]] = 0, "Zero", TEXT(SamplingData[[#This Row],[Lower Range]], REPT("0",LEN('General Info'!$B$42))) &amp; " - " &amp; TEXT(SamplingData[[#This Row],[Upper Range]], REPT("0",LEN('General Info'!$B$42))))</f>
        <v>576601 - 578243</v>
      </c>
      <c r="AF670" s="99">
        <f>SamplingData[[#This Row],[Upper Range]]-SamplingData[[#This Row],[Span]]</f>
        <v>576600.95612026157</v>
      </c>
      <c r="AG670" s="99">
        <f>IF(ISNUMBER('General Info'!$B$42), ((SamplingData[[#This Row],[up/U Selection Probability]]) * 'General Info'!$B$44) - 1, 0)</f>
        <v>1641.7636601592344</v>
      </c>
      <c r="AH670" s="99">
        <f>IF(ISNUMBER('General Info'!$B$42), (SamplingData[[#This Row],[Running (cumulative) sum]] * ('General Info'!$B$42 -'General Info'!$B$43 + 1)) + 'General Info'!$B$43 - 1, 0)</f>
        <v>578242.71978042077</v>
      </c>
      <c r="AI670" s="99" t="str">
        <f>IF(ISERROR(MATCH(SamplingData[[#This Row],[Batch by Type (p)]],SelectedPrecincts[Batch Name], 0)), "", INDEX(SelectedPrecincts[Draw], MATCH(SamplingData[[#This Row],[Batch by Type (p)]],SelectedPrecincts[Batch Name], 0)))</f>
        <v/>
      </c>
      <c r="AJ670" s="100">
        <f>IF(COUNTIF(SelectedPrecincts[Batch Name],SamplingData[[#This Row],[Batch by Type (p)]]) &lt;&gt; 0, COUNTIF(SelectedPrecincts[Batch Name],SamplingData[[#This Row],[Batch by Type (p)]]), 0)</f>
        <v>0</v>
      </c>
    </row>
    <row r="671" spans="1:36" ht="15" customHeight="1" x14ac:dyDescent="0.35">
      <c r="A671" s="97" t="s">
        <v>884</v>
      </c>
      <c r="B671" s="97">
        <v>196</v>
      </c>
      <c r="C671" s="97">
        <v>40</v>
      </c>
      <c r="D671" s="92"/>
      <c r="E671" s="92"/>
      <c r="F671" s="92"/>
      <c r="G671" s="96"/>
      <c r="H671" s="96"/>
      <c r="I671" s="92"/>
      <c r="J671" s="92"/>
      <c r="K671" s="92"/>
      <c r="L671" s="92"/>
      <c r="M671" s="92"/>
      <c r="N671" s="97">
        <v>0</v>
      </c>
      <c r="O671" s="97">
        <v>16</v>
      </c>
      <c r="P671" s="98">
        <f>SUM(SamplingData[[#This Row],[Winning Candidate]:[Under Votes]])</f>
        <v>252</v>
      </c>
      <c r="Q671" s="99">
        <f>IF(AND(SamplingData[[#This Row],[Total]]&lt;&gt; 0, NOT(ISBLANK(SamplingData[[#This Row],[Losing Candidate]]))),(SamplingData[[#This Row],[Total]]+SamplingData[[#This Row],[Winning Candidate]]-SamplingData[[#This Row],[Losing Candidate]])/(SamplingData[[#Totals],[Winning Candidate]]-SamplingData[[#Totals],[Losing Candidate]]), 0)</f>
        <v>1.7314547615005942E-2</v>
      </c>
      <c r="R671" s="99">
        <f>IF(AND(SamplingData[[#This Row],[Total]]&lt;&gt; 0, NOT(ISBLANK(SamplingData[[#This Row],[Candidate 3]]))),(SamplingData[[#This Row],[Total]]+SamplingData[[#This Row],[Winning Candidate]]-SamplingData[[#This Row],[Candidate 3]])/(SamplingData[[#Totals],[Winning Candidate]]-SamplingData[[#Totals],[Candidate 3]]), 0)</f>
        <v>0</v>
      </c>
      <c r="S671" s="99">
        <f>IF(AND(SamplingData[[#This Row],[Total]]&lt;&gt; 0, NOT(ISBLANK(SamplingData[[#This Row],[Candidate 4]]))),(SamplingData[[#This Row],[Total]]+SamplingData[[#This Row],[Winning Candidate]]-SamplingData[[#This Row],[Candidate 4]])/(SamplingData[[#Totals],[Winning Candidate]]-SamplingData[[#Totals],[Candidate 4]]), 0)</f>
        <v>0</v>
      </c>
      <c r="T671" s="99">
        <f>IF(AND(SamplingData[[#This Row],[Total]]&lt;&gt; 0, NOT(ISBLANK(SamplingData[[#This Row],[Candidate 5]]))),(SamplingData[[#This Row],[Total]]+SamplingData[[#This Row],[Winning Candidate]]-SamplingData[[#This Row],[Candidate 5]])/(SamplingData[[#Totals],[Winning Candidate]]-SamplingData[[#Totals],[Candidate 5]]), 0)</f>
        <v>0</v>
      </c>
      <c r="U671" s="99">
        <f>IF(AND(SamplingData[[#This Row],[Total]]&lt;&gt; 0, NOT(ISBLANK(SamplingData[[#This Row],[Candidate 6]]))),(SamplingData[[#This Row],[Total]]+SamplingData[[#This Row],[Losing Candidate]]-SamplingData[[#This Row],[Candidate 6]])/(SamplingData[[#Totals],[Winning Candidate]]-SamplingData[[#Totals],[Candidate 6]]), 0)</f>
        <v>0</v>
      </c>
      <c r="V671" s="99">
        <f>IF(AND(SamplingData[[#This Row],[Total]]&lt;&gt; 0, NOT(ISBLANK(SamplingData[[#This Row],[Candidate 7]]))),(SamplingData[[#This Row],[Total]]+SamplingData[[#This Row],[Winning Candidate]]-SamplingData[[#This Row],[Candidate 7]])/(SamplingData[[#Totals],[Winning Candidate]]-SamplingData[[#Totals],[Candidate 7]]), 0)</f>
        <v>0</v>
      </c>
      <c r="W671" s="99">
        <f>IF(AND(SamplingData[[#This Row],[Total]]&lt;&gt; 0, NOT(ISBLANK(SamplingData[[#This Row],[Candidate 8]]))),(SamplingData[[#This Row],[Total]]+SamplingData[[#This Row],[Winning Candidate]]-SamplingData[[#This Row],[Candidate 8]])/(SamplingData[[#Totals],[Winning Candidate]]-SamplingData[[#Totals],[Candidate 8]]), 0)</f>
        <v>0</v>
      </c>
      <c r="X6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1" s="99">
        <f>MAX(SamplingData[[#This Row],[Error Bound (up) - Max. possible relative overstatement - Losing Candidate]:[Error Bound (up) - Max. possible relative overstatement - Candidate 12]])</f>
        <v>1.7314547615005942E-2</v>
      </c>
      <c r="AC671" s="99">
        <f>IF(SamplingData[[#This Row],[Max Error Bound (up)]] = 0,0,SamplingData[[#This Row],[Max Error Bound (up)]]/SamplingData[[#Totals],[Max Error Bound (up)]])</f>
        <v>9.2703675428072979E-4</v>
      </c>
      <c r="AD671" s="103">
        <f>SUM($AC$5:AC671)</f>
        <v>0.57917075653470151</v>
      </c>
      <c r="AE671" s="99" t="str" cm="1">
        <f t="array" ref="AE671">IF(SamplingData[[#This Row],[up/U Selection Probability]] = 0, "Zero", TEXT(SamplingData[[#This Row],[Lower Range]], REPT("0",LEN('General Info'!$B$42))) &amp; " - " &amp; TEXT(SamplingData[[#This Row],[Upper Range]], REPT("0",LEN('General Info'!$B$42))))</f>
        <v>578244 - 579170</v>
      </c>
      <c r="AF671" s="99">
        <f>SamplingData[[#This Row],[Upper Range]]-SamplingData[[#This Row],[Span]]</f>
        <v>578243.71978042088</v>
      </c>
      <c r="AG671" s="99">
        <f>IF(ISNUMBER('General Info'!$B$42), ((SamplingData[[#This Row],[up/U Selection Probability]]) * 'General Info'!$B$44) - 1, 0)</f>
        <v>926.03675428072984</v>
      </c>
      <c r="AH671" s="99">
        <f>IF(ISNUMBER('General Info'!$B$42), (SamplingData[[#This Row],[Running (cumulative) sum]] * ('General Info'!$B$42 -'General Info'!$B$43 + 1)) + 'General Info'!$B$43 - 1, 0)</f>
        <v>579169.75653470156</v>
      </c>
      <c r="AI671" s="99" t="str">
        <f>IF(ISERROR(MATCH(SamplingData[[#This Row],[Batch by Type (p)]],SelectedPrecincts[Batch Name], 0)), "", INDEX(SelectedPrecincts[Draw], MATCH(SamplingData[[#This Row],[Batch by Type (p)]],SelectedPrecincts[Batch Name], 0)))</f>
        <v/>
      </c>
      <c r="AJ671" s="100">
        <f>IF(COUNTIF(SelectedPrecincts[Batch Name],SamplingData[[#This Row],[Batch by Type (p)]]) &lt;&gt; 0, COUNTIF(SelectedPrecincts[Batch Name],SamplingData[[#This Row],[Batch by Type (p)]]), 0)</f>
        <v>0</v>
      </c>
    </row>
    <row r="672" spans="1:36" ht="15" customHeight="1" x14ac:dyDescent="0.35">
      <c r="A672" s="97" t="s">
        <v>885</v>
      </c>
      <c r="B672" s="97">
        <v>165</v>
      </c>
      <c r="C672" s="97">
        <v>44</v>
      </c>
      <c r="D672" s="92"/>
      <c r="E672" s="92"/>
      <c r="F672" s="92"/>
      <c r="G672" s="96"/>
      <c r="H672" s="96"/>
      <c r="I672" s="92"/>
      <c r="J672" s="92"/>
      <c r="K672" s="92"/>
      <c r="L672" s="92"/>
      <c r="M672" s="92"/>
      <c r="N672" s="97">
        <v>0</v>
      </c>
      <c r="O672" s="97">
        <v>10</v>
      </c>
      <c r="P672" s="98">
        <f>SUM(SamplingData[[#This Row],[Winning Candidate]:[Under Votes]])</f>
        <v>219</v>
      </c>
      <c r="Q672" s="99">
        <f>IF(AND(SamplingData[[#This Row],[Total]]&lt;&gt; 0, NOT(ISBLANK(SamplingData[[#This Row],[Losing Candidate]]))),(SamplingData[[#This Row],[Total]]+SamplingData[[#This Row],[Winning Candidate]]-SamplingData[[#This Row],[Losing Candidate]])/(SamplingData[[#Totals],[Winning Candidate]]-SamplingData[[#Totals],[Losing Candidate]]), 0)</f>
        <v>1.4428789679171617E-2</v>
      </c>
      <c r="R672" s="99">
        <f>IF(AND(SamplingData[[#This Row],[Total]]&lt;&gt; 0, NOT(ISBLANK(SamplingData[[#This Row],[Candidate 3]]))),(SamplingData[[#This Row],[Total]]+SamplingData[[#This Row],[Winning Candidate]]-SamplingData[[#This Row],[Candidate 3]])/(SamplingData[[#Totals],[Winning Candidate]]-SamplingData[[#Totals],[Candidate 3]]), 0)</f>
        <v>0</v>
      </c>
      <c r="S672" s="99">
        <f>IF(AND(SamplingData[[#This Row],[Total]]&lt;&gt; 0, NOT(ISBLANK(SamplingData[[#This Row],[Candidate 4]]))),(SamplingData[[#This Row],[Total]]+SamplingData[[#This Row],[Winning Candidate]]-SamplingData[[#This Row],[Candidate 4]])/(SamplingData[[#Totals],[Winning Candidate]]-SamplingData[[#Totals],[Candidate 4]]), 0)</f>
        <v>0</v>
      </c>
      <c r="T672" s="99">
        <f>IF(AND(SamplingData[[#This Row],[Total]]&lt;&gt; 0, NOT(ISBLANK(SamplingData[[#This Row],[Candidate 5]]))),(SamplingData[[#This Row],[Total]]+SamplingData[[#This Row],[Winning Candidate]]-SamplingData[[#This Row],[Candidate 5]])/(SamplingData[[#Totals],[Winning Candidate]]-SamplingData[[#Totals],[Candidate 5]]), 0)</f>
        <v>0</v>
      </c>
      <c r="U672" s="99">
        <f>IF(AND(SamplingData[[#This Row],[Total]]&lt;&gt; 0, NOT(ISBLANK(SamplingData[[#This Row],[Candidate 6]]))),(SamplingData[[#This Row],[Total]]+SamplingData[[#This Row],[Losing Candidate]]-SamplingData[[#This Row],[Candidate 6]])/(SamplingData[[#Totals],[Winning Candidate]]-SamplingData[[#Totals],[Candidate 6]]), 0)</f>
        <v>0</v>
      </c>
      <c r="V672" s="99">
        <f>IF(AND(SamplingData[[#This Row],[Total]]&lt;&gt; 0, NOT(ISBLANK(SamplingData[[#This Row],[Candidate 7]]))),(SamplingData[[#This Row],[Total]]+SamplingData[[#This Row],[Winning Candidate]]-SamplingData[[#This Row],[Candidate 7]])/(SamplingData[[#Totals],[Winning Candidate]]-SamplingData[[#Totals],[Candidate 7]]), 0)</f>
        <v>0</v>
      </c>
      <c r="W672" s="99">
        <f>IF(AND(SamplingData[[#This Row],[Total]]&lt;&gt; 0, NOT(ISBLANK(SamplingData[[#This Row],[Candidate 8]]))),(SamplingData[[#This Row],[Total]]+SamplingData[[#This Row],[Winning Candidate]]-SamplingData[[#This Row],[Candidate 8]])/(SamplingData[[#Totals],[Winning Candidate]]-SamplingData[[#Totals],[Candidate 8]]), 0)</f>
        <v>0</v>
      </c>
      <c r="X6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2" s="99">
        <f>MAX(SamplingData[[#This Row],[Error Bound (up) - Max. possible relative overstatement - Losing Candidate]:[Error Bound (up) - Max. possible relative overstatement - Candidate 12]])</f>
        <v>1.4428789679171617E-2</v>
      </c>
      <c r="AC672" s="99">
        <f>IF(SamplingData[[#This Row],[Max Error Bound (up)]] = 0,0,SamplingData[[#This Row],[Max Error Bound (up)]]/SamplingData[[#Totals],[Max Error Bound (up)]])</f>
        <v>7.7253062856727473E-4</v>
      </c>
      <c r="AD672" s="103">
        <f>SUM($AC$5:AC672)</f>
        <v>0.57994328716326882</v>
      </c>
      <c r="AE672" s="99" t="str" cm="1">
        <f t="array" ref="AE672">IF(SamplingData[[#This Row],[up/U Selection Probability]] = 0, "Zero", TEXT(SamplingData[[#This Row],[Lower Range]], REPT("0",LEN('General Info'!$B$42))) &amp; " - " &amp; TEXT(SamplingData[[#This Row],[Upper Range]], REPT("0",LEN('General Info'!$B$42))))</f>
        <v>579171 - 579942</v>
      </c>
      <c r="AF672" s="99">
        <f>SamplingData[[#This Row],[Upper Range]]-SamplingData[[#This Row],[Span]]</f>
        <v>579170.75653470145</v>
      </c>
      <c r="AG672" s="99">
        <f>IF(ISNUMBER('General Info'!$B$42), ((SamplingData[[#This Row],[up/U Selection Probability]]) * 'General Info'!$B$44) - 1, 0)</f>
        <v>771.53062856727468</v>
      </c>
      <c r="AH672" s="99">
        <f>IF(ISNUMBER('General Info'!$B$42), (SamplingData[[#This Row],[Running (cumulative) sum]] * ('General Info'!$B$42 -'General Info'!$B$43 + 1)) + 'General Info'!$B$43 - 1, 0)</f>
        <v>579942.28716326877</v>
      </c>
      <c r="AI672" s="99" t="str">
        <f>IF(ISERROR(MATCH(SamplingData[[#This Row],[Batch by Type (p)]],SelectedPrecincts[Batch Name], 0)), "", INDEX(SelectedPrecincts[Draw], MATCH(SamplingData[[#This Row],[Batch by Type (p)]],SelectedPrecincts[Batch Name], 0)))</f>
        <v/>
      </c>
      <c r="AJ672" s="100">
        <f>IF(COUNTIF(SelectedPrecincts[Batch Name],SamplingData[[#This Row],[Batch by Type (p)]]) &lt;&gt; 0, COUNTIF(SelectedPrecincts[Batch Name],SamplingData[[#This Row],[Batch by Type (p)]]), 0)</f>
        <v>0</v>
      </c>
    </row>
    <row r="673" spans="1:36" ht="15" customHeight="1" x14ac:dyDescent="0.35">
      <c r="A673" s="97" t="s">
        <v>886</v>
      </c>
      <c r="B673" s="97">
        <v>306</v>
      </c>
      <c r="C673" s="97">
        <v>113</v>
      </c>
      <c r="D673" s="92"/>
      <c r="E673" s="92"/>
      <c r="F673" s="92"/>
      <c r="G673" s="96"/>
      <c r="H673" s="96"/>
      <c r="I673" s="92"/>
      <c r="J673" s="92"/>
      <c r="K673" s="92"/>
      <c r="L673" s="92"/>
      <c r="M673" s="92"/>
      <c r="N673" s="97">
        <v>1</v>
      </c>
      <c r="O673" s="97">
        <v>20</v>
      </c>
      <c r="P673" s="98">
        <f>SUM(SamplingData[[#This Row],[Winning Candidate]:[Under Votes]])</f>
        <v>440</v>
      </c>
      <c r="Q673" s="99">
        <f>IF(AND(SamplingData[[#This Row],[Total]]&lt;&gt; 0, NOT(ISBLANK(SamplingData[[#This Row],[Losing Candidate]]))),(SamplingData[[#This Row],[Total]]+SamplingData[[#This Row],[Winning Candidate]]-SamplingData[[#This Row],[Losing Candidate]])/(SamplingData[[#Totals],[Winning Candidate]]-SamplingData[[#Totals],[Losing Candidate]]), 0)</f>
        <v>2.6863011373281277E-2</v>
      </c>
      <c r="R673" s="99">
        <f>IF(AND(SamplingData[[#This Row],[Total]]&lt;&gt; 0, NOT(ISBLANK(SamplingData[[#This Row],[Candidate 3]]))),(SamplingData[[#This Row],[Total]]+SamplingData[[#This Row],[Winning Candidate]]-SamplingData[[#This Row],[Candidate 3]])/(SamplingData[[#Totals],[Winning Candidate]]-SamplingData[[#Totals],[Candidate 3]]), 0)</f>
        <v>0</v>
      </c>
      <c r="S673" s="99">
        <f>IF(AND(SamplingData[[#This Row],[Total]]&lt;&gt; 0, NOT(ISBLANK(SamplingData[[#This Row],[Candidate 4]]))),(SamplingData[[#This Row],[Total]]+SamplingData[[#This Row],[Winning Candidate]]-SamplingData[[#This Row],[Candidate 4]])/(SamplingData[[#Totals],[Winning Candidate]]-SamplingData[[#Totals],[Candidate 4]]), 0)</f>
        <v>0</v>
      </c>
      <c r="T673" s="99">
        <f>IF(AND(SamplingData[[#This Row],[Total]]&lt;&gt; 0, NOT(ISBLANK(SamplingData[[#This Row],[Candidate 5]]))),(SamplingData[[#This Row],[Total]]+SamplingData[[#This Row],[Winning Candidate]]-SamplingData[[#This Row],[Candidate 5]])/(SamplingData[[#Totals],[Winning Candidate]]-SamplingData[[#Totals],[Candidate 5]]), 0)</f>
        <v>0</v>
      </c>
      <c r="U673" s="99">
        <f>IF(AND(SamplingData[[#This Row],[Total]]&lt;&gt; 0, NOT(ISBLANK(SamplingData[[#This Row],[Candidate 6]]))),(SamplingData[[#This Row],[Total]]+SamplingData[[#This Row],[Losing Candidate]]-SamplingData[[#This Row],[Candidate 6]])/(SamplingData[[#Totals],[Winning Candidate]]-SamplingData[[#Totals],[Candidate 6]]), 0)</f>
        <v>0</v>
      </c>
      <c r="V673" s="99">
        <f>IF(AND(SamplingData[[#This Row],[Total]]&lt;&gt; 0, NOT(ISBLANK(SamplingData[[#This Row],[Candidate 7]]))),(SamplingData[[#This Row],[Total]]+SamplingData[[#This Row],[Winning Candidate]]-SamplingData[[#This Row],[Candidate 7]])/(SamplingData[[#Totals],[Winning Candidate]]-SamplingData[[#Totals],[Candidate 7]]), 0)</f>
        <v>0</v>
      </c>
      <c r="W673" s="99">
        <f>IF(AND(SamplingData[[#This Row],[Total]]&lt;&gt; 0, NOT(ISBLANK(SamplingData[[#This Row],[Candidate 8]]))),(SamplingData[[#This Row],[Total]]+SamplingData[[#This Row],[Winning Candidate]]-SamplingData[[#This Row],[Candidate 8]])/(SamplingData[[#Totals],[Winning Candidate]]-SamplingData[[#Totals],[Candidate 8]]), 0)</f>
        <v>0</v>
      </c>
      <c r="X6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3" s="99">
        <f>MAX(SamplingData[[#This Row],[Error Bound (up) - Max. possible relative overstatement - Losing Candidate]:[Error Bound (up) - Max. possible relative overstatement - Candidate 12]])</f>
        <v>2.6863011373281277E-2</v>
      </c>
      <c r="AC673" s="99">
        <f>IF(SamplingData[[#This Row],[Max Error Bound (up)]] = 0,0,SamplingData[[#This Row],[Max Error Bound (up)]]/SamplingData[[#Totals],[Max Error Bound (up)]])</f>
        <v>1.4382702584796615E-3</v>
      </c>
      <c r="AD673" s="103">
        <f>SUM($AC$5:AC673)</f>
        <v>0.58138155742174846</v>
      </c>
      <c r="AE673" s="99" t="str" cm="1">
        <f t="array" ref="AE673">IF(SamplingData[[#This Row],[up/U Selection Probability]] = 0, "Zero", TEXT(SamplingData[[#This Row],[Lower Range]], REPT("0",LEN('General Info'!$B$42))) &amp; " - " &amp; TEXT(SamplingData[[#This Row],[Upper Range]], REPT("0",LEN('General Info'!$B$42))))</f>
        <v>579943 - 581381</v>
      </c>
      <c r="AF673" s="99">
        <f>SamplingData[[#This Row],[Upper Range]]-SamplingData[[#This Row],[Span]]</f>
        <v>579943.28716326877</v>
      </c>
      <c r="AG673" s="99">
        <f>IF(ISNUMBER('General Info'!$B$42), ((SamplingData[[#This Row],[up/U Selection Probability]]) * 'General Info'!$B$44) - 1, 0)</f>
        <v>1437.2702584796614</v>
      </c>
      <c r="AH673" s="99">
        <f>IF(ISNUMBER('General Info'!$B$42), (SamplingData[[#This Row],[Running (cumulative) sum]] * ('General Info'!$B$42 -'General Info'!$B$43 + 1)) + 'General Info'!$B$43 - 1, 0)</f>
        <v>581380.55742174841</v>
      </c>
      <c r="AI673" s="99">
        <f>IF(ISERROR(MATCH(SamplingData[[#This Row],[Batch by Type (p)]],SelectedPrecincts[Batch Name], 0)), "", INDEX(SelectedPrecincts[Draw], MATCH(SamplingData[[#This Row],[Batch by Type (p)]],SelectedPrecincts[Batch Name], 0)))</f>
        <v>36</v>
      </c>
      <c r="AJ673" s="100">
        <f>IF(COUNTIF(SelectedPrecincts[Batch Name],SamplingData[[#This Row],[Batch by Type (p)]]) &lt;&gt; 0, COUNTIF(SelectedPrecincts[Batch Name],SamplingData[[#This Row],[Batch by Type (p)]]), 0)</f>
        <v>1</v>
      </c>
    </row>
    <row r="674" spans="1:36" ht="15" customHeight="1" x14ac:dyDescent="0.35">
      <c r="A674" s="97" t="s">
        <v>887</v>
      </c>
      <c r="B674" s="97">
        <v>203</v>
      </c>
      <c r="C674" s="97">
        <v>52</v>
      </c>
      <c r="D674" s="92"/>
      <c r="E674" s="92"/>
      <c r="F674" s="92"/>
      <c r="G674" s="96"/>
      <c r="H674" s="96"/>
      <c r="I674" s="92"/>
      <c r="J674" s="92"/>
      <c r="K674" s="92"/>
      <c r="L674" s="92"/>
      <c r="M674" s="92"/>
      <c r="N674" s="97">
        <v>2</v>
      </c>
      <c r="O674" s="97">
        <v>17</v>
      </c>
      <c r="P674" s="98">
        <f>SUM(SamplingData[[#This Row],[Winning Candidate]:[Under Votes]])</f>
        <v>274</v>
      </c>
      <c r="Q674" s="99">
        <f>IF(AND(SamplingData[[#This Row],[Total]]&lt;&gt; 0, NOT(ISBLANK(SamplingData[[#This Row],[Losing Candidate]]))),(SamplingData[[#This Row],[Total]]+SamplingData[[#This Row],[Winning Candidate]]-SamplingData[[#This Row],[Losing Candidate]])/(SamplingData[[#Totals],[Winning Candidate]]-SamplingData[[#Totals],[Losing Candidate]]), 0)</f>
        <v>1.803598709896452E-2</v>
      </c>
      <c r="R674" s="99">
        <f>IF(AND(SamplingData[[#This Row],[Total]]&lt;&gt; 0, NOT(ISBLANK(SamplingData[[#This Row],[Candidate 3]]))),(SamplingData[[#This Row],[Total]]+SamplingData[[#This Row],[Winning Candidate]]-SamplingData[[#This Row],[Candidate 3]])/(SamplingData[[#Totals],[Winning Candidate]]-SamplingData[[#Totals],[Candidate 3]]), 0)</f>
        <v>0</v>
      </c>
      <c r="S674" s="99">
        <f>IF(AND(SamplingData[[#This Row],[Total]]&lt;&gt; 0, NOT(ISBLANK(SamplingData[[#This Row],[Candidate 4]]))),(SamplingData[[#This Row],[Total]]+SamplingData[[#This Row],[Winning Candidate]]-SamplingData[[#This Row],[Candidate 4]])/(SamplingData[[#Totals],[Winning Candidate]]-SamplingData[[#Totals],[Candidate 4]]), 0)</f>
        <v>0</v>
      </c>
      <c r="T674" s="99">
        <f>IF(AND(SamplingData[[#This Row],[Total]]&lt;&gt; 0, NOT(ISBLANK(SamplingData[[#This Row],[Candidate 5]]))),(SamplingData[[#This Row],[Total]]+SamplingData[[#This Row],[Winning Candidate]]-SamplingData[[#This Row],[Candidate 5]])/(SamplingData[[#Totals],[Winning Candidate]]-SamplingData[[#Totals],[Candidate 5]]), 0)</f>
        <v>0</v>
      </c>
      <c r="U674" s="99">
        <f>IF(AND(SamplingData[[#This Row],[Total]]&lt;&gt; 0, NOT(ISBLANK(SamplingData[[#This Row],[Candidate 6]]))),(SamplingData[[#This Row],[Total]]+SamplingData[[#This Row],[Losing Candidate]]-SamplingData[[#This Row],[Candidate 6]])/(SamplingData[[#Totals],[Winning Candidate]]-SamplingData[[#Totals],[Candidate 6]]), 0)</f>
        <v>0</v>
      </c>
      <c r="V674" s="99">
        <f>IF(AND(SamplingData[[#This Row],[Total]]&lt;&gt; 0, NOT(ISBLANK(SamplingData[[#This Row],[Candidate 7]]))),(SamplingData[[#This Row],[Total]]+SamplingData[[#This Row],[Winning Candidate]]-SamplingData[[#This Row],[Candidate 7]])/(SamplingData[[#Totals],[Winning Candidate]]-SamplingData[[#Totals],[Candidate 7]]), 0)</f>
        <v>0</v>
      </c>
      <c r="W674" s="99">
        <f>IF(AND(SamplingData[[#This Row],[Total]]&lt;&gt; 0, NOT(ISBLANK(SamplingData[[#This Row],[Candidate 8]]))),(SamplingData[[#This Row],[Total]]+SamplingData[[#This Row],[Winning Candidate]]-SamplingData[[#This Row],[Candidate 8]])/(SamplingData[[#Totals],[Winning Candidate]]-SamplingData[[#Totals],[Candidate 8]]), 0)</f>
        <v>0</v>
      </c>
      <c r="X6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4" s="99">
        <f>MAX(SamplingData[[#This Row],[Error Bound (up) - Max. possible relative overstatement - Losing Candidate]:[Error Bound (up) - Max. possible relative overstatement - Candidate 12]])</f>
        <v>1.803598709896452E-2</v>
      </c>
      <c r="AC674" s="99">
        <f>IF(SamplingData[[#This Row],[Max Error Bound (up)]] = 0,0,SamplingData[[#This Row],[Max Error Bound (up)]]/SamplingData[[#Totals],[Max Error Bound (up)]])</f>
        <v>9.6566328570909339E-4</v>
      </c>
      <c r="AD674" s="103">
        <f>SUM($AC$5:AC674)</f>
        <v>0.58234722070745759</v>
      </c>
      <c r="AE674" s="99" t="str" cm="1">
        <f t="array" ref="AE674">IF(SamplingData[[#This Row],[up/U Selection Probability]] = 0, "Zero", TEXT(SamplingData[[#This Row],[Lower Range]], REPT("0",LEN('General Info'!$B$42))) &amp; " - " &amp; TEXT(SamplingData[[#This Row],[Upper Range]], REPT("0",LEN('General Info'!$B$42))))</f>
        <v>581382 - 582346</v>
      </c>
      <c r="AF674" s="99">
        <f>SamplingData[[#This Row],[Upper Range]]-SamplingData[[#This Row],[Span]]</f>
        <v>581381.55742174853</v>
      </c>
      <c r="AG674" s="99">
        <f>IF(ISNUMBER('General Info'!$B$42), ((SamplingData[[#This Row],[up/U Selection Probability]]) * 'General Info'!$B$44) - 1, 0)</f>
        <v>964.66328570909343</v>
      </c>
      <c r="AH674" s="99">
        <f>IF(ISNUMBER('General Info'!$B$42), (SamplingData[[#This Row],[Running (cumulative) sum]] * ('General Info'!$B$42 -'General Info'!$B$43 + 1)) + 'General Info'!$B$43 - 1, 0)</f>
        <v>582346.22070745763</v>
      </c>
      <c r="AI674" s="99" t="str">
        <f>IF(ISERROR(MATCH(SamplingData[[#This Row],[Batch by Type (p)]],SelectedPrecincts[Batch Name], 0)), "", INDEX(SelectedPrecincts[Draw], MATCH(SamplingData[[#This Row],[Batch by Type (p)]],SelectedPrecincts[Batch Name], 0)))</f>
        <v/>
      </c>
      <c r="AJ674" s="100">
        <f>IF(COUNTIF(SelectedPrecincts[Batch Name],SamplingData[[#This Row],[Batch by Type (p)]]) &lt;&gt; 0, COUNTIF(SelectedPrecincts[Batch Name],SamplingData[[#This Row],[Batch by Type (p)]]), 0)</f>
        <v>0</v>
      </c>
    </row>
    <row r="675" spans="1:36" ht="15" customHeight="1" x14ac:dyDescent="0.35">
      <c r="A675" s="97" t="s">
        <v>888</v>
      </c>
      <c r="B675" s="97">
        <v>171</v>
      </c>
      <c r="C675" s="97">
        <v>18</v>
      </c>
      <c r="D675" s="92"/>
      <c r="E675" s="92"/>
      <c r="F675" s="92"/>
      <c r="G675" s="96"/>
      <c r="H675" s="96"/>
      <c r="I675" s="92"/>
      <c r="J675" s="92"/>
      <c r="K675" s="92"/>
      <c r="L675" s="92"/>
      <c r="M675" s="92"/>
      <c r="N675" s="97">
        <v>0</v>
      </c>
      <c r="O675" s="97">
        <v>22</v>
      </c>
      <c r="P675" s="98">
        <f>SUM(SamplingData[[#This Row],[Winning Candidate]:[Under Votes]])</f>
        <v>211</v>
      </c>
      <c r="Q675" s="99">
        <f>IF(AND(SamplingData[[#This Row],[Total]]&lt;&gt; 0, NOT(ISBLANK(SamplingData[[#This Row],[Losing Candidate]]))),(SamplingData[[#This Row],[Total]]+SamplingData[[#This Row],[Winning Candidate]]-SamplingData[[#This Row],[Losing Candidate]])/(SamplingData[[#Totals],[Winning Candidate]]-SamplingData[[#Totals],[Losing Candidate]]), 0)</f>
        <v>1.5447292480054321E-2</v>
      </c>
      <c r="R675" s="99">
        <f>IF(AND(SamplingData[[#This Row],[Total]]&lt;&gt; 0, NOT(ISBLANK(SamplingData[[#This Row],[Candidate 3]]))),(SamplingData[[#This Row],[Total]]+SamplingData[[#This Row],[Winning Candidate]]-SamplingData[[#This Row],[Candidate 3]])/(SamplingData[[#Totals],[Winning Candidate]]-SamplingData[[#Totals],[Candidate 3]]), 0)</f>
        <v>0</v>
      </c>
      <c r="S675" s="99">
        <f>IF(AND(SamplingData[[#This Row],[Total]]&lt;&gt; 0, NOT(ISBLANK(SamplingData[[#This Row],[Candidate 4]]))),(SamplingData[[#This Row],[Total]]+SamplingData[[#This Row],[Winning Candidate]]-SamplingData[[#This Row],[Candidate 4]])/(SamplingData[[#Totals],[Winning Candidate]]-SamplingData[[#Totals],[Candidate 4]]), 0)</f>
        <v>0</v>
      </c>
      <c r="T675" s="99">
        <f>IF(AND(SamplingData[[#This Row],[Total]]&lt;&gt; 0, NOT(ISBLANK(SamplingData[[#This Row],[Candidate 5]]))),(SamplingData[[#This Row],[Total]]+SamplingData[[#This Row],[Winning Candidate]]-SamplingData[[#This Row],[Candidate 5]])/(SamplingData[[#Totals],[Winning Candidate]]-SamplingData[[#Totals],[Candidate 5]]), 0)</f>
        <v>0</v>
      </c>
      <c r="U675" s="99">
        <f>IF(AND(SamplingData[[#This Row],[Total]]&lt;&gt; 0, NOT(ISBLANK(SamplingData[[#This Row],[Candidate 6]]))),(SamplingData[[#This Row],[Total]]+SamplingData[[#This Row],[Losing Candidate]]-SamplingData[[#This Row],[Candidate 6]])/(SamplingData[[#Totals],[Winning Candidate]]-SamplingData[[#Totals],[Candidate 6]]), 0)</f>
        <v>0</v>
      </c>
      <c r="V675" s="99">
        <f>IF(AND(SamplingData[[#This Row],[Total]]&lt;&gt; 0, NOT(ISBLANK(SamplingData[[#This Row],[Candidate 7]]))),(SamplingData[[#This Row],[Total]]+SamplingData[[#This Row],[Winning Candidate]]-SamplingData[[#This Row],[Candidate 7]])/(SamplingData[[#Totals],[Winning Candidate]]-SamplingData[[#Totals],[Candidate 7]]), 0)</f>
        <v>0</v>
      </c>
      <c r="W675" s="99">
        <f>IF(AND(SamplingData[[#This Row],[Total]]&lt;&gt; 0, NOT(ISBLANK(SamplingData[[#This Row],[Candidate 8]]))),(SamplingData[[#This Row],[Total]]+SamplingData[[#This Row],[Winning Candidate]]-SamplingData[[#This Row],[Candidate 8]])/(SamplingData[[#Totals],[Winning Candidate]]-SamplingData[[#Totals],[Candidate 8]]), 0)</f>
        <v>0</v>
      </c>
      <c r="X6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5" s="99">
        <f>MAX(SamplingData[[#This Row],[Error Bound (up) - Max. possible relative overstatement - Losing Candidate]:[Error Bound (up) - Max. possible relative overstatement - Candidate 12]])</f>
        <v>1.5447292480054321E-2</v>
      </c>
      <c r="AC675" s="99">
        <f>IF(SamplingData[[#This Row],[Max Error Bound (up)]] = 0,0,SamplingData[[#This Row],[Max Error Bound (up)]]/SamplingData[[#Totals],[Max Error Bound (up)]])</f>
        <v>8.2706220234849423E-4</v>
      </c>
      <c r="AD675" s="103">
        <f>SUM($AC$5:AC675)</f>
        <v>0.58317428290980611</v>
      </c>
      <c r="AE675" s="99" t="str" cm="1">
        <f t="array" ref="AE675">IF(SamplingData[[#This Row],[up/U Selection Probability]] = 0, "Zero", TEXT(SamplingData[[#This Row],[Lower Range]], REPT("0",LEN('General Info'!$B$42))) &amp; " - " &amp; TEXT(SamplingData[[#This Row],[Upper Range]], REPT("0",LEN('General Info'!$B$42))))</f>
        <v>582347 - 583173</v>
      </c>
      <c r="AF675" s="99">
        <f>SamplingData[[#This Row],[Upper Range]]-SamplingData[[#This Row],[Span]]</f>
        <v>582347.22070745763</v>
      </c>
      <c r="AG675" s="99">
        <f>IF(ISNUMBER('General Info'!$B$42), ((SamplingData[[#This Row],[up/U Selection Probability]]) * 'General Info'!$B$44) - 1, 0)</f>
        <v>826.06220234849422</v>
      </c>
      <c r="AH675" s="99">
        <f>IF(ISNUMBER('General Info'!$B$42), (SamplingData[[#This Row],[Running (cumulative) sum]] * ('General Info'!$B$42 -'General Info'!$B$43 + 1)) + 'General Info'!$B$43 - 1, 0)</f>
        <v>583173.28290980612</v>
      </c>
      <c r="AI675" s="99" t="str">
        <f>IF(ISERROR(MATCH(SamplingData[[#This Row],[Batch by Type (p)]],SelectedPrecincts[Batch Name], 0)), "", INDEX(SelectedPrecincts[Draw], MATCH(SamplingData[[#This Row],[Batch by Type (p)]],SelectedPrecincts[Batch Name], 0)))</f>
        <v/>
      </c>
      <c r="AJ675" s="100">
        <f>IF(COUNTIF(SelectedPrecincts[Batch Name],SamplingData[[#This Row],[Batch by Type (p)]]) &lt;&gt; 0, COUNTIF(SelectedPrecincts[Batch Name],SamplingData[[#This Row],[Batch by Type (p)]]), 0)</f>
        <v>0</v>
      </c>
    </row>
    <row r="676" spans="1:36" ht="15" customHeight="1" x14ac:dyDescent="0.35">
      <c r="A676" s="97" t="s">
        <v>889</v>
      </c>
      <c r="B676" s="97">
        <v>215</v>
      </c>
      <c r="C676" s="97">
        <v>64</v>
      </c>
      <c r="D676" s="92"/>
      <c r="E676" s="92"/>
      <c r="F676" s="92"/>
      <c r="G676" s="96"/>
      <c r="H676" s="96"/>
      <c r="I676" s="92"/>
      <c r="J676" s="92"/>
      <c r="K676" s="92"/>
      <c r="L676" s="92"/>
      <c r="M676" s="92"/>
      <c r="N676" s="97">
        <v>1</v>
      </c>
      <c r="O676" s="97">
        <v>22</v>
      </c>
      <c r="P676" s="98">
        <f>SUM(SamplingData[[#This Row],[Winning Candidate]:[Under Votes]])</f>
        <v>302</v>
      </c>
      <c r="Q676" s="99">
        <f>IF(AND(SamplingData[[#This Row],[Total]]&lt;&gt; 0, NOT(ISBLANK(SamplingData[[#This Row],[Losing Candidate]]))),(SamplingData[[#This Row],[Total]]+SamplingData[[#This Row],[Winning Candidate]]-SamplingData[[#This Row],[Losing Candidate]])/(SamplingData[[#Totals],[Winning Candidate]]-SamplingData[[#Totals],[Losing Candidate]]), 0)</f>
        <v>1.9224240366661007E-2</v>
      </c>
      <c r="R676" s="99">
        <f>IF(AND(SamplingData[[#This Row],[Total]]&lt;&gt; 0, NOT(ISBLANK(SamplingData[[#This Row],[Candidate 3]]))),(SamplingData[[#This Row],[Total]]+SamplingData[[#This Row],[Winning Candidate]]-SamplingData[[#This Row],[Candidate 3]])/(SamplingData[[#Totals],[Winning Candidate]]-SamplingData[[#Totals],[Candidate 3]]), 0)</f>
        <v>0</v>
      </c>
      <c r="S676" s="99">
        <f>IF(AND(SamplingData[[#This Row],[Total]]&lt;&gt; 0, NOT(ISBLANK(SamplingData[[#This Row],[Candidate 4]]))),(SamplingData[[#This Row],[Total]]+SamplingData[[#This Row],[Winning Candidate]]-SamplingData[[#This Row],[Candidate 4]])/(SamplingData[[#Totals],[Winning Candidate]]-SamplingData[[#Totals],[Candidate 4]]), 0)</f>
        <v>0</v>
      </c>
      <c r="T676" s="99">
        <f>IF(AND(SamplingData[[#This Row],[Total]]&lt;&gt; 0, NOT(ISBLANK(SamplingData[[#This Row],[Candidate 5]]))),(SamplingData[[#This Row],[Total]]+SamplingData[[#This Row],[Winning Candidate]]-SamplingData[[#This Row],[Candidate 5]])/(SamplingData[[#Totals],[Winning Candidate]]-SamplingData[[#Totals],[Candidate 5]]), 0)</f>
        <v>0</v>
      </c>
      <c r="U676" s="99">
        <f>IF(AND(SamplingData[[#This Row],[Total]]&lt;&gt; 0, NOT(ISBLANK(SamplingData[[#This Row],[Candidate 6]]))),(SamplingData[[#This Row],[Total]]+SamplingData[[#This Row],[Losing Candidate]]-SamplingData[[#This Row],[Candidate 6]])/(SamplingData[[#Totals],[Winning Candidate]]-SamplingData[[#Totals],[Candidate 6]]), 0)</f>
        <v>0</v>
      </c>
      <c r="V676" s="99">
        <f>IF(AND(SamplingData[[#This Row],[Total]]&lt;&gt; 0, NOT(ISBLANK(SamplingData[[#This Row],[Candidate 7]]))),(SamplingData[[#This Row],[Total]]+SamplingData[[#This Row],[Winning Candidate]]-SamplingData[[#This Row],[Candidate 7]])/(SamplingData[[#Totals],[Winning Candidate]]-SamplingData[[#Totals],[Candidate 7]]), 0)</f>
        <v>0</v>
      </c>
      <c r="W676" s="99">
        <f>IF(AND(SamplingData[[#This Row],[Total]]&lt;&gt; 0, NOT(ISBLANK(SamplingData[[#This Row],[Candidate 8]]))),(SamplingData[[#This Row],[Total]]+SamplingData[[#This Row],[Winning Candidate]]-SamplingData[[#This Row],[Candidate 8]])/(SamplingData[[#Totals],[Winning Candidate]]-SamplingData[[#Totals],[Candidate 8]]), 0)</f>
        <v>0</v>
      </c>
      <c r="X6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6" s="99">
        <f>MAX(SamplingData[[#This Row],[Error Bound (up) - Max. possible relative overstatement - Losing Candidate]:[Error Bound (up) - Max. possible relative overstatement - Candidate 12]])</f>
        <v>1.9224240366661007E-2</v>
      </c>
      <c r="AC676" s="99">
        <f>IF(SamplingData[[#This Row],[Max Error Bound (up)]] = 0,0,SamplingData[[#This Row],[Max Error Bound (up)]]/SamplingData[[#Totals],[Max Error Bound (up)]])</f>
        <v>1.0292834551205161E-3</v>
      </c>
      <c r="AD676" s="103">
        <f>SUM($AC$5:AC676)</f>
        <v>0.58420356636492665</v>
      </c>
      <c r="AE676" s="99" t="str" cm="1">
        <f t="array" ref="AE676">IF(SamplingData[[#This Row],[up/U Selection Probability]] = 0, "Zero", TEXT(SamplingData[[#This Row],[Lower Range]], REPT("0",LEN('General Info'!$B$42))) &amp; " - " &amp; TEXT(SamplingData[[#This Row],[Upper Range]], REPT("0",LEN('General Info'!$B$42))))</f>
        <v>583174 - 584203</v>
      </c>
      <c r="AF676" s="99">
        <f>SamplingData[[#This Row],[Upper Range]]-SamplingData[[#This Row],[Span]]</f>
        <v>583174.28290980612</v>
      </c>
      <c r="AG676" s="99">
        <f>IF(ISNUMBER('General Info'!$B$42), ((SamplingData[[#This Row],[up/U Selection Probability]]) * 'General Info'!$B$44) - 1, 0)</f>
        <v>1028.283455120516</v>
      </c>
      <c r="AH676" s="99">
        <f>IF(ISNUMBER('General Info'!$B$42), (SamplingData[[#This Row],[Running (cumulative) sum]] * ('General Info'!$B$42 -'General Info'!$B$43 + 1)) + 'General Info'!$B$43 - 1, 0)</f>
        <v>584202.56636492664</v>
      </c>
      <c r="AI676" s="99" t="str">
        <f>IF(ISERROR(MATCH(SamplingData[[#This Row],[Batch by Type (p)]],SelectedPrecincts[Batch Name], 0)), "", INDEX(SelectedPrecincts[Draw], MATCH(SamplingData[[#This Row],[Batch by Type (p)]],SelectedPrecincts[Batch Name], 0)))</f>
        <v/>
      </c>
      <c r="AJ676" s="100">
        <f>IF(COUNTIF(SelectedPrecincts[Batch Name],SamplingData[[#This Row],[Batch by Type (p)]]) &lt;&gt; 0, COUNTIF(SelectedPrecincts[Batch Name],SamplingData[[#This Row],[Batch by Type (p)]]), 0)</f>
        <v>0</v>
      </c>
    </row>
    <row r="677" spans="1:36" ht="15" customHeight="1" x14ac:dyDescent="0.35">
      <c r="A677" s="97" t="s">
        <v>890</v>
      </c>
      <c r="B677" s="97">
        <v>406</v>
      </c>
      <c r="C677" s="97">
        <v>37</v>
      </c>
      <c r="D677" s="92"/>
      <c r="E677" s="92"/>
      <c r="F677" s="92"/>
      <c r="G677" s="96"/>
      <c r="H677" s="96"/>
      <c r="I677" s="92"/>
      <c r="J677" s="92"/>
      <c r="K677" s="92"/>
      <c r="L677" s="92"/>
      <c r="M677" s="92"/>
      <c r="N677" s="97">
        <v>0</v>
      </c>
      <c r="O677" s="97">
        <v>63</v>
      </c>
      <c r="P677" s="98">
        <f>SUM(SamplingData[[#This Row],[Winning Candidate]:[Under Votes]])</f>
        <v>506</v>
      </c>
      <c r="Q677" s="99">
        <f>IF(AND(SamplingData[[#This Row],[Total]]&lt;&gt; 0, NOT(ISBLANK(SamplingData[[#This Row],[Losing Candidate]]))),(SamplingData[[#This Row],[Total]]+SamplingData[[#This Row],[Winning Candidate]]-SamplingData[[#This Row],[Losing Candidate]])/(SamplingData[[#Totals],[Winning Candidate]]-SamplingData[[#Totals],[Losing Candidate]]), 0)</f>
        <v>3.713291461551519E-2</v>
      </c>
      <c r="R677" s="99">
        <f>IF(AND(SamplingData[[#This Row],[Total]]&lt;&gt; 0, NOT(ISBLANK(SamplingData[[#This Row],[Candidate 3]]))),(SamplingData[[#This Row],[Total]]+SamplingData[[#This Row],[Winning Candidate]]-SamplingData[[#This Row],[Candidate 3]])/(SamplingData[[#Totals],[Winning Candidate]]-SamplingData[[#Totals],[Candidate 3]]), 0)</f>
        <v>0</v>
      </c>
      <c r="S677" s="99">
        <f>IF(AND(SamplingData[[#This Row],[Total]]&lt;&gt; 0, NOT(ISBLANK(SamplingData[[#This Row],[Candidate 4]]))),(SamplingData[[#This Row],[Total]]+SamplingData[[#This Row],[Winning Candidate]]-SamplingData[[#This Row],[Candidate 4]])/(SamplingData[[#Totals],[Winning Candidate]]-SamplingData[[#Totals],[Candidate 4]]), 0)</f>
        <v>0</v>
      </c>
      <c r="T677" s="99">
        <f>IF(AND(SamplingData[[#This Row],[Total]]&lt;&gt; 0, NOT(ISBLANK(SamplingData[[#This Row],[Candidate 5]]))),(SamplingData[[#This Row],[Total]]+SamplingData[[#This Row],[Winning Candidate]]-SamplingData[[#This Row],[Candidate 5]])/(SamplingData[[#Totals],[Winning Candidate]]-SamplingData[[#Totals],[Candidate 5]]), 0)</f>
        <v>0</v>
      </c>
      <c r="U677" s="99">
        <f>IF(AND(SamplingData[[#This Row],[Total]]&lt;&gt; 0, NOT(ISBLANK(SamplingData[[#This Row],[Candidate 6]]))),(SamplingData[[#This Row],[Total]]+SamplingData[[#This Row],[Losing Candidate]]-SamplingData[[#This Row],[Candidate 6]])/(SamplingData[[#Totals],[Winning Candidate]]-SamplingData[[#Totals],[Candidate 6]]), 0)</f>
        <v>0</v>
      </c>
      <c r="V677" s="99">
        <f>IF(AND(SamplingData[[#This Row],[Total]]&lt;&gt; 0, NOT(ISBLANK(SamplingData[[#This Row],[Candidate 7]]))),(SamplingData[[#This Row],[Total]]+SamplingData[[#This Row],[Winning Candidate]]-SamplingData[[#This Row],[Candidate 7]])/(SamplingData[[#Totals],[Winning Candidate]]-SamplingData[[#Totals],[Candidate 7]]), 0)</f>
        <v>0</v>
      </c>
      <c r="W677" s="99">
        <f>IF(AND(SamplingData[[#This Row],[Total]]&lt;&gt; 0, NOT(ISBLANK(SamplingData[[#This Row],[Candidate 8]]))),(SamplingData[[#This Row],[Total]]+SamplingData[[#This Row],[Winning Candidate]]-SamplingData[[#This Row],[Candidate 8]])/(SamplingData[[#Totals],[Winning Candidate]]-SamplingData[[#Totals],[Candidate 8]]), 0)</f>
        <v>0</v>
      </c>
      <c r="X6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7" s="99">
        <f>MAX(SamplingData[[#This Row],[Error Bound (up) - Max. possible relative overstatement - Losing Candidate]:[Error Bound (up) - Max. possible relative overstatement - Candidate 12]])</f>
        <v>3.713291461551519E-2</v>
      </c>
      <c r="AC677" s="99">
        <f>IF(SamplingData[[#This Row],[Max Error Bound (up)]] = 0,0,SamplingData[[#This Row],[Max Error Bound (up)]]/SamplingData[[#Totals],[Max Error Bound (up)]])</f>
        <v>1.9881302941069569E-3</v>
      </c>
      <c r="AD677" s="103">
        <f>SUM($AC$5:AC677)</f>
        <v>0.58619169665903359</v>
      </c>
      <c r="AE677" s="99" t="str" cm="1">
        <f t="array" ref="AE677">IF(SamplingData[[#This Row],[up/U Selection Probability]] = 0, "Zero", TEXT(SamplingData[[#This Row],[Lower Range]], REPT("0",LEN('General Info'!$B$42))) &amp; " - " &amp; TEXT(SamplingData[[#This Row],[Upper Range]], REPT("0",LEN('General Info'!$B$42))))</f>
        <v>584204 - 586191</v>
      </c>
      <c r="AF677" s="99">
        <f>SamplingData[[#This Row],[Upper Range]]-SamplingData[[#This Row],[Span]]</f>
        <v>584203.56636492664</v>
      </c>
      <c r="AG677" s="99">
        <f>IF(ISNUMBER('General Info'!$B$42), ((SamplingData[[#This Row],[up/U Selection Probability]]) * 'General Info'!$B$44) - 1, 0)</f>
        <v>1987.1302941069569</v>
      </c>
      <c r="AH677" s="99">
        <f>IF(ISNUMBER('General Info'!$B$42), (SamplingData[[#This Row],[Running (cumulative) sum]] * ('General Info'!$B$42 -'General Info'!$B$43 + 1)) + 'General Info'!$B$43 - 1, 0)</f>
        <v>586190.69665903354</v>
      </c>
      <c r="AI677" s="99" t="str">
        <f>IF(ISERROR(MATCH(SamplingData[[#This Row],[Batch by Type (p)]],SelectedPrecincts[Batch Name], 0)), "", INDEX(SelectedPrecincts[Draw], MATCH(SamplingData[[#This Row],[Batch by Type (p)]],SelectedPrecincts[Batch Name], 0)))</f>
        <v/>
      </c>
      <c r="AJ677" s="100">
        <f>IF(COUNTIF(SelectedPrecincts[Batch Name],SamplingData[[#This Row],[Batch by Type (p)]]) &lt;&gt; 0, COUNTIF(SelectedPrecincts[Batch Name],SamplingData[[#This Row],[Batch by Type (p)]]), 0)</f>
        <v>0</v>
      </c>
    </row>
    <row r="678" spans="1:36" ht="15" customHeight="1" x14ac:dyDescent="0.35">
      <c r="A678" s="97" t="s">
        <v>891</v>
      </c>
      <c r="B678" s="97">
        <v>270</v>
      </c>
      <c r="C678" s="97">
        <v>69</v>
      </c>
      <c r="D678" s="92"/>
      <c r="E678" s="92"/>
      <c r="F678" s="92"/>
      <c r="G678" s="96"/>
      <c r="H678" s="96"/>
      <c r="I678" s="92"/>
      <c r="J678" s="92"/>
      <c r="K678" s="92"/>
      <c r="L678" s="92"/>
      <c r="M678" s="92"/>
      <c r="N678" s="97">
        <v>1</v>
      </c>
      <c r="O678" s="97">
        <v>42</v>
      </c>
      <c r="P678" s="98">
        <f>SUM(SamplingData[[#This Row],[Winning Candidate]:[Under Votes]])</f>
        <v>382</v>
      </c>
      <c r="Q678" s="99">
        <f>IF(AND(SamplingData[[#This Row],[Total]]&lt;&gt; 0, NOT(ISBLANK(SamplingData[[#This Row],[Losing Candidate]]))),(SamplingData[[#This Row],[Total]]+SamplingData[[#This Row],[Winning Candidate]]-SamplingData[[#This Row],[Losing Candidate]])/(SamplingData[[#Totals],[Winning Candidate]]-SamplingData[[#Totals],[Losing Candidate]]), 0)</f>
        <v>2.4741130538108981E-2</v>
      </c>
      <c r="R678" s="99">
        <f>IF(AND(SamplingData[[#This Row],[Total]]&lt;&gt; 0, NOT(ISBLANK(SamplingData[[#This Row],[Candidate 3]]))),(SamplingData[[#This Row],[Total]]+SamplingData[[#This Row],[Winning Candidate]]-SamplingData[[#This Row],[Candidate 3]])/(SamplingData[[#Totals],[Winning Candidate]]-SamplingData[[#Totals],[Candidate 3]]), 0)</f>
        <v>0</v>
      </c>
      <c r="S678" s="99">
        <f>IF(AND(SamplingData[[#This Row],[Total]]&lt;&gt; 0, NOT(ISBLANK(SamplingData[[#This Row],[Candidate 4]]))),(SamplingData[[#This Row],[Total]]+SamplingData[[#This Row],[Winning Candidate]]-SamplingData[[#This Row],[Candidate 4]])/(SamplingData[[#Totals],[Winning Candidate]]-SamplingData[[#Totals],[Candidate 4]]), 0)</f>
        <v>0</v>
      </c>
      <c r="T678" s="99">
        <f>IF(AND(SamplingData[[#This Row],[Total]]&lt;&gt; 0, NOT(ISBLANK(SamplingData[[#This Row],[Candidate 5]]))),(SamplingData[[#This Row],[Total]]+SamplingData[[#This Row],[Winning Candidate]]-SamplingData[[#This Row],[Candidate 5]])/(SamplingData[[#Totals],[Winning Candidate]]-SamplingData[[#Totals],[Candidate 5]]), 0)</f>
        <v>0</v>
      </c>
      <c r="U678" s="99">
        <f>IF(AND(SamplingData[[#This Row],[Total]]&lt;&gt; 0, NOT(ISBLANK(SamplingData[[#This Row],[Candidate 6]]))),(SamplingData[[#This Row],[Total]]+SamplingData[[#This Row],[Losing Candidate]]-SamplingData[[#This Row],[Candidate 6]])/(SamplingData[[#Totals],[Winning Candidate]]-SamplingData[[#Totals],[Candidate 6]]), 0)</f>
        <v>0</v>
      </c>
      <c r="V678" s="99">
        <f>IF(AND(SamplingData[[#This Row],[Total]]&lt;&gt; 0, NOT(ISBLANK(SamplingData[[#This Row],[Candidate 7]]))),(SamplingData[[#This Row],[Total]]+SamplingData[[#This Row],[Winning Candidate]]-SamplingData[[#This Row],[Candidate 7]])/(SamplingData[[#Totals],[Winning Candidate]]-SamplingData[[#Totals],[Candidate 7]]), 0)</f>
        <v>0</v>
      </c>
      <c r="W678" s="99">
        <f>IF(AND(SamplingData[[#This Row],[Total]]&lt;&gt; 0, NOT(ISBLANK(SamplingData[[#This Row],[Candidate 8]]))),(SamplingData[[#This Row],[Total]]+SamplingData[[#This Row],[Winning Candidate]]-SamplingData[[#This Row],[Candidate 8]])/(SamplingData[[#Totals],[Winning Candidate]]-SamplingData[[#Totals],[Candidate 8]]), 0)</f>
        <v>0</v>
      </c>
      <c r="X6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8" s="99">
        <f>MAX(SamplingData[[#This Row],[Error Bound (up) - Max. possible relative overstatement - Losing Candidate]:[Error Bound (up) - Max. possible relative overstatement - Candidate 12]])</f>
        <v>2.4741130538108981E-2</v>
      </c>
      <c r="AC678" s="99">
        <f>IF(SamplingData[[#This Row],[Max Error Bound (up)]] = 0,0,SamplingData[[#This Row],[Max Error Bound (up)]]/SamplingData[[#Totals],[Max Error Bound (up)]])</f>
        <v>1.3246628131021213E-3</v>
      </c>
      <c r="AD678" s="103">
        <f>SUM($AC$5:AC678)</f>
        <v>0.58751635947213576</v>
      </c>
      <c r="AE678" s="99" t="str" cm="1">
        <f t="array" ref="AE678">IF(SamplingData[[#This Row],[up/U Selection Probability]] = 0, "Zero", TEXT(SamplingData[[#This Row],[Lower Range]], REPT("0",LEN('General Info'!$B$42))) &amp; " - " &amp; TEXT(SamplingData[[#This Row],[Upper Range]], REPT("0",LEN('General Info'!$B$42))))</f>
        <v>586192 - 587515</v>
      </c>
      <c r="AF678" s="99">
        <f>SamplingData[[#This Row],[Upper Range]]-SamplingData[[#This Row],[Span]]</f>
        <v>586191.69665903365</v>
      </c>
      <c r="AG678" s="99">
        <f>IF(ISNUMBER('General Info'!$B$42), ((SamplingData[[#This Row],[up/U Selection Probability]]) * 'General Info'!$B$44) - 1, 0)</f>
        <v>1323.6628131021214</v>
      </c>
      <c r="AH678" s="99">
        <f>IF(ISNUMBER('General Info'!$B$42), (SamplingData[[#This Row],[Running (cumulative) sum]] * ('General Info'!$B$42 -'General Info'!$B$43 + 1)) + 'General Info'!$B$43 - 1, 0)</f>
        <v>587515.35947213578</v>
      </c>
      <c r="AI678" s="99" t="str">
        <f>IF(ISERROR(MATCH(SamplingData[[#This Row],[Batch by Type (p)]],SelectedPrecincts[Batch Name], 0)), "", INDEX(SelectedPrecincts[Draw], MATCH(SamplingData[[#This Row],[Batch by Type (p)]],SelectedPrecincts[Batch Name], 0)))</f>
        <v/>
      </c>
      <c r="AJ678" s="100">
        <f>IF(COUNTIF(SelectedPrecincts[Batch Name],SamplingData[[#This Row],[Batch by Type (p)]]) &lt;&gt; 0, COUNTIF(SelectedPrecincts[Batch Name],SamplingData[[#This Row],[Batch by Type (p)]]), 0)</f>
        <v>0</v>
      </c>
    </row>
    <row r="679" spans="1:36" ht="15" customHeight="1" x14ac:dyDescent="0.35">
      <c r="A679" s="97" t="s">
        <v>892</v>
      </c>
      <c r="B679" s="97">
        <v>308</v>
      </c>
      <c r="C679" s="97">
        <v>41</v>
      </c>
      <c r="D679" s="92"/>
      <c r="E679" s="92"/>
      <c r="F679" s="92"/>
      <c r="G679" s="96"/>
      <c r="H679" s="96"/>
      <c r="I679" s="92"/>
      <c r="J679" s="92"/>
      <c r="K679" s="92"/>
      <c r="L679" s="92"/>
      <c r="M679" s="92"/>
      <c r="N679" s="97">
        <v>1</v>
      </c>
      <c r="O679" s="97">
        <v>21</v>
      </c>
      <c r="P679" s="98">
        <f>SUM(SamplingData[[#This Row],[Winning Candidate]:[Under Votes]])</f>
        <v>371</v>
      </c>
      <c r="Q679" s="99">
        <f>IF(AND(SamplingData[[#This Row],[Total]]&lt;&gt; 0, NOT(ISBLANK(SamplingData[[#This Row],[Losing Candidate]]))),(SamplingData[[#This Row],[Total]]+SamplingData[[#This Row],[Winning Candidate]]-SamplingData[[#This Row],[Losing Candidate]])/(SamplingData[[#Totals],[Winning Candidate]]-SamplingData[[#Totals],[Losing Candidate]]), 0)</f>
        <v>2.7075199456798506E-2</v>
      </c>
      <c r="R679" s="99">
        <f>IF(AND(SamplingData[[#This Row],[Total]]&lt;&gt; 0, NOT(ISBLANK(SamplingData[[#This Row],[Candidate 3]]))),(SamplingData[[#This Row],[Total]]+SamplingData[[#This Row],[Winning Candidate]]-SamplingData[[#This Row],[Candidate 3]])/(SamplingData[[#Totals],[Winning Candidate]]-SamplingData[[#Totals],[Candidate 3]]), 0)</f>
        <v>0</v>
      </c>
      <c r="S679" s="99">
        <f>IF(AND(SamplingData[[#This Row],[Total]]&lt;&gt; 0, NOT(ISBLANK(SamplingData[[#This Row],[Candidate 4]]))),(SamplingData[[#This Row],[Total]]+SamplingData[[#This Row],[Winning Candidate]]-SamplingData[[#This Row],[Candidate 4]])/(SamplingData[[#Totals],[Winning Candidate]]-SamplingData[[#Totals],[Candidate 4]]), 0)</f>
        <v>0</v>
      </c>
      <c r="T679" s="99">
        <f>IF(AND(SamplingData[[#This Row],[Total]]&lt;&gt; 0, NOT(ISBLANK(SamplingData[[#This Row],[Candidate 5]]))),(SamplingData[[#This Row],[Total]]+SamplingData[[#This Row],[Winning Candidate]]-SamplingData[[#This Row],[Candidate 5]])/(SamplingData[[#Totals],[Winning Candidate]]-SamplingData[[#Totals],[Candidate 5]]), 0)</f>
        <v>0</v>
      </c>
      <c r="U679" s="99">
        <f>IF(AND(SamplingData[[#This Row],[Total]]&lt;&gt; 0, NOT(ISBLANK(SamplingData[[#This Row],[Candidate 6]]))),(SamplingData[[#This Row],[Total]]+SamplingData[[#This Row],[Losing Candidate]]-SamplingData[[#This Row],[Candidate 6]])/(SamplingData[[#Totals],[Winning Candidate]]-SamplingData[[#Totals],[Candidate 6]]), 0)</f>
        <v>0</v>
      </c>
      <c r="V679" s="99">
        <f>IF(AND(SamplingData[[#This Row],[Total]]&lt;&gt; 0, NOT(ISBLANK(SamplingData[[#This Row],[Candidate 7]]))),(SamplingData[[#This Row],[Total]]+SamplingData[[#This Row],[Winning Candidate]]-SamplingData[[#This Row],[Candidate 7]])/(SamplingData[[#Totals],[Winning Candidate]]-SamplingData[[#Totals],[Candidate 7]]), 0)</f>
        <v>0</v>
      </c>
      <c r="W679" s="99">
        <f>IF(AND(SamplingData[[#This Row],[Total]]&lt;&gt; 0, NOT(ISBLANK(SamplingData[[#This Row],[Candidate 8]]))),(SamplingData[[#This Row],[Total]]+SamplingData[[#This Row],[Winning Candidate]]-SamplingData[[#This Row],[Candidate 8]])/(SamplingData[[#Totals],[Winning Candidate]]-SamplingData[[#Totals],[Candidate 8]]), 0)</f>
        <v>0</v>
      </c>
      <c r="X6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9" s="99">
        <f>MAX(SamplingData[[#This Row],[Error Bound (up) - Max. possible relative overstatement - Losing Candidate]:[Error Bound (up) - Max. possible relative overstatement - Candidate 12]])</f>
        <v>2.7075199456798506E-2</v>
      </c>
      <c r="AC679" s="99">
        <f>IF(SamplingData[[#This Row],[Max Error Bound (up)]] = 0,0,SamplingData[[#This Row],[Max Error Bound (up)]]/SamplingData[[#Totals],[Max Error Bound (up)]])</f>
        <v>1.4496310030174156E-3</v>
      </c>
      <c r="AD679" s="103">
        <f>SUM($AC$5:AC679)</f>
        <v>0.58896599047515319</v>
      </c>
      <c r="AE679" s="99" t="str" cm="1">
        <f t="array" ref="AE679">IF(SamplingData[[#This Row],[up/U Selection Probability]] = 0, "Zero", TEXT(SamplingData[[#This Row],[Lower Range]], REPT("0",LEN('General Info'!$B$42))) &amp; " - " &amp; TEXT(SamplingData[[#This Row],[Upper Range]], REPT("0",LEN('General Info'!$B$42))))</f>
        <v>587516 - 588965</v>
      </c>
      <c r="AF679" s="99">
        <f>SamplingData[[#This Row],[Upper Range]]-SamplingData[[#This Row],[Span]]</f>
        <v>587516.35947213578</v>
      </c>
      <c r="AG679" s="99">
        <f>IF(ISNUMBER('General Info'!$B$42), ((SamplingData[[#This Row],[up/U Selection Probability]]) * 'General Info'!$B$44) - 1, 0)</f>
        <v>1448.6310030174157</v>
      </c>
      <c r="AH679" s="99">
        <f>IF(ISNUMBER('General Info'!$B$42), (SamplingData[[#This Row],[Running (cumulative) sum]] * ('General Info'!$B$42 -'General Info'!$B$43 + 1)) + 'General Info'!$B$43 - 1, 0)</f>
        <v>588964.9904751532</v>
      </c>
      <c r="AI679" s="99" t="str">
        <f>IF(ISERROR(MATCH(SamplingData[[#This Row],[Batch by Type (p)]],SelectedPrecincts[Batch Name], 0)), "", INDEX(SelectedPrecincts[Draw], MATCH(SamplingData[[#This Row],[Batch by Type (p)]],SelectedPrecincts[Batch Name], 0)))</f>
        <v/>
      </c>
      <c r="AJ679" s="100">
        <f>IF(COUNTIF(SelectedPrecincts[Batch Name],SamplingData[[#This Row],[Batch by Type (p)]]) &lt;&gt; 0, COUNTIF(SelectedPrecincts[Batch Name],SamplingData[[#This Row],[Batch by Type (p)]]), 0)</f>
        <v>0</v>
      </c>
    </row>
    <row r="680" spans="1:36" ht="15" customHeight="1" x14ac:dyDescent="0.35">
      <c r="A680" s="97" t="s">
        <v>893</v>
      </c>
      <c r="B680" s="97">
        <v>248</v>
      </c>
      <c r="C680" s="97">
        <v>32</v>
      </c>
      <c r="D680" s="92"/>
      <c r="E680" s="92"/>
      <c r="F680" s="92"/>
      <c r="G680" s="96"/>
      <c r="H680" s="96"/>
      <c r="I680" s="92"/>
      <c r="J680" s="92"/>
      <c r="K680" s="92"/>
      <c r="L680" s="92"/>
      <c r="M680" s="92"/>
      <c r="N680" s="97">
        <v>0</v>
      </c>
      <c r="O680" s="97">
        <v>20</v>
      </c>
      <c r="P680" s="98">
        <f>SUM(SamplingData[[#This Row],[Winning Candidate]:[Under Votes]])</f>
        <v>300</v>
      </c>
      <c r="Q680" s="99">
        <f>IF(AND(SamplingData[[#This Row],[Total]]&lt;&gt; 0, NOT(ISBLANK(SamplingData[[#This Row],[Losing Candidate]]))),(SamplingData[[#This Row],[Total]]+SamplingData[[#This Row],[Winning Candidate]]-SamplingData[[#This Row],[Losing Candidate]])/(SamplingData[[#Totals],[Winning Candidate]]-SamplingData[[#Totals],[Losing Candidate]]), 0)</f>
        <v>2.1897810218978103E-2</v>
      </c>
      <c r="R680" s="99">
        <f>IF(AND(SamplingData[[#This Row],[Total]]&lt;&gt; 0, NOT(ISBLANK(SamplingData[[#This Row],[Candidate 3]]))),(SamplingData[[#This Row],[Total]]+SamplingData[[#This Row],[Winning Candidate]]-SamplingData[[#This Row],[Candidate 3]])/(SamplingData[[#Totals],[Winning Candidate]]-SamplingData[[#Totals],[Candidate 3]]), 0)</f>
        <v>0</v>
      </c>
      <c r="S680" s="99">
        <f>IF(AND(SamplingData[[#This Row],[Total]]&lt;&gt; 0, NOT(ISBLANK(SamplingData[[#This Row],[Candidate 4]]))),(SamplingData[[#This Row],[Total]]+SamplingData[[#This Row],[Winning Candidate]]-SamplingData[[#This Row],[Candidate 4]])/(SamplingData[[#Totals],[Winning Candidate]]-SamplingData[[#Totals],[Candidate 4]]), 0)</f>
        <v>0</v>
      </c>
      <c r="T680" s="99">
        <f>IF(AND(SamplingData[[#This Row],[Total]]&lt;&gt; 0, NOT(ISBLANK(SamplingData[[#This Row],[Candidate 5]]))),(SamplingData[[#This Row],[Total]]+SamplingData[[#This Row],[Winning Candidate]]-SamplingData[[#This Row],[Candidate 5]])/(SamplingData[[#Totals],[Winning Candidate]]-SamplingData[[#Totals],[Candidate 5]]), 0)</f>
        <v>0</v>
      </c>
      <c r="U680" s="99">
        <f>IF(AND(SamplingData[[#This Row],[Total]]&lt;&gt; 0, NOT(ISBLANK(SamplingData[[#This Row],[Candidate 6]]))),(SamplingData[[#This Row],[Total]]+SamplingData[[#This Row],[Losing Candidate]]-SamplingData[[#This Row],[Candidate 6]])/(SamplingData[[#Totals],[Winning Candidate]]-SamplingData[[#Totals],[Candidate 6]]), 0)</f>
        <v>0</v>
      </c>
      <c r="V680" s="99">
        <f>IF(AND(SamplingData[[#This Row],[Total]]&lt;&gt; 0, NOT(ISBLANK(SamplingData[[#This Row],[Candidate 7]]))),(SamplingData[[#This Row],[Total]]+SamplingData[[#This Row],[Winning Candidate]]-SamplingData[[#This Row],[Candidate 7]])/(SamplingData[[#Totals],[Winning Candidate]]-SamplingData[[#Totals],[Candidate 7]]), 0)</f>
        <v>0</v>
      </c>
      <c r="W680" s="99">
        <f>IF(AND(SamplingData[[#This Row],[Total]]&lt;&gt; 0, NOT(ISBLANK(SamplingData[[#This Row],[Candidate 8]]))),(SamplingData[[#This Row],[Total]]+SamplingData[[#This Row],[Winning Candidate]]-SamplingData[[#This Row],[Candidate 8]])/(SamplingData[[#Totals],[Winning Candidate]]-SamplingData[[#Totals],[Candidate 8]]), 0)</f>
        <v>0</v>
      </c>
      <c r="X6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0" s="99">
        <f>MAX(SamplingData[[#This Row],[Error Bound (up) - Max. possible relative overstatement - Losing Candidate]:[Error Bound (up) - Max. possible relative overstatement - Candidate 12]])</f>
        <v>2.1897810218978103E-2</v>
      </c>
      <c r="AC680" s="99">
        <f>IF(SamplingData[[#This Row],[Max Error Bound (up)]] = 0,0,SamplingData[[#This Row],[Max Error Bound (up)]]/SamplingData[[#Totals],[Max Error Bound (up)]])</f>
        <v>1.1724288362962171E-3</v>
      </c>
      <c r="AD680" s="103">
        <f>SUM($AC$5:AC680)</f>
        <v>0.59013841931144939</v>
      </c>
      <c r="AE680" s="99" t="str" cm="1">
        <f t="array" ref="AE680">IF(SamplingData[[#This Row],[up/U Selection Probability]] = 0, "Zero", TEXT(SamplingData[[#This Row],[Lower Range]], REPT("0",LEN('General Info'!$B$42))) &amp; " - " &amp; TEXT(SamplingData[[#This Row],[Upper Range]], REPT("0",LEN('General Info'!$B$42))))</f>
        <v>588966 - 590137</v>
      </c>
      <c r="AF680" s="99">
        <f>SamplingData[[#This Row],[Upper Range]]-SamplingData[[#This Row],[Span]]</f>
        <v>588965.9904751532</v>
      </c>
      <c r="AG680" s="99">
        <f>IF(ISNUMBER('General Info'!$B$42), ((SamplingData[[#This Row],[up/U Selection Probability]]) * 'General Info'!$B$44) - 1, 0)</f>
        <v>1171.428836296217</v>
      </c>
      <c r="AH680" s="99">
        <f>IF(ISNUMBER('General Info'!$B$42), (SamplingData[[#This Row],[Running (cumulative) sum]] * ('General Info'!$B$42 -'General Info'!$B$43 + 1)) + 'General Info'!$B$43 - 1, 0)</f>
        <v>590137.4193114494</v>
      </c>
      <c r="AI680" s="99" t="str">
        <f>IF(ISERROR(MATCH(SamplingData[[#This Row],[Batch by Type (p)]],SelectedPrecincts[Batch Name], 0)), "", INDEX(SelectedPrecincts[Draw], MATCH(SamplingData[[#This Row],[Batch by Type (p)]],SelectedPrecincts[Batch Name], 0)))</f>
        <v/>
      </c>
      <c r="AJ680" s="100">
        <f>IF(COUNTIF(SelectedPrecincts[Batch Name],SamplingData[[#This Row],[Batch by Type (p)]]) &lt;&gt; 0, COUNTIF(SelectedPrecincts[Batch Name],SamplingData[[#This Row],[Batch by Type (p)]]), 0)</f>
        <v>0</v>
      </c>
    </row>
    <row r="681" spans="1:36" ht="15" customHeight="1" x14ac:dyDescent="0.35">
      <c r="A681" s="97" t="s">
        <v>894</v>
      </c>
      <c r="B681" s="97">
        <v>136</v>
      </c>
      <c r="C681" s="97">
        <v>17</v>
      </c>
      <c r="D681" s="92"/>
      <c r="E681" s="92"/>
      <c r="F681" s="92"/>
      <c r="G681" s="96"/>
      <c r="H681" s="96"/>
      <c r="I681" s="92"/>
      <c r="J681" s="92"/>
      <c r="K681" s="92"/>
      <c r="L681" s="92"/>
      <c r="M681" s="92"/>
      <c r="N681" s="97">
        <v>0</v>
      </c>
      <c r="O681" s="97">
        <v>23</v>
      </c>
      <c r="P681" s="98">
        <f>SUM(SamplingData[[#This Row],[Winning Candidate]:[Under Votes]])</f>
        <v>176</v>
      </c>
      <c r="Q681" s="99">
        <f>IF(AND(SamplingData[[#This Row],[Total]]&lt;&gt; 0, NOT(ISBLANK(SamplingData[[#This Row],[Losing Candidate]]))),(SamplingData[[#This Row],[Total]]+SamplingData[[#This Row],[Winning Candidate]]-SamplingData[[#This Row],[Losing Candidate]])/(SamplingData[[#Totals],[Winning Candidate]]-SamplingData[[#Totals],[Losing Candidate]]), 0)</f>
        <v>1.251909692751655E-2</v>
      </c>
      <c r="R681" s="99">
        <f>IF(AND(SamplingData[[#This Row],[Total]]&lt;&gt; 0, NOT(ISBLANK(SamplingData[[#This Row],[Candidate 3]]))),(SamplingData[[#This Row],[Total]]+SamplingData[[#This Row],[Winning Candidate]]-SamplingData[[#This Row],[Candidate 3]])/(SamplingData[[#Totals],[Winning Candidate]]-SamplingData[[#Totals],[Candidate 3]]), 0)</f>
        <v>0</v>
      </c>
      <c r="S681" s="99">
        <f>IF(AND(SamplingData[[#This Row],[Total]]&lt;&gt; 0, NOT(ISBLANK(SamplingData[[#This Row],[Candidate 4]]))),(SamplingData[[#This Row],[Total]]+SamplingData[[#This Row],[Winning Candidate]]-SamplingData[[#This Row],[Candidate 4]])/(SamplingData[[#Totals],[Winning Candidate]]-SamplingData[[#Totals],[Candidate 4]]), 0)</f>
        <v>0</v>
      </c>
      <c r="T681" s="99">
        <f>IF(AND(SamplingData[[#This Row],[Total]]&lt;&gt; 0, NOT(ISBLANK(SamplingData[[#This Row],[Candidate 5]]))),(SamplingData[[#This Row],[Total]]+SamplingData[[#This Row],[Winning Candidate]]-SamplingData[[#This Row],[Candidate 5]])/(SamplingData[[#Totals],[Winning Candidate]]-SamplingData[[#Totals],[Candidate 5]]), 0)</f>
        <v>0</v>
      </c>
      <c r="U681" s="99">
        <f>IF(AND(SamplingData[[#This Row],[Total]]&lt;&gt; 0, NOT(ISBLANK(SamplingData[[#This Row],[Candidate 6]]))),(SamplingData[[#This Row],[Total]]+SamplingData[[#This Row],[Losing Candidate]]-SamplingData[[#This Row],[Candidate 6]])/(SamplingData[[#Totals],[Winning Candidate]]-SamplingData[[#Totals],[Candidate 6]]), 0)</f>
        <v>0</v>
      </c>
      <c r="V681" s="99">
        <f>IF(AND(SamplingData[[#This Row],[Total]]&lt;&gt; 0, NOT(ISBLANK(SamplingData[[#This Row],[Candidate 7]]))),(SamplingData[[#This Row],[Total]]+SamplingData[[#This Row],[Winning Candidate]]-SamplingData[[#This Row],[Candidate 7]])/(SamplingData[[#Totals],[Winning Candidate]]-SamplingData[[#Totals],[Candidate 7]]), 0)</f>
        <v>0</v>
      </c>
      <c r="W681" s="99">
        <f>IF(AND(SamplingData[[#This Row],[Total]]&lt;&gt; 0, NOT(ISBLANK(SamplingData[[#This Row],[Candidate 8]]))),(SamplingData[[#This Row],[Total]]+SamplingData[[#This Row],[Winning Candidate]]-SamplingData[[#This Row],[Candidate 8]])/(SamplingData[[#Totals],[Winning Candidate]]-SamplingData[[#Totals],[Candidate 8]]), 0)</f>
        <v>0</v>
      </c>
      <c r="X6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1" s="99">
        <f>MAX(SamplingData[[#This Row],[Error Bound (up) - Max. possible relative overstatement - Losing Candidate]:[Error Bound (up) - Max. possible relative overstatement - Candidate 12]])</f>
        <v>1.251909692751655E-2</v>
      </c>
      <c r="AC681" s="99">
        <f>IF(SamplingData[[#This Row],[Max Error Bound (up)]] = 0,0,SamplingData[[#This Row],[Max Error Bound (up)]]/SamplingData[[#Totals],[Max Error Bound (up)]])</f>
        <v>6.702839277274884E-4</v>
      </c>
      <c r="AD681" s="103">
        <f>SUM($AC$5:AC681)</f>
        <v>0.59080870323917689</v>
      </c>
      <c r="AE681" s="99" t="str" cm="1">
        <f t="array" ref="AE681">IF(SamplingData[[#This Row],[up/U Selection Probability]] = 0, "Zero", TEXT(SamplingData[[#This Row],[Lower Range]], REPT("0",LEN('General Info'!$B$42))) &amp; " - " &amp; TEXT(SamplingData[[#This Row],[Upper Range]], REPT("0",LEN('General Info'!$B$42))))</f>
        <v>590138 - 590808</v>
      </c>
      <c r="AF681" s="99">
        <f>SamplingData[[#This Row],[Upper Range]]-SamplingData[[#This Row],[Span]]</f>
        <v>590138.4193114494</v>
      </c>
      <c r="AG681" s="99">
        <f>IF(ISNUMBER('General Info'!$B$42), ((SamplingData[[#This Row],[up/U Selection Probability]]) * 'General Info'!$B$44) - 1, 0)</f>
        <v>669.28392772748839</v>
      </c>
      <c r="AH681" s="99">
        <f>IF(ISNUMBER('General Info'!$B$42), (SamplingData[[#This Row],[Running (cumulative) sum]] * ('General Info'!$B$42 -'General Info'!$B$43 + 1)) + 'General Info'!$B$43 - 1, 0)</f>
        <v>590807.70323917689</v>
      </c>
      <c r="AI681" s="99" t="str">
        <f>IF(ISERROR(MATCH(SamplingData[[#This Row],[Batch by Type (p)]],SelectedPrecincts[Batch Name], 0)), "", INDEX(SelectedPrecincts[Draw], MATCH(SamplingData[[#This Row],[Batch by Type (p)]],SelectedPrecincts[Batch Name], 0)))</f>
        <v/>
      </c>
      <c r="AJ681" s="100">
        <f>IF(COUNTIF(SelectedPrecincts[Batch Name],SamplingData[[#This Row],[Batch by Type (p)]]) &lt;&gt; 0, COUNTIF(SelectedPrecincts[Batch Name],SamplingData[[#This Row],[Batch by Type (p)]]), 0)</f>
        <v>0</v>
      </c>
    </row>
    <row r="682" spans="1:36" ht="15" customHeight="1" x14ac:dyDescent="0.35">
      <c r="A682" s="97" t="s">
        <v>895</v>
      </c>
      <c r="B682" s="97">
        <v>146</v>
      </c>
      <c r="C682" s="97">
        <v>314</v>
      </c>
      <c r="D682" s="92"/>
      <c r="E682" s="92"/>
      <c r="F682" s="92"/>
      <c r="G682" s="96"/>
      <c r="H682" s="96"/>
      <c r="I682" s="92"/>
      <c r="J682" s="92"/>
      <c r="K682" s="92"/>
      <c r="L682" s="92"/>
      <c r="M682" s="92"/>
      <c r="N682" s="97">
        <v>1</v>
      </c>
      <c r="O682" s="97">
        <v>48</v>
      </c>
      <c r="P682" s="98">
        <f>SUM(SamplingData[[#This Row],[Winning Candidate]:[Under Votes]])</f>
        <v>509</v>
      </c>
      <c r="Q682" s="99">
        <f>IF(AND(SamplingData[[#This Row],[Total]]&lt;&gt; 0, NOT(ISBLANK(SamplingData[[#This Row],[Losing Candidate]]))),(SamplingData[[#This Row],[Total]]+SamplingData[[#This Row],[Winning Candidate]]-SamplingData[[#This Row],[Losing Candidate]])/(SamplingData[[#Totals],[Winning Candidate]]-SamplingData[[#Totals],[Losing Candidate]]), 0)</f>
        <v>1.4471227295875064E-2</v>
      </c>
      <c r="R682" s="99">
        <f>IF(AND(SamplingData[[#This Row],[Total]]&lt;&gt; 0, NOT(ISBLANK(SamplingData[[#This Row],[Candidate 3]]))),(SamplingData[[#This Row],[Total]]+SamplingData[[#This Row],[Winning Candidate]]-SamplingData[[#This Row],[Candidate 3]])/(SamplingData[[#Totals],[Winning Candidate]]-SamplingData[[#Totals],[Candidate 3]]), 0)</f>
        <v>0</v>
      </c>
      <c r="S682" s="99">
        <f>IF(AND(SamplingData[[#This Row],[Total]]&lt;&gt; 0, NOT(ISBLANK(SamplingData[[#This Row],[Candidate 4]]))),(SamplingData[[#This Row],[Total]]+SamplingData[[#This Row],[Winning Candidate]]-SamplingData[[#This Row],[Candidate 4]])/(SamplingData[[#Totals],[Winning Candidate]]-SamplingData[[#Totals],[Candidate 4]]), 0)</f>
        <v>0</v>
      </c>
      <c r="T682" s="99">
        <f>IF(AND(SamplingData[[#This Row],[Total]]&lt;&gt; 0, NOT(ISBLANK(SamplingData[[#This Row],[Candidate 5]]))),(SamplingData[[#This Row],[Total]]+SamplingData[[#This Row],[Winning Candidate]]-SamplingData[[#This Row],[Candidate 5]])/(SamplingData[[#Totals],[Winning Candidate]]-SamplingData[[#Totals],[Candidate 5]]), 0)</f>
        <v>0</v>
      </c>
      <c r="U682" s="99">
        <f>IF(AND(SamplingData[[#This Row],[Total]]&lt;&gt; 0, NOT(ISBLANK(SamplingData[[#This Row],[Candidate 6]]))),(SamplingData[[#This Row],[Total]]+SamplingData[[#This Row],[Losing Candidate]]-SamplingData[[#This Row],[Candidate 6]])/(SamplingData[[#Totals],[Winning Candidate]]-SamplingData[[#Totals],[Candidate 6]]), 0)</f>
        <v>0</v>
      </c>
      <c r="V682" s="99">
        <f>IF(AND(SamplingData[[#This Row],[Total]]&lt;&gt; 0, NOT(ISBLANK(SamplingData[[#This Row],[Candidate 7]]))),(SamplingData[[#This Row],[Total]]+SamplingData[[#This Row],[Winning Candidate]]-SamplingData[[#This Row],[Candidate 7]])/(SamplingData[[#Totals],[Winning Candidate]]-SamplingData[[#Totals],[Candidate 7]]), 0)</f>
        <v>0</v>
      </c>
      <c r="W682" s="99">
        <f>IF(AND(SamplingData[[#This Row],[Total]]&lt;&gt; 0, NOT(ISBLANK(SamplingData[[#This Row],[Candidate 8]]))),(SamplingData[[#This Row],[Total]]+SamplingData[[#This Row],[Winning Candidate]]-SamplingData[[#This Row],[Candidate 8]])/(SamplingData[[#Totals],[Winning Candidate]]-SamplingData[[#Totals],[Candidate 8]]), 0)</f>
        <v>0</v>
      </c>
      <c r="X6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2" s="99">
        <f>MAX(SamplingData[[#This Row],[Error Bound (up) - Max. possible relative overstatement - Losing Candidate]:[Error Bound (up) - Max. possible relative overstatement - Candidate 12]])</f>
        <v>1.4471227295875064E-2</v>
      </c>
      <c r="AC682" s="99">
        <f>IF(SamplingData[[#This Row],[Max Error Bound (up)]] = 0,0,SamplingData[[#This Row],[Max Error Bound (up)]]/SamplingData[[#Totals],[Max Error Bound (up)]])</f>
        <v>7.7480277747482562E-4</v>
      </c>
      <c r="AD682" s="103">
        <f>SUM($AC$5:AC682)</f>
        <v>0.59158350601665166</v>
      </c>
      <c r="AE682" s="99" t="str" cm="1">
        <f t="array" ref="AE682">IF(SamplingData[[#This Row],[up/U Selection Probability]] = 0, "Zero", TEXT(SamplingData[[#This Row],[Lower Range]], REPT("0",LEN('General Info'!$B$42))) &amp; " - " &amp; TEXT(SamplingData[[#This Row],[Upper Range]], REPT("0",LEN('General Info'!$B$42))))</f>
        <v>590809 - 591583</v>
      </c>
      <c r="AF682" s="99">
        <f>SamplingData[[#This Row],[Upper Range]]-SamplingData[[#This Row],[Span]]</f>
        <v>590808.70323917677</v>
      </c>
      <c r="AG682" s="99">
        <f>IF(ISNUMBER('General Info'!$B$42), ((SamplingData[[#This Row],[up/U Selection Probability]]) * 'General Info'!$B$44) - 1, 0)</f>
        <v>773.80277747482558</v>
      </c>
      <c r="AH682" s="99">
        <f>IF(ISNUMBER('General Info'!$B$42), (SamplingData[[#This Row],[Running (cumulative) sum]] * ('General Info'!$B$42 -'General Info'!$B$43 + 1)) + 'General Info'!$B$43 - 1, 0)</f>
        <v>591582.50601665163</v>
      </c>
      <c r="AI682" s="99" t="str">
        <f>IF(ISERROR(MATCH(SamplingData[[#This Row],[Batch by Type (p)]],SelectedPrecincts[Batch Name], 0)), "", INDEX(SelectedPrecincts[Draw], MATCH(SamplingData[[#This Row],[Batch by Type (p)]],SelectedPrecincts[Batch Name], 0)))</f>
        <v/>
      </c>
      <c r="AJ682" s="100">
        <f>IF(COUNTIF(SelectedPrecincts[Batch Name],SamplingData[[#This Row],[Batch by Type (p)]]) &lt;&gt; 0, COUNTIF(SelectedPrecincts[Batch Name],SamplingData[[#This Row],[Batch by Type (p)]]), 0)</f>
        <v>0</v>
      </c>
    </row>
    <row r="683" spans="1:36" ht="15" customHeight="1" x14ac:dyDescent="0.35">
      <c r="A683" s="97" t="s">
        <v>896</v>
      </c>
      <c r="B683" s="97">
        <v>212</v>
      </c>
      <c r="C683" s="97">
        <v>474</v>
      </c>
      <c r="D683" s="92"/>
      <c r="E683" s="92"/>
      <c r="F683" s="92"/>
      <c r="G683" s="96"/>
      <c r="H683" s="96"/>
      <c r="I683" s="92"/>
      <c r="J683" s="92"/>
      <c r="K683" s="92"/>
      <c r="L683" s="92"/>
      <c r="M683" s="92"/>
      <c r="N683" s="97">
        <v>1</v>
      </c>
      <c r="O683" s="97">
        <v>55</v>
      </c>
      <c r="P683" s="98">
        <f>SUM(SamplingData[[#This Row],[Winning Candidate]:[Under Votes]])</f>
        <v>742</v>
      </c>
      <c r="Q683" s="99">
        <f>IF(AND(SamplingData[[#This Row],[Total]]&lt;&gt; 0, NOT(ISBLANK(SamplingData[[#This Row],[Losing Candidate]]))),(SamplingData[[#This Row],[Total]]+SamplingData[[#This Row],[Winning Candidate]]-SamplingData[[#This Row],[Losing Candidate]])/(SamplingData[[#Totals],[Winning Candidate]]-SamplingData[[#Totals],[Losing Candidate]]), 0)</f>
        <v>2.0370056017654049E-2</v>
      </c>
      <c r="R683" s="99">
        <f>IF(AND(SamplingData[[#This Row],[Total]]&lt;&gt; 0, NOT(ISBLANK(SamplingData[[#This Row],[Candidate 3]]))),(SamplingData[[#This Row],[Total]]+SamplingData[[#This Row],[Winning Candidate]]-SamplingData[[#This Row],[Candidate 3]])/(SamplingData[[#Totals],[Winning Candidate]]-SamplingData[[#Totals],[Candidate 3]]), 0)</f>
        <v>0</v>
      </c>
      <c r="S683" s="99">
        <f>IF(AND(SamplingData[[#This Row],[Total]]&lt;&gt; 0, NOT(ISBLANK(SamplingData[[#This Row],[Candidate 4]]))),(SamplingData[[#This Row],[Total]]+SamplingData[[#This Row],[Winning Candidate]]-SamplingData[[#This Row],[Candidate 4]])/(SamplingData[[#Totals],[Winning Candidate]]-SamplingData[[#Totals],[Candidate 4]]), 0)</f>
        <v>0</v>
      </c>
      <c r="T683" s="99">
        <f>IF(AND(SamplingData[[#This Row],[Total]]&lt;&gt; 0, NOT(ISBLANK(SamplingData[[#This Row],[Candidate 5]]))),(SamplingData[[#This Row],[Total]]+SamplingData[[#This Row],[Winning Candidate]]-SamplingData[[#This Row],[Candidate 5]])/(SamplingData[[#Totals],[Winning Candidate]]-SamplingData[[#Totals],[Candidate 5]]), 0)</f>
        <v>0</v>
      </c>
      <c r="U683" s="99">
        <f>IF(AND(SamplingData[[#This Row],[Total]]&lt;&gt; 0, NOT(ISBLANK(SamplingData[[#This Row],[Candidate 6]]))),(SamplingData[[#This Row],[Total]]+SamplingData[[#This Row],[Losing Candidate]]-SamplingData[[#This Row],[Candidate 6]])/(SamplingData[[#Totals],[Winning Candidate]]-SamplingData[[#Totals],[Candidate 6]]), 0)</f>
        <v>0</v>
      </c>
      <c r="V683" s="99">
        <f>IF(AND(SamplingData[[#This Row],[Total]]&lt;&gt; 0, NOT(ISBLANK(SamplingData[[#This Row],[Candidate 7]]))),(SamplingData[[#This Row],[Total]]+SamplingData[[#This Row],[Winning Candidate]]-SamplingData[[#This Row],[Candidate 7]])/(SamplingData[[#Totals],[Winning Candidate]]-SamplingData[[#Totals],[Candidate 7]]), 0)</f>
        <v>0</v>
      </c>
      <c r="W683" s="99">
        <f>IF(AND(SamplingData[[#This Row],[Total]]&lt;&gt; 0, NOT(ISBLANK(SamplingData[[#This Row],[Candidate 8]]))),(SamplingData[[#This Row],[Total]]+SamplingData[[#This Row],[Winning Candidate]]-SamplingData[[#This Row],[Candidate 8]])/(SamplingData[[#Totals],[Winning Candidate]]-SamplingData[[#Totals],[Candidate 8]]), 0)</f>
        <v>0</v>
      </c>
      <c r="X6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3" s="99">
        <f>MAX(SamplingData[[#This Row],[Error Bound (up) - Max. possible relative overstatement - Losing Candidate]:[Error Bound (up) - Max. possible relative overstatement - Candidate 12]])</f>
        <v>2.0370056017654049E-2</v>
      </c>
      <c r="AC683" s="99">
        <f>IF(SamplingData[[#This Row],[Max Error Bound (up)]] = 0,0,SamplingData[[#This Row],[Max Error Bound (up)]]/SamplingData[[#Totals],[Max Error Bound (up)]])</f>
        <v>1.0906314756243879E-3</v>
      </c>
      <c r="AD683" s="103">
        <f>SUM($AC$5:AC683)</f>
        <v>0.59267413749227604</v>
      </c>
      <c r="AE683" s="99" t="str" cm="1">
        <f t="array" ref="AE683">IF(SamplingData[[#This Row],[up/U Selection Probability]] = 0, "Zero", TEXT(SamplingData[[#This Row],[Lower Range]], REPT("0",LEN('General Info'!$B$42))) &amp; " - " &amp; TEXT(SamplingData[[#This Row],[Upper Range]], REPT("0",LEN('General Info'!$B$42))))</f>
        <v>591584 - 592673</v>
      </c>
      <c r="AF683" s="99">
        <f>SamplingData[[#This Row],[Upper Range]]-SamplingData[[#This Row],[Span]]</f>
        <v>591583.50601665163</v>
      </c>
      <c r="AG683" s="99">
        <f>IF(ISNUMBER('General Info'!$B$42), ((SamplingData[[#This Row],[up/U Selection Probability]]) * 'General Info'!$B$44) - 1, 0)</f>
        <v>1089.6314756243878</v>
      </c>
      <c r="AH683" s="99">
        <f>IF(ISNUMBER('General Info'!$B$42), (SamplingData[[#This Row],[Running (cumulative) sum]] * ('General Info'!$B$42 -'General Info'!$B$43 + 1)) + 'General Info'!$B$43 - 1, 0)</f>
        <v>592673.13749227603</v>
      </c>
      <c r="AI683" s="99" t="str">
        <f>IF(ISERROR(MATCH(SamplingData[[#This Row],[Batch by Type (p)]],SelectedPrecincts[Batch Name], 0)), "", INDEX(SelectedPrecincts[Draw], MATCH(SamplingData[[#This Row],[Batch by Type (p)]],SelectedPrecincts[Batch Name], 0)))</f>
        <v/>
      </c>
      <c r="AJ683" s="100">
        <f>IF(COUNTIF(SelectedPrecincts[Batch Name],SamplingData[[#This Row],[Batch by Type (p)]]) &lt;&gt; 0, COUNTIF(SelectedPrecincts[Batch Name],SamplingData[[#This Row],[Batch by Type (p)]]), 0)</f>
        <v>0</v>
      </c>
    </row>
    <row r="684" spans="1:36" ht="15" customHeight="1" x14ac:dyDescent="0.35">
      <c r="A684" s="97" t="s">
        <v>897</v>
      </c>
      <c r="B684" s="97">
        <v>153</v>
      </c>
      <c r="C684" s="97">
        <v>253</v>
      </c>
      <c r="D684" s="92"/>
      <c r="E684" s="92"/>
      <c r="F684" s="92"/>
      <c r="G684" s="96"/>
      <c r="H684" s="96"/>
      <c r="I684" s="92"/>
      <c r="J684" s="92"/>
      <c r="K684" s="92"/>
      <c r="L684" s="92"/>
      <c r="M684" s="92"/>
      <c r="N684" s="97">
        <v>0</v>
      </c>
      <c r="O684" s="97">
        <v>33</v>
      </c>
      <c r="P684" s="98">
        <f>SUM(SamplingData[[#This Row],[Winning Candidate]:[Under Votes]])</f>
        <v>439</v>
      </c>
      <c r="Q684" s="99">
        <f>IF(AND(SamplingData[[#This Row],[Total]]&lt;&gt; 0, NOT(ISBLANK(SamplingData[[#This Row],[Losing Candidate]]))),(SamplingData[[#This Row],[Total]]+SamplingData[[#This Row],[Winning Candidate]]-SamplingData[[#This Row],[Losing Candidate]])/(SamplingData[[#Totals],[Winning Candidate]]-SamplingData[[#Totals],[Losing Candidate]]), 0)</f>
        <v>1.4386352062468171E-2</v>
      </c>
      <c r="R684" s="99">
        <f>IF(AND(SamplingData[[#This Row],[Total]]&lt;&gt; 0, NOT(ISBLANK(SamplingData[[#This Row],[Candidate 3]]))),(SamplingData[[#This Row],[Total]]+SamplingData[[#This Row],[Winning Candidate]]-SamplingData[[#This Row],[Candidate 3]])/(SamplingData[[#Totals],[Winning Candidate]]-SamplingData[[#Totals],[Candidate 3]]), 0)</f>
        <v>0</v>
      </c>
      <c r="S684" s="99">
        <f>IF(AND(SamplingData[[#This Row],[Total]]&lt;&gt; 0, NOT(ISBLANK(SamplingData[[#This Row],[Candidate 4]]))),(SamplingData[[#This Row],[Total]]+SamplingData[[#This Row],[Winning Candidate]]-SamplingData[[#This Row],[Candidate 4]])/(SamplingData[[#Totals],[Winning Candidate]]-SamplingData[[#Totals],[Candidate 4]]), 0)</f>
        <v>0</v>
      </c>
      <c r="T684" s="99">
        <f>IF(AND(SamplingData[[#This Row],[Total]]&lt;&gt; 0, NOT(ISBLANK(SamplingData[[#This Row],[Candidate 5]]))),(SamplingData[[#This Row],[Total]]+SamplingData[[#This Row],[Winning Candidate]]-SamplingData[[#This Row],[Candidate 5]])/(SamplingData[[#Totals],[Winning Candidate]]-SamplingData[[#Totals],[Candidate 5]]), 0)</f>
        <v>0</v>
      </c>
      <c r="U684" s="99">
        <f>IF(AND(SamplingData[[#This Row],[Total]]&lt;&gt; 0, NOT(ISBLANK(SamplingData[[#This Row],[Candidate 6]]))),(SamplingData[[#This Row],[Total]]+SamplingData[[#This Row],[Losing Candidate]]-SamplingData[[#This Row],[Candidate 6]])/(SamplingData[[#Totals],[Winning Candidate]]-SamplingData[[#Totals],[Candidate 6]]), 0)</f>
        <v>0</v>
      </c>
      <c r="V684" s="99">
        <f>IF(AND(SamplingData[[#This Row],[Total]]&lt;&gt; 0, NOT(ISBLANK(SamplingData[[#This Row],[Candidate 7]]))),(SamplingData[[#This Row],[Total]]+SamplingData[[#This Row],[Winning Candidate]]-SamplingData[[#This Row],[Candidate 7]])/(SamplingData[[#Totals],[Winning Candidate]]-SamplingData[[#Totals],[Candidate 7]]), 0)</f>
        <v>0</v>
      </c>
      <c r="W684" s="99">
        <f>IF(AND(SamplingData[[#This Row],[Total]]&lt;&gt; 0, NOT(ISBLANK(SamplingData[[#This Row],[Candidate 8]]))),(SamplingData[[#This Row],[Total]]+SamplingData[[#This Row],[Winning Candidate]]-SamplingData[[#This Row],[Candidate 8]])/(SamplingData[[#Totals],[Winning Candidate]]-SamplingData[[#Totals],[Candidate 8]]), 0)</f>
        <v>0</v>
      </c>
      <c r="X6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4" s="99">
        <f>MAX(SamplingData[[#This Row],[Error Bound (up) - Max. possible relative overstatement - Losing Candidate]:[Error Bound (up) - Max. possible relative overstatement - Candidate 12]])</f>
        <v>1.4386352062468171E-2</v>
      </c>
      <c r="AC684" s="99">
        <f>IF(SamplingData[[#This Row],[Max Error Bound (up)]] = 0,0,SamplingData[[#This Row],[Max Error Bound (up)]]/SamplingData[[#Totals],[Max Error Bound (up)]])</f>
        <v>7.7025847965972395E-4</v>
      </c>
      <c r="AD684" s="103">
        <f>SUM($AC$5:AC684)</f>
        <v>0.59344439597193577</v>
      </c>
      <c r="AE684" s="99" t="str" cm="1">
        <f t="array" ref="AE684">IF(SamplingData[[#This Row],[up/U Selection Probability]] = 0, "Zero", TEXT(SamplingData[[#This Row],[Lower Range]], REPT("0",LEN('General Info'!$B$42))) &amp; " - " &amp; TEXT(SamplingData[[#This Row],[Upper Range]], REPT("0",LEN('General Info'!$B$42))))</f>
        <v>592674 - 593443</v>
      </c>
      <c r="AF684" s="99">
        <f>SamplingData[[#This Row],[Upper Range]]-SamplingData[[#This Row],[Span]]</f>
        <v>592674.13749227615</v>
      </c>
      <c r="AG684" s="99">
        <f>IF(ISNUMBER('General Info'!$B$42), ((SamplingData[[#This Row],[up/U Selection Probability]]) * 'General Info'!$B$44) - 1, 0)</f>
        <v>769.258479659724</v>
      </c>
      <c r="AH684" s="99">
        <f>IF(ISNUMBER('General Info'!$B$42), (SamplingData[[#This Row],[Running (cumulative) sum]] * ('General Info'!$B$42 -'General Info'!$B$43 + 1)) + 'General Info'!$B$43 - 1, 0)</f>
        <v>593443.39597193582</v>
      </c>
      <c r="AI684" s="99" t="str">
        <f>IF(ISERROR(MATCH(SamplingData[[#This Row],[Batch by Type (p)]],SelectedPrecincts[Batch Name], 0)), "", INDEX(SelectedPrecincts[Draw], MATCH(SamplingData[[#This Row],[Batch by Type (p)]],SelectedPrecincts[Batch Name], 0)))</f>
        <v/>
      </c>
      <c r="AJ684" s="100">
        <f>IF(COUNTIF(SelectedPrecincts[Batch Name],SamplingData[[#This Row],[Batch by Type (p)]]) &lt;&gt; 0, COUNTIF(SelectedPrecincts[Batch Name],SamplingData[[#This Row],[Batch by Type (p)]]), 0)</f>
        <v>0</v>
      </c>
    </row>
    <row r="685" spans="1:36" ht="15" customHeight="1" x14ac:dyDescent="0.35">
      <c r="A685" s="97" t="s">
        <v>898</v>
      </c>
      <c r="B685" s="97">
        <v>51</v>
      </c>
      <c r="C685" s="97">
        <v>41</v>
      </c>
      <c r="D685" s="92"/>
      <c r="E685" s="92"/>
      <c r="F685" s="92"/>
      <c r="G685" s="96"/>
      <c r="H685" s="96"/>
      <c r="I685" s="92"/>
      <c r="J685" s="92"/>
      <c r="K685" s="92"/>
      <c r="L685" s="92"/>
      <c r="M685" s="92"/>
      <c r="N685" s="97">
        <v>0</v>
      </c>
      <c r="O685" s="97">
        <v>10</v>
      </c>
      <c r="P685" s="98">
        <f>SUM(SamplingData[[#This Row],[Winning Candidate]:[Under Votes]])</f>
        <v>102</v>
      </c>
      <c r="Q685" s="99">
        <f>IF(AND(SamplingData[[#This Row],[Total]]&lt;&gt; 0, NOT(ISBLANK(SamplingData[[#This Row],[Losing Candidate]]))),(SamplingData[[#This Row],[Total]]+SamplingData[[#This Row],[Winning Candidate]]-SamplingData[[#This Row],[Losing Candidate]])/(SamplingData[[#Totals],[Winning Candidate]]-SamplingData[[#Totals],[Losing Candidate]]), 0)</f>
        <v>4.7530130707859443E-3</v>
      </c>
      <c r="R685" s="99">
        <f>IF(AND(SamplingData[[#This Row],[Total]]&lt;&gt; 0, NOT(ISBLANK(SamplingData[[#This Row],[Candidate 3]]))),(SamplingData[[#This Row],[Total]]+SamplingData[[#This Row],[Winning Candidate]]-SamplingData[[#This Row],[Candidate 3]])/(SamplingData[[#Totals],[Winning Candidate]]-SamplingData[[#Totals],[Candidate 3]]), 0)</f>
        <v>0</v>
      </c>
      <c r="S685" s="99">
        <f>IF(AND(SamplingData[[#This Row],[Total]]&lt;&gt; 0, NOT(ISBLANK(SamplingData[[#This Row],[Candidate 4]]))),(SamplingData[[#This Row],[Total]]+SamplingData[[#This Row],[Winning Candidate]]-SamplingData[[#This Row],[Candidate 4]])/(SamplingData[[#Totals],[Winning Candidate]]-SamplingData[[#Totals],[Candidate 4]]), 0)</f>
        <v>0</v>
      </c>
      <c r="T685" s="99">
        <f>IF(AND(SamplingData[[#This Row],[Total]]&lt;&gt; 0, NOT(ISBLANK(SamplingData[[#This Row],[Candidate 5]]))),(SamplingData[[#This Row],[Total]]+SamplingData[[#This Row],[Winning Candidate]]-SamplingData[[#This Row],[Candidate 5]])/(SamplingData[[#Totals],[Winning Candidate]]-SamplingData[[#Totals],[Candidate 5]]), 0)</f>
        <v>0</v>
      </c>
      <c r="U685" s="99">
        <f>IF(AND(SamplingData[[#This Row],[Total]]&lt;&gt; 0, NOT(ISBLANK(SamplingData[[#This Row],[Candidate 6]]))),(SamplingData[[#This Row],[Total]]+SamplingData[[#This Row],[Losing Candidate]]-SamplingData[[#This Row],[Candidate 6]])/(SamplingData[[#Totals],[Winning Candidate]]-SamplingData[[#Totals],[Candidate 6]]), 0)</f>
        <v>0</v>
      </c>
      <c r="V685" s="99">
        <f>IF(AND(SamplingData[[#This Row],[Total]]&lt;&gt; 0, NOT(ISBLANK(SamplingData[[#This Row],[Candidate 7]]))),(SamplingData[[#This Row],[Total]]+SamplingData[[#This Row],[Winning Candidate]]-SamplingData[[#This Row],[Candidate 7]])/(SamplingData[[#Totals],[Winning Candidate]]-SamplingData[[#Totals],[Candidate 7]]), 0)</f>
        <v>0</v>
      </c>
      <c r="W685" s="99">
        <f>IF(AND(SamplingData[[#This Row],[Total]]&lt;&gt; 0, NOT(ISBLANK(SamplingData[[#This Row],[Candidate 8]]))),(SamplingData[[#This Row],[Total]]+SamplingData[[#This Row],[Winning Candidate]]-SamplingData[[#This Row],[Candidate 8]])/(SamplingData[[#Totals],[Winning Candidate]]-SamplingData[[#Totals],[Candidate 8]]), 0)</f>
        <v>0</v>
      </c>
      <c r="X6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5" s="99">
        <f>MAX(SamplingData[[#This Row],[Error Bound (up) - Max. possible relative overstatement - Losing Candidate]:[Error Bound (up) - Max. possible relative overstatement - Candidate 12]])</f>
        <v>4.7530130707859443E-3</v>
      </c>
      <c r="AC685" s="99">
        <f>IF(SamplingData[[#This Row],[Max Error Bound (up)]] = 0,0,SamplingData[[#This Row],[Max Error Bound (up)]]/SamplingData[[#Totals],[Max Error Bound (up)]])</f>
        <v>2.544806776456905E-4</v>
      </c>
      <c r="AD685" s="103">
        <f>SUM($AC$5:AC685)</f>
        <v>0.59369887664958143</v>
      </c>
      <c r="AE685" s="99" t="str" cm="1">
        <f t="array" ref="AE685">IF(SamplingData[[#This Row],[up/U Selection Probability]] = 0, "Zero", TEXT(SamplingData[[#This Row],[Lower Range]], REPT("0",LEN('General Info'!$B$42))) &amp; " - " &amp; TEXT(SamplingData[[#This Row],[Upper Range]], REPT("0",LEN('General Info'!$B$42))))</f>
        <v>593444 - 593698</v>
      </c>
      <c r="AF685" s="99">
        <f>SamplingData[[#This Row],[Upper Range]]-SamplingData[[#This Row],[Span]]</f>
        <v>593444.39597193582</v>
      </c>
      <c r="AG685" s="99">
        <f>IF(ISNUMBER('General Info'!$B$42), ((SamplingData[[#This Row],[up/U Selection Probability]]) * 'General Info'!$B$44) - 1, 0)</f>
        <v>253.48067764569049</v>
      </c>
      <c r="AH685" s="99">
        <f>IF(ISNUMBER('General Info'!$B$42), (SamplingData[[#This Row],[Running (cumulative) sum]] * ('General Info'!$B$42 -'General Info'!$B$43 + 1)) + 'General Info'!$B$43 - 1, 0)</f>
        <v>593697.87664958148</v>
      </c>
      <c r="AI685" s="99" t="str">
        <f>IF(ISERROR(MATCH(SamplingData[[#This Row],[Batch by Type (p)]],SelectedPrecincts[Batch Name], 0)), "", INDEX(SelectedPrecincts[Draw], MATCH(SamplingData[[#This Row],[Batch by Type (p)]],SelectedPrecincts[Batch Name], 0)))</f>
        <v/>
      </c>
      <c r="AJ685" s="100">
        <f>IF(COUNTIF(SelectedPrecincts[Batch Name],SamplingData[[#This Row],[Batch by Type (p)]]) &lt;&gt; 0, COUNTIF(SelectedPrecincts[Batch Name],SamplingData[[#This Row],[Batch by Type (p)]]), 0)</f>
        <v>0</v>
      </c>
    </row>
    <row r="686" spans="1:36" ht="15" customHeight="1" x14ac:dyDescent="0.35">
      <c r="A686" s="97" t="s">
        <v>899</v>
      </c>
      <c r="B686" s="97">
        <v>211</v>
      </c>
      <c r="C686" s="97">
        <v>107</v>
      </c>
      <c r="D686" s="92"/>
      <c r="E686" s="92"/>
      <c r="F686" s="92"/>
      <c r="G686" s="96"/>
      <c r="H686" s="96"/>
      <c r="I686" s="92"/>
      <c r="J686" s="92"/>
      <c r="K686" s="92"/>
      <c r="L686" s="92"/>
      <c r="M686" s="92"/>
      <c r="N686" s="97">
        <v>0</v>
      </c>
      <c r="O686" s="97">
        <v>20</v>
      </c>
      <c r="P686" s="98">
        <f>SUM(SamplingData[[#This Row],[Winning Candidate]:[Under Votes]])</f>
        <v>338</v>
      </c>
      <c r="Q686" s="99">
        <f>IF(AND(SamplingData[[#This Row],[Total]]&lt;&gt; 0, NOT(ISBLANK(SamplingData[[#This Row],[Losing Candidate]]))),(SamplingData[[#This Row],[Total]]+SamplingData[[#This Row],[Winning Candidate]]-SamplingData[[#This Row],[Losing Candidate]])/(SamplingData[[#Totals],[Winning Candidate]]-SamplingData[[#Totals],[Losing Candidate]]), 0)</f>
        <v>1.8757426582923103E-2</v>
      </c>
      <c r="R686" s="99">
        <f>IF(AND(SamplingData[[#This Row],[Total]]&lt;&gt; 0, NOT(ISBLANK(SamplingData[[#This Row],[Candidate 3]]))),(SamplingData[[#This Row],[Total]]+SamplingData[[#This Row],[Winning Candidate]]-SamplingData[[#This Row],[Candidate 3]])/(SamplingData[[#Totals],[Winning Candidate]]-SamplingData[[#Totals],[Candidate 3]]), 0)</f>
        <v>0</v>
      </c>
      <c r="S686" s="99">
        <f>IF(AND(SamplingData[[#This Row],[Total]]&lt;&gt; 0, NOT(ISBLANK(SamplingData[[#This Row],[Candidate 4]]))),(SamplingData[[#This Row],[Total]]+SamplingData[[#This Row],[Winning Candidate]]-SamplingData[[#This Row],[Candidate 4]])/(SamplingData[[#Totals],[Winning Candidate]]-SamplingData[[#Totals],[Candidate 4]]), 0)</f>
        <v>0</v>
      </c>
      <c r="T686" s="99">
        <f>IF(AND(SamplingData[[#This Row],[Total]]&lt;&gt; 0, NOT(ISBLANK(SamplingData[[#This Row],[Candidate 5]]))),(SamplingData[[#This Row],[Total]]+SamplingData[[#This Row],[Winning Candidate]]-SamplingData[[#This Row],[Candidate 5]])/(SamplingData[[#Totals],[Winning Candidate]]-SamplingData[[#Totals],[Candidate 5]]), 0)</f>
        <v>0</v>
      </c>
      <c r="U686" s="99">
        <f>IF(AND(SamplingData[[#This Row],[Total]]&lt;&gt; 0, NOT(ISBLANK(SamplingData[[#This Row],[Candidate 6]]))),(SamplingData[[#This Row],[Total]]+SamplingData[[#This Row],[Losing Candidate]]-SamplingData[[#This Row],[Candidate 6]])/(SamplingData[[#Totals],[Winning Candidate]]-SamplingData[[#Totals],[Candidate 6]]), 0)</f>
        <v>0</v>
      </c>
      <c r="V686" s="99">
        <f>IF(AND(SamplingData[[#This Row],[Total]]&lt;&gt; 0, NOT(ISBLANK(SamplingData[[#This Row],[Candidate 7]]))),(SamplingData[[#This Row],[Total]]+SamplingData[[#This Row],[Winning Candidate]]-SamplingData[[#This Row],[Candidate 7]])/(SamplingData[[#Totals],[Winning Candidate]]-SamplingData[[#Totals],[Candidate 7]]), 0)</f>
        <v>0</v>
      </c>
      <c r="W686" s="99">
        <f>IF(AND(SamplingData[[#This Row],[Total]]&lt;&gt; 0, NOT(ISBLANK(SamplingData[[#This Row],[Candidate 8]]))),(SamplingData[[#This Row],[Total]]+SamplingData[[#This Row],[Winning Candidate]]-SamplingData[[#This Row],[Candidate 8]])/(SamplingData[[#Totals],[Winning Candidate]]-SamplingData[[#Totals],[Candidate 8]]), 0)</f>
        <v>0</v>
      </c>
      <c r="X6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6" s="99">
        <f>MAX(SamplingData[[#This Row],[Error Bound (up) - Max. possible relative overstatement - Losing Candidate]:[Error Bound (up) - Max. possible relative overstatement - Candidate 12]])</f>
        <v>1.8757426582923103E-2</v>
      </c>
      <c r="AC686" s="99">
        <f>IF(SamplingData[[#This Row],[Max Error Bound (up)]] = 0,0,SamplingData[[#This Row],[Max Error Bound (up)]]/SamplingData[[#Totals],[Max Error Bound (up)]])</f>
        <v>1.0042898171374571E-3</v>
      </c>
      <c r="AD686" s="103">
        <f>SUM($AC$5:AC686)</f>
        <v>0.59470316646671884</v>
      </c>
      <c r="AE686" s="99" t="str" cm="1">
        <f t="array" ref="AE686">IF(SamplingData[[#This Row],[up/U Selection Probability]] = 0, "Zero", TEXT(SamplingData[[#This Row],[Lower Range]], REPT("0",LEN('General Info'!$B$42))) &amp; " - " &amp; TEXT(SamplingData[[#This Row],[Upper Range]], REPT("0",LEN('General Info'!$B$42))))</f>
        <v>593699 - 594702</v>
      </c>
      <c r="AF686" s="99">
        <f>SamplingData[[#This Row],[Upper Range]]-SamplingData[[#This Row],[Span]]</f>
        <v>593698.87664958148</v>
      </c>
      <c r="AG686" s="99">
        <f>IF(ISNUMBER('General Info'!$B$42), ((SamplingData[[#This Row],[up/U Selection Probability]]) * 'General Info'!$B$44) - 1, 0)</f>
        <v>1003.2898171374571</v>
      </c>
      <c r="AH686" s="99">
        <f>IF(ISNUMBER('General Info'!$B$42), (SamplingData[[#This Row],[Running (cumulative) sum]] * ('General Info'!$B$42 -'General Info'!$B$43 + 1)) + 'General Info'!$B$43 - 1, 0)</f>
        <v>594702.16646671889</v>
      </c>
      <c r="AI686" s="99" t="str">
        <f>IF(ISERROR(MATCH(SamplingData[[#This Row],[Batch by Type (p)]],SelectedPrecincts[Batch Name], 0)), "", INDEX(SelectedPrecincts[Draw], MATCH(SamplingData[[#This Row],[Batch by Type (p)]],SelectedPrecincts[Batch Name], 0)))</f>
        <v/>
      </c>
      <c r="AJ686" s="100">
        <f>IF(COUNTIF(SelectedPrecincts[Batch Name],SamplingData[[#This Row],[Batch by Type (p)]]) &lt;&gt; 0, COUNTIF(SelectedPrecincts[Batch Name],SamplingData[[#This Row],[Batch by Type (p)]]), 0)</f>
        <v>0</v>
      </c>
    </row>
    <row r="687" spans="1:36" ht="15" customHeight="1" x14ac:dyDescent="0.35">
      <c r="A687" s="97" t="s">
        <v>900</v>
      </c>
      <c r="B687" s="97">
        <v>192</v>
      </c>
      <c r="C687" s="97">
        <v>117</v>
      </c>
      <c r="D687" s="92"/>
      <c r="E687" s="92"/>
      <c r="F687" s="92"/>
      <c r="G687" s="96"/>
      <c r="H687" s="96"/>
      <c r="I687" s="92"/>
      <c r="J687" s="92"/>
      <c r="K687" s="92"/>
      <c r="L687" s="92"/>
      <c r="M687" s="92"/>
      <c r="N687" s="97">
        <v>0</v>
      </c>
      <c r="O687" s="97">
        <v>24</v>
      </c>
      <c r="P687" s="98">
        <f>SUM(SamplingData[[#This Row],[Winning Candidate]:[Under Votes]])</f>
        <v>333</v>
      </c>
      <c r="Q687" s="99">
        <f>IF(AND(SamplingData[[#This Row],[Total]]&lt;&gt; 0, NOT(ISBLANK(SamplingData[[#This Row],[Losing Candidate]]))),(SamplingData[[#This Row],[Total]]+SamplingData[[#This Row],[Winning Candidate]]-SamplingData[[#This Row],[Losing Candidate]])/(SamplingData[[#Totals],[Winning Candidate]]-SamplingData[[#Totals],[Losing Candidate]]), 0)</f>
        <v>1.7314547615005942E-2</v>
      </c>
      <c r="R687" s="99">
        <f>IF(AND(SamplingData[[#This Row],[Total]]&lt;&gt; 0, NOT(ISBLANK(SamplingData[[#This Row],[Candidate 3]]))),(SamplingData[[#This Row],[Total]]+SamplingData[[#This Row],[Winning Candidate]]-SamplingData[[#This Row],[Candidate 3]])/(SamplingData[[#Totals],[Winning Candidate]]-SamplingData[[#Totals],[Candidate 3]]), 0)</f>
        <v>0</v>
      </c>
      <c r="S687" s="99">
        <f>IF(AND(SamplingData[[#This Row],[Total]]&lt;&gt; 0, NOT(ISBLANK(SamplingData[[#This Row],[Candidate 4]]))),(SamplingData[[#This Row],[Total]]+SamplingData[[#This Row],[Winning Candidate]]-SamplingData[[#This Row],[Candidate 4]])/(SamplingData[[#Totals],[Winning Candidate]]-SamplingData[[#Totals],[Candidate 4]]), 0)</f>
        <v>0</v>
      </c>
      <c r="T687" s="99">
        <f>IF(AND(SamplingData[[#This Row],[Total]]&lt;&gt; 0, NOT(ISBLANK(SamplingData[[#This Row],[Candidate 5]]))),(SamplingData[[#This Row],[Total]]+SamplingData[[#This Row],[Winning Candidate]]-SamplingData[[#This Row],[Candidate 5]])/(SamplingData[[#Totals],[Winning Candidate]]-SamplingData[[#Totals],[Candidate 5]]), 0)</f>
        <v>0</v>
      </c>
      <c r="U687" s="99">
        <f>IF(AND(SamplingData[[#This Row],[Total]]&lt;&gt; 0, NOT(ISBLANK(SamplingData[[#This Row],[Candidate 6]]))),(SamplingData[[#This Row],[Total]]+SamplingData[[#This Row],[Losing Candidate]]-SamplingData[[#This Row],[Candidate 6]])/(SamplingData[[#Totals],[Winning Candidate]]-SamplingData[[#Totals],[Candidate 6]]), 0)</f>
        <v>0</v>
      </c>
      <c r="V687" s="99">
        <f>IF(AND(SamplingData[[#This Row],[Total]]&lt;&gt; 0, NOT(ISBLANK(SamplingData[[#This Row],[Candidate 7]]))),(SamplingData[[#This Row],[Total]]+SamplingData[[#This Row],[Winning Candidate]]-SamplingData[[#This Row],[Candidate 7]])/(SamplingData[[#Totals],[Winning Candidate]]-SamplingData[[#Totals],[Candidate 7]]), 0)</f>
        <v>0</v>
      </c>
      <c r="W687" s="99">
        <f>IF(AND(SamplingData[[#This Row],[Total]]&lt;&gt; 0, NOT(ISBLANK(SamplingData[[#This Row],[Candidate 8]]))),(SamplingData[[#This Row],[Total]]+SamplingData[[#This Row],[Winning Candidate]]-SamplingData[[#This Row],[Candidate 8]])/(SamplingData[[#Totals],[Winning Candidate]]-SamplingData[[#Totals],[Candidate 8]]), 0)</f>
        <v>0</v>
      </c>
      <c r="X6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7" s="99">
        <f>MAX(SamplingData[[#This Row],[Error Bound (up) - Max. possible relative overstatement - Losing Candidate]:[Error Bound (up) - Max. possible relative overstatement - Candidate 12]])</f>
        <v>1.7314547615005942E-2</v>
      </c>
      <c r="AC687" s="99">
        <f>IF(SamplingData[[#This Row],[Max Error Bound (up)]] = 0,0,SamplingData[[#This Row],[Max Error Bound (up)]]/SamplingData[[#Totals],[Max Error Bound (up)]])</f>
        <v>9.2703675428072979E-4</v>
      </c>
      <c r="AD687" s="103">
        <f>SUM($AC$5:AC687)</f>
        <v>0.59563020322099958</v>
      </c>
      <c r="AE687" s="99" t="str" cm="1">
        <f t="array" ref="AE687">IF(SamplingData[[#This Row],[up/U Selection Probability]] = 0, "Zero", TEXT(SamplingData[[#This Row],[Lower Range]], REPT("0",LEN('General Info'!$B$42))) &amp; " - " &amp; TEXT(SamplingData[[#This Row],[Upper Range]], REPT("0",LEN('General Info'!$B$42))))</f>
        <v>594703 - 595629</v>
      </c>
      <c r="AF687" s="99">
        <f>SamplingData[[#This Row],[Upper Range]]-SamplingData[[#This Row],[Span]]</f>
        <v>594703.16646671889</v>
      </c>
      <c r="AG687" s="99">
        <f>IF(ISNUMBER('General Info'!$B$42), ((SamplingData[[#This Row],[up/U Selection Probability]]) * 'General Info'!$B$44) - 1, 0)</f>
        <v>926.03675428072984</v>
      </c>
      <c r="AH687" s="99">
        <f>IF(ISNUMBER('General Info'!$B$42), (SamplingData[[#This Row],[Running (cumulative) sum]] * ('General Info'!$B$42 -'General Info'!$B$43 + 1)) + 'General Info'!$B$43 - 1, 0)</f>
        <v>595629.20322099957</v>
      </c>
      <c r="AI687" s="99" t="str">
        <f>IF(ISERROR(MATCH(SamplingData[[#This Row],[Batch by Type (p)]],SelectedPrecincts[Batch Name], 0)), "", INDEX(SelectedPrecincts[Draw], MATCH(SamplingData[[#This Row],[Batch by Type (p)]],SelectedPrecincts[Batch Name], 0)))</f>
        <v/>
      </c>
      <c r="AJ687" s="100">
        <f>IF(COUNTIF(SelectedPrecincts[Batch Name],SamplingData[[#This Row],[Batch by Type (p)]]) &lt;&gt; 0, COUNTIF(SelectedPrecincts[Batch Name],SamplingData[[#This Row],[Batch by Type (p)]]), 0)</f>
        <v>0</v>
      </c>
    </row>
    <row r="688" spans="1:36" ht="15" customHeight="1" x14ac:dyDescent="0.35">
      <c r="A688" s="97" t="s">
        <v>901</v>
      </c>
      <c r="B688" s="97">
        <v>275</v>
      </c>
      <c r="C688" s="97">
        <v>192</v>
      </c>
      <c r="D688" s="92"/>
      <c r="E688" s="92"/>
      <c r="F688" s="92"/>
      <c r="G688" s="96"/>
      <c r="H688" s="96"/>
      <c r="I688" s="92"/>
      <c r="J688" s="92"/>
      <c r="K688" s="92"/>
      <c r="L688" s="92"/>
      <c r="M688" s="92"/>
      <c r="N688" s="97">
        <v>1</v>
      </c>
      <c r="O688" s="97">
        <v>35</v>
      </c>
      <c r="P688" s="98">
        <f>SUM(SamplingData[[#This Row],[Winning Candidate]:[Under Votes]])</f>
        <v>503</v>
      </c>
      <c r="Q688" s="99">
        <f>IF(AND(SamplingData[[#This Row],[Total]]&lt;&gt; 0, NOT(ISBLANK(SamplingData[[#This Row],[Losing Candidate]]))),(SamplingData[[#This Row],[Total]]+SamplingData[[#This Row],[Winning Candidate]]-SamplingData[[#This Row],[Losing Candidate]])/(SamplingData[[#Totals],[Winning Candidate]]-SamplingData[[#Totals],[Losing Candidate]]), 0)</f>
        <v>2.4868443388219318E-2</v>
      </c>
      <c r="R688" s="99">
        <f>IF(AND(SamplingData[[#This Row],[Total]]&lt;&gt; 0, NOT(ISBLANK(SamplingData[[#This Row],[Candidate 3]]))),(SamplingData[[#This Row],[Total]]+SamplingData[[#This Row],[Winning Candidate]]-SamplingData[[#This Row],[Candidate 3]])/(SamplingData[[#Totals],[Winning Candidate]]-SamplingData[[#Totals],[Candidate 3]]), 0)</f>
        <v>0</v>
      </c>
      <c r="S688" s="99">
        <f>IF(AND(SamplingData[[#This Row],[Total]]&lt;&gt; 0, NOT(ISBLANK(SamplingData[[#This Row],[Candidate 4]]))),(SamplingData[[#This Row],[Total]]+SamplingData[[#This Row],[Winning Candidate]]-SamplingData[[#This Row],[Candidate 4]])/(SamplingData[[#Totals],[Winning Candidate]]-SamplingData[[#Totals],[Candidate 4]]), 0)</f>
        <v>0</v>
      </c>
      <c r="T688" s="99">
        <f>IF(AND(SamplingData[[#This Row],[Total]]&lt;&gt; 0, NOT(ISBLANK(SamplingData[[#This Row],[Candidate 5]]))),(SamplingData[[#This Row],[Total]]+SamplingData[[#This Row],[Winning Candidate]]-SamplingData[[#This Row],[Candidate 5]])/(SamplingData[[#Totals],[Winning Candidate]]-SamplingData[[#Totals],[Candidate 5]]), 0)</f>
        <v>0</v>
      </c>
      <c r="U688" s="99">
        <f>IF(AND(SamplingData[[#This Row],[Total]]&lt;&gt; 0, NOT(ISBLANK(SamplingData[[#This Row],[Candidate 6]]))),(SamplingData[[#This Row],[Total]]+SamplingData[[#This Row],[Losing Candidate]]-SamplingData[[#This Row],[Candidate 6]])/(SamplingData[[#Totals],[Winning Candidate]]-SamplingData[[#Totals],[Candidate 6]]), 0)</f>
        <v>0</v>
      </c>
      <c r="V688" s="99">
        <f>IF(AND(SamplingData[[#This Row],[Total]]&lt;&gt; 0, NOT(ISBLANK(SamplingData[[#This Row],[Candidate 7]]))),(SamplingData[[#This Row],[Total]]+SamplingData[[#This Row],[Winning Candidate]]-SamplingData[[#This Row],[Candidate 7]])/(SamplingData[[#Totals],[Winning Candidate]]-SamplingData[[#Totals],[Candidate 7]]), 0)</f>
        <v>0</v>
      </c>
      <c r="W688" s="99">
        <f>IF(AND(SamplingData[[#This Row],[Total]]&lt;&gt; 0, NOT(ISBLANK(SamplingData[[#This Row],[Candidate 8]]))),(SamplingData[[#This Row],[Total]]+SamplingData[[#This Row],[Winning Candidate]]-SamplingData[[#This Row],[Candidate 8]])/(SamplingData[[#Totals],[Winning Candidate]]-SamplingData[[#Totals],[Candidate 8]]), 0)</f>
        <v>0</v>
      </c>
      <c r="X6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8" s="99">
        <f>MAX(SamplingData[[#This Row],[Error Bound (up) - Max. possible relative overstatement - Losing Candidate]:[Error Bound (up) - Max. possible relative overstatement - Candidate 12]])</f>
        <v>2.4868443388219318E-2</v>
      </c>
      <c r="AC688" s="99">
        <f>IF(SamplingData[[#This Row],[Max Error Bound (up)]] = 0,0,SamplingData[[#This Row],[Max Error Bound (up)]]/SamplingData[[#Totals],[Max Error Bound (up)]])</f>
        <v>1.3314792598247737E-3</v>
      </c>
      <c r="AD688" s="103">
        <f>SUM($AC$5:AC688)</f>
        <v>0.59696168248082437</v>
      </c>
      <c r="AE688" s="99" t="str" cm="1">
        <f t="array" ref="AE688">IF(SamplingData[[#This Row],[up/U Selection Probability]] = 0, "Zero", TEXT(SamplingData[[#This Row],[Lower Range]], REPT("0",LEN('General Info'!$B$42))) &amp; " - " &amp; TEXT(SamplingData[[#This Row],[Upper Range]], REPT("0",LEN('General Info'!$B$42))))</f>
        <v>595630 - 596961</v>
      </c>
      <c r="AF688" s="99">
        <f>SamplingData[[#This Row],[Upper Range]]-SamplingData[[#This Row],[Span]]</f>
        <v>595630.20322099968</v>
      </c>
      <c r="AG688" s="99">
        <f>IF(ISNUMBER('General Info'!$B$42), ((SamplingData[[#This Row],[up/U Selection Probability]]) * 'General Info'!$B$44) - 1, 0)</f>
        <v>1330.4792598247736</v>
      </c>
      <c r="AH688" s="99">
        <f>IF(ISNUMBER('General Info'!$B$42), (SamplingData[[#This Row],[Running (cumulative) sum]] * ('General Info'!$B$42 -'General Info'!$B$43 + 1)) + 'General Info'!$B$43 - 1, 0)</f>
        <v>596960.68248082441</v>
      </c>
      <c r="AI688" s="99" t="str">
        <f>IF(ISERROR(MATCH(SamplingData[[#This Row],[Batch by Type (p)]],SelectedPrecincts[Batch Name], 0)), "", INDEX(SelectedPrecincts[Draw], MATCH(SamplingData[[#This Row],[Batch by Type (p)]],SelectedPrecincts[Batch Name], 0)))</f>
        <v/>
      </c>
      <c r="AJ688" s="100">
        <f>IF(COUNTIF(SelectedPrecincts[Batch Name],SamplingData[[#This Row],[Batch by Type (p)]]) &lt;&gt; 0, COUNTIF(SelectedPrecincts[Batch Name],SamplingData[[#This Row],[Batch by Type (p)]]), 0)</f>
        <v>0</v>
      </c>
    </row>
    <row r="689" spans="1:36" ht="15" customHeight="1" x14ac:dyDescent="0.35">
      <c r="A689" s="97" t="s">
        <v>902</v>
      </c>
      <c r="B689" s="97">
        <v>294</v>
      </c>
      <c r="C689" s="97">
        <v>141</v>
      </c>
      <c r="D689" s="92"/>
      <c r="E689" s="92"/>
      <c r="F689" s="92"/>
      <c r="G689" s="96"/>
      <c r="H689" s="96"/>
      <c r="I689" s="92"/>
      <c r="J689" s="92"/>
      <c r="K689" s="92"/>
      <c r="L689" s="92"/>
      <c r="M689" s="92"/>
      <c r="N689" s="97">
        <v>0</v>
      </c>
      <c r="O689" s="97">
        <v>30</v>
      </c>
      <c r="P689" s="98">
        <f>SUM(SamplingData[[#This Row],[Winning Candidate]:[Under Votes]])</f>
        <v>465</v>
      </c>
      <c r="Q689" s="99">
        <f>IF(AND(SamplingData[[#This Row],[Total]]&lt;&gt; 0, NOT(ISBLANK(SamplingData[[#This Row],[Losing Candidate]]))),(SamplingData[[#This Row],[Total]]+SamplingData[[#This Row],[Winning Candidate]]-SamplingData[[#This Row],[Losing Candidate]])/(SamplingData[[#Totals],[Winning Candidate]]-SamplingData[[#Totals],[Losing Candidate]]), 0)</f>
        <v>2.6226447122729587E-2</v>
      </c>
      <c r="R689" s="99">
        <f>IF(AND(SamplingData[[#This Row],[Total]]&lt;&gt; 0, NOT(ISBLANK(SamplingData[[#This Row],[Candidate 3]]))),(SamplingData[[#This Row],[Total]]+SamplingData[[#This Row],[Winning Candidate]]-SamplingData[[#This Row],[Candidate 3]])/(SamplingData[[#Totals],[Winning Candidate]]-SamplingData[[#Totals],[Candidate 3]]), 0)</f>
        <v>0</v>
      </c>
      <c r="S689" s="99">
        <f>IF(AND(SamplingData[[#This Row],[Total]]&lt;&gt; 0, NOT(ISBLANK(SamplingData[[#This Row],[Candidate 4]]))),(SamplingData[[#This Row],[Total]]+SamplingData[[#This Row],[Winning Candidate]]-SamplingData[[#This Row],[Candidate 4]])/(SamplingData[[#Totals],[Winning Candidate]]-SamplingData[[#Totals],[Candidate 4]]), 0)</f>
        <v>0</v>
      </c>
      <c r="T689" s="99">
        <f>IF(AND(SamplingData[[#This Row],[Total]]&lt;&gt; 0, NOT(ISBLANK(SamplingData[[#This Row],[Candidate 5]]))),(SamplingData[[#This Row],[Total]]+SamplingData[[#This Row],[Winning Candidate]]-SamplingData[[#This Row],[Candidate 5]])/(SamplingData[[#Totals],[Winning Candidate]]-SamplingData[[#Totals],[Candidate 5]]), 0)</f>
        <v>0</v>
      </c>
      <c r="U689" s="99">
        <f>IF(AND(SamplingData[[#This Row],[Total]]&lt;&gt; 0, NOT(ISBLANK(SamplingData[[#This Row],[Candidate 6]]))),(SamplingData[[#This Row],[Total]]+SamplingData[[#This Row],[Losing Candidate]]-SamplingData[[#This Row],[Candidate 6]])/(SamplingData[[#Totals],[Winning Candidate]]-SamplingData[[#Totals],[Candidate 6]]), 0)</f>
        <v>0</v>
      </c>
      <c r="V689" s="99">
        <f>IF(AND(SamplingData[[#This Row],[Total]]&lt;&gt; 0, NOT(ISBLANK(SamplingData[[#This Row],[Candidate 7]]))),(SamplingData[[#This Row],[Total]]+SamplingData[[#This Row],[Winning Candidate]]-SamplingData[[#This Row],[Candidate 7]])/(SamplingData[[#Totals],[Winning Candidate]]-SamplingData[[#Totals],[Candidate 7]]), 0)</f>
        <v>0</v>
      </c>
      <c r="W689" s="99">
        <f>IF(AND(SamplingData[[#This Row],[Total]]&lt;&gt; 0, NOT(ISBLANK(SamplingData[[#This Row],[Candidate 8]]))),(SamplingData[[#This Row],[Total]]+SamplingData[[#This Row],[Winning Candidate]]-SamplingData[[#This Row],[Candidate 8]])/(SamplingData[[#Totals],[Winning Candidate]]-SamplingData[[#Totals],[Candidate 8]]), 0)</f>
        <v>0</v>
      </c>
      <c r="X6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9" s="99">
        <f>MAX(SamplingData[[#This Row],[Error Bound (up) - Max. possible relative overstatement - Losing Candidate]:[Error Bound (up) - Max. possible relative overstatement - Candidate 12]])</f>
        <v>2.6226447122729587E-2</v>
      </c>
      <c r="AC689" s="99">
        <f>IF(SamplingData[[#This Row],[Max Error Bound (up)]] = 0,0,SamplingData[[#This Row],[Max Error Bound (up)]]/SamplingData[[#Totals],[Max Error Bound (up)]])</f>
        <v>1.4041880248663993E-3</v>
      </c>
      <c r="AD689" s="103">
        <f>SUM($AC$5:AC689)</f>
        <v>0.59836587050569079</v>
      </c>
      <c r="AE689" s="99" t="str" cm="1">
        <f t="array" ref="AE689">IF(SamplingData[[#This Row],[up/U Selection Probability]] = 0, "Zero", TEXT(SamplingData[[#This Row],[Lower Range]], REPT("0",LEN('General Info'!$B$42))) &amp; " - " &amp; TEXT(SamplingData[[#This Row],[Upper Range]], REPT("0",LEN('General Info'!$B$42))))</f>
        <v>596962 - 598365</v>
      </c>
      <c r="AF689" s="99">
        <f>SamplingData[[#This Row],[Upper Range]]-SamplingData[[#This Row],[Span]]</f>
        <v>596961.68248082441</v>
      </c>
      <c r="AG689" s="99">
        <f>IF(ISNUMBER('General Info'!$B$42), ((SamplingData[[#This Row],[up/U Selection Probability]]) * 'General Info'!$B$44) - 1, 0)</f>
        <v>1403.1880248663992</v>
      </c>
      <c r="AH689" s="99">
        <f>IF(ISNUMBER('General Info'!$B$42), (SamplingData[[#This Row],[Running (cumulative) sum]] * ('General Info'!$B$42 -'General Info'!$B$43 + 1)) + 'General Info'!$B$43 - 1, 0)</f>
        <v>598364.87050569081</v>
      </c>
      <c r="AI689" s="99" t="str">
        <f>IF(ISERROR(MATCH(SamplingData[[#This Row],[Batch by Type (p)]],SelectedPrecincts[Batch Name], 0)), "", INDEX(SelectedPrecincts[Draw], MATCH(SamplingData[[#This Row],[Batch by Type (p)]],SelectedPrecincts[Batch Name], 0)))</f>
        <v/>
      </c>
      <c r="AJ689" s="100">
        <f>IF(COUNTIF(SelectedPrecincts[Batch Name],SamplingData[[#This Row],[Batch by Type (p)]]) &lt;&gt; 0, COUNTIF(SelectedPrecincts[Batch Name],SamplingData[[#This Row],[Batch by Type (p)]]), 0)</f>
        <v>0</v>
      </c>
    </row>
    <row r="690" spans="1:36" ht="15" customHeight="1" x14ac:dyDescent="0.35">
      <c r="A690" s="97" t="s">
        <v>903</v>
      </c>
      <c r="B690" s="97">
        <v>158</v>
      </c>
      <c r="C690" s="97">
        <v>72</v>
      </c>
      <c r="D690" s="92"/>
      <c r="E690" s="92"/>
      <c r="F690" s="92"/>
      <c r="G690" s="96"/>
      <c r="H690" s="96"/>
      <c r="I690" s="92"/>
      <c r="J690" s="92"/>
      <c r="K690" s="92"/>
      <c r="L690" s="92"/>
      <c r="M690" s="92"/>
      <c r="N690" s="97">
        <v>0</v>
      </c>
      <c r="O690" s="97">
        <v>33</v>
      </c>
      <c r="P690" s="98">
        <f>SUM(SamplingData[[#This Row],[Winning Candidate]:[Under Votes]])</f>
        <v>263</v>
      </c>
      <c r="Q690" s="99">
        <f>IF(AND(SamplingData[[#This Row],[Total]]&lt;&gt; 0, NOT(ISBLANK(SamplingData[[#This Row],[Losing Candidate]]))),(SamplingData[[#This Row],[Total]]+SamplingData[[#This Row],[Winning Candidate]]-SamplingData[[#This Row],[Losing Candidate]])/(SamplingData[[#Totals],[Winning Candidate]]-SamplingData[[#Totals],[Losing Candidate]]), 0)</f>
        <v>1.4810728229502631E-2</v>
      </c>
      <c r="R690" s="99">
        <f>IF(AND(SamplingData[[#This Row],[Total]]&lt;&gt; 0, NOT(ISBLANK(SamplingData[[#This Row],[Candidate 3]]))),(SamplingData[[#This Row],[Total]]+SamplingData[[#This Row],[Winning Candidate]]-SamplingData[[#This Row],[Candidate 3]])/(SamplingData[[#Totals],[Winning Candidate]]-SamplingData[[#Totals],[Candidate 3]]), 0)</f>
        <v>0</v>
      </c>
      <c r="S690" s="99">
        <f>IF(AND(SamplingData[[#This Row],[Total]]&lt;&gt; 0, NOT(ISBLANK(SamplingData[[#This Row],[Candidate 4]]))),(SamplingData[[#This Row],[Total]]+SamplingData[[#This Row],[Winning Candidate]]-SamplingData[[#This Row],[Candidate 4]])/(SamplingData[[#Totals],[Winning Candidate]]-SamplingData[[#Totals],[Candidate 4]]), 0)</f>
        <v>0</v>
      </c>
      <c r="T690" s="99">
        <f>IF(AND(SamplingData[[#This Row],[Total]]&lt;&gt; 0, NOT(ISBLANK(SamplingData[[#This Row],[Candidate 5]]))),(SamplingData[[#This Row],[Total]]+SamplingData[[#This Row],[Winning Candidate]]-SamplingData[[#This Row],[Candidate 5]])/(SamplingData[[#Totals],[Winning Candidate]]-SamplingData[[#Totals],[Candidate 5]]), 0)</f>
        <v>0</v>
      </c>
      <c r="U690" s="99">
        <f>IF(AND(SamplingData[[#This Row],[Total]]&lt;&gt; 0, NOT(ISBLANK(SamplingData[[#This Row],[Candidate 6]]))),(SamplingData[[#This Row],[Total]]+SamplingData[[#This Row],[Losing Candidate]]-SamplingData[[#This Row],[Candidate 6]])/(SamplingData[[#Totals],[Winning Candidate]]-SamplingData[[#Totals],[Candidate 6]]), 0)</f>
        <v>0</v>
      </c>
      <c r="V690" s="99">
        <f>IF(AND(SamplingData[[#This Row],[Total]]&lt;&gt; 0, NOT(ISBLANK(SamplingData[[#This Row],[Candidate 7]]))),(SamplingData[[#This Row],[Total]]+SamplingData[[#This Row],[Winning Candidate]]-SamplingData[[#This Row],[Candidate 7]])/(SamplingData[[#Totals],[Winning Candidate]]-SamplingData[[#Totals],[Candidate 7]]), 0)</f>
        <v>0</v>
      </c>
      <c r="W690" s="99">
        <f>IF(AND(SamplingData[[#This Row],[Total]]&lt;&gt; 0, NOT(ISBLANK(SamplingData[[#This Row],[Candidate 8]]))),(SamplingData[[#This Row],[Total]]+SamplingData[[#This Row],[Winning Candidate]]-SamplingData[[#This Row],[Candidate 8]])/(SamplingData[[#Totals],[Winning Candidate]]-SamplingData[[#Totals],[Candidate 8]]), 0)</f>
        <v>0</v>
      </c>
      <c r="X6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0" s="99">
        <f>MAX(SamplingData[[#This Row],[Error Bound (up) - Max. possible relative overstatement - Losing Candidate]:[Error Bound (up) - Max. possible relative overstatement - Candidate 12]])</f>
        <v>1.4810728229502631E-2</v>
      </c>
      <c r="AC690" s="99">
        <f>IF(SamplingData[[#This Row],[Max Error Bound (up)]] = 0,0,SamplingData[[#This Row],[Max Error Bound (up)]]/SamplingData[[#Totals],[Max Error Bound (up)]])</f>
        <v>7.9297996873523209E-4</v>
      </c>
      <c r="AD690" s="103">
        <f>SUM($AC$5:AC690)</f>
        <v>0.59915885047442607</v>
      </c>
      <c r="AE690" s="99" t="str" cm="1">
        <f t="array" ref="AE690">IF(SamplingData[[#This Row],[up/U Selection Probability]] = 0, "Zero", TEXT(SamplingData[[#This Row],[Lower Range]], REPT("0",LEN('General Info'!$B$42))) &amp; " - " &amp; TEXT(SamplingData[[#This Row],[Upper Range]], REPT("0",LEN('General Info'!$B$42))))</f>
        <v>598366 - 599158</v>
      </c>
      <c r="AF690" s="99">
        <f>SamplingData[[#This Row],[Upper Range]]-SamplingData[[#This Row],[Span]]</f>
        <v>598365.87050569081</v>
      </c>
      <c r="AG690" s="99">
        <f>IF(ISNUMBER('General Info'!$B$42), ((SamplingData[[#This Row],[up/U Selection Probability]]) * 'General Info'!$B$44) - 1, 0)</f>
        <v>791.97996873523209</v>
      </c>
      <c r="AH690" s="99">
        <f>IF(ISNUMBER('General Info'!$B$42), (SamplingData[[#This Row],[Running (cumulative) sum]] * ('General Info'!$B$42 -'General Info'!$B$43 + 1)) + 'General Info'!$B$43 - 1, 0)</f>
        <v>599157.85047442606</v>
      </c>
      <c r="AI690" s="99" t="str">
        <f>IF(ISERROR(MATCH(SamplingData[[#This Row],[Batch by Type (p)]],SelectedPrecincts[Batch Name], 0)), "", INDEX(SelectedPrecincts[Draw], MATCH(SamplingData[[#This Row],[Batch by Type (p)]],SelectedPrecincts[Batch Name], 0)))</f>
        <v/>
      </c>
      <c r="AJ690" s="100">
        <f>IF(COUNTIF(SelectedPrecincts[Batch Name],SamplingData[[#This Row],[Batch by Type (p)]]) &lt;&gt; 0, COUNTIF(SelectedPrecincts[Batch Name],SamplingData[[#This Row],[Batch by Type (p)]]), 0)</f>
        <v>0</v>
      </c>
    </row>
    <row r="691" spans="1:36" ht="15" customHeight="1" x14ac:dyDescent="0.35">
      <c r="A691" s="97" t="s">
        <v>904</v>
      </c>
      <c r="B691" s="97">
        <v>111</v>
      </c>
      <c r="C691" s="97">
        <v>41</v>
      </c>
      <c r="D691" s="92"/>
      <c r="E691" s="92"/>
      <c r="F691" s="92"/>
      <c r="G691" s="96"/>
      <c r="H691" s="96"/>
      <c r="I691" s="92"/>
      <c r="J691" s="92"/>
      <c r="K691" s="92"/>
      <c r="L691" s="92"/>
      <c r="M691" s="92"/>
      <c r="N691" s="97">
        <v>0</v>
      </c>
      <c r="O691" s="97">
        <v>17</v>
      </c>
      <c r="P691" s="98">
        <f>SUM(SamplingData[[#This Row],[Winning Candidate]:[Under Votes]])</f>
        <v>169</v>
      </c>
      <c r="Q691" s="99">
        <f>IF(AND(SamplingData[[#This Row],[Total]]&lt;&gt; 0, NOT(ISBLANK(SamplingData[[#This Row],[Losing Candidate]]))),(SamplingData[[#This Row],[Total]]+SamplingData[[#This Row],[Winning Candidate]]-SamplingData[[#This Row],[Losing Candidate]])/(SamplingData[[#Totals],[Winning Candidate]]-SamplingData[[#Totals],[Losing Candidate]]), 0)</f>
        <v>1.0142590392123578E-2</v>
      </c>
      <c r="R691" s="99">
        <f>IF(AND(SamplingData[[#This Row],[Total]]&lt;&gt; 0, NOT(ISBLANK(SamplingData[[#This Row],[Candidate 3]]))),(SamplingData[[#This Row],[Total]]+SamplingData[[#This Row],[Winning Candidate]]-SamplingData[[#This Row],[Candidate 3]])/(SamplingData[[#Totals],[Winning Candidate]]-SamplingData[[#Totals],[Candidate 3]]), 0)</f>
        <v>0</v>
      </c>
      <c r="S691" s="99">
        <f>IF(AND(SamplingData[[#This Row],[Total]]&lt;&gt; 0, NOT(ISBLANK(SamplingData[[#This Row],[Candidate 4]]))),(SamplingData[[#This Row],[Total]]+SamplingData[[#This Row],[Winning Candidate]]-SamplingData[[#This Row],[Candidate 4]])/(SamplingData[[#Totals],[Winning Candidate]]-SamplingData[[#Totals],[Candidate 4]]), 0)</f>
        <v>0</v>
      </c>
      <c r="T691" s="99">
        <f>IF(AND(SamplingData[[#This Row],[Total]]&lt;&gt; 0, NOT(ISBLANK(SamplingData[[#This Row],[Candidate 5]]))),(SamplingData[[#This Row],[Total]]+SamplingData[[#This Row],[Winning Candidate]]-SamplingData[[#This Row],[Candidate 5]])/(SamplingData[[#Totals],[Winning Candidate]]-SamplingData[[#Totals],[Candidate 5]]), 0)</f>
        <v>0</v>
      </c>
      <c r="U691" s="99">
        <f>IF(AND(SamplingData[[#This Row],[Total]]&lt;&gt; 0, NOT(ISBLANK(SamplingData[[#This Row],[Candidate 6]]))),(SamplingData[[#This Row],[Total]]+SamplingData[[#This Row],[Losing Candidate]]-SamplingData[[#This Row],[Candidate 6]])/(SamplingData[[#Totals],[Winning Candidate]]-SamplingData[[#Totals],[Candidate 6]]), 0)</f>
        <v>0</v>
      </c>
      <c r="V691" s="99">
        <f>IF(AND(SamplingData[[#This Row],[Total]]&lt;&gt; 0, NOT(ISBLANK(SamplingData[[#This Row],[Candidate 7]]))),(SamplingData[[#This Row],[Total]]+SamplingData[[#This Row],[Winning Candidate]]-SamplingData[[#This Row],[Candidate 7]])/(SamplingData[[#Totals],[Winning Candidate]]-SamplingData[[#Totals],[Candidate 7]]), 0)</f>
        <v>0</v>
      </c>
      <c r="W691" s="99">
        <f>IF(AND(SamplingData[[#This Row],[Total]]&lt;&gt; 0, NOT(ISBLANK(SamplingData[[#This Row],[Candidate 8]]))),(SamplingData[[#This Row],[Total]]+SamplingData[[#This Row],[Winning Candidate]]-SamplingData[[#This Row],[Candidate 8]])/(SamplingData[[#Totals],[Winning Candidate]]-SamplingData[[#Totals],[Candidate 8]]), 0)</f>
        <v>0</v>
      </c>
      <c r="X6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1" s="99">
        <f>MAX(SamplingData[[#This Row],[Error Bound (up) - Max. possible relative overstatement - Losing Candidate]:[Error Bound (up) - Max. possible relative overstatement - Candidate 12]])</f>
        <v>1.0142590392123578E-2</v>
      </c>
      <c r="AC691" s="99">
        <f>IF(SamplingData[[#This Row],[Max Error Bound (up)]] = 0,0,SamplingData[[#This Row],[Max Error Bound (up)]]/SamplingData[[#Totals],[Max Error Bound (up)]])</f>
        <v>5.4304358890464315E-4</v>
      </c>
      <c r="AD691" s="103">
        <f>SUM($AC$5:AC691)</f>
        <v>0.59970189406333074</v>
      </c>
      <c r="AE691" s="99" t="str" cm="1">
        <f t="array" ref="AE691">IF(SamplingData[[#This Row],[up/U Selection Probability]] = 0, "Zero", TEXT(SamplingData[[#This Row],[Lower Range]], REPT("0",LEN('General Info'!$B$42))) &amp; " - " &amp; TEXT(SamplingData[[#This Row],[Upper Range]], REPT("0",LEN('General Info'!$B$42))))</f>
        <v>599159 - 599701</v>
      </c>
      <c r="AF691" s="99">
        <f>SamplingData[[#This Row],[Upper Range]]-SamplingData[[#This Row],[Span]]</f>
        <v>599158.85047442606</v>
      </c>
      <c r="AG691" s="99">
        <f>IF(ISNUMBER('General Info'!$B$42), ((SamplingData[[#This Row],[up/U Selection Probability]]) * 'General Info'!$B$44) - 1, 0)</f>
        <v>542.04358890464312</v>
      </c>
      <c r="AH691" s="99">
        <f>IF(ISNUMBER('General Info'!$B$42), (SamplingData[[#This Row],[Running (cumulative) sum]] * ('General Info'!$B$42 -'General Info'!$B$43 + 1)) + 'General Info'!$B$43 - 1, 0)</f>
        <v>599700.89406333072</v>
      </c>
      <c r="AI691" s="99" t="str">
        <f>IF(ISERROR(MATCH(SamplingData[[#This Row],[Batch by Type (p)]],SelectedPrecincts[Batch Name], 0)), "", INDEX(SelectedPrecincts[Draw], MATCH(SamplingData[[#This Row],[Batch by Type (p)]],SelectedPrecincts[Batch Name], 0)))</f>
        <v/>
      </c>
      <c r="AJ691" s="100">
        <f>IF(COUNTIF(SelectedPrecincts[Batch Name],SamplingData[[#This Row],[Batch by Type (p)]]) &lt;&gt; 0, COUNTIF(SelectedPrecincts[Batch Name],SamplingData[[#This Row],[Batch by Type (p)]]), 0)</f>
        <v>0</v>
      </c>
    </row>
    <row r="692" spans="1:36" ht="15" customHeight="1" x14ac:dyDescent="0.35">
      <c r="A692" s="97" t="s">
        <v>905</v>
      </c>
      <c r="B692" s="97">
        <v>120</v>
      </c>
      <c r="C692" s="97">
        <v>39</v>
      </c>
      <c r="D692" s="92"/>
      <c r="E692" s="92"/>
      <c r="F692" s="92"/>
      <c r="G692" s="96"/>
      <c r="H692" s="96"/>
      <c r="I692" s="92"/>
      <c r="J692" s="92"/>
      <c r="K692" s="92"/>
      <c r="L692" s="92"/>
      <c r="M692" s="92"/>
      <c r="N692" s="97">
        <v>0</v>
      </c>
      <c r="O692" s="97">
        <v>19</v>
      </c>
      <c r="P692" s="98">
        <f>SUM(SamplingData[[#This Row],[Winning Candidate]:[Under Votes]])</f>
        <v>178</v>
      </c>
      <c r="Q692" s="99">
        <f>IF(AND(SamplingData[[#This Row],[Total]]&lt;&gt; 0, NOT(ISBLANK(SamplingData[[#This Row],[Losing Candidate]]))),(SamplingData[[#This Row],[Total]]+SamplingData[[#This Row],[Winning Candidate]]-SamplingData[[#This Row],[Losing Candidate]])/(SamplingData[[#Totals],[Winning Candidate]]-SamplingData[[#Totals],[Losing Candidate]]), 0)</f>
        <v>1.0991342726192496E-2</v>
      </c>
      <c r="R692" s="99">
        <f>IF(AND(SamplingData[[#This Row],[Total]]&lt;&gt; 0, NOT(ISBLANK(SamplingData[[#This Row],[Candidate 3]]))),(SamplingData[[#This Row],[Total]]+SamplingData[[#This Row],[Winning Candidate]]-SamplingData[[#This Row],[Candidate 3]])/(SamplingData[[#Totals],[Winning Candidate]]-SamplingData[[#Totals],[Candidate 3]]), 0)</f>
        <v>0</v>
      </c>
      <c r="S692" s="99">
        <f>IF(AND(SamplingData[[#This Row],[Total]]&lt;&gt; 0, NOT(ISBLANK(SamplingData[[#This Row],[Candidate 4]]))),(SamplingData[[#This Row],[Total]]+SamplingData[[#This Row],[Winning Candidate]]-SamplingData[[#This Row],[Candidate 4]])/(SamplingData[[#Totals],[Winning Candidate]]-SamplingData[[#Totals],[Candidate 4]]), 0)</f>
        <v>0</v>
      </c>
      <c r="T692" s="99">
        <f>IF(AND(SamplingData[[#This Row],[Total]]&lt;&gt; 0, NOT(ISBLANK(SamplingData[[#This Row],[Candidate 5]]))),(SamplingData[[#This Row],[Total]]+SamplingData[[#This Row],[Winning Candidate]]-SamplingData[[#This Row],[Candidate 5]])/(SamplingData[[#Totals],[Winning Candidate]]-SamplingData[[#Totals],[Candidate 5]]), 0)</f>
        <v>0</v>
      </c>
      <c r="U692" s="99">
        <f>IF(AND(SamplingData[[#This Row],[Total]]&lt;&gt; 0, NOT(ISBLANK(SamplingData[[#This Row],[Candidate 6]]))),(SamplingData[[#This Row],[Total]]+SamplingData[[#This Row],[Losing Candidate]]-SamplingData[[#This Row],[Candidate 6]])/(SamplingData[[#Totals],[Winning Candidate]]-SamplingData[[#Totals],[Candidate 6]]), 0)</f>
        <v>0</v>
      </c>
      <c r="V692" s="99">
        <f>IF(AND(SamplingData[[#This Row],[Total]]&lt;&gt; 0, NOT(ISBLANK(SamplingData[[#This Row],[Candidate 7]]))),(SamplingData[[#This Row],[Total]]+SamplingData[[#This Row],[Winning Candidate]]-SamplingData[[#This Row],[Candidate 7]])/(SamplingData[[#Totals],[Winning Candidate]]-SamplingData[[#Totals],[Candidate 7]]), 0)</f>
        <v>0</v>
      </c>
      <c r="W692" s="99">
        <f>IF(AND(SamplingData[[#This Row],[Total]]&lt;&gt; 0, NOT(ISBLANK(SamplingData[[#This Row],[Candidate 8]]))),(SamplingData[[#This Row],[Total]]+SamplingData[[#This Row],[Winning Candidate]]-SamplingData[[#This Row],[Candidate 8]])/(SamplingData[[#Totals],[Winning Candidate]]-SamplingData[[#Totals],[Candidate 8]]), 0)</f>
        <v>0</v>
      </c>
      <c r="X6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2" s="99">
        <f>MAX(SamplingData[[#This Row],[Error Bound (up) - Max. possible relative overstatement - Losing Candidate]:[Error Bound (up) - Max. possible relative overstatement - Candidate 12]])</f>
        <v>1.0991342726192496E-2</v>
      </c>
      <c r="AC692" s="99">
        <f>IF(SamplingData[[#This Row],[Max Error Bound (up)]] = 0,0,SamplingData[[#This Row],[Max Error Bound (up)]]/SamplingData[[#Totals],[Max Error Bound (up)]])</f>
        <v>5.8848656705565931E-4</v>
      </c>
      <c r="AD692" s="103">
        <f>SUM($AC$5:AC692)</f>
        <v>0.60029038063038642</v>
      </c>
      <c r="AE692" s="99" t="str" cm="1">
        <f t="array" ref="AE692">IF(SamplingData[[#This Row],[up/U Selection Probability]] = 0, "Zero", TEXT(SamplingData[[#This Row],[Lower Range]], REPT("0",LEN('General Info'!$B$42))) &amp; " - " &amp; TEXT(SamplingData[[#This Row],[Upper Range]], REPT("0",LEN('General Info'!$B$42))))</f>
        <v>599702 - 600289</v>
      </c>
      <c r="AF692" s="99">
        <f>SamplingData[[#This Row],[Upper Range]]-SamplingData[[#This Row],[Span]]</f>
        <v>599701.89406333072</v>
      </c>
      <c r="AG692" s="99">
        <f>IF(ISNUMBER('General Info'!$B$42), ((SamplingData[[#This Row],[up/U Selection Probability]]) * 'General Info'!$B$44) - 1, 0)</f>
        <v>587.48656705565929</v>
      </c>
      <c r="AH692" s="99">
        <f>IF(ISNUMBER('General Info'!$B$42), (SamplingData[[#This Row],[Running (cumulative) sum]] * ('General Info'!$B$42 -'General Info'!$B$43 + 1)) + 'General Info'!$B$43 - 1, 0)</f>
        <v>600289.38063038641</v>
      </c>
      <c r="AI692" s="99" t="str">
        <f>IF(ISERROR(MATCH(SamplingData[[#This Row],[Batch by Type (p)]],SelectedPrecincts[Batch Name], 0)), "", INDEX(SelectedPrecincts[Draw], MATCH(SamplingData[[#This Row],[Batch by Type (p)]],SelectedPrecincts[Batch Name], 0)))</f>
        <v/>
      </c>
      <c r="AJ692" s="100">
        <f>IF(COUNTIF(SelectedPrecincts[Batch Name],SamplingData[[#This Row],[Batch by Type (p)]]) &lt;&gt; 0, COUNTIF(SelectedPrecincts[Batch Name],SamplingData[[#This Row],[Batch by Type (p)]]), 0)</f>
        <v>0</v>
      </c>
    </row>
    <row r="693" spans="1:36" ht="15" customHeight="1" x14ac:dyDescent="0.35">
      <c r="A693" s="97" t="s">
        <v>906</v>
      </c>
      <c r="B693" s="97">
        <v>197</v>
      </c>
      <c r="C693" s="97">
        <v>84</v>
      </c>
      <c r="D693" s="92"/>
      <c r="E693" s="92"/>
      <c r="F693" s="92"/>
      <c r="G693" s="96"/>
      <c r="H693" s="96"/>
      <c r="I693" s="92"/>
      <c r="J693" s="92"/>
      <c r="K693" s="92"/>
      <c r="L693" s="92"/>
      <c r="M693" s="92"/>
      <c r="N693" s="97">
        <v>0</v>
      </c>
      <c r="O693" s="97">
        <v>16</v>
      </c>
      <c r="P693" s="98">
        <f>SUM(SamplingData[[#This Row],[Winning Candidate]:[Under Votes]])</f>
        <v>297</v>
      </c>
      <c r="Q693" s="99">
        <f>IF(AND(SamplingData[[#This Row],[Total]]&lt;&gt; 0, NOT(ISBLANK(SamplingData[[#This Row],[Losing Candidate]]))),(SamplingData[[#This Row],[Total]]+SamplingData[[#This Row],[Winning Candidate]]-SamplingData[[#This Row],[Losing Candidate]])/(SamplingData[[#Totals],[Winning Candidate]]-SamplingData[[#Totals],[Losing Candidate]]), 0)</f>
        <v>1.7399422848412834E-2</v>
      </c>
      <c r="R693" s="99">
        <f>IF(AND(SamplingData[[#This Row],[Total]]&lt;&gt; 0, NOT(ISBLANK(SamplingData[[#This Row],[Candidate 3]]))),(SamplingData[[#This Row],[Total]]+SamplingData[[#This Row],[Winning Candidate]]-SamplingData[[#This Row],[Candidate 3]])/(SamplingData[[#Totals],[Winning Candidate]]-SamplingData[[#Totals],[Candidate 3]]), 0)</f>
        <v>0</v>
      </c>
      <c r="S693" s="99">
        <f>IF(AND(SamplingData[[#This Row],[Total]]&lt;&gt; 0, NOT(ISBLANK(SamplingData[[#This Row],[Candidate 4]]))),(SamplingData[[#This Row],[Total]]+SamplingData[[#This Row],[Winning Candidate]]-SamplingData[[#This Row],[Candidate 4]])/(SamplingData[[#Totals],[Winning Candidate]]-SamplingData[[#Totals],[Candidate 4]]), 0)</f>
        <v>0</v>
      </c>
      <c r="T693" s="99">
        <f>IF(AND(SamplingData[[#This Row],[Total]]&lt;&gt; 0, NOT(ISBLANK(SamplingData[[#This Row],[Candidate 5]]))),(SamplingData[[#This Row],[Total]]+SamplingData[[#This Row],[Winning Candidate]]-SamplingData[[#This Row],[Candidate 5]])/(SamplingData[[#Totals],[Winning Candidate]]-SamplingData[[#Totals],[Candidate 5]]), 0)</f>
        <v>0</v>
      </c>
      <c r="U693" s="99">
        <f>IF(AND(SamplingData[[#This Row],[Total]]&lt;&gt; 0, NOT(ISBLANK(SamplingData[[#This Row],[Candidate 6]]))),(SamplingData[[#This Row],[Total]]+SamplingData[[#This Row],[Losing Candidate]]-SamplingData[[#This Row],[Candidate 6]])/(SamplingData[[#Totals],[Winning Candidate]]-SamplingData[[#Totals],[Candidate 6]]), 0)</f>
        <v>0</v>
      </c>
      <c r="V693" s="99">
        <f>IF(AND(SamplingData[[#This Row],[Total]]&lt;&gt; 0, NOT(ISBLANK(SamplingData[[#This Row],[Candidate 7]]))),(SamplingData[[#This Row],[Total]]+SamplingData[[#This Row],[Winning Candidate]]-SamplingData[[#This Row],[Candidate 7]])/(SamplingData[[#Totals],[Winning Candidate]]-SamplingData[[#Totals],[Candidate 7]]), 0)</f>
        <v>0</v>
      </c>
      <c r="W693" s="99">
        <f>IF(AND(SamplingData[[#This Row],[Total]]&lt;&gt; 0, NOT(ISBLANK(SamplingData[[#This Row],[Candidate 8]]))),(SamplingData[[#This Row],[Total]]+SamplingData[[#This Row],[Winning Candidate]]-SamplingData[[#This Row],[Candidate 8]])/(SamplingData[[#Totals],[Winning Candidate]]-SamplingData[[#Totals],[Candidate 8]]), 0)</f>
        <v>0</v>
      </c>
      <c r="X6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3" s="99">
        <f>MAX(SamplingData[[#This Row],[Error Bound (up) - Max. possible relative overstatement - Losing Candidate]:[Error Bound (up) - Max. possible relative overstatement - Candidate 12]])</f>
        <v>1.7399422848412834E-2</v>
      </c>
      <c r="AC693" s="99">
        <f>IF(SamplingData[[#This Row],[Max Error Bound (up)]] = 0,0,SamplingData[[#This Row],[Max Error Bound (up)]]/SamplingData[[#Totals],[Max Error Bound (up)]])</f>
        <v>9.3158105209583135E-4</v>
      </c>
      <c r="AD693" s="103">
        <f>SUM($AC$5:AC693)</f>
        <v>0.60122196168248221</v>
      </c>
      <c r="AE693" s="99" t="str" cm="1">
        <f t="array" ref="AE693">IF(SamplingData[[#This Row],[up/U Selection Probability]] = 0, "Zero", TEXT(SamplingData[[#This Row],[Lower Range]], REPT("0",LEN('General Info'!$B$42))) &amp; " - " &amp; TEXT(SamplingData[[#This Row],[Upper Range]], REPT("0",LEN('General Info'!$B$42))))</f>
        <v>600290 - 601221</v>
      </c>
      <c r="AF693" s="99">
        <f>SamplingData[[#This Row],[Upper Range]]-SamplingData[[#This Row],[Span]]</f>
        <v>600290.38063038629</v>
      </c>
      <c r="AG693" s="99">
        <f>IF(ISNUMBER('General Info'!$B$42), ((SamplingData[[#This Row],[up/U Selection Probability]]) * 'General Info'!$B$44) - 1, 0)</f>
        <v>930.5810520958313</v>
      </c>
      <c r="AH693" s="99">
        <f>IF(ISNUMBER('General Info'!$B$42), (SamplingData[[#This Row],[Running (cumulative) sum]] * ('General Info'!$B$42 -'General Info'!$B$43 + 1)) + 'General Info'!$B$43 - 1, 0)</f>
        <v>601220.96168248216</v>
      </c>
      <c r="AI693" s="99" t="str">
        <f>IF(ISERROR(MATCH(SamplingData[[#This Row],[Batch by Type (p)]],SelectedPrecincts[Batch Name], 0)), "", INDEX(SelectedPrecincts[Draw], MATCH(SamplingData[[#This Row],[Batch by Type (p)]],SelectedPrecincts[Batch Name], 0)))</f>
        <v/>
      </c>
      <c r="AJ693" s="100">
        <f>IF(COUNTIF(SelectedPrecincts[Batch Name],SamplingData[[#This Row],[Batch by Type (p)]]) &lt;&gt; 0, COUNTIF(SelectedPrecincts[Batch Name],SamplingData[[#This Row],[Batch by Type (p)]]), 0)</f>
        <v>0</v>
      </c>
    </row>
    <row r="694" spans="1:36" ht="15" customHeight="1" x14ac:dyDescent="0.35">
      <c r="A694" s="97" t="s">
        <v>907</v>
      </c>
      <c r="B694" s="97">
        <v>129</v>
      </c>
      <c r="C694" s="97">
        <v>79</v>
      </c>
      <c r="D694" s="92"/>
      <c r="E694" s="92"/>
      <c r="F694" s="92"/>
      <c r="G694" s="96"/>
      <c r="H694" s="96"/>
      <c r="I694" s="92"/>
      <c r="J694" s="92"/>
      <c r="K694" s="92"/>
      <c r="L694" s="92"/>
      <c r="M694" s="92"/>
      <c r="N694" s="97">
        <v>0</v>
      </c>
      <c r="O694" s="97">
        <v>15</v>
      </c>
      <c r="P694" s="98">
        <f>SUM(SamplingData[[#This Row],[Winning Candidate]:[Under Votes]])</f>
        <v>223</v>
      </c>
      <c r="Q694" s="99">
        <f>IF(AND(SamplingData[[#This Row],[Total]]&lt;&gt; 0, NOT(ISBLANK(SamplingData[[#This Row],[Losing Candidate]]))),(SamplingData[[#This Row],[Total]]+SamplingData[[#This Row],[Winning Candidate]]-SamplingData[[#This Row],[Losing Candidate]])/(SamplingData[[#Totals],[Winning Candidate]]-SamplingData[[#Totals],[Losing Candidate]]), 0)</f>
        <v>1.158546936004074E-2</v>
      </c>
      <c r="R694" s="99">
        <f>IF(AND(SamplingData[[#This Row],[Total]]&lt;&gt; 0, NOT(ISBLANK(SamplingData[[#This Row],[Candidate 3]]))),(SamplingData[[#This Row],[Total]]+SamplingData[[#This Row],[Winning Candidate]]-SamplingData[[#This Row],[Candidate 3]])/(SamplingData[[#Totals],[Winning Candidate]]-SamplingData[[#Totals],[Candidate 3]]), 0)</f>
        <v>0</v>
      </c>
      <c r="S694" s="99">
        <f>IF(AND(SamplingData[[#This Row],[Total]]&lt;&gt; 0, NOT(ISBLANK(SamplingData[[#This Row],[Candidate 4]]))),(SamplingData[[#This Row],[Total]]+SamplingData[[#This Row],[Winning Candidate]]-SamplingData[[#This Row],[Candidate 4]])/(SamplingData[[#Totals],[Winning Candidate]]-SamplingData[[#Totals],[Candidate 4]]), 0)</f>
        <v>0</v>
      </c>
      <c r="T694" s="99">
        <f>IF(AND(SamplingData[[#This Row],[Total]]&lt;&gt; 0, NOT(ISBLANK(SamplingData[[#This Row],[Candidate 5]]))),(SamplingData[[#This Row],[Total]]+SamplingData[[#This Row],[Winning Candidate]]-SamplingData[[#This Row],[Candidate 5]])/(SamplingData[[#Totals],[Winning Candidate]]-SamplingData[[#Totals],[Candidate 5]]), 0)</f>
        <v>0</v>
      </c>
      <c r="U694" s="99">
        <f>IF(AND(SamplingData[[#This Row],[Total]]&lt;&gt; 0, NOT(ISBLANK(SamplingData[[#This Row],[Candidate 6]]))),(SamplingData[[#This Row],[Total]]+SamplingData[[#This Row],[Losing Candidate]]-SamplingData[[#This Row],[Candidate 6]])/(SamplingData[[#Totals],[Winning Candidate]]-SamplingData[[#Totals],[Candidate 6]]), 0)</f>
        <v>0</v>
      </c>
      <c r="V694" s="99">
        <f>IF(AND(SamplingData[[#This Row],[Total]]&lt;&gt; 0, NOT(ISBLANK(SamplingData[[#This Row],[Candidate 7]]))),(SamplingData[[#This Row],[Total]]+SamplingData[[#This Row],[Winning Candidate]]-SamplingData[[#This Row],[Candidate 7]])/(SamplingData[[#Totals],[Winning Candidate]]-SamplingData[[#Totals],[Candidate 7]]), 0)</f>
        <v>0</v>
      </c>
      <c r="W694" s="99">
        <f>IF(AND(SamplingData[[#This Row],[Total]]&lt;&gt; 0, NOT(ISBLANK(SamplingData[[#This Row],[Candidate 8]]))),(SamplingData[[#This Row],[Total]]+SamplingData[[#This Row],[Winning Candidate]]-SamplingData[[#This Row],[Candidate 8]])/(SamplingData[[#Totals],[Winning Candidate]]-SamplingData[[#Totals],[Candidate 8]]), 0)</f>
        <v>0</v>
      </c>
      <c r="X6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4" s="99">
        <f>MAX(SamplingData[[#This Row],[Error Bound (up) - Max. possible relative overstatement - Losing Candidate]:[Error Bound (up) - Max. possible relative overstatement - Candidate 12]])</f>
        <v>1.158546936004074E-2</v>
      </c>
      <c r="AC694" s="99">
        <f>IF(SamplingData[[#This Row],[Max Error Bound (up)]] = 0,0,SamplingData[[#This Row],[Max Error Bound (up)]]/SamplingData[[#Totals],[Max Error Bound (up)]])</f>
        <v>6.2029665176137057E-4</v>
      </c>
      <c r="AD694" s="103">
        <f>SUM($AC$5:AC694)</f>
        <v>0.60184225833424354</v>
      </c>
      <c r="AE694" s="99" t="str" cm="1">
        <f t="array" ref="AE694">IF(SamplingData[[#This Row],[up/U Selection Probability]] = 0, "Zero", TEXT(SamplingData[[#This Row],[Lower Range]], REPT("0",LEN('General Info'!$B$42))) &amp; " - " &amp; TEXT(SamplingData[[#This Row],[Upper Range]], REPT("0",LEN('General Info'!$B$42))))</f>
        <v>601222 - 601841</v>
      </c>
      <c r="AF694" s="99">
        <f>SamplingData[[#This Row],[Upper Range]]-SamplingData[[#This Row],[Span]]</f>
        <v>601221.96168248216</v>
      </c>
      <c r="AG694" s="99">
        <f>IF(ISNUMBER('General Info'!$B$42), ((SamplingData[[#This Row],[up/U Selection Probability]]) * 'General Info'!$B$44) - 1, 0)</f>
        <v>619.29665176137053</v>
      </c>
      <c r="AH694" s="99">
        <f>IF(ISNUMBER('General Info'!$B$42), (SamplingData[[#This Row],[Running (cumulative) sum]] * ('General Info'!$B$42 -'General Info'!$B$43 + 1)) + 'General Info'!$B$43 - 1, 0)</f>
        <v>601841.25833424355</v>
      </c>
      <c r="AI694" s="99" t="str">
        <f>IF(ISERROR(MATCH(SamplingData[[#This Row],[Batch by Type (p)]],SelectedPrecincts[Batch Name], 0)), "", INDEX(SelectedPrecincts[Draw], MATCH(SamplingData[[#This Row],[Batch by Type (p)]],SelectedPrecincts[Batch Name], 0)))</f>
        <v/>
      </c>
      <c r="AJ694" s="100">
        <f>IF(COUNTIF(SelectedPrecincts[Batch Name],SamplingData[[#This Row],[Batch by Type (p)]]) &lt;&gt; 0, COUNTIF(SelectedPrecincts[Batch Name],SamplingData[[#This Row],[Batch by Type (p)]]), 0)</f>
        <v>0</v>
      </c>
    </row>
    <row r="695" spans="1:36" ht="15" customHeight="1" x14ac:dyDescent="0.35">
      <c r="A695" s="97" t="s">
        <v>908</v>
      </c>
      <c r="B695" s="97">
        <v>174</v>
      </c>
      <c r="C695" s="97">
        <v>14</v>
      </c>
      <c r="D695" s="92"/>
      <c r="E695" s="92"/>
      <c r="F695" s="92"/>
      <c r="G695" s="96"/>
      <c r="H695" s="96"/>
      <c r="I695" s="92"/>
      <c r="J695" s="92"/>
      <c r="K695" s="92"/>
      <c r="L695" s="92"/>
      <c r="M695" s="92"/>
      <c r="N695" s="97">
        <v>0</v>
      </c>
      <c r="O695" s="97">
        <v>18</v>
      </c>
      <c r="P695" s="98">
        <f>SUM(SamplingData[[#This Row],[Winning Candidate]:[Under Votes]])</f>
        <v>206</v>
      </c>
      <c r="Q695" s="99">
        <f>IF(AND(SamplingData[[#This Row],[Total]]&lt;&gt; 0, NOT(ISBLANK(SamplingData[[#This Row],[Losing Candidate]]))),(SamplingData[[#This Row],[Total]]+SamplingData[[#This Row],[Winning Candidate]]-SamplingData[[#This Row],[Losing Candidate]])/(SamplingData[[#Totals],[Winning Candidate]]-SamplingData[[#Totals],[Losing Candidate]]), 0)</f>
        <v>1.5532167713461211E-2</v>
      </c>
      <c r="R695" s="99">
        <f>IF(AND(SamplingData[[#This Row],[Total]]&lt;&gt; 0, NOT(ISBLANK(SamplingData[[#This Row],[Candidate 3]]))),(SamplingData[[#This Row],[Total]]+SamplingData[[#This Row],[Winning Candidate]]-SamplingData[[#This Row],[Candidate 3]])/(SamplingData[[#Totals],[Winning Candidate]]-SamplingData[[#Totals],[Candidate 3]]), 0)</f>
        <v>0</v>
      </c>
      <c r="S695" s="99">
        <f>IF(AND(SamplingData[[#This Row],[Total]]&lt;&gt; 0, NOT(ISBLANK(SamplingData[[#This Row],[Candidate 4]]))),(SamplingData[[#This Row],[Total]]+SamplingData[[#This Row],[Winning Candidate]]-SamplingData[[#This Row],[Candidate 4]])/(SamplingData[[#Totals],[Winning Candidate]]-SamplingData[[#Totals],[Candidate 4]]), 0)</f>
        <v>0</v>
      </c>
      <c r="T695" s="99">
        <f>IF(AND(SamplingData[[#This Row],[Total]]&lt;&gt; 0, NOT(ISBLANK(SamplingData[[#This Row],[Candidate 5]]))),(SamplingData[[#This Row],[Total]]+SamplingData[[#This Row],[Winning Candidate]]-SamplingData[[#This Row],[Candidate 5]])/(SamplingData[[#Totals],[Winning Candidate]]-SamplingData[[#Totals],[Candidate 5]]), 0)</f>
        <v>0</v>
      </c>
      <c r="U695" s="99">
        <f>IF(AND(SamplingData[[#This Row],[Total]]&lt;&gt; 0, NOT(ISBLANK(SamplingData[[#This Row],[Candidate 6]]))),(SamplingData[[#This Row],[Total]]+SamplingData[[#This Row],[Losing Candidate]]-SamplingData[[#This Row],[Candidate 6]])/(SamplingData[[#Totals],[Winning Candidate]]-SamplingData[[#Totals],[Candidate 6]]), 0)</f>
        <v>0</v>
      </c>
      <c r="V695" s="99">
        <f>IF(AND(SamplingData[[#This Row],[Total]]&lt;&gt; 0, NOT(ISBLANK(SamplingData[[#This Row],[Candidate 7]]))),(SamplingData[[#This Row],[Total]]+SamplingData[[#This Row],[Winning Candidate]]-SamplingData[[#This Row],[Candidate 7]])/(SamplingData[[#Totals],[Winning Candidate]]-SamplingData[[#Totals],[Candidate 7]]), 0)</f>
        <v>0</v>
      </c>
      <c r="W695" s="99">
        <f>IF(AND(SamplingData[[#This Row],[Total]]&lt;&gt; 0, NOT(ISBLANK(SamplingData[[#This Row],[Candidate 8]]))),(SamplingData[[#This Row],[Total]]+SamplingData[[#This Row],[Winning Candidate]]-SamplingData[[#This Row],[Candidate 8]])/(SamplingData[[#Totals],[Winning Candidate]]-SamplingData[[#Totals],[Candidate 8]]), 0)</f>
        <v>0</v>
      </c>
      <c r="X6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5" s="99">
        <f>MAX(SamplingData[[#This Row],[Error Bound (up) - Max. possible relative overstatement - Losing Candidate]:[Error Bound (up) - Max. possible relative overstatement - Candidate 12]])</f>
        <v>1.5532167713461211E-2</v>
      </c>
      <c r="AC695" s="99">
        <f>IF(SamplingData[[#This Row],[Max Error Bound (up)]] = 0,0,SamplingData[[#This Row],[Max Error Bound (up)]]/SamplingData[[#Totals],[Max Error Bound (up)]])</f>
        <v>8.316065001635958E-4</v>
      </c>
      <c r="AD695" s="103">
        <f>SUM($AC$5:AC695)</f>
        <v>0.6026738648344071</v>
      </c>
      <c r="AE695" s="99" t="str" cm="1">
        <f t="array" ref="AE695">IF(SamplingData[[#This Row],[up/U Selection Probability]] = 0, "Zero", TEXT(SamplingData[[#This Row],[Lower Range]], REPT("0",LEN('General Info'!$B$42))) &amp; " - " &amp; TEXT(SamplingData[[#This Row],[Upper Range]], REPT("0",LEN('General Info'!$B$42))))</f>
        <v>601842 - 602673</v>
      </c>
      <c r="AF695" s="99">
        <f>SamplingData[[#This Row],[Upper Range]]-SamplingData[[#This Row],[Span]]</f>
        <v>601842.25833424355</v>
      </c>
      <c r="AG695" s="99">
        <f>IF(ISNUMBER('General Info'!$B$42), ((SamplingData[[#This Row],[up/U Selection Probability]]) * 'General Info'!$B$44) - 1, 0)</f>
        <v>830.6065001635958</v>
      </c>
      <c r="AH695" s="99">
        <f>IF(ISNUMBER('General Info'!$B$42), (SamplingData[[#This Row],[Running (cumulative) sum]] * ('General Info'!$B$42 -'General Info'!$B$43 + 1)) + 'General Info'!$B$43 - 1, 0)</f>
        <v>602672.86483440711</v>
      </c>
      <c r="AI695" s="99" t="str">
        <f>IF(ISERROR(MATCH(SamplingData[[#This Row],[Batch by Type (p)]],SelectedPrecincts[Batch Name], 0)), "", INDEX(SelectedPrecincts[Draw], MATCH(SamplingData[[#This Row],[Batch by Type (p)]],SelectedPrecincts[Batch Name], 0)))</f>
        <v/>
      </c>
      <c r="AJ695" s="100">
        <f>IF(COUNTIF(SelectedPrecincts[Batch Name],SamplingData[[#This Row],[Batch by Type (p)]]) &lt;&gt; 0, COUNTIF(SelectedPrecincts[Batch Name],SamplingData[[#This Row],[Batch by Type (p)]]), 0)</f>
        <v>0</v>
      </c>
    </row>
    <row r="696" spans="1:36" ht="15" customHeight="1" x14ac:dyDescent="0.35">
      <c r="A696" s="97" t="s">
        <v>909</v>
      </c>
      <c r="B696" s="97">
        <v>494</v>
      </c>
      <c r="C696" s="97">
        <v>77</v>
      </c>
      <c r="D696" s="92"/>
      <c r="E696" s="92"/>
      <c r="F696" s="92"/>
      <c r="G696" s="96"/>
      <c r="H696" s="96"/>
      <c r="I696" s="92"/>
      <c r="J696" s="92"/>
      <c r="K696" s="92"/>
      <c r="L696" s="92"/>
      <c r="M696" s="92"/>
      <c r="N696" s="97">
        <v>0</v>
      </c>
      <c r="O696" s="97">
        <v>41</v>
      </c>
      <c r="P696" s="98">
        <f>SUM(SamplingData[[#This Row],[Winning Candidate]:[Under Votes]])</f>
        <v>612</v>
      </c>
      <c r="Q696" s="99">
        <f>IF(AND(SamplingData[[#This Row],[Total]]&lt;&gt; 0, NOT(ISBLANK(SamplingData[[#This Row],[Losing Candidate]]))),(SamplingData[[#This Row],[Total]]+SamplingData[[#This Row],[Winning Candidate]]-SamplingData[[#This Row],[Losing Candidate]])/(SamplingData[[#Totals],[Winning Candidate]]-SamplingData[[#Totals],[Losing Candidate]]), 0)</f>
        <v>4.3668307587845866E-2</v>
      </c>
      <c r="R696" s="99">
        <f>IF(AND(SamplingData[[#This Row],[Total]]&lt;&gt; 0, NOT(ISBLANK(SamplingData[[#This Row],[Candidate 3]]))),(SamplingData[[#This Row],[Total]]+SamplingData[[#This Row],[Winning Candidate]]-SamplingData[[#This Row],[Candidate 3]])/(SamplingData[[#Totals],[Winning Candidate]]-SamplingData[[#Totals],[Candidate 3]]), 0)</f>
        <v>0</v>
      </c>
      <c r="S696" s="99">
        <f>IF(AND(SamplingData[[#This Row],[Total]]&lt;&gt; 0, NOT(ISBLANK(SamplingData[[#This Row],[Candidate 4]]))),(SamplingData[[#This Row],[Total]]+SamplingData[[#This Row],[Winning Candidate]]-SamplingData[[#This Row],[Candidate 4]])/(SamplingData[[#Totals],[Winning Candidate]]-SamplingData[[#Totals],[Candidate 4]]), 0)</f>
        <v>0</v>
      </c>
      <c r="T696" s="99">
        <f>IF(AND(SamplingData[[#This Row],[Total]]&lt;&gt; 0, NOT(ISBLANK(SamplingData[[#This Row],[Candidate 5]]))),(SamplingData[[#This Row],[Total]]+SamplingData[[#This Row],[Winning Candidate]]-SamplingData[[#This Row],[Candidate 5]])/(SamplingData[[#Totals],[Winning Candidate]]-SamplingData[[#Totals],[Candidate 5]]), 0)</f>
        <v>0</v>
      </c>
      <c r="U696" s="99">
        <f>IF(AND(SamplingData[[#This Row],[Total]]&lt;&gt; 0, NOT(ISBLANK(SamplingData[[#This Row],[Candidate 6]]))),(SamplingData[[#This Row],[Total]]+SamplingData[[#This Row],[Losing Candidate]]-SamplingData[[#This Row],[Candidate 6]])/(SamplingData[[#Totals],[Winning Candidate]]-SamplingData[[#Totals],[Candidate 6]]), 0)</f>
        <v>0</v>
      </c>
      <c r="V696" s="99">
        <f>IF(AND(SamplingData[[#This Row],[Total]]&lt;&gt; 0, NOT(ISBLANK(SamplingData[[#This Row],[Candidate 7]]))),(SamplingData[[#This Row],[Total]]+SamplingData[[#This Row],[Winning Candidate]]-SamplingData[[#This Row],[Candidate 7]])/(SamplingData[[#Totals],[Winning Candidate]]-SamplingData[[#Totals],[Candidate 7]]), 0)</f>
        <v>0</v>
      </c>
      <c r="W696" s="99">
        <f>IF(AND(SamplingData[[#This Row],[Total]]&lt;&gt; 0, NOT(ISBLANK(SamplingData[[#This Row],[Candidate 8]]))),(SamplingData[[#This Row],[Total]]+SamplingData[[#This Row],[Winning Candidate]]-SamplingData[[#This Row],[Candidate 8]])/(SamplingData[[#Totals],[Winning Candidate]]-SamplingData[[#Totals],[Candidate 8]]), 0)</f>
        <v>0</v>
      </c>
      <c r="X6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6" s="99">
        <f>MAX(SamplingData[[#This Row],[Error Bound (up) - Max. possible relative overstatement - Losing Candidate]:[Error Bound (up) - Max. possible relative overstatement - Candidate 12]])</f>
        <v>4.3668307587845866E-2</v>
      </c>
      <c r="AC696" s="99">
        <f>IF(SamplingData[[#This Row],[Max Error Bound (up)]] = 0,0,SamplingData[[#This Row],[Max Error Bound (up)]]/SamplingData[[#Totals],[Max Error Bound (up)]])</f>
        <v>2.3380412258697815E-3</v>
      </c>
      <c r="AD696" s="103">
        <f>SUM($AC$5:AC696)</f>
        <v>0.60501190606027688</v>
      </c>
      <c r="AE696" s="99" t="str" cm="1">
        <f t="array" ref="AE696">IF(SamplingData[[#This Row],[up/U Selection Probability]] = 0, "Zero", TEXT(SamplingData[[#This Row],[Lower Range]], REPT("0",LEN('General Info'!$B$42))) &amp; " - " &amp; TEXT(SamplingData[[#This Row],[Upper Range]], REPT("0",LEN('General Info'!$B$42))))</f>
        <v>602674 - 605011</v>
      </c>
      <c r="AF696" s="99">
        <f>SamplingData[[#This Row],[Upper Range]]-SamplingData[[#This Row],[Span]]</f>
        <v>602673.86483440711</v>
      </c>
      <c r="AG696" s="99">
        <f>IF(ISNUMBER('General Info'!$B$42), ((SamplingData[[#This Row],[up/U Selection Probability]]) * 'General Info'!$B$44) - 1, 0)</f>
        <v>2337.0412258697816</v>
      </c>
      <c r="AH696" s="99">
        <f>IF(ISNUMBER('General Info'!$B$42), (SamplingData[[#This Row],[Running (cumulative) sum]] * ('General Info'!$B$42 -'General Info'!$B$43 + 1)) + 'General Info'!$B$43 - 1, 0)</f>
        <v>605010.9060602769</v>
      </c>
      <c r="AI696" s="99" t="str">
        <f>IF(ISERROR(MATCH(SamplingData[[#This Row],[Batch by Type (p)]],SelectedPrecincts[Batch Name], 0)), "", INDEX(SelectedPrecincts[Draw], MATCH(SamplingData[[#This Row],[Batch by Type (p)]],SelectedPrecincts[Batch Name], 0)))</f>
        <v/>
      </c>
      <c r="AJ696" s="100">
        <f>IF(COUNTIF(SelectedPrecincts[Batch Name],SamplingData[[#This Row],[Batch by Type (p)]]) &lt;&gt; 0, COUNTIF(SelectedPrecincts[Batch Name],SamplingData[[#This Row],[Batch by Type (p)]]), 0)</f>
        <v>0</v>
      </c>
    </row>
    <row r="697" spans="1:36" ht="15" customHeight="1" x14ac:dyDescent="0.35">
      <c r="A697" s="97" t="s">
        <v>910</v>
      </c>
      <c r="B697" s="97">
        <v>250</v>
      </c>
      <c r="C697" s="97">
        <v>64</v>
      </c>
      <c r="D697" s="92"/>
      <c r="E697" s="92"/>
      <c r="F697" s="92"/>
      <c r="G697" s="96"/>
      <c r="H697" s="96"/>
      <c r="I697" s="92"/>
      <c r="J697" s="92"/>
      <c r="K697" s="92"/>
      <c r="L697" s="92"/>
      <c r="M697" s="92"/>
      <c r="N697" s="97">
        <v>0</v>
      </c>
      <c r="O697" s="97">
        <v>21</v>
      </c>
      <c r="P697" s="98">
        <f>SUM(SamplingData[[#This Row],[Winning Candidate]:[Under Votes]])</f>
        <v>335</v>
      </c>
      <c r="Q697" s="99">
        <f>IF(AND(SamplingData[[#This Row],[Total]]&lt;&gt; 0, NOT(ISBLANK(SamplingData[[#This Row],[Losing Candidate]]))),(SamplingData[[#This Row],[Total]]+SamplingData[[#This Row],[Winning Candidate]]-SamplingData[[#This Row],[Losing Candidate]])/(SamplingData[[#Totals],[Winning Candidate]]-SamplingData[[#Totals],[Losing Candidate]]), 0)</f>
        <v>2.2109998302495333E-2</v>
      </c>
      <c r="R697" s="99">
        <f>IF(AND(SamplingData[[#This Row],[Total]]&lt;&gt; 0, NOT(ISBLANK(SamplingData[[#This Row],[Candidate 3]]))),(SamplingData[[#This Row],[Total]]+SamplingData[[#This Row],[Winning Candidate]]-SamplingData[[#This Row],[Candidate 3]])/(SamplingData[[#Totals],[Winning Candidate]]-SamplingData[[#Totals],[Candidate 3]]), 0)</f>
        <v>0</v>
      </c>
      <c r="S697" s="99">
        <f>IF(AND(SamplingData[[#This Row],[Total]]&lt;&gt; 0, NOT(ISBLANK(SamplingData[[#This Row],[Candidate 4]]))),(SamplingData[[#This Row],[Total]]+SamplingData[[#This Row],[Winning Candidate]]-SamplingData[[#This Row],[Candidate 4]])/(SamplingData[[#Totals],[Winning Candidate]]-SamplingData[[#Totals],[Candidate 4]]), 0)</f>
        <v>0</v>
      </c>
      <c r="T697" s="99">
        <f>IF(AND(SamplingData[[#This Row],[Total]]&lt;&gt; 0, NOT(ISBLANK(SamplingData[[#This Row],[Candidate 5]]))),(SamplingData[[#This Row],[Total]]+SamplingData[[#This Row],[Winning Candidate]]-SamplingData[[#This Row],[Candidate 5]])/(SamplingData[[#Totals],[Winning Candidate]]-SamplingData[[#Totals],[Candidate 5]]), 0)</f>
        <v>0</v>
      </c>
      <c r="U697" s="99">
        <f>IF(AND(SamplingData[[#This Row],[Total]]&lt;&gt; 0, NOT(ISBLANK(SamplingData[[#This Row],[Candidate 6]]))),(SamplingData[[#This Row],[Total]]+SamplingData[[#This Row],[Losing Candidate]]-SamplingData[[#This Row],[Candidate 6]])/(SamplingData[[#Totals],[Winning Candidate]]-SamplingData[[#Totals],[Candidate 6]]), 0)</f>
        <v>0</v>
      </c>
      <c r="V697" s="99">
        <f>IF(AND(SamplingData[[#This Row],[Total]]&lt;&gt; 0, NOT(ISBLANK(SamplingData[[#This Row],[Candidate 7]]))),(SamplingData[[#This Row],[Total]]+SamplingData[[#This Row],[Winning Candidate]]-SamplingData[[#This Row],[Candidate 7]])/(SamplingData[[#Totals],[Winning Candidate]]-SamplingData[[#Totals],[Candidate 7]]), 0)</f>
        <v>0</v>
      </c>
      <c r="W697" s="99">
        <f>IF(AND(SamplingData[[#This Row],[Total]]&lt;&gt; 0, NOT(ISBLANK(SamplingData[[#This Row],[Candidate 8]]))),(SamplingData[[#This Row],[Total]]+SamplingData[[#This Row],[Winning Candidate]]-SamplingData[[#This Row],[Candidate 8]])/(SamplingData[[#Totals],[Winning Candidate]]-SamplingData[[#Totals],[Candidate 8]]), 0)</f>
        <v>0</v>
      </c>
      <c r="X6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7" s="99">
        <f>MAX(SamplingData[[#This Row],[Error Bound (up) - Max. possible relative overstatement - Losing Candidate]:[Error Bound (up) - Max. possible relative overstatement - Candidate 12]])</f>
        <v>2.2109998302495333E-2</v>
      </c>
      <c r="AC697" s="99">
        <f>IF(SamplingData[[#This Row],[Max Error Bound (up)]] = 0,0,SamplingData[[#This Row],[Max Error Bound (up)]]/SamplingData[[#Totals],[Max Error Bound (up)]])</f>
        <v>1.1837895808339712E-3</v>
      </c>
      <c r="AD697" s="103">
        <f>SUM($AC$5:AC697)</f>
        <v>0.60619569564111087</v>
      </c>
      <c r="AE697" s="99" t="str" cm="1">
        <f t="array" ref="AE697">IF(SamplingData[[#This Row],[up/U Selection Probability]] = 0, "Zero", TEXT(SamplingData[[#This Row],[Lower Range]], REPT("0",LEN('General Info'!$B$42))) &amp; " - " &amp; TEXT(SamplingData[[#This Row],[Upper Range]], REPT("0",LEN('General Info'!$B$42))))</f>
        <v>605012 - 606195</v>
      </c>
      <c r="AF697" s="99">
        <f>SamplingData[[#This Row],[Upper Range]]-SamplingData[[#This Row],[Span]]</f>
        <v>605011.9060602769</v>
      </c>
      <c r="AG697" s="99">
        <f>IF(ISNUMBER('General Info'!$B$42), ((SamplingData[[#This Row],[up/U Selection Probability]]) * 'General Info'!$B$44) - 1, 0)</f>
        <v>1182.7895808339713</v>
      </c>
      <c r="AH697" s="99">
        <f>IF(ISNUMBER('General Info'!$B$42), (SamplingData[[#This Row],[Running (cumulative) sum]] * ('General Info'!$B$42 -'General Info'!$B$43 + 1)) + 'General Info'!$B$43 - 1, 0)</f>
        <v>606194.69564111088</v>
      </c>
      <c r="AI697" s="99" t="str">
        <f>IF(ISERROR(MATCH(SamplingData[[#This Row],[Batch by Type (p)]],SelectedPrecincts[Batch Name], 0)), "", INDEX(SelectedPrecincts[Draw], MATCH(SamplingData[[#This Row],[Batch by Type (p)]],SelectedPrecincts[Batch Name], 0)))</f>
        <v/>
      </c>
      <c r="AJ697" s="100">
        <f>IF(COUNTIF(SelectedPrecincts[Batch Name],SamplingData[[#This Row],[Batch by Type (p)]]) &lt;&gt; 0, COUNTIF(SelectedPrecincts[Batch Name],SamplingData[[#This Row],[Batch by Type (p)]]), 0)</f>
        <v>0</v>
      </c>
    </row>
    <row r="698" spans="1:36" ht="15" customHeight="1" x14ac:dyDescent="0.35">
      <c r="A698" s="97" t="s">
        <v>911</v>
      </c>
      <c r="B698" s="97">
        <v>260</v>
      </c>
      <c r="C698" s="97">
        <v>24</v>
      </c>
      <c r="D698" s="92"/>
      <c r="E698" s="92"/>
      <c r="F698" s="92"/>
      <c r="G698" s="96"/>
      <c r="H698" s="96"/>
      <c r="I698" s="92"/>
      <c r="J698" s="92"/>
      <c r="K698" s="92"/>
      <c r="L698" s="92"/>
      <c r="M698" s="92"/>
      <c r="N698" s="97">
        <v>0</v>
      </c>
      <c r="O698" s="97">
        <v>23</v>
      </c>
      <c r="P698" s="98">
        <f>SUM(SamplingData[[#This Row],[Winning Candidate]:[Under Votes]])</f>
        <v>307</v>
      </c>
      <c r="Q698" s="99">
        <f>IF(AND(SamplingData[[#This Row],[Total]]&lt;&gt; 0, NOT(ISBLANK(SamplingData[[#This Row],[Losing Candidate]]))),(SamplingData[[#This Row],[Total]]+SamplingData[[#This Row],[Winning Candidate]]-SamplingData[[#This Row],[Losing Candidate]])/(SamplingData[[#Totals],[Winning Candidate]]-SamplingData[[#Totals],[Losing Candidate]]), 0)</f>
        <v>2.3043625869971142E-2</v>
      </c>
      <c r="R698" s="99">
        <f>IF(AND(SamplingData[[#This Row],[Total]]&lt;&gt; 0, NOT(ISBLANK(SamplingData[[#This Row],[Candidate 3]]))),(SamplingData[[#This Row],[Total]]+SamplingData[[#This Row],[Winning Candidate]]-SamplingData[[#This Row],[Candidate 3]])/(SamplingData[[#Totals],[Winning Candidate]]-SamplingData[[#Totals],[Candidate 3]]), 0)</f>
        <v>0</v>
      </c>
      <c r="S698" s="99">
        <f>IF(AND(SamplingData[[#This Row],[Total]]&lt;&gt; 0, NOT(ISBLANK(SamplingData[[#This Row],[Candidate 4]]))),(SamplingData[[#This Row],[Total]]+SamplingData[[#This Row],[Winning Candidate]]-SamplingData[[#This Row],[Candidate 4]])/(SamplingData[[#Totals],[Winning Candidate]]-SamplingData[[#Totals],[Candidate 4]]), 0)</f>
        <v>0</v>
      </c>
      <c r="T698" s="99">
        <f>IF(AND(SamplingData[[#This Row],[Total]]&lt;&gt; 0, NOT(ISBLANK(SamplingData[[#This Row],[Candidate 5]]))),(SamplingData[[#This Row],[Total]]+SamplingData[[#This Row],[Winning Candidate]]-SamplingData[[#This Row],[Candidate 5]])/(SamplingData[[#Totals],[Winning Candidate]]-SamplingData[[#Totals],[Candidate 5]]), 0)</f>
        <v>0</v>
      </c>
      <c r="U698" s="99">
        <f>IF(AND(SamplingData[[#This Row],[Total]]&lt;&gt; 0, NOT(ISBLANK(SamplingData[[#This Row],[Candidate 6]]))),(SamplingData[[#This Row],[Total]]+SamplingData[[#This Row],[Losing Candidate]]-SamplingData[[#This Row],[Candidate 6]])/(SamplingData[[#Totals],[Winning Candidate]]-SamplingData[[#Totals],[Candidate 6]]), 0)</f>
        <v>0</v>
      </c>
      <c r="V698" s="99">
        <f>IF(AND(SamplingData[[#This Row],[Total]]&lt;&gt; 0, NOT(ISBLANK(SamplingData[[#This Row],[Candidate 7]]))),(SamplingData[[#This Row],[Total]]+SamplingData[[#This Row],[Winning Candidate]]-SamplingData[[#This Row],[Candidate 7]])/(SamplingData[[#Totals],[Winning Candidate]]-SamplingData[[#Totals],[Candidate 7]]), 0)</f>
        <v>0</v>
      </c>
      <c r="W698" s="99">
        <f>IF(AND(SamplingData[[#This Row],[Total]]&lt;&gt; 0, NOT(ISBLANK(SamplingData[[#This Row],[Candidate 8]]))),(SamplingData[[#This Row],[Total]]+SamplingData[[#This Row],[Winning Candidate]]-SamplingData[[#This Row],[Candidate 8]])/(SamplingData[[#Totals],[Winning Candidate]]-SamplingData[[#Totals],[Candidate 8]]), 0)</f>
        <v>0</v>
      </c>
      <c r="X6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8" s="99">
        <f>MAX(SamplingData[[#This Row],[Error Bound (up) - Max. possible relative overstatement - Losing Candidate]:[Error Bound (up) - Max. possible relative overstatement - Candidate 12]])</f>
        <v>2.3043625869971142E-2</v>
      </c>
      <c r="AC698" s="99">
        <f>IF(SamplingData[[#This Row],[Max Error Bound (up)]] = 0,0,SamplingData[[#This Row],[Max Error Bound (up)]]/SamplingData[[#Totals],[Max Error Bound (up)]])</f>
        <v>1.2337768568000888E-3</v>
      </c>
      <c r="AD698" s="103">
        <f>SUM($AC$5:AC698)</f>
        <v>0.60742947249791091</v>
      </c>
      <c r="AE698" s="99" t="str" cm="1">
        <f t="array" ref="AE698">IF(SamplingData[[#This Row],[up/U Selection Probability]] = 0, "Zero", TEXT(SamplingData[[#This Row],[Lower Range]], REPT("0",LEN('General Info'!$B$42))) &amp; " - " &amp; TEXT(SamplingData[[#This Row],[Upper Range]], REPT("0",LEN('General Info'!$B$42))))</f>
        <v>606196 - 607428</v>
      </c>
      <c r="AF698" s="99">
        <f>SamplingData[[#This Row],[Upper Range]]-SamplingData[[#This Row],[Span]]</f>
        <v>606195.69564111088</v>
      </c>
      <c r="AG698" s="99">
        <f>IF(ISNUMBER('General Info'!$B$42), ((SamplingData[[#This Row],[up/U Selection Probability]]) * 'General Info'!$B$44) - 1, 0)</f>
        <v>1232.7768568000888</v>
      </c>
      <c r="AH698" s="99">
        <f>IF(ISNUMBER('General Info'!$B$42), (SamplingData[[#This Row],[Running (cumulative) sum]] * ('General Info'!$B$42 -'General Info'!$B$43 + 1)) + 'General Info'!$B$43 - 1, 0)</f>
        <v>607428.47249791096</v>
      </c>
      <c r="AI698" s="99" t="str">
        <f>IF(ISERROR(MATCH(SamplingData[[#This Row],[Batch by Type (p)]],SelectedPrecincts[Batch Name], 0)), "", INDEX(SelectedPrecincts[Draw], MATCH(SamplingData[[#This Row],[Batch by Type (p)]],SelectedPrecincts[Batch Name], 0)))</f>
        <v/>
      </c>
      <c r="AJ698" s="100">
        <f>IF(COUNTIF(SelectedPrecincts[Batch Name],SamplingData[[#This Row],[Batch by Type (p)]]) &lt;&gt; 0, COUNTIF(SelectedPrecincts[Batch Name],SamplingData[[#This Row],[Batch by Type (p)]]), 0)</f>
        <v>0</v>
      </c>
    </row>
    <row r="699" spans="1:36" ht="15" customHeight="1" x14ac:dyDescent="0.35">
      <c r="A699" s="97" t="s">
        <v>912</v>
      </c>
      <c r="B699" s="97">
        <v>343</v>
      </c>
      <c r="C699" s="97">
        <v>80</v>
      </c>
      <c r="D699" s="92"/>
      <c r="E699" s="92"/>
      <c r="F699" s="92"/>
      <c r="G699" s="96"/>
      <c r="H699" s="96"/>
      <c r="I699" s="92"/>
      <c r="J699" s="92"/>
      <c r="K699" s="92"/>
      <c r="L699" s="92"/>
      <c r="M699" s="92"/>
      <c r="N699" s="97">
        <v>0</v>
      </c>
      <c r="O699" s="97">
        <v>23</v>
      </c>
      <c r="P699" s="98">
        <f>SUM(SamplingData[[#This Row],[Winning Candidate]:[Under Votes]])</f>
        <v>446</v>
      </c>
      <c r="Q699" s="99">
        <f>IF(AND(SamplingData[[#This Row],[Total]]&lt;&gt; 0, NOT(ISBLANK(SamplingData[[#This Row],[Losing Candidate]]))),(SamplingData[[#This Row],[Total]]+SamplingData[[#This Row],[Winning Candidate]]-SamplingData[[#This Row],[Losing Candidate]])/(SamplingData[[#Totals],[Winning Candidate]]-SamplingData[[#Totals],[Losing Candidate]]), 0)</f>
        <v>3.0088270242743166E-2</v>
      </c>
      <c r="R699" s="99">
        <f>IF(AND(SamplingData[[#This Row],[Total]]&lt;&gt; 0, NOT(ISBLANK(SamplingData[[#This Row],[Candidate 3]]))),(SamplingData[[#This Row],[Total]]+SamplingData[[#This Row],[Winning Candidate]]-SamplingData[[#This Row],[Candidate 3]])/(SamplingData[[#Totals],[Winning Candidate]]-SamplingData[[#Totals],[Candidate 3]]), 0)</f>
        <v>0</v>
      </c>
      <c r="S699" s="99">
        <f>IF(AND(SamplingData[[#This Row],[Total]]&lt;&gt; 0, NOT(ISBLANK(SamplingData[[#This Row],[Candidate 4]]))),(SamplingData[[#This Row],[Total]]+SamplingData[[#This Row],[Winning Candidate]]-SamplingData[[#This Row],[Candidate 4]])/(SamplingData[[#Totals],[Winning Candidate]]-SamplingData[[#Totals],[Candidate 4]]), 0)</f>
        <v>0</v>
      </c>
      <c r="T699" s="99">
        <f>IF(AND(SamplingData[[#This Row],[Total]]&lt;&gt; 0, NOT(ISBLANK(SamplingData[[#This Row],[Candidate 5]]))),(SamplingData[[#This Row],[Total]]+SamplingData[[#This Row],[Winning Candidate]]-SamplingData[[#This Row],[Candidate 5]])/(SamplingData[[#Totals],[Winning Candidate]]-SamplingData[[#Totals],[Candidate 5]]), 0)</f>
        <v>0</v>
      </c>
      <c r="U699" s="99">
        <f>IF(AND(SamplingData[[#This Row],[Total]]&lt;&gt; 0, NOT(ISBLANK(SamplingData[[#This Row],[Candidate 6]]))),(SamplingData[[#This Row],[Total]]+SamplingData[[#This Row],[Losing Candidate]]-SamplingData[[#This Row],[Candidate 6]])/(SamplingData[[#Totals],[Winning Candidate]]-SamplingData[[#Totals],[Candidate 6]]), 0)</f>
        <v>0</v>
      </c>
      <c r="V699" s="99">
        <f>IF(AND(SamplingData[[#This Row],[Total]]&lt;&gt; 0, NOT(ISBLANK(SamplingData[[#This Row],[Candidate 7]]))),(SamplingData[[#This Row],[Total]]+SamplingData[[#This Row],[Winning Candidate]]-SamplingData[[#This Row],[Candidate 7]])/(SamplingData[[#Totals],[Winning Candidate]]-SamplingData[[#Totals],[Candidate 7]]), 0)</f>
        <v>0</v>
      </c>
      <c r="W699" s="99">
        <f>IF(AND(SamplingData[[#This Row],[Total]]&lt;&gt; 0, NOT(ISBLANK(SamplingData[[#This Row],[Candidate 8]]))),(SamplingData[[#This Row],[Total]]+SamplingData[[#This Row],[Winning Candidate]]-SamplingData[[#This Row],[Candidate 8]])/(SamplingData[[#Totals],[Winning Candidate]]-SamplingData[[#Totals],[Candidate 8]]), 0)</f>
        <v>0</v>
      </c>
      <c r="X6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9" s="99">
        <f>MAX(SamplingData[[#This Row],[Error Bound (up) - Max. possible relative overstatement - Losing Candidate]:[Error Bound (up) - Max. possible relative overstatement - Candidate 12]])</f>
        <v>3.0088270242743166E-2</v>
      </c>
      <c r="AC699" s="99">
        <f>IF(SamplingData[[#This Row],[Max Error Bound (up)]] = 0,0,SamplingData[[#This Row],[Max Error Bound (up)]]/SamplingData[[#Totals],[Max Error Bound (up)]])</f>
        <v>1.610953575453523E-3</v>
      </c>
      <c r="AD699" s="103">
        <f>SUM($AC$5:AC699)</f>
        <v>0.60904042607336439</v>
      </c>
      <c r="AE699" s="99" t="str" cm="1">
        <f t="array" ref="AE699">IF(SamplingData[[#This Row],[up/U Selection Probability]] = 0, "Zero", TEXT(SamplingData[[#This Row],[Lower Range]], REPT("0",LEN('General Info'!$B$42))) &amp; " - " &amp; TEXT(SamplingData[[#This Row],[Upper Range]], REPT("0",LEN('General Info'!$B$42))))</f>
        <v>607429 - 609039</v>
      </c>
      <c r="AF699" s="99">
        <f>SamplingData[[#This Row],[Upper Range]]-SamplingData[[#This Row],[Span]]</f>
        <v>607429.47249791096</v>
      </c>
      <c r="AG699" s="99">
        <f>IF(ISNUMBER('General Info'!$B$42), ((SamplingData[[#This Row],[up/U Selection Probability]]) * 'General Info'!$B$44) - 1, 0)</f>
        <v>1609.9535754535229</v>
      </c>
      <c r="AH699" s="99">
        <f>IF(ISNUMBER('General Info'!$B$42), (SamplingData[[#This Row],[Running (cumulative) sum]] * ('General Info'!$B$42 -'General Info'!$B$43 + 1)) + 'General Info'!$B$43 - 1, 0)</f>
        <v>609039.42607336445</v>
      </c>
      <c r="AI699" s="99" t="str">
        <f>IF(ISERROR(MATCH(SamplingData[[#This Row],[Batch by Type (p)]],SelectedPrecincts[Batch Name], 0)), "", INDEX(SelectedPrecincts[Draw], MATCH(SamplingData[[#This Row],[Batch by Type (p)]],SelectedPrecincts[Batch Name], 0)))</f>
        <v/>
      </c>
      <c r="AJ699" s="100">
        <f>IF(COUNTIF(SelectedPrecincts[Batch Name],SamplingData[[#This Row],[Batch by Type (p)]]) &lt;&gt; 0, COUNTIF(SelectedPrecincts[Batch Name],SamplingData[[#This Row],[Batch by Type (p)]]), 0)</f>
        <v>0</v>
      </c>
    </row>
    <row r="700" spans="1:36" ht="15" customHeight="1" x14ac:dyDescent="0.35">
      <c r="A700" s="97" t="s">
        <v>913</v>
      </c>
      <c r="B700" s="97">
        <v>258</v>
      </c>
      <c r="C700" s="97">
        <v>35</v>
      </c>
      <c r="D700" s="92"/>
      <c r="E700" s="92"/>
      <c r="F700" s="92"/>
      <c r="G700" s="96"/>
      <c r="H700" s="96"/>
      <c r="I700" s="92"/>
      <c r="J700" s="92"/>
      <c r="K700" s="92"/>
      <c r="L700" s="92"/>
      <c r="M700" s="92"/>
      <c r="N700" s="97">
        <v>1</v>
      </c>
      <c r="O700" s="97">
        <v>15</v>
      </c>
      <c r="P700" s="98">
        <f>SUM(SamplingData[[#This Row],[Winning Candidate]:[Under Votes]])</f>
        <v>309</v>
      </c>
      <c r="Q700" s="99">
        <f>IF(AND(SamplingData[[#This Row],[Total]]&lt;&gt; 0, NOT(ISBLANK(SamplingData[[#This Row],[Losing Candidate]]))),(SamplingData[[#This Row],[Total]]+SamplingData[[#This Row],[Winning Candidate]]-SamplingData[[#This Row],[Losing Candidate]])/(SamplingData[[#Totals],[Winning Candidate]]-SamplingData[[#Totals],[Losing Candidate]]), 0)</f>
        <v>2.2576812086233237E-2</v>
      </c>
      <c r="R700" s="99">
        <f>IF(AND(SamplingData[[#This Row],[Total]]&lt;&gt; 0, NOT(ISBLANK(SamplingData[[#This Row],[Candidate 3]]))),(SamplingData[[#This Row],[Total]]+SamplingData[[#This Row],[Winning Candidate]]-SamplingData[[#This Row],[Candidate 3]])/(SamplingData[[#Totals],[Winning Candidate]]-SamplingData[[#Totals],[Candidate 3]]), 0)</f>
        <v>0</v>
      </c>
      <c r="S700" s="99">
        <f>IF(AND(SamplingData[[#This Row],[Total]]&lt;&gt; 0, NOT(ISBLANK(SamplingData[[#This Row],[Candidate 4]]))),(SamplingData[[#This Row],[Total]]+SamplingData[[#This Row],[Winning Candidate]]-SamplingData[[#This Row],[Candidate 4]])/(SamplingData[[#Totals],[Winning Candidate]]-SamplingData[[#Totals],[Candidate 4]]), 0)</f>
        <v>0</v>
      </c>
      <c r="T700" s="99">
        <f>IF(AND(SamplingData[[#This Row],[Total]]&lt;&gt; 0, NOT(ISBLANK(SamplingData[[#This Row],[Candidate 5]]))),(SamplingData[[#This Row],[Total]]+SamplingData[[#This Row],[Winning Candidate]]-SamplingData[[#This Row],[Candidate 5]])/(SamplingData[[#Totals],[Winning Candidate]]-SamplingData[[#Totals],[Candidate 5]]), 0)</f>
        <v>0</v>
      </c>
      <c r="U700" s="99">
        <f>IF(AND(SamplingData[[#This Row],[Total]]&lt;&gt; 0, NOT(ISBLANK(SamplingData[[#This Row],[Candidate 6]]))),(SamplingData[[#This Row],[Total]]+SamplingData[[#This Row],[Losing Candidate]]-SamplingData[[#This Row],[Candidate 6]])/(SamplingData[[#Totals],[Winning Candidate]]-SamplingData[[#Totals],[Candidate 6]]), 0)</f>
        <v>0</v>
      </c>
      <c r="V700" s="99">
        <f>IF(AND(SamplingData[[#This Row],[Total]]&lt;&gt; 0, NOT(ISBLANK(SamplingData[[#This Row],[Candidate 7]]))),(SamplingData[[#This Row],[Total]]+SamplingData[[#This Row],[Winning Candidate]]-SamplingData[[#This Row],[Candidate 7]])/(SamplingData[[#Totals],[Winning Candidate]]-SamplingData[[#Totals],[Candidate 7]]), 0)</f>
        <v>0</v>
      </c>
      <c r="W700" s="99">
        <f>IF(AND(SamplingData[[#This Row],[Total]]&lt;&gt; 0, NOT(ISBLANK(SamplingData[[#This Row],[Candidate 8]]))),(SamplingData[[#This Row],[Total]]+SamplingData[[#This Row],[Winning Candidate]]-SamplingData[[#This Row],[Candidate 8]])/(SamplingData[[#Totals],[Winning Candidate]]-SamplingData[[#Totals],[Candidate 8]]), 0)</f>
        <v>0</v>
      </c>
      <c r="X7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0" s="99">
        <f>MAX(SamplingData[[#This Row],[Error Bound (up) - Max. possible relative overstatement - Losing Candidate]:[Error Bound (up) - Max. possible relative overstatement - Candidate 12]])</f>
        <v>2.2576812086233237E-2</v>
      </c>
      <c r="AC700" s="99">
        <f>IF(SamplingData[[#This Row],[Max Error Bound (up)]] = 0,0,SamplingData[[#This Row],[Max Error Bound (up)]]/SamplingData[[#Totals],[Max Error Bound (up)]])</f>
        <v>1.20878321881703E-3</v>
      </c>
      <c r="AD700" s="103">
        <f>SUM($AC$5:AC700)</f>
        <v>0.6102492092921814</v>
      </c>
      <c r="AE700" s="99" t="str" cm="1">
        <f t="array" ref="AE700">IF(SamplingData[[#This Row],[up/U Selection Probability]] = 0, "Zero", TEXT(SamplingData[[#This Row],[Lower Range]], REPT("0",LEN('General Info'!$B$42))) &amp; " - " &amp; TEXT(SamplingData[[#This Row],[Upper Range]], REPT("0",LEN('General Info'!$B$42))))</f>
        <v>609040 - 610248</v>
      </c>
      <c r="AF700" s="99">
        <f>SamplingData[[#This Row],[Upper Range]]-SamplingData[[#This Row],[Span]]</f>
        <v>609040.42607336433</v>
      </c>
      <c r="AG700" s="99">
        <f>IF(ISNUMBER('General Info'!$B$42), ((SamplingData[[#This Row],[up/U Selection Probability]]) * 'General Info'!$B$44) - 1, 0)</f>
        <v>1207.78321881703</v>
      </c>
      <c r="AH700" s="99">
        <f>IF(ISNUMBER('General Info'!$B$42), (SamplingData[[#This Row],[Running (cumulative) sum]] * ('General Info'!$B$42 -'General Info'!$B$43 + 1)) + 'General Info'!$B$43 - 1, 0)</f>
        <v>610248.20929218142</v>
      </c>
      <c r="AI700" s="99" t="str">
        <f>IF(ISERROR(MATCH(SamplingData[[#This Row],[Batch by Type (p)]],SelectedPrecincts[Batch Name], 0)), "", INDEX(SelectedPrecincts[Draw], MATCH(SamplingData[[#This Row],[Batch by Type (p)]],SelectedPrecincts[Batch Name], 0)))</f>
        <v/>
      </c>
      <c r="AJ700" s="100">
        <f>IF(COUNTIF(SelectedPrecincts[Batch Name],SamplingData[[#This Row],[Batch by Type (p)]]) &lt;&gt; 0, COUNTIF(SelectedPrecincts[Batch Name],SamplingData[[#This Row],[Batch by Type (p)]]), 0)</f>
        <v>0</v>
      </c>
    </row>
    <row r="701" spans="1:36" ht="15" customHeight="1" x14ac:dyDescent="0.35">
      <c r="A701" s="97" t="s">
        <v>914</v>
      </c>
      <c r="B701" s="97">
        <v>306</v>
      </c>
      <c r="C701" s="97">
        <v>42</v>
      </c>
      <c r="D701" s="92"/>
      <c r="E701" s="92"/>
      <c r="F701" s="92"/>
      <c r="G701" s="96"/>
      <c r="H701" s="96"/>
      <c r="I701" s="92"/>
      <c r="J701" s="92"/>
      <c r="K701" s="92"/>
      <c r="L701" s="92"/>
      <c r="M701" s="92"/>
      <c r="N701" s="97">
        <v>1</v>
      </c>
      <c r="O701" s="97">
        <v>13</v>
      </c>
      <c r="P701" s="98">
        <f>SUM(SamplingData[[#This Row],[Winning Candidate]:[Under Votes]])</f>
        <v>362</v>
      </c>
      <c r="Q701" s="99">
        <f>IF(AND(SamplingData[[#This Row],[Total]]&lt;&gt; 0, NOT(ISBLANK(SamplingData[[#This Row],[Losing Candidate]]))),(SamplingData[[#This Row],[Total]]+SamplingData[[#This Row],[Winning Candidate]]-SamplingData[[#This Row],[Losing Candidate]])/(SamplingData[[#Totals],[Winning Candidate]]-SamplingData[[#Totals],[Losing Candidate]]), 0)</f>
        <v>2.6565948056357154E-2</v>
      </c>
      <c r="R701" s="99">
        <f>IF(AND(SamplingData[[#This Row],[Total]]&lt;&gt; 0, NOT(ISBLANK(SamplingData[[#This Row],[Candidate 3]]))),(SamplingData[[#This Row],[Total]]+SamplingData[[#This Row],[Winning Candidate]]-SamplingData[[#This Row],[Candidate 3]])/(SamplingData[[#Totals],[Winning Candidate]]-SamplingData[[#Totals],[Candidate 3]]), 0)</f>
        <v>0</v>
      </c>
      <c r="S701" s="99">
        <f>IF(AND(SamplingData[[#This Row],[Total]]&lt;&gt; 0, NOT(ISBLANK(SamplingData[[#This Row],[Candidate 4]]))),(SamplingData[[#This Row],[Total]]+SamplingData[[#This Row],[Winning Candidate]]-SamplingData[[#This Row],[Candidate 4]])/(SamplingData[[#Totals],[Winning Candidate]]-SamplingData[[#Totals],[Candidate 4]]), 0)</f>
        <v>0</v>
      </c>
      <c r="T701" s="99">
        <f>IF(AND(SamplingData[[#This Row],[Total]]&lt;&gt; 0, NOT(ISBLANK(SamplingData[[#This Row],[Candidate 5]]))),(SamplingData[[#This Row],[Total]]+SamplingData[[#This Row],[Winning Candidate]]-SamplingData[[#This Row],[Candidate 5]])/(SamplingData[[#Totals],[Winning Candidate]]-SamplingData[[#Totals],[Candidate 5]]), 0)</f>
        <v>0</v>
      </c>
      <c r="U701" s="99">
        <f>IF(AND(SamplingData[[#This Row],[Total]]&lt;&gt; 0, NOT(ISBLANK(SamplingData[[#This Row],[Candidate 6]]))),(SamplingData[[#This Row],[Total]]+SamplingData[[#This Row],[Losing Candidate]]-SamplingData[[#This Row],[Candidate 6]])/(SamplingData[[#Totals],[Winning Candidate]]-SamplingData[[#Totals],[Candidate 6]]), 0)</f>
        <v>0</v>
      </c>
      <c r="V701" s="99">
        <f>IF(AND(SamplingData[[#This Row],[Total]]&lt;&gt; 0, NOT(ISBLANK(SamplingData[[#This Row],[Candidate 7]]))),(SamplingData[[#This Row],[Total]]+SamplingData[[#This Row],[Winning Candidate]]-SamplingData[[#This Row],[Candidate 7]])/(SamplingData[[#Totals],[Winning Candidate]]-SamplingData[[#Totals],[Candidate 7]]), 0)</f>
        <v>0</v>
      </c>
      <c r="W701" s="99">
        <f>IF(AND(SamplingData[[#This Row],[Total]]&lt;&gt; 0, NOT(ISBLANK(SamplingData[[#This Row],[Candidate 8]]))),(SamplingData[[#This Row],[Total]]+SamplingData[[#This Row],[Winning Candidate]]-SamplingData[[#This Row],[Candidate 8]])/(SamplingData[[#Totals],[Winning Candidate]]-SamplingData[[#Totals],[Candidate 8]]), 0)</f>
        <v>0</v>
      </c>
      <c r="X7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1" s="99">
        <f>MAX(SamplingData[[#This Row],[Error Bound (up) - Max. possible relative overstatement - Losing Candidate]:[Error Bound (up) - Max. possible relative overstatement - Candidate 12]])</f>
        <v>2.6565948056357154E-2</v>
      </c>
      <c r="AC701" s="99">
        <f>IF(SamplingData[[#This Row],[Max Error Bound (up)]] = 0,0,SamplingData[[#This Row],[Max Error Bound (up)]]/SamplingData[[#Totals],[Max Error Bound (up)]])</f>
        <v>1.4223652161268058E-3</v>
      </c>
      <c r="AD701" s="103">
        <f>SUM($AC$5:AC701)</f>
        <v>0.61167157450830822</v>
      </c>
      <c r="AE701" s="99" t="str" cm="1">
        <f t="array" ref="AE701">IF(SamplingData[[#This Row],[up/U Selection Probability]] = 0, "Zero", TEXT(SamplingData[[#This Row],[Lower Range]], REPT("0",LEN('General Info'!$B$42))) &amp; " - " &amp; TEXT(SamplingData[[#This Row],[Upper Range]], REPT("0",LEN('General Info'!$B$42))))</f>
        <v>610249 - 611671</v>
      </c>
      <c r="AF701" s="99">
        <f>SamplingData[[#This Row],[Upper Range]]-SamplingData[[#This Row],[Span]]</f>
        <v>610249.20929218142</v>
      </c>
      <c r="AG701" s="99">
        <f>IF(ISNUMBER('General Info'!$B$42), ((SamplingData[[#This Row],[up/U Selection Probability]]) * 'General Info'!$B$44) - 1, 0)</f>
        <v>1421.3652161268058</v>
      </c>
      <c r="AH701" s="99">
        <f>IF(ISNUMBER('General Info'!$B$42), (SamplingData[[#This Row],[Running (cumulative) sum]] * ('General Info'!$B$42 -'General Info'!$B$43 + 1)) + 'General Info'!$B$43 - 1, 0)</f>
        <v>611670.5745083082</v>
      </c>
      <c r="AI701" s="99" t="str">
        <f>IF(ISERROR(MATCH(SamplingData[[#This Row],[Batch by Type (p)]],SelectedPrecincts[Batch Name], 0)), "", INDEX(SelectedPrecincts[Draw], MATCH(SamplingData[[#This Row],[Batch by Type (p)]],SelectedPrecincts[Batch Name], 0)))</f>
        <v/>
      </c>
      <c r="AJ701" s="100">
        <f>IF(COUNTIF(SelectedPrecincts[Batch Name],SamplingData[[#This Row],[Batch by Type (p)]]) &lt;&gt; 0, COUNTIF(SelectedPrecincts[Batch Name],SamplingData[[#This Row],[Batch by Type (p)]]), 0)</f>
        <v>0</v>
      </c>
    </row>
    <row r="702" spans="1:36" ht="15" customHeight="1" x14ac:dyDescent="0.35">
      <c r="A702" s="97" t="s">
        <v>915</v>
      </c>
      <c r="B702" s="97">
        <v>412</v>
      </c>
      <c r="C702" s="97">
        <v>58</v>
      </c>
      <c r="D702" s="92"/>
      <c r="E702" s="92"/>
      <c r="F702" s="92"/>
      <c r="G702" s="96"/>
      <c r="H702" s="96"/>
      <c r="I702" s="92"/>
      <c r="J702" s="92"/>
      <c r="K702" s="92"/>
      <c r="L702" s="92"/>
      <c r="M702" s="92"/>
      <c r="N702" s="97">
        <v>1</v>
      </c>
      <c r="O702" s="97">
        <v>14</v>
      </c>
      <c r="P702" s="98">
        <f>SUM(SamplingData[[#This Row],[Winning Candidate]:[Under Votes]])</f>
        <v>485</v>
      </c>
      <c r="Q702" s="99">
        <f>IF(AND(SamplingData[[#This Row],[Total]]&lt;&gt; 0, NOT(ISBLANK(SamplingData[[#This Row],[Losing Candidate]]))),(SamplingData[[#This Row],[Total]]+SamplingData[[#This Row],[Winning Candidate]]-SamplingData[[#This Row],[Losing Candidate]])/(SamplingData[[#Totals],[Winning Candidate]]-SamplingData[[#Totals],[Losing Candidate]]), 0)</f>
        <v>3.5605160414191137E-2</v>
      </c>
      <c r="R702" s="99">
        <f>IF(AND(SamplingData[[#This Row],[Total]]&lt;&gt; 0, NOT(ISBLANK(SamplingData[[#This Row],[Candidate 3]]))),(SamplingData[[#This Row],[Total]]+SamplingData[[#This Row],[Winning Candidate]]-SamplingData[[#This Row],[Candidate 3]])/(SamplingData[[#Totals],[Winning Candidate]]-SamplingData[[#Totals],[Candidate 3]]), 0)</f>
        <v>0</v>
      </c>
      <c r="S702" s="99">
        <f>IF(AND(SamplingData[[#This Row],[Total]]&lt;&gt; 0, NOT(ISBLANK(SamplingData[[#This Row],[Candidate 4]]))),(SamplingData[[#This Row],[Total]]+SamplingData[[#This Row],[Winning Candidate]]-SamplingData[[#This Row],[Candidate 4]])/(SamplingData[[#Totals],[Winning Candidate]]-SamplingData[[#Totals],[Candidate 4]]), 0)</f>
        <v>0</v>
      </c>
      <c r="T702" s="99">
        <f>IF(AND(SamplingData[[#This Row],[Total]]&lt;&gt; 0, NOT(ISBLANK(SamplingData[[#This Row],[Candidate 5]]))),(SamplingData[[#This Row],[Total]]+SamplingData[[#This Row],[Winning Candidate]]-SamplingData[[#This Row],[Candidate 5]])/(SamplingData[[#Totals],[Winning Candidate]]-SamplingData[[#Totals],[Candidate 5]]), 0)</f>
        <v>0</v>
      </c>
      <c r="U702" s="99">
        <f>IF(AND(SamplingData[[#This Row],[Total]]&lt;&gt; 0, NOT(ISBLANK(SamplingData[[#This Row],[Candidate 6]]))),(SamplingData[[#This Row],[Total]]+SamplingData[[#This Row],[Losing Candidate]]-SamplingData[[#This Row],[Candidate 6]])/(SamplingData[[#Totals],[Winning Candidate]]-SamplingData[[#Totals],[Candidate 6]]), 0)</f>
        <v>0</v>
      </c>
      <c r="V702" s="99">
        <f>IF(AND(SamplingData[[#This Row],[Total]]&lt;&gt; 0, NOT(ISBLANK(SamplingData[[#This Row],[Candidate 7]]))),(SamplingData[[#This Row],[Total]]+SamplingData[[#This Row],[Winning Candidate]]-SamplingData[[#This Row],[Candidate 7]])/(SamplingData[[#Totals],[Winning Candidate]]-SamplingData[[#Totals],[Candidate 7]]), 0)</f>
        <v>0</v>
      </c>
      <c r="W702" s="99">
        <f>IF(AND(SamplingData[[#This Row],[Total]]&lt;&gt; 0, NOT(ISBLANK(SamplingData[[#This Row],[Candidate 8]]))),(SamplingData[[#This Row],[Total]]+SamplingData[[#This Row],[Winning Candidate]]-SamplingData[[#This Row],[Candidate 8]])/(SamplingData[[#Totals],[Winning Candidate]]-SamplingData[[#Totals],[Candidate 8]]), 0)</f>
        <v>0</v>
      </c>
      <c r="X7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2" s="99">
        <f>MAX(SamplingData[[#This Row],[Error Bound (up) - Max. possible relative overstatement - Losing Candidate]:[Error Bound (up) - Max. possible relative overstatement - Candidate 12]])</f>
        <v>3.5605160414191137E-2</v>
      </c>
      <c r="AC702" s="99">
        <f>IF(SamplingData[[#This Row],[Max Error Bound (up)]] = 0,0,SamplingData[[#This Row],[Max Error Bound (up)]]/SamplingData[[#Totals],[Max Error Bound (up)]])</f>
        <v>1.906332933435128E-3</v>
      </c>
      <c r="AD702" s="103">
        <f>SUM($AC$5:AC702)</f>
        <v>0.61357790744174334</v>
      </c>
      <c r="AE702" s="99" t="str" cm="1">
        <f t="array" ref="AE702">IF(SamplingData[[#This Row],[up/U Selection Probability]] = 0, "Zero", TEXT(SamplingData[[#This Row],[Lower Range]], REPT("0",LEN('General Info'!$B$42))) &amp; " - " &amp; TEXT(SamplingData[[#This Row],[Upper Range]], REPT("0",LEN('General Info'!$B$42))))</f>
        <v>611672 - 613577</v>
      </c>
      <c r="AF702" s="99">
        <f>SamplingData[[#This Row],[Upper Range]]-SamplingData[[#This Row],[Span]]</f>
        <v>611671.5745083082</v>
      </c>
      <c r="AG702" s="99">
        <f>IF(ISNUMBER('General Info'!$B$42), ((SamplingData[[#This Row],[up/U Selection Probability]]) * 'General Info'!$B$44) - 1, 0)</f>
        <v>1905.3329334351279</v>
      </c>
      <c r="AH702" s="99">
        <f>IF(ISNUMBER('General Info'!$B$42), (SamplingData[[#This Row],[Running (cumulative) sum]] * ('General Info'!$B$42 -'General Info'!$B$43 + 1)) + 'General Info'!$B$43 - 1, 0)</f>
        <v>613576.9074417433</v>
      </c>
      <c r="AI702" s="99">
        <f>IF(ISERROR(MATCH(SamplingData[[#This Row],[Batch by Type (p)]],SelectedPrecincts[Batch Name], 0)), "", INDEX(SelectedPrecincts[Draw], MATCH(SamplingData[[#This Row],[Batch by Type (p)]],SelectedPrecincts[Batch Name], 0)))</f>
        <v>19</v>
      </c>
      <c r="AJ702" s="100">
        <f>IF(COUNTIF(SelectedPrecincts[Batch Name],SamplingData[[#This Row],[Batch by Type (p)]]) &lt;&gt; 0, COUNTIF(SelectedPrecincts[Batch Name],SamplingData[[#This Row],[Batch by Type (p)]]), 0)</f>
        <v>1</v>
      </c>
    </row>
    <row r="703" spans="1:36" ht="15" customHeight="1" x14ac:dyDescent="0.35">
      <c r="A703" s="97" t="s">
        <v>916</v>
      </c>
      <c r="B703" s="97">
        <v>306</v>
      </c>
      <c r="C703" s="97">
        <v>36</v>
      </c>
      <c r="D703" s="92"/>
      <c r="E703" s="92"/>
      <c r="F703" s="92"/>
      <c r="G703" s="96"/>
      <c r="H703" s="96"/>
      <c r="I703" s="92"/>
      <c r="J703" s="92"/>
      <c r="K703" s="92"/>
      <c r="L703" s="92"/>
      <c r="M703" s="92"/>
      <c r="N703" s="97">
        <v>0</v>
      </c>
      <c r="O703" s="97">
        <v>23</v>
      </c>
      <c r="P703" s="98">
        <f>SUM(SamplingData[[#This Row],[Winning Candidate]:[Under Votes]])</f>
        <v>365</v>
      </c>
      <c r="Q703" s="99">
        <f>IF(AND(SamplingData[[#This Row],[Total]]&lt;&gt; 0, NOT(ISBLANK(SamplingData[[#This Row],[Losing Candidate]]))),(SamplingData[[#This Row],[Total]]+SamplingData[[#This Row],[Winning Candidate]]-SamplingData[[#This Row],[Losing Candidate]])/(SamplingData[[#Totals],[Winning Candidate]]-SamplingData[[#Totals],[Losing Candidate]]), 0)</f>
        <v>2.6947886606688169E-2</v>
      </c>
      <c r="R703" s="99">
        <f>IF(AND(SamplingData[[#This Row],[Total]]&lt;&gt; 0, NOT(ISBLANK(SamplingData[[#This Row],[Candidate 3]]))),(SamplingData[[#This Row],[Total]]+SamplingData[[#This Row],[Winning Candidate]]-SamplingData[[#This Row],[Candidate 3]])/(SamplingData[[#Totals],[Winning Candidate]]-SamplingData[[#Totals],[Candidate 3]]), 0)</f>
        <v>0</v>
      </c>
      <c r="S703" s="99">
        <f>IF(AND(SamplingData[[#This Row],[Total]]&lt;&gt; 0, NOT(ISBLANK(SamplingData[[#This Row],[Candidate 4]]))),(SamplingData[[#This Row],[Total]]+SamplingData[[#This Row],[Winning Candidate]]-SamplingData[[#This Row],[Candidate 4]])/(SamplingData[[#Totals],[Winning Candidate]]-SamplingData[[#Totals],[Candidate 4]]), 0)</f>
        <v>0</v>
      </c>
      <c r="T703" s="99">
        <f>IF(AND(SamplingData[[#This Row],[Total]]&lt;&gt; 0, NOT(ISBLANK(SamplingData[[#This Row],[Candidate 5]]))),(SamplingData[[#This Row],[Total]]+SamplingData[[#This Row],[Winning Candidate]]-SamplingData[[#This Row],[Candidate 5]])/(SamplingData[[#Totals],[Winning Candidate]]-SamplingData[[#Totals],[Candidate 5]]), 0)</f>
        <v>0</v>
      </c>
      <c r="U703" s="99">
        <f>IF(AND(SamplingData[[#This Row],[Total]]&lt;&gt; 0, NOT(ISBLANK(SamplingData[[#This Row],[Candidate 6]]))),(SamplingData[[#This Row],[Total]]+SamplingData[[#This Row],[Losing Candidate]]-SamplingData[[#This Row],[Candidate 6]])/(SamplingData[[#Totals],[Winning Candidate]]-SamplingData[[#Totals],[Candidate 6]]), 0)</f>
        <v>0</v>
      </c>
      <c r="V703" s="99">
        <f>IF(AND(SamplingData[[#This Row],[Total]]&lt;&gt; 0, NOT(ISBLANK(SamplingData[[#This Row],[Candidate 7]]))),(SamplingData[[#This Row],[Total]]+SamplingData[[#This Row],[Winning Candidate]]-SamplingData[[#This Row],[Candidate 7]])/(SamplingData[[#Totals],[Winning Candidate]]-SamplingData[[#Totals],[Candidate 7]]), 0)</f>
        <v>0</v>
      </c>
      <c r="W703" s="99">
        <f>IF(AND(SamplingData[[#This Row],[Total]]&lt;&gt; 0, NOT(ISBLANK(SamplingData[[#This Row],[Candidate 8]]))),(SamplingData[[#This Row],[Total]]+SamplingData[[#This Row],[Winning Candidate]]-SamplingData[[#This Row],[Candidate 8]])/(SamplingData[[#Totals],[Winning Candidate]]-SamplingData[[#Totals],[Candidate 8]]), 0)</f>
        <v>0</v>
      </c>
      <c r="X7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3" s="99">
        <f>MAX(SamplingData[[#This Row],[Error Bound (up) - Max. possible relative overstatement - Losing Candidate]:[Error Bound (up) - Max. possible relative overstatement - Candidate 12]])</f>
        <v>2.6947886606688169E-2</v>
      </c>
      <c r="AC703" s="99">
        <f>IF(SamplingData[[#This Row],[Max Error Bound (up)]] = 0,0,SamplingData[[#This Row],[Max Error Bound (up)]]/SamplingData[[#Totals],[Max Error Bound (up)]])</f>
        <v>1.4428145562947632E-3</v>
      </c>
      <c r="AD703" s="103">
        <f>SUM($AC$5:AC703)</f>
        <v>0.61502072199803814</v>
      </c>
      <c r="AE703" s="99" t="str" cm="1">
        <f t="array" ref="AE703">IF(SamplingData[[#This Row],[up/U Selection Probability]] = 0, "Zero", TEXT(SamplingData[[#This Row],[Lower Range]], REPT("0",LEN('General Info'!$B$42))) &amp; " - " &amp; TEXT(SamplingData[[#This Row],[Upper Range]], REPT("0",LEN('General Info'!$B$42))))</f>
        <v>613578 - 615020</v>
      </c>
      <c r="AF703" s="99">
        <f>SamplingData[[#This Row],[Upper Range]]-SamplingData[[#This Row],[Span]]</f>
        <v>613577.9074417433</v>
      </c>
      <c r="AG703" s="99">
        <f>IF(ISNUMBER('General Info'!$B$42), ((SamplingData[[#This Row],[up/U Selection Probability]]) * 'General Info'!$B$44) - 1, 0)</f>
        <v>1441.8145562947632</v>
      </c>
      <c r="AH703" s="99">
        <f>IF(ISNUMBER('General Info'!$B$42), (SamplingData[[#This Row],[Running (cumulative) sum]] * ('General Info'!$B$42 -'General Info'!$B$43 + 1)) + 'General Info'!$B$43 - 1, 0)</f>
        <v>615019.72199803812</v>
      </c>
      <c r="AI703" s="99" t="str">
        <f>IF(ISERROR(MATCH(SamplingData[[#This Row],[Batch by Type (p)]],SelectedPrecincts[Batch Name], 0)), "", INDEX(SelectedPrecincts[Draw], MATCH(SamplingData[[#This Row],[Batch by Type (p)]],SelectedPrecincts[Batch Name], 0)))</f>
        <v/>
      </c>
      <c r="AJ703" s="100">
        <f>IF(COUNTIF(SelectedPrecincts[Batch Name],SamplingData[[#This Row],[Batch by Type (p)]]) &lt;&gt; 0, COUNTIF(SelectedPrecincts[Batch Name],SamplingData[[#This Row],[Batch by Type (p)]]), 0)</f>
        <v>0</v>
      </c>
    </row>
    <row r="704" spans="1:36" ht="15" customHeight="1" x14ac:dyDescent="0.35">
      <c r="A704" s="97" t="s">
        <v>917</v>
      </c>
      <c r="B704" s="97">
        <v>370</v>
      </c>
      <c r="C704" s="97">
        <v>89</v>
      </c>
      <c r="D704" s="92"/>
      <c r="E704" s="92"/>
      <c r="F704" s="92"/>
      <c r="G704" s="96"/>
      <c r="H704" s="96"/>
      <c r="I704" s="92"/>
      <c r="J704" s="92"/>
      <c r="K704" s="92"/>
      <c r="L704" s="92"/>
      <c r="M704" s="92"/>
      <c r="N704" s="97">
        <v>1</v>
      </c>
      <c r="O704" s="97">
        <v>38</v>
      </c>
      <c r="P704" s="98">
        <f>SUM(SamplingData[[#This Row],[Winning Candidate]:[Under Votes]])</f>
        <v>498</v>
      </c>
      <c r="Q704" s="99">
        <f>IF(AND(SamplingData[[#This Row],[Total]]&lt;&gt; 0, NOT(ISBLANK(SamplingData[[#This Row],[Losing Candidate]]))),(SamplingData[[#This Row],[Total]]+SamplingData[[#This Row],[Winning Candidate]]-SamplingData[[#This Row],[Losing Candidate]])/(SamplingData[[#Totals],[Winning Candidate]]-SamplingData[[#Totals],[Losing Candidate]]), 0)</f>
        <v>3.3058903411984385E-2</v>
      </c>
      <c r="R704" s="99">
        <f>IF(AND(SamplingData[[#This Row],[Total]]&lt;&gt; 0, NOT(ISBLANK(SamplingData[[#This Row],[Candidate 3]]))),(SamplingData[[#This Row],[Total]]+SamplingData[[#This Row],[Winning Candidate]]-SamplingData[[#This Row],[Candidate 3]])/(SamplingData[[#Totals],[Winning Candidate]]-SamplingData[[#Totals],[Candidate 3]]), 0)</f>
        <v>0</v>
      </c>
      <c r="S704" s="99">
        <f>IF(AND(SamplingData[[#This Row],[Total]]&lt;&gt; 0, NOT(ISBLANK(SamplingData[[#This Row],[Candidate 4]]))),(SamplingData[[#This Row],[Total]]+SamplingData[[#This Row],[Winning Candidate]]-SamplingData[[#This Row],[Candidate 4]])/(SamplingData[[#Totals],[Winning Candidate]]-SamplingData[[#Totals],[Candidate 4]]), 0)</f>
        <v>0</v>
      </c>
      <c r="T704" s="99">
        <f>IF(AND(SamplingData[[#This Row],[Total]]&lt;&gt; 0, NOT(ISBLANK(SamplingData[[#This Row],[Candidate 5]]))),(SamplingData[[#This Row],[Total]]+SamplingData[[#This Row],[Winning Candidate]]-SamplingData[[#This Row],[Candidate 5]])/(SamplingData[[#Totals],[Winning Candidate]]-SamplingData[[#Totals],[Candidate 5]]), 0)</f>
        <v>0</v>
      </c>
      <c r="U704" s="99">
        <f>IF(AND(SamplingData[[#This Row],[Total]]&lt;&gt; 0, NOT(ISBLANK(SamplingData[[#This Row],[Candidate 6]]))),(SamplingData[[#This Row],[Total]]+SamplingData[[#This Row],[Losing Candidate]]-SamplingData[[#This Row],[Candidate 6]])/(SamplingData[[#Totals],[Winning Candidate]]-SamplingData[[#Totals],[Candidate 6]]), 0)</f>
        <v>0</v>
      </c>
      <c r="V704" s="99">
        <f>IF(AND(SamplingData[[#This Row],[Total]]&lt;&gt; 0, NOT(ISBLANK(SamplingData[[#This Row],[Candidate 7]]))),(SamplingData[[#This Row],[Total]]+SamplingData[[#This Row],[Winning Candidate]]-SamplingData[[#This Row],[Candidate 7]])/(SamplingData[[#Totals],[Winning Candidate]]-SamplingData[[#Totals],[Candidate 7]]), 0)</f>
        <v>0</v>
      </c>
      <c r="W704" s="99">
        <f>IF(AND(SamplingData[[#This Row],[Total]]&lt;&gt; 0, NOT(ISBLANK(SamplingData[[#This Row],[Candidate 8]]))),(SamplingData[[#This Row],[Total]]+SamplingData[[#This Row],[Winning Candidate]]-SamplingData[[#This Row],[Candidate 8]])/(SamplingData[[#Totals],[Winning Candidate]]-SamplingData[[#Totals],[Candidate 8]]), 0)</f>
        <v>0</v>
      </c>
      <c r="X7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4" s="99">
        <f>MAX(SamplingData[[#This Row],[Error Bound (up) - Max. possible relative overstatement - Losing Candidate]:[Error Bound (up) - Max. possible relative overstatement - Candidate 12]])</f>
        <v>3.3058903411984385E-2</v>
      </c>
      <c r="AC704" s="99">
        <f>IF(SamplingData[[#This Row],[Max Error Bound (up)]] = 0,0,SamplingData[[#This Row],[Max Error Bound (up)]]/SamplingData[[#Totals],[Max Error Bound (up)]])</f>
        <v>1.7700039989820796E-3</v>
      </c>
      <c r="AD704" s="103">
        <f>SUM($AC$5:AC704)</f>
        <v>0.61679072599702023</v>
      </c>
      <c r="AE704" s="99" t="str" cm="1">
        <f t="array" ref="AE704">IF(SamplingData[[#This Row],[up/U Selection Probability]] = 0, "Zero", TEXT(SamplingData[[#This Row],[Lower Range]], REPT("0",LEN('General Info'!$B$42))) &amp; " - " &amp; TEXT(SamplingData[[#This Row],[Upper Range]], REPT("0",LEN('General Info'!$B$42))))</f>
        <v>615021 - 616790</v>
      </c>
      <c r="AF704" s="99">
        <f>SamplingData[[#This Row],[Upper Range]]-SamplingData[[#This Row],[Span]]</f>
        <v>615020.72199803824</v>
      </c>
      <c r="AG704" s="99">
        <f>IF(ISNUMBER('General Info'!$B$42), ((SamplingData[[#This Row],[up/U Selection Probability]]) * 'General Info'!$B$44) - 1, 0)</f>
        <v>1769.0039989820796</v>
      </c>
      <c r="AH704" s="99">
        <f>IF(ISNUMBER('General Info'!$B$42), (SamplingData[[#This Row],[Running (cumulative) sum]] * ('General Info'!$B$42 -'General Info'!$B$43 + 1)) + 'General Info'!$B$43 - 1, 0)</f>
        <v>616789.72599702026</v>
      </c>
      <c r="AI704" s="99" t="str">
        <f>IF(ISERROR(MATCH(SamplingData[[#This Row],[Batch by Type (p)]],SelectedPrecincts[Batch Name], 0)), "", INDEX(SelectedPrecincts[Draw], MATCH(SamplingData[[#This Row],[Batch by Type (p)]],SelectedPrecincts[Batch Name], 0)))</f>
        <v/>
      </c>
      <c r="AJ704" s="100">
        <f>IF(COUNTIF(SelectedPrecincts[Batch Name],SamplingData[[#This Row],[Batch by Type (p)]]) &lt;&gt; 0, COUNTIF(SelectedPrecincts[Batch Name],SamplingData[[#This Row],[Batch by Type (p)]]), 0)</f>
        <v>0</v>
      </c>
    </row>
    <row r="705" spans="1:36" ht="15" customHeight="1" x14ac:dyDescent="0.35">
      <c r="A705" s="97" t="s">
        <v>918</v>
      </c>
      <c r="B705" s="97">
        <v>158</v>
      </c>
      <c r="C705" s="97">
        <v>23</v>
      </c>
      <c r="D705" s="92"/>
      <c r="E705" s="92"/>
      <c r="F705" s="92"/>
      <c r="G705" s="96"/>
      <c r="H705" s="96"/>
      <c r="I705" s="92"/>
      <c r="J705" s="92"/>
      <c r="K705" s="92"/>
      <c r="L705" s="92"/>
      <c r="M705" s="92"/>
      <c r="N705" s="97">
        <v>0</v>
      </c>
      <c r="O705" s="97">
        <v>11</v>
      </c>
      <c r="P705" s="98">
        <f>SUM(SamplingData[[#This Row],[Winning Candidate]:[Under Votes]])</f>
        <v>192</v>
      </c>
      <c r="Q705" s="99">
        <f>IF(AND(SamplingData[[#This Row],[Total]]&lt;&gt; 0, NOT(ISBLANK(SamplingData[[#This Row],[Losing Candidate]]))),(SamplingData[[#This Row],[Total]]+SamplingData[[#This Row],[Winning Candidate]]-SamplingData[[#This Row],[Losing Candidate]])/(SamplingData[[#Totals],[Winning Candidate]]-SamplingData[[#Totals],[Losing Candidate]]), 0)</f>
        <v>1.387710066202682E-2</v>
      </c>
      <c r="R705" s="99">
        <f>IF(AND(SamplingData[[#This Row],[Total]]&lt;&gt; 0, NOT(ISBLANK(SamplingData[[#This Row],[Candidate 3]]))),(SamplingData[[#This Row],[Total]]+SamplingData[[#This Row],[Winning Candidate]]-SamplingData[[#This Row],[Candidate 3]])/(SamplingData[[#Totals],[Winning Candidate]]-SamplingData[[#Totals],[Candidate 3]]), 0)</f>
        <v>0</v>
      </c>
      <c r="S705" s="99">
        <f>IF(AND(SamplingData[[#This Row],[Total]]&lt;&gt; 0, NOT(ISBLANK(SamplingData[[#This Row],[Candidate 4]]))),(SamplingData[[#This Row],[Total]]+SamplingData[[#This Row],[Winning Candidate]]-SamplingData[[#This Row],[Candidate 4]])/(SamplingData[[#Totals],[Winning Candidate]]-SamplingData[[#Totals],[Candidate 4]]), 0)</f>
        <v>0</v>
      </c>
      <c r="T705" s="99">
        <f>IF(AND(SamplingData[[#This Row],[Total]]&lt;&gt; 0, NOT(ISBLANK(SamplingData[[#This Row],[Candidate 5]]))),(SamplingData[[#This Row],[Total]]+SamplingData[[#This Row],[Winning Candidate]]-SamplingData[[#This Row],[Candidate 5]])/(SamplingData[[#Totals],[Winning Candidate]]-SamplingData[[#Totals],[Candidate 5]]), 0)</f>
        <v>0</v>
      </c>
      <c r="U705" s="99">
        <f>IF(AND(SamplingData[[#This Row],[Total]]&lt;&gt; 0, NOT(ISBLANK(SamplingData[[#This Row],[Candidate 6]]))),(SamplingData[[#This Row],[Total]]+SamplingData[[#This Row],[Losing Candidate]]-SamplingData[[#This Row],[Candidate 6]])/(SamplingData[[#Totals],[Winning Candidate]]-SamplingData[[#Totals],[Candidate 6]]), 0)</f>
        <v>0</v>
      </c>
      <c r="V705" s="99">
        <f>IF(AND(SamplingData[[#This Row],[Total]]&lt;&gt; 0, NOT(ISBLANK(SamplingData[[#This Row],[Candidate 7]]))),(SamplingData[[#This Row],[Total]]+SamplingData[[#This Row],[Winning Candidate]]-SamplingData[[#This Row],[Candidate 7]])/(SamplingData[[#Totals],[Winning Candidate]]-SamplingData[[#Totals],[Candidate 7]]), 0)</f>
        <v>0</v>
      </c>
      <c r="W705" s="99">
        <f>IF(AND(SamplingData[[#This Row],[Total]]&lt;&gt; 0, NOT(ISBLANK(SamplingData[[#This Row],[Candidate 8]]))),(SamplingData[[#This Row],[Total]]+SamplingData[[#This Row],[Winning Candidate]]-SamplingData[[#This Row],[Candidate 8]])/(SamplingData[[#Totals],[Winning Candidate]]-SamplingData[[#Totals],[Candidate 8]]), 0)</f>
        <v>0</v>
      </c>
      <c r="X7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5" s="99">
        <f>MAX(SamplingData[[#This Row],[Error Bound (up) - Max. possible relative overstatement - Losing Candidate]:[Error Bound (up) - Max. possible relative overstatement - Candidate 12]])</f>
        <v>1.387710066202682E-2</v>
      </c>
      <c r="AC705" s="99">
        <f>IF(SamplingData[[#This Row],[Max Error Bound (up)]] = 0,0,SamplingData[[#This Row],[Max Error Bound (up)]]/SamplingData[[#Totals],[Max Error Bound (up)]])</f>
        <v>7.4299269276911425E-4</v>
      </c>
      <c r="AD705" s="103">
        <f>SUM($AC$5:AC705)</f>
        <v>0.61753371868978935</v>
      </c>
      <c r="AE705" s="99" t="str" cm="1">
        <f t="array" ref="AE705">IF(SamplingData[[#This Row],[up/U Selection Probability]] = 0, "Zero", TEXT(SamplingData[[#This Row],[Lower Range]], REPT("0",LEN('General Info'!$B$42))) &amp; " - " &amp; TEXT(SamplingData[[#This Row],[Upper Range]], REPT("0",LEN('General Info'!$B$42))))</f>
        <v>616791 - 617533</v>
      </c>
      <c r="AF705" s="99">
        <f>SamplingData[[#This Row],[Upper Range]]-SamplingData[[#This Row],[Span]]</f>
        <v>616790.72599702014</v>
      </c>
      <c r="AG705" s="99">
        <f>IF(ISNUMBER('General Info'!$B$42), ((SamplingData[[#This Row],[up/U Selection Probability]]) * 'General Info'!$B$44) - 1, 0)</f>
        <v>741.99269276911423</v>
      </c>
      <c r="AH705" s="99">
        <f>IF(ISNUMBER('General Info'!$B$42), (SamplingData[[#This Row],[Running (cumulative) sum]] * ('General Info'!$B$42 -'General Info'!$B$43 + 1)) + 'General Info'!$B$43 - 1, 0)</f>
        <v>617532.7186897893</v>
      </c>
      <c r="AI705" s="99" t="str">
        <f>IF(ISERROR(MATCH(SamplingData[[#This Row],[Batch by Type (p)]],SelectedPrecincts[Batch Name], 0)), "", INDEX(SelectedPrecincts[Draw], MATCH(SamplingData[[#This Row],[Batch by Type (p)]],SelectedPrecincts[Batch Name], 0)))</f>
        <v/>
      </c>
      <c r="AJ705" s="100">
        <f>IF(COUNTIF(SelectedPrecincts[Batch Name],SamplingData[[#This Row],[Batch by Type (p)]]) &lt;&gt; 0, COUNTIF(SelectedPrecincts[Batch Name],SamplingData[[#This Row],[Batch by Type (p)]]), 0)</f>
        <v>0</v>
      </c>
    </row>
    <row r="706" spans="1:36" ht="15" customHeight="1" x14ac:dyDescent="0.35">
      <c r="A706" s="97" t="s">
        <v>919</v>
      </c>
      <c r="B706" s="97">
        <v>248</v>
      </c>
      <c r="C706" s="97">
        <v>122</v>
      </c>
      <c r="D706" s="92"/>
      <c r="E706" s="92"/>
      <c r="F706" s="92"/>
      <c r="G706" s="96"/>
      <c r="H706" s="96"/>
      <c r="I706" s="92"/>
      <c r="J706" s="92"/>
      <c r="K706" s="92"/>
      <c r="L706" s="92"/>
      <c r="M706" s="92"/>
      <c r="N706" s="97">
        <v>0</v>
      </c>
      <c r="O706" s="97">
        <v>23</v>
      </c>
      <c r="P706" s="98">
        <f>SUM(SamplingData[[#This Row],[Winning Candidate]:[Under Votes]])</f>
        <v>393</v>
      </c>
      <c r="Q706" s="99">
        <f>IF(AND(SamplingData[[#This Row],[Total]]&lt;&gt; 0, NOT(ISBLANK(SamplingData[[#This Row],[Losing Candidate]]))),(SamplingData[[#This Row],[Total]]+SamplingData[[#This Row],[Winning Candidate]]-SamplingData[[#This Row],[Losing Candidate]])/(SamplingData[[#Totals],[Winning Candidate]]-SamplingData[[#Totals],[Losing Candidate]]), 0)</f>
        <v>2.202512306908844E-2</v>
      </c>
      <c r="R706" s="99">
        <f>IF(AND(SamplingData[[#This Row],[Total]]&lt;&gt; 0, NOT(ISBLANK(SamplingData[[#This Row],[Candidate 3]]))),(SamplingData[[#This Row],[Total]]+SamplingData[[#This Row],[Winning Candidate]]-SamplingData[[#This Row],[Candidate 3]])/(SamplingData[[#Totals],[Winning Candidate]]-SamplingData[[#Totals],[Candidate 3]]), 0)</f>
        <v>0</v>
      </c>
      <c r="S706" s="99">
        <f>IF(AND(SamplingData[[#This Row],[Total]]&lt;&gt; 0, NOT(ISBLANK(SamplingData[[#This Row],[Candidate 4]]))),(SamplingData[[#This Row],[Total]]+SamplingData[[#This Row],[Winning Candidate]]-SamplingData[[#This Row],[Candidate 4]])/(SamplingData[[#Totals],[Winning Candidate]]-SamplingData[[#Totals],[Candidate 4]]), 0)</f>
        <v>0</v>
      </c>
      <c r="T706" s="99">
        <f>IF(AND(SamplingData[[#This Row],[Total]]&lt;&gt; 0, NOT(ISBLANK(SamplingData[[#This Row],[Candidate 5]]))),(SamplingData[[#This Row],[Total]]+SamplingData[[#This Row],[Winning Candidate]]-SamplingData[[#This Row],[Candidate 5]])/(SamplingData[[#Totals],[Winning Candidate]]-SamplingData[[#Totals],[Candidate 5]]), 0)</f>
        <v>0</v>
      </c>
      <c r="U706" s="99">
        <f>IF(AND(SamplingData[[#This Row],[Total]]&lt;&gt; 0, NOT(ISBLANK(SamplingData[[#This Row],[Candidate 6]]))),(SamplingData[[#This Row],[Total]]+SamplingData[[#This Row],[Losing Candidate]]-SamplingData[[#This Row],[Candidate 6]])/(SamplingData[[#Totals],[Winning Candidate]]-SamplingData[[#Totals],[Candidate 6]]), 0)</f>
        <v>0</v>
      </c>
      <c r="V706" s="99">
        <f>IF(AND(SamplingData[[#This Row],[Total]]&lt;&gt; 0, NOT(ISBLANK(SamplingData[[#This Row],[Candidate 7]]))),(SamplingData[[#This Row],[Total]]+SamplingData[[#This Row],[Winning Candidate]]-SamplingData[[#This Row],[Candidate 7]])/(SamplingData[[#Totals],[Winning Candidate]]-SamplingData[[#Totals],[Candidate 7]]), 0)</f>
        <v>0</v>
      </c>
      <c r="W706" s="99">
        <f>IF(AND(SamplingData[[#This Row],[Total]]&lt;&gt; 0, NOT(ISBLANK(SamplingData[[#This Row],[Candidate 8]]))),(SamplingData[[#This Row],[Total]]+SamplingData[[#This Row],[Winning Candidate]]-SamplingData[[#This Row],[Candidate 8]])/(SamplingData[[#Totals],[Winning Candidate]]-SamplingData[[#Totals],[Candidate 8]]), 0)</f>
        <v>0</v>
      </c>
      <c r="X7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6" s="99">
        <f>MAX(SamplingData[[#This Row],[Error Bound (up) - Max. possible relative overstatement - Losing Candidate]:[Error Bound (up) - Max. possible relative overstatement - Candidate 12]])</f>
        <v>2.202512306908844E-2</v>
      </c>
      <c r="AC706" s="99">
        <f>IF(SamplingData[[#This Row],[Max Error Bound (up)]] = 0,0,SamplingData[[#This Row],[Max Error Bound (up)]]/SamplingData[[#Totals],[Max Error Bound (up)]])</f>
        <v>1.1792452830188694E-3</v>
      </c>
      <c r="AD706" s="103">
        <f>SUM($AC$5:AC706)</f>
        <v>0.61871296397280817</v>
      </c>
      <c r="AE706" s="99" t="str" cm="1">
        <f t="array" ref="AE706">IF(SamplingData[[#This Row],[up/U Selection Probability]] = 0, "Zero", TEXT(SamplingData[[#This Row],[Lower Range]], REPT("0",LEN('General Info'!$B$42))) &amp; " - " &amp; TEXT(SamplingData[[#This Row],[Upper Range]], REPT("0",LEN('General Info'!$B$42))))</f>
        <v>617534 - 618712</v>
      </c>
      <c r="AF706" s="99">
        <f>SamplingData[[#This Row],[Upper Range]]-SamplingData[[#This Row],[Span]]</f>
        <v>617533.7186897893</v>
      </c>
      <c r="AG706" s="99">
        <f>IF(ISNUMBER('General Info'!$B$42), ((SamplingData[[#This Row],[up/U Selection Probability]]) * 'General Info'!$B$44) - 1, 0)</f>
        <v>1178.2452830188695</v>
      </c>
      <c r="AH706" s="99">
        <f>IF(ISNUMBER('General Info'!$B$42), (SamplingData[[#This Row],[Running (cumulative) sum]] * ('General Info'!$B$42 -'General Info'!$B$43 + 1)) + 'General Info'!$B$43 - 1, 0)</f>
        <v>618711.96397280821</v>
      </c>
      <c r="AI706" s="99" t="str">
        <f>IF(ISERROR(MATCH(SamplingData[[#This Row],[Batch by Type (p)]],SelectedPrecincts[Batch Name], 0)), "", INDEX(SelectedPrecincts[Draw], MATCH(SamplingData[[#This Row],[Batch by Type (p)]],SelectedPrecincts[Batch Name], 0)))</f>
        <v/>
      </c>
      <c r="AJ706" s="100">
        <f>IF(COUNTIF(SelectedPrecincts[Batch Name],SamplingData[[#This Row],[Batch by Type (p)]]) &lt;&gt; 0, COUNTIF(SelectedPrecincts[Batch Name],SamplingData[[#This Row],[Batch by Type (p)]]), 0)</f>
        <v>0</v>
      </c>
    </row>
    <row r="707" spans="1:36" ht="15" customHeight="1" x14ac:dyDescent="0.35">
      <c r="A707" s="97" t="s">
        <v>920</v>
      </c>
      <c r="B707" s="97">
        <v>281</v>
      </c>
      <c r="C707" s="97">
        <v>93</v>
      </c>
      <c r="D707" s="92"/>
      <c r="E707" s="92"/>
      <c r="F707" s="92"/>
      <c r="G707" s="96"/>
      <c r="H707" s="96"/>
      <c r="I707" s="92"/>
      <c r="J707" s="92"/>
      <c r="K707" s="92"/>
      <c r="L707" s="92"/>
      <c r="M707" s="92"/>
      <c r="N707" s="97">
        <v>0</v>
      </c>
      <c r="O707" s="97">
        <v>17</v>
      </c>
      <c r="P707" s="98">
        <f>SUM(SamplingData[[#This Row],[Winning Candidate]:[Under Votes]])</f>
        <v>391</v>
      </c>
      <c r="Q707" s="99">
        <f>IF(AND(SamplingData[[#This Row],[Total]]&lt;&gt; 0, NOT(ISBLANK(SamplingData[[#This Row],[Losing Candidate]]))),(SamplingData[[#This Row],[Total]]+SamplingData[[#This Row],[Winning Candidate]]-SamplingData[[#This Row],[Losing Candidate]])/(SamplingData[[#Totals],[Winning Candidate]]-SamplingData[[#Totals],[Losing Candidate]]), 0)</f>
        <v>2.4571380071295196E-2</v>
      </c>
      <c r="R707" s="99">
        <f>IF(AND(SamplingData[[#This Row],[Total]]&lt;&gt; 0, NOT(ISBLANK(SamplingData[[#This Row],[Candidate 3]]))),(SamplingData[[#This Row],[Total]]+SamplingData[[#This Row],[Winning Candidate]]-SamplingData[[#This Row],[Candidate 3]])/(SamplingData[[#Totals],[Winning Candidate]]-SamplingData[[#Totals],[Candidate 3]]), 0)</f>
        <v>0</v>
      </c>
      <c r="S707" s="99">
        <f>IF(AND(SamplingData[[#This Row],[Total]]&lt;&gt; 0, NOT(ISBLANK(SamplingData[[#This Row],[Candidate 4]]))),(SamplingData[[#This Row],[Total]]+SamplingData[[#This Row],[Winning Candidate]]-SamplingData[[#This Row],[Candidate 4]])/(SamplingData[[#Totals],[Winning Candidate]]-SamplingData[[#Totals],[Candidate 4]]), 0)</f>
        <v>0</v>
      </c>
      <c r="T707" s="99">
        <f>IF(AND(SamplingData[[#This Row],[Total]]&lt;&gt; 0, NOT(ISBLANK(SamplingData[[#This Row],[Candidate 5]]))),(SamplingData[[#This Row],[Total]]+SamplingData[[#This Row],[Winning Candidate]]-SamplingData[[#This Row],[Candidate 5]])/(SamplingData[[#Totals],[Winning Candidate]]-SamplingData[[#Totals],[Candidate 5]]), 0)</f>
        <v>0</v>
      </c>
      <c r="U707" s="99">
        <f>IF(AND(SamplingData[[#This Row],[Total]]&lt;&gt; 0, NOT(ISBLANK(SamplingData[[#This Row],[Candidate 6]]))),(SamplingData[[#This Row],[Total]]+SamplingData[[#This Row],[Losing Candidate]]-SamplingData[[#This Row],[Candidate 6]])/(SamplingData[[#Totals],[Winning Candidate]]-SamplingData[[#Totals],[Candidate 6]]), 0)</f>
        <v>0</v>
      </c>
      <c r="V707" s="99">
        <f>IF(AND(SamplingData[[#This Row],[Total]]&lt;&gt; 0, NOT(ISBLANK(SamplingData[[#This Row],[Candidate 7]]))),(SamplingData[[#This Row],[Total]]+SamplingData[[#This Row],[Winning Candidate]]-SamplingData[[#This Row],[Candidate 7]])/(SamplingData[[#Totals],[Winning Candidate]]-SamplingData[[#Totals],[Candidate 7]]), 0)</f>
        <v>0</v>
      </c>
      <c r="W707" s="99">
        <f>IF(AND(SamplingData[[#This Row],[Total]]&lt;&gt; 0, NOT(ISBLANK(SamplingData[[#This Row],[Candidate 8]]))),(SamplingData[[#This Row],[Total]]+SamplingData[[#This Row],[Winning Candidate]]-SamplingData[[#This Row],[Candidate 8]])/(SamplingData[[#Totals],[Winning Candidate]]-SamplingData[[#Totals],[Candidate 8]]), 0)</f>
        <v>0</v>
      </c>
      <c r="X7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7" s="99">
        <f>MAX(SamplingData[[#This Row],[Error Bound (up) - Max. possible relative overstatement - Losing Candidate]:[Error Bound (up) - Max. possible relative overstatement - Candidate 12]])</f>
        <v>2.4571380071295196E-2</v>
      </c>
      <c r="AC707" s="99">
        <f>IF(SamplingData[[#This Row],[Max Error Bound (up)]] = 0,0,SamplingData[[#This Row],[Max Error Bound (up)]]/SamplingData[[#Totals],[Max Error Bound (up)]])</f>
        <v>1.315574217471918E-3</v>
      </c>
      <c r="AD707" s="103">
        <f>SUM($AC$5:AC707)</f>
        <v>0.62002853819028014</v>
      </c>
      <c r="AE707" s="99" t="str" cm="1">
        <f t="array" ref="AE707">IF(SamplingData[[#This Row],[up/U Selection Probability]] = 0, "Zero", TEXT(SamplingData[[#This Row],[Lower Range]], REPT("0",LEN('General Info'!$B$42))) &amp; " - " &amp; TEXT(SamplingData[[#This Row],[Upper Range]], REPT("0",LEN('General Info'!$B$42))))</f>
        <v>618713 - 620028</v>
      </c>
      <c r="AF707" s="99">
        <f>SamplingData[[#This Row],[Upper Range]]-SamplingData[[#This Row],[Span]]</f>
        <v>618712.96397280821</v>
      </c>
      <c r="AG707" s="99">
        <f>IF(ISNUMBER('General Info'!$B$42), ((SamplingData[[#This Row],[up/U Selection Probability]]) * 'General Info'!$B$44) - 1, 0)</f>
        <v>1314.574217471918</v>
      </c>
      <c r="AH707" s="99">
        <f>IF(ISNUMBER('General Info'!$B$42), (SamplingData[[#This Row],[Running (cumulative) sum]] * ('General Info'!$B$42 -'General Info'!$B$43 + 1)) + 'General Info'!$B$43 - 1, 0)</f>
        <v>620027.53819028009</v>
      </c>
      <c r="AI707" s="99" t="str">
        <f>IF(ISERROR(MATCH(SamplingData[[#This Row],[Batch by Type (p)]],SelectedPrecincts[Batch Name], 0)), "", INDEX(SelectedPrecincts[Draw], MATCH(SamplingData[[#This Row],[Batch by Type (p)]],SelectedPrecincts[Batch Name], 0)))</f>
        <v/>
      </c>
      <c r="AJ707" s="100">
        <f>IF(COUNTIF(SelectedPrecincts[Batch Name],SamplingData[[#This Row],[Batch by Type (p)]]) &lt;&gt; 0, COUNTIF(SelectedPrecincts[Batch Name],SamplingData[[#This Row],[Batch by Type (p)]]), 0)</f>
        <v>0</v>
      </c>
    </row>
    <row r="708" spans="1:36" ht="15" customHeight="1" x14ac:dyDescent="0.35">
      <c r="A708" s="97" t="s">
        <v>921</v>
      </c>
      <c r="B708" s="97">
        <v>341</v>
      </c>
      <c r="C708" s="97">
        <v>123</v>
      </c>
      <c r="D708" s="92"/>
      <c r="E708" s="92"/>
      <c r="F708" s="92"/>
      <c r="G708" s="96"/>
      <c r="H708" s="96"/>
      <c r="I708" s="92"/>
      <c r="J708" s="92"/>
      <c r="K708" s="92"/>
      <c r="L708" s="92"/>
      <c r="M708" s="92"/>
      <c r="N708" s="97">
        <v>1</v>
      </c>
      <c r="O708" s="97">
        <v>30</v>
      </c>
      <c r="P708" s="98">
        <f>SUM(SamplingData[[#This Row],[Winning Candidate]:[Under Votes]])</f>
        <v>495</v>
      </c>
      <c r="Q708" s="99">
        <f>IF(AND(SamplingData[[#This Row],[Total]]&lt;&gt; 0, NOT(ISBLANK(SamplingData[[#This Row],[Losing Candidate]]))),(SamplingData[[#This Row],[Total]]+SamplingData[[#This Row],[Winning Candidate]]-SamplingData[[#This Row],[Losing Candidate]])/(SamplingData[[#Totals],[Winning Candidate]]-SamplingData[[#Totals],[Losing Candidate]]), 0)</f>
        <v>3.0258020709556951E-2</v>
      </c>
      <c r="R708" s="99">
        <f>IF(AND(SamplingData[[#This Row],[Total]]&lt;&gt; 0, NOT(ISBLANK(SamplingData[[#This Row],[Candidate 3]]))),(SamplingData[[#This Row],[Total]]+SamplingData[[#This Row],[Winning Candidate]]-SamplingData[[#This Row],[Candidate 3]])/(SamplingData[[#Totals],[Winning Candidate]]-SamplingData[[#Totals],[Candidate 3]]), 0)</f>
        <v>0</v>
      </c>
      <c r="S708" s="99">
        <f>IF(AND(SamplingData[[#This Row],[Total]]&lt;&gt; 0, NOT(ISBLANK(SamplingData[[#This Row],[Candidate 4]]))),(SamplingData[[#This Row],[Total]]+SamplingData[[#This Row],[Winning Candidate]]-SamplingData[[#This Row],[Candidate 4]])/(SamplingData[[#Totals],[Winning Candidate]]-SamplingData[[#Totals],[Candidate 4]]), 0)</f>
        <v>0</v>
      </c>
      <c r="T708" s="99">
        <f>IF(AND(SamplingData[[#This Row],[Total]]&lt;&gt; 0, NOT(ISBLANK(SamplingData[[#This Row],[Candidate 5]]))),(SamplingData[[#This Row],[Total]]+SamplingData[[#This Row],[Winning Candidate]]-SamplingData[[#This Row],[Candidate 5]])/(SamplingData[[#Totals],[Winning Candidate]]-SamplingData[[#Totals],[Candidate 5]]), 0)</f>
        <v>0</v>
      </c>
      <c r="U708" s="99">
        <f>IF(AND(SamplingData[[#This Row],[Total]]&lt;&gt; 0, NOT(ISBLANK(SamplingData[[#This Row],[Candidate 6]]))),(SamplingData[[#This Row],[Total]]+SamplingData[[#This Row],[Losing Candidate]]-SamplingData[[#This Row],[Candidate 6]])/(SamplingData[[#Totals],[Winning Candidate]]-SamplingData[[#Totals],[Candidate 6]]), 0)</f>
        <v>0</v>
      </c>
      <c r="V708" s="99">
        <f>IF(AND(SamplingData[[#This Row],[Total]]&lt;&gt; 0, NOT(ISBLANK(SamplingData[[#This Row],[Candidate 7]]))),(SamplingData[[#This Row],[Total]]+SamplingData[[#This Row],[Winning Candidate]]-SamplingData[[#This Row],[Candidate 7]])/(SamplingData[[#Totals],[Winning Candidate]]-SamplingData[[#Totals],[Candidate 7]]), 0)</f>
        <v>0</v>
      </c>
      <c r="W708" s="99">
        <f>IF(AND(SamplingData[[#This Row],[Total]]&lt;&gt; 0, NOT(ISBLANK(SamplingData[[#This Row],[Candidate 8]]))),(SamplingData[[#This Row],[Total]]+SamplingData[[#This Row],[Winning Candidate]]-SamplingData[[#This Row],[Candidate 8]])/(SamplingData[[#Totals],[Winning Candidate]]-SamplingData[[#Totals],[Candidate 8]]), 0)</f>
        <v>0</v>
      </c>
      <c r="X7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8" s="99">
        <f>MAX(SamplingData[[#This Row],[Error Bound (up) - Max. possible relative overstatement - Losing Candidate]:[Error Bound (up) - Max. possible relative overstatement - Candidate 12]])</f>
        <v>3.0258020709556951E-2</v>
      </c>
      <c r="AC708" s="99">
        <f>IF(SamplingData[[#This Row],[Max Error Bound (up)]] = 0,0,SamplingData[[#This Row],[Max Error Bound (up)]]/SamplingData[[#Totals],[Max Error Bound (up)]])</f>
        <v>1.6200421710837263E-3</v>
      </c>
      <c r="AD708" s="103">
        <f>SUM($AC$5:AC708)</f>
        <v>0.62164858036136383</v>
      </c>
      <c r="AE708" s="99" t="str" cm="1">
        <f t="array" ref="AE708">IF(SamplingData[[#This Row],[up/U Selection Probability]] = 0, "Zero", TEXT(SamplingData[[#This Row],[Lower Range]], REPT("0",LEN('General Info'!$B$42))) &amp; " - " &amp; TEXT(SamplingData[[#This Row],[Upper Range]], REPT("0",LEN('General Info'!$B$42))))</f>
        <v>620029 - 621648</v>
      </c>
      <c r="AF708" s="99">
        <f>SamplingData[[#This Row],[Upper Range]]-SamplingData[[#This Row],[Span]]</f>
        <v>620028.53819028009</v>
      </c>
      <c r="AG708" s="99">
        <f>IF(ISNUMBER('General Info'!$B$42), ((SamplingData[[#This Row],[up/U Selection Probability]]) * 'General Info'!$B$44) - 1, 0)</f>
        <v>1619.0421710837263</v>
      </c>
      <c r="AH708" s="99">
        <f>IF(ISNUMBER('General Info'!$B$42), (SamplingData[[#This Row],[Running (cumulative) sum]] * ('General Info'!$B$42 -'General Info'!$B$43 + 1)) + 'General Info'!$B$43 - 1, 0)</f>
        <v>621647.58036136383</v>
      </c>
      <c r="AI708" s="99" t="str">
        <f>IF(ISERROR(MATCH(SamplingData[[#This Row],[Batch by Type (p)]],SelectedPrecincts[Batch Name], 0)), "", INDEX(SelectedPrecincts[Draw], MATCH(SamplingData[[#This Row],[Batch by Type (p)]],SelectedPrecincts[Batch Name], 0)))</f>
        <v/>
      </c>
      <c r="AJ708" s="100">
        <f>IF(COUNTIF(SelectedPrecincts[Batch Name],SamplingData[[#This Row],[Batch by Type (p)]]) &lt;&gt; 0, COUNTIF(SelectedPrecincts[Batch Name],SamplingData[[#This Row],[Batch by Type (p)]]), 0)</f>
        <v>0</v>
      </c>
    </row>
    <row r="709" spans="1:36" ht="15" customHeight="1" x14ac:dyDescent="0.35">
      <c r="A709" s="97" t="s">
        <v>922</v>
      </c>
      <c r="B709" s="97">
        <v>302</v>
      </c>
      <c r="C709" s="97">
        <v>57</v>
      </c>
      <c r="D709" s="92"/>
      <c r="E709" s="92"/>
      <c r="F709" s="92"/>
      <c r="G709" s="96"/>
      <c r="H709" s="96"/>
      <c r="I709" s="92"/>
      <c r="J709" s="92"/>
      <c r="K709" s="92"/>
      <c r="L709" s="92"/>
      <c r="M709" s="92"/>
      <c r="N709" s="97">
        <v>0</v>
      </c>
      <c r="O709" s="97">
        <v>33</v>
      </c>
      <c r="P709" s="98">
        <f>SUM(SamplingData[[#This Row],[Winning Candidate]:[Under Votes]])</f>
        <v>392</v>
      </c>
      <c r="Q709" s="99">
        <f>IF(AND(SamplingData[[#This Row],[Total]]&lt;&gt; 0, NOT(ISBLANK(SamplingData[[#This Row],[Losing Candidate]]))),(SamplingData[[#This Row],[Total]]+SamplingData[[#This Row],[Winning Candidate]]-SamplingData[[#This Row],[Losing Candidate]])/(SamplingData[[#Totals],[Winning Candidate]]-SamplingData[[#Totals],[Losing Candidate]]), 0)</f>
        <v>2.7032761840095062E-2</v>
      </c>
      <c r="R709" s="99">
        <f>IF(AND(SamplingData[[#This Row],[Total]]&lt;&gt; 0, NOT(ISBLANK(SamplingData[[#This Row],[Candidate 3]]))),(SamplingData[[#This Row],[Total]]+SamplingData[[#This Row],[Winning Candidate]]-SamplingData[[#This Row],[Candidate 3]])/(SamplingData[[#Totals],[Winning Candidate]]-SamplingData[[#Totals],[Candidate 3]]), 0)</f>
        <v>0</v>
      </c>
      <c r="S709" s="99">
        <f>IF(AND(SamplingData[[#This Row],[Total]]&lt;&gt; 0, NOT(ISBLANK(SamplingData[[#This Row],[Candidate 4]]))),(SamplingData[[#This Row],[Total]]+SamplingData[[#This Row],[Winning Candidate]]-SamplingData[[#This Row],[Candidate 4]])/(SamplingData[[#Totals],[Winning Candidate]]-SamplingData[[#Totals],[Candidate 4]]), 0)</f>
        <v>0</v>
      </c>
      <c r="T709" s="99">
        <f>IF(AND(SamplingData[[#This Row],[Total]]&lt;&gt; 0, NOT(ISBLANK(SamplingData[[#This Row],[Candidate 5]]))),(SamplingData[[#This Row],[Total]]+SamplingData[[#This Row],[Winning Candidate]]-SamplingData[[#This Row],[Candidate 5]])/(SamplingData[[#Totals],[Winning Candidate]]-SamplingData[[#Totals],[Candidate 5]]), 0)</f>
        <v>0</v>
      </c>
      <c r="U709" s="99">
        <f>IF(AND(SamplingData[[#This Row],[Total]]&lt;&gt; 0, NOT(ISBLANK(SamplingData[[#This Row],[Candidate 6]]))),(SamplingData[[#This Row],[Total]]+SamplingData[[#This Row],[Losing Candidate]]-SamplingData[[#This Row],[Candidate 6]])/(SamplingData[[#Totals],[Winning Candidate]]-SamplingData[[#Totals],[Candidate 6]]), 0)</f>
        <v>0</v>
      </c>
      <c r="V709" s="99">
        <f>IF(AND(SamplingData[[#This Row],[Total]]&lt;&gt; 0, NOT(ISBLANK(SamplingData[[#This Row],[Candidate 7]]))),(SamplingData[[#This Row],[Total]]+SamplingData[[#This Row],[Winning Candidate]]-SamplingData[[#This Row],[Candidate 7]])/(SamplingData[[#Totals],[Winning Candidate]]-SamplingData[[#Totals],[Candidate 7]]), 0)</f>
        <v>0</v>
      </c>
      <c r="W709" s="99">
        <f>IF(AND(SamplingData[[#This Row],[Total]]&lt;&gt; 0, NOT(ISBLANK(SamplingData[[#This Row],[Candidate 8]]))),(SamplingData[[#This Row],[Total]]+SamplingData[[#This Row],[Winning Candidate]]-SamplingData[[#This Row],[Candidate 8]])/(SamplingData[[#Totals],[Winning Candidate]]-SamplingData[[#Totals],[Candidate 8]]), 0)</f>
        <v>0</v>
      </c>
      <c r="X7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9" s="99">
        <f>MAX(SamplingData[[#This Row],[Error Bound (up) - Max. possible relative overstatement - Losing Candidate]:[Error Bound (up) - Max. possible relative overstatement - Candidate 12]])</f>
        <v>2.7032761840095062E-2</v>
      </c>
      <c r="AC709" s="99">
        <f>IF(SamplingData[[#This Row],[Max Error Bound (up)]] = 0,0,SamplingData[[#This Row],[Max Error Bound (up)]]/SamplingData[[#Totals],[Max Error Bound (up)]])</f>
        <v>1.4473588541098648E-3</v>
      </c>
      <c r="AD709" s="103">
        <f>SUM($AC$5:AC709)</f>
        <v>0.62309593921547368</v>
      </c>
      <c r="AE709" s="99" t="str" cm="1">
        <f t="array" ref="AE709">IF(SamplingData[[#This Row],[up/U Selection Probability]] = 0, "Zero", TEXT(SamplingData[[#This Row],[Lower Range]], REPT("0",LEN('General Info'!$B$42))) &amp; " - " &amp; TEXT(SamplingData[[#This Row],[Upper Range]], REPT("0",LEN('General Info'!$B$42))))</f>
        <v>621649 - 623095</v>
      </c>
      <c r="AF709" s="99">
        <f>SamplingData[[#This Row],[Upper Range]]-SamplingData[[#This Row],[Span]]</f>
        <v>621648.58036136383</v>
      </c>
      <c r="AG709" s="99">
        <f>IF(ISNUMBER('General Info'!$B$42), ((SamplingData[[#This Row],[up/U Selection Probability]]) * 'General Info'!$B$44) - 1, 0)</f>
        <v>1446.3588541098648</v>
      </c>
      <c r="AH709" s="99">
        <f>IF(ISNUMBER('General Info'!$B$42), (SamplingData[[#This Row],[Running (cumulative) sum]] * ('General Info'!$B$42 -'General Info'!$B$43 + 1)) + 'General Info'!$B$43 - 1, 0)</f>
        <v>623094.93921547371</v>
      </c>
      <c r="AI709" s="99" t="str">
        <f>IF(ISERROR(MATCH(SamplingData[[#This Row],[Batch by Type (p)]],SelectedPrecincts[Batch Name], 0)), "", INDEX(SelectedPrecincts[Draw], MATCH(SamplingData[[#This Row],[Batch by Type (p)]],SelectedPrecincts[Batch Name], 0)))</f>
        <v/>
      </c>
      <c r="AJ709" s="100">
        <f>IF(COUNTIF(SelectedPrecincts[Batch Name],SamplingData[[#This Row],[Batch by Type (p)]]) &lt;&gt; 0, COUNTIF(SelectedPrecincts[Batch Name],SamplingData[[#This Row],[Batch by Type (p)]]), 0)</f>
        <v>0</v>
      </c>
    </row>
    <row r="710" spans="1:36" ht="15" customHeight="1" x14ac:dyDescent="0.35">
      <c r="A710" s="97" t="s">
        <v>923</v>
      </c>
      <c r="B710" s="97">
        <v>144</v>
      </c>
      <c r="C710" s="97">
        <v>38</v>
      </c>
      <c r="D710" s="92"/>
      <c r="E710" s="92"/>
      <c r="F710" s="92"/>
      <c r="G710" s="96"/>
      <c r="H710" s="96"/>
      <c r="I710" s="92"/>
      <c r="J710" s="92"/>
      <c r="K710" s="92"/>
      <c r="L710" s="92"/>
      <c r="M710" s="92"/>
      <c r="N710" s="97">
        <v>0</v>
      </c>
      <c r="O710" s="97">
        <v>12</v>
      </c>
      <c r="P710" s="98">
        <f>SUM(SamplingData[[#This Row],[Winning Candidate]:[Under Votes]])</f>
        <v>194</v>
      </c>
      <c r="Q710" s="99">
        <f>IF(AND(SamplingData[[#This Row],[Total]]&lt;&gt; 0, NOT(ISBLANK(SamplingData[[#This Row],[Losing Candidate]]))),(SamplingData[[#This Row],[Total]]+SamplingData[[#This Row],[Winning Candidate]]-SamplingData[[#This Row],[Losing Candidate]])/(SamplingData[[#Totals],[Winning Candidate]]-SamplingData[[#Totals],[Losing Candidate]]), 0)</f>
        <v>1.273128501103378E-2</v>
      </c>
      <c r="R710" s="99">
        <f>IF(AND(SamplingData[[#This Row],[Total]]&lt;&gt; 0, NOT(ISBLANK(SamplingData[[#This Row],[Candidate 3]]))),(SamplingData[[#This Row],[Total]]+SamplingData[[#This Row],[Winning Candidate]]-SamplingData[[#This Row],[Candidate 3]])/(SamplingData[[#Totals],[Winning Candidate]]-SamplingData[[#Totals],[Candidate 3]]), 0)</f>
        <v>0</v>
      </c>
      <c r="S710" s="99">
        <f>IF(AND(SamplingData[[#This Row],[Total]]&lt;&gt; 0, NOT(ISBLANK(SamplingData[[#This Row],[Candidate 4]]))),(SamplingData[[#This Row],[Total]]+SamplingData[[#This Row],[Winning Candidate]]-SamplingData[[#This Row],[Candidate 4]])/(SamplingData[[#Totals],[Winning Candidate]]-SamplingData[[#Totals],[Candidate 4]]), 0)</f>
        <v>0</v>
      </c>
      <c r="T710" s="99">
        <f>IF(AND(SamplingData[[#This Row],[Total]]&lt;&gt; 0, NOT(ISBLANK(SamplingData[[#This Row],[Candidate 5]]))),(SamplingData[[#This Row],[Total]]+SamplingData[[#This Row],[Winning Candidate]]-SamplingData[[#This Row],[Candidate 5]])/(SamplingData[[#Totals],[Winning Candidate]]-SamplingData[[#Totals],[Candidate 5]]), 0)</f>
        <v>0</v>
      </c>
      <c r="U710" s="99">
        <f>IF(AND(SamplingData[[#This Row],[Total]]&lt;&gt; 0, NOT(ISBLANK(SamplingData[[#This Row],[Candidate 6]]))),(SamplingData[[#This Row],[Total]]+SamplingData[[#This Row],[Losing Candidate]]-SamplingData[[#This Row],[Candidate 6]])/(SamplingData[[#Totals],[Winning Candidate]]-SamplingData[[#Totals],[Candidate 6]]), 0)</f>
        <v>0</v>
      </c>
      <c r="V710" s="99">
        <f>IF(AND(SamplingData[[#This Row],[Total]]&lt;&gt; 0, NOT(ISBLANK(SamplingData[[#This Row],[Candidate 7]]))),(SamplingData[[#This Row],[Total]]+SamplingData[[#This Row],[Winning Candidate]]-SamplingData[[#This Row],[Candidate 7]])/(SamplingData[[#Totals],[Winning Candidate]]-SamplingData[[#Totals],[Candidate 7]]), 0)</f>
        <v>0</v>
      </c>
      <c r="W710" s="99">
        <f>IF(AND(SamplingData[[#This Row],[Total]]&lt;&gt; 0, NOT(ISBLANK(SamplingData[[#This Row],[Candidate 8]]))),(SamplingData[[#This Row],[Total]]+SamplingData[[#This Row],[Winning Candidate]]-SamplingData[[#This Row],[Candidate 8]])/(SamplingData[[#Totals],[Winning Candidate]]-SamplingData[[#Totals],[Candidate 8]]), 0)</f>
        <v>0</v>
      </c>
      <c r="X7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0" s="99">
        <f>MAX(SamplingData[[#This Row],[Error Bound (up) - Max. possible relative overstatement - Losing Candidate]:[Error Bound (up) - Max. possible relative overstatement - Candidate 12]])</f>
        <v>1.273128501103378E-2</v>
      </c>
      <c r="AC710" s="99">
        <f>IF(SamplingData[[#This Row],[Max Error Bound (up)]] = 0,0,SamplingData[[#This Row],[Max Error Bound (up)]]/SamplingData[[#Totals],[Max Error Bound (up)]])</f>
        <v>6.8164467226524241E-4</v>
      </c>
      <c r="AD710" s="103">
        <f>SUM($AC$5:AC710)</f>
        <v>0.62377758388773896</v>
      </c>
      <c r="AE710" s="99" t="str" cm="1">
        <f t="array" ref="AE710">IF(SamplingData[[#This Row],[up/U Selection Probability]] = 0, "Zero", TEXT(SamplingData[[#This Row],[Lower Range]], REPT("0",LEN('General Info'!$B$42))) &amp; " - " &amp; TEXT(SamplingData[[#This Row],[Upper Range]], REPT("0",LEN('General Info'!$B$42))))</f>
        <v>623096 - 623777</v>
      </c>
      <c r="AF710" s="99">
        <f>SamplingData[[#This Row],[Upper Range]]-SamplingData[[#This Row],[Span]]</f>
        <v>623095.93921547371</v>
      </c>
      <c r="AG710" s="99">
        <f>IF(ISNUMBER('General Info'!$B$42), ((SamplingData[[#This Row],[up/U Selection Probability]]) * 'General Info'!$B$44) - 1, 0)</f>
        <v>680.64467226524243</v>
      </c>
      <c r="AH710" s="99">
        <f>IF(ISNUMBER('General Info'!$B$42), (SamplingData[[#This Row],[Running (cumulative) sum]] * ('General Info'!$B$42 -'General Info'!$B$43 + 1)) + 'General Info'!$B$43 - 1, 0)</f>
        <v>623776.58388773899</v>
      </c>
      <c r="AI710" s="99" t="str">
        <f>IF(ISERROR(MATCH(SamplingData[[#This Row],[Batch by Type (p)]],SelectedPrecincts[Batch Name], 0)), "", INDEX(SelectedPrecincts[Draw], MATCH(SamplingData[[#This Row],[Batch by Type (p)]],SelectedPrecincts[Batch Name], 0)))</f>
        <v/>
      </c>
      <c r="AJ710" s="100">
        <f>IF(COUNTIF(SelectedPrecincts[Batch Name],SamplingData[[#This Row],[Batch by Type (p)]]) &lt;&gt; 0, COUNTIF(SelectedPrecincts[Batch Name],SamplingData[[#This Row],[Batch by Type (p)]]), 0)</f>
        <v>0</v>
      </c>
    </row>
    <row r="711" spans="1:36" ht="15" customHeight="1" x14ac:dyDescent="0.35">
      <c r="A711" s="97" t="s">
        <v>924</v>
      </c>
      <c r="B711" s="97">
        <v>232</v>
      </c>
      <c r="C711" s="97">
        <v>64</v>
      </c>
      <c r="D711" s="92"/>
      <c r="E711" s="92"/>
      <c r="F711" s="92"/>
      <c r="G711" s="96"/>
      <c r="H711" s="96"/>
      <c r="I711" s="92"/>
      <c r="J711" s="92"/>
      <c r="K711" s="92"/>
      <c r="L711" s="92"/>
      <c r="M711" s="92"/>
      <c r="N711" s="97">
        <v>0</v>
      </c>
      <c r="O711" s="97">
        <v>25</v>
      </c>
      <c r="P711" s="98">
        <f>SUM(SamplingData[[#This Row],[Winning Candidate]:[Under Votes]])</f>
        <v>321</v>
      </c>
      <c r="Q711" s="99">
        <f>IF(AND(SamplingData[[#This Row],[Total]]&lt;&gt; 0, NOT(ISBLANK(SamplingData[[#This Row],[Losing Candidate]]))),(SamplingData[[#This Row],[Total]]+SamplingData[[#This Row],[Winning Candidate]]-SamplingData[[#This Row],[Losing Candidate]])/(SamplingData[[#Totals],[Winning Candidate]]-SamplingData[[#Totals],[Losing Candidate]]), 0)</f>
        <v>2.0751994567985061E-2</v>
      </c>
      <c r="R711" s="99">
        <f>IF(AND(SamplingData[[#This Row],[Total]]&lt;&gt; 0, NOT(ISBLANK(SamplingData[[#This Row],[Candidate 3]]))),(SamplingData[[#This Row],[Total]]+SamplingData[[#This Row],[Winning Candidate]]-SamplingData[[#This Row],[Candidate 3]])/(SamplingData[[#Totals],[Winning Candidate]]-SamplingData[[#Totals],[Candidate 3]]), 0)</f>
        <v>0</v>
      </c>
      <c r="S711" s="99">
        <f>IF(AND(SamplingData[[#This Row],[Total]]&lt;&gt; 0, NOT(ISBLANK(SamplingData[[#This Row],[Candidate 4]]))),(SamplingData[[#This Row],[Total]]+SamplingData[[#This Row],[Winning Candidate]]-SamplingData[[#This Row],[Candidate 4]])/(SamplingData[[#Totals],[Winning Candidate]]-SamplingData[[#Totals],[Candidate 4]]), 0)</f>
        <v>0</v>
      </c>
      <c r="T711" s="99">
        <f>IF(AND(SamplingData[[#This Row],[Total]]&lt;&gt; 0, NOT(ISBLANK(SamplingData[[#This Row],[Candidate 5]]))),(SamplingData[[#This Row],[Total]]+SamplingData[[#This Row],[Winning Candidate]]-SamplingData[[#This Row],[Candidate 5]])/(SamplingData[[#Totals],[Winning Candidate]]-SamplingData[[#Totals],[Candidate 5]]), 0)</f>
        <v>0</v>
      </c>
      <c r="U711" s="99">
        <f>IF(AND(SamplingData[[#This Row],[Total]]&lt;&gt; 0, NOT(ISBLANK(SamplingData[[#This Row],[Candidate 6]]))),(SamplingData[[#This Row],[Total]]+SamplingData[[#This Row],[Losing Candidate]]-SamplingData[[#This Row],[Candidate 6]])/(SamplingData[[#Totals],[Winning Candidate]]-SamplingData[[#Totals],[Candidate 6]]), 0)</f>
        <v>0</v>
      </c>
      <c r="V711" s="99">
        <f>IF(AND(SamplingData[[#This Row],[Total]]&lt;&gt; 0, NOT(ISBLANK(SamplingData[[#This Row],[Candidate 7]]))),(SamplingData[[#This Row],[Total]]+SamplingData[[#This Row],[Winning Candidate]]-SamplingData[[#This Row],[Candidate 7]])/(SamplingData[[#Totals],[Winning Candidate]]-SamplingData[[#Totals],[Candidate 7]]), 0)</f>
        <v>0</v>
      </c>
      <c r="W711" s="99">
        <f>IF(AND(SamplingData[[#This Row],[Total]]&lt;&gt; 0, NOT(ISBLANK(SamplingData[[#This Row],[Candidate 8]]))),(SamplingData[[#This Row],[Total]]+SamplingData[[#This Row],[Winning Candidate]]-SamplingData[[#This Row],[Candidate 8]])/(SamplingData[[#Totals],[Winning Candidate]]-SamplingData[[#Totals],[Candidate 8]]), 0)</f>
        <v>0</v>
      </c>
      <c r="X7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1" s="99">
        <f>MAX(SamplingData[[#This Row],[Error Bound (up) - Max. possible relative overstatement - Losing Candidate]:[Error Bound (up) - Max. possible relative overstatement - Candidate 12]])</f>
        <v>2.0751994567985061E-2</v>
      </c>
      <c r="AC711" s="99">
        <f>IF(SamplingData[[#This Row],[Max Error Bound (up)]] = 0,0,SamplingData[[#This Row],[Max Error Bound (up)]]/SamplingData[[#Totals],[Max Error Bound (up)]])</f>
        <v>1.1110808157923451E-3</v>
      </c>
      <c r="AD711" s="103">
        <f>SUM($AC$5:AC711)</f>
        <v>0.62488866470353133</v>
      </c>
      <c r="AE711" s="99" t="str" cm="1">
        <f t="array" ref="AE711">IF(SamplingData[[#This Row],[up/U Selection Probability]] = 0, "Zero", TEXT(SamplingData[[#This Row],[Lower Range]], REPT("0",LEN('General Info'!$B$42))) &amp; " - " &amp; TEXT(SamplingData[[#This Row],[Upper Range]], REPT("0",LEN('General Info'!$B$42))))</f>
        <v>623778 - 624888</v>
      </c>
      <c r="AF711" s="99">
        <f>SamplingData[[#This Row],[Upper Range]]-SamplingData[[#This Row],[Span]]</f>
        <v>623777.58388773899</v>
      </c>
      <c r="AG711" s="99">
        <f>IF(ISNUMBER('General Info'!$B$42), ((SamplingData[[#This Row],[up/U Selection Probability]]) * 'General Info'!$B$44) - 1, 0)</f>
        <v>1110.080815792345</v>
      </c>
      <c r="AH711" s="99">
        <f>IF(ISNUMBER('General Info'!$B$42), (SamplingData[[#This Row],[Running (cumulative) sum]] * ('General Info'!$B$42 -'General Info'!$B$43 + 1)) + 'General Info'!$B$43 - 1, 0)</f>
        <v>624887.66470353131</v>
      </c>
      <c r="AI711" s="99" t="str">
        <f>IF(ISERROR(MATCH(SamplingData[[#This Row],[Batch by Type (p)]],SelectedPrecincts[Batch Name], 0)), "", INDEX(SelectedPrecincts[Draw], MATCH(SamplingData[[#This Row],[Batch by Type (p)]],SelectedPrecincts[Batch Name], 0)))</f>
        <v/>
      </c>
      <c r="AJ711" s="100">
        <f>IF(COUNTIF(SelectedPrecincts[Batch Name],SamplingData[[#This Row],[Batch by Type (p)]]) &lt;&gt; 0, COUNTIF(SelectedPrecincts[Batch Name],SamplingData[[#This Row],[Batch by Type (p)]]), 0)</f>
        <v>0</v>
      </c>
    </row>
    <row r="712" spans="1:36" ht="15" customHeight="1" x14ac:dyDescent="0.35">
      <c r="A712" s="97" t="s">
        <v>925</v>
      </c>
      <c r="B712" s="97">
        <v>320</v>
      </c>
      <c r="C712" s="97">
        <v>101</v>
      </c>
      <c r="D712" s="92"/>
      <c r="E712" s="92"/>
      <c r="F712" s="92"/>
      <c r="G712" s="96"/>
      <c r="H712" s="96"/>
      <c r="I712" s="92"/>
      <c r="J712" s="92"/>
      <c r="K712" s="92"/>
      <c r="L712" s="92"/>
      <c r="M712" s="92"/>
      <c r="N712" s="97">
        <v>0</v>
      </c>
      <c r="O712" s="97">
        <v>34</v>
      </c>
      <c r="P712" s="98">
        <f>SUM(SamplingData[[#This Row],[Winning Candidate]:[Under Votes]])</f>
        <v>455</v>
      </c>
      <c r="Q712" s="99">
        <f>IF(AND(SamplingData[[#This Row],[Total]]&lt;&gt; 0, NOT(ISBLANK(SamplingData[[#This Row],[Losing Candidate]]))),(SamplingData[[#This Row],[Total]]+SamplingData[[#This Row],[Winning Candidate]]-SamplingData[[#This Row],[Losing Candidate]])/(SamplingData[[#Totals],[Winning Candidate]]-SamplingData[[#Totals],[Losing Candidate]]), 0)</f>
        <v>2.860295365812256E-2</v>
      </c>
      <c r="R712" s="99">
        <f>IF(AND(SamplingData[[#This Row],[Total]]&lt;&gt; 0, NOT(ISBLANK(SamplingData[[#This Row],[Candidate 3]]))),(SamplingData[[#This Row],[Total]]+SamplingData[[#This Row],[Winning Candidate]]-SamplingData[[#This Row],[Candidate 3]])/(SamplingData[[#Totals],[Winning Candidate]]-SamplingData[[#Totals],[Candidate 3]]), 0)</f>
        <v>0</v>
      </c>
      <c r="S712" s="99">
        <f>IF(AND(SamplingData[[#This Row],[Total]]&lt;&gt; 0, NOT(ISBLANK(SamplingData[[#This Row],[Candidate 4]]))),(SamplingData[[#This Row],[Total]]+SamplingData[[#This Row],[Winning Candidate]]-SamplingData[[#This Row],[Candidate 4]])/(SamplingData[[#Totals],[Winning Candidate]]-SamplingData[[#Totals],[Candidate 4]]), 0)</f>
        <v>0</v>
      </c>
      <c r="T712" s="99">
        <f>IF(AND(SamplingData[[#This Row],[Total]]&lt;&gt; 0, NOT(ISBLANK(SamplingData[[#This Row],[Candidate 5]]))),(SamplingData[[#This Row],[Total]]+SamplingData[[#This Row],[Winning Candidate]]-SamplingData[[#This Row],[Candidate 5]])/(SamplingData[[#Totals],[Winning Candidate]]-SamplingData[[#Totals],[Candidate 5]]), 0)</f>
        <v>0</v>
      </c>
      <c r="U712" s="99">
        <f>IF(AND(SamplingData[[#This Row],[Total]]&lt;&gt; 0, NOT(ISBLANK(SamplingData[[#This Row],[Candidate 6]]))),(SamplingData[[#This Row],[Total]]+SamplingData[[#This Row],[Losing Candidate]]-SamplingData[[#This Row],[Candidate 6]])/(SamplingData[[#Totals],[Winning Candidate]]-SamplingData[[#Totals],[Candidate 6]]), 0)</f>
        <v>0</v>
      </c>
      <c r="V712" s="99">
        <f>IF(AND(SamplingData[[#This Row],[Total]]&lt;&gt; 0, NOT(ISBLANK(SamplingData[[#This Row],[Candidate 7]]))),(SamplingData[[#This Row],[Total]]+SamplingData[[#This Row],[Winning Candidate]]-SamplingData[[#This Row],[Candidate 7]])/(SamplingData[[#Totals],[Winning Candidate]]-SamplingData[[#Totals],[Candidate 7]]), 0)</f>
        <v>0</v>
      </c>
      <c r="W712" s="99">
        <f>IF(AND(SamplingData[[#This Row],[Total]]&lt;&gt; 0, NOT(ISBLANK(SamplingData[[#This Row],[Candidate 8]]))),(SamplingData[[#This Row],[Total]]+SamplingData[[#This Row],[Winning Candidate]]-SamplingData[[#This Row],[Candidate 8]])/(SamplingData[[#Totals],[Winning Candidate]]-SamplingData[[#Totals],[Candidate 8]]), 0)</f>
        <v>0</v>
      </c>
      <c r="X7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2" s="99">
        <f>MAX(SamplingData[[#This Row],[Error Bound (up) - Max. possible relative overstatement - Losing Candidate]:[Error Bound (up) - Max. possible relative overstatement - Candidate 12]])</f>
        <v>2.860295365812256E-2</v>
      </c>
      <c r="AC712" s="99">
        <f>IF(SamplingData[[#This Row],[Max Error Bound (up)]] = 0,0,SamplingData[[#This Row],[Max Error Bound (up)]]/SamplingData[[#Totals],[Max Error Bound (up)]])</f>
        <v>1.5314283636892448E-3</v>
      </c>
      <c r="AD712" s="103">
        <f>SUM($AC$5:AC712)</f>
        <v>0.62642009306722057</v>
      </c>
      <c r="AE712" s="99" t="str" cm="1">
        <f t="array" ref="AE712">IF(SamplingData[[#This Row],[up/U Selection Probability]] = 0, "Zero", TEXT(SamplingData[[#This Row],[Lower Range]], REPT("0",LEN('General Info'!$B$42))) &amp; " - " &amp; TEXT(SamplingData[[#This Row],[Upper Range]], REPT("0",LEN('General Info'!$B$42))))</f>
        <v>624889 - 626419</v>
      </c>
      <c r="AF712" s="99">
        <f>SamplingData[[#This Row],[Upper Range]]-SamplingData[[#This Row],[Span]]</f>
        <v>624888.66470353131</v>
      </c>
      <c r="AG712" s="99">
        <f>IF(ISNUMBER('General Info'!$B$42), ((SamplingData[[#This Row],[up/U Selection Probability]]) * 'General Info'!$B$44) - 1, 0)</f>
        <v>1530.4283636892449</v>
      </c>
      <c r="AH712" s="99">
        <f>IF(ISNUMBER('General Info'!$B$42), (SamplingData[[#This Row],[Running (cumulative) sum]] * ('General Info'!$B$42 -'General Info'!$B$43 + 1)) + 'General Info'!$B$43 - 1, 0)</f>
        <v>626419.09306722053</v>
      </c>
      <c r="AI712" s="99" t="str">
        <f>IF(ISERROR(MATCH(SamplingData[[#This Row],[Batch by Type (p)]],SelectedPrecincts[Batch Name], 0)), "", INDEX(SelectedPrecincts[Draw], MATCH(SamplingData[[#This Row],[Batch by Type (p)]],SelectedPrecincts[Batch Name], 0)))</f>
        <v/>
      </c>
      <c r="AJ712" s="100">
        <f>IF(COUNTIF(SelectedPrecincts[Batch Name],SamplingData[[#This Row],[Batch by Type (p)]]) &lt;&gt; 0, COUNTIF(SelectedPrecincts[Batch Name],SamplingData[[#This Row],[Batch by Type (p)]]), 0)</f>
        <v>0</v>
      </c>
    </row>
    <row r="713" spans="1:36" ht="15" customHeight="1" x14ac:dyDescent="0.35">
      <c r="A713" s="97" t="s">
        <v>926</v>
      </c>
      <c r="B713" s="97">
        <v>316</v>
      </c>
      <c r="C713" s="97">
        <v>69</v>
      </c>
      <c r="D713" s="92"/>
      <c r="E713" s="92"/>
      <c r="F713" s="92"/>
      <c r="G713" s="96"/>
      <c r="H713" s="96"/>
      <c r="I713" s="92"/>
      <c r="J713" s="92"/>
      <c r="K713" s="92"/>
      <c r="L713" s="92"/>
      <c r="M713" s="92"/>
      <c r="N713" s="97">
        <v>0</v>
      </c>
      <c r="O713" s="97">
        <v>13</v>
      </c>
      <c r="P713" s="98">
        <f>SUM(SamplingData[[#This Row],[Winning Candidate]:[Under Votes]])</f>
        <v>398</v>
      </c>
      <c r="Q713" s="99">
        <f>IF(AND(SamplingData[[#This Row],[Total]]&lt;&gt; 0, NOT(ISBLANK(SamplingData[[#This Row],[Losing Candidate]]))),(SamplingData[[#This Row],[Total]]+SamplingData[[#This Row],[Winning Candidate]]-SamplingData[[#This Row],[Losing Candidate]])/(SamplingData[[#Totals],[Winning Candidate]]-SamplingData[[#Totals],[Losing Candidate]]), 0)</f>
        <v>2.7372262773722629E-2</v>
      </c>
      <c r="R713" s="99">
        <f>IF(AND(SamplingData[[#This Row],[Total]]&lt;&gt; 0, NOT(ISBLANK(SamplingData[[#This Row],[Candidate 3]]))),(SamplingData[[#This Row],[Total]]+SamplingData[[#This Row],[Winning Candidate]]-SamplingData[[#This Row],[Candidate 3]])/(SamplingData[[#Totals],[Winning Candidate]]-SamplingData[[#Totals],[Candidate 3]]), 0)</f>
        <v>0</v>
      </c>
      <c r="S713" s="99">
        <f>IF(AND(SamplingData[[#This Row],[Total]]&lt;&gt; 0, NOT(ISBLANK(SamplingData[[#This Row],[Candidate 4]]))),(SamplingData[[#This Row],[Total]]+SamplingData[[#This Row],[Winning Candidate]]-SamplingData[[#This Row],[Candidate 4]])/(SamplingData[[#Totals],[Winning Candidate]]-SamplingData[[#Totals],[Candidate 4]]), 0)</f>
        <v>0</v>
      </c>
      <c r="T713" s="99">
        <f>IF(AND(SamplingData[[#This Row],[Total]]&lt;&gt; 0, NOT(ISBLANK(SamplingData[[#This Row],[Candidate 5]]))),(SamplingData[[#This Row],[Total]]+SamplingData[[#This Row],[Winning Candidate]]-SamplingData[[#This Row],[Candidate 5]])/(SamplingData[[#Totals],[Winning Candidate]]-SamplingData[[#Totals],[Candidate 5]]), 0)</f>
        <v>0</v>
      </c>
      <c r="U713" s="99">
        <f>IF(AND(SamplingData[[#This Row],[Total]]&lt;&gt; 0, NOT(ISBLANK(SamplingData[[#This Row],[Candidate 6]]))),(SamplingData[[#This Row],[Total]]+SamplingData[[#This Row],[Losing Candidate]]-SamplingData[[#This Row],[Candidate 6]])/(SamplingData[[#Totals],[Winning Candidate]]-SamplingData[[#Totals],[Candidate 6]]), 0)</f>
        <v>0</v>
      </c>
      <c r="V713" s="99">
        <f>IF(AND(SamplingData[[#This Row],[Total]]&lt;&gt; 0, NOT(ISBLANK(SamplingData[[#This Row],[Candidate 7]]))),(SamplingData[[#This Row],[Total]]+SamplingData[[#This Row],[Winning Candidate]]-SamplingData[[#This Row],[Candidate 7]])/(SamplingData[[#Totals],[Winning Candidate]]-SamplingData[[#Totals],[Candidate 7]]), 0)</f>
        <v>0</v>
      </c>
      <c r="W713" s="99">
        <f>IF(AND(SamplingData[[#This Row],[Total]]&lt;&gt; 0, NOT(ISBLANK(SamplingData[[#This Row],[Candidate 8]]))),(SamplingData[[#This Row],[Total]]+SamplingData[[#This Row],[Winning Candidate]]-SamplingData[[#This Row],[Candidate 8]])/(SamplingData[[#Totals],[Winning Candidate]]-SamplingData[[#Totals],[Candidate 8]]), 0)</f>
        <v>0</v>
      </c>
      <c r="X7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3" s="99">
        <f>MAX(SamplingData[[#This Row],[Error Bound (up) - Max. possible relative overstatement - Losing Candidate]:[Error Bound (up) - Max. possible relative overstatement - Candidate 12]])</f>
        <v>2.7372262773722629E-2</v>
      </c>
      <c r="AC713" s="99">
        <f>IF(SamplingData[[#This Row],[Max Error Bound (up)]] = 0,0,SamplingData[[#This Row],[Max Error Bound (up)]]/SamplingData[[#Totals],[Max Error Bound (up)]])</f>
        <v>1.4655360453702713E-3</v>
      </c>
      <c r="AD713" s="103">
        <f>SUM($AC$5:AC713)</f>
        <v>0.62788562911259083</v>
      </c>
      <c r="AE713" s="99" t="str" cm="1">
        <f t="array" ref="AE713">IF(SamplingData[[#This Row],[up/U Selection Probability]] = 0, "Zero", TEXT(SamplingData[[#This Row],[Lower Range]], REPT("0",LEN('General Info'!$B$42))) &amp; " - " &amp; TEXT(SamplingData[[#This Row],[Upper Range]], REPT("0",LEN('General Info'!$B$42))))</f>
        <v>626420 - 627885</v>
      </c>
      <c r="AF713" s="99">
        <f>SamplingData[[#This Row],[Upper Range]]-SamplingData[[#This Row],[Span]]</f>
        <v>626420.09306722053</v>
      </c>
      <c r="AG713" s="99">
        <f>IF(ISNUMBER('General Info'!$B$42), ((SamplingData[[#This Row],[up/U Selection Probability]]) * 'General Info'!$B$44) - 1, 0)</f>
        <v>1464.5360453702713</v>
      </c>
      <c r="AH713" s="99">
        <f>IF(ISNUMBER('General Info'!$B$42), (SamplingData[[#This Row],[Running (cumulative) sum]] * ('General Info'!$B$42 -'General Info'!$B$43 + 1)) + 'General Info'!$B$43 - 1, 0)</f>
        <v>627884.6291125908</v>
      </c>
      <c r="AI713" s="99" t="str">
        <f>IF(ISERROR(MATCH(SamplingData[[#This Row],[Batch by Type (p)]],SelectedPrecincts[Batch Name], 0)), "", INDEX(SelectedPrecincts[Draw], MATCH(SamplingData[[#This Row],[Batch by Type (p)]],SelectedPrecincts[Batch Name], 0)))</f>
        <v/>
      </c>
      <c r="AJ713" s="100">
        <f>IF(COUNTIF(SelectedPrecincts[Batch Name],SamplingData[[#This Row],[Batch by Type (p)]]) &lt;&gt; 0, COUNTIF(SelectedPrecincts[Batch Name],SamplingData[[#This Row],[Batch by Type (p)]]), 0)</f>
        <v>0</v>
      </c>
    </row>
    <row r="714" spans="1:36" ht="15" customHeight="1" x14ac:dyDescent="0.35">
      <c r="A714" s="97" t="s">
        <v>927</v>
      </c>
      <c r="B714" s="97">
        <v>348</v>
      </c>
      <c r="C714" s="97">
        <v>90</v>
      </c>
      <c r="D714" s="92"/>
      <c r="E714" s="92"/>
      <c r="F714" s="92"/>
      <c r="G714" s="96"/>
      <c r="H714" s="96"/>
      <c r="I714" s="92"/>
      <c r="J714" s="92"/>
      <c r="K714" s="92"/>
      <c r="L714" s="92"/>
      <c r="M714" s="92"/>
      <c r="N714" s="97">
        <v>0</v>
      </c>
      <c r="O714" s="97">
        <v>37</v>
      </c>
      <c r="P714" s="98">
        <f>SUM(SamplingData[[#This Row],[Winning Candidate]:[Under Votes]])</f>
        <v>475</v>
      </c>
      <c r="Q714" s="99">
        <f>IF(AND(SamplingData[[#This Row],[Total]]&lt;&gt; 0, NOT(ISBLANK(SamplingData[[#This Row],[Losing Candidate]]))),(SamplingData[[#This Row],[Total]]+SamplingData[[#This Row],[Winning Candidate]]-SamplingData[[#This Row],[Losing Candidate]])/(SamplingData[[#Totals],[Winning Candidate]]-SamplingData[[#Totals],[Losing Candidate]]), 0)</f>
        <v>3.1106773043625871E-2</v>
      </c>
      <c r="R714" s="99">
        <f>IF(AND(SamplingData[[#This Row],[Total]]&lt;&gt; 0, NOT(ISBLANK(SamplingData[[#This Row],[Candidate 3]]))),(SamplingData[[#This Row],[Total]]+SamplingData[[#This Row],[Winning Candidate]]-SamplingData[[#This Row],[Candidate 3]])/(SamplingData[[#Totals],[Winning Candidate]]-SamplingData[[#Totals],[Candidate 3]]), 0)</f>
        <v>0</v>
      </c>
      <c r="S714" s="99">
        <f>IF(AND(SamplingData[[#This Row],[Total]]&lt;&gt; 0, NOT(ISBLANK(SamplingData[[#This Row],[Candidate 4]]))),(SamplingData[[#This Row],[Total]]+SamplingData[[#This Row],[Winning Candidate]]-SamplingData[[#This Row],[Candidate 4]])/(SamplingData[[#Totals],[Winning Candidate]]-SamplingData[[#Totals],[Candidate 4]]), 0)</f>
        <v>0</v>
      </c>
      <c r="T714" s="99">
        <f>IF(AND(SamplingData[[#This Row],[Total]]&lt;&gt; 0, NOT(ISBLANK(SamplingData[[#This Row],[Candidate 5]]))),(SamplingData[[#This Row],[Total]]+SamplingData[[#This Row],[Winning Candidate]]-SamplingData[[#This Row],[Candidate 5]])/(SamplingData[[#Totals],[Winning Candidate]]-SamplingData[[#Totals],[Candidate 5]]), 0)</f>
        <v>0</v>
      </c>
      <c r="U714" s="99">
        <f>IF(AND(SamplingData[[#This Row],[Total]]&lt;&gt; 0, NOT(ISBLANK(SamplingData[[#This Row],[Candidate 6]]))),(SamplingData[[#This Row],[Total]]+SamplingData[[#This Row],[Losing Candidate]]-SamplingData[[#This Row],[Candidate 6]])/(SamplingData[[#Totals],[Winning Candidate]]-SamplingData[[#Totals],[Candidate 6]]), 0)</f>
        <v>0</v>
      </c>
      <c r="V714" s="99">
        <f>IF(AND(SamplingData[[#This Row],[Total]]&lt;&gt; 0, NOT(ISBLANK(SamplingData[[#This Row],[Candidate 7]]))),(SamplingData[[#This Row],[Total]]+SamplingData[[#This Row],[Winning Candidate]]-SamplingData[[#This Row],[Candidate 7]])/(SamplingData[[#Totals],[Winning Candidate]]-SamplingData[[#Totals],[Candidate 7]]), 0)</f>
        <v>0</v>
      </c>
      <c r="W714" s="99">
        <f>IF(AND(SamplingData[[#This Row],[Total]]&lt;&gt; 0, NOT(ISBLANK(SamplingData[[#This Row],[Candidate 8]]))),(SamplingData[[#This Row],[Total]]+SamplingData[[#This Row],[Winning Candidate]]-SamplingData[[#This Row],[Candidate 8]])/(SamplingData[[#Totals],[Winning Candidate]]-SamplingData[[#Totals],[Candidate 8]]), 0)</f>
        <v>0</v>
      </c>
      <c r="X7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4" s="99">
        <f>MAX(SamplingData[[#This Row],[Error Bound (up) - Max. possible relative overstatement - Losing Candidate]:[Error Bound (up) - Max. possible relative overstatement - Candidate 12]])</f>
        <v>3.1106773043625871E-2</v>
      </c>
      <c r="AC714" s="99">
        <f>IF(SamplingData[[#This Row],[Max Error Bound (up)]] = 0,0,SamplingData[[#This Row],[Max Error Bound (up)]]/SamplingData[[#Totals],[Max Error Bound (up)]])</f>
        <v>1.6654851492347424E-3</v>
      </c>
      <c r="AD714" s="103">
        <f>SUM($AC$5:AC714)</f>
        <v>0.62955111426182553</v>
      </c>
      <c r="AE714" s="99" t="str" cm="1">
        <f t="array" ref="AE714">IF(SamplingData[[#This Row],[up/U Selection Probability]] = 0, "Zero", TEXT(SamplingData[[#This Row],[Lower Range]], REPT("0",LEN('General Info'!$B$42))) &amp; " - " &amp; TEXT(SamplingData[[#This Row],[Upper Range]], REPT("0",LEN('General Info'!$B$42))))</f>
        <v>627886 - 629550</v>
      </c>
      <c r="AF714" s="99">
        <f>SamplingData[[#This Row],[Upper Range]]-SamplingData[[#This Row],[Span]]</f>
        <v>627885.6291125908</v>
      </c>
      <c r="AG714" s="99">
        <f>IF(ISNUMBER('General Info'!$B$42), ((SamplingData[[#This Row],[up/U Selection Probability]]) * 'General Info'!$B$44) - 1, 0)</f>
        <v>1664.4851492347423</v>
      </c>
      <c r="AH714" s="99">
        <f>IF(ISNUMBER('General Info'!$B$42), (SamplingData[[#This Row],[Running (cumulative) sum]] * ('General Info'!$B$42 -'General Info'!$B$43 + 1)) + 'General Info'!$B$43 - 1, 0)</f>
        <v>629550.11426182557</v>
      </c>
      <c r="AI714" s="99" t="str">
        <f>IF(ISERROR(MATCH(SamplingData[[#This Row],[Batch by Type (p)]],SelectedPrecincts[Batch Name], 0)), "", INDEX(SelectedPrecincts[Draw], MATCH(SamplingData[[#This Row],[Batch by Type (p)]],SelectedPrecincts[Batch Name], 0)))</f>
        <v/>
      </c>
      <c r="AJ714" s="100">
        <f>IF(COUNTIF(SelectedPrecincts[Batch Name],SamplingData[[#This Row],[Batch by Type (p)]]) &lt;&gt; 0, COUNTIF(SelectedPrecincts[Batch Name],SamplingData[[#This Row],[Batch by Type (p)]]), 0)</f>
        <v>0</v>
      </c>
    </row>
    <row r="715" spans="1:36" ht="15" customHeight="1" x14ac:dyDescent="0.35">
      <c r="A715" s="97" t="s">
        <v>928</v>
      </c>
      <c r="B715" s="97">
        <v>123</v>
      </c>
      <c r="C715" s="97">
        <v>42</v>
      </c>
      <c r="D715" s="92"/>
      <c r="E715" s="92"/>
      <c r="F715" s="92"/>
      <c r="G715" s="96"/>
      <c r="H715" s="96"/>
      <c r="I715" s="92"/>
      <c r="J715" s="92"/>
      <c r="K715" s="92"/>
      <c r="L715" s="92"/>
      <c r="M715" s="92"/>
      <c r="N715" s="97">
        <v>0</v>
      </c>
      <c r="O715" s="97">
        <v>12</v>
      </c>
      <c r="P715" s="98">
        <f>SUM(SamplingData[[#This Row],[Winning Candidate]:[Under Votes]])</f>
        <v>177</v>
      </c>
      <c r="Q715" s="99">
        <f>IF(AND(SamplingData[[#This Row],[Total]]&lt;&gt; 0, NOT(ISBLANK(SamplingData[[#This Row],[Losing Candidate]]))),(SamplingData[[#This Row],[Total]]+SamplingData[[#This Row],[Winning Candidate]]-SamplingData[[#This Row],[Losing Candidate]])/(SamplingData[[#Totals],[Winning Candidate]]-SamplingData[[#Totals],[Losing Candidate]]), 0)</f>
        <v>1.0948905109489052E-2</v>
      </c>
      <c r="R715" s="99">
        <f>IF(AND(SamplingData[[#This Row],[Total]]&lt;&gt; 0, NOT(ISBLANK(SamplingData[[#This Row],[Candidate 3]]))),(SamplingData[[#This Row],[Total]]+SamplingData[[#This Row],[Winning Candidate]]-SamplingData[[#This Row],[Candidate 3]])/(SamplingData[[#Totals],[Winning Candidate]]-SamplingData[[#Totals],[Candidate 3]]), 0)</f>
        <v>0</v>
      </c>
      <c r="S715" s="99">
        <f>IF(AND(SamplingData[[#This Row],[Total]]&lt;&gt; 0, NOT(ISBLANK(SamplingData[[#This Row],[Candidate 4]]))),(SamplingData[[#This Row],[Total]]+SamplingData[[#This Row],[Winning Candidate]]-SamplingData[[#This Row],[Candidate 4]])/(SamplingData[[#Totals],[Winning Candidate]]-SamplingData[[#Totals],[Candidate 4]]), 0)</f>
        <v>0</v>
      </c>
      <c r="T715" s="99">
        <f>IF(AND(SamplingData[[#This Row],[Total]]&lt;&gt; 0, NOT(ISBLANK(SamplingData[[#This Row],[Candidate 5]]))),(SamplingData[[#This Row],[Total]]+SamplingData[[#This Row],[Winning Candidate]]-SamplingData[[#This Row],[Candidate 5]])/(SamplingData[[#Totals],[Winning Candidate]]-SamplingData[[#Totals],[Candidate 5]]), 0)</f>
        <v>0</v>
      </c>
      <c r="U715" s="99">
        <f>IF(AND(SamplingData[[#This Row],[Total]]&lt;&gt; 0, NOT(ISBLANK(SamplingData[[#This Row],[Candidate 6]]))),(SamplingData[[#This Row],[Total]]+SamplingData[[#This Row],[Losing Candidate]]-SamplingData[[#This Row],[Candidate 6]])/(SamplingData[[#Totals],[Winning Candidate]]-SamplingData[[#Totals],[Candidate 6]]), 0)</f>
        <v>0</v>
      </c>
      <c r="V715" s="99">
        <f>IF(AND(SamplingData[[#This Row],[Total]]&lt;&gt; 0, NOT(ISBLANK(SamplingData[[#This Row],[Candidate 7]]))),(SamplingData[[#This Row],[Total]]+SamplingData[[#This Row],[Winning Candidate]]-SamplingData[[#This Row],[Candidate 7]])/(SamplingData[[#Totals],[Winning Candidate]]-SamplingData[[#Totals],[Candidate 7]]), 0)</f>
        <v>0</v>
      </c>
      <c r="W715" s="99">
        <f>IF(AND(SamplingData[[#This Row],[Total]]&lt;&gt; 0, NOT(ISBLANK(SamplingData[[#This Row],[Candidate 8]]))),(SamplingData[[#This Row],[Total]]+SamplingData[[#This Row],[Winning Candidate]]-SamplingData[[#This Row],[Candidate 8]])/(SamplingData[[#Totals],[Winning Candidate]]-SamplingData[[#Totals],[Candidate 8]]), 0)</f>
        <v>0</v>
      </c>
      <c r="X7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5" s="99">
        <f>MAX(SamplingData[[#This Row],[Error Bound (up) - Max. possible relative overstatement - Losing Candidate]:[Error Bound (up) - Max. possible relative overstatement - Candidate 12]])</f>
        <v>1.0948905109489052E-2</v>
      </c>
      <c r="AC715" s="99">
        <f>IF(SamplingData[[#This Row],[Max Error Bound (up)]] = 0,0,SamplingData[[#This Row],[Max Error Bound (up)]]/SamplingData[[#Totals],[Max Error Bound (up)]])</f>
        <v>5.8621441814810853E-4</v>
      </c>
      <c r="AD715" s="103">
        <f>SUM($AC$5:AC715)</f>
        <v>0.63013732867997363</v>
      </c>
      <c r="AE715" s="99" t="str" cm="1">
        <f t="array" ref="AE715">IF(SamplingData[[#This Row],[up/U Selection Probability]] = 0, "Zero", TEXT(SamplingData[[#This Row],[Lower Range]], REPT("0",LEN('General Info'!$B$42))) &amp; " - " &amp; TEXT(SamplingData[[#This Row],[Upper Range]], REPT("0",LEN('General Info'!$B$42))))</f>
        <v>629551 - 630136</v>
      </c>
      <c r="AF715" s="99">
        <f>SamplingData[[#This Row],[Upper Range]]-SamplingData[[#This Row],[Span]]</f>
        <v>629551.11426182545</v>
      </c>
      <c r="AG715" s="99">
        <f>IF(ISNUMBER('General Info'!$B$42), ((SamplingData[[#This Row],[up/U Selection Probability]]) * 'General Info'!$B$44) - 1, 0)</f>
        <v>585.21441814810851</v>
      </c>
      <c r="AH715" s="99">
        <f>IF(ISNUMBER('General Info'!$B$42), (SamplingData[[#This Row],[Running (cumulative) sum]] * ('General Info'!$B$42 -'General Info'!$B$43 + 1)) + 'General Info'!$B$43 - 1, 0)</f>
        <v>630136.32867997361</v>
      </c>
      <c r="AI715" s="99" t="str">
        <f>IF(ISERROR(MATCH(SamplingData[[#This Row],[Batch by Type (p)]],SelectedPrecincts[Batch Name], 0)), "", INDEX(SelectedPrecincts[Draw], MATCH(SamplingData[[#This Row],[Batch by Type (p)]],SelectedPrecincts[Batch Name], 0)))</f>
        <v/>
      </c>
      <c r="AJ715" s="100">
        <f>IF(COUNTIF(SelectedPrecincts[Batch Name],SamplingData[[#This Row],[Batch by Type (p)]]) &lt;&gt; 0, COUNTIF(SelectedPrecincts[Batch Name],SamplingData[[#This Row],[Batch by Type (p)]]), 0)</f>
        <v>0</v>
      </c>
    </row>
    <row r="716" spans="1:36" ht="15" customHeight="1" x14ac:dyDescent="0.35">
      <c r="A716" s="97" t="s">
        <v>929</v>
      </c>
      <c r="B716" s="97">
        <v>189</v>
      </c>
      <c r="C716" s="97">
        <v>52</v>
      </c>
      <c r="D716" s="92"/>
      <c r="E716" s="92"/>
      <c r="F716" s="92"/>
      <c r="G716" s="96"/>
      <c r="H716" s="96"/>
      <c r="I716" s="92"/>
      <c r="J716" s="92"/>
      <c r="K716" s="92"/>
      <c r="L716" s="92"/>
      <c r="M716" s="92"/>
      <c r="N716" s="97">
        <v>0</v>
      </c>
      <c r="O716" s="97">
        <v>10</v>
      </c>
      <c r="P716" s="98">
        <f>SUM(SamplingData[[#This Row],[Winning Candidate]:[Under Votes]])</f>
        <v>251</v>
      </c>
      <c r="Q716" s="99">
        <f>IF(AND(SamplingData[[#This Row],[Total]]&lt;&gt; 0, NOT(ISBLANK(SamplingData[[#This Row],[Losing Candidate]]))),(SamplingData[[#This Row],[Total]]+SamplingData[[#This Row],[Winning Candidate]]-SamplingData[[#This Row],[Losing Candidate]])/(SamplingData[[#Totals],[Winning Candidate]]-SamplingData[[#Totals],[Losing Candidate]]), 0)</f>
        <v>1.6465795280937022E-2</v>
      </c>
      <c r="R716" s="99">
        <f>IF(AND(SamplingData[[#This Row],[Total]]&lt;&gt; 0, NOT(ISBLANK(SamplingData[[#This Row],[Candidate 3]]))),(SamplingData[[#This Row],[Total]]+SamplingData[[#This Row],[Winning Candidate]]-SamplingData[[#This Row],[Candidate 3]])/(SamplingData[[#Totals],[Winning Candidate]]-SamplingData[[#Totals],[Candidate 3]]), 0)</f>
        <v>0</v>
      </c>
      <c r="S716" s="99">
        <f>IF(AND(SamplingData[[#This Row],[Total]]&lt;&gt; 0, NOT(ISBLANK(SamplingData[[#This Row],[Candidate 4]]))),(SamplingData[[#This Row],[Total]]+SamplingData[[#This Row],[Winning Candidate]]-SamplingData[[#This Row],[Candidate 4]])/(SamplingData[[#Totals],[Winning Candidate]]-SamplingData[[#Totals],[Candidate 4]]), 0)</f>
        <v>0</v>
      </c>
      <c r="T716" s="99">
        <f>IF(AND(SamplingData[[#This Row],[Total]]&lt;&gt; 0, NOT(ISBLANK(SamplingData[[#This Row],[Candidate 5]]))),(SamplingData[[#This Row],[Total]]+SamplingData[[#This Row],[Winning Candidate]]-SamplingData[[#This Row],[Candidate 5]])/(SamplingData[[#Totals],[Winning Candidate]]-SamplingData[[#Totals],[Candidate 5]]), 0)</f>
        <v>0</v>
      </c>
      <c r="U716" s="99">
        <f>IF(AND(SamplingData[[#This Row],[Total]]&lt;&gt; 0, NOT(ISBLANK(SamplingData[[#This Row],[Candidate 6]]))),(SamplingData[[#This Row],[Total]]+SamplingData[[#This Row],[Losing Candidate]]-SamplingData[[#This Row],[Candidate 6]])/(SamplingData[[#Totals],[Winning Candidate]]-SamplingData[[#Totals],[Candidate 6]]), 0)</f>
        <v>0</v>
      </c>
      <c r="V716" s="99">
        <f>IF(AND(SamplingData[[#This Row],[Total]]&lt;&gt; 0, NOT(ISBLANK(SamplingData[[#This Row],[Candidate 7]]))),(SamplingData[[#This Row],[Total]]+SamplingData[[#This Row],[Winning Candidate]]-SamplingData[[#This Row],[Candidate 7]])/(SamplingData[[#Totals],[Winning Candidate]]-SamplingData[[#Totals],[Candidate 7]]), 0)</f>
        <v>0</v>
      </c>
      <c r="W716" s="99">
        <f>IF(AND(SamplingData[[#This Row],[Total]]&lt;&gt; 0, NOT(ISBLANK(SamplingData[[#This Row],[Candidate 8]]))),(SamplingData[[#This Row],[Total]]+SamplingData[[#This Row],[Winning Candidate]]-SamplingData[[#This Row],[Candidate 8]])/(SamplingData[[#Totals],[Winning Candidate]]-SamplingData[[#Totals],[Candidate 8]]), 0)</f>
        <v>0</v>
      </c>
      <c r="X7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6" s="99">
        <f>MAX(SamplingData[[#This Row],[Error Bound (up) - Max. possible relative overstatement - Losing Candidate]:[Error Bound (up) - Max. possible relative overstatement - Candidate 12]])</f>
        <v>1.6465795280937022E-2</v>
      </c>
      <c r="AC716" s="99">
        <f>IF(SamplingData[[#This Row],[Max Error Bound (up)]] = 0,0,SamplingData[[#This Row],[Max Error Bound (up)]]/SamplingData[[#Totals],[Max Error Bound (up)]])</f>
        <v>8.8159377612971352E-4</v>
      </c>
      <c r="AD716" s="103">
        <f>SUM($AC$5:AC716)</f>
        <v>0.63101892245610336</v>
      </c>
      <c r="AE716" s="99" t="str" cm="1">
        <f t="array" ref="AE716">IF(SamplingData[[#This Row],[up/U Selection Probability]] = 0, "Zero", TEXT(SamplingData[[#This Row],[Lower Range]], REPT("0",LEN('General Info'!$B$42))) &amp; " - " &amp; TEXT(SamplingData[[#This Row],[Upper Range]], REPT("0",LEN('General Info'!$B$42))))</f>
        <v>630137 - 631018</v>
      </c>
      <c r="AF716" s="99">
        <f>SamplingData[[#This Row],[Upper Range]]-SamplingData[[#This Row],[Span]]</f>
        <v>630137.32867997361</v>
      </c>
      <c r="AG716" s="99">
        <f>IF(ISNUMBER('General Info'!$B$42), ((SamplingData[[#This Row],[up/U Selection Probability]]) * 'General Info'!$B$44) - 1, 0)</f>
        <v>880.59377612971355</v>
      </c>
      <c r="AH716" s="99">
        <f>IF(ISNUMBER('General Info'!$B$42), (SamplingData[[#This Row],[Running (cumulative) sum]] * ('General Info'!$B$42 -'General Info'!$B$43 + 1)) + 'General Info'!$B$43 - 1, 0)</f>
        <v>631017.92245610338</v>
      </c>
      <c r="AI716" s="99" t="str">
        <f>IF(ISERROR(MATCH(SamplingData[[#This Row],[Batch by Type (p)]],SelectedPrecincts[Batch Name], 0)), "", INDEX(SelectedPrecincts[Draw], MATCH(SamplingData[[#This Row],[Batch by Type (p)]],SelectedPrecincts[Batch Name], 0)))</f>
        <v/>
      </c>
      <c r="AJ716" s="100">
        <f>IF(COUNTIF(SelectedPrecincts[Batch Name],SamplingData[[#This Row],[Batch by Type (p)]]) &lt;&gt; 0, COUNTIF(SelectedPrecincts[Batch Name],SamplingData[[#This Row],[Batch by Type (p)]]), 0)</f>
        <v>0</v>
      </c>
    </row>
    <row r="717" spans="1:36" ht="15" customHeight="1" x14ac:dyDescent="0.35">
      <c r="A717" s="97" t="s">
        <v>930</v>
      </c>
      <c r="B717" s="97">
        <v>382</v>
      </c>
      <c r="C717" s="97">
        <v>41</v>
      </c>
      <c r="D717" s="92"/>
      <c r="E717" s="92"/>
      <c r="F717" s="92"/>
      <c r="G717" s="96"/>
      <c r="H717" s="96"/>
      <c r="I717" s="92"/>
      <c r="J717" s="92"/>
      <c r="K717" s="92"/>
      <c r="L717" s="92"/>
      <c r="M717" s="92"/>
      <c r="N717" s="97">
        <v>1</v>
      </c>
      <c r="O717" s="97">
        <v>14</v>
      </c>
      <c r="P717" s="98">
        <f>SUM(SamplingData[[#This Row],[Winning Candidate]:[Under Votes]])</f>
        <v>438</v>
      </c>
      <c r="Q717" s="99">
        <f>IF(AND(SamplingData[[#This Row],[Total]]&lt;&gt; 0, NOT(ISBLANK(SamplingData[[#This Row],[Losing Candidate]]))),(SamplingData[[#This Row],[Total]]+SamplingData[[#This Row],[Winning Candidate]]-SamplingData[[#This Row],[Losing Candidate]])/(SamplingData[[#Totals],[Winning Candidate]]-SamplingData[[#Totals],[Losing Candidate]]), 0)</f>
        <v>3.3058903411984385E-2</v>
      </c>
      <c r="R717" s="99">
        <f>IF(AND(SamplingData[[#This Row],[Total]]&lt;&gt; 0, NOT(ISBLANK(SamplingData[[#This Row],[Candidate 3]]))),(SamplingData[[#This Row],[Total]]+SamplingData[[#This Row],[Winning Candidate]]-SamplingData[[#This Row],[Candidate 3]])/(SamplingData[[#Totals],[Winning Candidate]]-SamplingData[[#Totals],[Candidate 3]]), 0)</f>
        <v>0</v>
      </c>
      <c r="S717" s="99">
        <f>IF(AND(SamplingData[[#This Row],[Total]]&lt;&gt; 0, NOT(ISBLANK(SamplingData[[#This Row],[Candidate 4]]))),(SamplingData[[#This Row],[Total]]+SamplingData[[#This Row],[Winning Candidate]]-SamplingData[[#This Row],[Candidate 4]])/(SamplingData[[#Totals],[Winning Candidate]]-SamplingData[[#Totals],[Candidate 4]]), 0)</f>
        <v>0</v>
      </c>
      <c r="T717" s="99">
        <f>IF(AND(SamplingData[[#This Row],[Total]]&lt;&gt; 0, NOT(ISBLANK(SamplingData[[#This Row],[Candidate 5]]))),(SamplingData[[#This Row],[Total]]+SamplingData[[#This Row],[Winning Candidate]]-SamplingData[[#This Row],[Candidate 5]])/(SamplingData[[#Totals],[Winning Candidate]]-SamplingData[[#Totals],[Candidate 5]]), 0)</f>
        <v>0</v>
      </c>
      <c r="U717" s="99">
        <f>IF(AND(SamplingData[[#This Row],[Total]]&lt;&gt; 0, NOT(ISBLANK(SamplingData[[#This Row],[Candidate 6]]))),(SamplingData[[#This Row],[Total]]+SamplingData[[#This Row],[Losing Candidate]]-SamplingData[[#This Row],[Candidate 6]])/(SamplingData[[#Totals],[Winning Candidate]]-SamplingData[[#Totals],[Candidate 6]]), 0)</f>
        <v>0</v>
      </c>
      <c r="V717" s="99">
        <f>IF(AND(SamplingData[[#This Row],[Total]]&lt;&gt; 0, NOT(ISBLANK(SamplingData[[#This Row],[Candidate 7]]))),(SamplingData[[#This Row],[Total]]+SamplingData[[#This Row],[Winning Candidate]]-SamplingData[[#This Row],[Candidate 7]])/(SamplingData[[#Totals],[Winning Candidate]]-SamplingData[[#Totals],[Candidate 7]]), 0)</f>
        <v>0</v>
      </c>
      <c r="W717" s="99">
        <f>IF(AND(SamplingData[[#This Row],[Total]]&lt;&gt; 0, NOT(ISBLANK(SamplingData[[#This Row],[Candidate 8]]))),(SamplingData[[#This Row],[Total]]+SamplingData[[#This Row],[Winning Candidate]]-SamplingData[[#This Row],[Candidate 8]])/(SamplingData[[#Totals],[Winning Candidate]]-SamplingData[[#Totals],[Candidate 8]]), 0)</f>
        <v>0</v>
      </c>
      <c r="X7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7" s="99">
        <f>MAX(SamplingData[[#This Row],[Error Bound (up) - Max. possible relative overstatement - Losing Candidate]:[Error Bound (up) - Max. possible relative overstatement - Candidate 12]])</f>
        <v>3.3058903411984385E-2</v>
      </c>
      <c r="AC717" s="99">
        <f>IF(SamplingData[[#This Row],[Max Error Bound (up)]] = 0,0,SamplingData[[#This Row],[Max Error Bound (up)]]/SamplingData[[#Totals],[Max Error Bound (up)]])</f>
        <v>1.7700039989820796E-3</v>
      </c>
      <c r="AD717" s="103">
        <f>SUM($AC$5:AC717)</f>
        <v>0.63278892645508544</v>
      </c>
      <c r="AE717" s="99" t="str" cm="1">
        <f t="array" ref="AE717">IF(SamplingData[[#This Row],[up/U Selection Probability]] = 0, "Zero", TEXT(SamplingData[[#This Row],[Lower Range]], REPT("0",LEN('General Info'!$B$42))) &amp; " - " &amp; TEXT(SamplingData[[#This Row],[Upper Range]], REPT("0",LEN('General Info'!$B$42))))</f>
        <v>631019 - 632788</v>
      </c>
      <c r="AF717" s="99">
        <f>SamplingData[[#This Row],[Upper Range]]-SamplingData[[#This Row],[Span]]</f>
        <v>631018.92245610338</v>
      </c>
      <c r="AG717" s="99">
        <f>IF(ISNUMBER('General Info'!$B$42), ((SamplingData[[#This Row],[up/U Selection Probability]]) * 'General Info'!$B$44) - 1, 0)</f>
        <v>1769.0039989820796</v>
      </c>
      <c r="AH717" s="99">
        <f>IF(ISNUMBER('General Info'!$B$42), (SamplingData[[#This Row],[Running (cumulative) sum]] * ('General Info'!$B$42 -'General Info'!$B$43 + 1)) + 'General Info'!$B$43 - 1, 0)</f>
        <v>632787.9264550854</v>
      </c>
      <c r="AI717" s="99" t="str">
        <f>IF(ISERROR(MATCH(SamplingData[[#This Row],[Batch by Type (p)]],SelectedPrecincts[Batch Name], 0)), "", INDEX(SelectedPrecincts[Draw], MATCH(SamplingData[[#This Row],[Batch by Type (p)]],SelectedPrecincts[Batch Name], 0)))</f>
        <v/>
      </c>
      <c r="AJ717" s="100">
        <f>IF(COUNTIF(SelectedPrecincts[Batch Name],SamplingData[[#This Row],[Batch by Type (p)]]) &lt;&gt; 0, COUNTIF(SelectedPrecincts[Batch Name],SamplingData[[#This Row],[Batch by Type (p)]]), 0)</f>
        <v>0</v>
      </c>
    </row>
    <row r="718" spans="1:36" ht="15" customHeight="1" x14ac:dyDescent="0.35">
      <c r="A718" s="97" t="s">
        <v>931</v>
      </c>
      <c r="B718" s="97">
        <v>397</v>
      </c>
      <c r="C718" s="97">
        <v>113</v>
      </c>
      <c r="D718" s="92"/>
      <c r="E718" s="92"/>
      <c r="F718" s="92"/>
      <c r="G718" s="96"/>
      <c r="H718" s="96"/>
      <c r="I718" s="92"/>
      <c r="J718" s="92"/>
      <c r="K718" s="92"/>
      <c r="L718" s="92"/>
      <c r="M718" s="92"/>
      <c r="N718" s="97">
        <v>1</v>
      </c>
      <c r="O718" s="97">
        <v>33</v>
      </c>
      <c r="P718" s="98">
        <f>SUM(SamplingData[[#This Row],[Winning Candidate]:[Under Votes]])</f>
        <v>544</v>
      </c>
      <c r="Q718" s="99">
        <f>IF(AND(SamplingData[[#This Row],[Total]]&lt;&gt; 0, NOT(ISBLANK(SamplingData[[#This Row],[Losing Candidate]]))),(SamplingData[[#This Row],[Total]]+SamplingData[[#This Row],[Winning Candidate]]-SamplingData[[#This Row],[Losing Candidate]])/(SamplingData[[#Totals],[Winning Candidate]]-SamplingData[[#Totals],[Losing Candidate]]), 0)</f>
        <v>3.5138346630453232E-2</v>
      </c>
      <c r="R718" s="99">
        <f>IF(AND(SamplingData[[#This Row],[Total]]&lt;&gt; 0, NOT(ISBLANK(SamplingData[[#This Row],[Candidate 3]]))),(SamplingData[[#This Row],[Total]]+SamplingData[[#This Row],[Winning Candidate]]-SamplingData[[#This Row],[Candidate 3]])/(SamplingData[[#Totals],[Winning Candidate]]-SamplingData[[#Totals],[Candidate 3]]), 0)</f>
        <v>0</v>
      </c>
      <c r="S718" s="99">
        <f>IF(AND(SamplingData[[#This Row],[Total]]&lt;&gt; 0, NOT(ISBLANK(SamplingData[[#This Row],[Candidate 4]]))),(SamplingData[[#This Row],[Total]]+SamplingData[[#This Row],[Winning Candidate]]-SamplingData[[#This Row],[Candidate 4]])/(SamplingData[[#Totals],[Winning Candidate]]-SamplingData[[#Totals],[Candidate 4]]), 0)</f>
        <v>0</v>
      </c>
      <c r="T718" s="99">
        <f>IF(AND(SamplingData[[#This Row],[Total]]&lt;&gt; 0, NOT(ISBLANK(SamplingData[[#This Row],[Candidate 5]]))),(SamplingData[[#This Row],[Total]]+SamplingData[[#This Row],[Winning Candidate]]-SamplingData[[#This Row],[Candidate 5]])/(SamplingData[[#Totals],[Winning Candidate]]-SamplingData[[#Totals],[Candidate 5]]), 0)</f>
        <v>0</v>
      </c>
      <c r="U718" s="99">
        <f>IF(AND(SamplingData[[#This Row],[Total]]&lt;&gt; 0, NOT(ISBLANK(SamplingData[[#This Row],[Candidate 6]]))),(SamplingData[[#This Row],[Total]]+SamplingData[[#This Row],[Losing Candidate]]-SamplingData[[#This Row],[Candidate 6]])/(SamplingData[[#Totals],[Winning Candidate]]-SamplingData[[#Totals],[Candidate 6]]), 0)</f>
        <v>0</v>
      </c>
      <c r="V718" s="99">
        <f>IF(AND(SamplingData[[#This Row],[Total]]&lt;&gt; 0, NOT(ISBLANK(SamplingData[[#This Row],[Candidate 7]]))),(SamplingData[[#This Row],[Total]]+SamplingData[[#This Row],[Winning Candidate]]-SamplingData[[#This Row],[Candidate 7]])/(SamplingData[[#Totals],[Winning Candidate]]-SamplingData[[#Totals],[Candidate 7]]), 0)</f>
        <v>0</v>
      </c>
      <c r="W718" s="99">
        <f>IF(AND(SamplingData[[#This Row],[Total]]&lt;&gt; 0, NOT(ISBLANK(SamplingData[[#This Row],[Candidate 8]]))),(SamplingData[[#This Row],[Total]]+SamplingData[[#This Row],[Winning Candidate]]-SamplingData[[#This Row],[Candidate 8]])/(SamplingData[[#Totals],[Winning Candidate]]-SamplingData[[#Totals],[Candidate 8]]), 0)</f>
        <v>0</v>
      </c>
      <c r="X7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8" s="99">
        <f>MAX(SamplingData[[#This Row],[Error Bound (up) - Max. possible relative overstatement - Losing Candidate]:[Error Bound (up) - Max. possible relative overstatement - Candidate 12]])</f>
        <v>3.5138346630453232E-2</v>
      </c>
      <c r="AC718" s="99">
        <f>IF(SamplingData[[#This Row],[Max Error Bound (up)]] = 0,0,SamplingData[[#This Row],[Max Error Bound (up)]]/SamplingData[[#Totals],[Max Error Bound (up)]])</f>
        <v>1.8813392954520692E-3</v>
      </c>
      <c r="AD718" s="103">
        <f>SUM($AC$5:AC718)</f>
        <v>0.63467026575053753</v>
      </c>
      <c r="AE718" s="99" t="str" cm="1">
        <f t="array" ref="AE718">IF(SamplingData[[#This Row],[up/U Selection Probability]] = 0, "Zero", TEXT(SamplingData[[#This Row],[Lower Range]], REPT("0",LEN('General Info'!$B$42))) &amp; " - " &amp; TEXT(SamplingData[[#This Row],[Upper Range]], REPT("0",LEN('General Info'!$B$42))))</f>
        <v>632789 - 634669</v>
      </c>
      <c r="AF718" s="99">
        <f>SamplingData[[#This Row],[Upper Range]]-SamplingData[[#This Row],[Span]]</f>
        <v>632788.9264550854</v>
      </c>
      <c r="AG718" s="99">
        <f>IF(ISNUMBER('General Info'!$B$42), ((SamplingData[[#This Row],[up/U Selection Probability]]) * 'General Info'!$B$44) - 1, 0)</f>
        <v>1880.3392954520691</v>
      </c>
      <c r="AH718" s="99">
        <f>IF(ISNUMBER('General Info'!$B$42), (SamplingData[[#This Row],[Running (cumulative) sum]] * ('General Info'!$B$42 -'General Info'!$B$43 + 1)) + 'General Info'!$B$43 - 1, 0)</f>
        <v>634669.26575053751</v>
      </c>
      <c r="AI718" s="99" t="str">
        <f>IF(ISERROR(MATCH(SamplingData[[#This Row],[Batch by Type (p)]],SelectedPrecincts[Batch Name], 0)), "", INDEX(SelectedPrecincts[Draw], MATCH(SamplingData[[#This Row],[Batch by Type (p)]],SelectedPrecincts[Batch Name], 0)))</f>
        <v/>
      </c>
      <c r="AJ718" s="100">
        <f>IF(COUNTIF(SelectedPrecincts[Batch Name],SamplingData[[#This Row],[Batch by Type (p)]]) &lt;&gt; 0, COUNTIF(SelectedPrecincts[Batch Name],SamplingData[[#This Row],[Batch by Type (p)]]), 0)</f>
        <v>0</v>
      </c>
    </row>
    <row r="719" spans="1:36" ht="15" customHeight="1" x14ac:dyDescent="0.35">
      <c r="A719" s="97" t="s">
        <v>932</v>
      </c>
      <c r="B719" s="97">
        <v>219</v>
      </c>
      <c r="C719" s="97">
        <v>42</v>
      </c>
      <c r="D719" s="92"/>
      <c r="E719" s="92"/>
      <c r="F719" s="92"/>
      <c r="G719" s="96"/>
      <c r="H719" s="96"/>
      <c r="I719" s="92"/>
      <c r="J719" s="92"/>
      <c r="K719" s="92"/>
      <c r="L719" s="92"/>
      <c r="M719" s="92"/>
      <c r="N719" s="97">
        <v>0</v>
      </c>
      <c r="O719" s="97">
        <v>23</v>
      </c>
      <c r="P719" s="98">
        <f>SUM(SamplingData[[#This Row],[Winning Candidate]:[Under Votes]])</f>
        <v>284</v>
      </c>
      <c r="Q719" s="99">
        <f>IF(AND(SamplingData[[#This Row],[Total]]&lt;&gt; 0, NOT(ISBLANK(SamplingData[[#This Row],[Losing Candidate]]))),(SamplingData[[#This Row],[Total]]+SamplingData[[#This Row],[Winning Candidate]]-SamplingData[[#This Row],[Losing Candidate]])/(SamplingData[[#Totals],[Winning Candidate]]-SamplingData[[#Totals],[Losing Candidate]]), 0)</f>
        <v>1.9563741300288574E-2</v>
      </c>
      <c r="R719" s="99">
        <f>IF(AND(SamplingData[[#This Row],[Total]]&lt;&gt; 0, NOT(ISBLANK(SamplingData[[#This Row],[Candidate 3]]))),(SamplingData[[#This Row],[Total]]+SamplingData[[#This Row],[Winning Candidate]]-SamplingData[[#This Row],[Candidate 3]])/(SamplingData[[#Totals],[Winning Candidate]]-SamplingData[[#Totals],[Candidate 3]]), 0)</f>
        <v>0</v>
      </c>
      <c r="S719" s="99">
        <f>IF(AND(SamplingData[[#This Row],[Total]]&lt;&gt; 0, NOT(ISBLANK(SamplingData[[#This Row],[Candidate 4]]))),(SamplingData[[#This Row],[Total]]+SamplingData[[#This Row],[Winning Candidate]]-SamplingData[[#This Row],[Candidate 4]])/(SamplingData[[#Totals],[Winning Candidate]]-SamplingData[[#Totals],[Candidate 4]]), 0)</f>
        <v>0</v>
      </c>
      <c r="T719" s="99">
        <f>IF(AND(SamplingData[[#This Row],[Total]]&lt;&gt; 0, NOT(ISBLANK(SamplingData[[#This Row],[Candidate 5]]))),(SamplingData[[#This Row],[Total]]+SamplingData[[#This Row],[Winning Candidate]]-SamplingData[[#This Row],[Candidate 5]])/(SamplingData[[#Totals],[Winning Candidate]]-SamplingData[[#Totals],[Candidate 5]]), 0)</f>
        <v>0</v>
      </c>
      <c r="U719" s="99">
        <f>IF(AND(SamplingData[[#This Row],[Total]]&lt;&gt; 0, NOT(ISBLANK(SamplingData[[#This Row],[Candidate 6]]))),(SamplingData[[#This Row],[Total]]+SamplingData[[#This Row],[Losing Candidate]]-SamplingData[[#This Row],[Candidate 6]])/(SamplingData[[#Totals],[Winning Candidate]]-SamplingData[[#Totals],[Candidate 6]]), 0)</f>
        <v>0</v>
      </c>
      <c r="V719" s="99">
        <f>IF(AND(SamplingData[[#This Row],[Total]]&lt;&gt; 0, NOT(ISBLANK(SamplingData[[#This Row],[Candidate 7]]))),(SamplingData[[#This Row],[Total]]+SamplingData[[#This Row],[Winning Candidate]]-SamplingData[[#This Row],[Candidate 7]])/(SamplingData[[#Totals],[Winning Candidate]]-SamplingData[[#Totals],[Candidate 7]]), 0)</f>
        <v>0</v>
      </c>
      <c r="W719" s="99">
        <f>IF(AND(SamplingData[[#This Row],[Total]]&lt;&gt; 0, NOT(ISBLANK(SamplingData[[#This Row],[Candidate 8]]))),(SamplingData[[#This Row],[Total]]+SamplingData[[#This Row],[Winning Candidate]]-SamplingData[[#This Row],[Candidate 8]])/(SamplingData[[#Totals],[Winning Candidate]]-SamplingData[[#Totals],[Candidate 8]]), 0)</f>
        <v>0</v>
      </c>
      <c r="X7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9" s="99">
        <f>MAX(SamplingData[[#This Row],[Error Bound (up) - Max. possible relative overstatement - Losing Candidate]:[Error Bound (up) - Max. possible relative overstatement - Candidate 12]])</f>
        <v>1.9563741300288574E-2</v>
      </c>
      <c r="AC719" s="99">
        <f>IF(SamplingData[[#This Row],[Max Error Bound (up)]] = 0,0,SamplingData[[#This Row],[Max Error Bound (up)]]/SamplingData[[#Totals],[Max Error Bound (up)]])</f>
        <v>1.0474606463809226E-3</v>
      </c>
      <c r="AD719" s="103">
        <f>SUM($AC$5:AC719)</f>
        <v>0.63571772639691848</v>
      </c>
      <c r="AE719" s="99" t="str" cm="1">
        <f t="array" ref="AE719">IF(SamplingData[[#This Row],[up/U Selection Probability]] = 0, "Zero", TEXT(SamplingData[[#This Row],[Lower Range]], REPT("0",LEN('General Info'!$B$42))) &amp; " - " &amp; TEXT(SamplingData[[#This Row],[Upper Range]], REPT("0",LEN('General Info'!$B$42))))</f>
        <v>634670 - 635717</v>
      </c>
      <c r="AF719" s="99">
        <f>SamplingData[[#This Row],[Upper Range]]-SamplingData[[#This Row],[Span]]</f>
        <v>634670.26575053763</v>
      </c>
      <c r="AG719" s="99">
        <f>IF(ISNUMBER('General Info'!$B$42), ((SamplingData[[#This Row],[up/U Selection Probability]]) * 'General Info'!$B$44) - 1, 0)</f>
        <v>1046.4606463809225</v>
      </c>
      <c r="AH719" s="99">
        <f>IF(ISNUMBER('General Info'!$B$42), (SamplingData[[#This Row],[Running (cumulative) sum]] * ('General Info'!$B$42 -'General Info'!$B$43 + 1)) + 'General Info'!$B$43 - 1, 0)</f>
        <v>635716.72639691853</v>
      </c>
      <c r="AI719" s="99" t="str">
        <f>IF(ISERROR(MATCH(SamplingData[[#This Row],[Batch by Type (p)]],SelectedPrecincts[Batch Name], 0)), "", INDEX(SelectedPrecincts[Draw], MATCH(SamplingData[[#This Row],[Batch by Type (p)]],SelectedPrecincts[Batch Name], 0)))</f>
        <v/>
      </c>
      <c r="AJ719" s="100">
        <f>IF(COUNTIF(SelectedPrecincts[Batch Name],SamplingData[[#This Row],[Batch by Type (p)]]) &lt;&gt; 0, COUNTIF(SelectedPrecincts[Batch Name],SamplingData[[#This Row],[Batch by Type (p)]]), 0)</f>
        <v>0</v>
      </c>
    </row>
    <row r="720" spans="1:36" ht="15" customHeight="1" x14ac:dyDescent="0.35">
      <c r="A720" s="97" t="s">
        <v>933</v>
      </c>
      <c r="B720" s="97">
        <v>300</v>
      </c>
      <c r="C720" s="97">
        <v>196</v>
      </c>
      <c r="D720" s="92"/>
      <c r="E720" s="92"/>
      <c r="F720" s="92"/>
      <c r="G720" s="96"/>
      <c r="H720" s="96"/>
      <c r="I720" s="92"/>
      <c r="J720" s="92"/>
      <c r="K720" s="92"/>
      <c r="L720" s="92"/>
      <c r="M720" s="92"/>
      <c r="N720" s="97">
        <v>0</v>
      </c>
      <c r="O720" s="97">
        <v>33</v>
      </c>
      <c r="P720" s="98">
        <f>SUM(SamplingData[[#This Row],[Winning Candidate]:[Under Votes]])</f>
        <v>529</v>
      </c>
      <c r="Q720" s="99">
        <f>IF(AND(SamplingData[[#This Row],[Total]]&lt;&gt; 0, NOT(ISBLANK(SamplingData[[#This Row],[Losing Candidate]]))),(SamplingData[[#This Row],[Total]]+SamplingData[[#This Row],[Winning Candidate]]-SamplingData[[#This Row],[Losing Candidate]])/(SamplingData[[#Totals],[Winning Candidate]]-SamplingData[[#Totals],[Losing Candidate]]), 0)</f>
        <v>2.6863011373281277E-2</v>
      </c>
      <c r="R720" s="99">
        <f>IF(AND(SamplingData[[#This Row],[Total]]&lt;&gt; 0, NOT(ISBLANK(SamplingData[[#This Row],[Candidate 3]]))),(SamplingData[[#This Row],[Total]]+SamplingData[[#This Row],[Winning Candidate]]-SamplingData[[#This Row],[Candidate 3]])/(SamplingData[[#Totals],[Winning Candidate]]-SamplingData[[#Totals],[Candidate 3]]), 0)</f>
        <v>0</v>
      </c>
      <c r="S720" s="99">
        <f>IF(AND(SamplingData[[#This Row],[Total]]&lt;&gt; 0, NOT(ISBLANK(SamplingData[[#This Row],[Candidate 4]]))),(SamplingData[[#This Row],[Total]]+SamplingData[[#This Row],[Winning Candidate]]-SamplingData[[#This Row],[Candidate 4]])/(SamplingData[[#Totals],[Winning Candidate]]-SamplingData[[#Totals],[Candidate 4]]), 0)</f>
        <v>0</v>
      </c>
      <c r="T720" s="99">
        <f>IF(AND(SamplingData[[#This Row],[Total]]&lt;&gt; 0, NOT(ISBLANK(SamplingData[[#This Row],[Candidate 5]]))),(SamplingData[[#This Row],[Total]]+SamplingData[[#This Row],[Winning Candidate]]-SamplingData[[#This Row],[Candidate 5]])/(SamplingData[[#Totals],[Winning Candidate]]-SamplingData[[#Totals],[Candidate 5]]), 0)</f>
        <v>0</v>
      </c>
      <c r="U720" s="99">
        <f>IF(AND(SamplingData[[#This Row],[Total]]&lt;&gt; 0, NOT(ISBLANK(SamplingData[[#This Row],[Candidate 6]]))),(SamplingData[[#This Row],[Total]]+SamplingData[[#This Row],[Losing Candidate]]-SamplingData[[#This Row],[Candidate 6]])/(SamplingData[[#Totals],[Winning Candidate]]-SamplingData[[#Totals],[Candidate 6]]), 0)</f>
        <v>0</v>
      </c>
      <c r="V720" s="99">
        <f>IF(AND(SamplingData[[#This Row],[Total]]&lt;&gt; 0, NOT(ISBLANK(SamplingData[[#This Row],[Candidate 7]]))),(SamplingData[[#This Row],[Total]]+SamplingData[[#This Row],[Winning Candidate]]-SamplingData[[#This Row],[Candidate 7]])/(SamplingData[[#Totals],[Winning Candidate]]-SamplingData[[#Totals],[Candidate 7]]), 0)</f>
        <v>0</v>
      </c>
      <c r="W720" s="99">
        <f>IF(AND(SamplingData[[#This Row],[Total]]&lt;&gt; 0, NOT(ISBLANK(SamplingData[[#This Row],[Candidate 8]]))),(SamplingData[[#This Row],[Total]]+SamplingData[[#This Row],[Winning Candidate]]-SamplingData[[#This Row],[Candidate 8]])/(SamplingData[[#Totals],[Winning Candidate]]-SamplingData[[#Totals],[Candidate 8]]), 0)</f>
        <v>0</v>
      </c>
      <c r="X7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0" s="99">
        <f>MAX(SamplingData[[#This Row],[Error Bound (up) - Max. possible relative overstatement - Losing Candidate]:[Error Bound (up) - Max. possible relative overstatement - Candidate 12]])</f>
        <v>2.6863011373281277E-2</v>
      </c>
      <c r="AC720" s="99">
        <f>IF(SamplingData[[#This Row],[Max Error Bound (up)]] = 0,0,SamplingData[[#This Row],[Max Error Bound (up)]]/SamplingData[[#Totals],[Max Error Bound (up)]])</f>
        <v>1.4382702584796615E-3</v>
      </c>
      <c r="AD720" s="103">
        <f>SUM($AC$5:AC720)</f>
        <v>0.63715599665539813</v>
      </c>
      <c r="AE720" s="99" t="str" cm="1">
        <f t="array" ref="AE720">IF(SamplingData[[#This Row],[up/U Selection Probability]] = 0, "Zero", TEXT(SamplingData[[#This Row],[Lower Range]], REPT("0",LEN('General Info'!$B$42))) &amp; " - " &amp; TEXT(SamplingData[[#This Row],[Upper Range]], REPT("0",LEN('General Info'!$B$42))))</f>
        <v>635718 - 637155</v>
      </c>
      <c r="AF720" s="99">
        <f>SamplingData[[#This Row],[Upper Range]]-SamplingData[[#This Row],[Span]]</f>
        <v>635717.72639691853</v>
      </c>
      <c r="AG720" s="99">
        <f>IF(ISNUMBER('General Info'!$B$42), ((SamplingData[[#This Row],[up/U Selection Probability]]) * 'General Info'!$B$44) - 1, 0)</f>
        <v>1437.2702584796614</v>
      </c>
      <c r="AH720" s="99">
        <f>IF(ISNUMBER('General Info'!$B$42), (SamplingData[[#This Row],[Running (cumulative) sum]] * ('General Info'!$B$42 -'General Info'!$B$43 + 1)) + 'General Info'!$B$43 - 1, 0)</f>
        <v>637154.99665539816</v>
      </c>
      <c r="AI720" s="99" t="str">
        <f>IF(ISERROR(MATCH(SamplingData[[#This Row],[Batch by Type (p)]],SelectedPrecincts[Batch Name], 0)), "", INDEX(SelectedPrecincts[Draw], MATCH(SamplingData[[#This Row],[Batch by Type (p)]],SelectedPrecincts[Batch Name], 0)))</f>
        <v/>
      </c>
      <c r="AJ720" s="100">
        <f>IF(COUNTIF(SelectedPrecincts[Batch Name],SamplingData[[#This Row],[Batch by Type (p)]]) &lt;&gt; 0, COUNTIF(SelectedPrecincts[Batch Name],SamplingData[[#This Row],[Batch by Type (p)]]), 0)</f>
        <v>0</v>
      </c>
    </row>
    <row r="721" spans="1:36" ht="15" customHeight="1" x14ac:dyDescent="0.35">
      <c r="A721" s="97" t="s">
        <v>934</v>
      </c>
      <c r="B721" s="97">
        <v>175</v>
      </c>
      <c r="C721" s="97">
        <v>20</v>
      </c>
      <c r="D721" s="92"/>
      <c r="E721" s="92"/>
      <c r="F721" s="92"/>
      <c r="G721" s="96"/>
      <c r="H721" s="96"/>
      <c r="I721" s="92"/>
      <c r="J721" s="92"/>
      <c r="K721" s="92"/>
      <c r="L721" s="92"/>
      <c r="M721" s="92"/>
      <c r="N721" s="97">
        <v>0</v>
      </c>
      <c r="O721" s="97">
        <v>9</v>
      </c>
      <c r="P721" s="98">
        <f>SUM(SamplingData[[#This Row],[Winning Candidate]:[Under Votes]])</f>
        <v>204</v>
      </c>
      <c r="Q721" s="99">
        <f>IF(AND(SamplingData[[#This Row],[Total]]&lt;&gt; 0, NOT(ISBLANK(SamplingData[[#This Row],[Losing Candidate]]))),(SamplingData[[#This Row],[Total]]+SamplingData[[#This Row],[Winning Candidate]]-SamplingData[[#This Row],[Losing Candidate]])/(SamplingData[[#Totals],[Winning Candidate]]-SamplingData[[#Totals],[Losing Candidate]]), 0)</f>
        <v>1.5235104396537091E-2</v>
      </c>
      <c r="R721" s="99">
        <f>IF(AND(SamplingData[[#This Row],[Total]]&lt;&gt; 0, NOT(ISBLANK(SamplingData[[#This Row],[Candidate 3]]))),(SamplingData[[#This Row],[Total]]+SamplingData[[#This Row],[Winning Candidate]]-SamplingData[[#This Row],[Candidate 3]])/(SamplingData[[#Totals],[Winning Candidate]]-SamplingData[[#Totals],[Candidate 3]]), 0)</f>
        <v>0</v>
      </c>
      <c r="S721" s="99">
        <f>IF(AND(SamplingData[[#This Row],[Total]]&lt;&gt; 0, NOT(ISBLANK(SamplingData[[#This Row],[Candidate 4]]))),(SamplingData[[#This Row],[Total]]+SamplingData[[#This Row],[Winning Candidate]]-SamplingData[[#This Row],[Candidate 4]])/(SamplingData[[#Totals],[Winning Candidate]]-SamplingData[[#Totals],[Candidate 4]]), 0)</f>
        <v>0</v>
      </c>
      <c r="T721" s="99">
        <f>IF(AND(SamplingData[[#This Row],[Total]]&lt;&gt; 0, NOT(ISBLANK(SamplingData[[#This Row],[Candidate 5]]))),(SamplingData[[#This Row],[Total]]+SamplingData[[#This Row],[Winning Candidate]]-SamplingData[[#This Row],[Candidate 5]])/(SamplingData[[#Totals],[Winning Candidate]]-SamplingData[[#Totals],[Candidate 5]]), 0)</f>
        <v>0</v>
      </c>
      <c r="U721" s="99">
        <f>IF(AND(SamplingData[[#This Row],[Total]]&lt;&gt; 0, NOT(ISBLANK(SamplingData[[#This Row],[Candidate 6]]))),(SamplingData[[#This Row],[Total]]+SamplingData[[#This Row],[Losing Candidate]]-SamplingData[[#This Row],[Candidate 6]])/(SamplingData[[#Totals],[Winning Candidate]]-SamplingData[[#Totals],[Candidate 6]]), 0)</f>
        <v>0</v>
      </c>
      <c r="V721" s="99">
        <f>IF(AND(SamplingData[[#This Row],[Total]]&lt;&gt; 0, NOT(ISBLANK(SamplingData[[#This Row],[Candidate 7]]))),(SamplingData[[#This Row],[Total]]+SamplingData[[#This Row],[Winning Candidate]]-SamplingData[[#This Row],[Candidate 7]])/(SamplingData[[#Totals],[Winning Candidate]]-SamplingData[[#Totals],[Candidate 7]]), 0)</f>
        <v>0</v>
      </c>
      <c r="W721" s="99">
        <f>IF(AND(SamplingData[[#This Row],[Total]]&lt;&gt; 0, NOT(ISBLANK(SamplingData[[#This Row],[Candidate 8]]))),(SamplingData[[#This Row],[Total]]+SamplingData[[#This Row],[Winning Candidate]]-SamplingData[[#This Row],[Candidate 8]])/(SamplingData[[#Totals],[Winning Candidate]]-SamplingData[[#Totals],[Candidate 8]]), 0)</f>
        <v>0</v>
      </c>
      <c r="X7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1" s="99">
        <f>MAX(SamplingData[[#This Row],[Error Bound (up) - Max. possible relative overstatement - Losing Candidate]:[Error Bound (up) - Max. possible relative overstatement - Candidate 12]])</f>
        <v>1.5235104396537091E-2</v>
      </c>
      <c r="AC721" s="99">
        <f>IF(SamplingData[[#This Row],[Max Error Bound (up)]] = 0,0,SamplingData[[#This Row],[Max Error Bound (up)]]/SamplingData[[#Totals],[Max Error Bound (up)]])</f>
        <v>8.1570145781074011E-4</v>
      </c>
      <c r="AD721" s="103">
        <f>SUM($AC$5:AC721)</f>
        <v>0.63797169811320886</v>
      </c>
      <c r="AE721" s="99" t="str" cm="1">
        <f t="array" ref="AE721">IF(SamplingData[[#This Row],[up/U Selection Probability]] = 0, "Zero", TEXT(SamplingData[[#This Row],[Lower Range]], REPT("0",LEN('General Info'!$B$42))) &amp; " - " &amp; TEXT(SamplingData[[#This Row],[Upper Range]], REPT("0",LEN('General Info'!$B$42))))</f>
        <v>637156 - 637971</v>
      </c>
      <c r="AF721" s="99">
        <f>SamplingData[[#This Row],[Upper Range]]-SamplingData[[#This Row],[Span]]</f>
        <v>637155.99665539816</v>
      </c>
      <c r="AG721" s="99">
        <f>IF(ISNUMBER('General Info'!$B$42), ((SamplingData[[#This Row],[up/U Selection Probability]]) * 'General Info'!$B$44) - 1, 0)</f>
        <v>814.70145781074007</v>
      </c>
      <c r="AH721" s="99">
        <f>IF(ISNUMBER('General Info'!$B$42), (SamplingData[[#This Row],[Running (cumulative) sum]] * ('General Info'!$B$42 -'General Info'!$B$43 + 1)) + 'General Info'!$B$43 - 1, 0)</f>
        <v>637970.69811320887</v>
      </c>
      <c r="AI721" s="99" t="str">
        <f>IF(ISERROR(MATCH(SamplingData[[#This Row],[Batch by Type (p)]],SelectedPrecincts[Batch Name], 0)), "", INDEX(SelectedPrecincts[Draw], MATCH(SamplingData[[#This Row],[Batch by Type (p)]],SelectedPrecincts[Batch Name], 0)))</f>
        <v/>
      </c>
      <c r="AJ721" s="100">
        <f>IF(COUNTIF(SelectedPrecincts[Batch Name],SamplingData[[#This Row],[Batch by Type (p)]]) &lt;&gt; 0, COUNTIF(SelectedPrecincts[Batch Name],SamplingData[[#This Row],[Batch by Type (p)]]), 0)</f>
        <v>0</v>
      </c>
    </row>
    <row r="722" spans="1:36" ht="15" customHeight="1" x14ac:dyDescent="0.35">
      <c r="A722" s="97" t="s">
        <v>935</v>
      </c>
      <c r="B722" s="97">
        <v>185</v>
      </c>
      <c r="C722" s="97">
        <v>32</v>
      </c>
      <c r="D722" s="92"/>
      <c r="E722" s="92"/>
      <c r="F722" s="92"/>
      <c r="G722" s="96"/>
      <c r="H722" s="96"/>
      <c r="I722" s="92"/>
      <c r="J722" s="92"/>
      <c r="K722" s="92"/>
      <c r="L722" s="92"/>
      <c r="M722" s="92"/>
      <c r="N722" s="97">
        <v>1</v>
      </c>
      <c r="O722" s="97">
        <v>10</v>
      </c>
      <c r="P722" s="98">
        <f>SUM(SamplingData[[#This Row],[Winning Candidate]:[Under Votes]])</f>
        <v>228</v>
      </c>
      <c r="Q722" s="99">
        <f>IF(AND(SamplingData[[#This Row],[Total]]&lt;&gt; 0, NOT(ISBLANK(SamplingData[[#This Row],[Losing Candidate]]))),(SamplingData[[#This Row],[Total]]+SamplingData[[#This Row],[Winning Candidate]]-SamplingData[[#This Row],[Losing Candidate]])/(SamplingData[[#Totals],[Winning Candidate]]-SamplingData[[#Totals],[Losing Candidate]]), 0)</f>
        <v>1.6168731964012899E-2</v>
      </c>
      <c r="R722" s="99">
        <f>IF(AND(SamplingData[[#This Row],[Total]]&lt;&gt; 0, NOT(ISBLANK(SamplingData[[#This Row],[Candidate 3]]))),(SamplingData[[#This Row],[Total]]+SamplingData[[#This Row],[Winning Candidate]]-SamplingData[[#This Row],[Candidate 3]])/(SamplingData[[#Totals],[Winning Candidate]]-SamplingData[[#Totals],[Candidate 3]]), 0)</f>
        <v>0</v>
      </c>
      <c r="S722" s="99">
        <f>IF(AND(SamplingData[[#This Row],[Total]]&lt;&gt; 0, NOT(ISBLANK(SamplingData[[#This Row],[Candidate 4]]))),(SamplingData[[#This Row],[Total]]+SamplingData[[#This Row],[Winning Candidate]]-SamplingData[[#This Row],[Candidate 4]])/(SamplingData[[#Totals],[Winning Candidate]]-SamplingData[[#Totals],[Candidate 4]]), 0)</f>
        <v>0</v>
      </c>
      <c r="T722" s="99">
        <f>IF(AND(SamplingData[[#This Row],[Total]]&lt;&gt; 0, NOT(ISBLANK(SamplingData[[#This Row],[Candidate 5]]))),(SamplingData[[#This Row],[Total]]+SamplingData[[#This Row],[Winning Candidate]]-SamplingData[[#This Row],[Candidate 5]])/(SamplingData[[#Totals],[Winning Candidate]]-SamplingData[[#Totals],[Candidate 5]]), 0)</f>
        <v>0</v>
      </c>
      <c r="U722" s="99">
        <f>IF(AND(SamplingData[[#This Row],[Total]]&lt;&gt; 0, NOT(ISBLANK(SamplingData[[#This Row],[Candidate 6]]))),(SamplingData[[#This Row],[Total]]+SamplingData[[#This Row],[Losing Candidate]]-SamplingData[[#This Row],[Candidate 6]])/(SamplingData[[#Totals],[Winning Candidate]]-SamplingData[[#Totals],[Candidate 6]]), 0)</f>
        <v>0</v>
      </c>
      <c r="V722" s="99">
        <f>IF(AND(SamplingData[[#This Row],[Total]]&lt;&gt; 0, NOT(ISBLANK(SamplingData[[#This Row],[Candidate 7]]))),(SamplingData[[#This Row],[Total]]+SamplingData[[#This Row],[Winning Candidate]]-SamplingData[[#This Row],[Candidate 7]])/(SamplingData[[#Totals],[Winning Candidate]]-SamplingData[[#Totals],[Candidate 7]]), 0)</f>
        <v>0</v>
      </c>
      <c r="W722" s="99">
        <f>IF(AND(SamplingData[[#This Row],[Total]]&lt;&gt; 0, NOT(ISBLANK(SamplingData[[#This Row],[Candidate 8]]))),(SamplingData[[#This Row],[Total]]+SamplingData[[#This Row],[Winning Candidate]]-SamplingData[[#This Row],[Candidate 8]])/(SamplingData[[#Totals],[Winning Candidate]]-SamplingData[[#Totals],[Candidate 8]]), 0)</f>
        <v>0</v>
      </c>
      <c r="X7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2" s="99">
        <f>MAX(SamplingData[[#This Row],[Error Bound (up) - Max. possible relative overstatement - Losing Candidate]:[Error Bound (up) - Max. possible relative overstatement - Candidate 12]])</f>
        <v>1.6168731964012899E-2</v>
      </c>
      <c r="AC722" s="99">
        <f>IF(SamplingData[[#This Row],[Max Error Bound (up)]] = 0,0,SamplingData[[#This Row],[Max Error Bound (up)]]/SamplingData[[#Totals],[Max Error Bound (up)]])</f>
        <v>8.6568873377685783E-4</v>
      </c>
      <c r="AD722" s="103">
        <f>SUM($AC$5:AC722)</f>
        <v>0.63883738684698577</v>
      </c>
      <c r="AE722" s="99" t="str" cm="1">
        <f t="array" ref="AE722">IF(SamplingData[[#This Row],[up/U Selection Probability]] = 0, "Zero", TEXT(SamplingData[[#This Row],[Lower Range]], REPT("0",LEN('General Info'!$B$42))) &amp; " - " &amp; TEXT(SamplingData[[#This Row],[Upper Range]], REPT("0",LEN('General Info'!$B$42))))</f>
        <v>637972 - 638836</v>
      </c>
      <c r="AF722" s="99">
        <f>SamplingData[[#This Row],[Upper Range]]-SamplingData[[#This Row],[Span]]</f>
        <v>637971.69811320887</v>
      </c>
      <c r="AG722" s="99">
        <f>IF(ISNUMBER('General Info'!$B$42), ((SamplingData[[#This Row],[up/U Selection Probability]]) * 'General Info'!$B$44) - 1, 0)</f>
        <v>864.68873377685782</v>
      </c>
      <c r="AH722" s="99">
        <f>IF(ISNUMBER('General Info'!$B$42), (SamplingData[[#This Row],[Running (cumulative) sum]] * ('General Info'!$B$42 -'General Info'!$B$43 + 1)) + 'General Info'!$B$43 - 1, 0)</f>
        <v>638836.38684698578</v>
      </c>
      <c r="AI722" s="99" t="str">
        <f>IF(ISERROR(MATCH(SamplingData[[#This Row],[Batch by Type (p)]],SelectedPrecincts[Batch Name], 0)), "", INDEX(SelectedPrecincts[Draw], MATCH(SamplingData[[#This Row],[Batch by Type (p)]],SelectedPrecincts[Batch Name], 0)))</f>
        <v/>
      </c>
      <c r="AJ722" s="100">
        <f>IF(COUNTIF(SelectedPrecincts[Batch Name],SamplingData[[#This Row],[Batch by Type (p)]]) &lt;&gt; 0, COUNTIF(SelectedPrecincts[Batch Name],SamplingData[[#This Row],[Batch by Type (p)]]), 0)</f>
        <v>0</v>
      </c>
    </row>
    <row r="723" spans="1:36" ht="15" customHeight="1" x14ac:dyDescent="0.35">
      <c r="A723" s="97" t="s">
        <v>936</v>
      </c>
      <c r="B723" s="97">
        <v>286</v>
      </c>
      <c r="C723" s="97">
        <v>225</v>
      </c>
      <c r="D723" s="92"/>
      <c r="E723" s="92"/>
      <c r="F723" s="92"/>
      <c r="G723" s="96"/>
      <c r="H723" s="96"/>
      <c r="I723" s="92"/>
      <c r="J723" s="92"/>
      <c r="K723" s="92"/>
      <c r="L723" s="92"/>
      <c r="M723" s="92"/>
      <c r="N723" s="97">
        <v>0</v>
      </c>
      <c r="O723" s="97">
        <v>39</v>
      </c>
      <c r="P723" s="98">
        <f>SUM(SamplingData[[#This Row],[Winning Candidate]:[Under Votes]])</f>
        <v>550</v>
      </c>
      <c r="Q723" s="99">
        <f>IF(AND(SamplingData[[#This Row],[Total]]&lt;&gt; 0, NOT(ISBLANK(SamplingData[[#This Row],[Losing Candidate]]))),(SamplingData[[#This Row],[Total]]+SamplingData[[#This Row],[Winning Candidate]]-SamplingData[[#This Row],[Losing Candidate]])/(SamplingData[[#Totals],[Winning Candidate]]-SamplingData[[#Totals],[Losing Candidate]]), 0)</f>
        <v>2.5929383805805464E-2</v>
      </c>
      <c r="R723" s="99">
        <f>IF(AND(SamplingData[[#This Row],[Total]]&lt;&gt; 0, NOT(ISBLANK(SamplingData[[#This Row],[Candidate 3]]))),(SamplingData[[#This Row],[Total]]+SamplingData[[#This Row],[Winning Candidate]]-SamplingData[[#This Row],[Candidate 3]])/(SamplingData[[#Totals],[Winning Candidate]]-SamplingData[[#Totals],[Candidate 3]]), 0)</f>
        <v>0</v>
      </c>
      <c r="S723" s="99">
        <f>IF(AND(SamplingData[[#This Row],[Total]]&lt;&gt; 0, NOT(ISBLANK(SamplingData[[#This Row],[Candidate 4]]))),(SamplingData[[#This Row],[Total]]+SamplingData[[#This Row],[Winning Candidate]]-SamplingData[[#This Row],[Candidate 4]])/(SamplingData[[#Totals],[Winning Candidate]]-SamplingData[[#Totals],[Candidate 4]]), 0)</f>
        <v>0</v>
      </c>
      <c r="T723" s="99">
        <f>IF(AND(SamplingData[[#This Row],[Total]]&lt;&gt; 0, NOT(ISBLANK(SamplingData[[#This Row],[Candidate 5]]))),(SamplingData[[#This Row],[Total]]+SamplingData[[#This Row],[Winning Candidate]]-SamplingData[[#This Row],[Candidate 5]])/(SamplingData[[#Totals],[Winning Candidate]]-SamplingData[[#Totals],[Candidate 5]]), 0)</f>
        <v>0</v>
      </c>
      <c r="U723" s="99">
        <f>IF(AND(SamplingData[[#This Row],[Total]]&lt;&gt; 0, NOT(ISBLANK(SamplingData[[#This Row],[Candidate 6]]))),(SamplingData[[#This Row],[Total]]+SamplingData[[#This Row],[Losing Candidate]]-SamplingData[[#This Row],[Candidate 6]])/(SamplingData[[#Totals],[Winning Candidate]]-SamplingData[[#Totals],[Candidate 6]]), 0)</f>
        <v>0</v>
      </c>
      <c r="V723" s="99">
        <f>IF(AND(SamplingData[[#This Row],[Total]]&lt;&gt; 0, NOT(ISBLANK(SamplingData[[#This Row],[Candidate 7]]))),(SamplingData[[#This Row],[Total]]+SamplingData[[#This Row],[Winning Candidate]]-SamplingData[[#This Row],[Candidate 7]])/(SamplingData[[#Totals],[Winning Candidate]]-SamplingData[[#Totals],[Candidate 7]]), 0)</f>
        <v>0</v>
      </c>
      <c r="W723" s="99">
        <f>IF(AND(SamplingData[[#This Row],[Total]]&lt;&gt; 0, NOT(ISBLANK(SamplingData[[#This Row],[Candidate 8]]))),(SamplingData[[#This Row],[Total]]+SamplingData[[#This Row],[Winning Candidate]]-SamplingData[[#This Row],[Candidate 8]])/(SamplingData[[#Totals],[Winning Candidate]]-SamplingData[[#Totals],[Candidate 8]]), 0)</f>
        <v>0</v>
      </c>
      <c r="X7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3" s="99">
        <f>MAX(SamplingData[[#This Row],[Error Bound (up) - Max. possible relative overstatement - Losing Candidate]:[Error Bound (up) - Max. possible relative overstatement - Candidate 12]])</f>
        <v>2.5929383805805464E-2</v>
      </c>
      <c r="AC723" s="99">
        <f>IF(SamplingData[[#This Row],[Max Error Bound (up)]] = 0,0,SamplingData[[#This Row],[Max Error Bound (up)]]/SamplingData[[#Totals],[Max Error Bound (up)]])</f>
        <v>1.3882829825135436E-3</v>
      </c>
      <c r="AD723" s="103">
        <f>SUM($AC$5:AC723)</f>
        <v>0.64022566982949936</v>
      </c>
      <c r="AE723" s="99" t="str" cm="1">
        <f t="array" ref="AE723">IF(SamplingData[[#This Row],[up/U Selection Probability]] = 0, "Zero", TEXT(SamplingData[[#This Row],[Lower Range]], REPT("0",LEN('General Info'!$B$42))) &amp; " - " &amp; TEXT(SamplingData[[#This Row],[Upper Range]], REPT("0",LEN('General Info'!$B$42))))</f>
        <v>638837 - 640225</v>
      </c>
      <c r="AF723" s="99">
        <f>SamplingData[[#This Row],[Upper Range]]-SamplingData[[#This Row],[Span]]</f>
        <v>638837.38684698578</v>
      </c>
      <c r="AG723" s="99">
        <f>IF(ISNUMBER('General Info'!$B$42), ((SamplingData[[#This Row],[up/U Selection Probability]]) * 'General Info'!$B$44) - 1, 0)</f>
        <v>1387.2829825135436</v>
      </c>
      <c r="AH723" s="99">
        <f>IF(ISNUMBER('General Info'!$B$42), (SamplingData[[#This Row],[Running (cumulative) sum]] * ('General Info'!$B$42 -'General Info'!$B$43 + 1)) + 'General Info'!$B$43 - 1, 0)</f>
        <v>640224.66982949933</v>
      </c>
      <c r="AI723" s="99" t="str">
        <f>IF(ISERROR(MATCH(SamplingData[[#This Row],[Batch by Type (p)]],SelectedPrecincts[Batch Name], 0)), "", INDEX(SelectedPrecincts[Draw], MATCH(SamplingData[[#This Row],[Batch by Type (p)]],SelectedPrecincts[Batch Name], 0)))</f>
        <v/>
      </c>
      <c r="AJ723" s="100">
        <f>IF(COUNTIF(SelectedPrecincts[Batch Name],SamplingData[[#This Row],[Batch by Type (p)]]) &lt;&gt; 0, COUNTIF(SelectedPrecincts[Batch Name],SamplingData[[#This Row],[Batch by Type (p)]]), 0)</f>
        <v>0</v>
      </c>
    </row>
    <row r="724" spans="1:36" ht="15" customHeight="1" x14ac:dyDescent="0.35">
      <c r="A724" s="97" t="s">
        <v>937</v>
      </c>
      <c r="B724" s="97">
        <v>80</v>
      </c>
      <c r="C724" s="97">
        <v>5</v>
      </c>
      <c r="D724" s="92"/>
      <c r="E724" s="92"/>
      <c r="F724" s="92"/>
      <c r="G724" s="96"/>
      <c r="H724" s="96"/>
      <c r="I724" s="92"/>
      <c r="J724" s="92"/>
      <c r="K724" s="92"/>
      <c r="L724" s="92"/>
      <c r="M724" s="92"/>
      <c r="N724" s="97">
        <v>0</v>
      </c>
      <c r="O724" s="97">
        <v>8</v>
      </c>
      <c r="P724" s="98">
        <f>SUM(SamplingData[[#This Row],[Winning Candidate]:[Under Votes]])</f>
        <v>93</v>
      </c>
      <c r="Q724" s="99">
        <f>IF(AND(SamplingData[[#This Row],[Total]]&lt;&gt; 0, NOT(ISBLANK(SamplingData[[#This Row],[Losing Candidate]]))),(SamplingData[[#This Row],[Total]]+SamplingData[[#This Row],[Winning Candidate]]-SamplingData[[#This Row],[Losing Candidate]])/(SamplingData[[#Totals],[Winning Candidate]]-SamplingData[[#Totals],[Losing Candidate]]), 0)</f>
        <v>7.1295196061789169E-3</v>
      </c>
      <c r="R724" s="99">
        <f>IF(AND(SamplingData[[#This Row],[Total]]&lt;&gt; 0, NOT(ISBLANK(SamplingData[[#This Row],[Candidate 3]]))),(SamplingData[[#This Row],[Total]]+SamplingData[[#This Row],[Winning Candidate]]-SamplingData[[#This Row],[Candidate 3]])/(SamplingData[[#Totals],[Winning Candidate]]-SamplingData[[#Totals],[Candidate 3]]), 0)</f>
        <v>0</v>
      </c>
      <c r="S724" s="99">
        <f>IF(AND(SamplingData[[#This Row],[Total]]&lt;&gt; 0, NOT(ISBLANK(SamplingData[[#This Row],[Candidate 4]]))),(SamplingData[[#This Row],[Total]]+SamplingData[[#This Row],[Winning Candidate]]-SamplingData[[#This Row],[Candidate 4]])/(SamplingData[[#Totals],[Winning Candidate]]-SamplingData[[#Totals],[Candidate 4]]), 0)</f>
        <v>0</v>
      </c>
      <c r="T724" s="99">
        <f>IF(AND(SamplingData[[#This Row],[Total]]&lt;&gt; 0, NOT(ISBLANK(SamplingData[[#This Row],[Candidate 5]]))),(SamplingData[[#This Row],[Total]]+SamplingData[[#This Row],[Winning Candidate]]-SamplingData[[#This Row],[Candidate 5]])/(SamplingData[[#Totals],[Winning Candidate]]-SamplingData[[#Totals],[Candidate 5]]), 0)</f>
        <v>0</v>
      </c>
      <c r="U724" s="99">
        <f>IF(AND(SamplingData[[#This Row],[Total]]&lt;&gt; 0, NOT(ISBLANK(SamplingData[[#This Row],[Candidate 6]]))),(SamplingData[[#This Row],[Total]]+SamplingData[[#This Row],[Losing Candidate]]-SamplingData[[#This Row],[Candidate 6]])/(SamplingData[[#Totals],[Winning Candidate]]-SamplingData[[#Totals],[Candidate 6]]), 0)</f>
        <v>0</v>
      </c>
      <c r="V724" s="99">
        <f>IF(AND(SamplingData[[#This Row],[Total]]&lt;&gt; 0, NOT(ISBLANK(SamplingData[[#This Row],[Candidate 7]]))),(SamplingData[[#This Row],[Total]]+SamplingData[[#This Row],[Winning Candidate]]-SamplingData[[#This Row],[Candidate 7]])/(SamplingData[[#Totals],[Winning Candidate]]-SamplingData[[#Totals],[Candidate 7]]), 0)</f>
        <v>0</v>
      </c>
      <c r="W724" s="99">
        <f>IF(AND(SamplingData[[#This Row],[Total]]&lt;&gt; 0, NOT(ISBLANK(SamplingData[[#This Row],[Candidate 8]]))),(SamplingData[[#This Row],[Total]]+SamplingData[[#This Row],[Winning Candidate]]-SamplingData[[#This Row],[Candidate 8]])/(SamplingData[[#Totals],[Winning Candidate]]-SamplingData[[#Totals],[Candidate 8]]), 0)</f>
        <v>0</v>
      </c>
      <c r="X7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4" s="99">
        <f>MAX(SamplingData[[#This Row],[Error Bound (up) - Max. possible relative overstatement - Losing Candidate]:[Error Bound (up) - Max. possible relative overstatement - Candidate 12]])</f>
        <v>7.1295196061789169E-3</v>
      </c>
      <c r="AC724" s="99">
        <f>IF(SamplingData[[#This Row],[Max Error Bound (up)]] = 0,0,SamplingData[[#This Row],[Max Error Bound (up)]]/SamplingData[[#Totals],[Max Error Bound (up)]])</f>
        <v>3.8172101646853575E-4</v>
      </c>
      <c r="AD724" s="103">
        <f>SUM($AC$5:AC724)</f>
        <v>0.64060739084596785</v>
      </c>
      <c r="AE724" s="99" t="str" cm="1">
        <f t="array" ref="AE724">IF(SamplingData[[#This Row],[up/U Selection Probability]] = 0, "Zero", TEXT(SamplingData[[#This Row],[Lower Range]], REPT("0",LEN('General Info'!$B$42))) &amp; " - " &amp; TEXT(SamplingData[[#This Row],[Upper Range]], REPT("0",LEN('General Info'!$B$42))))</f>
        <v>640226 - 640606</v>
      </c>
      <c r="AF724" s="99">
        <f>SamplingData[[#This Row],[Upper Range]]-SamplingData[[#This Row],[Span]]</f>
        <v>640225.66982949933</v>
      </c>
      <c r="AG724" s="99">
        <f>IF(ISNUMBER('General Info'!$B$42), ((SamplingData[[#This Row],[up/U Selection Probability]]) * 'General Info'!$B$44) - 1, 0)</f>
        <v>380.72101646853577</v>
      </c>
      <c r="AH724" s="99">
        <f>IF(ISNUMBER('General Info'!$B$42), (SamplingData[[#This Row],[Running (cumulative) sum]] * ('General Info'!$B$42 -'General Info'!$B$43 + 1)) + 'General Info'!$B$43 - 1, 0)</f>
        <v>640606.39084596781</v>
      </c>
      <c r="AI724" s="99" t="str">
        <f>IF(ISERROR(MATCH(SamplingData[[#This Row],[Batch by Type (p)]],SelectedPrecincts[Batch Name], 0)), "", INDEX(SelectedPrecincts[Draw], MATCH(SamplingData[[#This Row],[Batch by Type (p)]],SelectedPrecincts[Batch Name], 0)))</f>
        <v/>
      </c>
      <c r="AJ724" s="100">
        <f>IF(COUNTIF(SelectedPrecincts[Batch Name],SamplingData[[#This Row],[Batch by Type (p)]]) &lt;&gt; 0, COUNTIF(SelectedPrecincts[Batch Name],SamplingData[[#This Row],[Batch by Type (p)]]), 0)</f>
        <v>0</v>
      </c>
    </row>
    <row r="725" spans="1:36" ht="15" customHeight="1" x14ac:dyDescent="0.35">
      <c r="A725" s="97" t="s">
        <v>938</v>
      </c>
      <c r="B725" s="97">
        <v>117</v>
      </c>
      <c r="C725" s="97">
        <v>9</v>
      </c>
      <c r="D725" s="92"/>
      <c r="E725" s="92"/>
      <c r="F725" s="92"/>
      <c r="G725" s="96"/>
      <c r="H725" s="96"/>
      <c r="I725" s="92"/>
      <c r="J725" s="92"/>
      <c r="K725" s="92"/>
      <c r="L725" s="92"/>
      <c r="M725" s="92"/>
      <c r="N725" s="97">
        <v>1</v>
      </c>
      <c r="O725" s="97">
        <v>6</v>
      </c>
      <c r="P725" s="98">
        <f>SUM(SamplingData[[#This Row],[Winning Candidate]:[Under Votes]])</f>
        <v>133</v>
      </c>
      <c r="Q725" s="99">
        <f>IF(AND(SamplingData[[#This Row],[Total]]&lt;&gt; 0, NOT(ISBLANK(SamplingData[[#This Row],[Losing Candidate]]))),(SamplingData[[#This Row],[Total]]+SamplingData[[#This Row],[Winning Candidate]]-SamplingData[[#This Row],[Losing Candidate]])/(SamplingData[[#Totals],[Winning Candidate]]-SamplingData[[#Totals],[Losing Candidate]]), 0)</f>
        <v>1.0227465625530471E-2</v>
      </c>
      <c r="R725" s="99">
        <f>IF(AND(SamplingData[[#This Row],[Total]]&lt;&gt; 0, NOT(ISBLANK(SamplingData[[#This Row],[Candidate 3]]))),(SamplingData[[#This Row],[Total]]+SamplingData[[#This Row],[Winning Candidate]]-SamplingData[[#This Row],[Candidate 3]])/(SamplingData[[#Totals],[Winning Candidate]]-SamplingData[[#Totals],[Candidate 3]]), 0)</f>
        <v>0</v>
      </c>
      <c r="S725" s="99">
        <f>IF(AND(SamplingData[[#This Row],[Total]]&lt;&gt; 0, NOT(ISBLANK(SamplingData[[#This Row],[Candidate 4]]))),(SamplingData[[#This Row],[Total]]+SamplingData[[#This Row],[Winning Candidate]]-SamplingData[[#This Row],[Candidate 4]])/(SamplingData[[#Totals],[Winning Candidate]]-SamplingData[[#Totals],[Candidate 4]]), 0)</f>
        <v>0</v>
      </c>
      <c r="T725" s="99">
        <f>IF(AND(SamplingData[[#This Row],[Total]]&lt;&gt; 0, NOT(ISBLANK(SamplingData[[#This Row],[Candidate 5]]))),(SamplingData[[#This Row],[Total]]+SamplingData[[#This Row],[Winning Candidate]]-SamplingData[[#This Row],[Candidate 5]])/(SamplingData[[#Totals],[Winning Candidate]]-SamplingData[[#Totals],[Candidate 5]]), 0)</f>
        <v>0</v>
      </c>
      <c r="U725" s="99">
        <f>IF(AND(SamplingData[[#This Row],[Total]]&lt;&gt; 0, NOT(ISBLANK(SamplingData[[#This Row],[Candidate 6]]))),(SamplingData[[#This Row],[Total]]+SamplingData[[#This Row],[Losing Candidate]]-SamplingData[[#This Row],[Candidate 6]])/(SamplingData[[#Totals],[Winning Candidate]]-SamplingData[[#Totals],[Candidate 6]]), 0)</f>
        <v>0</v>
      </c>
      <c r="V725" s="99">
        <f>IF(AND(SamplingData[[#This Row],[Total]]&lt;&gt; 0, NOT(ISBLANK(SamplingData[[#This Row],[Candidate 7]]))),(SamplingData[[#This Row],[Total]]+SamplingData[[#This Row],[Winning Candidate]]-SamplingData[[#This Row],[Candidate 7]])/(SamplingData[[#Totals],[Winning Candidate]]-SamplingData[[#Totals],[Candidate 7]]), 0)</f>
        <v>0</v>
      </c>
      <c r="W725" s="99">
        <f>IF(AND(SamplingData[[#This Row],[Total]]&lt;&gt; 0, NOT(ISBLANK(SamplingData[[#This Row],[Candidate 8]]))),(SamplingData[[#This Row],[Total]]+SamplingData[[#This Row],[Winning Candidate]]-SamplingData[[#This Row],[Candidate 8]])/(SamplingData[[#Totals],[Winning Candidate]]-SamplingData[[#Totals],[Candidate 8]]), 0)</f>
        <v>0</v>
      </c>
      <c r="X7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5" s="99">
        <f>MAX(SamplingData[[#This Row],[Error Bound (up) - Max. possible relative overstatement - Losing Candidate]:[Error Bound (up) - Max. possible relative overstatement - Candidate 12]])</f>
        <v>1.0227465625530471E-2</v>
      </c>
      <c r="AC725" s="99">
        <f>IF(SamplingData[[#This Row],[Max Error Bound (up)]] = 0,0,SamplingData[[#This Row],[Max Error Bound (up)]]/SamplingData[[#Totals],[Max Error Bound (up)]])</f>
        <v>5.4758788671974482E-4</v>
      </c>
      <c r="AD725" s="103">
        <f>SUM($AC$5:AC725)</f>
        <v>0.64115497873268756</v>
      </c>
      <c r="AE725" s="99" t="str" cm="1">
        <f t="array" ref="AE725">IF(SamplingData[[#This Row],[up/U Selection Probability]] = 0, "Zero", TEXT(SamplingData[[#This Row],[Lower Range]], REPT("0",LEN('General Info'!$B$42))) &amp; " - " &amp; TEXT(SamplingData[[#This Row],[Upper Range]], REPT("0",LEN('General Info'!$B$42))))</f>
        <v>640607 - 641154</v>
      </c>
      <c r="AF725" s="99">
        <f>SamplingData[[#This Row],[Upper Range]]-SamplingData[[#This Row],[Span]]</f>
        <v>640607.39084596781</v>
      </c>
      <c r="AG725" s="99">
        <f>IF(ISNUMBER('General Info'!$B$42), ((SamplingData[[#This Row],[up/U Selection Probability]]) * 'General Info'!$B$44) - 1, 0)</f>
        <v>546.5878867197448</v>
      </c>
      <c r="AH725" s="99">
        <f>IF(ISNUMBER('General Info'!$B$42), (SamplingData[[#This Row],[Running (cumulative) sum]] * ('General Info'!$B$42 -'General Info'!$B$43 + 1)) + 'General Info'!$B$43 - 1, 0)</f>
        <v>641153.97873268754</v>
      </c>
      <c r="AI725" s="99" t="str">
        <f>IF(ISERROR(MATCH(SamplingData[[#This Row],[Batch by Type (p)]],SelectedPrecincts[Batch Name], 0)), "", INDEX(SelectedPrecincts[Draw], MATCH(SamplingData[[#This Row],[Batch by Type (p)]],SelectedPrecincts[Batch Name], 0)))</f>
        <v/>
      </c>
      <c r="AJ725" s="100">
        <f>IF(COUNTIF(SelectedPrecincts[Batch Name],SamplingData[[#This Row],[Batch by Type (p)]]) &lt;&gt; 0, COUNTIF(SelectedPrecincts[Batch Name],SamplingData[[#This Row],[Batch by Type (p)]]), 0)</f>
        <v>0</v>
      </c>
    </row>
    <row r="726" spans="1:36" ht="15" customHeight="1" x14ac:dyDescent="0.35">
      <c r="A726" s="97" t="s">
        <v>939</v>
      </c>
      <c r="B726" s="97">
        <v>264</v>
      </c>
      <c r="C726" s="97">
        <v>40</v>
      </c>
      <c r="D726" s="92"/>
      <c r="E726" s="92"/>
      <c r="F726" s="92"/>
      <c r="G726" s="96"/>
      <c r="H726" s="96"/>
      <c r="I726" s="92"/>
      <c r="J726" s="92"/>
      <c r="K726" s="92"/>
      <c r="L726" s="92"/>
      <c r="M726" s="92"/>
      <c r="N726" s="97">
        <v>0</v>
      </c>
      <c r="O726" s="97">
        <v>23</v>
      </c>
      <c r="P726" s="98">
        <f>SUM(SamplingData[[#This Row],[Winning Candidate]:[Under Votes]])</f>
        <v>327</v>
      </c>
      <c r="Q726" s="99">
        <f>IF(AND(SamplingData[[#This Row],[Total]]&lt;&gt; 0, NOT(ISBLANK(SamplingData[[#This Row],[Losing Candidate]]))),(SamplingData[[#This Row],[Total]]+SamplingData[[#This Row],[Winning Candidate]]-SamplingData[[#This Row],[Losing Candidate]])/(SamplingData[[#Totals],[Winning Candidate]]-SamplingData[[#Totals],[Losing Candidate]]), 0)</f>
        <v>2.3383126803598709E-2</v>
      </c>
      <c r="R726" s="99">
        <f>IF(AND(SamplingData[[#This Row],[Total]]&lt;&gt; 0, NOT(ISBLANK(SamplingData[[#This Row],[Candidate 3]]))),(SamplingData[[#This Row],[Total]]+SamplingData[[#This Row],[Winning Candidate]]-SamplingData[[#This Row],[Candidate 3]])/(SamplingData[[#Totals],[Winning Candidate]]-SamplingData[[#Totals],[Candidate 3]]), 0)</f>
        <v>0</v>
      </c>
      <c r="S726" s="99">
        <f>IF(AND(SamplingData[[#This Row],[Total]]&lt;&gt; 0, NOT(ISBLANK(SamplingData[[#This Row],[Candidate 4]]))),(SamplingData[[#This Row],[Total]]+SamplingData[[#This Row],[Winning Candidate]]-SamplingData[[#This Row],[Candidate 4]])/(SamplingData[[#Totals],[Winning Candidate]]-SamplingData[[#Totals],[Candidate 4]]), 0)</f>
        <v>0</v>
      </c>
      <c r="T726" s="99">
        <f>IF(AND(SamplingData[[#This Row],[Total]]&lt;&gt; 0, NOT(ISBLANK(SamplingData[[#This Row],[Candidate 5]]))),(SamplingData[[#This Row],[Total]]+SamplingData[[#This Row],[Winning Candidate]]-SamplingData[[#This Row],[Candidate 5]])/(SamplingData[[#Totals],[Winning Candidate]]-SamplingData[[#Totals],[Candidate 5]]), 0)</f>
        <v>0</v>
      </c>
      <c r="U726" s="99">
        <f>IF(AND(SamplingData[[#This Row],[Total]]&lt;&gt; 0, NOT(ISBLANK(SamplingData[[#This Row],[Candidate 6]]))),(SamplingData[[#This Row],[Total]]+SamplingData[[#This Row],[Losing Candidate]]-SamplingData[[#This Row],[Candidate 6]])/(SamplingData[[#Totals],[Winning Candidate]]-SamplingData[[#Totals],[Candidate 6]]), 0)</f>
        <v>0</v>
      </c>
      <c r="V726" s="99">
        <f>IF(AND(SamplingData[[#This Row],[Total]]&lt;&gt; 0, NOT(ISBLANK(SamplingData[[#This Row],[Candidate 7]]))),(SamplingData[[#This Row],[Total]]+SamplingData[[#This Row],[Winning Candidate]]-SamplingData[[#This Row],[Candidate 7]])/(SamplingData[[#Totals],[Winning Candidate]]-SamplingData[[#Totals],[Candidate 7]]), 0)</f>
        <v>0</v>
      </c>
      <c r="W726" s="99">
        <f>IF(AND(SamplingData[[#This Row],[Total]]&lt;&gt; 0, NOT(ISBLANK(SamplingData[[#This Row],[Candidate 8]]))),(SamplingData[[#This Row],[Total]]+SamplingData[[#This Row],[Winning Candidate]]-SamplingData[[#This Row],[Candidate 8]])/(SamplingData[[#Totals],[Winning Candidate]]-SamplingData[[#Totals],[Candidate 8]]), 0)</f>
        <v>0</v>
      </c>
      <c r="X7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6" s="99">
        <f>MAX(SamplingData[[#This Row],[Error Bound (up) - Max. possible relative overstatement - Losing Candidate]:[Error Bound (up) - Max. possible relative overstatement - Candidate 12]])</f>
        <v>2.3383126803598709E-2</v>
      </c>
      <c r="AC726" s="99">
        <f>IF(SamplingData[[#This Row],[Max Error Bound (up)]] = 0,0,SamplingData[[#This Row],[Max Error Bound (up)]]/SamplingData[[#Totals],[Max Error Bound (up)]])</f>
        <v>1.2519540480604953E-3</v>
      </c>
      <c r="AD726" s="103">
        <f>SUM($AC$5:AC726)</f>
        <v>0.64240693278074801</v>
      </c>
      <c r="AE726" s="99" t="str" cm="1">
        <f t="array" ref="AE726">IF(SamplingData[[#This Row],[up/U Selection Probability]] = 0, "Zero", TEXT(SamplingData[[#This Row],[Lower Range]], REPT("0",LEN('General Info'!$B$42))) &amp; " - " &amp; TEXT(SamplingData[[#This Row],[Upper Range]], REPT("0",LEN('General Info'!$B$42))))</f>
        <v>641155 - 642406</v>
      </c>
      <c r="AF726" s="99">
        <f>SamplingData[[#This Row],[Upper Range]]-SamplingData[[#This Row],[Span]]</f>
        <v>641154.97873268754</v>
      </c>
      <c r="AG726" s="99">
        <f>IF(ISNUMBER('General Info'!$B$42), ((SamplingData[[#This Row],[up/U Selection Probability]]) * 'General Info'!$B$44) - 1, 0)</f>
        <v>1250.9540480604953</v>
      </c>
      <c r="AH726" s="99">
        <f>IF(ISNUMBER('General Info'!$B$42), (SamplingData[[#This Row],[Running (cumulative) sum]] * ('General Info'!$B$42 -'General Info'!$B$43 + 1)) + 'General Info'!$B$43 - 1, 0)</f>
        <v>642405.932780748</v>
      </c>
      <c r="AI726" s="99" t="str">
        <f>IF(ISERROR(MATCH(SamplingData[[#This Row],[Batch by Type (p)]],SelectedPrecincts[Batch Name], 0)), "", INDEX(SelectedPrecincts[Draw], MATCH(SamplingData[[#This Row],[Batch by Type (p)]],SelectedPrecincts[Batch Name], 0)))</f>
        <v/>
      </c>
      <c r="AJ726" s="100">
        <f>IF(COUNTIF(SelectedPrecincts[Batch Name],SamplingData[[#This Row],[Batch by Type (p)]]) &lt;&gt; 0, COUNTIF(SelectedPrecincts[Batch Name],SamplingData[[#This Row],[Batch by Type (p)]]), 0)</f>
        <v>0</v>
      </c>
    </row>
    <row r="727" spans="1:36" ht="15" customHeight="1" x14ac:dyDescent="0.35">
      <c r="A727" s="97" t="s">
        <v>940</v>
      </c>
      <c r="B727" s="97">
        <v>187</v>
      </c>
      <c r="C727" s="97">
        <v>89</v>
      </c>
      <c r="D727" s="92"/>
      <c r="E727" s="92"/>
      <c r="F727" s="92"/>
      <c r="G727" s="96"/>
      <c r="H727" s="96"/>
      <c r="I727" s="92"/>
      <c r="J727" s="92"/>
      <c r="K727" s="92"/>
      <c r="L727" s="92"/>
      <c r="M727" s="92"/>
      <c r="N727" s="97">
        <v>0</v>
      </c>
      <c r="O727" s="97">
        <v>27</v>
      </c>
      <c r="P727" s="98">
        <f>SUM(SamplingData[[#This Row],[Winning Candidate]:[Under Votes]])</f>
        <v>303</v>
      </c>
      <c r="Q727" s="99">
        <f>IF(AND(SamplingData[[#This Row],[Total]]&lt;&gt; 0, NOT(ISBLANK(SamplingData[[#This Row],[Losing Candidate]]))),(SamplingData[[#This Row],[Total]]+SamplingData[[#This Row],[Winning Candidate]]-SamplingData[[#This Row],[Losing Candidate]])/(SamplingData[[#Totals],[Winning Candidate]]-SamplingData[[#Totals],[Losing Candidate]]), 0)</f>
        <v>1.7017484298081819E-2</v>
      </c>
      <c r="R727" s="99">
        <f>IF(AND(SamplingData[[#This Row],[Total]]&lt;&gt; 0, NOT(ISBLANK(SamplingData[[#This Row],[Candidate 3]]))),(SamplingData[[#This Row],[Total]]+SamplingData[[#This Row],[Winning Candidate]]-SamplingData[[#This Row],[Candidate 3]])/(SamplingData[[#Totals],[Winning Candidate]]-SamplingData[[#Totals],[Candidate 3]]), 0)</f>
        <v>0</v>
      </c>
      <c r="S727" s="99">
        <f>IF(AND(SamplingData[[#This Row],[Total]]&lt;&gt; 0, NOT(ISBLANK(SamplingData[[#This Row],[Candidate 4]]))),(SamplingData[[#This Row],[Total]]+SamplingData[[#This Row],[Winning Candidate]]-SamplingData[[#This Row],[Candidate 4]])/(SamplingData[[#Totals],[Winning Candidate]]-SamplingData[[#Totals],[Candidate 4]]), 0)</f>
        <v>0</v>
      </c>
      <c r="T727" s="99">
        <f>IF(AND(SamplingData[[#This Row],[Total]]&lt;&gt; 0, NOT(ISBLANK(SamplingData[[#This Row],[Candidate 5]]))),(SamplingData[[#This Row],[Total]]+SamplingData[[#This Row],[Winning Candidate]]-SamplingData[[#This Row],[Candidate 5]])/(SamplingData[[#Totals],[Winning Candidate]]-SamplingData[[#Totals],[Candidate 5]]), 0)</f>
        <v>0</v>
      </c>
      <c r="U727" s="99">
        <f>IF(AND(SamplingData[[#This Row],[Total]]&lt;&gt; 0, NOT(ISBLANK(SamplingData[[#This Row],[Candidate 6]]))),(SamplingData[[#This Row],[Total]]+SamplingData[[#This Row],[Losing Candidate]]-SamplingData[[#This Row],[Candidate 6]])/(SamplingData[[#Totals],[Winning Candidate]]-SamplingData[[#Totals],[Candidate 6]]), 0)</f>
        <v>0</v>
      </c>
      <c r="V727" s="99">
        <f>IF(AND(SamplingData[[#This Row],[Total]]&lt;&gt; 0, NOT(ISBLANK(SamplingData[[#This Row],[Candidate 7]]))),(SamplingData[[#This Row],[Total]]+SamplingData[[#This Row],[Winning Candidate]]-SamplingData[[#This Row],[Candidate 7]])/(SamplingData[[#Totals],[Winning Candidate]]-SamplingData[[#Totals],[Candidate 7]]), 0)</f>
        <v>0</v>
      </c>
      <c r="W727" s="99">
        <f>IF(AND(SamplingData[[#This Row],[Total]]&lt;&gt; 0, NOT(ISBLANK(SamplingData[[#This Row],[Candidate 8]]))),(SamplingData[[#This Row],[Total]]+SamplingData[[#This Row],[Winning Candidate]]-SamplingData[[#This Row],[Candidate 8]])/(SamplingData[[#Totals],[Winning Candidate]]-SamplingData[[#Totals],[Candidate 8]]), 0)</f>
        <v>0</v>
      </c>
      <c r="X7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7" s="99">
        <f>MAX(SamplingData[[#This Row],[Error Bound (up) - Max. possible relative overstatement - Losing Candidate]:[Error Bound (up) - Max. possible relative overstatement - Candidate 12]])</f>
        <v>1.7017484298081819E-2</v>
      </c>
      <c r="AC727" s="99">
        <f>IF(SamplingData[[#This Row],[Max Error Bound (up)]] = 0,0,SamplingData[[#This Row],[Max Error Bound (up)]]/SamplingData[[#Totals],[Max Error Bound (up)]])</f>
        <v>9.11131711927874E-4</v>
      </c>
      <c r="AD727" s="103">
        <f>SUM($AC$5:AC727)</f>
        <v>0.64331806449267592</v>
      </c>
      <c r="AE727" s="99" t="str" cm="1">
        <f t="array" ref="AE727">IF(SamplingData[[#This Row],[up/U Selection Probability]] = 0, "Zero", TEXT(SamplingData[[#This Row],[Lower Range]], REPT("0",LEN('General Info'!$B$42))) &amp; " - " &amp; TEXT(SamplingData[[#This Row],[Upper Range]], REPT("0",LEN('General Info'!$B$42))))</f>
        <v>642407 - 643317</v>
      </c>
      <c r="AF727" s="99">
        <f>SamplingData[[#This Row],[Upper Range]]-SamplingData[[#This Row],[Span]]</f>
        <v>642406.93278074812</v>
      </c>
      <c r="AG727" s="99">
        <f>IF(ISNUMBER('General Info'!$B$42), ((SamplingData[[#This Row],[up/U Selection Probability]]) * 'General Info'!$B$44) - 1, 0)</f>
        <v>910.13171192787399</v>
      </c>
      <c r="AH727" s="99">
        <f>IF(ISNUMBER('General Info'!$B$42), (SamplingData[[#This Row],[Running (cumulative) sum]] * ('General Info'!$B$42 -'General Info'!$B$43 + 1)) + 'General Info'!$B$43 - 1, 0)</f>
        <v>643317.06449267594</v>
      </c>
      <c r="AI727" s="99" t="str">
        <f>IF(ISERROR(MATCH(SamplingData[[#This Row],[Batch by Type (p)]],SelectedPrecincts[Batch Name], 0)), "", INDEX(SelectedPrecincts[Draw], MATCH(SamplingData[[#This Row],[Batch by Type (p)]],SelectedPrecincts[Batch Name], 0)))</f>
        <v/>
      </c>
      <c r="AJ727" s="100">
        <f>IF(COUNTIF(SelectedPrecincts[Batch Name],SamplingData[[#This Row],[Batch by Type (p)]]) &lt;&gt; 0, COUNTIF(SelectedPrecincts[Batch Name],SamplingData[[#This Row],[Batch by Type (p)]]), 0)</f>
        <v>0</v>
      </c>
    </row>
    <row r="728" spans="1:36" ht="15" customHeight="1" x14ac:dyDescent="0.35">
      <c r="A728" s="97" t="s">
        <v>941</v>
      </c>
      <c r="B728" s="97">
        <v>291</v>
      </c>
      <c r="C728" s="97">
        <v>251</v>
      </c>
      <c r="D728" s="92"/>
      <c r="E728" s="92"/>
      <c r="F728" s="92"/>
      <c r="G728" s="96"/>
      <c r="H728" s="96"/>
      <c r="I728" s="92"/>
      <c r="J728" s="92"/>
      <c r="K728" s="92"/>
      <c r="L728" s="92"/>
      <c r="M728" s="92"/>
      <c r="N728" s="97">
        <v>0</v>
      </c>
      <c r="O728" s="97">
        <v>39</v>
      </c>
      <c r="P728" s="98">
        <f>SUM(SamplingData[[#This Row],[Winning Candidate]:[Under Votes]])</f>
        <v>581</v>
      </c>
      <c r="Q728" s="99">
        <f>IF(AND(SamplingData[[#This Row],[Total]]&lt;&gt; 0, NOT(ISBLANK(SamplingData[[#This Row],[Losing Candidate]]))),(SamplingData[[#This Row],[Total]]+SamplingData[[#This Row],[Winning Candidate]]-SamplingData[[#This Row],[Losing Candidate]])/(SamplingData[[#Totals],[Winning Candidate]]-SamplingData[[#Totals],[Losing Candidate]]), 0)</f>
        <v>2.6353759972839924E-2</v>
      </c>
      <c r="R728" s="99">
        <f>IF(AND(SamplingData[[#This Row],[Total]]&lt;&gt; 0, NOT(ISBLANK(SamplingData[[#This Row],[Candidate 3]]))),(SamplingData[[#This Row],[Total]]+SamplingData[[#This Row],[Winning Candidate]]-SamplingData[[#This Row],[Candidate 3]])/(SamplingData[[#Totals],[Winning Candidate]]-SamplingData[[#Totals],[Candidate 3]]), 0)</f>
        <v>0</v>
      </c>
      <c r="S728" s="99">
        <f>IF(AND(SamplingData[[#This Row],[Total]]&lt;&gt; 0, NOT(ISBLANK(SamplingData[[#This Row],[Candidate 4]]))),(SamplingData[[#This Row],[Total]]+SamplingData[[#This Row],[Winning Candidate]]-SamplingData[[#This Row],[Candidate 4]])/(SamplingData[[#Totals],[Winning Candidate]]-SamplingData[[#Totals],[Candidate 4]]), 0)</f>
        <v>0</v>
      </c>
      <c r="T728" s="99">
        <f>IF(AND(SamplingData[[#This Row],[Total]]&lt;&gt; 0, NOT(ISBLANK(SamplingData[[#This Row],[Candidate 5]]))),(SamplingData[[#This Row],[Total]]+SamplingData[[#This Row],[Winning Candidate]]-SamplingData[[#This Row],[Candidate 5]])/(SamplingData[[#Totals],[Winning Candidate]]-SamplingData[[#Totals],[Candidate 5]]), 0)</f>
        <v>0</v>
      </c>
      <c r="U728" s="99">
        <f>IF(AND(SamplingData[[#This Row],[Total]]&lt;&gt; 0, NOT(ISBLANK(SamplingData[[#This Row],[Candidate 6]]))),(SamplingData[[#This Row],[Total]]+SamplingData[[#This Row],[Losing Candidate]]-SamplingData[[#This Row],[Candidate 6]])/(SamplingData[[#Totals],[Winning Candidate]]-SamplingData[[#Totals],[Candidate 6]]), 0)</f>
        <v>0</v>
      </c>
      <c r="V728" s="99">
        <f>IF(AND(SamplingData[[#This Row],[Total]]&lt;&gt; 0, NOT(ISBLANK(SamplingData[[#This Row],[Candidate 7]]))),(SamplingData[[#This Row],[Total]]+SamplingData[[#This Row],[Winning Candidate]]-SamplingData[[#This Row],[Candidate 7]])/(SamplingData[[#Totals],[Winning Candidate]]-SamplingData[[#Totals],[Candidate 7]]), 0)</f>
        <v>0</v>
      </c>
      <c r="W728" s="99">
        <f>IF(AND(SamplingData[[#This Row],[Total]]&lt;&gt; 0, NOT(ISBLANK(SamplingData[[#This Row],[Candidate 8]]))),(SamplingData[[#This Row],[Total]]+SamplingData[[#This Row],[Winning Candidate]]-SamplingData[[#This Row],[Candidate 8]])/(SamplingData[[#Totals],[Winning Candidate]]-SamplingData[[#Totals],[Candidate 8]]), 0)</f>
        <v>0</v>
      </c>
      <c r="X7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8" s="99">
        <f>MAX(SamplingData[[#This Row],[Error Bound (up) - Max. possible relative overstatement - Losing Candidate]:[Error Bound (up) - Max. possible relative overstatement - Candidate 12]])</f>
        <v>2.6353759972839924E-2</v>
      </c>
      <c r="AC728" s="99">
        <f>IF(SamplingData[[#This Row],[Max Error Bound (up)]] = 0,0,SamplingData[[#This Row],[Max Error Bound (up)]]/SamplingData[[#Totals],[Max Error Bound (up)]])</f>
        <v>1.4110044715890519E-3</v>
      </c>
      <c r="AD728" s="103">
        <f>SUM($AC$5:AC728)</f>
        <v>0.64472906896426496</v>
      </c>
      <c r="AE728" s="99" t="str" cm="1">
        <f t="array" ref="AE728">IF(SamplingData[[#This Row],[up/U Selection Probability]] = 0, "Zero", TEXT(SamplingData[[#This Row],[Lower Range]], REPT("0",LEN('General Info'!$B$42))) &amp; " - " &amp; TEXT(SamplingData[[#This Row],[Upper Range]], REPT("0",LEN('General Info'!$B$42))))</f>
        <v>643318 - 644728</v>
      </c>
      <c r="AF728" s="99">
        <f>SamplingData[[#This Row],[Upper Range]]-SamplingData[[#This Row],[Span]]</f>
        <v>643318.06449267594</v>
      </c>
      <c r="AG728" s="99">
        <f>IF(ISNUMBER('General Info'!$B$42), ((SamplingData[[#This Row],[up/U Selection Probability]]) * 'General Info'!$B$44) - 1, 0)</f>
        <v>1410.0044715890519</v>
      </c>
      <c r="AH728" s="99">
        <f>IF(ISNUMBER('General Info'!$B$42), (SamplingData[[#This Row],[Running (cumulative) sum]] * ('General Info'!$B$42 -'General Info'!$B$43 + 1)) + 'General Info'!$B$43 - 1, 0)</f>
        <v>644728.06896426494</v>
      </c>
      <c r="AI728" s="99" t="str">
        <f>IF(ISERROR(MATCH(SamplingData[[#This Row],[Batch by Type (p)]],SelectedPrecincts[Batch Name], 0)), "", INDEX(SelectedPrecincts[Draw], MATCH(SamplingData[[#This Row],[Batch by Type (p)]],SelectedPrecincts[Batch Name], 0)))</f>
        <v/>
      </c>
      <c r="AJ728" s="100">
        <f>IF(COUNTIF(SelectedPrecincts[Batch Name],SamplingData[[#This Row],[Batch by Type (p)]]) &lt;&gt; 0, COUNTIF(SelectedPrecincts[Batch Name],SamplingData[[#This Row],[Batch by Type (p)]]), 0)</f>
        <v>0</v>
      </c>
    </row>
    <row r="729" spans="1:36" ht="15" customHeight="1" x14ac:dyDescent="0.35">
      <c r="A729" s="97" t="s">
        <v>942</v>
      </c>
      <c r="B729" s="97">
        <v>226</v>
      </c>
      <c r="C729" s="97">
        <v>164</v>
      </c>
      <c r="D729" s="92"/>
      <c r="E729" s="92"/>
      <c r="F729" s="92"/>
      <c r="G729" s="96"/>
      <c r="H729" s="96"/>
      <c r="I729" s="92"/>
      <c r="J729" s="92"/>
      <c r="K729" s="92"/>
      <c r="L729" s="92"/>
      <c r="M729" s="92"/>
      <c r="N729" s="97">
        <v>0</v>
      </c>
      <c r="O729" s="97">
        <v>22</v>
      </c>
      <c r="P729" s="98">
        <f>SUM(SamplingData[[#This Row],[Winning Candidate]:[Under Votes]])</f>
        <v>412</v>
      </c>
      <c r="Q729" s="99">
        <f>IF(AND(SamplingData[[#This Row],[Total]]&lt;&gt; 0, NOT(ISBLANK(SamplingData[[#This Row],[Losing Candidate]]))),(SamplingData[[#This Row],[Total]]+SamplingData[[#This Row],[Winning Candidate]]-SamplingData[[#This Row],[Losing Candidate]])/(SamplingData[[#Totals],[Winning Candidate]]-SamplingData[[#Totals],[Losing Candidate]]), 0)</f>
        <v>2.0115430317433371E-2</v>
      </c>
      <c r="R729" s="99">
        <f>IF(AND(SamplingData[[#This Row],[Total]]&lt;&gt; 0, NOT(ISBLANK(SamplingData[[#This Row],[Candidate 3]]))),(SamplingData[[#This Row],[Total]]+SamplingData[[#This Row],[Winning Candidate]]-SamplingData[[#This Row],[Candidate 3]])/(SamplingData[[#Totals],[Winning Candidate]]-SamplingData[[#Totals],[Candidate 3]]), 0)</f>
        <v>0</v>
      </c>
      <c r="S729" s="99">
        <f>IF(AND(SamplingData[[#This Row],[Total]]&lt;&gt; 0, NOT(ISBLANK(SamplingData[[#This Row],[Candidate 4]]))),(SamplingData[[#This Row],[Total]]+SamplingData[[#This Row],[Winning Candidate]]-SamplingData[[#This Row],[Candidate 4]])/(SamplingData[[#Totals],[Winning Candidate]]-SamplingData[[#Totals],[Candidate 4]]), 0)</f>
        <v>0</v>
      </c>
      <c r="T729" s="99">
        <f>IF(AND(SamplingData[[#This Row],[Total]]&lt;&gt; 0, NOT(ISBLANK(SamplingData[[#This Row],[Candidate 5]]))),(SamplingData[[#This Row],[Total]]+SamplingData[[#This Row],[Winning Candidate]]-SamplingData[[#This Row],[Candidate 5]])/(SamplingData[[#Totals],[Winning Candidate]]-SamplingData[[#Totals],[Candidate 5]]), 0)</f>
        <v>0</v>
      </c>
      <c r="U729" s="99">
        <f>IF(AND(SamplingData[[#This Row],[Total]]&lt;&gt; 0, NOT(ISBLANK(SamplingData[[#This Row],[Candidate 6]]))),(SamplingData[[#This Row],[Total]]+SamplingData[[#This Row],[Losing Candidate]]-SamplingData[[#This Row],[Candidate 6]])/(SamplingData[[#Totals],[Winning Candidate]]-SamplingData[[#Totals],[Candidate 6]]), 0)</f>
        <v>0</v>
      </c>
      <c r="V729" s="99">
        <f>IF(AND(SamplingData[[#This Row],[Total]]&lt;&gt; 0, NOT(ISBLANK(SamplingData[[#This Row],[Candidate 7]]))),(SamplingData[[#This Row],[Total]]+SamplingData[[#This Row],[Winning Candidate]]-SamplingData[[#This Row],[Candidate 7]])/(SamplingData[[#Totals],[Winning Candidate]]-SamplingData[[#Totals],[Candidate 7]]), 0)</f>
        <v>0</v>
      </c>
      <c r="W729" s="99">
        <f>IF(AND(SamplingData[[#This Row],[Total]]&lt;&gt; 0, NOT(ISBLANK(SamplingData[[#This Row],[Candidate 8]]))),(SamplingData[[#This Row],[Total]]+SamplingData[[#This Row],[Winning Candidate]]-SamplingData[[#This Row],[Candidate 8]])/(SamplingData[[#Totals],[Winning Candidate]]-SamplingData[[#Totals],[Candidate 8]]), 0)</f>
        <v>0</v>
      </c>
      <c r="X7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9" s="99">
        <f>MAX(SamplingData[[#This Row],[Error Bound (up) - Max. possible relative overstatement - Losing Candidate]:[Error Bound (up) - Max. possible relative overstatement - Candidate 12]])</f>
        <v>2.0115430317433371E-2</v>
      </c>
      <c r="AC729" s="99">
        <f>IF(SamplingData[[#This Row],[Max Error Bound (up)]] = 0,0,SamplingData[[#This Row],[Max Error Bound (up)]]/SamplingData[[#Totals],[Max Error Bound (up)]])</f>
        <v>1.076998582179083E-3</v>
      </c>
      <c r="AD729" s="103">
        <f>SUM($AC$5:AC729)</f>
        <v>0.6458060675464441</v>
      </c>
      <c r="AE729" s="99" t="str" cm="1">
        <f t="array" ref="AE729">IF(SamplingData[[#This Row],[up/U Selection Probability]] = 0, "Zero", TEXT(SamplingData[[#This Row],[Lower Range]], REPT("0",LEN('General Info'!$B$42))) &amp; " - " &amp; TEXT(SamplingData[[#This Row],[Upper Range]], REPT("0",LEN('General Info'!$B$42))))</f>
        <v>644729 - 645805</v>
      </c>
      <c r="AF729" s="99">
        <f>SamplingData[[#This Row],[Upper Range]]-SamplingData[[#This Row],[Span]]</f>
        <v>644729.06896426505</v>
      </c>
      <c r="AG729" s="99">
        <f>IF(ISNUMBER('General Info'!$B$42), ((SamplingData[[#This Row],[up/U Selection Probability]]) * 'General Info'!$B$44) - 1, 0)</f>
        <v>1075.9985821790829</v>
      </c>
      <c r="AH729" s="99">
        <f>IF(ISNUMBER('General Info'!$B$42), (SamplingData[[#This Row],[Running (cumulative) sum]] * ('General Info'!$B$42 -'General Info'!$B$43 + 1)) + 'General Info'!$B$43 - 1, 0)</f>
        <v>645805.06754644413</v>
      </c>
      <c r="AI729" s="99" t="str">
        <f>IF(ISERROR(MATCH(SamplingData[[#This Row],[Batch by Type (p)]],SelectedPrecincts[Batch Name], 0)), "", INDEX(SelectedPrecincts[Draw], MATCH(SamplingData[[#This Row],[Batch by Type (p)]],SelectedPrecincts[Batch Name], 0)))</f>
        <v/>
      </c>
      <c r="AJ729" s="100">
        <f>IF(COUNTIF(SelectedPrecincts[Batch Name],SamplingData[[#This Row],[Batch by Type (p)]]) &lt;&gt; 0, COUNTIF(SelectedPrecincts[Batch Name],SamplingData[[#This Row],[Batch by Type (p)]]), 0)</f>
        <v>0</v>
      </c>
    </row>
    <row r="730" spans="1:36" ht="15" customHeight="1" x14ac:dyDescent="0.35">
      <c r="A730" s="97" t="s">
        <v>943</v>
      </c>
      <c r="B730" s="97">
        <v>259</v>
      </c>
      <c r="C730" s="97">
        <v>295</v>
      </c>
      <c r="D730" s="92"/>
      <c r="E730" s="92"/>
      <c r="F730" s="92"/>
      <c r="G730" s="96"/>
      <c r="H730" s="96"/>
      <c r="I730" s="92"/>
      <c r="J730" s="92"/>
      <c r="K730" s="92"/>
      <c r="L730" s="92"/>
      <c r="M730" s="92"/>
      <c r="N730" s="97">
        <v>1</v>
      </c>
      <c r="O730" s="97">
        <v>44</v>
      </c>
      <c r="P730" s="98">
        <f>SUM(SamplingData[[#This Row],[Winning Candidate]:[Under Votes]])</f>
        <v>599</v>
      </c>
      <c r="Q730" s="99">
        <f>IF(AND(SamplingData[[#This Row],[Total]]&lt;&gt; 0, NOT(ISBLANK(SamplingData[[#This Row],[Losing Candidate]]))),(SamplingData[[#This Row],[Total]]+SamplingData[[#This Row],[Winning Candidate]]-SamplingData[[#This Row],[Losing Candidate]])/(SamplingData[[#Totals],[Winning Candidate]]-SamplingData[[#Totals],[Losing Candidate]]), 0)</f>
        <v>2.3892378204040061E-2</v>
      </c>
      <c r="R730" s="99">
        <f>IF(AND(SamplingData[[#This Row],[Total]]&lt;&gt; 0, NOT(ISBLANK(SamplingData[[#This Row],[Candidate 3]]))),(SamplingData[[#This Row],[Total]]+SamplingData[[#This Row],[Winning Candidate]]-SamplingData[[#This Row],[Candidate 3]])/(SamplingData[[#Totals],[Winning Candidate]]-SamplingData[[#Totals],[Candidate 3]]), 0)</f>
        <v>0</v>
      </c>
      <c r="S730" s="99">
        <f>IF(AND(SamplingData[[#This Row],[Total]]&lt;&gt; 0, NOT(ISBLANK(SamplingData[[#This Row],[Candidate 4]]))),(SamplingData[[#This Row],[Total]]+SamplingData[[#This Row],[Winning Candidate]]-SamplingData[[#This Row],[Candidate 4]])/(SamplingData[[#Totals],[Winning Candidate]]-SamplingData[[#Totals],[Candidate 4]]), 0)</f>
        <v>0</v>
      </c>
      <c r="T730" s="99">
        <f>IF(AND(SamplingData[[#This Row],[Total]]&lt;&gt; 0, NOT(ISBLANK(SamplingData[[#This Row],[Candidate 5]]))),(SamplingData[[#This Row],[Total]]+SamplingData[[#This Row],[Winning Candidate]]-SamplingData[[#This Row],[Candidate 5]])/(SamplingData[[#Totals],[Winning Candidate]]-SamplingData[[#Totals],[Candidate 5]]), 0)</f>
        <v>0</v>
      </c>
      <c r="U730" s="99">
        <f>IF(AND(SamplingData[[#This Row],[Total]]&lt;&gt; 0, NOT(ISBLANK(SamplingData[[#This Row],[Candidate 6]]))),(SamplingData[[#This Row],[Total]]+SamplingData[[#This Row],[Losing Candidate]]-SamplingData[[#This Row],[Candidate 6]])/(SamplingData[[#Totals],[Winning Candidate]]-SamplingData[[#Totals],[Candidate 6]]), 0)</f>
        <v>0</v>
      </c>
      <c r="V730" s="99">
        <f>IF(AND(SamplingData[[#This Row],[Total]]&lt;&gt; 0, NOT(ISBLANK(SamplingData[[#This Row],[Candidate 7]]))),(SamplingData[[#This Row],[Total]]+SamplingData[[#This Row],[Winning Candidate]]-SamplingData[[#This Row],[Candidate 7]])/(SamplingData[[#Totals],[Winning Candidate]]-SamplingData[[#Totals],[Candidate 7]]), 0)</f>
        <v>0</v>
      </c>
      <c r="W730" s="99">
        <f>IF(AND(SamplingData[[#This Row],[Total]]&lt;&gt; 0, NOT(ISBLANK(SamplingData[[#This Row],[Candidate 8]]))),(SamplingData[[#This Row],[Total]]+SamplingData[[#This Row],[Winning Candidate]]-SamplingData[[#This Row],[Candidate 8]])/(SamplingData[[#Totals],[Winning Candidate]]-SamplingData[[#Totals],[Candidate 8]]), 0)</f>
        <v>0</v>
      </c>
      <c r="X7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0" s="99">
        <f>MAX(SamplingData[[#This Row],[Error Bound (up) - Max. possible relative overstatement - Losing Candidate]:[Error Bound (up) - Max. possible relative overstatement - Candidate 12]])</f>
        <v>2.3892378204040061E-2</v>
      </c>
      <c r="AC730" s="99">
        <f>IF(SamplingData[[#This Row],[Max Error Bound (up)]] = 0,0,SamplingData[[#This Row],[Max Error Bound (up)]]/SamplingData[[#Totals],[Max Error Bound (up)]])</f>
        <v>1.2792198349511051E-3</v>
      </c>
      <c r="AD730" s="103">
        <f>SUM($AC$5:AC730)</f>
        <v>0.64708528738139515</v>
      </c>
      <c r="AE730" s="99" t="str" cm="1">
        <f t="array" ref="AE730">IF(SamplingData[[#This Row],[up/U Selection Probability]] = 0, "Zero", TEXT(SamplingData[[#This Row],[Lower Range]], REPT("0",LEN('General Info'!$B$42))) &amp; " - " &amp; TEXT(SamplingData[[#This Row],[Upper Range]], REPT("0",LEN('General Info'!$B$42))))</f>
        <v>645806 - 647084</v>
      </c>
      <c r="AF730" s="99">
        <f>SamplingData[[#This Row],[Upper Range]]-SamplingData[[#This Row],[Span]]</f>
        <v>645806.06754644401</v>
      </c>
      <c r="AG730" s="99">
        <f>IF(ISNUMBER('General Info'!$B$42), ((SamplingData[[#This Row],[up/U Selection Probability]]) * 'General Info'!$B$44) - 1, 0)</f>
        <v>1278.219834951105</v>
      </c>
      <c r="AH730" s="99">
        <f>IF(ISNUMBER('General Info'!$B$42), (SamplingData[[#This Row],[Running (cumulative) sum]] * ('General Info'!$B$42 -'General Info'!$B$43 + 1)) + 'General Info'!$B$43 - 1, 0)</f>
        <v>647084.28738139512</v>
      </c>
      <c r="AI730" s="99">
        <f>IF(ISERROR(MATCH(SamplingData[[#This Row],[Batch by Type (p)]],SelectedPrecincts[Batch Name], 0)), "", INDEX(SelectedPrecincts[Draw], MATCH(SamplingData[[#This Row],[Batch by Type (p)]],SelectedPrecincts[Batch Name], 0)))</f>
        <v>29</v>
      </c>
      <c r="AJ730" s="100">
        <f>IF(COUNTIF(SelectedPrecincts[Batch Name],SamplingData[[#This Row],[Batch by Type (p)]]) &lt;&gt; 0, COUNTIF(SelectedPrecincts[Batch Name],SamplingData[[#This Row],[Batch by Type (p)]]), 0)</f>
        <v>1</v>
      </c>
    </row>
    <row r="731" spans="1:36" ht="15" customHeight="1" x14ac:dyDescent="0.35">
      <c r="A731" s="97" t="s">
        <v>944</v>
      </c>
      <c r="B731" s="97">
        <v>264</v>
      </c>
      <c r="C731" s="97">
        <v>170</v>
      </c>
      <c r="D731" s="92"/>
      <c r="E731" s="92"/>
      <c r="F731" s="92"/>
      <c r="G731" s="96"/>
      <c r="H731" s="96"/>
      <c r="I731" s="92"/>
      <c r="J731" s="92"/>
      <c r="K731" s="92"/>
      <c r="L731" s="92"/>
      <c r="M731" s="92"/>
      <c r="N731" s="97">
        <v>0</v>
      </c>
      <c r="O731" s="97">
        <v>25</v>
      </c>
      <c r="P731" s="98">
        <f>SUM(SamplingData[[#This Row],[Winning Candidate]:[Under Votes]])</f>
        <v>459</v>
      </c>
      <c r="Q731" s="99">
        <f>IF(AND(SamplingData[[#This Row],[Total]]&lt;&gt; 0, NOT(ISBLANK(SamplingData[[#This Row],[Losing Candidate]]))),(SamplingData[[#This Row],[Total]]+SamplingData[[#This Row],[Winning Candidate]]-SamplingData[[#This Row],[Losing Candidate]])/(SamplingData[[#Totals],[Winning Candidate]]-SamplingData[[#Totals],[Losing Candidate]]), 0)</f>
        <v>2.3468002037005602E-2</v>
      </c>
      <c r="R731" s="99">
        <f>IF(AND(SamplingData[[#This Row],[Total]]&lt;&gt; 0, NOT(ISBLANK(SamplingData[[#This Row],[Candidate 3]]))),(SamplingData[[#This Row],[Total]]+SamplingData[[#This Row],[Winning Candidate]]-SamplingData[[#This Row],[Candidate 3]])/(SamplingData[[#Totals],[Winning Candidate]]-SamplingData[[#Totals],[Candidate 3]]), 0)</f>
        <v>0</v>
      </c>
      <c r="S731" s="99">
        <f>IF(AND(SamplingData[[#This Row],[Total]]&lt;&gt; 0, NOT(ISBLANK(SamplingData[[#This Row],[Candidate 4]]))),(SamplingData[[#This Row],[Total]]+SamplingData[[#This Row],[Winning Candidate]]-SamplingData[[#This Row],[Candidate 4]])/(SamplingData[[#Totals],[Winning Candidate]]-SamplingData[[#Totals],[Candidate 4]]), 0)</f>
        <v>0</v>
      </c>
      <c r="T731" s="99">
        <f>IF(AND(SamplingData[[#This Row],[Total]]&lt;&gt; 0, NOT(ISBLANK(SamplingData[[#This Row],[Candidate 5]]))),(SamplingData[[#This Row],[Total]]+SamplingData[[#This Row],[Winning Candidate]]-SamplingData[[#This Row],[Candidate 5]])/(SamplingData[[#Totals],[Winning Candidate]]-SamplingData[[#Totals],[Candidate 5]]), 0)</f>
        <v>0</v>
      </c>
      <c r="U731" s="99">
        <f>IF(AND(SamplingData[[#This Row],[Total]]&lt;&gt; 0, NOT(ISBLANK(SamplingData[[#This Row],[Candidate 6]]))),(SamplingData[[#This Row],[Total]]+SamplingData[[#This Row],[Losing Candidate]]-SamplingData[[#This Row],[Candidate 6]])/(SamplingData[[#Totals],[Winning Candidate]]-SamplingData[[#Totals],[Candidate 6]]), 0)</f>
        <v>0</v>
      </c>
      <c r="V731" s="99">
        <f>IF(AND(SamplingData[[#This Row],[Total]]&lt;&gt; 0, NOT(ISBLANK(SamplingData[[#This Row],[Candidate 7]]))),(SamplingData[[#This Row],[Total]]+SamplingData[[#This Row],[Winning Candidate]]-SamplingData[[#This Row],[Candidate 7]])/(SamplingData[[#Totals],[Winning Candidate]]-SamplingData[[#Totals],[Candidate 7]]), 0)</f>
        <v>0</v>
      </c>
      <c r="W731" s="99">
        <f>IF(AND(SamplingData[[#This Row],[Total]]&lt;&gt; 0, NOT(ISBLANK(SamplingData[[#This Row],[Candidate 8]]))),(SamplingData[[#This Row],[Total]]+SamplingData[[#This Row],[Winning Candidate]]-SamplingData[[#This Row],[Candidate 8]])/(SamplingData[[#Totals],[Winning Candidate]]-SamplingData[[#Totals],[Candidate 8]]), 0)</f>
        <v>0</v>
      </c>
      <c r="X7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1" s="99">
        <f>MAX(SamplingData[[#This Row],[Error Bound (up) - Max. possible relative overstatement - Losing Candidate]:[Error Bound (up) - Max. possible relative overstatement - Candidate 12]])</f>
        <v>2.3468002037005602E-2</v>
      </c>
      <c r="AC731" s="99">
        <f>IF(SamplingData[[#This Row],[Max Error Bound (up)]] = 0,0,SamplingData[[#This Row],[Max Error Bound (up)]]/SamplingData[[#Totals],[Max Error Bound (up)]])</f>
        <v>1.2564983458755968E-3</v>
      </c>
      <c r="AD731" s="103">
        <f>SUM($AC$5:AC731)</f>
        <v>0.64834178572727075</v>
      </c>
      <c r="AE731" s="99" t="str" cm="1">
        <f t="array" ref="AE731">IF(SamplingData[[#This Row],[up/U Selection Probability]] = 0, "Zero", TEXT(SamplingData[[#This Row],[Lower Range]], REPT("0",LEN('General Info'!$B$42))) &amp; " - " &amp; TEXT(SamplingData[[#This Row],[Upper Range]], REPT("0",LEN('General Info'!$B$42))))</f>
        <v>647085 - 648341</v>
      </c>
      <c r="AF731" s="99">
        <f>SamplingData[[#This Row],[Upper Range]]-SamplingData[[#This Row],[Span]]</f>
        <v>647085.28738139512</v>
      </c>
      <c r="AG731" s="99">
        <f>IF(ISNUMBER('General Info'!$B$42), ((SamplingData[[#This Row],[up/U Selection Probability]]) * 'General Info'!$B$44) - 1, 0)</f>
        <v>1255.4983458755969</v>
      </c>
      <c r="AH731" s="99">
        <f>IF(ISNUMBER('General Info'!$B$42), (SamplingData[[#This Row],[Running (cumulative) sum]] * ('General Info'!$B$42 -'General Info'!$B$43 + 1)) + 'General Info'!$B$43 - 1, 0)</f>
        <v>648340.78572727076</v>
      </c>
      <c r="AI731" s="99" t="str">
        <f>IF(ISERROR(MATCH(SamplingData[[#This Row],[Batch by Type (p)]],SelectedPrecincts[Batch Name], 0)), "", INDEX(SelectedPrecincts[Draw], MATCH(SamplingData[[#This Row],[Batch by Type (p)]],SelectedPrecincts[Batch Name], 0)))</f>
        <v/>
      </c>
      <c r="AJ731" s="100">
        <f>IF(COUNTIF(SelectedPrecincts[Batch Name],SamplingData[[#This Row],[Batch by Type (p)]]) &lt;&gt; 0, COUNTIF(SelectedPrecincts[Batch Name],SamplingData[[#This Row],[Batch by Type (p)]]), 0)</f>
        <v>0</v>
      </c>
    </row>
    <row r="732" spans="1:36" ht="15" customHeight="1" x14ac:dyDescent="0.35">
      <c r="A732" s="97" t="s">
        <v>945</v>
      </c>
      <c r="B732" s="97">
        <v>127</v>
      </c>
      <c r="C732" s="97">
        <v>97</v>
      </c>
      <c r="D732" s="92"/>
      <c r="E732" s="92"/>
      <c r="F732" s="92"/>
      <c r="G732" s="96"/>
      <c r="H732" s="96"/>
      <c r="I732" s="92"/>
      <c r="J732" s="92"/>
      <c r="K732" s="92"/>
      <c r="L732" s="92"/>
      <c r="M732" s="92"/>
      <c r="N732" s="97">
        <v>0</v>
      </c>
      <c r="O732" s="97">
        <v>16</v>
      </c>
      <c r="P732" s="98">
        <f>SUM(SamplingData[[#This Row],[Winning Candidate]:[Under Votes]])</f>
        <v>240</v>
      </c>
      <c r="Q732" s="99">
        <f>IF(AND(SamplingData[[#This Row],[Total]]&lt;&gt; 0, NOT(ISBLANK(SamplingData[[#This Row],[Losing Candidate]]))),(SamplingData[[#This Row],[Total]]+SamplingData[[#This Row],[Winning Candidate]]-SamplingData[[#This Row],[Losing Candidate]])/(SamplingData[[#Totals],[Winning Candidate]]-SamplingData[[#Totals],[Losing Candidate]]), 0)</f>
        <v>1.1458156509930402E-2</v>
      </c>
      <c r="R732" s="99">
        <f>IF(AND(SamplingData[[#This Row],[Total]]&lt;&gt; 0, NOT(ISBLANK(SamplingData[[#This Row],[Candidate 3]]))),(SamplingData[[#This Row],[Total]]+SamplingData[[#This Row],[Winning Candidate]]-SamplingData[[#This Row],[Candidate 3]])/(SamplingData[[#Totals],[Winning Candidate]]-SamplingData[[#Totals],[Candidate 3]]), 0)</f>
        <v>0</v>
      </c>
      <c r="S732" s="99">
        <f>IF(AND(SamplingData[[#This Row],[Total]]&lt;&gt; 0, NOT(ISBLANK(SamplingData[[#This Row],[Candidate 4]]))),(SamplingData[[#This Row],[Total]]+SamplingData[[#This Row],[Winning Candidate]]-SamplingData[[#This Row],[Candidate 4]])/(SamplingData[[#Totals],[Winning Candidate]]-SamplingData[[#Totals],[Candidate 4]]), 0)</f>
        <v>0</v>
      </c>
      <c r="T732" s="99">
        <f>IF(AND(SamplingData[[#This Row],[Total]]&lt;&gt; 0, NOT(ISBLANK(SamplingData[[#This Row],[Candidate 5]]))),(SamplingData[[#This Row],[Total]]+SamplingData[[#This Row],[Winning Candidate]]-SamplingData[[#This Row],[Candidate 5]])/(SamplingData[[#Totals],[Winning Candidate]]-SamplingData[[#Totals],[Candidate 5]]), 0)</f>
        <v>0</v>
      </c>
      <c r="U732" s="99">
        <f>IF(AND(SamplingData[[#This Row],[Total]]&lt;&gt; 0, NOT(ISBLANK(SamplingData[[#This Row],[Candidate 6]]))),(SamplingData[[#This Row],[Total]]+SamplingData[[#This Row],[Losing Candidate]]-SamplingData[[#This Row],[Candidate 6]])/(SamplingData[[#Totals],[Winning Candidate]]-SamplingData[[#Totals],[Candidate 6]]), 0)</f>
        <v>0</v>
      </c>
      <c r="V732" s="99">
        <f>IF(AND(SamplingData[[#This Row],[Total]]&lt;&gt; 0, NOT(ISBLANK(SamplingData[[#This Row],[Candidate 7]]))),(SamplingData[[#This Row],[Total]]+SamplingData[[#This Row],[Winning Candidate]]-SamplingData[[#This Row],[Candidate 7]])/(SamplingData[[#Totals],[Winning Candidate]]-SamplingData[[#Totals],[Candidate 7]]), 0)</f>
        <v>0</v>
      </c>
      <c r="W732" s="99">
        <f>IF(AND(SamplingData[[#This Row],[Total]]&lt;&gt; 0, NOT(ISBLANK(SamplingData[[#This Row],[Candidate 8]]))),(SamplingData[[#This Row],[Total]]+SamplingData[[#This Row],[Winning Candidate]]-SamplingData[[#This Row],[Candidate 8]])/(SamplingData[[#Totals],[Winning Candidate]]-SamplingData[[#Totals],[Candidate 8]]), 0)</f>
        <v>0</v>
      </c>
      <c r="X7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2" s="99">
        <f>MAX(SamplingData[[#This Row],[Error Bound (up) - Max. possible relative overstatement - Losing Candidate]:[Error Bound (up) - Max. possible relative overstatement - Candidate 12]])</f>
        <v>1.1458156509930402E-2</v>
      </c>
      <c r="AC732" s="99">
        <f>IF(SamplingData[[#This Row],[Max Error Bound (up)]] = 0,0,SamplingData[[#This Row],[Max Error Bound (up)]]/SamplingData[[#Totals],[Max Error Bound (up)]])</f>
        <v>6.1348020503871822E-4</v>
      </c>
      <c r="AD732" s="103">
        <f>SUM($AC$5:AC732)</f>
        <v>0.64895526593230946</v>
      </c>
      <c r="AE732" s="99" t="str" cm="1">
        <f t="array" ref="AE732">IF(SamplingData[[#This Row],[up/U Selection Probability]] = 0, "Zero", TEXT(SamplingData[[#This Row],[Lower Range]], REPT("0",LEN('General Info'!$B$42))) &amp; " - " &amp; TEXT(SamplingData[[#This Row],[Upper Range]], REPT("0",LEN('General Info'!$B$42))))</f>
        <v>648342 - 648954</v>
      </c>
      <c r="AF732" s="99">
        <f>SamplingData[[#This Row],[Upper Range]]-SamplingData[[#This Row],[Span]]</f>
        <v>648341.78572727076</v>
      </c>
      <c r="AG732" s="99">
        <f>IF(ISNUMBER('General Info'!$B$42), ((SamplingData[[#This Row],[up/U Selection Probability]]) * 'General Info'!$B$44) - 1, 0)</f>
        <v>612.48020503871817</v>
      </c>
      <c r="AH732" s="99">
        <f>IF(ISNUMBER('General Info'!$B$42), (SamplingData[[#This Row],[Running (cumulative) sum]] * ('General Info'!$B$42 -'General Info'!$B$43 + 1)) + 'General Info'!$B$43 - 1, 0)</f>
        <v>648954.26593230944</v>
      </c>
      <c r="AI732" s="99" t="str">
        <f>IF(ISERROR(MATCH(SamplingData[[#This Row],[Batch by Type (p)]],SelectedPrecincts[Batch Name], 0)), "", INDEX(SelectedPrecincts[Draw], MATCH(SamplingData[[#This Row],[Batch by Type (p)]],SelectedPrecincts[Batch Name], 0)))</f>
        <v/>
      </c>
      <c r="AJ732" s="100">
        <f>IF(COUNTIF(SelectedPrecincts[Batch Name],SamplingData[[#This Row],[Batch by Type (p)]]) &lt;&gt; 0, COUNTIF(SelectedPrecincts[Batch Name],SamplingData[[#This Row],[Batch by Type (p)]]), 0)</f>
        <v>0</v>
      </c>
    </row>
    <row r="733" spans="1:36" ht="15" customHeight="1" x14ac:dyDescent="0.35">
      <c r="A733" s="97" t="s">
        <v>946</v>
      </c>
      <c r="B733" s="97">
        <v>324</v>
      </c>
      <c r="C733" s="97">
        <v>251</v>
      </c>
      <c r="D733" s="92"/>
      <c r="E733" s="92"/>
      <c r="F733" s="92"/>
      <c r="G733" s="96"/>
      <c r="H733" s="96"/>
      <c r="I733" s="92"/>
      <c r="J733" s="92"/>
      <c r="K733" s="92"/>
      <c r="L733" s="92"/>
      <c r="M733" s="92"/>
      <c r="N733" s="97">
        <v>0</v>
      </c>
      <c r="O733" s="97">
        <v>53</v>
      </c>
      <c r="P733" s="98">
        <f>SUM(SamplingData[[#This Row],[Winning Candidate]:[Under Votes]])</f>
        <v>628</v>
      </c>
      <c r="Q733" s="99">
        <f>IF(AND(SamplingData[[#This Row],[Total]]&lt;&gt; 0, NOT(ISBLANK(SamplingData[[#This Row],[Losing Candidate]]))),(SamplingData[[#This Row],[Total]]+SamplingData[[#This Row],[Winning Candidate]]-SamplingData[[#This Row],[Losing Candidate]])/(SamplingData[[#Totals],[Winning Candidate]]-SamplingData[[#Totals],[Losing Candidate]]), 0)</f>
        <v>2.9748769309115599E-2</v>
      </c>
      <c r="R733" s="99">
        <f>IF(AND(SamplingData[[#This Row],[Total]]&lt;&gt; 0, NOT(ISBLANK(SamplingData[[#This Row],[Candidate 3]]))),(SamplingData[[#This Row],[Total]]+SamplingData[[#This Row],[Winning Candidate]]-SamplingData[[#This Row],[Candidate 3]])/(SamplingData[[#Totals],[Winning Candidate]]-SamplingData[[#Totals],[Candidate 3]]), 0)</f>
        <v>0</v>
      </c>
      <c r="S733" s="99">
        <f>IF(AND(SamplingData[[#This Row],[Total]]&lt;&gt; 0, NOT(ISBLANK(SamplingData[[#This Row],[Candidate 4]]))),(SamplingData[[#This Row],[Total]]+SamplingData[[#This Row],[Winning Candidate]]-SamplingData[[#This Row],[Candidate 4]])/(SamplingData[[#Totals],[Winning Candidate]]-SamplingData[[#Totals],[Candidate 4]]), 0)</f>
        <v>0</v>
      </c>
      <c r="T733" s="99">
        <f>IF(AND(SamplingData[[#This Row],[Total]]&lt;&gt; 0, NOT(ISBLANK(SamplingData[[#This Row],[Candidate 5]]))),(SamplingData[[#This Row],[Total]]+SamplingData[[#This Row],[Winning Candidate]]-SamplingData[[#This Row],[Candidate 5]])/(SamplingData[[#Totals],[Winning Candidate]]-SamplingData[[#Totals],[Candidate 5]]), 0)</f>
        <v>0</v>
      </c>
      <c r="U733" s="99">
        <f>IF(AND(SamplingData[[#This Row],[Total]]&lt;&gt; 0, NOT(ISBLANK(SamplingData[[#This Row],[Candidate 6]]))),(SamplingData[[#This Row],[Total]]+SamplingData[[#This Row],[Losing Candidate]]-SamplingData[[#This Row],[Candidate 6]])/(SamplingData[[#Totals],[Winning Candidate]]-SamplingData[[#Totals],[Candidate 6]]), 0)</f>
        <v>0</v>
      </c>
      <c r="V733" s="99">
        <f>IF(AND(SamplingData[[#This Row],[Total]]&lt;&gt; 0, NOT(ISBLANK(SamplingData[[#This Row],[Candidate 7]]))),(SamplingData[[#This Row],[Total]]+SamplingData[[#This Row],[Winning Candidate]]-SamplingData[[#This Row],[Candidate 7]])/(SamplingData[[#Totals],[Winning Candidate]]-SamplingData[[#Totals],[Candidate 7]]), 0)</f>
        <v>0</v>
      </c>
      <c r="W733" s="99">
        <f>IF(AND(SamplingData[[#This Row],[Total]]&lt;&gt; 0, NOT(ISBLANK(SamplingData[[#This Row],[Candidate 8]]))),(SamplingData[[#This Row],[Total]]+SamplingData[[#This Row],[Winning Candidate]]-SamplingData[[#This Row],[Candidate 8]])/(SamplingData[[#Totals],[Winning Candidate]]-SamplingData[[#Totals],[Candidate 8]]), 0)</f>
        <v>0</v>
      </c>
      <c r="X7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3" s="99">
        <f>MAX(SamplingData[[#This Row],[Error Bound (up) - Max. possible relative overstatement - Losing Candidate]:[Error Bound (up) - Max. possible relative overstatement - Candidate 12]])</f>
        <v>2.9748769309115599E-2</v>
      </c>
      <c r="AC733" s="99">
        <f>IF(SamplingData[[#This Row],[Max Error Bound (up)]] = 0,0,SamplingData[[#This Row],[Max Error Bound (up)]]/SamplingData[[#Totals],[Max Error Bound (up)]])</f>
        <v>1.5927763841931165E-3</v>
      </c>
      <c r="AD733" s="103">
        <f>SUM($AC$5:AC733)</f>
        <v>0.65054804231650254</v>
      </c>
      <c r="AE733" s="99" t="str" cm="1">
        <f t="array" ref="AE733">IF(SamplingData[[#This Row],[up/U Selection Probability]] = 0, "Zero", TEXT(SamplingData[[#This Row],[Lower Range]], REPT("0",LEN('General Info'!$B$42))) &amp; " - " &amp; TEXT(SamplingData[[#This Row],[Upper Range]], REPT("0",LEN('General Info'!$B$42))))</f>
        <v>648955 - 650547</v>
      </c>
      <c r="AF733" s="99">
        <f>SamplingData[[#This Row],[Upper Range]]-SamplingData[[#This Row],[Span]]</f>
        <v>648955.26593230944</v>
      </c>
      <c r="AG733" s="99">
        <f>IF(ISNUMBER('General Info'!$B$42), ((SamplingData[[#This Row],[up/U Selection Probability]]) * 'General Info'!$B$44) - 1, 0)</f>
        <v>1591.7763841931164</v>
      </c>
      <c r="AH733" s="99">
        <f>IF(ISNUMBER('General Info'!$B$42), (SamplingData[[#This Row],[Running (cumulative) sum]] * ('General Info'!$B$42 -'General Info'!$B$43 + 1)) + 'General Info'!$B$43 - 1, 0)</f>
        <v>650547.04231650254</v>
      </c>
      <c r="AI733" s="99" t="str">
        <f>IF(ISERROR(MATCH(SamplingData[[#This Row],[Batch by Type (p)]],SelectedPrecincts[Batch Name], 0)), "", INDEX(SelectedPrecincts[Draw], MATCH(SamplingData[[#This Row],[Batch by Type (p)]],SelectedPrecincts[Batch Name], 0)))</f>
        <v/>
      </c>
      <c r="AJ733" s="100">
        <f>IF(COUNTIF(SelectedPrecincts[Batch Name],SamplingData[[#This Row],[Batch by Type (p)]]) &lt;&gt; 0, COUNTIF(SelectedPrecincts[Batch Name],SamplingData[[#This Row],[Batch by Type (p)]]), 0)</f>
        <v>0</v>
      </c>
    </row>
    <row r="734" spans="1:36" ht="15" customHeight="1" x14ac:dyDescent="0.35">
      <c r="A734" s="97" t="s">
        <v>947</v>
      </c>
      <c r="B734" s="97">
        <v>210</v>
      </c>
      <c r="C734" s="97">
        <v>234</v>
      </c>
      <c r="D734" s="92"/>
      <c r="E734" s="92"/>
      <c r="F734" s="92"/>
      <c r="G734" s="96"/>
      <c r="H734" s="96"/>
      <c r="I734" s="92"/>
      <c r="J734" s="92"/>
      <c r="K734" s="92"/>
      <c r="L734" s="92"/>
      <c r="M734" s="92"/>
      <c r="N734" s="97">
        <v>0</v>
      </c>
      <c r="O734" s="97">
        <v>25</v>
      </c>
      <c r="P734" s="98">
        <f>SUM(SamplingData[[#This Row],[Winning Candidate]:[Under Votes]])</f>
        <v>469</v>
      </c>
      <c r="Q734" s="99">
        <f>IF(AND(SamplingData[[#This Row],[Total]]&lt;&gt; 0, NOT(ISBLANK(SamplingData[[#This Row],[Losing Candidate]]))),(SamplingData[[#This Row],[Total]]+SamplingData[[#This Row],[Winning Candidate]]-SamplingData[[#This Row],[Losing Candidate]])/(SamplingData[[#Totals],[Winning Candidate]]-SamplingData[[#Totals],[Losing Candidate]]), 0)</f>
        <v>1.888473943303344E-2</v>
      </c>
      <c r="R734" s="99">
        <f>IF(AND(SamplingData[[#This Row],[Total]]&lt;&gt; 0, NOT(ISBLANK(SamplingData[[#This Row],[Candidate 3]]))),(SamplingData[[#This Row],[Total]]+SamplingData[[#This Row],[Winning Candidate]]-SamplingData[[#This Row],[Candidate 3]])/(SamplingData[[#Totals],[Winning Candidate]]-SamplingData[[#Totals],[Candidate 3]]), 0)</f>
        <v>0</v>
      </c>
      <c r="S734" s="99">
        <f>IF(AND(SamplingData[[#This Row],[Total]]&lt;&gt; 0, NOT(ISBLANK(SamplingData[[#This Row],[Candidate 4]]))),(SamplingData[[#This Row],[Total]]+SamplingData[[#This Row],[Winning Candidate]]-SamplingData[[#This Row],[Candidate 4]])/(SamplingData[[#Totals],[Winning Candidate]]-SamplingData[[#Totals],[Candidate 4]]), 0)</f>
        <v>0</v>
      </c>
      <c r="T734" s="99">
        <f>IF(AND(SamplingData[[#This Row],[Total]]&lt;&gt; 0, NOT(ISBLANK(SamplingData[[#This Row],[Candidate 5]]))),(SamplingData[[#This Row],[Total]]+SamplingData[[#This Row],[Winning Candidate]]-SamplingData[[#This Row],[Candidate 5]])/(SamplingData[[#Totals],[Winning Candidate]]-SamplingData[[#Totals],[Candidate 5]]), 0)</f>
        <v>0</v>
      </c>
      <c r="U734" s="99">
        <f>IF(AND(SamplingData[[#This Row],[Total]]&lt;&gt; 0, NOT(ISBLANK(SamplingData[[#This Row],[Candidate 6]]))),(SamplingData[[#This Row],[Total]]+SamplingData[[#This Row],[Losing Candidate]]-SamplingData[[#This Row],[Candidate 6]])/(SamplingData[[#Totals],[Winning Candidate]]-SamplingData[[#Totals],[Candidate 6]]), 0)</f>
        <v>0</v>
      </c>
      <c r="V734" s="99">
        <f>IF(AND(SamplingData[[#This Row],[Total]]&lt;&gt; 0, NOT(ISBLANK(SamplingData[[#This Row],[Candidate 7]]))),(SamplingData[[#This Row],[Total]]+SamplingData[[#This Row],[Winning Candidate]]-SamplingData[[#This Row],[Candidate 7]])/(SamplingData[[#Totals],[Winning Candidate]]-SamplingData[[#Totals],[Candidate 7]]), 0)</f>
        <v>0</v>
      </c>
      <c r="W734" s="99">
        <f>IF(AND(SamplingData[[#This Row],[Total]]&lt;&gt; 0, NOT(ISBLANK(SamplingData[[#This Row],[Candidate 8]]))),(SamplingData[[#This Row],[Total]]+SamplingData[[#This Row],[Winning Candidate]]-SamplingData[[#This Row],[Candidate 8]])/(SamplingData[[#Totals],[Winning Candidate]]-SamplingData[[#Totals],[Candidate 8]]), 0)</f>
        <v>0</v>
      </c>
      <c r="X7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4" s="99">
        <f>MAX(SamplingData[[#This Row],[Error Bound (up) - Max. possible relative overstatement - Losing Candidate]:[Error Bound (up) - Max. possible relative overstatement - Candidate 12]])</f>
        <v>1.888473943303344E-2</v>
      </c>
      <c r="AC734" s="99">
        <f>IF(SamplingData[[#This Row],[Max Error Bound (up)]] = 0,0,SamplingData[[#This Row],[Max Error Bound (up)]]/SamplingData[[#Totals],[Max Error Bound (up)]])</f>
        <v>1.0111062638601097E-3</v>
      </c>
      <c r="AD734" s="103">
        <f>SUM($AC$5:AC734)</f>
        <v>0.65155914858036268</v>
      </c>
      <c r="AE734" s="99" t="str" cm="1">
        <f t="array" ref="AE734">IF(SamplingData[[#This Row],[up/U Selection Probability]] = 0, "Zero", TEXT(SamplingData[[#This Row],[Lower Range]], REPT("0",LEN('General Info'!$B$42))) &amp; " - " &amp; TEXT(SamplingData[[#This Row],[Upper Range]], REPT("0",LEN('General Info'!$B$42))))</f>
        <v>650548 - 651558</v>
      </c>
      <c r="AF734" s="99">
        <f>SamplingData[[#This Row],[Upper Range]]-SamplingData[[#This Row],[Span]]</f>
        <v>650548.04231650254</v>
      </c>
      <c r="AG734" s="99">
        <f>IF(ISNUMBER('General Info'!$B$42), ((SamplingData[[#This Row],[up/U Selection Probability]]) * 'General Info'!$B$44) - 1, 0)</f>
        <v>1010.1062638601096</v>
      </c>
      <c r="AH734" s="99">
        <f>IF(ISNUMBER('General Info'!$B$42), (SamplingData[[#This Row],[Running (cumulative) sum]] * ('General Info'!$B$42 -'General Info'!$B$43 + 1)) + 'General Info'!$B$43 - 1, 0)</f>
        <v>651558.14858036267</v>
      </c>
      <c r="AI734" s="99" t="str">
        <f>IF(ISERROR(MATCH(SamplingData[[#This Row],[Batch by Type (p)]],SelectedPrecincts[Batch Name], 0)), "", INDEX(SelectedPrecincts[Draw], MATCH(SamplingData[[#This Row],[Batch by Type (p)]],SelectedPrecincts[Batch Name], 0)))</f>
        <v/>
      </c>
      <c r="AJ734" s="100">
        <f>IF(COUNTIF(SelectedPrecincts[Batch Name],SamplingData[[#This Row],[Batch by Type (p)]]) &lt;&gt; 0, COUNTIF(SelectedPrecincts[Batch Name],SamplingData[[#This Row],[Batch by Type (p)]]), 0)</f>
        <v>0</v>
      </c>
    </row>
    <row r="735" spans="1:36" ht="15" customHeight="1" x14ac:dyDescent="0.35">
      <c r="A735" s="97" t="s">
        <v>948</v>
      </c>
      <c r="B735" s="97">
        <v>290</v>
      </c>
      <c r="C735" s="97">
        <v>76</v>
      </c>
      <c r="D735" s="92"/>
      <c r="E735" s="92"/>
      <c r="F735" s="92"/>
      <c r="G735" s="96"/>
      <c r="H735" s="96"/>
      <c r="I735" s="92"/>
      <c r="J735" s="92"/>
      <c r="K735" s="92"/>
      <c r="L735" s="92"/>
      <c r="M735" s="92"/>
      <c r="N735" s="97">
        <v>0</v>
      </c>
      <c r="O735" s="97">
        <v>29</v>
      </c>
      <c r="P735" s="98">
        <f>SUM(SamplingData[[#This Row],[Winning Candidate]:[Under Votes]])</f>
        <v>395</v>
      </c>
      <c r="Q735" s="99">
        <f>IF(AND(SamplingData[[#This Row],[Total]]&lt;&gt; 0, NOT(ISBLANK(SamplingData[[#This Row],[Losing Candidate]]))),(SamplingData[[#This Row],[Total]]+SamplingData[[#This Row],[Winning Candidate]]-SamplingData[[#This Row],[Losing Candidate]])/(SamplingData[[#Totals],[Winning Candidate]]-SamplingData[[#Totals],[Losing Candidate]]), 0)</f>
        <v>2.5844508572398575E-2</v>
      </c>
      <c r="R735" s="99">
        <f>IF(AND(SamplingData[[#This Row],[Total]]&lt;&gt; 0, NOT(ISBLANK(SamplingData[[#This Row],[Candidate 3]]))),(SamplingData[[#This Row],[Total]]+SamplingData[[#This Row],[Winning Candidate]]-SamplingData[[#This Row],[Candidate 3]])/(SamplingData[[#Totals],[Winning Candidate]]-SamplingData[[#Totals],[Candidate 3]]), 0)</f>
        <v>0</v>
      </c>
      <c r="S735" s="99">
        <f>IF(AND(SamplingData[[#This Row],[Total]]&lt;&gt; 0, NOT(ISBLANK(SamplingData[[#This Row],[Candidate 4]]))),(SamplingData[[#This Row],[Total]]+SamplingData[[#This Row],[Winning Candidate]]-SamplingData[[#This Row],[Candidate 4]])/(SamplingData[[#Totals],[Winning Candidate]]-SamplingData[[#Totals],[Candidate 4]]), 0)</f>
        <v>0</v>
      </c>
      <c r="T735" s="99">
        <f>IF(AND(SamplingData[[#This Row],[Total]]&lt;&gt; 0, NOT(ISBLANK(SamplingData[[#This Row],[Candidate 5]]))),(SamplingData[[#This Row],[Total]]+SamplingData[[#This Row],[Winning Candidate]]-SamplingData[[#This Row],[Candidate 5]])/(SamplingData[[#Totals],[Winning Candidate]]-SamplingData[[#Totals],[Candidate 5]]), 0)</f>
        <v>0</v>
      </c>
      <c r="U735" s="99">
        <f>IF(AND(SamplingData[[#This Row],[Total]]&lt;&gt; 0, NOT(ISBLANK(SamplingData[[#This Row],[Candidate 6]]))),(SamplingData[[#This Row],[Total]]+SamplingData[[#This Row],[Losing Candidate]]-SamplingData[[#This Row],[Candidate 6]])/(SamplingData[[#Totals],[Winning Candidate]]-SamplingData[[#Totals],[Candidate 6]]), 0)</f>
        <v>0</v>
      </c>
      <c r="V735" s="99">
        <f>IF(AND(SamplingData[[#This Row],[Total]]&lt;&gt; 0, NOT(ISBLANK(SamplingData[[#This Row],[Candidate 7]]))),(SamplingData[[#This Row],[Total]]+SamplingData[[#This Row],[Winning Candidate]]-SamplingData[[#This Row],[Candidate 7]])/(SamplingData[[#Totals],[Winning Candidate]]-SamplingData[[#Totals],[Candidate 7]]), 0)</f>
        <v>0</v>
      </c>
      <c r="W735" s="99">
        <f>IF(AND(SamplingData[[#This Row],[Total]]&lt;&gt; 0, NOT(ISBLANK(SamplingData[[#This Row],[Candidate 8]]))),(SamplingData[[#This Row],[Total]]+SamplingData[[#This Row],[Winning Candidate]]-SamplingData[[#This Row],[Candidate 8]])/(SamplingData[[#Totals],[Winning Candidate]]-SamplingData[[#Totals],[Candidate 8]]), 0)</f>
        <v>0</v>
      </c>
      <c r="X7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5" s="99">
        <f>MAX(SamplingData[[#This Row],[Error Bound (up) - Max. possible relative overstatement - Losing Candidate]:[Error Bound (up) - Max. possible relative overstatement - Candidate 12]])</f>
        <v>2.5844508572398575E-2</v>
      </c>
      <c r="AC735" s="99">
        <f>IF(SamplingData[[#This Row],[Max Error Bound (up)]] = 0,0,SamplingData[[#This Row],[Max Error Bound (up)]]/SamplingData[[#Totals],[Max Error Bound (up)]])</f>
        <v>1.3837386846984423E-3</v>
      </c>
      <c r="AD735" s="103">
        <f>SUM($AC$5:AC735)</f>
        <v>0.65294288726506111</v>
      </c>
      <c r="AE735" s="99" t="str" cm="1">
        <f t="array" ref="AE735">IF(SamplingData[[#This Row],[up/U Selection Probability]] = 0, "Zero", TEXT(SamplingData[[#This Row],[Lower Range]], REPT("0",LEN('General Info'!$B$42))) &amp; " - " &amp; TEXT(SamplingData[[#This Row],[Upper Range]], REPT("0",LEN('General Info'!$B$42))))</f>
        <v>651559 - 652942</v>
      </c>
      <c r="AF735" s="99">
        <f>SamplingData[[#This Row],[Upper Range]]-SamplingData[[#This Row],[Span]]</f>
        <v>651559.14858036267</v>
      </c>
      <c r="AG735" s="99">
        <f>IF(ISNUMBER('General Info'!$B$42), ((SamplingData[[#This Row],[up/U Selection Probability]]) * 'General Info'!$B$44) - 1, 0)</f>
        <v>1382.7386846984423</v>
      </c>
      <c r="AH735" s="99">
        <f>IF(ISNUMBER('General Info'!$B$42), (SamplingData[[#This Row],[Running (cumulative) sum]] * ('General Info'!$B$42 -'General Info'!$B$43 + 1)) + 'General Info'!$B$43 - 1, 0)</f>
        <v>652941.88726506114</v>
      </c>
      <c r="AI735" s="99" t="str">
        <f>IF(ISERROR(MATCH(SamplingData[[#This Row],[Batch by Type (p)]],SelectedPrecincts[Batch Name], 0)), "", INDEX(SelectedPrecincts[Draw], MATCH(SamplingData[[#This Row],[Batch by Type (p)]],SelectedPrecincts[Batch Name], 0)))</f>
        <v/>
      </c>
      <c r="AJ735" s="100">
        <f>IF(COUNTIF(SelectedPrecincts[Batch Name],SamplingData[[#This Row],[Batch by Type (p)]]) &lt;&gt; 0, COUNTIF(SelectedPrecincts[Batch Name],SamplingData[[#This Row],[Batch by Type (p)]]), 0)</f>
        <v>0</v>
      </c>
    </row>
    <row r="736" spans="1:36" ht="15" customHeight="1" x14ac:dyDescent="0.35">
      <c r="A736" s="97" t="s">
        <v>949</v>
      </c>
      <c r="B736" s="97">
        <v>284</v>
      </c>
      <c r="C736" s="97">
        <v>172</v>
      </c>
      <c r="D736" s="92"/>
      <c r="E736" s="92"/>
      <c r="F736" s="92"/>
      <c r="G736" s="96"/>
      <c r="H736" s="96"/>
      <c r="I736" s="92"/>
      <c r="J736" s="92"/>
      <c r="K736" s="92"/>
      <c r="L736" s="92"/>
      <c r="M736" s="92"/>
      <c r="N736" s="97">
        <v>0</v>
      </c>
      <c r="O736" s="97">
        <v>25</v>
      </c>
      <c r="P736" s="98">
        <f>SUM(SamplingData[[#This Row],[Winning Candidate]:[Under Votes]])</f>
        <v>481</v>
      </c>
      <c r="Q736" s="99">
        <f>IF(AND(SamplingData[[#This Row],[Total]]&lt;&gt; 0, NOT(ISBLANK(SamplingData[[#This Row],[Losing Candidate]]))),(SamplingData[[#This Row],[Total]]+SamplingData[[#This Row],[Winning Candidate]]-SamplingData[[#This Row],[Losing Candidate]])/(SamplingData[[#Totals],[Winning Candidate]]-SamplingData[[#Totals],[Losing Candidate]]), 0)</f>
        <v>2.5165506705143441E-2</v>
      </c>
      <c r="R736" s="99">
        <f>IF(AND(SamplingData[[#This Row],[Total]]&lt;&gt; 0, NOT(ISBLANK(SamplingData[[#This Row],[Candidate 3]]))),(SamplingData[[#This Row],[Total]]+SamplingData[[#This Row],[Winning Candidate]]-SamplingData[[#This Row],[Candidate 3]])/(SamplingData[[#Totals],[Winning Candidate]]-SamplingData[[#Totals],[Candidate 3]]), 0)</f>
        <v>0</v>
      </c>
      <c r="S736" s="99">
        <f>IF(AND(SamplingData[[#This Row],[Total]]&lt;&gt; 0, NOT(ISBLANK(SamplingData[[#This Row],[Candidate 4]]))),(SamplingData[[#This Row],[Total]]+SamplingData[[#This Row],[Winning Candidate]]-SamplingData[[#This Row],[Candidate 4]])/(SamplingData[[#Totals],[Winning Candidate]]-SamplingData[[#Totals],[Candidate 4]]), 0)</f>
        <v>0</v>
      </c>
      <c r="T736" s="99">
        <f>IF(AND(SamplingData[[#This Row],[Total]]&lt;&gt; 0, NOT(ISBLANK(SamplingData[[#This Row],[Candidate 5]]))),(SamplingData[[#This Row],[Total]]+SamplingData[[#This Row],[Winning Candidate]]-SamplingData[[#This Row],[Candidate 5]])/(SamplingData[[#Totals],[Winning Candidate]]-SamplingData[[#Totals],[Candidate 5]]), 0)</f>
        <v>0</v>
      </c>
      <c r="U736" s="99">
        <f>IF(AND(SamplingData[[#This Row],[Total]]&lt;&gt; 0, NOT(ISBLANK(SamplingData[[#This Row],[Candidate 6]]))),(SamplingData[[#This Row],[Total]]+SamplingData[[#This Row],[Losing Candidate]]-SamplingData[[#This Row],[Candidate 6]])/(SamplingData[[#Totals],[Winning Candidate]]-SamplingData[[#Totals],[Candidate 6]]), 0)</f>
        <v>0</v>
      </c>
      <c r="V736" s="99">
        <f>IF(AND(SamplingData[[#This Row],[Total]]&lt;&gt; 0, NOT(ISBLANK(SamplingData[[#This Row],[Candidate 7]]))),(SamplingData[[#This Row],[Total]]+SamplingData[[#This Row],[Winning Candidate]]-SamplingData[[#This Row],[Candidate 7]])/(SamplingData[[#Totals],[Winning Candidate]]-SamplingData[[#Totals],[Candidate 7]]), 0)</f>
        <v>0</v>
      </c>
      <c r="W736" s="99">
        <f>IF(AND(SamplingData[[#This Row],[Total]]&lt;&gt; 0, NOT(ISBLANK(SamplingData[[#This Row],[Candidate 8]]))),(SamplingData[[#This Row],[Total]]+SamplingData[[#This Row],[Winning Candidate]]-SamplingData[[#This Row],[Candidate 8]])/(SamplingData[[#Totals],[Winning Candidate]]-SamplingData[[#Totals],[Candidate 8]]), 0)</f>
        <v>0</v>
      </c>
      <c r="X7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6" s="99">
        <f>MAX(SamplingData[[#This Row],[Error Bound (up) - Max. possible relative overstatement - Losing Candidate]:[Error Bound (up) - Max. possible relative overstatement - Candidate 12]])</f>
        <v>2.5165506705143441E-2</v>
      </c>
      <c r="AC736" s="99">
        <f>IF(SamplingData[[#This Row],[Max Error Bound (up)]] = 0,0,SamplingData[[#This Row],[Max Error Bound (up)]]/SamplingData[[#Totals],[Max Error Bound (up)]])</f>
        <v>1.3473843021776294E-3</v>
      </c>
      <c r="AD736" s="103">
        <f>SUM($AC$5:AC736)</f>
        <v>0.65429027156723873</v>
      </c>
      <c r="AE736" s="99" t="str" cm="1">
        <f t="array" ref="AE736">IF(SamplingData[[#This Row],[up/U Selection Probability]] = 0, "Zero", TEXT(SamplingData[[#This Row],[Lower Range]], REPT("0",LEN('General Info'!$B$42))) &amp; " - " &amp; TEXT(SamplingData[[#This Row],[Upper Range]], REPT("0",LEN('General Info'!$B$42))))</f>
        <v>652943 - 654289</v>
      </c>
      <c r="AF736" s="99">
        <f>SamplingData[[#This Row],[Upper Range]]-SamplingData[[#This Row],[Span]]</f>
        <v>652942.88726506114</v>
      </c>
      <c r="AG736" s="99">
        <f>IF(ISNUMBER('General Info'!$B$42), ((SamplingData[[#This Row],[up/U Selection Probability]]) * 'General Info'!$B$44) - 1, 0)</f>
        <v>1346.3843021776293</v>
      </c>
      <c r="AH736" s="99">
        <f>IF(ISNUMBER('General Info'!$B$42), (SamplingData[[#This Row],[Running (cumulative) sum]] * ('General Info'!$B$42 -'General Info'!$B$43 + 1)) + 'General Info'!$B$43 - 1, 0)</f>
        <v>654289.27156723873</v>
      </c>
      <c r="AI736" s="99" t="str">
        <f>IF(ISERROR(MATCH(SamplingData[[#This Row],[Batch by Type (p)]],SelectedPrecincts[Batch Name], 0)), "", INDEX(SelectedPrecincts[Draw], MATCH(SamplingData[[#This Row],[Batch by Type (p)]],SelectedPrecincts[Batch Name], 0)))</f>
        <v/>
      </c>
      <c r="AJ736" s="100">
        <f>IF(COUNTIF(SelectedPrecincts[Batch Name],SamplingData[[#This Row],[Batch by Type (p)]]) &lt;&gt; 0, COUNTIF(SelectedPrecincts[Batch Name],SamplingData[[#This Row],[Batch by Type (p)]]), 0)</f>
        <v>0</v>
      </c>
    </row>
    <row r="737" spans="1:36" ht="15" customHeight="1" x14ac:dyDescent="0.35">
      <c r="A737" s="97" t="s">
        <v>950</v>
      </c>
      <c r="B737" s="97">
        <v>165</v>
      </c>
      <c r="C737" s="97">
        <v>43</v>
      </c>
      <c r="D737" s="92"/>
      <c r="E737" s="92"/>
      <c r="F737" s="92"/>
      <c r="G737" s="96"/>
      <c r="H737" s="96"/>
      <c r="I737" s="92"/>
      <c r="J737" s="92"/>
      <c r="K737" s="92"/>
      <c r="L737" s="92"/>
      <c r="M737" s="92"/>
      <c r="N737" s="97">
        <v>0</v>
      </c>
      <c r="O737" s="97">
        <v>23</v>
      </c>
      <c r="P737" s="98">
        <f>SUM(SamplingData[[#This Row],[Winning Candidate]:[Under Votes]])</f>
        <v>231</v>
      </c>
      <c r="Q737" s="99">
        <f>IF(AND(SamplingData[[#This Row],[Total]]&lt;&gt; 0, NOT(ISBLANK(SamplingData[[#This Row],[Losing Candidate]]))),(SamplingData[[#This Row],[Total]]+SamplingData[[#This Row],[Winning Candidate]]-SamplingData[[#This Row],[Losing Candidate]])/(SamplingData[[#Totals],[Winning Candidate]]-SamplingData[[#Totals],[Losing Candidate]]), 0)</f>
        <v>1.4980478696316414E-2</v>
      </c>
      <c r="R737" s="99">
        <f>IF(AND(SamplingData[[#This Row],[Total]]&lt;&gt; 0, NOT(ISBLANK(SamplingData[[#This Row],[Candidate 3]]))),(SamplingData[[#This Row],[Total]]+SamplingData[[#This Row],[Winning Candidate]]-SamplingData[[#This Row],[Candidate 3]])/(SamplingData[[#Totals],[Winning Candidate]]-SamplingData[[#Totals],[Candidate 3]]), 0)</f>
        <v>0</v>
      </c>
      <c r="S737" s="99">
        <f>IF(AND(SamplingData[[#This Row],[Total]]&lt;&gt; 0, NOT(ISBLANK(SamplingData[[#This Row],[Candidate 4]]))),(SamplingData[[#This Row],[Total]]+SamplingData[[#This Row],[Winning Candidate]]-SamplingData[[#This Row],[Candidate 4]])/(SamplingData[[#Totals],[Winning Candidate]]-SamplingData[[#Totals],[Candidate 4]]), 0)</f>
        <v>0</v>
      </c>
      <c r="T737" s="99">
        <f>IF(AND(SamplingData[[#This Row],[Total]]&lt;&gt; 0, NOT(ISBLANK(SamplingData[[#This Row],[Candidate 5]]))),(SamplingData[[#This Row],[Total]]+SamplingData[[#This Row],[Winning Candidate]]-SamplingData[[#This Row],[Candidate 5]])/(SamplingData[[#Totals],[Winning Candidate]]-SamplingData[[#Totals],[Candidate 5]]), 0)</f>
        <v>0</v>
      </c>
      <c r="U737" s="99">
        <f>IF(AND(SamplingData[[#This Row],[Total]]&lt;&gt; 0, NOT(ISBLANK(SamplingData[[#This Row],[Candidate 6]]))),(SamplingData[[#This Row],[Total]]+SamplingData[[#This Row],[Losing Candidate]]-SamplingData[[#This Row],[Candidate 6]])/(SamplingData[[#Totals],[Winning Candidate]]-SamplingData[[#Totals],[Candidate 6]]), 0)</f>
        <v>0</v>
      </c>
      <c r="V737" s="99">
        <f>IF(AND(SamplingData[[#This Row],[Total]]&lt;&gt; 0, NOT(ISBLANK(SamplingData[[#This Row],[Candidate 7]]))),(SamplingData[[#This Row],[Total]]+SamplingData[[#This Row],[Winning Candidate]]-SamplingData[[#This Row],[Candidate 7]])/(SamplingData[[#Totals],[Winning Candidate]]-SamplingData[[#Totals],[Candidate 7]]), 0)</f>
        <v>0</v>
      </c>
      <c r="W737" s="99">
        <f>IF(AND(SamplingData[[#This Row],[Total]]&lt;&gt; 0, NOT(ISBLANK(SamplingData[[#This Row],[Candidate 8]]))),(SamplingData[[#This Row],[Total]]+SamplingData[[#This Row],[Winning Candidate]]-SamplingData[[#This Row],[Candidate 8]])/(SamplingData[[#Totals],[Winning Candidate]]-SamplingData[[#Totals],[Candidate 8]]), 0)</f>
        <v>0</v>
      </c>
      <c r="X7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7" s="99">
        <f>MAX(SamplingData[[#This Row],[Error Bound (up) - Max. possible relative overstatement - Losing Candidate]:[Error Bound (up) - Max. possible relative overstatement - Candidate 12]])</f>
        <v>1.4980478696316414E-2</v>
      </c>
      <c r="AC737" s="99">
        <f>IF(SamplingData[[#This Row],[Max Error Bound (up)]] = 0,0,SamplingData[[#This Row],[Max Error Bound (up)]]/SamplingData[[#Totals],[Max Error Bound (up)]])</f>
        <v>8.0206856436543521E-4</v>
      </c>
      <c r="AD737" s="103">
        <f>SUM($AC$5:AC737)</f>
        <v>0.65509234013160422</v>
      </c>
      <c r="AE737" s="99" t="str" cm="1">
        <f t="array" ref="AE737">IF(SamplingData[[#This Row],[up/U Selection Probability]] = 0, "Zero", TEXT(SamplingData[[#This Row],[Lower Range]], REPT("0",LEN('General Info'!$B$42))) &amp; " - " &amp; TEXT(SamplingData[[#This Row],[Upper Range]], REPT("0",LEN('General Info'!$B$42))))</f>
        <v>654290 - 655091</v>
      </c>
      <c r="AF737" s="99">
        <f>SamplingData[[#This Row],[Upper Range]]-SamplingData[[#This Row],[Span]]</f>
        <v>654290.27156723884</v>
      </c>
      <c r="AG737" s="99">
        <f>IF(ISNUMBER('General Info'!$B$42), ((SamplingData[[#This Row],[up/U Selection Probability]]) * 'General Info'!$B$44) - 1, 0)</f>
        <v>801.06856436543524</v>
      </c>
      <c r="AH737" s="99">
        <f>IF(ISNUMBER('General Info'!$B$42), (SamplingData[[#This Row],[Running (cumulative) sum]] * ('General Info'!$B$42 -'General Info'!$B$43 + 1)) + 'General Info'!$B$43 - 1, 0)</f>
        <v>655091.34013160423</v>
      </c>
      <c r="AI737" s="99" t="str">
        <f>IF(ISERROR(MATCH(SamplingData[[#This Row],[Batch by Type (p)]],SelectedPrecincts[Batch Name], 0)), "", INDEX(SelectedPrecincts[Draw], MATCH(SamplingData[[#This Row],[Batch by Type (p)]],SelectedPrecincts[Batch Name], 0)))</f>
        <v/>
      </c>
      <c r="AJ737" s="100">
        <f>IF(COUNTIF(SelectedPrecincts[Batch Name],SamplingData[[#This Row],[Batch by Type (p)]]) &lt;&gt; 0, COUNTIF(SelectedPrecincts[Batch Name],SamplingData[[#This Row],[Batch by Type (p)]]), 0)</f>
        <v>0</v>
      </c>
    </row>
    <row r="738" spans="1:36" ht="15" customHeight="1" x14ac:dyDescent="0.35">
      <c r="A738" s="97" t="s">
        <v>951</v>
      </c>
      <c r="B738" s="97">
        <v>295</v>
      </c>
      <c r="C738" s="97">
        <v>232</v>
      </c>
      <c r="D738" s="92"/>
      <c r="E738" s="92"/>
      <c r="F738" s="92"/>
      <c r="G738" s="96"/>
      <c r="H738" s="96"/>
      <c r="I738" s="92"/>
      <c r="J738" s="92"/>
      <c r="K738" s="92"/>
      <c r="L738" s="92"/>
      <c r="M738" s="92"/>
      <c r="N738" s="97">
        <v>0</v>
      </c>
      <c r="O738" s="97">
        <v>47</v>
      </c>
      <c r="P738" s="98">
        <f>SUM(SamplingData[[#This Row],[Winning Candidate]:[Under Votes]])</f>
        <v>574</v>
      </c>
      <c r="Q738" s="99">
        <f>IF(AND(SamplingData[[#This Row],[Total]]&lt;&gt; 0, NOT(ISBLANK(SamplingData[[#This Row],[Losing Candidate]]))),(SamplingData[[#This Row],[Total]]+SamplingData[[#This Row],[Winning Candidate]]-SamplingData[[#This Row],[Losing Candidate]])/(SamplingData[[#Totals],[Winning Candidate]]-SamplingData[[#Totals],[Losing Candidate]]), 0)</f>
        <v>2.7032761840095062E-2</v>
      </c>
      <c r="R738" s="99">
        <f>IF(AND(SamplingData[[#This Row],[Total]]&lt;&gt; 0, NOT(ISBLANK(SamplingData[[#This Row],[Candidate 3]]))),(SamplingData[[#This Row],[Total]]+SamplingData[[#This Row],[Winning Candidate]]-SamplingData[[#This Row],[Candidate 3]])/(SamplingData[[#Totals],[Winning Candidate]]-SamplingData[[#Totals],[Candidate 3]]), 0)</f>
        <v>0</v>
      </c>
      <c r="S738" s="99">
        <f>IF(AND(SamplingData[[#This Row],[Total]]&lt;&gt; 0, NOT(ISBLANK(SamplingData[[#This Row],[Candidate 4]]))),(SamplingData[[#This Row],[Total]]+SamplingData[[#This Row],[Winning Candidate]]-SamplingData[[#This Row],[Candidate 4]])/(SamplingData[[#Totals],[Winning Candidate]]-SamplingData[[#Totals],[Candidate 4]]), 0)</f>
        <v>0</v>
      </c>
      <c r="T738" s="99">
        <f>IF(AND(SamplingData[[#This Row],[Total]]&lt;&gt; 0, NOT(ISBLANK(SamplingData[[#This Row],[Candidate 5]]))),(SamplingData[[#This Row],[Total]]+SamplingData[[#This Row],[Winning Candidate]]-SamplingData[[#This Row],[Candidate 5]])/(SamplingData[[#Totals],[Winning Candidate]]-SamplingData[[#Totals],[Candidate 5]]), 0)</f>
        <v>0</v>
      </c>
      <c r="U738" s="99">
        <f>IF(AND(SamplingData[[#This Row],[Total]]&lt;&gt; 0, NOT(ISBLANK(SamplingData[[#This Row],[Candidate 6]]))),(SamplingData[[#This Row],[Total]]+SamplingData[[#This Row],[Losing Candidate]]-SamplingData[[#This Row],[Candidate 6]])/(SamplingData[[#Totals],[Winning Candidate]]-SamplingData[[#Totals],[Candidate 6]]), 0)</f>
        <v>0</v>
      </c>
      <c r="V738" s="99">
        <f>IF(AND(SamplingData[[#This Row],[Total]]&lt;&gt; 0, NOT(ISBLANK(SamplingData[[#This Row],[Candidate 7]]))),(SamplingData[[#This Row],[Total]]+SamplingData[[#This Row],[Winning Candidate]]-SamplingData[[#This Row],[Candidate 7]])/(SamplingData[[#Totals],[Winning Candidate]]-SamplingData[[#Totals],[Candidate 7]]), 0)</f>
        <v>0</v>
      </c>
      <c r="W738" s="99">
        <f>IF(AND(SamplingData[[#This Row],[Total]]&lt;&gt; 0, NOT(ISBLANK(SamplingData[[#This Row],[Candidate 8]]))),(SamplingData[[#This Row],[Total]]+SamplingData[[#This Row],[Winning Candidate]]-SamplingData[[#This Row],[Candidate 8]])/(SamplingData[[#Totals],[Winning Candidate]]-SamplingData[[#Totals],[Candidate 8]]), 0)</f>
        <v>0</v>
      </c>
      <c r="X7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8" s="99">
        <f>MAX(SamplingData[[#This Row],[Error Bound (up) - Max. possible relative overstatement - Losing Candidate]:[Error Bound (up) - Max. possible relative overstatement - Candidate 12]])</f>
        <v>2.7032761840095062E-2</v>
      </c>
      <c r="AC738" s="99">
        <f>IF(SamplingData[[#This Row],[Max Error Bound (up)]] = 0,0,SamplingData[[#This Row],[Max Error Bound (up)]]/SamplingData[[#Totals],[Max Error Bound (up)]])</f>
        <v>1.4473588541098648E-3</v>
      </c>
      <c r="AD738" s="103">
        <f>SUM($AC$5:AC738)</f>
        <v>0.65653969898571407</v>
      </c>
      <c r="AE738" s="99" t="str" cm="1">
        <f t="array" ref="AE738">IF(SamplingData[[#This Row],[up/U Selection Probability]] = 0, "Zero", TEXT(SamplingData[[#This Row],[Lower Range]], REPT("0",LEN('General Info'!$B$42))) &amp; " - " &amp; TEXT(SamplingData[[#This Row],[Upper Range]], REPT("0",LEN('General Info'!$B$42))))</f>
        <v>655092 - 656539</v>
      </c>
      <c r="AF738" s="99">
        <f>SamplingData[[#This Row],[Upper Range]]-SamplingData[[#This Row],[Span]]</f>
        <v>655092.34013160423</v>
      </c>
      <c r="AG738" s="99">
        <f>IF(ISNUMBER('General Info'!$B$42), ((SamplingData[[#This Row],[up/U Selection Probability]]) * 'General Info'!$B$44) - 1, 0)</f>
        <v>1446.3588541098648</v>
      </c>
      <c r="AH738" s="99">
        <f>IF(ISNUMBER('General Info'!$B$42), (SamplingData[[#This Row],[Running (cumulative) sum]] * ('General Info'!$B$42 -'General Info'!$B$43 + 1)) + 'General Info'!$B$43 - 1, 0)</f>
        <v>656538.69898571412</v>
      </c>
      <c r="AI738" s="99" t="str">
        <f>IF(ISERROR(MATCH(SamplingData[[#This Row],[Batch by Type (p)]],SelectedPrecincts[Batch Name], 0)), "", INDEX(SelectedPrecincts[Draw], MATCH(SamplingData[[#This Row],[Batch by Type (p)]],SelectedPrecincts[Batch Name], 0)))</f>
        <v/>
      </c>
      <c r="AJ738" s="100">
        <f>IF(COUNTIF(SelectedPrecincts[Batch Name],SamplingData[[#This Row],[Batch by Type (p)]]) &lt;&gt; 0, COUNTIF(SelectedPrecincts[Batch Name],SamplingData[[#This Row],[Batch by Type (p)]]), 0)</f>
        <v>0</v>
      </c>
    </row>
    <row r="739" spans="1:36" ht="15" customHeight="1" x14ac:dyDescent="0.35">
      <c r="A739" s="97" t="s">
        <v>952</v>
      </c>
      <c r="B739" s="97">
        <v>223</v>
      </c>
      <c r="C739" s="97">
        <v>83</v>
      </c>
      <c r="D739" s="92"/>
      <c r="E739" s="92"/>
      <c r="F739" s="92"/>
      <c r="G739" s="96"/>
      <c r="H739" s="96"/>
      <c r="I739" s="92"/>
      <c r="J739" s="92"/>
      <c r="K739" s="92"/>
      <c r="L739" s="92"/>
      <c r="M739" s="92"/>
      <c r="N739" s="97">
        <v>1</v>
      </c>
      <c r="O739" s="97">
        <v>21</v>
      </c>
      <c r="P739" s="98">
        <f>SUM(SamplingData[[#This Row],[Winning Candidate]:[Under Votes]])</f>
        <v>328</v>
      </c>
      <c r="Q739" s="99">
        <f>IF(AND(SamplingData[[#This Row],[Total]]&lt;&gt; 0, NOT(ISBLANK(SamplingData[[#This Row],[Losing Candidate]]))),(SamplingData[[#This Row],[Total]]+SamplingData[[#This Row],[Winning Candidate]]-SamplingData[[#This Row],[Losing Candidate]])/(SamplingData[[#Totals],[Winning Candidate]]-SamplingData[[#Totals],[Losing Candidate]]), 0)</f>
        <v>1.9860804617212697E-2</v>
      </c>
      <c r="R739" s="99">
        <f>IF(AND(SamplingData[[#This Row],[Total]]&lt;&gt; 0, NOT(ISBLANK(SamplingData[[#This Row],[Candidate 3]]))),(SamplingData[[#This Row],[Total]]+SamplingData[[#This Row],[Winning Candidate]]-SamplingData[[#This Row],[Candidate 3]])/(SamplingData[[#Totals],[Winning Candidate]]-SamplingData[[#Totals],[Candidate 3]]), 0)</f>
        <v>0</v>
      </c>
      <c r="S739" s="99">
        <f>IF(AND(SamplingData[[#This Row],[Total]]&lt;&gt; 0, NOT(ISBLANK(SamplingData[[#This Row],[Candidate 4]]))),(SamplingData[[#This Row],[Total]]+SamplingData[[#This Row],[Winning Candidate]]-SamplingData[[#This Row],[Candidate 4]])/(SamplingData[[#Totals],[Winning Candidate]]-SamplingData[[#Totals],[Candidate 4]]), 0)</f>
        <v>0</v>
      </c>
      <c r="T739" s="99">
        <f>IF(AND(SamplingData[[#This Row],[Total]]&lt;&gt; 0, NOT(ISBLANK(SamplingData[[#This Row],[Candidate 5]]))),(SamplingData[[#This Row],[Total]]+SamplingData[[#This Row],[Winning Candidate]]-SamplingData[[#This Row],[Candidate 5]])/(SamplingData[[#Totals],[Winning Candidate]]-SamplingData[[#Totals],[Candidate 5]]), 0)</f>
        <v>0</v>
      </c>
      <c r="U739" s="99">
        <f>IF(AND(SamplingData[[#This Row],[Total]]&lt;&gt; 0, NOT(ISBLANK(SamplingData[[#This Row],[Candidate 6]]))),(SamplingData[[#This Row],[Total]]+SamplingData[[#This Row],[Losing Candidate]]-SamplingData[[#This Row],[Candidate 6]])/(SamplingData[[#Totals],[Winning Candidate]]-SamplingData[[#Totals],[Candidate 6]]), 0)</f>
        <v>0</v>
      </c>
      <c r="V739" s="99">
        <f>IF(AND(SamplingData[[#This Row],[Total]]&lt;&gt; 0, NOT(ISBLANK(SamplingData[[#This Row],[Candidate 7]]))),(SamplingData[[#This Row],[Total]]+SamplingData[[#This Row],[Winning Candidate]]-SamplingData[[#This Row],[Candidate 7]])/(SamplingData[[#Totals],[Winning Candidate]]-SamplingData[[#Totals],[Candidate 7]]), 0)</f>
        <v>0</v>
      </c>
      <c r="W739" s="99">
        <f>IF(AND(SamplingData[[#This Row],[Total]]&lt;&gt; 0, NOT(ISBLANK(SamplingData[[#This Row],[Candidate 8]]))),(SamplingData[[#This Row],[Total]]+SamplingData[[#This Row],[Winning Candidate]]-SamplingData[[#This Row],[Candidate 8]])/(SamplingData[[#Totals],[Winning Candidate]]-SamplingData[[#Totals],[Candidate 8]]), 0)</f>
        <v>0</v>
      </c>
      <c r="X7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9" s="99">
        <f>MAX(SamplingData[[#This Row],[Error Bound (up) - Max. possible relative overstatement - Losing Candidate]:[Error Bound (up) - Max. possible relative overstatement - Candidate 12]])</f>
        <v>1.9860804617212697E-2</v>
      </c>
      <c r="AC739" s="99">
        <f>IF(SamplingData[[#This Row],[Max Error Bound (up)]] = 0,0,SamplingData[[#This Row],[Max Error Bound (up)]]/SamplingData[[#Totals],[Max Error Bound (up)]])</f>
        <v>1.0633656887337783E-3</v>
      </c>
      <c r="AD739" s="103">
        <f>SUM($AC$5:AC739)</f>
        <v>0.65760306467444785</v>
      </c>
      <c r="AE739" s="99" t="str" cm="1">
        <f t="array" ref="AE739">IF(SamplingData[[#This Row],[up/U Selection Probability]] = 0, "Zero", TEXT(SamplingData[[#This Row],[Lower Range]], REPT("0",LEN('General Info'!$B$42))) &amp; " - " &amp; TEXT(SamplingData[[#This Row],[Upper Range]], REPT("0",LEN('General Info'!$B$42))))</f>
        <v>656540 - 657602</v>
      </c>
      <c r="AF739" s="99">
        <f>SamplingData[[#This Row],[Upper Range]]-SamplingData[[#This Row],[Span]]</f>
        <v>656539.69898571412</v>
      </c>
      <c r="AG739" s="99">
        <f>IF(ISNUMBER('General Info'!$B$42), ((SamplingData[[#This Row],[up/U Selection Probability]]) * 'General Info'!$B$44) - 1, 0)</f>
        <v>1062.3656887337784</v>
      </c>
      <c r="AH739" s="99">
        <f>IF(ISNUMBER('General Info'!$B$42), (SamplingData[[#This Row],[Running (cumulative) sum]] * ('General Info'!$B$42 -'General Info'!$B$43 + 1)) + 'General Info'!$B$43 - 1, 0)</f>
        <v>657602.06467444787</v>
      </c>
      <c r="AI739" s="99" t="str">
        <f>IF(ISERROR(MATCH(SamplingData[[#This Row],[Batch by Type (p)]],SelectedPrecincts[Batch Name], 0)), "", INDEX(SelectedPrecincts[Draw], MATCH(SamplingData[[#This Row],[Batch by Type (p)]],SelectedPrecincts[Batch Name], 0)))</f>
        <v/>
      </c>
      <c r="AJ739" s="100">
        <f>IF(COUNTIF(SelectedPrecincts[Batch Name],SamplingData[[#This Row],[Batch by Type (p)]]) &lt;&gt; 0, COUNTIF(SelectedPrecincts[Batch Name],SamplingData[[#This Row],[Batch by Type (p)]]), 0)</f>
        <v>0</v>
      </c>
    </row>
    <row r="740" spans="1:36" ht="15" customHeight="1" x14ac:dyDescent="0.35">
      <c r="A740" s="97" t="s">
        <v>953</v>
      </c>
      <c r="B740" s="97">
        <v>176</v>
      </c>
      <c r="C740" s="97">
        <v>87</v>
      </c>
      <c r="D740" s="92"/>
      <c r="E740" s="92"/>
      <c r="F740" s="92"/>
      <c r="G740" s="96"/>
      <c r="H740" s="96"/>
      <c r="I740" s="92"/>
      <c r="J740" s="92"/>
      <c r="K740" s="92"/>
      <c r="L740" s="92"/>
      <c r="M740" s="92"/>
      <c r="N740" s="97">
        <v>0</v>
      </c>
      <c r="O740" s="97">
        <v>22</v>
      </c>
      <c r="P740" s="98">
        <f>SUM(SamplingData[[#This Row],[Winning Candidate]:[Under Votes]])</f>
        <v>285</v>
      </c>
      <c r="Q740" s="99">
        <f>IF(AND(SamplingData[[#This Row],[Total]]&lt;&gt; 0, NOT(ISBLANK(SamplingData[[#This Row],[Losing Candidate]]))),(SamplingData[[#This Row],[Total]]+SamplingData[[#This Row],[Winning Candidate]]-SamplingData[[#This Row],[Losing Candidate]])/(SamplingData[[#Totals],[Winning Candidate]]-SamplingData[[#Totals],[Losing Candidate]]), 0)</f>
        <v>1.587166864708878E-2</v>
      </c>
      <c r="R740" s="99">
        <f>IF(AND(SamplingData[[#This Row],[Total]]&lt;&gt; 0, NOT(ISBLANK(SamplingData[[#This Row],[Candidate 3]]))),(SamplingData[[#This Row],[Total]]+SamplingData[[#This Row],[Winning Candidate]]-SamplingData[[#This Row],[Candidate 3]])/(SamplingData[[#Totals],[Winning Candidate]]-SamplingData[[#Totals],[Candidate 3]]), 0)</f>
        <v>0</v>
      </c>
      <c r="S740" s="99">
        <f>IF(AND(SamplingData[[#This Row],[Total]]&lt;&gt; 0, NOT(ISBLANK(SamplingData[[#This Row],[Candidate 4]]))),(SamplingData[[#This Row],[Total]]+SamplingData[[#This Row],[Winning Candidate]]-SamplingData[[#This Row],[Candidate 4]])/(SamplingData[[#Totals],[Winning Candidate]]-SamplingData[[#Totals],[Candidate 4]]), 0)</f>
        <v>0</v>
      </c>
      <c r="T740" s="99">
        <f>IF(AND(SamplingData[[#This Row],[Total]]&lt;&gt; 0, NOT(ISBLANK(SamplingData[[#This Row],[Candidate 5]]))),(SamplingData[[#This Row],[Total]]+SamplingData[[#This Row],[Winning Candidate]]-SamplingData[[#This Row],[Candidate 5]])/(SamplingData[[#Totals],[Winning Candidate]]-SamplingData[[#Totals],[Candidate 5]]), 0)</f>
        <v>0</v>
      </c>
      <c r="U740" s="99">
        <f>IF(AND(SamplingData[[#This Row],[Total]]&lt;&gt; 0, NOT(ISBLANK(SamplingData[[#This Row],[Candidate 6]]))),(SamplingData[[#This Row],[Total]]+SamplingData[[#This Row],[Losing Candidate]]-SamplingData[[#This Row],[Candidate 6]])/(SamplingData[[#Totals],[Winning Candidate]]-SamplingData[[#Totals],[Candidate 6]]), 0)</f>
        <v>0</v>
      </c>
      <c r="V740" s="99">
        <f>IF(AND(SamplingData[[#This Row],[Total]]&lt;&gt; 0, NOT(ISBLANK(SamplingData[[#This Row],[Candidate 7]]))),(SamplingData[[#This Row],[Total]]+SamplingData[[#This Row],[Winning Candidate]]-SamplingData[[#This Row],[Candidate 7]])/(SamplingData[[#Totals],[Winning Candidate]]-SamplingData[[#Totals],[Candidate 7]]), 0)</f>
        <v>0</v>
      </c>
      <c r="W740" s="99">
        <f>IF(AND(SamplingData[[#This Row],[Total]]&lt;&gt; 0, NOT(ISBLANK(SamplingData[[#This Row],[Candidate 8]]))),(SamplingData[[#This Row],[Total]]+SamplingData[[#This Row],[Winning Candidate]]-SamplingData[[#This Row],[Candidate 8]])/(SamplingData[[#Totals],[Winning Candidate]]-SamplingData[[#Totals],[Candidate 8]]), 0)</f>
        <v>0</v>
      </c>
      <c r="X7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0" s="99">
        <f>MAX(SamplingData[[#This Row],[Error Bound (up) - Max. possible relative overstatement - Losing Candidate]:[Error Bound (up) - Max. possible relative overstatement - Candidate 12]])</f>
        <v>1.587166864708878E-2</v>
      </c>
      <c r="AC740" s="99">
        <f>IF(SamplingData[[#This Row],[Max Error Bound (up)]] = 0,0,SamplingData[[#This Row],[Max Error Bound (up)]]/SamplingData[[#Totals],[Max Error Bound (up)]])</f>
        <v>8.4978369142400226E-4</v>
      </c>
      <c r="AD740" s="103">
        <f>SUM($AC$5:AC740)</f>
        <v>0.65845284836587181</v>
      </c>
      <c r="AE740" s="99" t="str" cm="1">
        <f t="array" ref="AE740">IF(SamplingData[[#This Row],[up/U Selection Probability]] = 0, "Zero", TEXT(SamplingData[[#This Row],[Lower Range]], REPT("0",LEN('General Info'!$B$42))) &amp; " - " &amp; TEXT(SamplingData[[#This Row],[Upper Range]], REPT("0",LEN('General Info'!$B$42))))</f>
        <v>657603 - 658452</v>
      </c>
      <c r="AF740" s="99">
        <f>SamplingData[[#This Row],[Upper Range]]-SamplingData[[#This Row],[Span]]</f>
        <v>657603.06467444787</v>
      </c>
      <c r="AG740" s="99">
        <f>IF(ISNUMBER('General Info'!$B$42), ((SamplingData[[#This Row],[up/U Selection Probability]]) * 'General Info'!$B$44) - 1, 0)</f>
        <v>848.78369142400231</v>
      </c>
      <c r="AH740" s="99">
        <f>IF(ISNUMBER('General Info'!$B$42), (SamplingData[[#This Row],[Running (cumulative) sum]] * ('General Info'!$B$42 -'General Info'!$B$43 + 1)) + 'General Info'!$B$43 - 1, 0)</f>
        <v>658451.84836587182</v>
      </c>
      <c r="AI740" s="99" t="str">
        <f>IF(ISERROR(MATCH(SamplingData[[#This Row],[Batch by Type (p)]],SelectedPrecincts[Batch Name], 0)), "", INDEX(SelectedPrecincts[Draw], MATCH(SamplingData[[#This Row],[Batch by Type (p)]],SelectedPrecincts[Batch Name], 0)))</f>
        <v/>
      </c>
      <c r="AJ740" s="100">
        <f>IF(COUNTIF(SelectedPrecincts[Batch Name],SamplingData[[#This Row],[Batch by Type (p)]]) &lt;&gt; 0, COUNTIF(SelectedPrecincts[Batch Name],SamplingData[[#This Row],[Batch by Type (p)]]), 0)</f>
        <v>0</v>
      </c>
    </row>
    <row r="741" spans="1:36" ht="15" customHeight="1" x14ac:dyDescent="0.35">
      <c r="A741" s="97" t="s">
        <v>954</v>
      </c>
      <c r="B741" s="97">
        <v>217</v>
      </c>
      <c r="C741" s="97">
        <v>32</v>
      </c>
      <c r="D741" s="92"/>
      <c r="E741" s="92"/>
      <c r="F741" s="92"/>
      <c r="G741" s="96"/>
      <c r="H741" s="96"/>
      <c r="I741" s="92"/>
      <c r="J741" s="92"/>
      <c r="K741" s="92"/>
      <c r="L741" s="92"/>
      <c r="M741" s="92"/>
      <c r="N741" s="97">
        <v>0</v>
      </c>
      <c r="O741" s="97">
        <v>14</v>
      </c>
      <c r="P741" s="98">
        <f>SUM(SamplingData[[#This Row],[Winning Candidate]:[Under Votes]])</f>
        <v>263</v>
      </c>
      <c r="Q741" s="99">
        <f>IF(AND(SamplingData[[#This Row],[Total]]&lt;&gt; 0, NOT(ISBLANK(SamplingData[[#This Row],[Losing Candidate]]))),(SamplingData[[#This Row],[Total]]+SamplingData[[#This Row],[Winning Candidate]]-SamplingData[[#This Row],[Losing Candidate]])/(SamplingData[[#Totals],[Winning Candidate]]-SamplingData[[#Totals],[Losing Candidate]]), 0)</f>
        <v>1.9012052283143777E-2</v>
      </c>
      <c r="R741" s="99">
        <f>IF(AND(SamplingData[[#This Row],[Total]]&lt;&gt; 0, NOT(ISBLANK(SamplingData[[#This Row],[Candidate 3]]))),(SamplingData[[#This Row],[Total]]+SamplingData[[#This Row],[Winning Candidate]]-SamplingData[[#This Row],[Candidate 3]])/(SamplingData[[#Totals],[Winning Candidate]]-SamplingData[[#Totals],[Candidate 3]]), 0)</f>
        <v>0</v>
      </c>
      <c r="S741" s="99">
        <f>IF(AND(SamplingData[[#This Row],[Total]]&lt;&gt; 0, NOT(ISBLANK(SamplingData[[#This Row],[Candidate 4]]))),(SamplingData[[#This Row],[Total]]+SamplingData[[#This Row],[Winning Candidate]]-SamplingData[[#This Row],[Candidate 4]])/(SamplingData[[#Totals],[Winning Candidate]]-SamplingData[[#Totals],[Candidate 4]]), 0)</f>
        <v>0</v>
      </c>
      <c r="T741" s="99">
        <f>IF(AND(SamplingData[[#This Row],[Total]]&lt;&gt; 0, NOT(ISBLANK(SamplingData[[#This Row],[Candidate 5]]))),(SamplingData[[#This Row],[Total]]+SamplingData[[#This Row],[Winning Candidate]]-SamplingData[[#This Row],[Candidate 5]])/(SamplingData[[#Totals],[Winning Candidate]]-SamplingData[[#Totals],[Candidate 5]]), 0)</f>
        <v>0</v>
      </c>
      <c r="U741" s="99">
        <f>IF(AND(SamplingData[[#This Row],[Total]]&lt;&gt; 0, NOT(ISBLANK(SamplingData[[#This Row],[Candidate 6]]))),(SamplingData[[#This Row],[Total]]+SamplingData[[#This Row],[Losing Candidate]]-SamplingData[[#This Row],[Candidate 6]])/(SamplingData[[#Totals],[Winning Candidate]]-SamplingData[[#Totals],[Candidate 6]]), 0)</f>
        <v>0</v>
      </c>
      <c r="V741" s="99">
        <f>IF(AND(SamplingData[[#This Row],[Total]]&lt;&gt; 0, NOT(ISBLANK(SamplingData[[#This Row],[Candidate 7]]))),(SamplingData[[#This Row],[Total]]+SamplingData[[#This Row],[Winning Candidate]]-SamplingData[[#This Row],[Candidate 7]])/(SamplingData[[#Totals],[Winning Candidate]]-SamplingData[[#Totals],[Candidate 7]]), 0)</f>
        <v>0</v>
      </c>
      <c r="W741" s="99">
        <f>IF(AND(SamplingData[[#This Row],[Total]]&lt;&gt; 0, NOT(ISBLANK(SamplingData[[#This Row],[Candidate 8]]))),(SamplingData[[#This Row],[Total]]+SamplingData[[#This Row],[Winning Candidate]]-SamplingData[[#This Row],[Candidate 8]])/(SamplingData[[#Totals],[Winning Candidate]]-SamplingData[[#Totals],[Candidate 8]]), 0)</f>
        <v>0</v>
      </c>
      <c r="X7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1" s="99">
        <f>MAX(SamplingData[[#This Row],[Error Bound (up) - Max. possible relative overstatement - Losing Candidate]:[Error Bound (up) - Max. possible relative overstatement - Candidate 12]])</f>
        <v>1.9012052283143777E-2</v>
      </c>
      <c r="AC741" s="99">
        <f>IF(SamplingData[[#This Row],[Max Error Bound (up)]] = 0,0,SamplingData[[#This Row],[Max Error Bound (up)]]/SamplingData[[#Totals],[Max Error Bound (up)]])</f>
        <v>1.017922710582762E-3</v>
      </c>
      <c r="AD741" s="103">
        <f>SUM($AC$5:AC741)</f>
        <v>0.65947077107645458</v>
      </c>
      <c r="AE741" s="99" t="str" cm="1">
        <f t="array" ref="AE741">IF(SamplingData[[#This Row],[up/U Selection Probability]] = 0, "Zero", TEXT(SamplingData[[#This Row],[Lower Range]], REPT("0",LEN('General Info'!$B$42))) &amp; " - " &amp; TEXT(SamplingData[[#This Row],[Upper Range]], REPT("0",LEN('General Info'!$B$42))))</f>
        <v>658453 - 659470</v>
      </c>
      <c r="AF741" s="99">
        <f>SamplingData[[#This Row],[Upper Range]]-SamplingData[[#This Row],[Span]]</f>
        <v>658452.84836587182</v>
      </c>
      <c r="AG741" s="99">
        <f>IF(ISNUMBER('General Info'!$B$42), ((SamplingData[[#This Row],[up/U Selection Probability]]) * 'General Info'!$B$44) - 1, 0)</f>
        <v>1016.922710582762</v>
      </c>
      <c r="AH741" s="99">
        <f>IF(ISNUMBER('General Info'!$B$42), (SamplingData[[#This Row],[Running (cumulative) sum]] * ('General Info'!$B$42 -'General Info'!$B$43 + 1)) + 'General Info'!$B$43 - 1, 0)</f>
        <v>659469.77107645455</v>
      </c>
      <c r="AI741" s="99" t="str">
        <f>IF(ISERROR(MATCH(SamplingData[[#This Row],[Batch by Type (p)]],SelectedPrecincts[Batch Name], 0)), "", INDEX(SelectedPrecincts[Draw], MATCH(SamplingData[[#This Row],[Batch by Type (p)]],SelectedPrecincts[Batch Name], 0)))</f>
        <v/>
      </c>
      <c r="AJ741" s="100">
        <f>IF(COUNTIF(SelectedPrecincts[Batch Name],SamplingData[[#This Row],[Batch by Type (p)]]) &lt;&gt; 0, COUNTIF(SelectedPrecincts[Batch Name],SamplingData[[#This Row],[Batch by Type (p)]]), 0)</f>
        <v>0</v>
      </c>
    </row>
    <row r="742" spans="1:36" ht="15" customHeight="1" x14ac:dyDescent="0.35">
      <c r="A742" s="97" t="s">
        <v>955</v>
      </c>
      <c r="B742" s="97">
        <v>258</v>
      </c>
      <c r="C742" s="97">
        <v>29</v>
      </c>
      <c r="D742" s="92"/>
      <c r="E742" s="92"/>
      <c r="F742" s="92"/>
      <c r="G742" s="96"/>
      <c r="H742" s="96"/>
      <c r="I742" s="92"/>
      <c r="J742" s="92"/>
      <c r="K742" s="92"/>
      <c r="L742" s="92"/>
      <c r="M742" s="92"/>
      <c r="N742" s="97">
        <v>1</v>
      </c>
      <c r="O742" s="97">
        <v>31</v>
      </c>
      <c r="P742" s="98">
        <f>SUM(SamplingData[[#This Row],[Winning Candidate]:[Under Votes]])</f>
        <v>319</v>
      </c>
      <c r="Q742" s="99">
        <f>IF(AND(SamplingData[[#This Row],[Total]]&lt;&gt; 0, NOT(ISBLANK(SamplingData[[#This Row],[Losing Candidate]]))),(SamplingData[[#This Row],[Total]]+SamplingData[[#This Row],[Winning Candidate]]-SamplingData[[#This Row],[Losing Candidate]])/(SamplingData[[#Totals],[Winning Candidate]]-SamplingData[[#Totals],[Losing Candidate]]), 0)</f>
        <v>2.3255813953488372E-2</v>
      </c>
      <c r="R742" s="99">
        <f>IF(AND(SamplingData[[#This Row],[Total]]&lt;&gt; 0, NOT(ISBLANK(SamplingData[[#This Row],[Candidate 3]]))),(SamplingData[[#This Row],[Total]]+SamplingData[[#This Row],[Winning Candidate]]-SamplingData[[#This Row],[Candidate 3]])/(SamplingData[[#Totals],[Winning Candidate]]-SamplingData[[#Totals],[Candidate 3]]), 0)</f>
        <v>0</v>
      </c>
      <c r="S742" s="99">
        <f>IF(AND(SamplingData[[#This Row],[Total]]&lt;&gt; 0, NOT(ISBLANK(SamplingData[[#This Row],[Candidate 4]]))),(SamplingData[[#This Row],[Total]]+SamplingData[[#This Row],[Winning Candidate]]-SamplingData[[#This Row],[Candidate 4]])/(SamplingData[[#Totals],[Winning Candidate]]-SamplingData[[#Totals],[Candidate 4]]), 0)</f>
        <v>0</v>
      </c>
      <c r="T742" s="99">
        <f>IF(AND(SamplingData[[#This Row],[Total]]&lt;&gt; 0, NOT(ISBLANK(SamplingData[[#This Row],[Candidate 5]]))),(SamplingData[[#This Row],[Total]]+SamplingData[[#This Row],[Winning Candidate]]-SamplingData[[#This Row],[Candidate 5]])/(SamplingData[[#Totals],[Winning Candidate]]-SamplingData[[#Totals],[Candidate 5]]), 0)</f>
        <v>0</v>
      </c>
      <c r="U742" s="99">
        <f>IF(AND(SamplingData[[#This Row],[Total]]&lt;&gt; 0, NOT(ISBLANK(SamplingData[[#This Row],[Candidate 6]]))),(SamplingData[[#This Row],[Total]]+SamplingData[[#This Row],[Losing Candidate]]-SamplingData[[#This Row],[Candidate 6]])/(SamplingData[[#Totals],[Winning Candidate]]-SamplingData[[#Totals],[Candidate 6]]), 0)</f>
        <v>0</v>
      </c>
      <c r="V742" s="99">
        <f>IF(AND(SamplingData[[#This Row],[Total]]&lt;&gt; 0, NOT(ISBLANK(SamplingData[[#This Row],[Candidate 7]]))),(SamplingData[[#This Row],[Total]]+SamplingData[[#This Row],[Winning Candidate]]-SamplingData[[#This Row],[Candidate 7]])/(SamplingData[[#Totals],[Winning Candidate]]-SamplingData[[#Totals],[Candidate 7]]), 0)</f>
        <v>0</v>
      </c>
      <c r="W742" s="99">
        <f>IF(AND(SamplingData[[#This Row],[Total]]&lt;&gt; 0, NOT(ISBLANK(SamplingData[[#This Row],[Candidate 8]]))),(SamplingData[[#This Row],[Total]]+SamplingData[[#This Row],[Winning Candidate]]-SamplingData[[#This Row],[Candidate 8]])/(SamplingData[[#Totals],[Winning Candidate]]-SamplingData[[#Totals],[Candidate 8]]), 0)</f>
        <v>0</v>
      </c>
      <c r="X7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2" s="99">
        <f>MAX(SamplingData[[#This Row],[Error Bound (up) - Max. possible relative overstatement - Losing Candidate]:[Error Bound (up) - Max. possible relative overstatement - Candidate 12]])</f>
        <v>2.3255813953488372E-2</v>
      </c>
      <c r="AC742" s="99">
        <f>IF(SamplingData[[#This Row],[Max Error Bound (up)]] = 0,0,SamplingData[[#This Row],[Max Error Bound (up)]]/SamplingData[[#Totals],[Max Error Bound (up)]])</f>
        <v>1.2451376013378429E-3</v>
      </c>
      <c r="AD742" s="103">
        <f>SUM($AC$5:AC742)</f>
        <v>0.6607159086777924</v>
      </c>
      <c r="AE742" s="99" t="str" cm="1">
        <f t="array" ref="AE742">IF(SamplingData[[#This Row],[up/U Selection Probability]] = 0, "Zero", TEXT(SamplingData[[#This Row],[Lower Range]], REPT("0",LEN('General Info'!$B$42))) &amp; " - " &amp; TEXT(SamplingData[[#This Row],[Upper Range]], REPT("0",LEN('General Info'!$B$42))))</f>
        <v>659471 - 660715</v>
      </c>
      <c r="AF742" s="99">
        <f>SamplingData[[#This Row],[Upper Range]]-SamplingData[[#This Row],[Span]]</f>
        <v>659470.77107645455</v>
      </c>
      <c r="AG742" s="99">
        <f>IF(ISNUMBER('General Info'!$B$42), ((SamplingData[[#This Row],[up/U Selection Probability]]) * 'General Info'!$B$44) - 1, 0)</f>
        <v>1244.1376013378429</v>
      </c>
      <c r="AH742" s="99">
        <f>IF(ISNUMBER('General Info'!$B$42), (SamplingData[[#This Row],[Running (cumulative) sum]] * ('General Info'!$B$42 -'General Info'!$B$43 + 1)) + 'General Info'!$B$43 - 1, 0)</f>
        <v>660714.90867779241</v>
      </c>
      <c r="AI742" s="99" t="str">
        <f>IF(ISERROR(MATCH(SamplingData[[#This Row],[Batch by Type (p)]],SelectedPrecincts[Batch Name], 0)), "", INDEX(SelectedPrecincts[Draw], MATCH(SamplingData[[#This Row],[Batch by Type (p)]],SelectedPrecincts[Batch Name], 0)))</f>
        <v/>
      </c>
      <c r="AJ742" s="100">
        <f>IF(COUNTIF(SelectedPrecincts[Batch Name],SamplingData[[#This Row],[Batch by Type (p)]]) &lt;&gt; 0, COUNTIF(SelectedPrecincts[Batch Name],SamplingData[[#This Row],[Batch by Type (p)]]), 0)</f>
        <v>0</v>
      </c>
    </row>
    <row r="743" spans="1:36" ht="15" customHeight="1" x14ac:dyDescent="0.35">
      <c r="A743" s="97" t="s">
        <v>956</v>
      </c>
      <c r="B743" s="97">
        <v>194</v>
      </c>
      <c r="C743" s="97">
        <v>40</v>
      </c>
      <c r="D743" s="92"/>
      <c r="E743" s="92"/>
      <c r="F743" s="92"/>
      <c r="G743" s="96"/>
      <c r="H743" s="96"/>
      <c r="I743" s="92"/>
      <c r="J743" s="92"/>
      <c r="K743" s="92"/>
      <c r="L743" s="92"/>
      <c r="M743" s="92"/>
      <c r="N743" s="97">
        <v>0</v>
      </c>
      <c r="O743" s="97">
        <v>18</v>
      </c>
      <c r="P743" s="98">
        <f>SUM(SamplingData[[#This Row],[Winning Candidate]:[Under Votes]])</f>
        <v>252</v>
      </c>
      <c r="Q743" s="99">
        <f>IF(AND(SamplingData[[#This Row],[Total]]&lt;&gt; 0, NOT(ISBLANK(SamplingData[[#This Row],[Losing Candidate]]))),(SamplingData[[#This Row],[Total]]+SamplingData[[#This Row],[Winning Candidate]]-SamplingData[[#This Row],[Losing Candidate]])/(SamplingData[[#Totals],[Winning Candidate]]-SamplingData[[#Totals],[Losing Candidate]]), 0)</f>
        <v>1.7229672381599049E-2</v>
      </c>
      <c r="R743" s="99">
        <f>IF(AND(SamplingData[[#This Row],[Total]]&lt;&gt; 0, NOT(ISBLANK(SamplingData[[#This Row],[Candidate 3]]))),(SamplingData[[#This Row],[Total]]+SamplingData[[#This Row],[Winning Candidate]]-SamplingData[[#This Row],[Candidate 3]])/(SamplingData[[#Totals],[Winning Candidate]]-SamplingData[[#Totals],[Candidate 3]]), 0)</f>
        <v>0</v>
      </c>
      <c r="S743" s="99">
        <f>IF(AND(SamplingData[[#This Row],[Total]]&lt;&gt; 0, NOT(ISBLANK(SamplingData[[#This Row],[Candidate 4]]))),(SamplingData[[#This Row],[Total]]+SamplingData[[#This Row],[Winning Candidate]]-SamplingData[[#This Row],[Candidate 4]])/(SamplingData[[#Totals],[Winning Candidate]]-SamplingData[[#Totals],[Candidate 4]]), 0)</f>
        <v>0</v>
      </c>
      <c r="T743" s="99">
        <f>IF(AND(SamplingData[[#This Row],[Total]]&lt;&gt; 0, NOT(ISBLANK(SamplingData[[#This Row],[Candidate 5]]))),(SamplingData[[#This Row],[Total]]+SamplingData[[#This Row],[Winning Candidate]]-SamplingData[[#This Row],[Candidate 5]])/(SamplingData[[#Totals],[Winning Candidate]]-SamplingData[[#Totals],[Candidate 5]]), 0)</f>
        <v>0</v>
      </c>
      <c r="U743" s="99">
        <f>IF(AND(SamplingData[[#This Row],[Total]]&lt;&gt; 0, NOT(ISBLANK(SamplingData[[#This Row],[Candidate 6]]))),(SamplingData[[#This Row],[Total]]+SamplingData[[#This Row],[Losing Candidate]]-SamplingData[[#This Row],[Candidate 6]])/(SamplingData[[#Totals],[Winning Candidate]]-SamplingData[[#Totals],[Candidate 6]]), 0)</f>
        <v>0</v>
      </c>
      <c r="V743" s="99">
        <f>IF(AND(SamplingData[[#This Row],[Total]]&lt;&gt; 0, NOT(ISBLANK(SamplingData[[#This Row],[Candidate 7]]))),(SamplingData[[#This Row],[Total]]+SamplingData[[#This Row],[Winning Candidate]]-SamplingData[[#This Row],[Candidate 7]])/(SamplingData[[#Totals],[Winning Candidate]]-SamplingData[[#Totals],[Candidate 7]]), 0)</f>
        <v>0</v>
      </c>
      <c r="W743" s="99">
        <f>IF(AND(SamplingData[[#This Row],[Total]]&lt;&gt; 0, NOT(ISBLANK(SamplingData[[#This Row],[Candidate 8]]))),(SamplingData[[#This Row],[Total]]+SamplingData[[#This Row],[Winning Candidate]]-SamplingData[[#This Row],[Candidate 8]])/(SamplingData[[#Totals],[Winning Candidate]]-SamplingData[[#Totals],[Candidate 8]]), 0)</f>
        <v>0</v>
      </c>
      <c r="X7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3" s="99">
        <f>MAX(SamplingData[[#This Row],[Error Bound (up) - Max. possible relative overstatement - Losing Candidate]:[Error Bound (up) - Max. possible relative overstatement - Candidate 12]])</f>
        <v>1.7229672381599049E-2</v>
      </c>
      <c r="AC743" s="99">
        <f>IF(SamplingData[[#This Row],[Max Error Bound (up)]] = 0,0,SamplingData[[#This Row],[Max Error Bound (up)]]/SamplingData[[#Totals],[Max Error Bound (up)]])</f>
        <v>9.2249245646562812E-4</v>
      </c>
      <c r="AD743" s="103">
        <f>SUM($AC$5:AC743)</f>
        <v>0.66163840113425798</v>
      </c>
      <c r="AE743" s="99" t="str" cm="1">
        <f t="array" ref="AE743">IF(SamplingData[[#This Row],[up/U Selection Probability]] = 0, "Zero", TEXT(SamplingData[[#This Row],[Lower Range]], REPT("0",LEN('General Info'!$B$42))) &amp; " - " &amp; TEXT(SamplingData[[#This Row],[Upper Range]], REPT("0",LEN('General Info'!$B$42))))</f>
        <v>660716 - 661637</v>
      </c>
      <c r="AF743" s="99">
        <f>SamplingData[[#This Row],[Upper Range]]-SamplingData[[#This Row],[Span]]</f>
        <v>660715.90867779241</v>
      </c>
      <c r="AG743" s="99">
        <f>IF(ISNUMBER('General Info'!$B$42), ((SamplingData[[#This Row],[up/U Selection Probability]]) * 'General Info'!$B$44) - 1, 0)</f>
        <v>921.49245646562815</v>
      </c>
      <c r="AH743" s="99">
        <f>IF(ISNUMBER('General Info'!$B$42), (SamplingData[[#This Row],[Running (cumulative) sum]] * ('General Info'!$B$42 -'General Info'!$B$43 + 1)) + 'General Info'!$B$43 - 1, 0)</f>
        <v>661637.40113425802</v>
      </c>
      <c r="AI743" s="99" t="str">
        <f>IF(ISERROR(MATCH(SamplingData[[#This Row],[Batch by Type (p)]],SelectedPrecincts[Batch Name], 0)), "", INDEX(SelectedPrecincts[Draw], MATCH(SamplingData[[#This Row],[Batch by Type (p)]],SelectedPrecincts[Batch Name], 0)))</f>
        <v/>
      </c>
      <c r="AJ743" s="100">
        <f>IF(COUNTIF(SelectedPrecincts[Batch Name],SamplingData[[#This Row],[Batch by Type (p)]]) &lt;&gt; 0, COUNTIF(SelectedPrecincts[Batch Name],SamplingData[[#This Row],[Batch by Type (p)]]), 0)</f>
        <v>0</v>
      </c>
    </row>
    <row r="744" spans="1:36" ht="15" customHeight="1" x14ac:dyDescent="0.35">
      <c r="A744" s="97" t="s">
        <v>957</v>
      </c>
      <c r="B744" s="97">
        <v>190</v>
      </c>
      <c r="C744" s="97">
        <v>169</v>
      </c>
      <c r="D744" s="92"/>
      <c r="E744" s="92"/>
      <c r="F744" s="92"/>
      <c r="G744" s="96"/>
      <c r="H744" s="96"/>
      <c r="I744" s="92"/>
      <c r="J744" s="92"/>
      <c r="K744" s="92"/>
      <c r="L744" s="92"/>
      <c r="M744" s="92"/>
      <c r="N744" s="97">
        <v>1</v>
      </c>
      <c r="O744" s="97">
        <v>28</v>
      </c>
      <c r="P744" s="98">
        <f>SUM(SamplingData[[#This Row],[Winning Candidate]:[Under Votes]])</f>
        <v>388</v>
      </c>
      <c r="Q744" s="99">
        <f>IF(AND(SamplingData[[#This Row],[Total]]&lt;&gt; 0, NOT(ISBLANK(SamplingData[[#This Row],[Losing Candidate]]))),(SamplingData[[#This Row],[Total]]+SamplingData[[#This Row],[Winning Candidate]]-SamplingData[[#This Row],[Losing Candidate]])/(SamplingData[[#Totals],[Winning Candidate]]-SamplingData[[#Totals],[Losing Candidate]]), 0)</f>
        <v>1.7356985231709386E-2</v>
      </c>
      <c r="R744" s="99">
        <f>IF(AND(SamplingData[[#This Row],[Total]]&lt;&gt; 0, NOT(ISBLANK(SamplingData[[#This Row],[Candidate 3]]))),(SamplingData[[#This Row],[Total]]+SamplingData[[#This Row],[Winning Candidate]]-SamplingData[[#This Row],[Candidate 3]])/(SamplingData[[#Totals],[Winning Candidate]]-SamplingData[[#Totals],[Candidate 3]]), 0)</f>
        <v>0</v>
      </c>
      <c r="S744" s="99">
        <f>IF(AND(SamplingData[[#This Row],[Total]]&lt;&gt; 0, NOT(ISBLANK(SamplingData[[#This Row],[Candidate 4]]))),(SamplingData[[#This Row],[Total]]+SamplingData[[#This Row],[Winning Candidate]]-SamplingData[[#This Row],[Candidate 4]])/(SamplingData[[#Totals],[Winning Candidate]]-SamplingData[[#Totals],[Candidate 4]]), 0)</f>
        <v>0</v>
      </c>
      <c r="T744" s="99">
        <f>IF(AND(SamplingData[[#This Row],[Total]]&lt;&gt; 0, NOT(ISBLANK(SamplingData[[#This Row],[Candidate 5]]))),(SamplingData[[#This Row],[Total]]+SamplingData[[#This Row],[Winning Candidate]]-SamplingData[[#This Row],[Candidate 5]])/(SamplingData[[#Totals],[Winning Candidate]]-SamplingData[[#Totals],[Candidate 5]]), 0)</f>
        <v>0</v>
      </c>
      <c r="U744" s="99">
        <f>IF(AND(SamplingData[[#This Row],[Total]]&lt;&gt; 0, NOT(ISBLANK(SamplingData[[#This Row],[Candidate 6]]))),(SamplingData[[#This Row],[Total]]+SamplingData[[#This Row],[Losing Candidate]]-SamplingData[[#This Row],[Candidate 6]])/(SamplingData[[#Totals],[Winning Candidate]]-SamplingData[[#Totals],[Candidate 6]]), 0)</f>
        <v>0</v>
      </c>
      <c r="V744" s="99">
        <f>IF(AND(SamplingData[[#This Row],[Total]]&lt;&gt; 0, NOT(ISBLANK(SamplingData[[#This Row],[Candidate 7]]))),(SamplingData[[#This Row],[Total]]+SamplingData[[#This Row],[Winning Candidate]]-SamplingData[[#This Row],[Candidate 7]])/(SamplingData[[#Totals],[Winning Candidate]]-SamplingData[[#Totals],[Candidate 7]]), 0)</f>
        <v>0</v>
      </c>
      <c r="W744" s="99">
        <f>IF(AND(SamplingData[[#This Row],[Total]]&lt;&gt; 0, NOT(ISBLANK(SamplingData[[#This Row],[Candidate 8]]))),(SamplingData[[#This Row],[Total]]+SamplingData[[#This Row],[Winning Candidate]]-SamplingData[[#This Row],[Candidate 8]])/(SamplingData[[#Totals],[Winning Candidate]]-SamplingData[[#Totals],[Candidate 8]]), 0)</f>
        <v>0</v>
      </c>
      <c r="X7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4" s="99">
        <f>MAX(SamplingData[[#This Row],[Error Bound (up) - Max. possible relative overstatement - Losing Candidate]:[Error Bound (up) - Max. possible relative overstatement - Candidate 12]])</f>
        <v>1.7356985231709386E-2</v>
      </c>
      <c r="AC744" s="99">
        <f>IF(SamplingData[[#This Row],[Max Error Bound (up)]] = 0,0,SamplingData[[#This Row],[Max Error Bound (up)]]/SamplingData[[#Totals],[Max Error Bound (up)]])</f>
        <v>9.2930890318828046E-4</v>
      </c>
      <c r="AD744" s="103">
        <f>SUM($AC$5:AC744)</f>
        <v>0.6625677100374463</v>
      </c>
      <c r="AE744" s="99" t="str" cm="1">
        <f t="array" ref="AE744">IF(SamplingData[[#This Row],[up/U Selection Probability]] = 0, "Zero", TEXT(SamplingData[[#This Row],[Lower Range]], REPT("0",LEN('General Info'!$B$42))) &amp; " - " &amp; TEXT(SamplingData[[#This Row],[Upper Range]], REPT("0",LEN('General Info'!$B$42))))</f>
        <v>661638 - 662567</v>
      </c>
      <c r="AF744" s="99">
        <f>SamplingData[[#This Row],[Upper Range]]-SamplingData[[#This Row],[Span]]</f>
        <v>661638.40113425802</v>
      </c>
      <c r="AG744" s="99">
        <f>IF(ISNUMBER('General Info'!$B$42), ((SamplingData[[#This Row],[up/U Selection Probability]]) * 'General Info'!$B$44) - 1, 0)</f>
        <v>928.30890318828051</v>
      </c>
      <c r="AH744" s="99">
        <f>IF(ISNUMBER('General Info'!$B$42), (SamplingData[[#This Row],[Running (cumulative) sum]] * ('General Info'!$B$42 -'General Info'!$B$43 + 1)) + 'General Info'!$B$43 - 1, 0)</f>
        <v>662566.71003744635</v>
      </c>
      <c r="AI744" s="99" t="str">
        <f>IF(ISERROR(MATCH(SamplingData[[#This Row],[Batch by Type (p)]],SelectedPrecincts[Batch Name], 0)), "", INDEX(SelectedPrecincts[Draw], MATCH(SamplingData[[#This Row],[Batch by Type (p)]],SelectedPrecincts[Batch Name], 0)))</f>
        <v/>
      </c>
      <c r="AJ744" s="100">
        <f>IF(COUNTIF(SelectedPrecincts[Batch Name],SamplingData[[#This Row],[Batch by Type (p)]]) &lt;&gt; 0, COUNTIF(SelectedPrecincts[Batch Name],SamplingData[[#This Row],[Batch by Type (p)]]), 0)</f>
        <v>0</v>
      </c>
    </row>
    <row r="745" spans="1:36" ht="15" customHeight="1" x14ac:dyDescent="0.35">
      <c r="A745" s="97" t="s">
        <v>958</v>
      </c>
      <c r="B745" s="97">
        <v>158</v>
      </c>
      <c r="C745" s="97">
        <v>26</v>
      </c>
      <c r="D745" s="92"/>
      <c r="E745" s="92"/>
      <c r="F745" s="92"/>
      <c r="G745" s="96"/>
      <c r="H745" s="96"/>
      <c r="I745" s="92"/>
      <c r="J745" s="92"/>
      <c r="K745" s="92"/>
      <c r="L745" s="92"/>
      <c r="M745" s="92"/>
      <c r="N745" s="97">
        <v>0</v>
      </c>
      <c r="O745" s="97">
        <v>15</v>
      </c>
      <c r="P745" s="98">
        <f>SUM(SamplingData[[#This Row],[Winning Candidate]:[Under Votes]])</f>
        <v>199</v>
      </c>
      <c r="Q745" s="99">
        <f>IF(AND(SamplingData[[#This Row],[Total]]&lt;&gt; 0, NOT(ISBLANK(SamplingData[[#This Row],[Losing Candidate]]))),(SamplingData[[#This Row],[Total]]+SamplingData[[#This Row],[Winning Candidate]]-SamplingData[[#This Row],[Losing Candidate]])/(SamplingData[[#Totals],[Winning Candidate]]-SamplingData[[#Totals],[Losing Candidate]]), 0)</f>
        <v>1.4046851128840604E-2</v>
      </c>
      <c r="R745" s="99">
        <f>IF(AND(SamplingData[[#This Row],[Total]]&lt;&gt; 0, NOT(ISBLANK(SamplingData[[#This Row],[Candidate 3]]))),(SamplingData[[#This Row],[Total]]+SamplingData[[#This Row],[Winning Candidate]]-SamplingData[[#This Row],[Candidate 3]])/(SamplingData[[#Totals],[Winning Candidate]]-SamplingData[[#Totals],[Candidate 3]]), 0)</f>
        <v>0</v>
      </c>
      <c r="S745" s="99">
        <f>IF(AND(SamplingData[[#This Row],[Total]]&lt;&gt; 0, NOT(ISBLANK(SamplingData[[#This Row],[Candidate 4]]))),(SamplingData[[#This Row],[Total]]+SamplingData[[#This Row],[Winning Candidate]]-SamplingData[[#This Row],[Candidate 4]])/(SamplingData[[#Totals],[Winning Candidate]]-SamplingData[[#Totals],[Candidate 4]]), 0)</f>
        <v>0</v>
      </c>
      <c r="T745" s="99">
        <f>IF(AND(SamplingData[[#This Row],[Total]]&lt;&gt; 0, NOT(ISBLANK(SamplingData[[#This Row],[Candidate 5]]))),(SamplingData[[#This Row],[Total]]+SamplingData[[#This Row],[Winning Candidate]]-SamplingData[[#This Row],[Candidate 5]])/(SamplingData[[#Totals],[Winning Candidate]]-SamplingData[[#Totals],[Candidate 5]]), 0)</f>
        <v>0</v>
      </c>
      <c r="U745" s="99">
        <f>IF(AND(SamplingData[[#This Row],[Total]]&lt;&gt; 0, NOT(ISBLANK(SamplingData[[#This Row],[Candidate 6]]))),(SamplingData[[#This Row],[Total]]+SamplingData[[#This Row],[Losing Candidate]]-SamplingData[[#This Row],[Candidate 6]])/(SamplingData[[#Totals],[Winning Candidate]]-SamplingData[[#Totals],[Candidate 6]]), 0)</f>
        <v>0</v>
      </c>
      <c r="V745" s="99">
        <f>IF(AND(SamplingData[[#This Row],[Total]]&lt;&gt; 0, NOT(ISBLANK(SamplingData[[#This Row],[Candidate 7]]))),(SamplingData[[#This Row],[Total]]+SamplingData[[#This Row],[Winning Candidate]]-SamplingData[[#This Row],[Candidate 7]])/(SamplingData[[#Totals],[Winning Candidate]]-SamplingData[[#Totals],[Candidate 7]]), 0)</f>
        <v>0</v>
      </c>
      <c r="W745" s="99">
        <f>IF(AND(SamplingData[[#This Row],[Total]]&lt;&gt; 0, NOT(ISBLANK(SamplingData[[#This Row],[Candidate 8]]))),(SamplingData[[#This Row],[Total]]+SamplingData[[#This Row],[Winning Candidate]]-SamplingData[[#This Row],[Candidate 8]])/(SamplingData[[#Totals],[Winning Candidate]]-SamplingData[[#Totals],[Candidate 8]]), 0)</f>
        <v>0</v>
      </c>
      <c r="X7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5" s="99">
        <f>MAX(SamplingData[[#This Row],[Error Bound (up) - Max. possible relative overstatement - Losing Candidate]:[Error Bound (up) - Max. possible relative overstatement - Candidate 12]])</f>
        <v>1.4046851128840604E-2</v>
      </c>
      <c r="AC745" s="99">
        <f>IF(SamplingData[[#This Row],[Max Error Bound (up)]] = 0,0,SamplingData[[#This Row],[Max Error Bound (up)]]/SamplingData[[#Totals],[Max Error Bound (up)]])</f>
        <v>7.5208128839931749E-4</v>
      </c>
      <c r="AD745" s="103">
        <f>SUM($AC$5:AC745)</f>
        <v>0.66331979132584562</v>
      </c>
      <c r="AE745" s="99" t="str" cm="1">
        <f t="array" ref="AE745">IF(SamplingData[[#This Row],[up/U Selection Probability]] = 0, "Zero", TEXT(SamplingData[[#This Row],[Lower Range]], REPT("0",LEN('General Info'!$B$42))) &amp; " - " &amp; TEXT(SamplingData[[#This Row],[Upper Range]], REPT("0",LEN('General Info'!$B$42))))</f>
        <v>662568 - 663319</v>
      </c>
      <c r="AF745" s="99">
        <f>SamplingData[[#This Row],[Upper Range]]-SamplingData[[#This Row],[Span]]</f>
        <v>662567.71003744635</v>
      </c>
      <c r="AG745" s="99">
        <f>IF(ISNUMBER('General Info'!$B$42), ((SamplingData[[#This Row],[up/U Selection Probability]]) * 'General Info'!$B$44) - 1, 0)</f>
        <v>751.08128839931749</v>
      </c>
      <c r="AH745" s="99">
        <f>IF(ISNUMBER('General Info'!$B$42), (SamplingData[[#This Row],[Running (cumulative) sum]] * ('General Info'!$B$42 -'General Info'!$B$43 + 1)) + 'General Info'!$B$43 - 1, 0)</f>
        <v>663318.79132584564</v>
      </c>
      <c r="AI745" s="99" t="str">
        <f>IF(ISERROR(MATCH(SamplingData[[#This Row],[Batch by Type (p)]],SelectedPrecincts[Batch Name], 0)), "", INDEX(SelectedPrecincts[Draw], MATCH(SamplingData[[#This Row],[Batch by Type (p)]],SelectedPrecincts[Batch Name], 0)))</f>
        <v/>
      </c>
      <c r="AJ745" s="100">
        <f>IF(COUNTIF(SelectedPrecincts[Batch Name],SamplingData[[#This Row],[Batch by Type (p)]]) &lt;&gt; 0, COUNTIF(SelectedPrecincts[Batch Name],SamplingData[[#This Row],[Batch by Type (p)]]), 0)</f>
        <v>0</v>
      </c>
    </row>
    <row r="746" spans="1:36" ht="15" customHeight="1" x14ac:dyDescent="0.35">
      <c r="A746" s="97" t="s">
        <v>959</v>
      </c>
      <c r="B746" s="97">
        <v>246</v>
      </c>
      <c r="C746" s="97">
        <v>163</v>
      </c>
      <c r="D746" s="92"/>
      <c r="E746" s="92"/>
      <c r="F746" s="92"/>
      <c r="G746" s="96"/>
      <c r="H746" s="96"/>
      <c r="I746" s="92"/>
      <c r="J746" s="92"/>
      <c r="K746" s="92"/>
      <c r="L746" s="92"/>
      <c r="M746" s="92"/>
      <c r="N746" s="97">
        <v>0</v>
      </c>
      <c r="O746" s="97">
        <v>37</v>
      </c>
      <c r="P746" s="98">
        <f>SUM(SamplingData[[#This Row],[Winning Candidate]:[Under Votes]])</f>
        <v>446</v>
      </c>
      <c r="Q746" s="99">
        <f>IF(AND(SamplingData[[#This Row],[Total]]&lt;&gt; 0, NOT(ISBLANK(SamplingData[[#This Row],[Losing Candidate]]))),(SamplingData[[#This Row],[Total]]+SamplingData[[#This Row],[Winning Candidate]]-SamplingData[[#This Row],[Losing Candidate]])/(SamplingData[[#Totals],[Winning Candidate]]-SamplingData[[#Totals],[Losing Candidate]]), 0)</f>
        <v>2.24494992361229E-2</v>
      </c>
      <c r="R746" s="99">
        <f>IF(AND(SamplingData[[#This Row],[Total]]&lt;&gt; 0, NOT(ISBLANK(SamplingData[[#This Row],[Candidate 3]]))),(SamplingData[[#This Row],[Total]]+SamplingData[[#This Row],[Winning Candidate]]-SamplingData[[#This Row],[Candidate 3]])/(SamplingData[[#Totals],[Winning Candidate]]-SamplingData[[#Totals],[Candidate 3]]), 0)</f>
        <v>0</v>
      </c>
      <c r="S746" s="99">
        <f>IF(AND(SamplingData[[#This Row],[Total]]&lt;&gt; 0, NOT(ISBLANK(SamplingData[[#This Row],[Candidate 4]]))),(SamplingData[[#This Row],[Total]]+SamplingData[[#This Row],[Winning Candidate]]-SamplingData[[#This Row],[Candidate 4]])/(SamplingData[[#Totals],[Winning Candidate]]-SamplingData[[#Totals],[Candidate 4]]), 0)</f>
        <v>0</v>
      </c>
      <c r="T746" s="99">
        <f>IF(AND(SamplingData[[#This Row],[Total]]&lt;&gt; 0, NOT(ISBLANK(SamplingData[[#This Row],[Candidate 5]]))),(SamplingData[[#This Row],[Total]]+SamplingData[[#This Row],[Winning Candidate]]-SamplingData[[#This Row],[Candidate 5]])/(SamplingData[[#Totals],[Winning Candidate]]-SamplingData[[#Totals],[Candidate 5]]), 0)</f>
        <v>0</v>
      </c>
      <c r="U746" s="99">
        <f>IF(AND(SamplingData[[#This Row],[Total]]&lt;&gt; 0, NOT(ISBLANK(SamplingData[[#This Row],[Candidate 6]]))),(SamplingData[[#This Row],[Total]]+SamplingData[[#This Row],[Losing Candidate]]-SamplingData[[#This Row],[Candidate 6]])/(SamplingData[[#Totals],[Winning Candidate]]-SamplingData[[#Totals],[Candidate 6]]), 0)</f>
        <v>0</v>
      </c>
      <c r="V746" s="99">
        <f>IF(AND(SamplingData[[#This Row],[Total]]&lt;&gt; 0, NOT(ISBLANK(SamplingData[[#This Row],[Candidate 7]]))),(SamplingData[[#This Row],[Total]]+SamplingData[[#This Row],[Winning Candidate]]-SamplingData[[#This Row],[Candidate 7]])/(SamplingData[[#Totals],[Winning Candidate]]-SamplingData[[#Totals],[Candidate 7]]), 0)</f>
        <v>0</v>
      </c>
      <c r="W746" s="99">
        <f>IF(AND(SamplingData[[#This Row],[Total]]&lt;&gt; 0, NOT(ISBLANK(SamplingData[[#This Row],[Candidate 8]]))),(SamplingData[[#This Row],[Total]]+SamplingData[[#This Row],[Winning Candidate]]-SamplingData[[#This Row],[Candidate 8]])/(SamplingData[[#Totals],[Winning Candidate]]-SamplingData[[#Totals],[Candidate 8]]), 0)</f>
        <v>0</v>
      </c>
      <c r="X7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6" s="99">
        <f>MAX(SamplingData[[#This Row],[Error Bound (up) - Max. possible relative overstatement - Losing Candidate]:[Error Bound (up) - Max. possible relative overstatement - Candidate 12]])</f>
        <v>2.24494992361229E-2</v>
      </c>
      <c r="AC746" s="99">
        <f>IF(SamplingData[[#This Row],[Max Error Bound (up)]] = 0,0,SamplingData[[#This Row],[Max Error Bound (up)]]/SamplingData[[#Totals],[Max Error Bound (up)]])</f>
        <v>1.2019667720943776E-3</v>
      </c>
      <c r="AD746" s="103">
        <f>SUM($AC$5:AC746)</f>
        <v>0.66452175809794001</v>
      </c>
      <c r="AE746" s="99" t="str" cm="1">
        <f t="array" ref="AE746">IF(SamplingData[[#This Row],[up/U Selection Probability]] = 0, "Zero", TEXT(SamplingData[[#This Row],[Lower Range]], REPT("0",LEN('General Info'!$B$42))) &amp; " - " &amp; TEXT(SamplingData[[#This Row],[Upper Range]], REPT("0",LEN('General Info'!$B$42))))</f>
        <v>663320 - 664521</v>
      </c>
      <c r="AF746" s="99">
        <f>SamplingData[[#This Row],[Upper Range]]-SamplingData[[#This Row],[Span]]</f>
        <v>663319.79132584564</v>
      </c>
      <c r="AG746" s="99">
        <f>IF(ISNUMBER('General Info'!$B$42), ((SamplingData[[#This Row],[up/U Selection Probability]]) * 'General Info'!$B$44) - 1, 0)</f>
        <v>1200.9667720943776</v>
      </c>
      <c r="AH746" s="99">
        <f>IF(ISNUMBER('General Info'!$B$42), (SamplingData[[#This Row],[Running (cumulative) sum]] * ('General Info'!$B$42 -'General Info'!$B$43 + 1)) + 'General Info'!$B$43 - 1, 0)</f>
        <v>664520.75809794001</v>
      </c>
      <c r="AI746" s="99" t="str">
        <f>IF(ISERROR(MATCH(SamplingData[[#This Row],[Batch by Type (p)]],SelectedPrecincts[Batch Name], 0)), "", INDEX(SelectedPrecincts[Draw], MATCH(SamplingData[[#This Row],[Batch by Type (p)]],SelectedPrecincts[Batch Name], 0)))</f>
        <v/>
      </c>
      <c r="AJ746" s="100">
        <f>IF(COUNTIF(SelectedPrecincts[Batch Name],SamplingData[[#This Row],[Batch by Type (p)]]) &lt;&gt; 0, COUNTIF(SelectedPrecincts[Batch Name],SamplingData[[#This Row],[Batch by Type (p)]]), 0)</f>
        <v>0</v>
      </c>
    </row>
    <row r="747" spans="1:36" ht="15" customHeight="1" x14ac:dyDescent="0.35">
      <c r="A747" s="97" t="s">
        <v>960</v>
      </c>
      <c r="B747" s="97">
        <v>319</v>
      </c>
      <c r="C747" s="97">
        <v>49</v>
      </c>
      <c r="D747" s="92"/>
      <c r="E747" s="92"/>
      <c r="F747" s="92"/>
      <c r="G747" s="96"/>
      <c r="H747" s="96"/>
      <c r="I747" s="92"/>
      <c r="J747" s="92"/>
      <c r="K747" s="92"/>
      <c r="L747" s="92"/>
      <c r="M747" s="92"/>
      <c r="N747" s="97">
        <v>0</v>
      </c>
      <c r="O747" s="97">
        <v>31</v>
      </c>
      <c r="P747" s="98">
        <f>SUM(SamplingData[[#This Row],[Winning Candidate]:[Under Votes]])</f>
        <v>399</v>
      </c>
      <c r="Q747" s="99">
        <f>IF(AND(SamplingData[[#This Row],[Total]]&lt;&gt; 0, NOT(ISBLANK(SamplingData[[#This Row],[Losing Candidate]]))),(SamplingData[[#This Row],[Total]]+SamplingData[[#This Row],[Winning Candidate]]-SamplingData[[#This Row],[Losing Candidate]])/(SamplingData[[#Totals],[Winning Candidate]]-SamplingData[[#Totals],[Losing Candidate]]), 0)</f>
        <v>2.839076557460533E-2</v>
      </c>
      <c r="R747" s="99">
        <f>IF(AND(SamplingData[[#This Row],[Total]]&lt;&gt; 0, NOT(ISBLANK(SamplingData[[#This Row],[Candidate 3]]))),(SamplingData[[#This Row],[Total]]+SamplingData[[#This Row],[Winning Candidate]]-SamplingData[[#This Row],[Candidate 3]])/(SamplingData[[#Totals],[Winning Candidate]]-SamplingData[[#Totals],[Candidate 3]]), 0)</f>
        <v>0</v>
      </c>
      <c r="S747" s="99">
        <f>IF(AND(SamplingData[[#This Row],[Total]]&lt;&gt; 0, NOT(ISBLANK(SamplingData[[#This Row],[Candidate 4]]))),(SamplingData[[#This Row],[Total]]+SamplingData[[#This Row],[Winning Candidate]]-SamplingData[[#This Row],[Candidate 4]])/(SamplingData[[#Totals],[Winning Candidate]]-SamplingData[[#Totals],[Candidate 4]]), 0)</f>
        <v>0</v>
      </c>
      <c r="T747" s="99">
        <f>IF(AND(SamplingData[[#This Row],[Total]]&lt;&gt; 0, NOT(ISBLANK(SamplingData[[#This Row],[Candidate 5]]))),(SamplingData[[#This Row],[Total]]+SamplingData[[#This Row],[Winning Candidate]]-SamplingData[[#This Row],[Candidate 5]])/(SamplingData[[#Totals],[Winning Candidate]]-SamplingData[[#Totals],[Candidate 5]]), 0)</f>
        <v>0</v>
      </c>
      <c r="U747" s="99">
        <f>IF(AND(SamplingData[[#This Row],[Total]]&lt;&gt; 0, NOT(ISBLANK(SamplingData[[#This Row],[Candidate 6]]))),(SamplingData[[#This Row],[Total]]+SamplingData[[#This Row],[Losing Candidate]]-SamplingData[[#This Row],[Candidate 6]])/(SamplingData[[#Totals],[Winning Candidate]]-SamplingData[[#Totals],[Candidate 6]]), 0)</f>
        <v>0</v>
      </c>
      <c r="V747" s="99">
        <f>IF(AND(SamplingData[[#This Row],[Total]]&lt;&gt; 0, NOT(ISBLANK(SamplingData[[#This Row],[Candidate 7]]))),(SamplingData[[#This Row],[Total]]+SamplingData[[#This Row],[Winning Candidate]]-SamplingData[[#This Row],[Candidate 7]])/(SamplingData[[#Totals],[Winning Candidate]]-SamplingData[[#Totals],[Candidate 7]]), 0)</f>
        <v>0</v>
      </c>
      <c r="W747" s="99">
        <f>IF(AND(SamplingData[[#This Row],[Total]]&lt;&gt; 0, NOT(ISBLANK(SamplingData[[#This Row],[Candidate 8]]))),(SamplingData[[#This Row],[Total]]+SamplingData[[#This Row],[Winning Candidate]]-SamplingData[[#This Row],[Candidate 8]])/(SamplingData[[#Totals],[Winning Candidate]]-SamplingData[[#Totals],[Candidate 8]]), 0)</f>
        <v>0</v>
      </c>
      <c r="X7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7" s="99">
        <f>MAX(SamplingData[[#This Row],[Error Bound (up) - Max. possible relative overstatement - Losing Candidate]:[Error Bound (up) - Max. possible relative overstatement - Candidate 12]])</f>
        <v>2.839076557460533E-2</v>
      </c>
      <c r="AC747" s="99">
        <f>IF(SamplingData[[#This Row],[Max Error Bound (up)]] = 0,0,SamplingData[[#This Row],[Max Error Bound (up)]]/SamplingData[[#Totals],[Max Error Bound (up)]])</f>
        <v>1.5200676191514907E-3</v>
      </c>
      <c r="AD747" s="103">
        <f>SUM($AC$5:AC747)</f>
        <v>0.66604182571709147</v>
      </c>
      <c r="AE747" s="99" t="str" cm="1">
        <f t="array" ref="AE747">IF(SamplingData[[#This Row],[up/U Selection Probability]] = 0, "Zero", TEXT(SamplingData[[#This Row],[Lower Range]], REPT("0",LEN('General Info'!$B$42))) &amp; " - " &amp; TEXT(SamplingData[[#This Row],[Upper Range]], REPT("0",LEN('General Info'!$B$42))))</f>
        <v>664522 - 666041</v>
      </c>
      <c r="AF747" s="99">
        <f>SamplingData[[#This Row],[Upper Range]]-SamplingData[[#This Row],[Span]]</f>
        <v>664521.75809794001</v>
      </c>
      <c r="AG747" s="99">
        <f>IF(ISNUMBER('General Info'!$B$42), ((SamplingData[[#This Row],[up/U Selection Probability]]) * 'General Info'!$B$44) - 1, 0)</f>
        <v>1519.0676191514906</v>
      </c>
      <c r="AH747" s="99">
        <f>IF(ISNUMBER('General Info'!$B$42), (SamplingData[[#This Row],[Running (cumulative) sum]] * ('General Info'!$B$42 -'General Info'!$B$43 + 1)) + 'General Info'!$B$43 - 1, 0)</f>
        <v>666040.82571709144</v>
      </c>
      <c r="AI747" s="99" t="str">
        <f>IF(ISERROR(MATCH(SamplingData[[#This Row],[Batch by Type (p)]],SelectedPrecincts[Batch Name], 0)), "", INDEX(SelectedPrecincts[Draw], MATCH(SamplingData[[#This Row],[Batch by Type (p)]],SelectedPrecincts[Batch Name], 0)))</f>
        <v/>
      </c>
      <c r="AJ747" s="100">
        <f>IF(COUNTIF(SelectedPrecincts[Batch Name],SamplingData[[#This Row],[Batch by Type (p)]]) &lt;&gt; 0, COUNTIF(SelectedPrecincts[Batch Name],SamplingData[[#This Row],[Batch by Type (p)]]), 0)</f>
        <v>0</v>
      </c>
    </row>
    <row r="748" spans="1:36" ht="15" customHeight="1" x14ac:dyDescent="0.35">
      <c r="A748" s="97" t="s">
        <v>961</v>
      </c>
      <c r="B748" s="97">
        <v>321</v>
      </c>
      <c r="C748" s="97">
        <v>207</v>
      </c>
      <c r="D748" s="92"/>
      <c r="E748" s="92"/>
      <c r="F748" s="92"/>
      <c r="G748" s="96"/>
      <c r="H748" s="96"/>
      <c r="I748" s="92"/>
      <c r="J748" s="92"/>
      <c r="K748" s="92"/>
      <c r="L748" s="92"/>
      <c r="M748" s="92"/>
      <c r="N748" s="97">
        <v>0</v>
      </c>
      <c r="O748" s="97">
        <v>37</v>
      </c>
      <c r="P748" s="98">
        <f>SUM(SamplingData[[#This Row],[Winning Candidate]:[Under Votes]])</f>
        <v>565</v>
      </c>
      <c r="Q748" s="99">
        <f>IF(AND(SamplingData[[#This Row],[Total]]&lt;&gt; 0, NOT(ISBLANK(SamplingData[[#This Row],[Losing Candidate]]))),(SamplingData[[#This Row],[Total]]+SamplingData[[#This Row],[Winning Candidate]]-SamplingData[[#This Row],[Losing Candidate]])/(SamplingData[[#Totals],[Winning Candidate]]-SamplingData[[#Totals],[Losing Candidate]]), 0)</f>
        <v>2.881514174163979E-2</v>
      </c>
      <c r="R748" s="99">
        <f>IF(AND(SamplingData[[#This Row],[Total]]&lt;&gt; 0, NOT(ISBLANK(SamplingData[[#This Row],[Candidate 3]]))),(SamplingData[[#This Row],[Total]]+SamplingData[[#This Row],[Winning Candidate]]-SamplingData[[#This Row],[Candidate 3]])/(SamplingData[[#Totals],[Winning Candidate]]-SamplingData[[#Totals],[Candidate 3]]), 0)</f>
        <v>0</v>
      </c>
      <c r="S748" s="99">
        <f>IF(AND(SamplingData[[#This Row],[Total]]&lt;&gt; 0, NOT(ISBLANK(SamplingData[[#This Row],[Candidate 4]]))),(SamplingData[[#This Row],[Total]]+SamplingData[[#This Row],[Winning Candidate]]-SamplingData[[#This Row],[Candidate 4]])/(SamplingData[[#Totals],[Winning Candidate]]-SamplingData[[#Totals],[Candidate 4]]), 0)</f>
        <v>0</v>
      </c>
      <c r="T748" s="99">
        <f>IF(AND(SamplingData[[#This Row],[Total]]&lt;&gt; 0, NOT(ISBLANK(SamplingData[[#This Row],[Candidate 5]]))),(SamplingData[[#This Row],[Total]]+SamplingData[[#This Row],[Winning Candidate]]-SamplingData[[#This Row],[Candidate 5]])/(SamplingData[[#Totals],[Winning Candidate]]-SamplingData[[#Totals],[Candidate 5]]), 0)</f>
        <v>0</v>
      </c>
      <c r="U748" s="99">
        <f>IF(AND(SamplingData[[#This Row],[Total]]&lt;&gt; 0, NOT(ISBLANK(SamplingData[[#This Row],[Candidate 6]]))),(SamplingData[[#This Row],[Total]]+SamplingData[[#This Row],[Losing Candidate]]-SamplingData[[#This Row],[Candidate 6]])/(SamplingData[[#Totals],[Winning Candidate]]-SamplingData[[#Totals],[Candidate 6]]), 0)</f>
        <v>0</v>
      </c>
      <c r="V748" s="99">
        <f>IF(AND(SamplingData[[#This Row],[Total]]&lt;&gt; 0, NOT(ISBLANK(SamplingData[[#This Row],[Candidate 7]]))),(SamplingData[[#This Row],[Total]]+SamplingData[[#This Row],[Winning Candidate]]-SamplingData[[#This Row],[Candidate 7]])/(SamplingData[[#Totals],[Winning Candidate]]-SamplingData[[#Totals],[Candidate 7]]), 0)</f>
        <v>0</v>
      </c>
      <c r="W748" s="99">
        <f>IF(AND(SamplingData[[#This Row],[Total]]&lt;&gt; 0, NOT(ISBLANK(SamplingData[[#This Row],[Candidate 8]]))),(SamplingData[[#This Row],[Total]]+SamplingData[[#This Row],[Winning Candidate]]-SamplingData[[#This Row],[Candidate 8]])/(SamplingData[[#Totals],[Winning Candidate]]-SamplingData[[#Totals],[Candidate 8]]), 0)</f>
        <v>0</v>
      </c>
      <c r="X7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8" s="99">
        <f>MAX(SamplingData[[#This Row],[Error Bound (up) - Max. possible relative overstatement - Losing Candidate]:[Error Bound (up) - Max. possible relative overstatement - Candidate 12]])</f>
        <v>2.881514174163979E-2</v>
      </c>
      <c r="AC748" s="99">
        <f>IF(SamplingData[[#This Row],[Max Error Bound (up)]] = 0,0,SamplingData[[#This Row],[Max Error Bound (up)]]/SamplingData[[#Totals],[Max Error Bound (up)]])</f>
        <v>1.5427891082269987E-3</v>
      </c>
      <c r="AD748" s="103">
        <f>SUM($AC$5:AC748)</f>
        <v>0.6675846148253185</v>
      </c>
      <c r="AE748" s="99" t="str" cm="1">
        <f t="array" ref="AE748">IF(SamplingData[[#This Row],[up/U Selection Probability]] = 0, "Zero", TEXT(SamplingData[[#This Row],[Lower Range]], REPT("0",LEN('General Info'!$B$42))) &amp; " - " &amp; TEXT(SamplingData[[#This Row],[Upper Range]], REPT("0",LEN('General Info'!$B$42))))</f>
        <v>666042 - 667584</v>
      </c>
      <c r="AF748" s="99">
        <f>SamplingData[[#This Row],[Upper Range]]-SamplingData[[#This Row],[Span]]</f>
        <v>666041.82571709144</v>
      </c>
      <c r="AG748" s="99">
        <f>IF(ISNUMBER('General Info'!$B$42), ((SamplingData[[#This Row],[up/U Selection Probability]]) * 'General Info'!$B$44) - 1, 0)</f>
        <v>1541.7891082269987</v>
      </c>
      <c r="AH748" s="99">
        <f>IF(ISNUMBER('General Info'!$B$42), (SamplingData[[#This Row],[Running (cumulative) sum]] * ('General Info'!$B$42 -'General Info'!$B$43 + 1)) + 'General Info'!$B$43 - 1, 0)</f>
        <v>667583.61482531845</v>
      </c>
      <c r="AI748" s="99" t="str">
        <f>IF(ISERROR(MATCH(SamplingData[[#This Row],[Batch by Type (p)]],SelectedPrecincts[Batch Name], 0)), "", INDEX(SelectedPrecincts[Draw], MATCH(SamplingData[[#This Row],[Batch by Type (p)]],SelectedPrecincts[Batch Name], 0)))</f>
        <v/>
      </c>
      <c r="AJ748" s="100">
        <f>IF(COUNTIF(SelectedPrecincts[Batch Name],SamplingData[[#This Row],[Batch by Type (p)]]) &lt;&gt; 0, COUNTIF(SelectedPrecincts[Batch Name],SamplingData[[#This Row],[Batch by Type (p)]]), 0)</f>
        <v>0</v>
      </c>
    </row>
    <row r="749" spans="1:36" ht="15" customHeight="1" x14ac:dyDescent="0.35">
      <c r="A749" s="97" t="s">
        <v>962</v>
      </c>
      <c r="B749" s="97">
        <v>165</v>
      </c>
      <c r="C749" s="97">
        <v>94</v>
      </c>
      <c r="D749" s="92"/>
      <c r="E749" s="92"/>
      <c r="F749" s="92"/>
      <c r="G749" s="96"/>
      <c r="H749" s="96"/>
      <c r="I749" s="92"/>
      <c r="J749" s="92"/>
      <c r="K749" s="92"/>
      <c r="L749" s="92"/>
      <c r="M749" s="92"/>
      <c r="N749" s="97">
        <v>0</v>
      </c>
      <c r="O749" s="97">
        <v>27</v>
      </c>
      <c r="P749" s="98">
        <f>SUM(SamplingData[[#This Row],[Winning Candidate]:[Under Votes]])</f>
        <v>286</v>
      </c>
      <c r="Q749" s="99">
        <f>IF(AND(SamplingData[[#This Row],[Total]]&lt;&gt; 0, NOT(ISBLANK(SamplingData[[#This Row],[Losing Candidate]]))),(SamplingData[[#This Row],[Total]]+SamplingData[[#This Row],[Winning Candidate]]-SamplingData[[#This Row],[Losing Candidate]])/(SamplingData[[#Totals],[Winning Candidate]]-SamplingData[[#Totals],[Losing Candidate]]), 0)</f>
        <v>1.5150229163130198E-2</v>
      </c>
      <c r="R749" s="99">
        <f>IF(AND(SamplingData[[#This Row],[Total]]&lt;&gt; 0, NOT(ISBLANK(SamplingData[[#This Row],[Candidate 3]]))),(SamplingData[[#This Row],[Total]]+SamplingData[[#This Row],[Winning Candidate]]-SamplingData[[#This Row],[Candidate 3]])/(SamplingData[[#Totals],[Winning Candidate]]-SamplingData[[#Totals],[Candidate 3]]), 0)</f>
        <v>0</v>
      </c>
      <c r="S749" s="99">
        <f>IF(AND(SamplingData[[#This Row],[Total]]&lt;&gt; 0, NOT(ISBLANK(SamplingData[[#This Row],[Candidate 4]]))),(SamplingData[[#This Row],[Total]]+SamplingData[[#This Row],[Winning Candidate]]-SamplingData[[#This Row],[Candidate 4]])/(SamplingData[[#Totals],[Winning Candidate]]-SamplingData[[#Totals],[Candidate 4]]), 0)</f>
        <v>0</v>
      </c>
      <c r="T749" s="99">
        <f>IF(AND(SamplingData[[#This Row],[Total]]&lt;&gt; 0, NOT(ISBLANK(SamplingData[[#This Row],[Candidate 5]]))),(SamplingData[[#This Row],[Total]]+SamplingData[[#This Row],[Winning Candidate]]-SamplingData[[#This Row],[Candidate 5]])/(SamplingData[[#Totals],[Winning Candidate]]-SamplingData[[#Totals],[Candidate 5]]), 0)</f>
        <v>0</v>
      </c>
      <c r="U749" s="99">
        <f>IF(AND(SamplingData[[#This Row],[Total]]&lt;&gt; 0, NOT(ISBLANK(SamplingData[[#This Row],[Candidate 6]]))),(SamplingData[[#This Row],[Total]]+SamplingData[[#This Row],[Losing Candidate]]-SamplingData[[#This Row],[Candidate 6]])/(SamplingData[[#Totals],[Winning Candidate]]-SamplingData[[#Totals],[Candidate 6]]), 0)</f>
        <v>0</v>
      </c>
      <c r="V749" s="99">
        <f>IF(AND(SamplingData[[#This Row],[Total]]&lt;&gt; 0, NOT(ISBLANK(SamplingData[[#This Row],[Candidate 7]]))),(SamplingData[[#This Row],[Total]]+SamplingData[[#This Row],[Winning Candidate]]-SamplingData[[#This Row],[Candidate 7]])/(SamplingData[[#Totals],[Winning Candidate]]-SamplingData[[#Totals],[Candidate 7]]), 0)</f>
        <v>0</v>
      </c>
      <c r="W749" s="99">
        <f>IF(AND(SamplingData[[#This Row],[Total]]&lt;&gt; 0, NOT(ISBLANK(SamplingData[[#This Row],[Candidate 8]]))),(SamplingData[[#This Row],[Total]]+SamplingData[[#This Row],[Winning Candidate]]-SamplingData[[#This Row],[Candidate 8]])/(SamplingData[[#Totals],[Winning Candidate]]-SamplingData[[#Totals],[Candidate 8]]), 0)</f>
        <v>0</v>
      </c>
      <c r="X7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9" s="99">
        <f>MAX(SamplingData[[#This Row],[Error Bound (up) - Max. possible relative overstatement - Losing Candidate]:[Error Bound (up) - Max. possible relative overstatement - Candidate 12]])</f>
        <v>1.5150229163130198E-2</v>
      </c>
      <c r="AC749" s="99">
        <f>IF(SamplingData[[#This Row],[Max Error Bound (up)]] = 0,0,SamplingData[[#This Row],[Max Error Bound (up)]]/SamplingData[[#Totals],[Max Error Bound (up)]])</f>
        <v>8.1115715999563844E-4</v>
      </c>
      <c r="AD749" s="103">
        <f>SUM($AC$5:AC749)</f>
        <v>0.66839577198531419</v>
      </c>
      <c r="AE749" s="99" t="str" cm="1">
        <f t="array" ref="AE749">IF(SamplingData[[#This Row],[up/U Selection Probability]] = 0, "Zero", TEXT(SamplingData[[#This Row],[Lower Range]], REPT("0",LEN('General Info'!$B$42))) &amp; " - " &amp; TEXT(SamplingData[[#This Row],[Upper Range]], REPT("0",LEN('General Info'!$B$42))))</f>
        <v>667585 - 668395</v>
      </c>
      <c r="AF749" s="99">
        <f>SamplingData[[#This Row],[Upper Range]]-SamplingData[[#This Row],[Span]]</f>
        <v>667584.61482531857</v>
      </c>
      <c r="AG749" s="99">
        <f>IF(ISNUMBER('General Info'!$B$42), ((SamplingData[[#This Row],[up/U Selection Probability]]) * 'General Info'!$B$44) - 1, 0)</f>
        <v>810.15715999563849</v>
      </c>
      <c r="AH749" s="99">
        <f>IF(ISNUMBER('General Info'!$B$42), (SamplingData[[#This Row],[Running (cumulative) sum]] * ('General Info'!$B$42 -'General Info'!$B$43 + 1)) + 'General Info'!$B$43 - 1, 0)</f>
        <v>668394.7719853142</v>
      </c>
      <c r="AI749" s="99" t="str">
        <f>IF(ISERROR(MATCH(SamplingData[[#This Row],[Batch by Type (p)]],SelectedPrecincts[Batch Name], 0)), "", INDEX(SelectedPrecincts[Draw], MATCH(SamplingData[[#This Row],[Batch by Type (p)]],SelectedPrecincts[Batch Name], 0)))</f>
        <v/>
      </c>
      <c r="AJ749" s="100">
        <f>IF(COUNTIF(SelectedPrecincts[Batch Name],SamplingData[[#This Row],[Batch by Type (p)]]) &lt;&gt; 0, COUNTIF(SelectedPrecincts[Batch Name],SamplingData[[#This Row],[Batch by Type (p)]]), 0)</f>
        <v>0</v>
      </c>
    </row>
    <row r="750" spans="1:36" ht="15" customHeight="1" x14ac:dyDescent="0.35">
      <c r="A750" s="97" t="s">
        <v>963</v>
      </c>
      <c r="B750" s="97">
        <v>131</v>
      </c>
      <c r="C750" s="97">
        <v>35</v>
      </c>
      <c r="D750" s="92"/>
      <c r="E750" s="92"/>
      <c r="F750" s="92"/>
      <c r="G750" s="96"/>
      <c r="H750" s="96"/>
      <c r="I750" s="92"/>
      <c r="J750" s="92"/>
      <c r="K750" s="92"/>
      <c r="L750" s="92"/>
      <c r="M750" s="92"/>
      <c r="N750" s="97">
        <v>0</v>
      </c>
      <c r="O750" s="97">
        <v>17</v>
      </c>
      <c r="P750" s="98">
        <f>SUM(SamplingData[[#This Row],[Winning Candidate]:[Under Votes]])</f>
        <v>183</v>
      </c>
      <c r="Q750" s="99">
        <f>IF(AND(SamplingData[[#This Row],[Total]]&lt;&gt; 0, NOT(ISBLANK(SamplingData[[#This Row],[Losing Candidate]]))),(SamplingData[[#This Row],[Total]]+SamplingData[[#This Row],[Winning Candidate]]-SamplingData[[#This Row],[Losing Candidate]])/(SamplingData[[#Totals],[Winning Candidate]]-SamplingData[[#Totals],[Losing Candidate]]), 0)</f>
        <v>1.1840095060261416E-2</v>
      </c>
      <c r="R750" s="99">
        <f>IF(AND(SamplingData[[#This Row],[Total]]&lt;&gt; 0, NOT(ISBLANK(SamplingData[[#This Row],[Candidate 3]]))),(SamplingData[[#This Row],[Total]]+SamplingData[[#This Row],[Winning Candidate]]-SamplingData[[#This Row],[Candidate 3]])/(SamplingData[[#Totals],[Winning Candidate]]-SamplingData[[#Totals],[Candidate 3]]), 0)</f>
        <v>0</v>
      </c>
      <c r="S750" s="99">
        <f>IF(AND(SamplingData[[#This Row],[Total]]&lt;&gt; 0, NOT(ISBLANK(SamplingData[[#This Row],[Candidate 4]]))),(SamplingData[[#This Row],[Total]]+SamplingData[[#This Row],[Winning Candidate]]-SamplingData[[#This Row],[Candidate 4]])/(SamplingData[[#Totals],[Winning Candidate]]-SamplingData[[#Totals],[Candidate 4]]), 0)</f>
        <v>0</v>
      </c>
      <c r="T750" s="99">
        <f>IF(AND(SamplingData[[#This Row],[Total]]&lt;&gt; 0, NOT(ISBLANK(SamplingData[[#This Row],[Candidate 5]]))),(SamplingData[[#This Row],[Total]]+SamplingData[[#This Row],[Winning Candidate]]-SamplingData[[#This Row],[Candidate 5]])/(SamplingData[[#Totals],[Winning Candidate]]-SamplingData[[#Totals],[Candidate 5]]), 0)</f>
        <v>0</v>
      </c>
      <c r="U750" s="99">
        <f>IF(AND(SamplingData[[#This Row],[Total]]&lt;&gt; 0, NOT(ISBLANK(SamplingData[[#This Row],[Candidate 6]]))),(SamplingData[[#This Row],[Total]]+SamplingData[[#This Row],[Losing Candidate]]-SamplingData[[#This Row],[Candidate 6]])/(SamplingData[[#Totals],[Winning Candidate]]-SamplingData[[#Totals],[Candidate 6]]), 0)</f>
        <v>0</v>
      </c>
      <c r="V750" s="99">
        <f>IF(AND(SamplingData[[#This Row],[Total]]&lt;&gt; 0, NOT(ISBLANK(SamplingData[[#This Row],[Candidate 7]]))),(SamplingData[[#This Row],[Total]]+SamplingData[[#This Row],[Winning Candidate]]-SamplingData[[#This Row],[Candidate 7]])/(SamplingData[[#Totals],[Winning Candidate]]-SamplingData[[#Totals],[Candidate 7]]), 0)</f>
        <v>0</v>
      </c>
      <c r="W750" s="99">
        <f>IF(AND(SamplingData[[#This Row],[Total]]&lt;&gt; 0, NOT(ISBLANK(SamplingData[[#This Row],[Candidate 8]]))),(SamplingData[[#This Row],[Total]]+SamplingData[[#This Row],[Winning Candidate]]-SamplingData[[#This Row],[Candidate 8]])/(SamplingData[[#Totals],[Winning Candidate]]-SamplingData[[#Totals],[Candidate 8]]), 0)</f>
        <v>0</v>
      </c>
      <c r="X7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0" s="99">
        <f>MAX(SamplingData[[#This Row],[Error Bound (up) - Max. possible relative overstatement - Losing Candidate]:[Error Bound (up) - Max. possible relative overstatement - Candidate 12]])</f>
        <v>1.1840095060261416E-2</v>
      </c>
      <c r="AC750" s="99">
        <f>IF(SamplingData[[#This Row],[Max Error Bound (up)]] = 0,0,SamplingData[[#This Row],[Max Error Bound (up)]]/SamplingData[[#Totals],[Max Error Bound (up)]])</f>
        <v>6.3392954520667547E-4</v>
      </c>
      <c r="AD750" s="103">
        <f>SUM($AC$5:AC750)</f>
        <v>0.66902970153052088</v>
      </c>
      <c r="AE750" s="99" t="str" cm="1">
        <f t="array" ref="AE750">IF(SamplingData[[#This Row],[up/U Selection Probability]] = 0, "Zero", TEXT(SamplingData[[#This Row],[Lower Range]], REPT("0",LEN('General Info'!$B$42))) &amp; " - " &amp; TEXT(SamplingData[[#This Row],[Upper Range]], REPT("0",LEN('General Info'!$B$42))))</f>
        <v>668396 - 669029</v>
      </c>
      <c r="AF750" s="99">
        <f>SamplingData[[#This Row],[Upper Range]]-SamplingData[[#This Row],[Span]]</f>
        <v>668395.7719853142</v>
      </c>
      <c r="AG750" s="99">
        <f>IF(ISNUMBER('General Info'!$B$42), ((SamplingData[[#This Row],[up/U Selection Probability]]) * 'General Info'!$B$44) - 1, 0)</f>
        <v>632.92954520667547</v>
      </c>
      <c r="AH750" s="99">
        <f>IF(ISNUMBER('General Info'!$B$42), (SamplingData[[#This Row],[Running (cumulative) sum]] * ('General Info'!$B$42 -'General Info'!$B$43 + 1)) + 'General Info'!$B$43 - 1, 0)</f>
        <v>669028.70153052092</v>
      </c>
      <c r="AI750" s="99" t="str">
        <f>IF(ISERROR(MATCH(SamplingData[[#This Row],[Batch by Type (p)]],SelectedPrecincts[Batch Name], 0)), "", INDEX(SelectedPrecincts[Draw], MATCH(SamplingData[[#This Row],[Batch by Type (p)]],SelectedPrecincts[Batch Name], 0)))</f>
        <v/>
      </c>
      <c r="AJ750" s="100">
        <f>IF(COUNTIF(SelectedPrecincts[Batch Name],SamplingData[[#This Row],[Batch by Type (p)]]) &lt;&gt; 0, COUNTIF(SelectedPrecincts[Batch Name],SamplingData[[#This Row],[Batch by Type (p)]]), 0)</f>
        <v>0</v>
      </c>
    </row>
    <row r="751" spans="1:36" ht="15" customHeight="1" x14ac:dyDescent="0.35">
      <c r="A751" s="97" t="s">
        <v>964</v>
      </c>
      <c r="B751" s="97">
        <v>243</v>
      </c>
      <c r="C751" s="97">
        <v>94</v>
      </c>
      <c r="D751" s="92"/>
      <c r="E751" s="92"/>
      <c r="F751" s="92"/>
      <c r="G751" s="96"/>
      <c r="H751" s="96"/>
      <c r="I751" s="92"/>
      <c r="J751" s="92"/>
      <c r="K751" s="92"/>
      <c r="L751" s="92"/>
      <c r="M751" s="92"/>
      <c r="N751" s="97">
        <v>0</v>
      </c>
      <c r="O751" s="97">
        <v>32</v>
      </c>
      <c r="P751" s="98">
        <f>SUM(SamplingData[[#This Row],[Winning Candidate]:[Under Votes]])</f>
        <v>369</v>
      </c>
      <c r="Q751" s="99">
        <f>IF(AND(SamplingData[[#This Row],[Total]]&lt;&gt; 0, NOT(ISBLANK(SamplingData[[#This Row],[Losing Candidate]]))),(SamplingData[[#This Row],[Total]]+SamplingData[[#This Row],[Winning Candidate]]-SamplingData[[#This Row],[Losing Candidate]])/(SamplingData[[#Totals],[Winning Candidate]]-SamplingData[[#Totals],[Losing Candidate]]), 0)</f>
        <v>2.1982685452384992E-2</v>
      </c>
      <c r="R751" s="99">
        <f>IF(AND(SamplingData[[#This Row],[Total]]&lt;&gt; 0, NOT(ISBLANK(SamplingData[[#This Row],[Candidate 3]]))),(SamplingData[[#This Row],[Total]]+SamplingData[[#This Row],[Winning Candidate]]-SamplingData[[#This Row],[Candidate 3]])/(SamplingData[[#Totals],[Winning Candidate]]-SamplingData[[#Totals],[Candidate 3]]), 0)</f>
        <v>0</v>
      </c>
      <c r="S751" s="99">
        <f>IF(AND(SamplingData[[#This Row],[Total]]&lt;&gt; 0, NOT(ISBLANK(SamplingData[[#This Row],[Candidate 4]]))),(SamplingData[[#This Row],[Total]]+SamplingData[[#This Row],[Winning Candidate]]-SamplingData[[#This Row],[Candidate 4]])/(SamplingData[[#Totals],[Winning Candidate]]-SamplingData[[#Totals],[Candidate 4]]), 0)</f>
        <v>0</v>
      </c>
      <c r="T751" s="99">
        <f>IF(AND(SamplingData[[#This Row],[Total]]&lt;&gt; 0, NOT(ISBLANK(SamplingData[[#This Row],[Candidate 5]]))),(SamplingData[[#This Row],[Total]]+SamplingData[[#This Row],[Winning Candidate]]-SamplingData[[#This Row],[Candidate 5]])/(SamplingData[[#Totals],[Winning Candidate]]-SamplingData[[#Totals],[Candidate 5]]), 0)</f>
        <v>0</v>
      </c>
      <c r="U751" s="99">
        <f>IF(AND(SamplingData[[#This Row],[Total]]&lt;&gt; 0, NOT(ISBLANK(SamplingData[[#This Row],[Candidate 6]]))),(SamplingData[[#This Row],[Total]]+SamplingData[[#This Row],[Losing Candidate]]-SamplingData[[#This Row],[Candidate 6]])/(SamplingData[[#Totals],[Winning Candidate]]-SamplingData[[#Totals],[Candidate 6]]), 0)</f>
        <v>0</v>
      </c>
      <c r="V751" s="99">
        <f>IF(AND(SamplingData[[#This Row],[Total]]&lt;&gt; 0, NOT(ISBLANK(SamplingData[[#This Row],[Candidate 7]]))),(SamplingData[[#This Row],[Total]]+SamplingData[[#This Row],[Winning Candidate]]-SamplingData[[#This Row],[Candidate 7]])/(SamplingData[[#Totals],[Winning Candidate]]-SamplingData[[#Totals],[Candidate 7]]), 0)</f>
        <v>0</v>
      </c>
      <c r="W751" s="99">
        <f>IF(AND(SamplingData[[#This Row],[Total]]&lt;&gt; 0, NOT(ISBLANK(SamplingData[[#This Row],[Candidate 8]]))),(SamplingData[[#This Row],[Total]]+SamplingData[[#This Row],[Winning Candidate]]-SamplingData[[#This Row],[Candidate 8]])/(SamplingData[[#Totals],[Winning Candidate]]-SamplingData[[#Totals],[Candidate 8]]), 0)</f>
        <v>0</v>
      </c>
      <c r="X7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1" s="99">
        <f>MAX(SamplingData[[#This Row],[Error Bound (up) - Max. possible relative overstatement - Losing Candidate]:[Error Bound (up) - Max. possible relative overstatement - Candidate 12]])</f>
        <v>2.1982685452384992E-2</v>
      </c>
      <c r="AC751" s="99">
        <f>IF(SamplingData[[#This Row],[Max Error Bound (up)]] = 0,0,SamplingData[[#This Row],[Max Error Bound (up)]]/SamplingData[[#Totals],[Max Error Bound (up)]])</f>
        <v>1.1769731341113186E-3</v>
      </c>
      <c r="AD751" s="103">
        <f>SUM($AC$5:AC751)</f>
        <v>0.67020667466463224</v>
      </c>
      <c r="AE751" s="99" t="str" cm="1">
        <f t="array" ref="AE751">IF(SamplingData[[#This Row],[up/U Selection Probability]] = 0, "Zero", TEXT(SamplingData[[#This Row],[Lower Range]], REPT("0",LEN('General Info'!$B$42))) &amp; " - " &amp; TEXT(SamplingData[[#This Row],[Upper Range]], REPT("0",LEN('General Info'!$B$42))))</f>
        <v>669030 - 670206</v>
      </c>
      <c r="AF751" s="99">
        <f>SamplingData[[#This Row],[Upper Range]]-SamplingData[[#This Row],[Span]]</f>
        <v>669029.70153052092</v>
      </c>
      <c r="AG751" s="99">
        <f>IF(ISNUMBER('General Info'!$B$42), ((SamplingData[[#This Row],[up/U Selection Probability]]) * 'General Info'!$B$44) - 1, 0)</f>
        <v>1175.9731341113186</v>
      </c>
      <c r="AH751" s="99">
        <f>IF(ISNUMBER('General Info'!$B$42), (SamplingData[[#This Row],[Running (cumulative) sum]] * ('General Info'!$B$42 -'General Info'!$B$43 + 1)) + 'General Info'!$B$43 - 1, 0)</f>
        <v>670205.67466463218</v>
      </c>
      <c r="AI751" s="99" t="str">
        <f>IF(ISERROR(MATCH(SamplingData[[#This Row],[Batch by Type (p)]],SelectedPrecincts[Batch Name], 0)), "", INDEX(SelectedPrecincts[Draw], MATCH(SamplingData[[#This Row],[Batch by Type (p)]],SelectedPrecincts[Batch Name], 0)))</f>
        <v/>
      </c>
      <c r="AJ751" s="100">
        <f>IF(COUNTIF(SelectedPrecincts[Batch Name],SamplingData[[#This Row],[Batch by Type (p)]]) &lt;&gt; 0, COUNTIF(SelectedPrecincts[Batch Name],SamplingData[[#This Row],[Batch by Type (p)]]), 0)</f>
        <v>0</v>
      </c>
    </row>
    <row r="752" spans="1:36" ht="15" customHeight="1" x14ac:dyDescent="0.35">
      <c r="A752" s="97" t="s">
        <v>965</v>
      </c>
      <c r="B752" s="97">
        <v>330</v>
      </c>
      <c r="C752" s="97">
        <v>168</v>
      </c>
      <c r="D752" s="92"/>
      <c r="E752" s="92"/>
      <c r="F752" s="92"/>
      <c r="G752" s="96"/>
      <c r="H752" s="96"/>
      <c r="I752" s="92"/>
      <c r="J752" s="92"/>
      <c r="K752" s="92"/>
      <c r="L752" s="92"/>
      <c r="M752" s="92"/>
      <c r="N752" s="97">
        <v>0</v>
      </c>
      <c r="O752" s="97">
        <v>37</v>
      </c>
      <c r="P752" s="98">
        <f>SUM(SamplingData[[#This Row],[Winning Candidate]:[Under Votes]])</f>
        <v>535</v>
      </c>
      <c r="Q752" s="99">
        <f>IF(AND(SamplingData[[#This Row],[Total]]&lt;&gt; 0, NOT(ISBLANK(SamplingData[[#This Row],[Losing Candidate]]))),(SamplingData[[#This Row],[Total]]+SamplingData[[#This Row],[Winning Candidate]]-SamplingData[[#This Row],[Losing Candidate]])/(SamplingData[[#Totals],[Winning Candidate]]-SamplingData[[#Totals],[Losing Candidate]]), 0)</f>
        <v>2.9579018842301817E-2</v>
      </c>
      <c r="R752" s="99">
        <f>IF(AND(SamplingData[[#This Row],[Total]]&lt;&gt; 0, NOT(ISBLANK(SamplingData[[#This Row],[Candidate 3]]))),(SamplingData[[#This Row],[Total]]+SamplingData[[#This Row],[Winning Candidate]]-SamplingData[[#This Row],[Candidate 3]])/(SamplingData[[#Totals],[Winning Candidate]]-SamplingData[[#Totals],[Candidate 3]]), 0)</f>
        <v>0</v>
      </c>
      <c r="S752" s="99">
        <f>IF(AND(SamplingData[[#This Row],[Total]]&lt;&gt; 0, NOT(ISBLANK(SamplingData[[#This Row],[Candidate 4]]))),(SamplingData[[#This Row],[Total]]+SamplingData[[#This Row],[Winning Candidate]]-SamplingData[[#This Row],[Candidate 4]])/(SamplingData[[#Totals],[Winning Candidate]]-SamplingData[[#Totals],[Candidate 4]]), 0)</f>
        <v>0</v>
      </c>
      <c r="T752" s="99">
        <f>IF(AND(SamplingData[[#This Row],[Total]]&lt;&gt; 0, NOT(ISBLANK(SamplingData[[#This Row],[Candidate 5]]))),(SamplingData[[#This Row],[Total]]+SamplingData[[#This Row],[Winning Candidate]]-SamplingData[[#This Row],[Candidate 5]])/(SamplingData[[#Totals],[Winning Candidate]]-SamplingData[[#Totals],[Candidate 5]]), 0)</f>
        <v>0</v>
      </c>
      <c r="U752" s="99">
        <f>IF(AND(SamplingData[[#This Row],[Total]]&lt;&gt; 0, NOT(ISBLANK(SamplingData[[#This Row],[Candidate 6]]))),(SamplingData[[#This Row],[Total]]+SamplingData[[#This Row],[Losing Candidate]]-SamplingData[[#This Row],[Candidate 6]])/(SamplingData[[#Totals],[Winning Candidate]]-SamplingData[[#Totals],[Candidate 6]]), 0)</f>
        <v>0</v>
      </c>
      <c r="V752" s="99">
        <f>IF(AND(SamplingData[[#This Row],[Total]]&lt;&gt; 0, NOT(ISBLANK(SamplingData[[#This Row],[Candidate 7]]))),(SamplingData[[#This Row],[Total]]+SamplingData[[#This Row],[Winning Candidate]]-SamplingData[[#This Row],[Candidate 7]])/(SamplingData[[#Totals],[Winning Candidate]]-SamplingData[[#Totals],[Candidate 7]]), 0)</f>
        <v>0</v>
      </c>
      <c r="W752" s="99">
        <f>IF(AND(SamplingData[[#This Row],[Total]]&lt;&gt; 0, NOT(ISBLANK(SamplingData[[#This Row],[Candidate 8]]))),(SamplingData[[#This Row],[Total]]+SamplingData[[#This Row],[Winning Candidate]]-SamplingData[[#This Row],[Candidate 8]])/(SamplingData[[#Totals],[Winning Candidate]]-SamplingData[[#Totals],[Candidate 8]]), 0)</f>
        <v>0</v>
      </c>
      <c r="X7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2" s="99">
        <f>MAX(SamplingData[[#This Row],[Error Bound (up) - Max. possible relative overstatement - Losing Candidate]:[Error Bound (up) - Max. possible relative overstatement - Candidate 12]])</f>
        <v>2.9579018842301817E-2</v>
      </c>
      <c r="AC752" s="99">
        <f>IF(SamplingData[[#This Row],[Max Error Bound (up)]] = 0,0,SamplingData[[#This Row],[Max Error Bound (up)]]/SamplingData[[#Totals],[Max Error Bound (up)]])</f>
        <v>1.5836877885629134E-3</v>
      </c>
      <c r="AD752" s="103">
        <f>SUM($AC$5:AC752)</f>
        <v>0.67179036245319512</v>
      </c>
      <c r="AE752" s="99" t="str" cm="1">
        <f t="array" ref="AE752">IF(SamplingData[[#This Row],[up/U Selection Probability]] = 0, "Zero", TEXT(SamplingData[[#This Row],[Lower Range]], REPT("0",LEN('General Info'!$B$42))) &amp; " - " &amp; TEXT(SamplingData[[#This Row],[Upper Range]], REPT("0",LEN('General Info'!$B$42))))</f>
        <v>670207 - 671789</v>
      </c>
      <c r="AF752" s="99">
        <f>SamplingData[[#This Row],[Upper Range]]-SamplingData[[#This Row],[Span]]</f>
        <v>670206.67466463218</v>
      </c>
      <c r="AG752" s="99">
        <f>IF(ISNUMBER('General Info'!$B$42), ((SamplingData[[#This Row],[up/U Selection Probability]]) * 'General Info'!$B$44) - 1, 0)</f>
        <v>1582.6877885629133</v>
      </c>
      <c r="AH752" s="99">
        <f>IF(ISNUMBER('General Info'!$B$42), (SamplingData[[#This Row],[Running (cumulative) sum]] * ('General Info'!$B$42 -'General Info'!$B$43 + 1)) + 'General Info'!$B$43 - 1, 0)</f>
        <v>671789.36245319515</v>
      </c>
      <c r="AI752" s="99" t="str">
        <f>IF(ISERROR(MATCH(SamplingData[[#This Row],[Batch by Type (p)]],SelectedPrecincts[Batch Name], 0)), "", INDEX(SelectedPrecincts[Draw], MATCH(SamplingData[[#This Row],[Batch by Type (p)]],SelectedPrecincts[Batch Name], 0)))</f>
        <v/>
      </c>
      <c r="AJ752" s="100">
        <f>IF(COUNTIF(SelectedPrecincts[Batch Name],SamplingData[[#This Row],[Batch by Type (p)]]) &lt;&gt; 0, COUNTIF(SelectedPrecincts[Batch Name],SamplingData[[#This Row],[Batch by Type (p)]]), 0)</f>
        <v>0</v>
      </c>
    </row>
    <row r="753" spans="1:36" ht="15" customHeight="1" x14ac:dyDescent="0.35">
      <c r="A753" s="97" t="s">
        <v>966</v>
      </c>
      <c r="B753" s="97">
        <v>256</v>
      </c>
      <c r="C753" s="97">
        <v>82</v>
      </c>
      <c r="D753" s="92"/>
      <c r="E753" s="92"/>
      <c r="F753" s="92"/>
      <c r="G753" s="96"/>
      <c r="H753" s="96"/>
      <c r="I753" s="92"/>
      <c r="J753" s="92"/>
      <c r="K753" s="92"/>
      <c r="L753" s="92"/>
      <c r="M753" s="92"/>
      <c r="N753" s="97">
        <v>0</v>
      </c>
      <c r="O753" s="97">
        <v>28</v>
      </c>
      <c r="P753" s="98">
        <f>SUM(SamplingData[[#This Row],[Winning Candidate]:[Under Votes]])</f>
        <v>366</v>
      </c>
      <c r="Q753" s="99">
        <f>IF(AND(SamplingData[[#This Row],[Total]]&lt;&gt; 0, NOT(ISBLANK(SamplingData[[#This Row],[Losing Candidate]]))),(SamplingData[[#This Row],[Total]]+SamplingData[[#This Row],[Winning Candidate]]-SamplingData[[#This Row],[Losing Candidate]])/(SamplingData[[#Totals],[Winning Candidate]]-SamplingData[[#Totals],[Losing Candidate]]), 0)</f>
        <v>2.2916313019860805E-2</v>
      </c>
      <c r="R753" s="99">
        <f>IF(AND(SamplingData[[#This Row],[Total]]&lt;&gt; 0, NOT(ISBLANK(SamplingData[[#This Row],[Candidate 3]]))),(SamplingData[[#This Row],[Total]]+SamplingData[[#This Row],[Winning Candidate]]-SamplingData[[#This Row],[Candidate 3]])/(SamplingData[[#Totals],[Winning Candidate]]-SamplingData[[#Totals],[Candidate 3]]), 0)</f>
        <v>0</v>
      </c>
      <c r="S753" s="99">
        <f>IF(AND(SamplingData[[#This Row],[Total]]&lt;&gt; 0, NOT(ISBLANK(SamplingData[[#This Row],[Candidate 4]]))),(SamplingData[[#This Row],[Total]]+SamplingData[[#This Row],[Winning Candidate]]-SamplingData[[#This Row],[Candidate 4]])/(SamplingData[[#Totals],[Winning Candidate]]-SamplingData[[#Totals],[Candidate 4]]), 0)</f>
        <v>0</v>
      </c>
      <c r="T753" s="99">
        <f>IF(AND(SamplingData[[#This Row],[Total]]&lt;&gt; 0, NOT(ISBLANK(SamplingData[[#This Row],[Candidate 5]]))),(SamplingData[[#This Row],[Total]]+SamplingData[[#This Row],[Winning Candidate]]-SamplingData[[#This Row],[Candidate 5]])/(SamplingData[[#Totals],[Winning Candidate]]-SamplingData[[#Totals],[Candidate 5]]), 0)</f>
        <v>0</v>
      </c>
      <c r="U753" s="99">
        <f>IF(AND(SamplingData[[#This Row],[Total]]&lt;&gt; 0, NOT(ISBLANK(SamplingData[[#This Row],[Candidate 6]]))),(SamplingData[[#This Row],[Total]]+SamplingData[[#This Row],[Losing Candidate]]-SamplingData[[#This Row],[Candidate 6]])/(SamplingData[[#Totals],[Winning Candidate]]-SamplingData[[#Totals],[Candidate 6]]), 0)</f>
        <v>0</v>
      </c>
      <c r="V753" s="99">
        <f>IF(AND(SamplingData[[#This Row],[Total]]&lt;&gt; 0, NOT(ISBLANK(SamplingData[[#This Row],[Candidate 7]]))),(SamplingData[[#This Row],[Total]]+SamplingData[[#This Row],[Winning Candidate]]-SamplingData[[#This Row],[Candidate 7]])/(SamplingData[[#Totals],[Winning Candidate]]-SamplingData[[#Totals],[Candidate 7]]), 0)</f>
        <v>0</v>
      </c>
      <c r="W753" s="99">
        <f>IF(AND(SamplingData[[#This Row],[Total]]&lt;&gt; 0, NOT(ISBLANK(SamplingData[[#This Row],[Candidate 8]]))),(SamplingData[[#This Row],[Total]]+SamplingData[[#This Row],[Winning Candidate]]-SamplingData[[#This Row],[Candidate 8]])/(SamplingData[[#Totals],[Winning Candidate]]-SamplingData[[#Totals],[Candidate 8]]), 0)</f>
        <v>0</v>
      </c>
      <c r="X7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3" s="99">
        <f>MAX(SamplingData[[#This Row],[Error Bound (up) - Max. possible relative overstatement - Losing Candidate]:[Error Bound (up) - Max. possible relative overstatement - Candidate 12]])</f>
        <v>2.2916313019860805E-2</v>
      </c>
      <c r="AC753" s="99">
        <f>IF(SamplingData[[#This Row],[Max Error Bound (up)]] = 0,0,SamplingData[[#This Row],[Max Error Bound (up)]]/SamplingData[[#Totals],[Max Error Bound (up)]])</f>
        <v>1.2269604100774364E-3</v>
      </c>
      <c r="AD753" s="103">
        <f>SUM($AC$5:AC753)</f>
        <v>0.67301732286327254</v>
      </c>
      <c r="AE753" s="99" t="str" cm="1">
        <f t="array" ref="AE753">IF(SamplingData[[#This Row],[up/U Selection Probability]] = 0, "Zero", TEXT(SamplingData[[#This Row],[Lower Range]], REPT("0",LEN('General Info'!$B$42))) &amp; " - " &amp; TEXT(SamplingData[[#This Row],[Upper Range]], REPT("0",LEN('General Info'!$B$42))))</f>
        <v>671790 - 673016</v>
      </c>
      <c r="AF753" s="99">
        <f>SamplingData[[#This Row],[Upper Range]]-SamplingData[[#This Row],[Span]]</f>
        <v>671790.36245319503</v>
      </c>
      <c r="AG753" s="99">
        <f>IF(ISNUMBER('General Info'!$B$42), ((SamplingData[[#This Row],[up/U Selection Probability]]) * 'General Info'!$B$44) - 1, 0)</f>
        <v>1225.9604100774363</v>
      </c>
      <c r="AH753" s="99">
        <f>IF(ISNUMBER('General Info'!$B$42), (SamplingData[[#This Row],[Running (cumulative) sum]] * ('General Info'!$B$42 -'General Info'!$B$43 + 1)) + 'General Info'!$B$43 - 1, 0)</f>
        <v>673016.32286327251</v>
      </c>
      <c r="AI753" s="99" t="str">
        <f>IF(ISERROR(MATCH(SamplingData[[#This Row],[Batch by Type (p)]],SelectedPrecincts[Batch Name], 0)), "", INDEX(SelectedPrecincts[Draw], MATCH(SamplingData[[#This Row],[Batch by Type (p)]],SelectedPrecincts[Batch Name], 0)))</f>
        <v/>
      </c>
      <c r="AJ753" s="100">
        <f>IF(COUNTIF(SelectedPrecincts[Batch Name],SamplingData[[#This Row],[Batch by Type (p)]]) &lt;&gt; 0, COUNTIF(SelectedPrecincts[Batch Name],SamplingData[[#This Row],[Batch by Type (p)]]), 0)</f>
        <v>0</v>
      </c>
    </row>
    <row r="754" spans="1:36" ht="15" customHeight="1" x14ac:dyDescent="0.35">
      <c r="A754" s="97" t="s">
        <v>967</v>
      </c>
      <c r="B754" s="97">
        <v>211</v>
      </c>
      <c r="C754" s="97">
        <v>34</v>
      </c>
      <c r="D754" s="92"/>
      <c r="E754" s="92"/>
      <c r="F754" s="92"/>
      <c r="G754" s="96"/>
      <c r="H754" s="96"/>
      <c r="I754" s="92"/>
      <c r="J754" s="92"/>
      <c r="K754" s="92"/>
      <c r="L754" s="92"/>
      <c r="M754" s="92"/>
      <c r="N754" s="97">
        <v>0</v>
      </c>
      <c r="O754" s="97">
        <v>21</v>
      </c>
      <c r="P754" s="98">
        <f>SUM(SamplingData[[#This Row],[Winning Candidate]:[Under Votes]])</f>
        <v>266</v>
      </c>
      <c r="Q754" s="99">
        <f>IF(AND(SamplingData[[#This Row],[Total]]&lt;&gt; 0, NOT(ISBLANK(SamplingData[[#This Row],[Losing Candidate]]))),(SamplingData[[#This Row],[Total]]+SamplingData[[#This Row],[Winning Candidate]]-SamplingData[[#This Row],[Losing Candidate]])/(SamplingData[[#Totals],[Winning Candidate]]-SamplingData[[#Totals],[Losing Candidate]]), 0)</f>
        <v>1.8799864199626547E-2</v>
      </c>
      <c r="R754" s="99">
        <f>IF(AND(SamplingData[[#This Row],[Total]]&lt;&gt; 0, NOT(ISBLANK(SamplingData[[#This Row],[Candidate 3]]))),(SamplingData[[#This Row],[Total]]+SamplingData[[#This Row],[Winning Candidate]]-SamplingData[[#This Row],[Candidate 3]])/(SamplingData[[#Totals],[Winning Candidate]]-SamplingData[[#Totals],[Candidate 3]]), 0)</f>
        <v>0</v>
      </c>
      <c r="S754" s="99">
        <f>IF(AND(SamplingData[[#This Row],[Total]]&lt;&gt; 0, NOT(ISBLANK(SamplingData[[#This Row],[Candidate 4]]))),(SamplingData[[#This Row],[Total]]+SamplingData[[#This Row],[Winning Candidate]]-SamplingData[[#This Row],[Candidate 4]])/(SamplingData[[#Totals],[Winning Candidate]]-SamplingData[[#Totals],[Candidate 4]]), 0)</f>
        <v>0</v>
      </c>
      <c r="T754" s="99">
        <f>IF(AND(SamplingData[[#This Row],[Total]]&lt;&gt; 0, NOT(ISBLANK(SamplingData[[#This Row],[Candidate 5]]))),(SamplingData[[#This Row],[Total]]+SamplingData[[#This Row],[Winning Candidate]]-SamplingData[[#This Row],[Candidate 5]])/(SamplingData[[#Totals],[Winning Candidate]]-SamplingData[[#Totals],[Candidate 5]]), 0)</f>
        <v>0</v>
      </c>
      <c r="U754" s="99">
        <f>IF(AND(SamplingData[[#This Row],[Total]]&lt;&gt; 0, NOT(ISBLANK(SamplingData[[#This Row],[Candidate 6]]))),(SamplingData[[#This Row],[Total]]+SamplingData[[#This Row],[Losing Candidate]]-SamplingData[[#This Row],[Candidate 6]])/(SamplingData[[#Totals],[Winning Candidate]]-SamplingData[[#Totals],[Candidate 6]]), 0)</f>
        <v>0</v>
      </c>
      <c r="V754" s="99">
        <f>IF(AND(SamplingData[[#This Row],[Total]]&lt;&gt; 0, NOT(ISBLANK(SamplingData[[#This Row],[Candidate 7]]))),(SamplingData[[#This Row],[Total]]+SamplingData[[#This Row],[Winning Candidate]]-SamplingData[[#This Row],[Candidate 7]])/(SamplingData[[#Totals],[Winning Candidate]]-SamplingData[[#Totals],[Candidate 7]]), 0)</f>
        <v>0</v>
      </c>
      <c r="W754" s="99">
        <f>IF(AND(SamplingData[[#This Row],[Total]]&lt;&gt; 0, NOT(ISBLANK(SamplingData[[#This Row],[Candidate 8]]))),(SamplingData[[#This Row],[Total]]+SamplingData[[#This Row],[Winning Candidate]]-SamplingData[[#This Row],[Candidate 8]])/(SamplingData[[#Totals],[Winning Candidate]]-SamplingData[[#Totals],[Candidate 8]]), 0)</f>
        <v>0</v>
      </c>
      <c r="X7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4" s="99">
        <f>MAX(SamplingData[[#This Row],[Error Bound (up) - Max. possible relative overstatement - Losing Candidate]:[Error Bound (up) - Max. possible relative overstatement - Candidate 12]])</f>
        <v>1.8799864199626547E-2</v>
      </c>
      <c r="AC754" s="99">
        <f>IF(SamplingData[[#This Row],[Max Error Bound (up)]] = 0,0,SamplingData[[#This Row],[Max Error Bound (up)]]/SamplingData[[#Totals],[Max Error Bound (up)]])</f>
        <v>1.0065619660450079E-3</v>
      </c>
      <c r="AD754" s="103">
        <f>SUM($AC$5:AC754)</f>
        <v>0.67402388482931752</v>
      </c>
      <c r="AE754" s="99" t="str" cm="1">
        <f t="array" ref="AE754">IF(SamplingData[[#This Row],[up/U Selection Probability]] = 0, "Zero", TEXT(SamplingData[[#This Row],[Lower Range]], REPT("0",LEN('General Info'!$B$42))) &amp; " - " &amp; TEXT(SamplingData[[#This Row],[Upper Range]], REPT("0",LEN('General Info'!$B$42))))</f>
        <v>673017 - 674023</v>
      </c>
      <c r="AF754" s="99">
        <f>SamplingData[[#This Row],[Upper Range]]-SamplingData[[#This Row],[Span]]</f>
        <v>673017.32286327251</v>
      </c>
      <c r="AG754" s="99">
        <f>IF(ISNUMBER('General Info'!$B$42), ((SamplingData[[#This Row],[up/U Selection Probability]]) * 'General Info'!$B$44) - 1, 0)</f>
        <v>1005.5619660450079</v>
      </c>
      <c r="AH754" s="99">
        <f>IF(ISNUMBER('General Info'!$B$42), (SamplingData[[#This Row],[Running (cumulative) sum]] * ('General Info'!$B$42 -'General Info'!$B$43 + 1)) + 'General Info'!$B$43 - 1, 0)</f>
        <v>674022.88482931757</v>
      </c>
      <c r="AI754" s="99" t="str">
        <f>IF(ISERROR(MATCH(SamplingData[[#This Row],[Batch by Type (p)]],SelectedPrecincts[Batch Name], 0)), "", INDEX(SelectedPrecincts[Draw], MATCH(SamplingData[[#This Row],[Batch by Type (p)]],SelectedPrecincts[Batch Name], 0)))</f>
        <v/>
      </c>
      <c r="AJ754" s="100">
        <f>IF(COUNTIF(SelectedPrecincts[Batch Name],SamplingData[[#This Row],[Batch by Type (p)]]) &lt;&gt; 0, COUNTIF(SelectedPrecincts[Batch Name],SamplingData[[#This Row],[Batch by Type (p)]]), 0)</f>
        <v>0</v>
      </c>
    </row>
    <row r="755" spans="1:36" ht="15" customHeight="1" x14ac:dyDescent="0.35">
      <c r="A755" s="97" t="s">
        <v>968</v>
      </c>
      <c r="B755" s="97">
        <v>131</v>
      </c>
      <c r="C755" s="97">
        <v>20</v>
      </c>
      <c r="D755" s="92"/>
      <c r="E755" s="92"/>
      <c r="F755" s="92"/>
      <c r="G755" s="96"/>
      <c r="H755" s="96"/>
      <c r="I755" s="92"/>
      <c r="J755" s="92"/>
      <c r="K755" s="92"/>
      <c r="L755" s="92"/>
      <c r="M755" s="92"/>
      <c r="N755" s="97">
        <v>0</v>
      </c>
      <c r="O755" s="97">
        <v>9</v>
      </c>
      <c r="P755" s="98">
        <f>SUM(SamplingData[[#This Row],[Winning Candidate]:[Under Votes]])</f>
        <v>160</v>
      </c>
      <c r="Q755" s="99">
        <f>IF(AND(SamplingData[[#This Row],[Total]]&lt;&gt; 0, NOT(ISBLANK(SamplingData[[#This Row],[Losing Candidate]]))),(SamplingData[[#This Row],[Total]]+SamplingData[[#This Row],[Winning Candidate]]-SamplingData[[#This Row],[Losing Candidate]])/(SamplingData[[#Totals],[Winning Candidate]]-SamplingData[[#Totals],[Losing Candidate]]), 0)</f>
        <v>1.1500594126633849E-2</v>
      </c>
      <c r="R755" s="99">
        <f>IF(AND(SamplingData[[#This Row],[Total]]&lt;&gt; 0, NOT(ISBLANK(SamplingData[[#This Row],[Candidate 3]]))),(SamplingData[[#This Row],[Total]]+SamplingData[[#This Row],[Winning Candidate]]-SamplingData[[#This Row],[Candidate 3]])/(SamplingData[[#Totals],[Winning Candidate]]-SamplingData[[#Totals],[Candidate 3]]), 0)</f>
        <v>0</v>
      </c>
      <c r="S755" s="99">
        <f>IF(AND(SamplingData[[#This Row],[Total]]&lt;&gt; 0, NOT(ISBLANK(SamplingData[[#This Row],[Candidate 4]]))),(SamplingData[[#This Row],[Total]]+SamplingData[[#This Row],[Winning Candidate]]-SamplingData[[#This Row],[Candidate 4]])/(SamplingData[[#Totals],[Winning Candidate]]-SamplingData[[#Totals],[Candidate 4]]), 0)</f>
        <v>0</v>
      </c>
      <c r="T755" s="99">
        <f>IF(AND(SamplingData[[#This Row],[Total]]&lt;&gt; 0, NOT(ISBLANK(SamplingData[[#This Row],[Candidate 5]]))),(SamplingData[[#This Row],[Total]]+SamplingData[[#This Row],[Winning Candidate]]-SamplingData[[#This Row],[Candidate 5]])/(SamplingData[[#Totals],[Winning Candidate]]-SamplingData[[#Totals],[Candidate 5]]), 0)</f>
        <v>0</v>
      </c>
      <c r="U755" s="99">
        <f>IF(AND(SamplingData[[#This Row],[Total]]&lt;&gt; 0, NOT(ISBLANK(SamplingData[[#This Row],[Candidate 6]]))),(SamplingData[[#This Row],[Total]]+SamplingData[[#This Row],[Losing Candidate]]-SamplingData[[#This Row],[Candidate 6]])/(SamplingData[[#Totals],[Winning Candidate]]-SamplingData[[#Totals],[Candidate 6]]), 0)</f>
        <v>0</v>
      </c>
      <c r="V755" s="99">
        <f>IF(AND(SamplingData[[#This Row],[Total]]&lt;&gt; 0, NOT(ISBLANK(SamplingData[[#This Row],[Candidate 7]]))),(SamplingData[[#This Row],[Total]]+SamplingData[[#This Row],[Winning Candidate]]-SamplingData[[#This Row],[Candidate 7]])/(SamplingData[[#Totals],[Winning Candidate]]-SamplingData[[#Totals],[Candidate 7]]), 0)</f>
        <v>0</v>
      </c>
      <c r="W755" s="99">
        <f>IF(AND(SamplingData[[#This Row],[Total]]&lt;&gt; 0, NOT(ISBLANK(SamplingData[[#This Row],[Candidate 8]]))),(SamplingData[[#This Row],[Total]]+SamplingData[[#This Row],[Winning Candidate]]-SamplingData[[#This Row],[Candidate 8]])/(SamplingData[[#Totals],[Winning Candidate]]-SamplingData[[#Totals],[Candidate 8]]), 0)</f>
        <v>0</v>
      </c>
      <c r="X7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5" s="99">
        <f>MAX(SamplingData[[#This Row],[Error Bound (up) - Max. possible relative overstatement - Losing Candidate]:[Error Bound (up) - Max. possible relative overstatement - Candidate 12]])</f>
        <v>1.1500594126633849E-2</v>
      </c>
      <c r="AC755" s="99">
        <f>IF(SamplingData[[#This Row],[Max Error Bound (up)]] = 0,0,SamplingData[[#This Row],[Max Error Bound (up)]]/SamplingData[[#Totals],[Max Error Bound (up)]])</f>
        <v>6.15752353946269E-4</v>
      </c>
      <c r="AD755" s="103">
        <f>SUM($AC$5:AC755)</f>
        <v>0.67463963718326381</v>
      </c>
      <c r="AE755" s="99" t="str" cm="1">
        <f t="array" ref="AE755">IF(SamplingData[[#This Row],[up/U Selection Probability]] = 0, "Zero", TEXT(SamplingData[[#This Row],[Lower Range]], REPT("0",LEN('General Info'!$B$42))) &amp; " - " &amp; TEXT(SamplingData[[#This Row],[Upper Range]], REPT("0",LEN('General Info'!$B$42))))</f>
        <v>674024 - 674639</v>
      </c>
      <c r="AF755" s="99">
        <f>SamplingData[[#This Row],[Upper Range]]-SamplingData[[#This Row],[Span]]</f>
        <v>674023.88482931757</v>
      </c>
      <c r="AG755" s="99">
        <f>IF(ISNUMBER('General Info'!$B$42), ((SamplingData[[#This Row],[up/U Selection Probability]]) * 'General Info'!$B$44) - 1, 0)</f>
        <v>614.75235394626895</v>
      </c>
      <c r="AH755" s="99">
        <f>IF(ISNUMBER('General Info'!$B$42), (SamplingData[[#This Row],[Running (cumulative) sum]] * ('General Info'!$B$42 -'General Info'!$B$43 + 1)) + 'General Info'!$B$43 - 1, 0)</f>
        <v>674638.63718326378</v>
      </c>
      <c r="AI755" s="99" t="str">
        <f>IF(ISERROR(MATCH(SamplingData[[#This Row],[Batch by Type (p)]],SelectedPrecincts[Batch Name], 0)), "", INDEX(SelectedPrecincts[Draw], MATCH(SamplingData[[#This Row],[Batch by Type (p)]],SelectedPrecincts[Batch Name], 0)))</f>
        <v/>
      </c>
      <c r="AJ755" s="100">
        <f>IF(COUNTIF(SelectedPrecincts[Batch Name],SamplingData[[#This Row],[Batch by Type (p)]]) &lt;&gt; 0, COUNTIF(SelectedPrecincts[Batch Name],SamplingData[[#This Row],[Batch by Type (p)]]), 0)</f>
        <v>0</v>
      </c>
    </row>
    <row r="756" spans="1:36" ht="15" customHeight="1" x14ac:dyDescent="0.35">
      <c r="A756" s="97" t="s">
        <v>969</v>
      </c>
      <c r="B756" s="97">
        <v>225</v>
      </c>
      <c r="C756" s="97">
        <v>148</v>
      </c>
      <c r="D756" s="92"/>
      <c r="E756" s="92"/>
      <c r="F756" s="92"/>
      <c r="G756" s="96"/>
      <c r="H756" s="96"/>
      <c r="I756" s="92"/>
      <c r="J756" s="92"/>
      <c r="K756" s="92"/>
      <c r="L756" s="92"/>
      <c r="M756" s="92"/>
      <c r="N756" s="97">
        <v>1</v>
      </c>
      <c r="O756" s="97">
        <v>32</v>
      </c>
      <c r="P756" s="98">
        <f>SUM(SamplingData[[#This Row],[Winning Candidate]:[Under Votes]])</f>
        <v>406</v>
      </c>
      <c r="Q756" s="99">
        <f>IF(AND(SamplingData[[#This Row],[Total]]&lt;&gt; 0, NOT(ISBLANK(SamplingData[[#This Row],[Losing Candidate]]))),(SamplingData[[#This Row],[Total]]+SamplingData[[#This Row],[Winning Candidate]]-SamplingData[[#This Row],[Losing Candidate]])/(SamplingData[[#Totals],[Winning Candidate]]-SamplingData[[#Totals],[Losing Candidate]]), 0)</f>
        <v>2.0497368867764387E-2</v>
      </c>
      <c r="R756" s="99">
        <f>IF(AND(SamplingData[[#This Row],[Total]]&lt;&gt; 0, NOT(ISBLANK(SamplingData[[#This Row],[Candidate 3]]))),(SamplingData[[#This Row],[Total]]+SamplingData[[#This Row],[Winning Candidate]]-SamplingData[[#This Row],[Candidate 3]])/(SamplingData[[#Totals],[Winning Candidate]]-SamplingData[[#Totals],[Candidate 3]]), 0)</f>
        <v>0</v>
      </c>
      <c r="S756" s="99">
        <f>IF(AND(SamplingData[[#This Row],[Total]]&lt;&gt; 0, NOT(ISBLANK(SamplingData[[#This Row],[Candidate 4]]))),(SamplingData[[#This Row],[Total]]+SamplingData[[#This Row],[Winning Candidate]]-SamplingData[[#This Row],[Candidate 4]])/(SamplingData[[#Totals],[Winning Candidate]]-SamplingData[[#Totals],[Candidate 4]]), 0)</f>
        <v>0</v>
      </c>
      <c r="T756" s="99">
        <f>IF(AND(SamplingData[[#This Row],[Total]]&lt;&gt; 0, NOT(ISBLANK(SamplingData[[#This Row],[Candidate 5]]))),(SamplingData[[#This Row],[Total]]+SamplingData[[#This Row],[Winning Candidate]]-SamplingData[[#This Row],[Candidate 5]])/(SamplingData[[#Totals],[Winning Candidate]]-SamplingData[[#Totals],[Candidate 5]]), 0)</f>
        <v>0</v>
      </c>
      <c r="U756" s="99">
        <f>IF(AND(SamplingData[[#This Row],[Total]]&lt;&gt; 0, NOT(ISBLANK(SamplingData[[#This Row],[Candidate 6]]))),(SamplingData[[#This Row],[Total]]+SamplingData[[#This Row],[Losing Candidate]]-SamplingData[[#This Row],[Candidate 6]])/(SamplingData[[#Totals],[Winning Candidate]]-SamplingData[[#Totals],[Candidate 6]]), 0)</f>
        <v>0</v>
      </c>
      <c r="V756" s="99">
        <f>IF(AND(SamplingData[[#This Row],[Total]]&lt;&gt; 0, NOT(ISBLANK(SamplingData[[#This Row],[Candidate 7]]))),(SamplingData[[#This Row],[Total]]+SamplingData[[#This Row],[Winning Candidate]]-SamplingData[[#This Row],[Candidate 7]])/(SamplingData[[#Totals],[Winning Candidate]]-SamplingData[[#Totals],[Candidate 7]]), 0)</f>
        <v>0</v>
      </c>
      <c r="W756" s="99">
        <f>IF(AND(SamplingData[[#This Row],[Total]]&lt;&gt; 0, NOT(ISBLANK(SamplingData[[#This Row],[Candidate 8]]))),(SamplingData[[#This Row],[Total]]+SamplingData[[#This Row],[Winning Candidate]]-SamplingData[[#This Row],[Candidate 8]])/(SamplingData[[#Totals],[Winning Candidate]]-SamplingData[[#Totals],[Candidate 8]]), 0)</f>
        <v>0</v>
      </c>
      <c r="X7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6" s="99">
        <f>MAX(SamplingData[[#This Row],[Error Bound (up) - Max. possible relative overstatement - Losing Candidate]:[Error Bound (up) - Max. possible relative overstatement - Candidate 12]])</f>
        <v>2.0497368867764387E-2</v>
      </c>
      <c r="AC756" s="99">
        <f>IF(SamplingData[[#This Row],[Max Error Bound (up)]] = 0,0,SamplingData[[#This Row],[Max Error Bound (up)]]/SamplingData[[#Totals],[Max Error Bound (up)]])</f>
        <v>1.0974479223470404E-3</v>
      </c>
      <c r="AD756" s="103">
        <f>SUM($AC$5:AC756)</f>
        <v>0.67573708510561081</v>
      </c>
      <c r="AE756" s="99" t="str" cm="1">
        <f t="array" ref="AE756">IF(SamplingData[[#This Row],[up/U Selection Probability]] = 0, "Zero", TEXT(SamplingData[[#This Row],[Lower Range]], REPT("0",LEN('General Info'!$B$42))) &amp; " - " &amp; TEXT(SamplingData[[#This Row],[Upper Range]], REPT("0",LEN('General Info'!$B$42))))</f>
        <v>674640 - 675736</v>
      </c>
      <c r="AF756" s="99">
        <f>SamplingData[[#This Row],[Upper Range]]-SamplingData[[#This Row],[Span]]</f>
        <v>674639.63718326378</v>
      </c>
      <c r="AG756" s="99">
        <f>IF(ISNUMBER('General Info'!$B$42), ((SamplingData[[#This Row],[up/U Selection Probability]]) * 'General Info'!$B$44) - 1, 0)</f>
        <v>1096.4479223470405</v>
      </c>
      <c r="AH756" s="99">
        <f>IF(ISNUMBER('General Info'!$B$42), (SamplingData[[#This Row],[Running (cumulative) sum]] * ('General Info'!$B$42 -'General Info'!$B$43 + 1)) + 'General Info'!$B$43 - 1, 0)</f>
        <v>675736.08510561078</v>
      </c>
      <c r="AI756" s="99">
        <f>IF(ISERROR(MATCH(SamplingData[[#This Row],[Batch by Type (p)]],SelectedPrecincts[Batch Name], 0)), "", INDEX(SelectedPrecincts[Draw], MATCH(SamplingData[[#This Row],[Batch by Type (p)]],SelectedPrecincts[Batch Name], 0)))</f>
        <v>15</v>
      </c>
      <c r="AJ756" s="100">
        <f>IF(COUNTIF(SelectedPrecincts[Batch Name],SamplingData[[#This Row],[Batch by Type (p)]]) &lt;&gt; 0, COUNTIF(SelectedPrecincts[Batch Name],SamplingData[[#This Row],[Batch by Type (p)]]), 0)</f>
        <v>1</v>
      </c>
    </row>
    <row r="757" spans="1:36" ht="15" customHeight="1" x14ac:dyDescent="0.35">
      <c r="A757" s="97" t="s">
        <v>970</v>
      </c>
      <c r="B757" s="97">
        <v>164</v>
      </c>
      <c r="C757" s="97">
        <v>221</v>
      </c>
      <c r="D757" s="92"/>
      <c r="E757" s="92"/>
      <c r="F757" s="92"/>
      <c r="G757" s="96"/>
      <c r="H757" s="96"/>
      <c r="I757" s="92"/>
      <c r="J757" s="92"/>
      <c r="K757" s="92"/>
      <c r="L757" s="92"/>
      <c r="M757" s="92"/>
      <c r="N757" s="97">
        <v>0</v>
      </c>
      <c r="O757" s="97">
        <v>29</v>
      </c>
      <c r="P757" s="98">
        <f>SUM(SamplingData[[#This Row],[Winning Candidate]:[Under Votes]])</f>
        <v>414</v>
      </c>
      <c r="Q757" s="99">
        <f>IF(AND(SamplingData[[#This Row],[Total]]&lt;&gt; 0, NOT(ISBLANK(SamplingData[[#This Row],[Losing Candidate]]))),(SamplingData[[#This Row],[Total]]+SamplingData[[#This Row],[Winning Candidate]]-SamplingData[[#This Row],[Losing Candidate]])/(SamplingData[[#Totals],[Winning Candidate]]-SamplingData[[#Totals],[Losing Candidate]]), 0)</f>
        <v>1.5150229163130198E-2</v>
      </c>
      <c r="R757" s="99">
        <f>IF(AND(SamplingData[[#This Row],[Total]]&lt;&gt; 0, NOT(ISBLANK(SamplingData[[#This Row],[Candidate 3]]))),(SamplingData[[#This Row],[Total]]+SamplingData[[#This Row],[Winning Candidate]]-SamplingData[[#This Row],[Candidate 3]])/(SamplingData[[#Totals],[Winning Candidate]]-SamplingData[[#Totals],[Candidate 3]]), 0)</f>
        <v>0</v>
      </c>
      <c r="S757" s="99">
        <f>IF(AND(SamplingData[[#This Row],[Total]]&lt;&gt; 0, NOT(ISBLANK(SamplingData[[#This Row],[Candidate 4]]))),(SamplingData[[#This Row],[Total]]+SamplingData[[#This Row],[Winning Candidate]]-SamplingData[[#This Row],[Candidate 4]])/(SamplingData[[#Totals],[Winning Candidate]]-SamplingData[[#Totals],[Candidate 4]]), 0)</f>
        <v>0</v>
      </c>
      <c r="T757" s="99">
        <f>IF(AND(SamplingData[[#This Row],[Total]]&lt;&gt; 0, NOT(ISBLANK(SamplingData[[#This Row],[Candidate 5]]))),(SamplingData[[#This Row],[Total]]+SamplingData[[#This Row],[Winning Candidate]]-SamplingData[[#This Row],[Candidate 5]])/(SamplingData[[#Totals],[Winning Candidate]]-SamplingData[[#Totals],[Candidate 5]]), 0)</f>
        <v>0</v>
      </c>
      <c r="U757" s="99">
        <f>IF(AND(SamplingData[[#This Row],[Total]]&lt;&gt; 0, NOT(ISBLANK(SamplingData[[#This Row],[Candidate 6]]))),(SamplingData[[#This Row],[Total]]+SamplingData[[#This Row],[Losing Candidate]]-SamplingData[[#This Row],[Candidate 6]])/(SamplingData[[#Totals],[Winning Candidate]]-SamplingData[[#Totals],[Candidate 6]]), 0)</f>
        <v>0</v>
      </c>
      <c r="V757" s="99">
        <f>IF(AND(SamplingData[[#This Row],[Total]]&lt;&gt; 0, NOT(ISBLANK(SamplingData[[#This Row],[Candidate 7]]))),(SamplingData[[#This Row],[Total]]+SamplingData[[#This Row],[Winning Candidate]]-SamplingData[[#This Row],[Candidate 7]])/(SamplingData[[#Totals],[Winning Candidate]]-SamplingData[[#Totals],[Candidate 7]]), 0)</f>
        <v>0</v>
      </c>
      <c r="W757" s="99">
        <f>IF(AND(SamplingData[[#This Row],[Total]]&lt;&gt; 0, NOT(ISBLANK(SamplingData[[#This Row],[Candidate 8]]))),(SamplingData[[#This Row],[Total]]+SamplingData[[#This Row],[Winning Candidate]]-SamplingData[[#This Row],[Candidate 8]])/(SamplingData[[#Totals],[Winning Candidate]]-SamplingData[[#Totals],[Candidate 8]]), 0)</f>
        <v>0</v>
      </c>
      <c r="X7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7" s="99">
        <f>MAX(SamplingData[[#This Row],[Error Bound (up) - Max. possible relative overstatement - Losing Candidate]:[Error Bound (up) - Max. possible relative overstatement - Candidate 12]])</f>
        <v>1.5150229163130198E-2</v>
      </c>
      <c r="AC757" s="99">
        <f>IF(SamplingData[[#This Row],[Max Error Bound (up)]] = 0,0,SamplingData[[#This Row],[Max Error Bound (up)]]/SamplingData[[#Totals],[Max Error Bound (up)]])</f>
        <v>8.1115715999563844E-4</v>
      </c>
      <c r="AD757" s="103">
        <f>SUM($AC$5:AC757)</f>
        <v>0.6765482422656065</v>
      </c>
      <c r="AE757" s="99" t="str" cm="1">
        <f t="array" ref="AE757">IF(SamplingData[[#This Row],[up/U Selection Probability]] = 0, "Zero", TEXT(SamplingData[[#This Row],[Lower Range]], REPT("0",LEN('General Info'!$B$42))) &amp; " - " &amp; TEXT(SamplingData[[#This Row],[Upper Range]], REPT("0",LEN('General Info'!$B$42))))</f>
        <v>675737 - 676547</v>
      </c>
      <c r="AF757" s="99">
        <f>SamplingData[[#This Row],[Upper Range]]-SamplingData[[#This Row],[Span]]</f>
        <v>675737.08510561089</v>
      </c>
      <c r="AG757" s="99">
        <f>IF(ISNUMBER('General Info'!$B$42), ((SamplingData[[#This Row],[up/U Selection Probability]]) * 'General Info'!$B$44) - 1, 0)</f>
        <v>810.15715999563849</v>
      </c>
      <c r="AH757" s="99">
        <f>IF(ISNUMBER('General Info'!$B$42), (SamplingData[[#This Row],[Running (cumulative) sum]] * ('General Info'!$B$42 -'General Info'!$B$43 + 1)) + 'General Info'!$B$43 - 1, 0)</f>
        <v>676547.24226560653</v>
      </c>
      <c r="AI757" s="99" t="str">
        <f>IF(ISERROR(MATCH(SamplingData[[#This Row],[Batch by Type (p)]],SelectedPrecincts[Batch Name], 0)), "", INDEX(SelectedPrecincts[Draw], MATCH(SamplingData[[#This Row],[Batch by Type (p)]],SelectedPrecincts[Batch Name], 0)))</f>
        <v/>
      </c>
      <c r="AJ757" s="100">
        <f>IF(COUNTIF(SelectedPrecincts[Batch Name],SamplingData[[#This Row],[Batch by Type (p)]]) &lt;&gt; 0, COUNTIF(SelectedPrecincts[Batch Name],SamplingData[[#This Row],[Batch by Type (p)]]), 0)</f>
        <v>0</v>
      </c>
    </row>
    <row r="758" spans="1:36" ht="15" customHeight="1" x14ac:dyDescent="0.35">
      <c r="A758" s="97" t="s">
        <v>971</v>
      </c>
      <c r="B758" s="97">
        <v>208</v>
      </c>
      <c r="C758" s="97">
        <v>208</v>
      </c>
      <c r="D758" s="92"/>
      <c r="E758" s="92"/>
      <c r="F758" s="92"/>
      <c r="G758" s="96"/>
      <c r="H758" s="96"/>
      <c r="I758" s="92"/>
      <c r="J758" s="92"/>
      <c r="K758" s="92"/>
      <c r="L758" s="92"/>
      <c r="M758" s="92"/>
      <c r="N758" s="97">
        <v>0</v>
      </c>
      <c r="O758" s="97">
        <v>24</v>
      </c>
      <c r="P758" s="98">
        <f>SUM(SamplingData[[#This Row],[Winning Candidate]:[Under Votes]])</f>
        <v>440</v>
      </c>
      <c r="Q758" s="99">
        <f>IF(AND(SamplingData[[#This Row],[Total]]&lt;&gt; 0, NOT(ISBLANK(SamplingData[[#This Row],[Losing Candidate]]))),(SamplingData[[#This Row],[Total]]+SamplingData[[#This Row],[Winning Candidate]]-SamplingData[[#This Row],[Losing Candidate]])/(SamplingData[[#Totals],[Winning Candidate]]-SamplingData[[#Totals],[Losing Candidate]]), 0)</f>
        <v>1.867255134951621E-2</v>
      </c>
      <c r="R758" s="99">
        <f>IF(AND(SamplingData[[#This Row],[Total]]&lt;&gt; 0, NOT(ISBLANK(SamplingData[[#This Row],[Candidate 3]]))),(SamplingData[[#This Row],[Total]]+SamplingData[[#This Row],[Winning Candidate]]-SamplingData[[#This Row],[Candidate 3]])/(SamplingData[[#Totals],[Winning Candidate]]-SamplingData[[#Totals],[Candidate 3]]), 0)</f>
        <v>0</v>
      </c>
      <c r="S758" s="99">
        <f>IF(AND(SamplingData[[#This Row],[Total]]&lt;&gt; 0, NOT(ISBLANK(SamplingData[[#This Row],[Candidate 4]]))),(SamplingData[[#This Row],[Total]]+SamplingData[[#This Row],[Winning Candidate]]-SamplingData[[#This Row],[Candidate 4]])/(SamplingData[[#Totals],[Winning Candidate]]-SamplingData[[#Totals],[Candidate 4]]), 0)</f>
        <v>0</v>
      </c>
      <c r="T758" s="99">
        <f>IF(AND(SamplingData[[#This Row],[Total]]&lt;&gt; 0, NOT(ISBLANK(SamplingData[[#This Row],[Candidate 5]]))),(SamplingData[[#This Row],[Total]]+SamplingData[[#This Row],[Winning Candidate]]-SamplingData[[#This Row],[Candidate 5]])/(SamplingData[[#Totals],[Winning Candidate]]-SamplingData[[#Totals],[Candidate 5]]), 0)</f>
        <v>0</v>
      </c>
      <c r="U758" s="99">
        <f>IF(AND(SamplingData[[#This Row],[Total]]&lt;&gt; 0, NOT(ISBLANK(SamplingData[[#This Row],[Candidate 6]]))),(SamplingData[[#This Row],[Total]]+SamplingData[[#This Row],[Losing Candidate]]-SamplingData[[#This Row],[Candidate 6]])/(SamplingData[[#Totals],[Winning Candidate]]-SamplingData[[#Totals],[Candidate 6]]), 0)</f>
        <v>0</v>
      </c>
      <c r="V758" s="99">
        <f>IF(AND(SamplingData[[#This Row],[Total]]&lt;&gt; 0, NOT(ISBLANK(SamplingData[[#This Row],[Candidate 7]]))),(SamplingData[[#This Row],[Total]]+SamplingData[[#This Row],[Winning Candidate]]-SamplingData[[#This Row],[Candidate 7]])/(SamplingData[[#Totals],[Winning Candidate]]-SamplingData[[#Totals],[Candidate 7]]), 0)</f>
        <v>0</v>
      </c>
      <c r="W758" s="99">
        <f>IF(AND(SamplingData[[#This Row],[Total]]&lt;&gt; 0, NOT(ISBLANK(SamplingData[[#This Row],[Candidate 8]]))),(SamplingData[[#This Row],[Total]]+SamplingData[[#This Row],[Winning Candidate]]-SamplingData[[#This Row],[Candidate 8]])/(SamplingData[[#Totals],[Winning Candidate]]-SamplingData[[#Totals],[Candidate 8]]), 0)</f>
        <v>0</v>
      </c>
      <c r="X7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8" s="99">
        <f>MAX(SamplingData[[#This Row],[Error Bound (up) - Max. possible relative overstatement - Losing Candidate]:[Error Bound (up) - Max. possible relative overstatement - Candidate 12]])</f>
        <v>1.867255134951621E-2</v>
      </c>
      <c r="AC758" s="99">
        <f>IF(SamplingData[[#This Row],[Max Error Bound (up)]] = 0,0,SamplingData[[#This Row],[Max Error Bound (up)]]/SamplingData[[#Totals],[Max Error Bound (up)]])</f>
        <v>9.9974551932235554E-4</v>
      </c>
      <c r="AD758" s="103">
        <f>SUM($AC$5:AC758)</f>
        <v>0.67754798778492886</v>
      </c>
      <c r="AE758" s="99" t="str" cm="1">
        <f t="array" ref="AE758">IF(SamplingData[[#This Row],[up/U Selection Probability]] = 0, "Zero", TEXT(SamplingData[[#This Row],[Lower Range]], REPT("0",LEN('General Info'!$B$42))) &amp; " - " &amp; TEXT(SamplingData[[#This Row],[Upper Range]], REPT("0",LEN('General Info'!$B$42))))</f>
        <v>676548 - 677547</v>
      </c>
      <c r="AF758" s="99">
        <f>SamplingData[[#This Row],[Upper Range]]-SamplingData[[#This Row],[Span]]</f>
        <v>676548.24226560653</v>
      </c>
      <c r="AG758" s="99">
        <f>IF(ISNUMBER('General Info'!$B$42), ((SamplingData[[#This Row],[up/U Selection Probability]]) * 'General Info'!$B$44) - 1, 0)</f>
        <v>998.74551932235556</v>
      </c>
      <c r="AH758" s="99">
        <f>IF(ISNUMBER('General Info'!$B$42), (SamplingData[[#This Row],[Running (cumulative) sum]] * ('General Info'!$B$42 -'General Info'!$B$43 + 1)) + 'General Info'!$B$43 - 1, 0)</f>
        <v>677546.98778492888</v>
      </c>
      <c r="AI758" s="99" t="str">
        <f>IF(ISERROR(MATCH(SamplingData[[#This Row],[Batch by Type (p)]],SelectedPrecincts[Batch Name], 0)), "", INDEX(SelectedPrecincts[Draw], MATCH(SamplingData[[#This Row],[Batch by Type (p)]],SelectedPrecincts[Batch Name], 0)))</f>
        <v/>
      </c>
      <c r="AJ758" s="100">
        <f>IF(COUNTIF(SelectedPrecincts[Batch Name],SamplingData[[#This Row],[Batch by Type (p)]]) &lt;&gt; 0, COUNTIF(SelectedPrecincts[Batch Name],SamplingData[[#This Row],[Batch by Type (p)]]), 0)</f>
        <v>0</v>
      </c>
    </row>
    <row r="759" spans="1:36" ht="15" customHeight="1" x14ac:dyDescent="0.35">
      <c r="A759" s="97" t="s">
        <v>972</v>
      </c>
      <c r="B759" s="97">
        <v>134</v>
      </c>
      <c r="C759" s="97">
        <v>171</v>
      </c>
      <c r="D759" s="92"/>
      <c r="E759" s="92"/>
      <c r="F759" s="92"/>
      <c r="G759" s="96"/>
      <c r="H759" s="96"/>
      <c r="I759" s="92"/>
      <c r="J759" s="92"/>
      <c r="K759" s="92"/>
      <c r="L759" s="92"/>
      <c r="M759" s="92"/>
      <c r="N759" s="97">
        <v>0</v>
      </c>
      <c r="O759" s="97">
        <v>22</v>
      </c>
      <c r="P759" s="98">
        <f>SUM(SamplingData[[#This Row],[Winning Candidate]:[Under Votes]])</f>
        <v>327</v>
      </c>
      <c r="Q759" s="99">
        <f>IF(AND(SamplingData[[#This Row],[Total]]&lt;&gt; 0, NOT(ISBLANK(SamplingData[[#This Row],[Losing Candidate]]))),(SamplingData[[#This Row],[Total]]+SamplingData[[#This Row],[Winning Candidate]]-SamplingData[[#This Row],[Losing Candidate]])/(SamplingData[[#Totals],[Winning Candidate]]-SamplingData[[#Totals],[Losing Candidate]]), 0)</f>
        <v>1.230690884399932E-2</v>
      </c>
      <c r="R759" s="99">
        <f>IF(AND(SamplingData[[#This Row],[Total]]&lt;&gt; 0, NOT(ISBLANK(SamplingData[[#This Row],[Candidate 3]]))),(SamplingData[[#This Row],[Total]]+SamplingData[[#This Row],[Winning Candidate]]-SamplingData[[#This Row],[Candidate 3]])/(SamplingData[[#Totals],[Winning Candidate]]-SamplingData[[#Totals],[Candidate 3]]), 0)</f>
        <v>0</v>
      </c>
      <c r="S759" s="99">
        <f>IF(AND(SamplingData[[#This Row],[Total]]&lt;&gt; 0, NOT(ISBLANK(SamplingData[[#This Row],[Candidate 4]]))),(SamplingData[[#This Row],[Total]]+SamplingData[[#This Row],[Winning Candidate]]-SamplingData[[#This Row],[Candidate 4]])/(SamplingData[[#Totals],[Winning Candidate]]-SamplingData[[#Totals],[Candidate 4]]), 0)</f>
        <v>0</v>
      </c>
      <c r="T759" s="99">
        <f>IF(AND(SamplingData[[#This Row],[Total]]&lt;&gt; 0, NOT(ISBLANK(SamplingData[[#This Row],[Candidate 5]]))),(SamplingData[[#This Row],[Total]]+SamplingData[[#This Row],[Winning Candidate]]-SamplingData[[#This Row],[Candidate 5]])/(SamplingData[[#Totals],[Winning Candidate]]-SamplingData[[#Totals],[Candidate 5]]), 0)</f>
        <v>0</v>
      </c>
      <c r="U759" s="99">
        <f>IF(AND(SamplingData[[#This Row],[Total]]&lt;&gt; 0, NOT(ISBLANK(SamplingData[[#This Row],[Candidate 6]]))),(SamplingData[[#This Row],[Total]]+SamplingData[[#This Row],[Losing Candidate]]-SamplingData[[#This Row],[Candidate 6]])/(SamplingData[[#Totals],[Winning Candidate]]-SamplingData[[#Totals],[Candidate 6]]), 0)</f>
        <v>0</v>
      </c>
      <c r="V759" s="99">
        <f>IF(AND(SamplingData[[#This Row],[Total]]&lt;&gt; 0, NOT(ISBLANK(SamplingData[[#This Row],[Candidate 7]]))),(SamplingData[[#This Row],[Total]]+SamplingData[[#This Row],[Winning Candidate]]-SamplingData[[#This Row],[Candidate 7]])/(SamplingData[[#Totals],[Winning Candidate]]-SamplingData[[#Totals],[Candidate 7]]), 0)</f>
        <v>0</v>
      </c>
      <c r="W759" s="99">
        <f>IF(AND(SamplingData[[#This Row],[Total]]&lt;&gt; 0, NOT(ISBLANK(SamplingData[[#This Row],[Candidate 8]]))),(SamplingData[[#This Row],[Total]]+SamplingData[[#This Row],[Winning Candidate]]-SamplingData[[#This Row],[Candidate 8]])/(SamplingData[[#Totals],[Winning Candidate]]-SamplingData[[#Totals],[Candidate 8]]), 0)</f>
        <v>0</v>
      </c>
      <c r="X7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9" s="99">
        <f>MAX(SamplingData[[#This Row],[Error Bound (up) - Max. possible relative overstatement - Losing Candidate]:[Error Bound (up) - Max. possible relative overstatement - Candidate 12]])</f>
        <v>1.230690884399932E-2</v>
      </c>
      <c r="AC759" s="99">
        <f>IF(SamplingData[[#This Row],[Max Error Bound (up)]] = 0,0,SamplingData[[#This Row],[Max Error Bound (up)]]/SamplingData[[#Totals],[Max Error Bound (up)]])</f>
        <v>6.5892318318973428E-4</v>
      </c>
      <c r="AD759" s="103">
        <f>SUM($AC$5:AC759)</f>
        <v>0.67820691096811858</v>
      </c>
      <c r="AE759" s="99" t="str" cm="1">
        <f t="array" ref="AE759">IF(SamplingData[[#This Row],[up/U Selection Probability]] = 0, "Zero", TEXT(SamplingData[[#This Row],[Lower Range]], REPT("0",LEN('General Info'!$B$42))) &amp; " - " &amp; TEXT(SamplingData[[#This Row],[Upper Range]], REPT("0",LEN('General Info'!$B$42))))</f>
        <v>677548 - 678206</v>
      </c>
      <c r="AF759" s="99">
        <f>SamplingData[[#This Row],[Upper Range]]-SamplingData[[#This Row],[Span]]</f>
        <v>677547.98778492888</v>
      </c>
      <c r="AG759" s="99">
        <f>IF(ISNUMBER('General Info'!$B$42), ((SamplingData[[#This Row],[up/U Selection Probability]]) * 'General Info'!$B$44) - 1, 0)</f>
        <v>657.92318318973423</v>
      </c>
      <c r="AH759" s="99">
        <f>IF(ISNUMBER('General Info'!$B$42), (SamplingData[[#This Row],[Running (cumulative) sum]] * ('General Info'!$B$42 -'General Info'!$B$43 + 1)) + 'General Info'!$B$43 - 1, 0)</f>
        <v>678205.91096811858</v>
      </c>
      <c r="AI759" s="99" t="str">
        <f>IF(ISERROR(MATCH(SamplingData[[#This Row],[Batch by Type (p)]],SelectedPrecincts[Batch Name], 0)), "", INDEX(SelectedPrecincts[Draw], MATCH(SamplingData[[#This Row],[Batch by Type (p)]],SelectedPrecincts[Batch Name], 0)))</f>
        <v/>
      </c>
      <c r="AJ759" s="100">
        <f>IF(COUNTIF(SelectedPrecincts[Batch Name],SamplingData[[#This Row],[Batch by Type (p)]]) &lt;&gt; 0, COUNTIF(SelectedPrecincts[Batch Name],SamplingData[[#This Row],[Batch by Type (p)]]), 0)</f>
        <v>0</v>
      </c>
    </row>
    <row r="760" spans="1:36" ht="15" customHeight="1" x14ac:dyDescent="0.35">
      <c r="A760" s="97" t="s">
        <v>973</v>
      </c>
      <c r="B760" s="97">
        <v>130</v>
      </c>
      <c r="C760" s="97">
        <v>172</v>
      </c>
      <c r="D760" s="92"/>
      <c r="E760" s="92"/>
      <c r="F760" s="92"/>
      <c r="G760" s="96"/>
      <c r="H760" s="96"/>
      <c r="I760" s="92"/>
      <c r="J760" s="92"/>
      <c r="K760" s="92"/>
      <c r="L760" s="92"/>
      <c r="M760" s="92"/>
      <c r="N760" s="97">
        <v>0</v>
      </c>
      <c r="O760" s="97">
        <v>29</v>
      </c>
      <c r="P760" s="98">
        <f>SUM(SamplingData[[#This Row],[Winning Candidate]:[Under Votes]])</f>
        <v>331</v>
      </c>
      <c r="Q760" s="99">
        <f>IF(AND(SamplingData[[#This Row],[Total]]&lt;&gt; 0, NOT(ISBLANK(SamplingData[[#This Row],[Losing Candidate]]))),(SamplingData[[#This Row],[Total]]+SamplingData[[#This Row],[Winning Candidate]]-SamplingData[[#This Row],[Losing Candidate]])/(SamplingData[[#Totals],[Winning Candidate]]-SamplingData[[#Totals],[Losing Candidate]]), 0)</f>
        <v>1.2264471227295876E-2</v>
      </c>
      <c r="R760" s="99">
        <f>IF(AND(SamplingData[[#This Row],[Total]]&lt;&gt; 0, NOT(ISBLANK(SamplingData[[#This Row],[Candidate 3]]))),(SamplingData[[#This Row],[Total]]+SamplingData[[#This Row],[Winning Candidate]]-SamplingData[[#This Row],[Candidate 3]])/(SamplingData[[#Totals],[Winning Candidate]]-SamplingData[[#Totals],[Candidate 3]]), 0)</f>
        <v>0</v>
      </c>
      <c r="S760" s="99">
        <f>IF(AND(SamplingData[[#This Row],[Total]]&lt;&gt; 0, NOT(ISBLANK(SamplingData[[#This Row],[Candidate 4]]))),(SamplingData[[#This Row],[Total]]+SamplingData[[#This Row],[Winning Candidate]]-SamplingData[[#This Row],[Candidate 4]])/(SamplingData[[#Totals],[Winning Candidate]]-SamplingData[[#Totals],[Candidate 4]]), 0)</f>
        <v>0</v>
      </c>
      <c r="T760" s="99">
        <f>IF(AND(SamplingData[[#This Row],[Total]]&lt;&gt; 0, NOT(ISBLANK(SamplingData[[#This Row],[Candidate 5]]))),(SamplingData[[#This Row],[Total]]+SamplingData[[#This Row],[Winning Candidate]]-SamplingData[[#This Row],[Candidate 5]])/(SamplingData[[#Totals],[Winning Candidate]]-SamplingData[[#Totals],[Candidate 5]]), 0)</f>
        <v>0</v>
      </c>
      <c r="U760" s="99">
        <f>IF(AND(SamplingData[[#This Row],[Total]]&lt;&gt; 0, NOT(ISBLANK(SamplingData[[#This Row],[Candidate 6]]))),(SamplingData[[#This Row],[Total]]+SamplingData[[#This Row],[Losing Candidate]]-SamplingData[[#This Row],[Candidate 6]])/(SamplingData[[#Totals],[Winning Candidate]]-SamplingData[[#Totals],[Candidate 6]]), 0)</f>
        <v>0</v>
      </c>
      <c r="V760" s="99">
        <f>IF(AND(SamplingData[[#This Row],[Total]]&lt;&gt; 0, NOT(ISBLANK(SamplingData[[#This Row],[Candidate 7]]))),(SamplingData[[#This Row],[Total]]+SamplingData[[#This Row],[Winning Candidate]]-SamplingData[[#This Row],[Candidate 7]])/(SamplingData[[#Totals],[Winning Candidate]]-SamplingData[[#Totals],[Candidate 7]]), 0)</f>
        <v>0</v>
      </c>
      <c r="W760" s="99">
        <f>IF(AND(SamplingData[[#This Row],[Total]]&lt;&gt; 0, NOT(ISBLANK(SamplingData[[#This Row],[Candidate 8]]))),(SamplingData[[#This Row],[Total]]+SamplingData[[#This Row],[Winning Candidate]]-SamplingData[[#This Row],[Candidate 8]])/(SamplingData[[#Totals],[Winning Candidate]]-SamplingData[[#Totals],[Candidate 8]]), 0)</f>
        <v>0</v>
      </c>
      <c r="X7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0" s="99">
        <f>MAX(SamplingData[[#This Row],[Error Bound (up) - Max. possible relative overstatement - Losing Candidate]:[Error Bound (up) - Max. possible relative overstatement - Candidate 12]])</f>
        <v>1.2264471227295876E-2</v>
      </c>
      <c r="AC760" s="99">
        <f>IF(SamplingData[[#This Row],[Max Error Bound (up)]] = 0,0,SamplingData[[#This Row],[Max Error Bound (up)]]/SamplingData[[#Totals],[Max Error Bound (up)]])</f>
        <v>6.566510342821836E-4</v>
      </c>
      <c r="AD760" s="103">
        <f>SUM($AC$5:AC760)</f>
        <v>0.67886356200240072</v>
      </c>
      <c r="AE760" s="99" t="str" cm="1">
        <f t="array" ref="AE760">IF(SamplingData[[#This Row],[up/U Selection Probability]] = 0, "Zero", TEXT(SamplingData[[#This Row],[Lower Range]], REPT("0",LEN('General Info'!$B$42))) &amp; " - " &amp; TEXT(SamplingData[[#This Row],[Upper Range]], REPT("0",LEN('General Info'!$B$42))))</f>
        <v>678207 - 678863</v>
      </c>
      <c r="AF760" s="99">
        <f>SamplingData[[#This Row],[Upper Range]]-SamplingData[[#This Row],[Span]]</f>
        <v>678206.91096811858</v>
      </c>
      <c r="AG760" s="99">
        <f>IF(ISNUMBER('General Info'!$B$42), ((SamplingData[[#This Row],[up/U Selection Probability]]) * 'General Info'!$B$44) - 1, 0)</f>
        <v>655.65103428218356</v>
      </c>
      <c r="AH760" s="99">
        <f>IF(ISNUMBER('General Info'!$B$42), (SamplingData[[#This Row],[Running (cumulative) sum]] * ('General Info'!$B$42 -'General Info'!$B$43 + 1)) + 'General Info'!$B$43 - 1, 0)</f>
        <v>678862.56200240075</v>
      </c>
      <c r="AI760" s="99" t="str">
        <f>IF(ISERROR(MATCH(SamplingData[[#This Row],[Batch by Type (p)]],SelectedPrecincts[Batch Name], 0)), "", INDEX(SelectedPrecincts[Draw], MATCH(SamplingData[[#This Row],[Batch by Type (p)]],SelectedPrecincts[Batch Name], 0)))</f>
        <v/>
      </c>
      <c r="AJ760" s="100">
        <f>IF(COUNTIF(SelectedPrecincts[Batch Name],SamplingData[[#This Row],[Batch by Type (p)]]) &lt;&gt; 0, COUNTIF(SelectedPrecincts[Batch Name],SamplingData[[#This Row],[Batch by Type (p)]]), 0)</f>
        <v>0</v>
      </c>
    </row>
    <row r="761" spans="1:36" ht="15" customHeight="1" x14ac:dyDescent="0.35">
      <c r="A761" s="97" t="s">
        <v>974</v>
      </c>
      <c r="B761" s="97">
        <v>283</v>
      </c>
      <c r="C761" s="97">
        <v>222</v>
      </c>
      <c r="D761" s="92"/>
      <c r="E761" s="92"/>
      <c r="F761" s="92"/>
      <c r="G761" s="96"/>
      <c r="H761" s="96"/>
      <c r="I761" s="92"/>
      <c r="J761" s="92"/>
      <c r="K761" s="92"/>
      <c r="L761" s="92"/>
      <c r="M761" s="92"/>
      <c r="N761" s="97">
        <v>0</v>
      </c>
      <c r="O761" s="97">
        <v>38</v>
      </c>
      <c r="P761" s="98">
        <f>SUM(SamplingData[[#This Row],[Winning Candidate]:[Under Votes]])</f>
        <v>543</v>
      </c>
      <c r="Q761" s="99">
        <f>IF(AND(SamplingData[[#This Row],[Total]]&lt;&gt; 0, NOT(ISBLANK(SamplingData[[#This Row],[Losing Candidate]]))),(SamplingData[[#This Row],[Total]]+SamplingData[[#This Row],[Winning Candidate]]-SamplingData[[#This Row],[Losing Candidate]])/(SamplingData[[#Totals],[Winning Candidate]]-SamplingData[[#Totals],[Losing Candidate]]), 0)</f>
        <v>2.5632320488881345E-2</v>
      </c>
      <c r="R761" s="99">
        <f>IF(AND(SamplingData[[#This Row],[Total]]&lt;&gt; 0, NOT(ISBLANK(SamplingData[[#This Row],[Candidate 3]]))),(SamplingData[[#This Row],[Total]]+SamplingData[[#This Row],[Winning Candidate]]-SamplingData[[#This Row],[Candidate 3]])/(SamplingData[[#Totals],[Winning Candidate]]-SamplingData[[#Totals],[Candidate 3]]), 0)</f>
        <v>0</v>
      </c>
      <c r="S761" s="99">
        <f>IF(AND(SamplingData[[#This Row],[Total]]&lt;&gt; 0, NOT(ISBLANK(SamplingData[[#This Row],[Candidate 4]]))),(SamplingData[[#This Row],[Total]]+SamplingData[[#This Row],[Winning Candidate]]-SamplingData[[#This Row],[Candidate 4]])/(SamplingData[[#Totals],[Winning Candidate]]-SamplingData[[#Totals],[Candidate 4]]), 0)</f>
        <v>0</v>
      </c>
      <c r="T761" s="99">
        <f>IF(AND(SamplingData[[#This Row],[Total]]&lt;&gt; 0, NOT(ISBLANK(SamplingData[[#This Row],[Candidate 5]]))),(SamplingData[[#This Row],[Total]]+SamplingData[[#This Row],[Winning Candidate]]-SamplingData[[#This Row],[Candidate 5]])/(SamplingData[[#Totals],[Winning Candidate]]-SamplingData[[#Totals],[Candidate 5]]), 0)</f>
        <v>0</v>
      </c>
      <c r="U761" s="99">
        <f>IF(AND(SamplingData[[#This Row],[Total]]&lt;&gt; 0, NOT(ISBLANK(SamplingData[[#This Row],[Candidate 6]]))),(SamplingData[[#This Row],[Total]]+SamplingData[[#This Row],[Losing Candidate]]-SamplingData[[#This Row],[Candidate 6]])/(SamplingData[[#Totals],[Winning Candidate]]-SamplingData[[#Totals],[Candidate 6]]), 0)</f>
        <v>0</v>
      </c>
      <c r="V761" s="99">
        <f>IF(AND(SamplingData[[#This Row],[Total]]&lt;&gt; 0, NOT(ISBLANK(SamplingData[[#This Row],[Candidate 7]]))),(SamplingData[[#This Row],[Total]]+SamplingData[[#This Row],[Winning Candidate]]-SamplingData[[#This Row],[Candidate 7]])/(SamplingData[[#Totals],[Winning Candidate]]-SamplingData[[#Totals],[Candidate 7]]), 0)</f>
        <v>0</v>
      </c>
      <c r="W761" s="99">
        <f>IF(AND(SamplingData[[#This Row],[Total]]&lt;&gt; 0, NOT(ISBLANK(SamplingData[[#This Row],[Candidate 8]]))),(SamplingData[[#This Row],[Total]]+SamplingData[[#This Row],[Winning Candidate]]-SamplingData[[#This Row],[Candidate 8]])/(SamplingData[[#Totals],[Winning Candidate]]-SamplingData[[#Totals],[Candidate 8]]), 0)</f>
        <v>0</v>
      </c>
      <c r="X7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1" s="99">
        <f>MAX(SamplingData[[#This Row],[Error Bound (up) - Max. possible relative overstatement - Losing Candidate]:[Error Bound (up) - Max. possible relative overstatement - Candidate 12]])</f>
        <v>2.5632320488881345E-2</v>
      </c>
      <c r="AC761" s="99">
        <f>IF(SamplingData[[#This Row],[Max Error Bound (up)]] = 0,0,SamplingData[[#This Row],[Max Error Bound (up)]]/SamplingData[[#Totals],[Max Error Bound (up)]])</f>
        <v>1.3723779401606882E-3</v>
      </c>
      <c r="AD761" s="103">
        <f>SUM($AC$5:AC761)</f>
        <v>0.68023593994256137</v>
      </c>
      <c r="AE761" s="99" t="str" cm="1">
        <f t="array" ref="AE761">IF(SamplingData[[#This Row],[up/U Selection Probability]] = 0, "Zero", TEXT(SamplingData[[#This Row],[Lower Range]], REPT("0",LEN('General Info'!$B$42))) &amp; " - " &amp; TEXT(SamplingData[[#This Row],[Upper Range]], REPT("0",LEN('General Info'!$B$42))))</f>
        <v>678864 - 680235</v>
      </c>
      <c r="AF761" s="99">
        <f>SamplingData[[#This Row],[Upper Range]]-SamplingData[[#This Row],[Span]]</f>
        <v>678863.56200240063</v>
      </c>
      <c r="AG761" s="99">
        <f>IF(ISNUMBER('General Info'!$B$42), ((SamplingData[[#This Row],[up/U Selection Probability]]) * 'General Info'!$B$44) - 1, 0)</f>
        <v>1371.3779401606882</v>
      </c>
      <c r="AH761" s="99">
        <f>IF(ISNUMBER('General Info'!$B$42), (SamplingData[[#This Row],[Running (cumulative) sum]] * ('General Info'!$B$42 -'General Info'!$B$43 + 1)) + 'General Info'!$B$43 - 1, 0)</f>
        <v>680234.93994256132</v>
      </c>
      <c r="AI761" s="99">
        <f>IF(ISERROR(MATCH(SamplingData[[#This Row],[Batch by Type (p)]],SelectedPrecincts[Batch Name], 0)), "", INDEX(SelectedPrecincts[Draw], MATCH(SamplingData[[#This Row],[Batch by Type (p)]],SelectedPrecincts[Batch Name], 0)))</f>
        <v>6</v>
      </c>
      <c r="AJ761" s="100">
        <f>IF(COUNTIF(SelectedPrecincts[Batch Name],SamplingData[[#This Row],[Batch by Type (p)]]) &lt;&gt; 0, COUNTIF(SelectedPrecincts[Batch Name],SamplingData[[#This Row],[Batch by Type (p)]]), 0)</f>
        <v>1</v>
      </c>
    </row>
    <row r="762" spans="1:36" ht="15" customHeight="1" x14ac:dyDescent="0.35">
      <c r="A762" s="97" t="s">
        <v>975</v>
      </c>
      <c r="B762" s="97">
        <v>141</v>
      </c>
      <c r="C762" s="97">
        <v>189</v>
      </c>
      <c r="D762" s="92"/>
      <c r="E762" s="92"/>
      <c r="F762" s="92"/>
      <c r="G762" s="96"/>
      <c r="H762" s="96"/>
      <c r="I762" s="92"/>
      <c r="J762" s="92"/>
      <c r="K762" s="92"/>
      <c r="L762" s="92"/>
      <c r="M762" s="92"/>
      <c r="N762" s="97">
        <v>0</v>
      </c>
      <c r="O762" s="97">
        <v>27</v>
      </c>
      <c r="P762" s="98">
        <f>SUM(SamplingData[[#This Row],[Winning Candidate]:[Under Votes]])</f>
        <v>357</v>
      </c>
      <c r="Q762" s="99">
        <f>IF(AND(SamplingData[[#This Row],[Total]]&lt;&gt; 0, NOT(ISBLANK(SamplingData[[#This Row],[Losing Candidate]]))),(SamplingData[[#This Row],[Total]]+SamplingData[[#This Row],[Winning Candidate]]-SamplingData[[#This Row],[Losing Candidate]])/(SamplingData[[#Totals],[Winning Candidate]]-SamplingData[[#Totals],[Losing Candidate]]), 0)</f>
        <v>1.3113223561364793E-2</v>
      </c>
      <c r="R762" s="99">
        <f>IF(AND(SamplingData[[#This Row],[Total]]&lt;&gt; 0, NOT(ISBLANK(SamplingData[[#This Row],[Candidate 3]]))),(SamplingData[[#This Row],[Total]]+SamplingData[[#This Row],[Winning Candidate]]-SamplingData[[#This Row],[Candidate 3]])/(SamplingData[[#Totals],[Winning Candidate]]-SamplingData[[#Totals],[Candidate 3]]), 0)</f>
        <v>0</v>
      </c>
      <c r="S762" s="99">
        <f>IF(AND(SamplingData[[#This Row],[Total]]&lt;&gt; 0, NOT(ISBLANK(SamplingData[[#This Row],[Candidate 4]]))),(SamplingData[[#This Row],[Total]]+SamplingData[[#This Row],[Winning Candidate]]-SamplingData[[#This Row],[Candidate 4]])/(SamplingData[[#Totals],[Winning Candidate]]-SamplingData[[#Totals],[Candidate 4]]), 0)</f>
        <v>0</v>
      </c>
      <c r="T762" s="99">
        <f>IF(AND(SamplingData[[#This Row],[Total]]&lt;&gt; 0, NOT(ISBLANK(SamplingData[[#This Row],[Candidate 5]]))),(SamplingData[[#This Row],[Total]]+SamplingData[[#This Row],[Winning Candidate]]-SamplingData[[#This Row],[Candidate 5]])/(SamplingData[[#Totals],[Winning Candidate]]-SamplingData[[#Totals],[Candidate 5]]), 0)</f>
        <v>0</v>
      </c>
      <c r="U762" s="99">
        <f>IF(AND(SamplingData[[#This Row],[Total]]&lt;&gt; 0, NOT(ISBLANK(SamplingData[[#This Row],[Candidate 6]]))),(SamplingData[[#This Row],[Total]]+SamplingData[[#This Row],[Losing Candidate]]-SamplingData[[#This Row],[Candidate 6]])/(SamplingData[[#Totals],[Winning Candidate]]-SamplingData[[#Totals],[Candidate 6]]), 0)</f>
        <v>0</v>
      </c>
      <c r="V762" s="99">
        <f>IF(AND(SamplingData[[#This Row],[Total]]&lt;&gt; 0, NOT(ISBLANK(SamplingData[[#This Row],[Candidate 7]]))),(SamplingData[[#This Row],[Total]]+SamplingData[[#This Row],[Winning Candidate]]-SamplingData[[#This Row],[Candidate 7]])/(SamplingData[[#Totals],[Winning Candidate]]-SamplingData[[#Totals],[Candidate 7]]), 0)</f>
        <v>0</v>
      </c>
      <c r="W762" s="99">
        <f>IF(AND(SamplingData[[#This Row],[Total]]&lt;&gt; 0, NOT(ISBLANK(SamplingData[[#This Row],[Candidate 8]]))),(SamplingData[[#This Row],[Total]]+SamplingData[[#This Row],[Winning Candidate]]-SamplingData[[#This Row],[Candidate 8]])/(SamplingData[[#Totals],[Winning Candidate]]-SamplingData[[#Totals],[Candidate 8]]), 0)</f>
        <v>0</v>
      </c>
      <c r="X7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2" s="99">
        <f>MAX(SamplingData[[#This Row],[Error Bound (up) - Max. possible relative overstatement - Losing Candidate]:[Error Bound (up) - Max. possible relative overstatement - Candidate 12]])</f>
        <v>1.3113223561364793E-2</v>
      </c>
      <c r="AC762" s="99">
        <f>IF(SamplingData[[#This Row],[Max Error Bound (up)]] = 0,0,SamplingData[[#This Row],[Max Error Bound (up)]]/SamplingData[[#Totals],[Max Error Bound (up)]])</f>
        <v>7.0209401243319966E-4</v>
      </c>
      <c r="AD762" s="103">
        <f>SUM($AC$5:AC762)</f>
        <v>0.68093803395499453</v>
      </c>
      <c r="AE762" s="99" t="str" cm="1">
        <f t="array" ref="AE762">IF(SamplingData[[#This Row],[up/U Selection Probability]] = 0, "Zero", TEXT(SamplingData[[#This Row],[Lower Range]], REPT("0",LEN('General Info'!$B$42))) &amp; " - " &amp; TEXT(SamplingData[[#This Row],[Upper Range]], REPT("0",LEN('General Info'!$B$42))))</f>
        <v>680236 - 680937</v>
      </c>
      <c r="AF762" s="99">
        <f>SamplingData[[#This Row],[Upper Range]]-SamplingData[[#This Row],[Span]]</f>
        <v>680235.93994256132</v>
      </c>
      <c r="AG762" s="99">
        <f>IF(ISNUMBER('General Info'!$B$42), ((SamplingData[[#This Row],[up/U Selection Probability]]) * 'General Info'!$B$44) - 1, 0)</f>
        <v>701.09401243319962</v>
      </c>
      <c r="AH762" s="99">
        <f>IF(ISNUMBER('General Info'!$B$42), (SamplingData[[#This Row],[Running (cumulative) sum]] * ('General Info'!$B$42 -'General Info'!$B$43 + 1)) + 'General Info'!$B$43 - 1, 0)</f>
        <v>680937.03395499452</v>
      </c>
      <c r="AI762" s="99" t="str">
        <f>IF(ISERROR(MATCH(SamplingData[[#This Row],[Batch by Type (p)]],SelectedPrecincts[Batch Name], 0)), "", INDEX(SelectedPrecincts[Draw], MATCH(SamplingData[[#This Row],[Batch by Type (p)]],SelectedPrecincts[Batch Name], 0)))</f>
        <v/>
      </c>
      <c r="AJ762" s="100">
        <f>IF(COUNTIF(SelectedPrecincts[Batch Name],SamplingData[[#This Row],[Batch by Type (p)]]) &lt;&gt; 0, COUNTIF(SelectedPrecincts[Batch Name],SamplingData[[#This Row],[Batch by Type (p)]]), 0)</f>
        <v>0</v>
      </c>
    </row>
    <row r="763" spans="1:36" ht="15" customHeight="1" x14ac:dyDescent="0.35">
      <c r="A763" s="97" t="s">
        <v>976</v>
      </c>
      <c r="B763" s="97">
        <v>168</v>
      </c>
      <c r="C763" s="97">
        <v>152</v>
      </c>
      <c r="D763" s="92"/>
      <c r="E763" s="92"/>
      <c r="F763" s="92"/>
      <c r="G763" s="96"/>
      <c r="H763" s="96"/>
      <c r="I763" s="92"/>
      <c r="J763" s="92"/>
      <c r="K763" s="92"/>
      <c r="L763" s="92"/>
      <c r="M763" s="92"/>
      <c r="N763" s="97">
        <v>0</v>
      </c>
      <c r="O763" s="97">
        <v>30</v>
      </c>
      <c r="P763" s="98">
        <f>SUM(SamplingData[[#This Row],[Winning Candidate]:[Under Votes]])</f>
        <v>350</v>
      </c>
      <c r="Q763" s="99">
        <f>IF(AND(SamplingData[[#This Row],[Total]]&lt;&gt; 0, NOT(ISBLANK(SamplingData[[#This Row],[Losing Candidate]]))),(SamplingData[[#This Row],[Total]]+SamplingData[[#This Row],[Winning Candidate]]-SamplingData[[#This Row],[Losing Candidate]])/(SamplingData[[#Totals],[Winning Candidate]]-SamplingData[[#Totals],[Losing Candidate]]), 0)</f>
        <v>1.5532167713461211E-2</v>
      </c>
      <c r="R763" s="99">
        <f>IF(AND(SamplingData[[#This Row],[Total]]&lt;&gt; 0, NOT(ISBLANK(SamplingData[[#This Row],[Candidate 3]]))),(SamplingData[[#This Row],[Total]]+SamplingData[[#This Row],[Winning Candidate]]-SamplingData[[#This Row],[Candidate 3]])/(SamplingData[[#Totals],[Winning Candidate]]-SamplingData[[#Totals],[Candidate 3]]), 0)</f>
        <v>0</v>
      </c>
      <c r="S763" s="99">
        <f>IF(AND(SamplingData[[#This Row],[Total]]&lt;&gt; 0, NOT(ISBLANK(SamplingData[[#This Row],[Candidate 4]]))),(SamplingData[[#This Row],[Total]]+SamplingData[[#This Row],[Winning Candidate]]-SamplingData[[#This Row],[Candidate 4]])/(SamplingData[[#Totals],[Winning Candidate]]-SamplingData[[#Totals],[Candidate 4]]), 0)</f>
        <v>0</v>
      </c>
      <c r="T763" s="99">
        <f>IF(AND(SamplingData[[#This Row],[Total]]&lt;&gt; 0, NOT(ISBLANK(SamplingData[[#This Row],[Candidate 5]]))),(SamplingData[[#This Row],[Total]]+SamplingData[[#This Row],[Winning Candidate]]-SamplingData[[#This Row],[Candidate 5]])/(SamplingData[[#Totals],[Winning Candidate]]-SamplingData[[#Totals],[Candidate 5]]), 0)</f>
        <v>0</v>
      </c>
      <c r="U763" s="99">
        <f>IF(AND(SamplingData[[#This Row],[Total]]&lt;&gt; 0, NOT(ISBLANK(SamplingData[[#This Row],[Candidate 6]]))),(SamplingData[[#This Row],[Total]]+SamplingData[[#This Row],[Losing Candidate]]-SamplingData[[#This Row],[Candidate 6]])/(SamplingData[[#Totals],[Winning Candidate]]-SamplingData[[#Totals],[Candidate 6]]), 0)</f>
        <v>0</v>
      </c>
      <c r="V763" s="99">
        <f>IF(AND(SamplingData[[#This Row],[Total]]&lt;&gt; 0, NOT(ISBLANK(SamplingData[[#This Row],[Candidate 7]]))),(SamplingData[[#This Row],[Total]]+SamplingData[[#This Row],[Winning Candidate]]-SamplingData[[#This Row],[Candidate 7]])/(SamplingData[[#Totals],[Winning Candidate]]-SamplingData[[#Totals],[Candidate 7]]), 0)</f>
        <v>0</v>
      </c>
      <c r="W763" s="99">
        <f>IF(AND(SamplingData[[#This Row],[Total]]&lt;&gt; 0, NOT(ISBLANK(SamplingData[[#This Row],[Candidate 8]]))),(SamplingData[[#This Row],[Total]]+SamplingData[[#This Row],[Winning Candidate]]-SamplingData[[#This Row],[Candidate 8]])/(SamplingData[[#Totals],[Winning Candidate]]-SamplingData[[#Totals],[Candidate 8]]), 0)</f>
        <v>0</v>
      </c>
      <c r="X7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3" s="99">
        <f>MAX(SamplingData[[#This Row],[Error Bound (up) - Max. possible relative overstatement - Losing Candidate]:[Error Bound (up) - Max. possible relative overstatement - Candidate 12]])</f>
        <v>1.5532167713461211E-2</v>
      </c>
      <c r="AC763" s="99">
        <f>IF(SamplingData[[#This Row],[Max Error Bound (up)]] = 0,0,SamplingData[[#This Row],[Max Error Bound (up)]]/SamplingData[[#Totals],[Max Error Bound (up)]])</f>
        <v>8.316065001635958E-4</v>
      </c>
      <c r="AD763" s="103">
        <f>SUM($AC$5:AC763)</f>
        <v>0.68176964045515809</v>
      </c>
      <c r="AE763" s="99" t="str" cm="1">
        <f t="array" ref="AE763">IF(SamplingData[[#This Row],[up/U Selection Probability]] = 0, "Zero", TEXT(SamplingData[[#This Row],[Lower Range]], REPT("0",LEN('General Info'!$B$42))) &amp; " - " &amp; TEXT(SamplingData[[#This Row],[Upper Range]], REPT("0",LEN('General Info'!$B$42))))</f>
        <v>680938 - 681769</v>
      </c>
      <c r="AF763" s="99">
        <f>SamplingData[[#This Row],[Upper Range]]-SamplingData[[#This Row],[Span]]</f>
        <v>680938.03395499452</v>
      </c>
      <c r="AG763" s="99">
        <f>IF(ISNUMBER('General Info'!$B$42), ((SamplingData[[#This Row],[up/U Selection Probability]]) * 'General Info'!$B$44) - 1, 0)</f>
        <v>830.6065001635958</v>
      </c>
      <c r="AH763" s="99">
        <f>IF(ISNUMBER('General Info'!$B$42), (SamplingData[[#This Row],[Running (cumulative) sum]] * ('General Info'!$B$42 -'General Info'!$B$43 + 1)) + 'General Info'!$B$43 - 1, 0)</f>
        <v>681768.64045515808</v>
      </c>
      <c r="AI763" s="99" t="str">
        <f>IF(ISERROR(MATCH(SamplingData[[#This Row],[Batch by Type (p)]],SelectedPrecincts[Batch Name], 0)), "", INDEX(SelectedPrecincts[Draw], MATCH(SamplingData[[#This Row],[Batch by Type (p)]],SelectedPrecincts[Batch Name], 0)))</f>
        <v/>
      </c>
      <c r="AJ763" s="100">
        <f>IF(COUNTIF(SelectedPrecincts[Batch Name],SamplingData[[#This Row],[Batch by Type (p)]]) &lt;&gt; 0, COUNTIF(SelectedPrecincts[Batch Name],SamplingData[[#This Row],[Batch by Type (p)]]), 0)</f>
        <v>0</v>
      </c>
    </row>
    <row r="764" spans="1:36" ht="15" customHeight="1" x14ac:dyDescent="0.35">
      <c r="A764" s="97" t="s">
        <v>977</v>
      </c>
      <c r="B764" s="97">
        <v>226</v>
      </c>
      <c r="C764" s="97">
        <v>204</v>
      </c>
      <c r="D764" s="92"/>
      <c r="E764" s="92"/>
      <c r="F764" s="92"/>
      <c r="G764" s="96"/>
      <c r="H764" s="96"/>
      <c r="I764" s="92"/>
      <c r="J764" s="92"/>
      <c r="K764" s="92"/>
      <c r="L764" s="92"/>
      <c r="M764" s="92"/>
      <c r="N764" s="97">
        <v>0</v>
      </c>
      <c r="O764" s="97">
        <v>34</v>
      </c>
      <c r="P764" s="98">
        <f>SUM(SamplingData[[#This Row],[Winning Candidate]:[Under Votes]])</f>
        <v>464</v>
      </c>
      <c r="Q764" s="99">
        <f>IF(AND(SamplingData[[#This Row],[Total]]&lt;&gt; 0, NOT(ISBLANK(SamplingData[[#This Row],[Losing Candidate]]))),(SamplingData[[#This Row],[Total]]+SamplingData[[#This Row],[Winning Candidate]]-SamplingData[[#This Row],[Losing Candidate]])/(SamplingData[[#Totals],[Winning Candidate]]-SamplingData[[#Totals],[Losing Candidate]]), 0)</f>
        <v>2.0624681717874724E-2</v>
      </c>
      <c r="R764" s="99">
        <f>IF(AND(SamplingData[[#This Row],[Total]]&lt;&gt; 0, NOT(ISBLANK(SamplingData[[#This Row],[Candidate 3]]))),(SamplingData[[#This Row],[Total]]+SamplingData[[#This Row],[Winning Candidate]]-SamplingData[[#This Row],[Candidate 3]])/(SamplingData[[#Totals],[Winning Candidate]]-SamplingData[[#Totals],[Candidate 3]]), 0)</f>
        <v>0</v>
      </c>
      <c r="S764" s="99">
        <f>IF(AND(SamplingData[[#This Row],[Total]]&lt;&gt; 0, NOT(ISBLANK(SamplingData[[#This Row],[Candidate 4]]))),(SamplingData[[#This Row],[Total]]+SamplingData[[#This Row],[Winning Candidate]]-SamplingData[[#This Row],[Candidate 4]])/(SamplingData[[#Totals],[Winning Candidate]]-SamplingData[[#Totals],[Candidate 4]]), 0)</f>
        <v>0</v>
      </c>
      <c r="T764" s="99">
        <f>IF(AND(SamplingData[[#This Row],[Total]]&lt;&gt; 0, NOT(ISBLANK(SamplingData[[#This Row],[Candidate 5]]))),(SamplingData[[#This Row],[Total]]+SamplingData[[#This Row],[Winning Candidate]]-SamplingData[[#This Row],[Candidate 5]])/(SamplingData[[#Totals],[Winning Candidate]]-SamplingData[[#Totals],[Candidate 5]]), 0)</f>
        <v>0</v>
      </c>
      <c r="U764" s="99">
        <f>IF(AND(SamplingData[[#This Row],[Total]]&lt;&gt; 0, NOT(ISBLANK(SamplingData[[#This Row],[Candidate 6]]))),(SamplingData[[#This Row],[Total]]+SamplingData[[#This Row],[Losing Candidate]]-SamplingData[[#This Row],[Candidate 6]])/(SamplingData[[#Totals],[Winning Candidate]]-SamplingData[[#Totals],[Candidate 6]]), 0)</f>
        <v>0</v>
      </c>
      <c r="V764" s="99">
        <f>IF(AND(SamplingData[[#This Row],[Total]]&lt;&gt; 0, NOT(ISBLANK(SamplingData[[#This Row],[Candidate 7]]))),(SamplingData[[#This Row],[Total]]+SamplingData[[#This Row],[Winning Candidate]]-SamplingData[[#This Row],[Candidate 7]])/(SamplingData[[#Totals],[Winning Candidate]]-SamplingData[[#Totals],[Candidate 7]]), 0)</f>
        <v>0</v>
      </c>
      <c r="W764" s="99">
        <f>IF(AND(SamplingData[[#This Row],[Total]]&lt;&gt; 0, NOT(ISBLANK(SamplingData[[#This Row],[Candidate 8]]))),(SamplingData[[#This Row],[Total]]+SamplingData[[#This Row],[Winning Candidate]]-SamplingData[[#This Row],[Candidate 8]])/(SamplingData[[#Totals],[Winning Candidate]]-SamplingData[[#Totals],[Candidate 8]]), 0)</f>
        <v>0</v>
      </c>
      <c r="X7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4" s="99">
        <f>MAX(SamplingData[[#This Row],[Error Bound (up) - Max. possible relative overstatement - Losing Candidate]:[Error Bound (up) - Max. possible relative overstatement - Candidate 12]])</f>
        <v>2.0624681717874724E-2</v>
      </c>
      <c r="AC764" s="99">
        <f>IF(SamplingData[[#This Row],[Max Error Bound (up)]] = 0,0,SamplingData[[#This Row],[Max Error Bound (up)]]/SamplingData[[#Totals],[Max Error Bound (up)]])</f>
        <v>1.1042643690696928E-3</v>
      </c>
      <c r="AD764" s="103">
        <f>SUM($AC$5:AC764)</f>
        <v>0.68287390482422783</v>
      </c>
      <c r="AE764" s="99" t="str" cm="1">
        <f t="array" ref="AE764">IF(SamplingData[[#This Row],[up/U Selection Probability]] = 0, "Zero", TEXT(SamplingData[[#This Row],[Lower Range]], REPT("0",LEN('General Info'!$B$42))) &amp; " - " &amp; TEXT(SamplingData[[#This Row],[Upper Range]], REPT("0",LEN('General Info'!$B$42))))</f>
        <v>681770 - 682873</v>
      </c>
      <c r="AF764" s="99">
        <f>SamplingData[[#This Row],[Upper Range]]-SamplingData[[#This Row],[Span]]</f>
        <v>681769.64045515808</v>
      </c>
      <c r="AG764" s="99">
        <f>IF(ISNUMBER('General Info'!$B$42), ((SamplingData[[#This Row],[up/U Selection Probability]]) * 'General Info'!$B$44) - 1, 0)</f>
        <v>1103.2643690696927</v>
      </c>
      <c r="AH764" s="99">
        <f>IF(ISNUMBER('General Info'!$B$42), (SamplingData[[#This Row],[Running (cumulative) sum]] * ('General Info'!$B$42 -'General Info'!$B$43 + 1)) + 'General Info'!$B$43 - 1, 0)</f>
        <v>682872.90482422779</v>
      </c>
      <c r="AI764" s="99" t="str">
        <f>IF(ISERROR(MATCH(SamplingData[[#This Row],[Batch by Type (p)]],SelectedPrecincts[Batch Name], 0)), "", INDEX(SelectedPrecincts[Draw], MATCH(SamplingData[[#This Row],[Batch by Type (p)]],SelectedPrecincts[Batch Name], 0)))</f>
        <v/>
      </c>
      <c r="AJ764" s="100">
        <f>IF(COUNTIF(SelectedPrecincts[Batch Name],SamplingData[[#This Row],[Batch by Type (p)]]) &lt;&gt; 0, COUNTIF(SelectedPrecincts[Batch Name],SamplingData[[#This Row],[Batch by Type (p)]]), 0)</f>
        <v>0</v>
      </c>
    </row>
    <row r="765" spans="1:36" ht="15" customHeight="1" x14ac:dyDescent="0.35">
      <c r="A765" s="97" t="s">
        <v>978</v>
      </c>
      <c r="B765" s="97">
        <v>210</v>
      </c>
      <c r="C765" s="97">
        <v>249</v>
      </c>
      <c r="D765" s="92"/>
      <c r="E765" s="92"/>
      <c r="F765" s="92"/>
      <c r="G765" s="96"/>
      <c r="H765" s="96"/>
      <c r="I765" s="92"/>
      <c r="J765" s="92"/>
      <c r="K765" s="92"/>
      <c r="L765" s="92"/>
      <c r="M765" s="92"/>
      <c r="N765" s="97">
        <v>0</v>
      </c>
      <c r="O765" s="97">
        <v>41</v>
      </c>
      <c r="P765" s="98">
        <f>SUM(SamplingData[[#This Row],[Winning Candidate]:[Under Votes]])</f>
        <v>500</v>
      </c>
      <c r="Q765" s="99">
        <f>IF(AND(SamplingData[[#This Row],[Total]]&lt;&gt; 0, NOT(ISBLANK(SamplingData[[#This Row],[Losing Candidate]]))),(SamplingData[[#This Row],[Total]]+SamplingData[[#This Row],[Winning Candidate]]-SamplingData[[#This Row],[Losing Candidate]])/(SamplingData[[#Totals],[Winning Candidate]]-SamplingData[[#Totals],[Losing Candidate]]), 0)</f>
        <v>1.9563741300288574E-2</v>
      </c>
      <c r="R765" s="99">
        <f>IF(AND(SamplingData[[#This Row],[Total]]&lt;&gt; 0, NOT(ISBLANK(SamplingData[[#This Row],[Candidate 3]]))),(SamplingData[[#This Row],[Total]]+SamplingData[[#This Row],[Winning Candidate]]-SamplingData[[#This Row],[Candidate 3]])/(SamplingData[[#Totals],[Winning Candidate]]-SamplingData[[#Totals],[Candidate 3]]), 0)</f>
        <v>0</v>
      </c>
      <c r="S765" s="99">
        <f>IF(AND(SamplingData[[#This Row],[Total]]&lt;&gt; 0, NOT(ISBLANK(SamplingData[[#This Row],[Candidate 4]]))),(SamplingData[[#This Row],[Total]]+SamplingData[[#This Row],[Winning Candidate]]-SamplingData[[#This Row],[Candidate 4]])/(SamplingData[[#Totals],[Winning Candidate]]-SamplingData[[#Totals],[Candidate 4]]), 0)</f>
        <v>0</v>
      </c>
      <c r="T765" s="99">
        <f>IF(AND(SamplingData[[#This Row],[Total]]&lt;&gt; 0, NOT(ISBLANK(SamplingData[[#This Row],[Candidate 5]]))),(SamplingData[[#This Row],[Total]]+SamplingData[[#This Row],[Winning Candidate]]-SamplingData[[#This Row],[Candidate 5]])/(SamplingData[[#Totals],[Winning Candidate]]-SamplingData[[#Totals],[Candidate 5]]), 0)</f>
        <v>0</v>
      </c>
      <c r="U765" s="99">
        <f>IF(AND(SamplingData[[#This Row],[Total]]&lt;&gt; 0, NOT(ISBLANK(SamplingData[[#This Row],[Candidate 6]]))),(SamplingData[[#This Row],[Total]]+SamplingData[[#This Row],[Losing Candidate]]-SamplingData[[#This Row],[Candidate 6]])/(SamplingData[[#Totals],[Winning Candidate]]-SamplingData[[#Totals],[Candidate 6]]), 0)</f>
        <v>0</v>
      </c>
      <c r="V765" s="99">
        <f>IF(AND(SamplingData[[#This Row],[Total]]&lt;&gt; 0, NOT(ISBLANK(SamplingData[[#This Row],[Candidate 7]]))),(SamplingData[[#This Row],[Total]]+SamplingData[[#This Row],[Winning Candidate]]-SamplingData[[#This Row],[Candidate 7]])/(SamplingData[[#Totals],[Winning Candidate]]-SamplingData[[#Totals],[Candidate 7]]), 0)</f>
        <v>0</v>
      </c>
      <c r="W765" s="99">
        <f>IF(AND(SamplingData[[#This Row],[Total]]&lt;&gt; 0, NOT(ISBLANK(SamplingData[[#This Row],[Candidate 8]]))),(SamplingData[[#This Row],[Total]]+SamplingData[[#This Row],[Winning Candidate]]-SamplingData[[#This Row],[Candidate 8]])/(SamplingData[[#Totals],[Winning Candidate]]-SamplingData[[#Totals],[Candidate 8]]), 0)</f>
        <v>0</v>
      </c>
      <c r="X7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5" s="99">
        <f>MAX(SamplingData[[#This Row],[Error Bound (up) - Max. possible relative overstatement - Losing Candidate]:[Error Bound (up) - Max. possible relative overstatement - Candidate 12]])</f>
        <v>1.9563741300288574E-2</v>
      </c>
      <c r="AC765" s="99">
        <f>IF(SamplingData[[#This Row],[Max Error Bound (up)]] = 0,0,SamplingData[[#This Row],[Max Error Bound (up)]]/SamplingData[[#Totals],[Max Error Bound (up)]])</f>
        <v>1.0474606463809226E-3</v>
      </c>
      <c r="AD765" s="103">
        <f>SUM($AC$5:AC765)</f>
        <v>0.68392136547060878</v>
      </c>
      <c r="AE765" s="99" t="str" cm="1">
        <f t="array" ref="AE765">IF(SamplingData[[#This Row],[up/U Selection Probability]] = 0, "Zero", TEXT(SamplingData[[#This Row],[Lower Range]], REPT("0",LEN('General Info'!$B$42))) &amp; " - " &amp; TEXT(SamplingData[[#This Row],[Upper Range]], REPT("0",LEN('General Info'!$B$42))))</f>
        <v>682874 - 683920</v>
      </c>
      <c r="AF765" s="99">
        <f>SamplingData[[#This Row],[Upper Range]]-SamplingData[[#This Row],[Span]]</f>
        <v>682873.90482422791</v>
      </c>
      <c r="AG765" s="99">
        <f>IF(ISNUMBER('General Info'!$B$42), ((SamplingData[[#This Row],[up/U Selection Probability]]) * 'General Info'!$B$44) - 1, 0)</f>
        <v>1046.4606463809225</v>
      </c>
      <c r="AH765" s="99">
        <f>IF(ISNUMBER('General Info'!$B$42), (SamplingData[[#This Row],[Running (cumulative) sum]] * ('General Info'!$B$42 -'General Info'!$B$43 + 1)) + 'General Info'!$B$43 - 1, 0)</f>
        <v>683920.36547060881</v>
      </c>
      <c r="AI765" s="99" t="str">
        <f>IF(ISERROR(MATCH(SamplingData[[#This Row],[Batch by Type (p)]],SelectedPrecincts[Batch Name], 0)), "", INDEX(SelectedPrecincts[Draw], MATCH(SamplingData[[#This Row],[Batch by Type (p)]],SelectedPrecincts[Batch Name], 0)))</f>
        <v/>
      </c>
      <c r="AJ765" s="100">
        <f>IF(COUNTIF(SelectedPrecincts[Batch Name],SamplingData[[#This Row],[Batch by Type (p)]]) &lt;&gt; 0, COUNTIF(SelectedPrecincts[Batch Name],SamplingData[[#This Row],[Batch by Type (p)]]), 0)</f>
        <v>0</v>
      </c>
    </row>
    <row r="766" spans="1:36" ht="15" customHeight="1" x14ac:dyDescent="0.35">
      <c r="A766" s="97" t="s">
        <v>979</v>
      </c>
      <c r="B766" s="97">
        <v>162</v>
      </c>
      <c r="C766" s="97">
        <v>181</v>
      </c>
      <c r="D766" s="92"/>
      <c r="E766" s="92"/>
      <c r="F766" s="92"/>
      <c r="G766" s="96"/>
      <c r="H766" s="96"/>
      <c r="I766" s="92"/>
      <c r="J766" s="92"/>
      <c r="K766" s="92"/>
      <c r="L766" s="92"/>
      <c r="M766" s="92"/>
      <c r="N766" s="97">
        <v>1</v>
      </c>
      <c r="O766" s="97">
        <v>26</v>
      </c>
      <c r="P766" s="98">
        <f>SUM(SamplingData[[#This Row],[Winning Candidate]:[Under Votes]])</f>
        <v>370</v>
      </c>
      <c r="Q766" s="99">
        <f>IF(AND(SamplingData[[#This Row],[Total]]&lt;&gt; 0, NOT(ISBLANK(SamplingData[[#This Row],[Losing Candidate]]))),(SamplingData[[#This Row],[Total]]+SamplingData[[#This Row],[Winning Candidate]]-SamplingData[[#This Row],[Losing Candidate]])/(SamplingData[[#Totals],[Winning Candidate]]-SamplingData[[#Totals],[Losing Candidate]]), 0)</f>
        <v>1.4895603462909524E-2</v>
      </c>
      <c r="R766" s="99">
        <f>IF(AND(SamplingData[[#This Row],[Total]]&lt;&gt; 0, NOT(ISBLANK(SamplingData[[#This Row],[Candidate 3]]))),(SamplingData[[#This Row],[Total]]+SamplingData[[#This Row],[Winning Candidate]]-SamplingData[[#This Row],[Candidate 3]])/(SamplingData[[#Totals],[Winning Candidate]]-SamplingData[[#Totals],[Candidate 3]]), 0)</f>
        <v>0</v>
      </c>
      <c r="S766" s="99">
        <f>IF(AND(SamplingData[[#This Row],[Total]]&lt;&gt; 0, NOT(ISBLANK(SamplingData[[#This Row],[Candidate 4]]))),(SamplingData[[#This Row],[Total]]+SamplingData[[#This Row],[Winning Candidate]]-SamplingData[[#This Row],[Candidate 4]])/(SamplingData[[#Totals],[Winning Candidate]]-SamplingData[[#Totals],[Candidate 4]]), 0)</f>
        <v>0</v>
      </c>
      <c r="T766" s="99">
        <f>IF(AND(SamplingData[[#This Row],[Total]]&lt;&gt; 0, NOT(ISBLANK(SamplingData[[#This Row],[Candidate 5]]))),(SamplingData[[#This Row],[Total]]+SamplingData[[#This Row],[Winning Candidate]]-SamplingData[[#This Row],[Candidate 5]])/(SamplingData[[#Totals],[Winning Candidate]]-SamplingData[[#Totals],[Candidate 5]]), 0)</f>
        <v>0</v>
      </c>
      <c r="U766" s="99">
        <f>IF(AND(SamplingData[[#This Row],[Total]]&lt;&gt; 0, NOT(ISBLANK(SamplingData[[#This Row],[Candidate 6]]))),(SamplingData[[#This Row],[Total]]+SamplingData[[#This Row],[Losing Candidate]]-SamplingData[[#This Row],[Candidate 6]])/(SamplingData[[#Totals],[Winning Candidate]]-SamplingData[[#Totals],[Candidate 6]]), 0)</f>
        <v>0</v>
      </c>
      <c r="V766" s="99">
        <f>IF(AND(SamplingData[[#This Row],[Total]]&lt;&gt; 0, NOT(ISBLANK(SamplingData[[#This Row],[Candidate 7]]))),(SamplingData[[#This Row],[Total]]+SamplingData[[#This Row],[Winning Candidate]]-SamplingData[[#This Row],[Candidate 7]])/(SamplingData[[#Totals],[Winning Candidate]]-SamplingData[[#Totals],[Candidate 7]]), 0)</f>
        <v>0</v>
      </c>
      <c r="W766" s="99">
        <f>IF(AND(SamplingData[[#This Row],[Total]]&lt;&gt; 0, NOT(ISBLANK(SamplingData[[#This Row],[Candidate 8]]))),(SamplingData[[#This Row],[Total]]+SamplingData[[#This Row],[Winning Candidate]]-SamplingData[[#This Row],[Candidate 8]])/(SamplingData[[#Totals],[Winning Candidate]]-SamplingData[[#Totals],[Candidate 8]]), 0)</f>
        <v>0</v>
      </c>
      <c r="X7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6" s="99">
        <f>MAX(SamplingData[[#This Row],[Error Bound (up) - Max. possible relative overstatement - Losing Candidate]:[Error Bound (up) - Max. possible relative overstatement - Candidate 12]])</f>
        <v>1.4895603462909524E-2</v>
      </c>
      <c r="AC766" s="99">
        <f>IF(SamplingData[[#This Row],[Max Error Bound (up)]] = 0,0,SamplingData[[#This Row],[Max Error Bound (up)]]/SamplingData[[#Totals],[Max Error Bound (up)]])</f>
        <v>7.9752426655033365E-4</v>
      </c>
      <c r="AD766" s="103">
        <f>SUM($AC$5:AC766)</f>
        <v>0.68471888973715911</v>
      </c>
      <c r="AE766" s="99" t="str" cm="1">
        <f t="array" ref="AE766">IF(SamplingData[[#This Row],[up/U Selection Probability]] = 0, "Zero", TEXT(SamplingData[[#This Row],[Lower Range]], REPT("0",LEN('General Info'!$B$42))) &amp; " - " &amp; TEXT(SamplingData[[#This Row],[Upper Range]], REPT("0",LEN('General Info'!$B$42))))</f>
        <v>683921 - 684718</v>
      </c>
      <c r="AF766" s="99">
        <f>SamplingData[[#This Row],[Upper Range]]-SamplingData[[#This Row],[Span]]</f>
        <v>683921.36547060881</v>
      </c>
      <c r="AG766" s="99">
        <f>IF(ISNUMBER('General Info'!$B$42), ((SamplingData[[#This Row],[up/U Selection Probability]]) * 'General Info'!$B$44) - 1, 0)</f>
        <v>796.52426655033366</v>
      </c>
      <c r="AH766" s="99">
        <f>IF(ISNUMBER('General Info'!$B$42), (SamplingData[[#This Row],[Running (cumulative) sum]] * ('General Info'!$B$42 -'General Info'!$B$43 + 1)) + 'General Info'!$B$43 - 1, 0)</f>
        <v>684717.88973715913</v>
      </c>
      <c r="AI766" s="99" t="str">
        <f>IF(ISERROR(MATCH(SamplingData[[#This Row],[Batch by Type (p)]],SelectedPrecincts[Batch Name], 0)), "", INDEX(SelectedPrecincts[Draw], MATCH(SamplingData[[#This Row],[Batch by Type (p)]],SelectedPrecincts[Batch Name], 0)))</f>
        <v/>
      </c>
      <c r="AJ766" s="100">
        <f>IF(COUNTIF(SelectedPrecincts[Batch Name],SamplingData[[#This Row],[Batch by Type (p)]]) &lt;&gt; 0, COUNTIF(SelectedPrecincts[Batch Name],SamplingData[[#This Row],[Batch by Type (p)]]), 0)</f>
        <v>0</v>
      </c>
    </row>
    <row r="767" spans="1:36" ht="15" customHeight="1" x14ac:dyDescent="0.35">
      <c r="A767" s="97" t="s">
        <v>980</v>
      </c>
      <c r="B767" s="97">
        <v>193</v>
      </c>
      <c r="C767" s="97">
        <v>149</v>
      </c>
      <c r="D767" s="92"/>
      <c r="E767" s="92"/>
      <c r="F767" s="92"/>
      <c r="G767" s="96"/>
      <c r="H767" s="96"/>
      <c r="I767" s="92"/>
      <c r="J767" s="92"/>
      <c r="K767" s="92"/>
      <c r="L767" s="92"/>
      <c r="M767" s="92"/>
      <c r="N767" s="97">
        <v>0</v>
      </c>
      <c r="O767" s="97">
        <v>19</v>
      </c>
      <c r="P767" s="98">
        <f>SUM(SamplingData[[#This Row],[Winning Candidate]:[Under Votes]])</f>
        <v>361</v>
      </c>
      <c r="Q767" s="99">
        <f>IF(AND(SamplingData[[#This Row],[Total]]&lt;&gt; 0, NOT(ISBLANK(SamplingData[[#This Row],[Losing Candidate]]))),(SamplingData[[#This Row],[Total]]+SamplingData[[#This Row],[Winning Candidate]]-SamplingData[[#This Row],[Losing Candidate]])/(SamplingData[[#Totals],[Winning Candidate]]-SamplingData[[#Totals],[Losing Candidate]]), 0)</f>
        <v>1.7187234764895604E-2</v>
      </c>
      <c r="R767" s="99">
        <f>IF(AND(SamplingData[[#This Row],[Total]]&lt;&gt; 0, NOT(ISBLANK(SamplingData[[#This Row],[Candidate 3]]))),(SamplingData[[#This Row],[Total]]+SamplingData[[#This Row],[Winning Candidate]]-SamplingData[[#This Row],[Candidate 3]])/(SamplingData[[#Totals],[Winning Candidate]]-SamplingData[[#Totals],[Candidate 3]]), 0)</f>
        <v>0</v>
      </c>
      <c r="S767" s="99">
        <f>IF(AND(SamplingData[[#This Row],[Total]]&lt;&gt; 0, NOT(ISBLANK(SamplingData[[#This Row],[Candidate 4]]))),(SamplingData[[#This Row],[Total]]+SamplingData[[#This Row],[Winning Candidate]]-SamplingData[[#This Row],[Candidate 4]])/(SamplingData[[#Totals],[Winning Candidate]]-SamplingData[[#Totals],[Candidate 4]]), 0)</f>
        <v>0</v>
      </c>
      <c r="T767" s="99">
        <f>IF(AND(SamplingData[[#This Row],[Total]]&lt;&gt; 0, NOT(ISBLANK(SamplingData[[#This Row],[Candidate 5]]))),(SamplingData[[#This Row],[Total]]+SamplingData[[#This Row],[Winning Candidate]]-SamplingData[[#This Row],[Candidate 5]])/(SamplingData[[#Totals],[Winning Candidate]]-SamplingData[[#Totals],[Candidate 5]]), 0)</f>
        <v>0</v>
      </c>
      <c r="U767" s="99">
        <f>IF(AND(SamplingData[[#This Row],[Total]]&lt;&gt; 0, NOT(ISBLANK(SamplingData[[#This Row],[Candidate 6]]))),(SamplingData[[#This Row],[Total]]+SamplingData[[#This Row],[Losing Candidate]]-SamplingData[[#This Row],[Candidate 6]])/(SamplingData[[#Totals],[Winning Candidate]]-SamplingData[[#Totals],[Candidate 6]]), 0)</f>
        <v>0</v>
      </c>
      <c r="V767" s="99">
        <f>IF(AND(SamplingData[[#This Row],[Total]]&lt;&gt; 0, NOT(ISBLANK(SamplingData[[#This Row],[Candidate 7]]))),(SamplingData[[#This Row],[Total]]+SamplingData[[#This Row],[Winning Candidate]]-SamplingData[[#This Row],[Candidate 7]])/(SamplingData[[#Totals],[Winning Candidate]]-SamplingData[[#Totals],[Candidate 7]]), 0)</f>
        <v>0</v>
      </c>
      <c r="W767" s="99">
        <f>IF(AND(SamplingData[[#This Row],[Total]]&lt;&gt; 0, NOT(ISBLANK(SamplingData[[#This Row],[Candidate 8]]))),(SamplingData[[#This Row],[Total]]+SamplingData[[#This Row],[Winning Candidate]]-SamplingData[[#This Row],[Candidate 8]])/(SamplingData[[#Totals],[Winning Candidate]]-SamplingData[[#Totals],[Candidate 8]]), 0)</f>
        <v>0</v>
      </c>
      <c r="X7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7" s="99">
        <f>MAX(SamplingData[[#This Row],[Error Bound (up) - Max. possible relative overstatement - Losing Candidate]:[Error Bound (up) - Max. possible relative overstatement - Candidate 12]])</f>
        <v>1.7187234764895604E-2</v>
      </c>
      <c r="AC767" s="99">
        <f>IF(SamplingData[[#This Row],[Max Error Bound (up)]] = 0,0,SamplingData[[#This Row],[Max Error Bound (up)]]/SamplingData[[#Totals],[Max Error Bound (up)]])</f>
        <v>9.2022030755807734E-4</v>
      </c>
      <c r="AD767" s="103">
        <f>SUM($AC$5:AC767)</f>
        <v>0.68563911004471723</v>
      </c>
      <c r="AE767" s="99" t="str" cm="1">
        <f t="array" ref="AE767">IF(SamplingData[[#This Row],[up/U Selection Probability]] = 0, "Zero", TEXT(SamplingData[[#This Row],[Lower Range]], REPT("0",LEN('General Info'!$B$42))) &amp; " - " &amp; TEXT(SamplingData[[#This Row],[Upper Range]], REPT("0",LEN('General Info'!$B$42))))</f>
        <v>684719 - 685638</v>
      </c>
      <c r="AF767" s="99">
        <f>SamplingData[[#This Row],[Upper Range]]-SamplingData[[#This Row],[Span]]</f>
        <v>684718.88973715913</v>
      </c>
      <c r="AG767" s="99">
        <f>IF(ISNUMBER('General Info'!$B$42), ((SamplingData[[#This Row],[up/U Selection Probability]]) * 'General Info'!$B$44) - 1, 0)</f>
        <v>919.22030755807737</v>
      </c>
      <c r="AH767" s="99">
        <f>IF(ISNUMBER('General Info'!$B$42), (SamplingData[[#This Row],[Running (cumulative) sum]] * ('General Info'!$B$42 -'General Info'!$B$43 + 1)) + 'General Info'!$B$43 - 1, 0)</f>
        <v>685638.11004471721</v>
      </c>
      <c r="AI767" s="99" t="str">
        <f>IF(ISERROR(MATCH(SamplingData[[#This Row],[Batch by Type (p)]],SelectedPrecincts[Batch Name], 0)), "", INDEX(SelectedPrecincts[Draw], MATCH(SamplingData[[#This Row],[Batch by Type (p)]],SelectedPrecincts[Batch Name], 0)))</f>
        <v/>
      </c>
      <c r="AJ767" s="100">
        <f>IF(COUNTIF(SelectedPrecincts[Batch Name],SamplingData[[#This Row],[Batch by Type (p)]]) &lt;&gt; 0, COUNTIF(SelectedPrecincts[Batch Name],SamplingData[[#This Row],[Batch by Type (p)]]), 0)</f>
        <v>0</v>
      </c>
    </row>
    <row r="768" spans="1:36" ht="15" customHeight="1" x14ac:dyDescent="0.35">
      <c r="A768" s="97" t="s">
        <v>981</v>
      </c>
      <c r="B768" s="97">
        <v>301</v>
      </c>
      <c r="C768" s="97">
        <v>327</v>
      </c>
      <c r="D768" s="92"/>
      <c r="E768" s="92"/>
      <c r="F768" s="92"/>
      <c r="G768" s="96"/>
      <c r="H768" s="96"/>
      <c r="I768" s="92"/>
      <c r="J768" s="92"/>
      <c r="K768" s="92"/>
      <c r="L768" s="92"/>
      <c r="M768" s="92"/>
      <c r="N768" s="97">
        <v>1</v>
      </c>
      <c r="O768" s="97">
        <v>48</v>
      </c>
      <c r="P768" s="98">
        <f>SUM(SamplingData[[#This Row],[Winning Candidate]:[Under Votes]])</f>
        <v>677</v>
      </c>
      <c r="Q768" s="99">
        <f>IF(AND(SamplingData[[#This Row],[Total]]&lt;&gt; 0, NOT(ISBLANK(SamplingData[[#This Row],[Losing Candidate]]))),(SamplingData[[#This Row],[Total]]+SamplingData[[#This Row],[Winning Candidate]]-SamplingData[[#This Row],[Losing Candidate]])/(SamplingData[[#Totals],[Winning Candidate]]-SamplingData[[#Totals],[Losing Candidate]]), 0)</f>
        <v>2.7626888473943303E-2</v>
      </c>
      <c r="R768" s="99">
        <f>IF(AND(SamplingData[[#This Row],[Total]]&lt;&gt; 0, NOT(ISBLANK(SamplingData[[#This Row],[Candidate 3]]))),(SamplingData[[#This Row],[Total]]+SamplingData[[#This Row],[Winning Candidate]]-SamplingData[[#This Row],[Candidate 3]])/(SamplingData[[#Totals],[Winning Candidate]]-SamplingData[[#Totals],[Candidate 3]]), 0)</f>
        <v>0</v>
      </c>
      <c r="S768" s="99">
        <f>IF(AND(SamplingData[[#This Row],[Total]]&lt;&gt; 0, NOT(ISBLANK(SamplingData[[#This Row],[Candidate 4]]))),(SamplingData[[#This Row],[Total]]+SamplingData[[#This Row],[Winning Candidate]]-SamplingData[[#This Row],[Candidate 4]])/(SamplingData[[#Totals],[Winning Candidate]]-SamplingData[[#Totals],[Candidate 4]]), 0)</f>
        <v>0</v>
      </c>
      <c r="T768" s="99">
        <f>IF(AND(SamplingData[[#This Row],[Total]]&lt;&gt; 0, NOT(ISBLANK(SamplingData[[#This Row],[Candidate 5]]))),(SamplingData[[#This Row],[Total]]+SamplingData[[#This Row],[Winning Candidate]]-SamplingData[[#This Row],[Candidate 5]])/(SamplingData[[#Totals],[Winning Candidate]]-SamplingData[[#Totals],[Candidate 5]]), 0)</f>
        <v>0</v>
      </c>
      <c r="U768" s="99">
        <f>IF(AND(SamplingData[[#This Row],[Total]]&lt;&gt; 0, NOT(ISBLANK(SamplingData[[#This Row],[Candidate 6]]))),(SamplingData[[#This Row],[Total]]+SamplingData[[#This Row],[Losing Candidate]]-SamplingData[[#This Row],[Candidate 6]])/(SamplingData[[#Totals],[Winning Candidate]]-SamplingData[[#Totals],[Candidate 6]]), 0)</f>
        <v>0</v>
      </c>
      <c r="V768" s="99">
        <f>IF(AND(SamplingData[[#This Row],[Total]]&lt;&gt; 0, NOT(ISBLANK(SamplingData[[#This Row],[Candidate 7]]))),(SamplingData[[#This Row],[Total]]+SamplingData[[#This Row],[Winning Candidate]]-SamplingData[[#This Row],[Candidate 7]])/(SamplingData[[#Totals],[Winning Candidate]]-SamplingData[[#Totals],[Candidate 7]]), 0)</f>
        <v>0</v>
      </c>
      <c r="W768" s="99">
        <f>IF(AND(SamplingData[[#This Row],[Total]]&lt;&gt; 0, NOT(ISBLANK(SamplingData[[#This Row],[Candidate 8]]))),(SamplingData[[#This Row],[Total]]+SamplingData[[#This Row],[Winning Candidate]]-SamplingData[[#This Row],[Candidate 8]])/(SamplingData[[#Totals],[Winning Candidate]]-SamplingData[[#Totals],[Candidate 8]]), 0)</f>
        <v>0</v>
      </c>
      <c r="X7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8" s="99">
        <f>MAX(SamplingData[[#This Row],[Error Bound (up) - Max. possible relative overstatement - Losing Candidate]:[Error Bound (up) - Max. possible relative overstatement - Candidate 12]])</f>
        <v>2.7626888473943303E-2</v>
      </c>
      <c r="AC768" s="99">
        <f>IF(SamplingData[[#This Row],[Max Error Bound (up)]] = 0,0,SamplingData[[#This Row],[Max Error Bound (up)]]/SamplingData[[#Totals],[Max Error Bound (up)]])</f>
        <v>1.4791689388155762E-3</v>
      </c>
      <c r="AD768" s="103">
        <f>SUM($AC$5:AC768)</f>
        <v>0.68711827898353284</v>
      </c>
      <c r="AE768" s="99" t="str" cm="1">
        <f t="array" ref="AE768">IF(SamplingData[[#This Row],[up/U Selection Probability]] = 0, "Zero", TEXT(SamplingData[[#This Row],[Lower Range]], REPT("0",LEN('General Info'!$B$42))) &amp; " - " &amp; TEXT(SamplingData[[#This Row],[Upper Range]], REPT("0",LEN('General Info'!$B$42))))</f>
        <v>685639 - 687117</v>
      </c>
      <c r="AF768" s="99">
        <f>SamplingData[[#This Row],[Upper Range]]-SamplingData[[#This Row],[Span]]</f>
        <v>685639.11004471721</v>
      </c>
      <c r="AG768" s="99">
        <f>IF(ISNUMBER('General Info'!$B$42), ((SamplingData[[#This Row],[up/U Selection Probability]]) * 'General Info'!$B$44) - 1, 0)</f>
        <v>1478.1689388155762</v>
      </c>
      <c r="AH768" s="99">
        <f>IF(ISNUMBER('General Info'!$B$42), (SamplingData[[#This Row],[Running (cumulative) sum]] * ('General Info'!$B$42 -'General Info'!$B$43 + 1)) + 'General Info'!$B$43 - 1, 0)</f>
        <v>687117.2789835328</v>
      </c>
      <c r="AI768" s="99" t="str">
        <f>IF(ISERROR(MATCH(SamplingData[[#This Row],[Batch by Type (p)]],SelectedPrecincts[Batch Name], 0)), "", INDEX(SelectedPrecincts[Draw], MATCH(SamplingData[[#This Row],[Batch by Type (p)]],SelectedPrecincts[Batch Name], 0)))</f>
        <v/>
      </c>
      <c r="AJ768" s="100">
        <f>IF(COUNTIF(SelectedPrecincts[Batch Name],SamplingData[[#This Row],[Batch by Type (p)]]) &lt;&gt; 0, COUNTIF(SelectedPrecincts[Batch Name],SamplingData[[#This Row],[Batch by Type (p)]]), 0)</f>
        <v>0</v>
      </c>
    </row>
    <row r="769" spans="1:36" ht="15" customHeight="1" x14ac:dyDescent="0.35">
      <c r="A769" s="97" t="s">
        <v>982</v>
      </c>
      <c r="B769" s="97">
        <v>277</v>
      </c>
      <c r="C769" s="97">
        <v>386</v>
      </c>
      <c r="D769" s="92"/>
      <c r="E769" s="92"/>
      <c r="F769" s="92"/>
      <c r="G769" s="96"/>
      <c r="H769" s="96"/>
      <c r="I769" s="92"/>
      <c r="J769" s="92"/>
      <c r="K769" s="92"/>
      <c r="L769" s="92"/>
      <c r="M769" s="92"/>
      <c r="N769" s="97">
        <v>0</v>
      </c>
      <c r="O769" s="97">
        <v>54</v>
      </c>
      <c r="P769" s="98">
        <f>SUM(SamplingData[[#This Row],[Winning Candidate]:[Under Votes]])</f>
        <v>717</v>
      </c>
      <c r="Q769" s="99">
        <f>IF(AND(SamplingData[[#This Row],[Total]]&lt;&gt; 0, NOT(ISBLANK(SamplingData[[#This Row],[Losing Candidate]]))),(SamplingData[[#This Row],[Total]]+SamplingData[[#This Row],[Winning Candidate]]-SamplingData[[#This Row],[Losing Candidate]])/(SamplingData[[#Totals],[Winning Candidate]]-SamplingData[[#Totals],[Losing Candidate]]), 0)</f>
        <v>2.5802070955695127E-2</v>
      </c>
      <c r="R769" s="99">
        <f>IF(AND(SamplingData[[#This Row],[Total]]&lt;&gt; 0, NOT(ISBLANK(SamplingData[[#This Row],[Candidate 3]]))),(SamplingData[[#This Row],[Total]]+SamplingData[[#This Row],[Winning Candidate]]-SamplingData[[#This Row],[Candidate 3]])/(SamplingData[[#Totals],[Winning Candidate]]-SamplingData[[#Totals],[Candidate 3]]), 0)</f>
        <v>0</v>
      </c>
      <c r="S769" s="99">
        <f>IF(AND(SamplingData[[#This Row],[Total]]&lt;&gt; 0, NOT(ISBLANK(SamplingData[[#This Row],[Candidate 4]]))),(SamplingData[[#This Row],[Total]]+SamplingData[[#This Row],[Winning Candidate]]-SamplingData[[#This Row],[Candidate 4]])/(SamplingData[[#Totals],[Winning Candidate]]-SamplingData[[#Totals],[Candidate 4]]), 0)</f>
        <v>0</v>
      </c>
      <c r="T769" s="99">
        <f>IF(AND(SamplingData[[#This Row],[Total]]&lt;&gt; 0, NOT(ISBLANK(SamplingData[[#This Row],[Candidate 5]]))),(SamplingData[[#This Row],[Total]]+SamplingData[[#This Row],[Winning Candidate]]-SamplingData[[#This Row],[Candidate 5]])/(SamplingData[[#Totals],[Winning Candidate]]-SamplingData[[#Totals],[Candidate 5]]), 0)</f>
        <v>0</v>
      </c>
      <c r="U769" s="99">
        <f>IF(AND(SamplingData[[#This Row],[Total]]&lt;&gt; 0, NOT(ISBLANK(SamplingData[[#This Row],[Candidate 6]]))),(SamplingData[[#This Row],[Total]]+SamplingData[[#This Row],[Losing Candidate]]-SamplingData[[#This Row],[Candidate 6]])/(SamplingData[[#Totals],[Winning Candidate]]-SamplingData[[#Totals],[Candidate 6]]), 0)</f>
        <v>0</v>
      </c>
      <c r="V769" s="99">
        <f>IF(AND(SamplingData[[#This Row],[Total]]&lt;&gt; 0, NOT(ISBLANK(SamplingData[[#This Row],[Candidate 7]]))),(SamplingData[[#This Row],[Total]]+SamplingData[[#This Row],[Winning Candidate]]-SamplingData[[#This Row],[Candidate 7]])/(SamplingData[[#Totals],[Winning Candidate]]-SamplingData[[#Totals],[Candidate 7]]), 0)</f>
        <v>0</v>
      </c>
      <c r="W769" s="99">
        <f>IF(AND(SamplingData[[#This Row],[Total]]&lt;&gt; 0, NOT(ISBLANK(SamplingData[[#This Row],[Candidate 8]]))),(SamplingData[[#This Row],[Total]]+SamplingData[[#This Row],[Winning Candidate]]-SamplingData[[#This Row],[Candidate 8]])/(SamplingData[[#Totals],[Winning Candidate]]-SamplingData[[#Totals],[Candidate 8]]), 0)</f>
        <v>0</v>
      </c>
      <c r="X7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9" s="99">
        <f>MAX(SamplingData[[#This Row],[Error Bound (up) - Max. possible relative overstatement - Losing Candidate]:[Error Bound (up) - Max. possible relative overstatement - Candidate 12]])</f>
        <v>2.5802070955695127E-2</v>
      </c>
      <c r="AC769" s="99">
        <f>IF(SamplingData[[#This Row],[Max Error Bound (up)]] = 0,0,SamplingData[[#This Row],[Max Error Bound (up)]]/SamplingData[[#Totals],[Max Error Bound (up)]])</f>
        <v>1.3814665357908913E-3</v>
      </c>
      <c r="AD769" s="103">
        <f>SUM($AC$5:AC769)</f>
        <v>0.68849974551932369</v>
      </c>
      <c r="AE769" s="99" t="str" cm="1">
        <f t="array" ref="AE769">IF(SamplingData[[#This Row],[up/U Selection Probability]] = 0, "Zero", TEXT(SamplingData[[#This Row],[Lower Range]], REPT("0",LEN('General Info'!$B$42))) &amp; " - " &amp; TEXT(SamplingData[[#This Row],[Upper Range]], REPT("0",LEN('General Info'!$B$42))))</f>
        <v>687118 - 688499</v>
      </c>
      <c r="AF769" s="99">
        <f>SamplingData[[#This Row],[Upper Range]]-SamplingData[[#This Row],[Span]]</f>
        <v>687118.2789835328</v>
      </c>
      <c r="AG769" s="99">
        <f>IF(ISNUMBER('General Info'!$B$42), ((SamplingData[[#This Row],[up/U Selection Probability]]) * 'General Info'!$B$44) - 1, 0)</f>
        <v>1380.4665357908914</v>
      </c>
      <c r="AH769" s="99">
        <f>IF(ISNUMBER('General Info'!$B$42), (SamplingData[[#This Row],[Running (cumulative) sum]] * ('General Info'!$B$42 -'General Info'!$B$43 + 1)) + 'General Info'!$B$43 - 1, 0)</f>
        <v>688498.74551932374</v>
      </c>
      <c r="AI769" s="99" t="str">
        <f>IF(ISERROR(MATCH(SamplingData[[#This Row],[Batch by Type (p)]],SelectedPrecincts[Batch Name], 0)), "", INDEX(SelectedPrecincts[Draw], MATCH(SamplingData[[#This Row],[Batch by Type (p)]],SelectedPrecincts[Batch Name], 0)))</f>
        <v/>
      </c>
      <c r="AJ769" s="100">
        <f>IF(COUNTIF(SelectedPrecincts[Batch Name],SamplingData[[#This Row],[Batch by Type (p)]]) &lt;&gt; 0, COUNTIF(SelectedPrecincts[Batch Name],SamplingData[[#This Row],[Batch by Type (p)]]), 0)</f>
        <v>0</v>
      </c>
    </row>
    <row r="770" spans="1:36" ht="15" customHeight="1" x14ac:dyDescent="0.35">
      <c r="A770" s="97" t="s">
        <v>983</v>
      </c>
      <c r="B770" s="97">
        <v>302</v>
      </c>
      <c r="C770" s="97">
        <v>271</v>
      </c>
      <c r="D770" s="92"/>
      <c r="E770" s="92"/>
      <c r="F770" s="92"/>
      <c r="G770" s="96"/>
      <c r="H770" s="96"/>
      <c r="I770" s="92"/>
      <c r="J770" s="92"/>
      <c r="K770" s="92"/>
      <c r="L770" s="92"/>
      <c r="M770" s="92"/>
      <c r="N770" s="97">
        <v>1</v>
      </c>
      <c r="O770" s="97">
        <v>28</v>
      </c>
      <c r="P770" s="98">
        <f>SUM(SamplingData[[#This Row],[Winning Candidate]:[Under Votes]])</f>
        <v>602</v>
      </c>
      <c r="Q770" s="99">
        <f>IF(AND(SamplingData[[#This Row],[Total]]&lt;&gt; 0, NOT(ISBLANK(SamplingData[[#This Row],[Losing Candidate]]))),(SamplingData[[#This Row],[Total]]+SamplingData[[#This Row],[Winning Candidate]]-SamplingData[[#This Row],[Losing Candidate]])/(SamplingData[[#Totals],[Winning Candidate]]-SamplingData[[#Totals],[Losing Candidate]]), 0)</f>
        <v>2.6863011373281277E-2</v>
      </c>
      <c r="R770" s="99">
        <f>IF(AND(SamplingData[[#This Row],[Total]]&lt;&gt; 0, NOT(ISBLANK(SamplingData[[#This Row],[Candidate 3]]))),(SamplingData[[#This Row],[Total]]+SamplingData[[#This Row],[Winning Candidate]]-SamplingData[[#This Row],[Candidate 3]])/(SamplingData[[#Totals],[Winning Candidate]]-SamplingData[[#Totals],[Candidate 3]]), 0)</f>
        <v>0</v>
      </c>
      <c r="S770" s="99">
        <f>IF(AND(SamplingData[[#This Row],[Total]]&lt;&gt; 0, NOT(ISBLANK(SamplingData[[#This Row],[Candidate 4]]))),(SamplingData[[#This Row],[Total]]+SamplingData[[#This Row],[Winning Candidate]]-SamplingData[[#This Row],[Candidate 4]])/(SamplingData[[#Totals],[Winning Candidate]]-SamplingData[[#Totals],[Candidate 4]]), 0)</f>
        <v>0</v>
      </c>
      <c r="T770" s="99">
        <f>IF(AND(SamplingData[[#This Row],[Total]]&lt;&gt; 0, NOT(ISBLANK(SamplingData[[#This Row],[Candidate 5]]))),(SamplingData[[#This Row],[Total]]+SamplingData[[#This Row],[Winning Candidate]]-SamplingData[[#This Row],[Candidate 5]])/(SamplingData[[#Totals],[Winning Candidate]]-SamplingData[[#Totals],[Candidate 5]]), 0)</f>
        <v>0</v>
      </c>
      <c r="U770" s="99">
        <f>IF(AND(SamplingData[[#This Row],[Total]]&lt;&gt; 0, NOT(ISBLANK(SamplingData[[#This Row],[Candidate 6]]))),(SamplingData[[#This Row],[Total]]+SamplingData[[#This Row],[Losing Candidate]]-SamplingData[[#This Row],[Candidate 6]])/(SamplingData[[#Totals],[Winning Candidate]]-SamplingData[[#Totals],[Candidate 6]]), 0)</f>
        <v>0</v>
      </c>
      <c r="V770" s="99">
        <f>IF(AND(SamplingData[[#This Row],[Total]]&lt;&gt; 0, NOT(ISBLANK(SamplingData[[#This Row],[Candidate 7]]))),(SamplingData[[#This Row],[Total]]+SamplingData[[#This Row],[Winning Candidate]]-SamplingData[[#This Row],[Candidate 7]])/(SamplingData[[#Totals],[Winning Candidate]]-SamplingData[[#Totals],[Candidate 7]]), 0)</f>
        <v>0</v>
      </c>
      <c r="W770" s="99">
        <f>IF(AND(SamplingData[[#This Row],[Total]]&lt;&gt; 0, NOT(ISBLANK(SamplingData[[#This Row],[Candidate 8]]))),(SamplingData[[#This Row],[Total]]+SamplingData[[#This Row],[Winning Candidate]]-SamplingData[[#This Row],[Candidate 8]])/(SamplingData[[#Totals],[Winning Candidate]]-SamplingData[[#Totals],[Candidate 8]]), 0)</f>
        <v>0</v>
      </c>
      <c r="X7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0" s="99">
        <f>MAX(SamplingData[[#This Row],[Error Bound (up) - Max. possible relative overstatement - Losing Candidate]:[Error Bound (up) - Max. possible relative overstatement - Candidate 12]])</f>
        <v>2.6863011373281277E-2</v>
      </c>
      <c r="AC770" s="99">
        <f>IF(SamplingData[[#This Row],[Max Error Bound (up)]] = 0,0,SamplingData[[#This Row],[Max Error Bound (up)]]/SamplingData[[#Totals],[Max Error Bound (up)]])</f>
        <v>1.4382702584796615E-3</v>
      </c>
      <c r="AD770" s="103">
        <f>SUM($AC$5:AC770)</f>
        <v>0.68993801577780334</v>
      </c>
      <c r="AE770" s="99" t="str" cm="1">
        <f t="array" ref="AE770">IF(SamplingData[[#This Row],[up/U Selection Probability]] = 0, "Zero", TEXT(SamplingData[[#This Row],[Lower Range]], REPT("0",LEN('General Info'!$B$42))) &amp; " - " &amp; TEXT(SamplingData[[#This Row],[Upper Range]], REPT("0",LEN('General Info'!$B$42))))</f>
        <v>688500 - 689937</v>
      </c>
      <c r="AF770" s="99">
        <f>SamplingData[[#This Row],[Upper Range]]-SamplingData[[#This Row],[Span]]</f>
        <v>688499.74551932374</v>
      </c>
      <c r="AG770" s="99">
        <f>IF(ISNUMBER('General Info'!$B$42), ((SamplingData[[#This Row],[up/U Selection Probability]]) * 'General Info'!$B$44) - 1, 0)</f>
        <v>1437.2702584796614</v>
      </c>
      <c r="AH770" s="99">
        <f>IF(ISNUMBER('General Info'!$B$42), (SamplingData[[#This Row],[Running (cumulative) sum]] * ('General Info'!$B$42 -'General Info'!$B$43 + 1)) + 'General Info'!$B$43 - 1, 0)</f>
        <v>689937.01577780338</v>
      </c>
      <c r="AI770" s="99" t="str">
        <f>IF(ISERROR(MATCH(SamplingData[[#This Row],[Batch by Type (p)]],SelectedPrecincts[Batch Name], 0)), "", INDEX(SelectedPrecincts[Draw], MATCH(SamplingData[[#This Row],[Batch by Type (p)]],SelectedPrecincts[Batch Name], 0)))</f>
        <v/>
      </c>
      <c r="AJ770" s="100">
        <f>IF(COUNTIF(SelectedPrecincts[Batch Name],SamplingData[[#This Row],[Batch by Type (p)]]) &lt;&gt; 0, COUNTIF(SelectedPrecincts[Batch Name],SamplingData[[#This Row],[Batch by Type (p)]]), 0)</f>
        <v>0</v>
      </c>
    </row>
    <row r="771" spans="1:36" ht="15" customHeight="1" x14ac:dyDescent="0.35">
      <c r="A771" s="97" t="s">
        <v>984</v>
      </c>
      <c r="B771" s="97">
        <v>330</v>
      </c>
      <c r="C771" s="97">
        <v>351</v>
      </c>
      <c r="D771" s="92"/>
      <c r="E771" s="92"/>
      <c r="F771" s="92"/>
      <c r="G771" s="96"/>
      <c r="H771" s="96"/>
      <c r="I771" s="92"/>
      <c r="J771" s="92"/>
      <c r="K771" s="92"/>
      <c r="L771" s="92"/>
      <c r="M771" s="92"/>
      <c r="N771" s="97">
        <v>0</v>
      </c>
      <c r="O771" s="97">
        <v>51</v>
      </c>
      <c r="P771" s="98">
        <f>SUM(SamplingData[[#This Row],[Winning Candidate]:[Under Votes]])</f>
        <v>732</v>
      </c>
      <c r="Q771" s="99">
        <f>IF(AND(SamplingData[[#This Row],[Total]]&lt;&gt; 0, NOT(ISBLANK(SamplingData[[#This Row],[Losing Candidate]]))),(SamplingData[[#This Row],[Total]]+SamplingData[[#This Row],[Winning Candidate]]-SamplingData[[#This Row],[Losing Candidate]])/(SamplingData[[#Totals],[Winning Candidate]]-SamplingData[[#Totals],[Losing Candidate]]), 0)</f>
        <v>3.0173145476150059E-2</v>
      </c>
      <c r="R771" s="99">
        <f>IF(AND(SamplingData[[#This Row],[Total]]&lt;&gt; 0, NOT(ISBLANK(SamplingData[[#This Row],[Candidate 3]]))),(SamplingData[[#This Row],[Total]]+SamplingData[[#This Row],[Winning Candidate]]-SamplingData[[#This Row],[Candidate 3]])/(SamplingData[[#Totals],[Winning Candidate]]-SamplingData[[#Totals],[Candidate 3]]), 0)</f>
        <v>0</v>
      </c>
      <c r="S771" s="99">
        <f>IF(AND(SamplingData[[#This Row],[Total]]&lt;&gt; 0, NOT(ISBLANK(SamplingData[[#This Row],[Candidate 4]]))),(SamplingData[[#This Row],[Total]]+SamplingData[[#This Row],[Winning Candidate]]-SamplingData[[#This Row],[Candidate 4]])/(SamplingData[[#Totals],[Winning Candidate]]-SamplingData[[#Totals],[Candidate 4]]), 0)</f>
        <v>0</v>
      </c>
      <c r="T771" s="99">
        <f>IF(AND(SamplingData[[#This Row],[Total]]&lt;&gt; 0, NOT(ISBLANK(SamplingData[[#This Row],[Candidate 5]]))),(SamplingData[[#This Row],[Total]]+SamplingData[[#This Row],[Winning Candidate]]-SamplingData[[#This Row],[Candidate 5]])/(SamplingData[[#Totals],[Winning Candidate]]-SamplingData[[#Totals],[Candidate 5]]), 0)</f>
        <v>0</v>
      </c>
      <c r="U771" s="99">
        <f>IF(AND(SamplingData[[#This Row],[Total]]&lt;&gt; 0, NOT(ISBLANK(SamplingData[[#This Row],[Candidate 6]]))),(SamplingData[[#This Row],[Total]]+SamplingData[[#This Row],[Losing Candidate]]-SamplingData[[#This Row],[Candidate 6]])/(SamplingData[[#Totals],[Winning Candidate]]-SamplingData[[#Totals],[Candidate 6]]), 0)</f>
        <v>0</v>
      </c>
      <c r="V771" s="99">
        <f>IF(AND(SamplingData[[#This Row],[Total]]&lt;&gt; 0, NOT(ISBLANK(SamplingData[[#This Row],[Candidate 7]]))),(SamplingData[[#This Row],[Total]]+SamplingData[[#This Row],[Winning Candidate]]-SamplingData[[#This Row],[Candidate 7]])/(SamplingData[[#Totals],[Winning Candidate]]-SamplingData[[#Totals],[Candidate 7]]), 0)</f>
        <v>0</v>
      </c>
      <c r="W771" s="99">
        <f>IF(AND(SamplingData[[#This Row],[Total]]&lt;&gt; 0, NOT(ISBLANK(SamplingData[[#This Row],[Candidate 8]]))),(SamplingData[[#This Row],[Total]]+SamplingData[[#This Row],[Winning Candidate]]-SamplingData[[#This Row],[Candidate 8]])/(SamplingData[[#Totals],[Winning Candidate]]-SamplingData[[#Totals],[Candidate 8]]), 0)</f>
        <v>0</v>
      </c>
      <c r="X7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1" s="99">
        <f>MAX(SamplingData[[#This Row],[Error Bound (up) - Max. possible relative overstatement - Losing Candidate]:[Error Bound (up) - Max. possible relative overstatement - Candidate 12]])</f>
        <v>3.0173145476150059E-2</v>
      </c>
      <c r="AC771" s="99">
        <f>IF(SamplingData[[#This Row],[Max Error Bound (up)]] = 0,0,SamplingData[[#This Row],[Max Error Bound (up)]]/SamplingData[[#Totals],[Max Error Bound (up)]])</f>
        <v>1.6154978732686245E-3</v>
      </c>
      <c r="AD771" s="103">
        <f>SUM($AC$5:AC771)</f>
        <v>0.69155351365107198</v>
      </c>
      <c r="AE771" s="99" t="str" cm="1">
        <f t="array" ref="AE771">IF(SamplingData[[#This Row],[up/U Selection Probability]] = 0, "Zero", TEXT(SamplingData[[#This Row],[Lower Range]], REPT("0",LEN('General Info'!$B$42))) &amp; " - " &amp; TEXT(SamplingData[[#This Row],[Upper Range]], REPT("0",LEN('General Info'!$B$42))))</f>
        <v>689938 - 691553</v>
      </c>
      <c r="AF771" s="99">
        <f>SamplingData[[#This Row],[Upper Range]]-SamplingData[[#This Row],[Span]]</f>
        <v>689938.01577780326</v>
      </c>
      <c r="AG771" s="99">
        <f>IF(ISNUMBER('General Info'!$B$42), ((SamplingData[[#This Row],[up/U Selection Probability]]) * 'General Info'!$B$44) - 1, 0)</f>
        <v>1614.4978732686245</v>
      </c>
      <c r="AH771" s="99">
        <f>IF(ISNUMBER('General Info'!$B$42), (SamplingData[[#This Row],[Running (cumulative) sum]] * ('General Info'!$B$42 -'General Info'!$B$43 + 1)) + 'General Info'!$B$43 - 1, 0)</f>
        <v>691552.51365107193</v>
      </c>
      <c r="AI771" s="99" t="str">
        <f>IF(ISERROR(MATCH(SamplingData[[#This Row],[Batch by Type (p)]],SelectedPrecincts[Batch Name], 0)), "", INDEX(SelectedPrecincts[Draw], MATCH(SamplingData[[#This Row],[Batch by Type (p)]],SelectedPrecincts[Batch Name], 0)))</f>
        <v/>
      </c>
      <c r="AJ771" s="100">
        <f>IF(COUNTIF(SelectedPrecincts[Batch Name],SamplingData[[#This Row],[Batch by Type (p)]]) &lt;&gt; 0, COUNTIF(SelectedPrecincts[Batch Name],SamplingData[[#This Row],[Batch by Type (p)]]), 0)</f>
        <v>0</v>
      </c>
    </row>
    <row r="772" spans="1:36" ht="15" customHeight="1" x14ac:dyDescent="0.35">
      <c r="A772" s="97" t="s">
        <v>985</v>
      </c>
      <c r="B772" s="97">
        <v>176</v>
      </c>
      <c r="C772" s="97">
        <v>241</v>
      </c>
      <c r="D772" s="92"/>
      <c r="E772" s="92"/>
      <c r="F772" s="92"/>
      <c r="G772" s="96"/>
      <c r="H772" s="96"/>
      <c r="I772" s="92"/>
      <c r="J772" s="92"/>
      <c r="K772" s="92"/>
      <c r="L772" s="92"/>
      <c r="M772" s="92"/>
      <c r="N772" s="97">
        <v>1</v>
      </c>
      <c r="O772" s="97">
        <v>40</v>
      </c>
      <c r="P772" s="98">
        <f>SUM(SamplingData[[#This Row],[Winning Candidate]:[Under Votes]])</f>
        <v>458</v>
      </c>
      <c r="Q772" s="99">
        <f>IF(AND(SamplingData[[#This Row],[Total]]&lt;&gt; 0, NOT(ISBLANK(SamplingData[[#This Row],[Losing Candidate]]))),(SamplingData[[#This Row],[Total]]+SamplingData[[#This Row],[Winning Candidate]]-SamplingData[[#This Row],[Losing Candidate]])/(SamplingData[[#Totals],[Winning Candidate]]-SamplingData[[#Totals],[Losing Candidate]]), 0)</f>
        <v>1.6677983364454252E-2</v>
      </c>
      <c r="R772" s="99">
        <f>IF(AND(SamplingData[[#This Row],[Total]]&lt;&gt; 0, NOT(ISBLANK(SamplingData[[#This Row],[Candidate 3]]))),(SamplingData[[#This Row],[Total]]+SamplingData[[#This Row],[Winning Candidate]]-SamplingData[[#This Row],[Candidate 3]])/(SamplingData[[#Totals],[Winning Candidate]]-SamplingData[[#Totals],[Candidate 3]]), 0)</f>
        <v>0</v>
      </c>
      <c r="S772" s="99">
        <f>IF(AND(SamplingData[[#This Row],[Total]]&lt;&gt; 0, NOT(ISBLANK(SamplingData[[#This Row],[Candidate 4]]))),(SamplingData[[#This Row],[Total]]+SamplingData[[#This Row],[Winning Candidate]]-SamplingData[[#This Row],[Candidate 4]])/(SamplingData[[#Totals],[Winning Candidate]]-SamplingData[[#Totals],[Candidate 4]]), 0)</f>
        <v>0</v>
      </c>
      <c r="T772" s="99">
        <f>IF(AND(SamplingData[[#This Row],[Total]]&lt;&gt; 0, NOT(ISBLANK(SamplingData[[#This Row],[Candidate 5]]))),(SamplingData[[#This Row],[Total]]+SamplingData[[#This Row],[Winning Candidate]]-SamplingData[[#This Row],[Candidate 5]])/(SamplingData[[#Totals],[Winning Candidate]]-SamplingData[[#Totals],[Candidate 5]]), 0)</f>
        <v>0</v>
      </c>
      <c r="U772" s="99">
        <f>IF(AND(SamplingData[[#This Row],[Total]]&lt;&gt; 0, NOT(ISBLANK(SamplingData[[#This Row],[Candidate 6]]))),(SamplingData[[#This Row],[Total]]+SamplingData[[#This Row],[Losing Candidate]]-SamplingData[[#This Row],[Candidate 6]])/(SamplingData[[#Totals],[Winning Candidate]]-SamplingData[[#Totals],[Candidate 6]]), 0)</f>
        <v>0</v>
      </c>
      <c r="V772" s="99">
        <f>IF(AND(SamplingData[[#This Row],[Total]]&lt;&gt; 0, NOT(ISBLANK(SamplingData[[#This Row],[Candidate 7]]))),(SamplingData[[#This Row],[Total]]+SamplingData[[#This Row],[Winning Candidate]]-SamplingData[[#This Row],[Candidate 7]])/(SamplingData[[#Totals],[Winning Candidate]]-SamplingData[[#Totals],[Candidate 7]]), 0)</f>
        <v>0</v>
      </c>
      <c r="W772" s="99">
        <f>IF(AND(SamplingData[[#This Row],[Total]]&lt;&gt; 0, NOT(ISBLANK(SamplingData[[#This Row],[Candidate 8]]))),(SamplingData[[#This Row],[Total]]+SamplingData[[#This Row],[Winning Candidate]]-SamplingData[[#This Row],[Candidate 8]])/(SamplingData[[#Totals],[Winning Candidate]]-SamplingData[[#Totals],[Candidate 8]]), 0)</f>
        <v>0</v>
      </c>
      <c r="X7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2" s="99">
        <f>MAX(SamplingData[[#This Row],[Error Bound (up) - Max. possible relative overstatement - Losing Candidate]:[Error Bound (up) - Max. possible relative overstatement - Candidate 12]])</f>
        <v>1.6677983364454252E-2</v>
      </c>
      <c r="AC772" s="99">
        <f>IF(SamplingData[[#This Row],[Max Error Bound (up)]] = 0,0,SamplingData[[#This Row],[Max Error Bound (up)]]/SamplingData[[#Totals],[Max Error Bound (up)]])</f>
        <v>8.9295452066746764E-4</v>
      </c>
      <c r="AD772" s="103">
        <f>SUM($AC$5:AC772)</f>
        <v>0.69244646817173949</v>
      </c>
      <c r="AE772" s="99" t="str" cm="1">
        <f t="array" ref="AE772">IF(SamplingData[[#This Row],[up/U Selection Probability]] = 0, "Zero", TEXT(SamplingData[[#This Row],[Lower Range]], REPT("0",LEN('General Info'!$B$42))) &amp; " - " &amp; TEXT(SamplingData[[#This Row],[Upper Range]], REPT("0",LEN('General Info'!$B$42))))</f>
        <v>691554 - 692445</v>
      </c>
      <c r="AF772" s="99">
        <f>SamplingData[[#This Row],[Upper Range]]-SamplingData[[#This Row],[Span]]</f>
        <v>691553.51365107205</v>
      </c>
      <c r="AG772" s="99">
        <f>IF(ISNUMBER('General Info'!$B$42), ((SamplingData[[#This Row],[up/U Selection Probability]]) * 'General Info'!$B$44) - 1, 0)</f>
        <v>891.95452066746759</v>
      </c>
      <c r="AH772" s="99">
        <f>IF(ISNUMBER('General Info'!$B$42), (SamplingData[[#This Row],[Running (cumulative) sum]] * ('General Info'!$B$42 -'General Info'!$B$43 + 1)) + 'General Info'!$B$43 - 1, 0)</f>
        <v>692445.46817173949</v>
      </c>
      <c r="AI772" s="99" t="str">
        <f>IF(ISERROR(MATCH(SamplingData[[#This Row],[Batch by Type (p)]],SelectedPrecincts[Batch Name], 0)), "", INDEX(SelectedPrecincts[Draw], MATCH(SamplingData[[#This Row],[Batch by Type (p)]],SelectedPrecincts[Batch Name], 0)))</f>
        <v/>
      </c>
      <c r="AJ772" s="100">
        <f>IF(COUNTIF(SelectedPrecincts[Batch Name],SamplingData[[#This Row],[Batch by Type (p)]]) &lt;&gt; 0, COUNTIF(SelectedPrecincts[Batch Name],SamplingData[[#This Row],[Batch by Type (p)]]), 0)</f>
        <v>0</v>
      </c>
    </row>
    <row r="773" spans="1:36" ht="15" customHeight="1" x14ac:dyDescent="0.35">
      <c r="A773" s="97" t="s">
        <v>986</v>
      </c>
      <c r="B773" s="97">
        <v>198</v>
      </c>
      <c r="C773" s="97">
        <v>279</v>
      </c>
      <c r="D773" s="92"/>
      <c r="E773" s="92"/>
      <c r="F773" s="92"/>
      <c r="G773" s="96"/>
      <c r="H773" s="96"/>
      <c r="I773" s="92"/>
      <c r="J773" s="92"/>
      <c r="K773" s="92"/>
      <c r="L773" s="92"/>
      <c r="M773" s="92"/>
      <c r="N773" s="97">
        <v>0</v>
      </c>
      <c r="O773" s="97">
        <v>38</v>
      </c>
      <c r="P773" s="98">
        <f>SUM(SamplingData[[#This Row],[Winning Candidate]:[Under Votes]])</f>
        <v>515</v>
      </c>
      <c r="Q773" s="99">
        <f>IF(AND(SamplingData[[#This Row],[Total]]&lt;&gt; 0, NOT(ISBLANK(SamplingData[[#This Row],[Losing Candidate]]))),(SamplingData[[#This Row],[Total]]+SamplingData[[#This Row],[Winning Candidate]]-SamplingData[[#This Row],[Losing Candidate]])/(SamplingData[[#Totals],[Winning Candidate]]-SamplingData[[#Totals],[Losing Candidate]]), 0)</f>
        <v>1.8417925649295536E-2</v>
      </c>
      <c r="R773" s="99">
        <f>IF(AND(SamplingData[[#This Row],[Total]]&lt;&gt; 0, NOT(ISBLANK(SamplingData[[#This Row],[Candidate 3]]))),(SamplingData[[#This Row],[Total]]+SamplingData[[#This Row],[Winning Candidate]]-SamplingData[[#This Row],[Candidate 3]])/(SamplingData[[#Totals],[Winning Candidate]]-SamplingData[[#Totals],[Candidate 3]]), 0)</f>
        <v>0</v>
      </c>
      <c r="S773" s="99">
        <f>IF(AND(SamplingData[[#This Row],[Total]]&lt;&gt; 0, NOT(ISBLANK(SamplingData[[#This Row],[Candidate 4]]))),(SamplingData[[#This Row],[Total]]+SamplingData[[#This Row],[Winning Candidate]]-SamplingData[[#This Row],[Candidate 4]])/(SamplingData[[#Totals],[Winning Candidate]]-SamplingData[[#Totals],[Candidate 4]]), 0)</f>
        <v>0</v>
      </c>
      <c r="T773" s="99">
        <f>IF(AND(SamplingData[[#This Row],[Total]]&lt;&gt; 0, NOT(ISBLANK(SamplingData[[#This Row],[Candidate 5]]))),(SamplingData[[#This Row],[Total]]+SamplingData[[#This Row],[Winning Candidate]]-SamplingData[[#This Row],[Candidate 5]])/(SamplingData[[#Totals],[Winning Candidate]]-SamplingData[[#Totals],[Candidate 5]]), 0)</f>
        <v>0</v>
      </c>
      <c r="U773" s="99">
        <f>IF(AND(SamplingData[[#This Row],[Total]]&lt;&gt; 0, NOT(ISBLANK(SamplingData[[#This Row],[Candidate 6]]))),(SamplingData[[#This Row],[Total]]+SamplingData[[#This Row],[Losing Candidate]]-SamplingData[[#This Row],[Candidate 6]])/(SamplingData[[#Totals],[Winning Candidate]]-SamplingData[[#Totals],[Candidate 6]]), 0)</f>
        <v>0</v>
      </c>
      <c r="V773" s="99">
        <f>IF(AND(SamplingData[[#This Row],[Total]]&lt;&gt; 0, NOT(ISBLANK(SamplingData[[#This Row],[Candidate 7]]))),(SamplingData[[#This Row],[Total]]+SamplingData[[#This Row],[Winning Candidate]]-SamplingData[[#This Row],[Candidate 7]])/(SamplingData[[#Totals],[Winning Candidate]]-SamplingData[[#Totals],[Candidate 7]]), 0)</f>
        <v>0</v>
      </c>
      <c r="W773" s="99">
        <f>IF(AND(SamplingData[[#This Row],[Total]]&lt;&gt; 0, NOT(ISBLANK(SamplingData[[#This Row],[Candidate 8]]))),(SamplingData[[#This Row],[Total]]+SamplingData[[#This Row],[Winning Candidate]]-SamplingData[[#This Row],[Candidate 8]])/(SamplingData[[#Totals],[Winning Candidate]]-SamplingData[[#Totals],[Candidate 8]]), 0)</f>
        <v>0</v>
      </c>
      <c r="X7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3" s="99">
        <f>MAX(SamplingData[[#This Row],[Error Bound (up) - Max. possible relative overstatement - Losing Candidate]:[Error Bound (up) - Max. possible relative overstatement - Candidate 12]])</f>
        <v>1.8417925649295536E-2</v>
      </c>
      <c r="AC773" s="99">
        <f>IF(SamplingData[[#This Row],[Max Error Bound (up)]] = 0,0,SamplingData[[#This Row],[Max Error Bound (up)]]/SamplingData[[#Totals],[Max Error Bound (up)]])</f>
        <v>9.8611262587705085E-4</v>
      </c>
      <c r="AD773" s="103">
        <f>SUM($AC$5:AC773)</f>
        <v>0.69343258079761649</v>
      </c>
      <c r="AE773" s="99" t="str" cm="1">
        <f t="array" ref="AE773">IF(SamplingData[[#This Row],[up/U Selection Probability]] = 0, "Zero", TEXT(SamplingData[[#This Row],[Lower Range]], REPT("0",LEN('General Info'!$B$42))) &amp; " - " &amp; TEXT(SamplingData[[#This Row],[Upper Range]], REPT("0",LEN('General Info'!$B$42))))</f>
        <v>692446 - 693432</v>
      </c>
      <c r="AF773" s="99">
        <f>SamplingData[[#This Row],[Upper Range]]-SamplingData[[#This Row],[Span]]</f>
        <v>692446.46817173949</v>
      </c>
      <c r="AG773" s="99">
        <f>IF(ISNUMBER('General Info'!$B$42), ((SamplingData[[#This Row],[up/U Selection Probability]]) * 'General Info'!$B$44) - 1, 0)</f>
        <v>985.11262587705085</v>
      </c>
      <c r="AH773" s="99">
        <f>IF(ISNUMBER('General Info'!$B$42), (SamplingData[[#This Row],[Running (cumulative) sum]] * ('General Info'!$B$42 -'General Info'!$B$43 + 1)) + 'General Info'!$B$43 - 1, 0)</f>
        <v>693431.58079761651</v>
      </c>
      <c r="AI773" s="99" t="str">
        <f>IF(ISERROR(MATCH(SamplingData[[#This Row],[Batch by Type (p)]],SelectedPrecincts[Batch Name], 0)), "", INDEX(SelectedPrecincts[Draw], MATCH(SamplingData[[#This Row],[Batch by Type (p)]],SelectedPrecincts[Batch Name], 0)))</f>
        <v/>
      </c>
      <c r="AJ773" s="100">
        <f>IF(COUNTIF(SelectedPrecincts[Batch Name],SamplingData[[#This Row],[Batch by Type (p)]]) &lt;&gt; 0, COUNTIF(SelectedPrecincts[Batch Name],SamplingData[[#This Row],[Batch by Type (p)]]), 0)</f>
        <v>0</v>
      </c>
    </row>
    <row r="774" spans="1:36" ht="15" customHeight="1" x14ac:dyDescent="0.35">
      <c r="A774" s="97" t="s">
        <v>987</v>
      </c>
      <c r="B774" s="97">
        <v>198</v>
      </c>
      <c r="C774" s="97">
        <v>242</v>
      </c>
      <c r="D774" s="92"/>
      <c r="E774" s="92"/>
      <c r="F774" s="92"/>
      <c r="G774" s="96"/>
      <c r="H774" s="96"/>
      <c r="I774" s="92"/>
      <c r="J774" s="92"/>
      <c r="K774" s="92"/>
      <c r="L774" s="92"/>
      <c r="M774" s="92"/>
      <c r="N774" s="97">
        <v>1</v>
      </c>
      <c r="O774" s="97">
        <v>50</v>
      </c>
      <c r="P774" s="98">
        <f>SUM(SamplingData[[#This Row],[Winning Candidate]:[Under Votes]])</f>
        <v>491</v>
      </c>
      <c r="Q774" s="99">
        <f>IF(AND(SamplingData[[#This Row],[Total]]&lt;&gt; 0, NOT(ISBLANK(SamplingData[[#This Row],[Losing Candidate]]))),(SamplingData[[#This Row],[Total]]+SamplingData[[#This Row],[Winning Candidate]]-SamplingData[[#This Row],[Losing Candidate]])/(SamplingData[[#Totals],[Winning Candidate]]-SamplingData[[#Totals],[Losing Candidate]]), 0)</f>
        <v>1.8969614666440333E-2</v>
      </c>
      <c r="R774" s="99">
        <f>IF(AND(SamplingData[[#This Row],[Total]]&lt;&gt; 0, NOT(ISBLANK(SamplingData[[#This Row],[Candidate 3]]))),(SamplingData[[#This Row],[Total]]+SamplingData[[#This Row],[Winning Candidate]]-SamplingData[[#This Row],[Candidate 3]])/(SamplingData[[#Totals],[Winning Candidate]]-SamplingData[[#Totals],[Candidate 3]]), 0)</f>
        <v>0</v>
      </c>
      <c r="S774" s="99">
        <f>IF(AND(SamplingData[[#This Row],[Total]]&lt;&gt; 0, NOT(ISBLANK(SamplingData[[#This Row],[Candidate 4]]))),(SamplingData[[#This Row],[Total]]+SamplingData[[#This Row],[Winning Candidate]]-SamplingData[[#This Row],[Candidate 4]])/(SamplingData[[#Totals],[Winning Candidate]]-SamplingData[[#Totals],[Candidate 4]]), 0)</f>
        <v>0</v>
      </c>
      <c r="T774" s="99">
        <f>IF(AND(SamplingData[[#This Row],[Total]]&lt;&gt; 0, NOT(ISBLANK(SamplingData[[#This Row],[Candidate 5]]))),(SamplingData[[#This Row],[Total]]+SamplingData[[#This Row],[Winning Candidate]]-SamplingData[[#This Row],[Candidate 5]])/(SamplingData[[#Totals],[Winning Candidate]]-SamplingData[[#Totals],[Candidate 5]]), 0)</f>
        <v>0</v>
      </c>
      <c r="U774" s="99">
        <f>IF(AND(SamplingData[[#This Row],[Total]]&lt;&gt; 0, NOT(ISBLANK(SamplingData[[#This Row],[Candidate 6]]))),(SamplingData[[#This Row],[Total]]+SamplingData[[#This Row],[Losing Candidate]]-SamplingData[[#This Row],[Candidate 6]])/(SamplingData[[#Totals],[Winning Candidate]]-SamplingData[[#Totals],[Candidate 6]]), 0)</f>
        <v>0</v>
      </c>
      <c r="V774" s="99">
        <f>IF(AND(SamplingData[[#This Row],[Total]]&lt;&gt; 0, NOT(ISBLANK(SamplingData[[#This Row],[Candidate 7]]))),(SamplingData[[#This Row],[Total]]+SamplingData[[#This Row],[Winning Candidate]]-SamplingData[[#This Row],[Candidate 7]])/(SamplingData[[#Totals],[Winning Candidate]]-SamplingData[[#Totals],[Candidate 7]]), 0)</f>
        <v>0</v>
      </c>
      <c r="W774" s="99">
        <f>IF(AND(SamplingData[[#This Row],[Total]]&lt;&gt; 0, NOT(ISBLANK(SamplingData[[#This Row],[Candidate 8]]))),(SamplingData[[#This Row],[Total]]+SamplingData[[#This Row],[Winning Candidate]]-SamplingData[[#This Row],[Candidate 8]])/(SamplingData[[#Totals],[Winning Candidate]]-SamplingData[[#Totals],[Candidate 8]]), 0)</f>
        <v>0</v>
      </c>
      <c r="X7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4" s="99">
        <f>MAX(SamplingData[[#This Row],[Error Bound (up) - Max. possible relative overstatement - Losing Candidate]:[Error Bound (up) - Max. possible relative overstatement - Candidate 12]])</f>
        <v>1.8969614666440333E-2</v>
      </c>
      <c r="AC774" s="99">
        <f>IF(SamplingData[[#This Row],[Max Error Bound (up)]] = 0,0,SamplingData[[#This Row],[Max Error Bound (up)]]/SamplingData[[#Totals],[Max Error Bound (up)]])</f>
        <v>1.0156505616752112E-3</v>
      </c>
      <c r="AD774" s="103">
        <f>SUM($AC$5:AC774)</f>
        <v>0.69444823135929168</v>
      </c>
      <c r="AE774" s="99" t="str" cm="1">
        <f t="array" ref="AE774">IF(SamplingData[[#This Row],[up/U Selection Probability]] = 0, "Zero", TEXT(SamplingData[[#This Row],[Lower Range]], REPT("0",LEN('General Info'!$B$42))) &amp; " - " &amp; TEXT(SamplingData[[#This Row],[Upper Range]], REPT("0",LEN('General Info'!$B$42))))</f>
        <v>693433 - 694447</v>
      </c>
      <c r="AF774" s="99">
        <f>SamplingData[[#This Row],[Upper Range]]-SamplingData[[#This Row],[Span]]</f>
        <v>693432.58079761651</v>
      </c>
      <c r="AG774" s="99">
        <f>IF(ISNUMBER('General Info'!$B$42), ((SamplingData[[#This Row],[up/U Selection Probability]]) * 'General Info'!$B$44) - 1, 0)</f>
        <v>1014.6505616752112</v>
      </c>
      <c r="AH774" s="99">
        <f>IF(ISNUMBER('General Info'!$B$42), (SamplingData[[#This Row],[Running (cumulative) sum]] * ('General Info'!$B$42 -'General Info'!$B$43 + 1)) + 'General Info'!$B$43 - 1, 0)</f>
        <v>694447.23135929171</v>
      </c>
      <c r="AI774" s="99" t="str">
        <f>IF(ISERROR(MATCH(SamplingData[[#This Row],[Batch by Type (p)]],SelectedPrecincts[Batch Name], 0)), "", INDEX(SelectedPrecincts[Draw], MATCH(SamplingData[[#This Row],[Batch by Type (p)]],SelectedPrecincts[Batch Name], 0)))</f>
        <v/>
      </c>
      <c r="AJ774" s="100">
        <f>IF(COUNTIF(SelectedPrecincts[Batch Name],SamplingData[[#This Row],[Batch by Type (p)]]) &lt;&gt; 0, COUNTIF(SelectedPrecincts[Batch Name],SamplingData[[#This Row],[Batch by Type (p)]]), 0)</f>
        <v>0</v>
      </c>
    </row>
    <row r="775" spans="1:36" ht="15" customHeight="1" x14ac:dyDescent="0.35">
      <c r="A775" s="97" t="s">
        <v>988</v>
      </c>
      <c r="B775" s="97">
        <v>181</v>
      </c>
      <c r="C775" s="97">
        <v>257</v>
      </c>
      <c r="D775" s="92"/>
      <c r="E775" s="92"/>
      <c r="F775" s="92"/>
      <c r="G775" s="96"/>
      <c r="H775" s="96"/>
      <c r="I775" s="92"/>
      <c r="J775" s="92"/>
      <c r="K775" s="92"/>
      <c r="L775" s="92"/>
      <c r="M775" s="92"/>
      <c r="N775" s="97">
        <v>0</v>
      </c>
      <c r="O775" s="97">
        <v>40</v>
      </c>
      <c r="P775" s="98">
        <f>SUM(SamplingData[[#This Row],[Winning Candidate]:[Under Votes]])</f>
        <v>478</v>
      </c>
      <c r="Q775" s="99">
        <f>IF(AND(SamplingData[[#This Row],[Total]]&lt;&gt; 0, NOT(ISBLANK(SamplingData[[#This Row],[Losing Candidate]]))),(SamplingData[[#This Row],[Total]]+SamplingData[[#This Row],[Winning Candidate]]-SamplingData[[#This Row],[Losing Candidate]])/(SamplingData[[#Totals],[Winning Candidate]]-SamplingData[[#Totals],[Losing Candidate]]), 0)</f>
        <v>1.7059921914785267E-2</v>
      </c>
      <c r="R775" s="99">
        <f>IF(AND(SamplingData[[#This Row],[Total]]&lt;&gt; 0, NOT(ISBLANK(SamplingData[[#This Row],[Candidate 3]]))),(SamplingData[[#This Row],[Total]]+SamplingData[[#This Row],[Winning Candidate]]-SamplingData[[#This Row],[Candidate 3]])/(SamplingData[[#Totals],[Winning Candidate]]-SamplingData[[#Totals],[Candidate 3]]), 0)</f>
        <v>0</v>
      </c>
      <c r="S775" s="99">
        <f>IF(AND(SamplingData[[#This Row],[Total]]&lt;&gt; 0, NOT(ISBLANK(SamplingData[[#This Row],[Candidate 4]]))),(SamplingData[[#This Row],[Total]]+SamplingData[[#This Row],[Winning Candidate]]-SamplingData[[#This Row],[Candidate 4]])/(SamplingData[[#Totals],[Winning Candidate]]-SamplingData[[#Totals],[Candidate 4]]), 0)</f>
        <v>0</v>
      </c>
      <c r="T775" s="99">
        <f>IF(AND(SamplingData[[#This Row],[Total]]&lt;&gt; 0, NOT(ISBLANK(SamplingData[[#This Row],[Candidate 5]]))),(SamplingData[[#This Row],[Total]]+SamplingData[[#This Row],[Winning Candidate]]-SamplingData[[#This Row],[Candidate 5]])/(SamplingData[[#Totals],[Winning Candidate]]-SamplingData[[#Totals],[Candidate 5]]), 0)</f>
        <v>0</v>
      </c>
      <c r="U775" s="99">
        <f>IF(AND(SamplingData[[#This Row],[Total]]&lt;&gt; 0, NOT(ISBLANK(SamplingData[[#This Row],[Candidate 6]]))),(SamplingData[[#This Row],[Total]]+SamplingData[[#This Row],[Losing Candidate]]-SamplingData[[#This Row],[Candidate 6]])/(SamplingData[[#Totals],[Winning Candidate]]-SamplingData[[#Totals],[Candidate 6]]), 0)</f>
        <v>0</v>
      </c>
      <c r="V775" s="99">
        <f>IF(AND(SamplingData[[#This Row],[Total]]&lt;&gt; 0, NOT(ISBLANK(SamplingData[[#This Row],[Candidate 7]]))),(SamplingData[[#This Row],[Total]]+SamplingData[[#This Row],[Winning Candidate]]-SamplingData[[#This Row],[Candidate 7]])/(SamplingData[[#Totals],[Winning Candidate]]-SamplingData[[#Totals],[Candidate 7]]), 0)</f>
        <v>0</v>
      </c>
      <c r="W775" s="99">
        <f>IF(AND(SamplingData[[#This Row],[Total]]&lt;&gt; 0, NOT(ISBLANK(SamplingData[[#This Row],[Candidate 8]]))),(SamplingData[[#This Row],[Total]]+SamplingData[[#This Row],[Winning Candidate]]-SamplingData[[#This Row],[Candidate 8]])/(SamplingData[[#Totals],[Winning Candidate]]-SamplingData[[#Totals],[Candidate 8]]), 0)</f>
        <v>0</v>
      </c>
      <c r="X7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5" s="99">
        <f>MAX(SamplingData[[#This Row],[Error Bound (up) - Max. possible relative overstatement - Losing Candidate]:[Error Bound (up) - Max. possible relative overstatement - Candidate 12]])</f>
        <v>1.7059921914785267E-2</v>
      </c>
      <c r="AC775" s="99">
        <f>IF(SamplingData[[#This Row],[Max Error Bound (up)]] = 0,0,SamplingData[[#This Row],[Max Error Bound (up)]]/SamplingData[[#Totals],[Max Error Bound (up)]])</f>
        <v>9.1340386083542499E-4</v>
      </c>
      <c r="AD775" s="103">
        <f>SUM($AC$5:AC775)</f>
        <v>0.69536163522012706</v>
      </c>
      <c r="AE775" s="99" t="str" cm="1">
        <f t="array" ref="AE775">IF(SamplingData[[#This Row],[up/U Selection Probability]] = 0, "Zero", TEXT(SamplingData[[#This Row],[Lower Range]], REPT("0",LEN('General Info'!$B$42))) &amp; " - " &amp; TEXT(SamplingData[[#This Row],[Upper Range]], REPT("0",LEN('General Info'!$B$42))))</f>
        <v>694448 - 695361</v>
      </c>
      <c r="AF775" s="99">
        <f>SamplingData[[#This Row],[Upper Range]]-SamplingData[[#This Row],[Span]]</f>
        <v>694448.23135929159</v>
      </c>
      <c r="AG775" s="99">
        <f>IF(ISNUMBER('General Info'!$B$42), ((SamplingData[[#This Row],[up/U Selection Probability]]) * 'General Info'!$B$44) - 1, 0)</f>
        <v>912.40386083542501</v>
      </c>
      <c r="AH775" s="99">
        <f>IF(ISNUMBER('General Info'!$B$42), (SamplingData[[#This Row],[Running (cumulative) sum]] * ('General Info'!$B$42 -'General Info'!$B$43 + 1)) + 'General Info'!$B$43 - 1, 0)</f>
        <v>695360.63522012706</v>
      </c>
      <c r="AI775" s="99" t="str">
        <f>IF(ISERROR(MATCH(SamplingData[[#This Row],[Batch by Type (p)]],SelectedPrecincts[Batch Name], 0)), "", INDEX(SelectedPrecincts[Draw], MATCH(SamplingData[[#This Row],[Batch by Type (p)]],SelectedPrecincts[Batch Name], 0)))</f>
        <v/>
      </c>
      <c r="AJ775" s="100">
        <f>IF(COUNTIF(SelectedPrecincts[Batch Name],SamplingData[[#This Row],[Batch by Type (p)]]) &lt;&gt; 0, COUNTIF(SelectedPrecincts[Batch Name],SamplingData[[#This Row],[Batch by Type (p)]]), 0)</f>
        <v>0</v>
      </c>
    </row>
    <row r="776" spans="1:36" ht="15" customHeight="1" x14ac:dyDescent="0.35">
      <c r="A776" s="97" t="s">
        <v>989</v>
      </c>
      <c r="B776" s="97">
        <v>335</v>
      </c>
      <c r="C776" s="97">
        <v>87</v>
      </c>
      <c r="D776" s="92"/>
      <c r="E776" s="92"/>
      <c r="F776" s="92"/>
      <c r="G776" s="96"/>
      <c r="H776" s="96"/>
      <c r="I776" s="92"/>
      <c r="J776" s="92"/>
      <c r="K776" s="92"/>
      <c r="L776" s="92"/>
      <c r="M776" s="92"/>
      <c r="N776" s="97">
        <v>0</v>
      </c>
      <c r="O776" s="97">
        <v>37</v>
      </c>
      <c r="P776" s="98">
        <f>SUM(SamplingData[[#This Row],[Winning Candidate]:[Under Votes]])</f>
        <v>459</v>
      </c>
      <c r="Q776" s="99">
        <f>IF(AND(SamplingData[[#This Row],[Total]]&lt;&gt; 0, NOT(ISBLANK(SamplingData[[#This Row],[Losing Candidate]]))),(SamplingData[[#This Row],[Total]]+SamplingData[[#This Row],[Winning Candidate]]-SamplingData[[#This Row],[Losing Candidate]])/(SamplingData[[#Totals],[Winning Candidate]]-SamplingData[[#Totals],[Losing Candidate]]), 0)</f>
        <v>3.0003395009336277E-2</v>
      </c>
      <c r="R776" s="99">
        <f>IF(AND(SamplingData[[#This Row],[Total]]&lt;&gt; 0, NOT(ISBLANK(SamplingData[[#This Row],[Candidate 3]]))),(SamplingData[[#This Row],[Total]]+SamplingData[[#This Row],[Winning Candidate]]-SamplingData[[#This Row],[Candidate 3]])/(SamplingData[[#Totals],[Winning Candidate]]-SamplingData[[#Totals],[Candidate 3]]), 0)</f>
        <v>0</v>
      </c>
      <c r="S776" s="99">
        <f>IF(AND(SamplingData[[#This Row],[Total]]&lt;&gt; 0, NOT(ISBLANK(SamplingData[[#This Row],[Candidate 4]]))),(SamplingData[[#This Row],[Total]]+SamplingData[[#This Row],[Winning Candidate]]-SamplingData[[#This Row],[Candidate 4]])/(SamplingData[[#Totals],[Winning Candidate]]-SamplingData[[#Totals],[Candidate 4]]), 0)</f>
        <v>0</v>
      </c>
      <c r="T776" s="99">
        <f>IF(AND(SamplingData[[#This Row],[Total]]&lt;&gt; 0, NOT(ISBLANK(SamplingData[[#This Row],[Candidate 5]]))),(SamplingData[[#This Row],[Total]]+SamplingData[[#This Row],[Winning Candidate]]-SamplingData[[#This Row],[Candidate 5]])/(SamplingData[[#Totals],[Winning Candidate]]-SamplingData[[#Totals],[Candidate 5]]), 0)</f>
        <v>0</v>
      </c>
      <c r="U776" s="99">
        <f>IF(AND(SamplingData[[#This Row],[Total]]&lt;&gt; 0, NOT(ISBLANK(SamplingData[[#This Row],[Candidate 6]]))),(SamplingData[[#This Row],[Total]]+SamplingData[[#This Row],[Losing Candidate]]-SamplingData[[#This Row],[Candidate 6]])/(SamplingData[[#Totals],[Winning Candidate]]-SamplingData[[#Totals],[Candidate 6]]), 0)</f>
        <v>0</v>
      </c>
      <c r="V776" s="99">
        <f>IF(AND(SamplingData[[#This Row],[Total]]&lt;&gt; 0, NOT(ISBLANK(SamplingData[[#This Row],[Candidate 7]]))),(SamplingData[[#This Row],[Total]]+SamplingData[[#This Row],[Winning Candidate]]-SamplingData[[#This Row],[Candidate 7]])/(SamplingData[[#Totals],[Winning Candidate]]-SamplingData[[#Totals],[Candidate 7]]), 0)</f>
        <v>0</v>
      </c>
      <c r="W776" s="99">
        <f>IF(AND(SamplingData[[#This Row],[Total]]&lt;&gt; 0, NOT(ISBLANK(SamplingData[[#This Row],[Candidate 8]]))),(SamplingData[[#This Row],[Total]]+SamplingData[[#This Row],[Winning Candidate]]-SamplingData[[#This Row],[Candidate 8]])/(SamplingData[[#Totals],[Winning Candidate]]-SamplingData[[#Totals],[Candidate 8]]), 0)</f>
        <v>0</v>
      </c>
      <c r="X7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6" s="99">
        <f>MAX(SamplingData[[#This Row],[Error Bound (up) - Max. possible relative overstatement - Losing Candidate]:[Error Bound (up) - Max. possible relative overstatement - Candidate 12]])</f>
        <v>3.0003395009336277E-2</v>
      </c>
      <c r="AC776" s="99">
        <f>IF(SamplingData[[#This Row],[Max Error Bound (up)]] = 0,0,SamplingData[[#This Row],[Max Error Bound (up)]]/SamplingData[[#Totals],[Max Error Bound (up)]])</f>
        <v>1.6064092776384214E-3</v>
      </c>
      <c r="AD776" s="103">
        <f>SUM($AC$5:AC776)</f>
        <v>0.6969680444977655</v>
      </c>
      <c r="AE776" s="99" t="str" cm="1">
        <f t="array" ref="AE776">IF(SamplingData[[#This Row],[up/U Selection Probability]] = 0, "Zero", TEXT(SamplingData[[#This Row],[Lower Range]], REPT("0",LEN('General Info'!$B$42))) &amp; " - " &amp; TEXT(SamplingData[[#This Row],[Upper Range]], REPT("0",LEN('General Info'!$B$42))))</f>
        <v>695362 - 696967</v>
      </c>
      <c r="AF776" s="99">
        <f>SamplingData[[#This Row],[Upper Range]]-SamplingData[[#This Row],[Span]]</f>
        <v>695361.63522012706</v>
      </c>
      <c r="AG776" s="99">
        <f>IF(ISNUMBER('General Info'!$B$42), ((SamplingData[[#This Row],[up/U Selection Probability]]) * 'General Info'!$B$44) - 1, 0)</f>
        <v>1605.4092776384214</v>
      </c>
      <c r="AH776" s="99">
        <f>IF(ISNUMBER('General Info'!$B$42), (SamplingData[[#This Row],[Running (cumulative) sum]] * ('General Info'!$B$42 -'General Info'!$B$43 + 1)) + 'General Info'!$B$43 - 1, 0)</f>
        <v>696967.04449776548</v>
      </c>
      <c r="AI776" s="99" t="str">
        <f>IF(ISERROR(MATCH(SamplingData[[#This Row],[Batch by Type (p)]],SelectedPrecincts[Batch Name], 0)), "", INDEX(SelectedPrecincts[Draw], MATCH(SamplingData[[#This Row],[Batch by Type (p)]],SelectedPrecincts[Batch Name], 0)))</f>
        <v/>
      </c>
      <c r="AJ776" s="100">
        <f>IF(COUNTIF(SelectedPrecincts[Batch Name],SamplingData[[#This Row],[Batch by Type (p)]]) &lt;&gt; 0, COUNTIF(SelectedPrecincts[Batch Name],SamplingData[[#This Row],[Batch by Type (p)]]), 0)</f>
        <v>0</v>
      </c>
    </row>
    <row r="777" spans="1:36" ht="15" customHeight="1" x14ac:dyDescent="0.35">
      <c r="A777" s="97" t="s">
        <v>990</v>
      </c>
      <c r="B777" s="97">
        <v>270</v>
      </c>
      <c r="C777" s="97">
        <v>136</v>
      </c>
      <c r="D777" s="92"/>
      <c r="E777" s="92"/>
      <c r="F777" s="92"/>
      <c r="G777" s="96"/>
      <c r="H777" s="96"/>
      <c r="I777" s="92"/>
      <c r="J777" s="92"/>
      <c r="K777" s="92"/>
      <c r="L777" s="92"/>
      <c r="M777" s="92"/>
      <c r="N777" s="97">
        <v>0</v>
      </c>
      <c r="O777" s="97">
        <v>39</v>
      </c>
      <c r="P777" s="98">
        <f>SUM(SamplingData[[#This Row],[Winning Candidate]:[Under Votes]])</f>
        <v>445</v>
      </c>
      <c r="Q777" s="99">
        <f>IF(AND(SamplingData[[#This Row],[Total]]&lt;&gt; 0, NOT(ISBLANK(SamplingData[[#This Row],[Losing Candidate]]))),(SamplingData[[#This Row],[Total]]+SamplingData[[#This Row],[Winning Candidate]]-SamplingData[[#This Row],[Losing Candidate]])/(SamplingData[[#Totals],[Winning Candidate]]-SamplingData[[#Totals],[Losing Candidate]]), 0)</f>
        <v>2.4571380071295196E-2</v>
      </c>
      <c r="R777" s="99">
        <f>IF(AND(SamplingData[[#This Row],[Total]]&lt;&gt; 0, NOT(ISBLANK(SamplingData[[#This Row],[Candidate 3]]))),(SamplingData[[#This Row],[Total]]+SamplingData[[#This Row],[Winning Candidate]]-SamplingData[[#This Row],[Candidate 3]])/(SamplingData[[#Totals],[Winning Candidate]]-SamplingData[[#Totals],[Candidate 3]]), 0)</f>
        <v>0</v>
      </c>
      <c r="S777" s="99">
        <f>IF(AND(SamplingData[[#This Row],[Total]]&lt;&gt; 0, NOT(ISBLANK(SamplingData[[#This Row],[Candidate 4]]))),(SamplingData[[#This Row],[Total]]+SamplingData[[#This Row],[Winning Candidate]]-SamplingData[[#This Row],[Candidate 4]])/(SamplingData[[#Totals],[Winning Candidate]]-SamplingData[[#Totals],[Candidate 4]]), 0)</f>
        <v>0</v>
      </c>
      <c r="T777" s="99">
        <f>IF(AND(SamplingData[[#This Row],[Total]]&lt;&gt; 0, NOT(ISBLANK(SamplingData[[#This Row],[Candidate 5]]))),(SamplingData[[#This Row],[Total]]+SamplingData[[#This Row],[Winning Candidate]]-SamplingData[[#This Row],[Candidate 5]])/(SamplingData[[#Totals],[Winning Candidate]]-SamplingData[[#Totals],[Candidate 5]]), 0)</f>
        <v>0</v>
      </c>
      <c r="U777" s="99">
        <f>IF(AND(SamplingData[[#This Row],[Total]]&lt;&gt; 0, NOT(ISBLANK(SamplingData[[#This Row],[Candidate 6]]))),(SamplingData[[#This Row],[Total]]+SamplingData[[#This Row],[Losing Candidate]]-SamplingData[[#This Row],[Candidate 6]])/(SamplingData[[#Totals],[Winning Candidate]]-SamplingData[[#Totals],[Candidate 6]]), 0)</f>
        <v>0</v>
      </c>
      <c r="V777" s="99">
        <f>IF(AND(SamplingData[[#This Row],[Total]]&lt;&gt; 0, NOT(ISBLANK(SamplingData[[#This Row],[Candidate 7]]))),(SamplingData[[#This Row],[Total]]+SamplingData[[#This Row],[Winning Candidate]]-SamplingData[[#This Row],[Candidate 7]])/(SamplingData[[#Totals],[Winning Candidate]]-SamplingData[[#Totals],[Candidate 7]]), 0)</f>
        <v>0</v>
      </c>
      <c r="W777" s="99">
        <f>IF(AND(SamplingData[[#This Row],[Total]]&lt;&gt; 0, NOT(ISBLANK(SamplingData[[#This Row],[Candidate 8]]))),(SamplingData[[#This Row],[Total]]+SamplingData[[#This Row],[Winning Candidate]]-SamplingData[[#This Row],[Candidate 8]])/(SamplingData[[#Totals],[Winning Candidate]]-SamplingData[[#Totals],[Candidate 8]]), 0)</f>
        <v>0</v>
      </c>
      <c r="X7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7" s="99">
        <f>MAX(SamplingData[[#This Row],[Error Bound (up) - Max. possible relative overstatement - Losing Candidate]:[Error Bound (up) - Max. possible relative overstatement - Candidate 12]])</f>
        <v>2.4571380071295196E-2</v>
      </c>
      <c r="AC777" s="99">
        <f>IF(SamplingData[[#This Row],[Max Error Bound (up)]] = 0,0,SamplingData[[#This Row],[Max Error Bound (up)]]/SamplingData[[#Totals],[Max Error Bound (up)]])</f>
        <v>1.315574217471918E-3</v>
      </c>
      <c r="AD777" s="103">
        <f>SUM($AC$5:AC777)</f>
        <v>0.69828361871523748</v>
      </c>
      <c r="AE777" s="99" t="str" cm="1">
        <f t="array" ref="AE777">IF(SamplingData[[#This Row],[up/U Selection Probability]] = 0, "Zero", TEXT(SamplingData[[#This Row],[Lower Range]], REPT("0",LEN('General Info'!$B$42))) &amp; " - " &amp; TEXT(SamplingData[[#This Row],[Upper Range]], REPT("0",LEN('General Info'!$B$42))))</f>
        <v>696968 - 698283</v>
      </c>
      <c r="AF777" s="99">
        <f>SamplingData[[#This Row],[Upper Range]]-SamplingData[[#This Row],[Span]]</f>
        <v>696968.0444977656</v>
      </c>
      <c r="AG777" s="99">
        <f>IF(ISNUMBER('General Info'!$B$42), ((SamplingData[[#This Row],[up/U Selection Probability]]) * 'General Info'!$B$44) - 1, 0)</f>
        <v>1314.574217471918</v>
      </c>
      <c r="AH777" s="99">
        <f>IF(ISNUMBER('General Info'!$B$42), (SamplingData[[#This Row],[Running (cumulative) sum]] * ('General Info'!$B$42 -'General Info'!$B$43 + 1)) + 'General Info'!$B$43 - 1, 0)</f>
        <v>698282.61871523748</v>
      </c>
      <c r="AI777" s="99" t="str">
        <f>IF(ISERROR(MATCH(SamplingData[[#This Row],[Batch by Type (p)]],SelectedPrecincts[Batch Name], 0)), "", INDEX(SelectedPrecincts[Draw], MATCH(SamplingData[[#This Row],[Batch by Type (p)]],SelectedPrecincts[Batch Name], 0)))</f>
        <v/>
      </c>
      <c r="AJ777" s="100">
        <f>IF(COUNTIF(SelectedPrecincts[Batch Name],SamplingData[[#This Row],[Batch by Type (p)]]) &lt;&gt; 0, COUNTIF(SelectedPrecincts[Batch Name],SamplingData[[#This Row],[Batch by Type (p)]]), 0)</f>
        <v>0</v>
      </c>
    </row>
    <row r="778" spans="1:36" ht="15" customHeight="1" x14ac:dyDescent="0.35">
      <c r="A778" s="97" t="s">
        <v>991</v>
      </c>
      <c r="B778" s="97">
        <v>309</v>
      </c>
      <c r="C778" s="97">
        <v>70</v>
      </c>
      <c r="D778" s="92"/>
      <c r="E778" s="92"/>
      <c r="F778" s="92"/>
      <c r="G778" s="96"/>
      <c r="H778" s="96"/>
      <c r="I778" s="92"/>
      <c r="J778" s="92"/>
      <c r="K778" s="92"/>
      <c r="L778" s="92"/>
      <c r="M778" s="92"/>
      <c r="N778" s="97">
        <v>0</v>
      </c>
      <c r="O778" s="97">
        <v>35</v>
      </c>
      <c r="P778" s="98">
        <f>SUM(SamplingData[[#This Row],[Winning Candidate]:[Under Votes]])</f>
        <v>414</v>
      </c>
      <c r="Q778" s="99">
        <f>IF(AND(SamplingData[[#This Row],[Total]]&lt;&gt; 0, NOT(ISBLANK(SamplingData[[#This Row],[Losing Candidate]]))),(SamplingData[[#This Row],[Total]]+SamplingData[[#This Row],[Winning Candidate]]-SamplingData[[#This Row],[Losing Candidate]])/(SamplingData[[#Totals],[Winning Candidate]]-SamplingData[[#Totals],[Losing Candidate]]), 0)</f>
        <v>2.7711763707350196E-2</v>
      </c>
      <c r="R778" s="99">
        <f>IF(AND(SamplingData[[#This Row],[Total]]&lt;&gt; 0, NOT(ISBLANK(SamplingData[[#This Row],[Candidate 3]]))),(SamplingData[[#This Row],[Total]]+SamplingData[[#This Row],[Winning Candidate]]-SamplingData[[#This Row],[Candidate 3]])/(SamplingData[[#Totals],[Winning Candidate]]-SamplingData[[#Totals],[Candidate 3]]), 0)</f>
        <v>0</v>
      </c>
      <c r="S778" s="99">
        <f>IF(AND(SamplingData[[#This Row],[Total]]&lt;&gt; 0, NOT(ISBLANK(SamplingData[[#This Row],[Candidate 4]]))),(SamplingData[[#This Row],[Total]]+SamplingData[[#This Row],[Winning Candidate]]-SamplingData[[#This Row],[Candidate 4]])/(SamplingData[[#Totals],[Winning Candidate]]-SamplingData[[#Totals],[Candidate 4]]), 0)</f>
        <v>0</v>
      </c>
      <c r="T778" s="99">
        <f>IF(AND(SamplingData[[#This Row],[Total]]&lt;&gt; 0, NOT(ISBLANK(SamplingData[[#This Row],[Candidate 5]]))),(SamplingData[[#This Row],[Total]]+SamplingData[[#This Row],[Winning Candidate]]-SamplingData[[#This Row],[Candidate 5]])/(SamplingData[[#Totals],[Winning Candidate]]-SamplingData[[#Totals],[Candidate 5]]), 0)</f>
        <v>0</v>
      </c>
      <c r="U778" s="99">
        <f>IF(AND(SamplingData[[#This Row],[Total]]&lt;&gt; 0, NOT(ISBLANK(SamplingData[[#This Row],[Candidate 6]]))),(SamplingData[[#This Row],[Total]]+SamplingData[[#This Row],[Losing Candidate]]-SamplingData[[#This Row],[Candidate 6]])/(SamplingData[[#Totals],[Winning Candidate]]-SamplingData[[#Totals],[Candidate 6]]), 0)</f>
        <v>0</v>
      </c>
      <c r="V778" s="99">
        <f>IF(AND(SamplingData[[#This Row],[Total]]&lt;&gt; 0, NOT(ISBLANK(SamplingData[[#This Row],[Candidate 7]]))),(SamplingData[[#This Row],[Total]]+SamplingData[[#This Row],[Winning Candidate]]-SamplingData[[#This Row],[Candidate 7]])/(SamplingData[[#Totals],[Winning Candidate]]-SamplingData[[#Totals],[Candidate 7]]), 0)</f>
        <v>0</v>
      </c>
      <c r="W778" s="99">
        <f>IF(AND(SamplingData[[#This Row],[Total]]&lt;&gt; 0, NOT(ISBLANK(SamplingData[[#This Row],[Candidate 8]]))),(SamplingData[[#This Row],[Total]]+SamplingData[[#This Row],[Winning Candidate]]-SamplingData[[#This Row],[Candidate 8]])/(SamplingData[[#Totals],[Winning Candidate]]-SamplingData[[#Totals],[Candidate 8]]), 0)</f>
        <v>0</v>
      </c>
      <c r="X7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8" s="99">
        <f>MAX(SamplingData[[#This Row],[Error Bound (up) - Max. possible relative overstatement - Losing Candidate]:[Error Bound (up) - Max. possible relative overstatement - Candidate 12]])</f>
        <v>2.7711763707350196E-2</v>
      </c>
      <c r="AC778" s="99">
        <f>IF(SamplingData[[#This Row],[Max Error Bound (up)]] = 0,0,SamplingData[[#This Row],[Max Error Bound (up)]]/SamplingData[[#Totals],[Max Error Bound (up)]])</f>
        <v>1.4837132366306777E-3</v>
      </c>
      <c r="AD778" s="103">
        <f>SUM($AC$5:AC778)</f>
        <v>0.69976733195186813</v>
      </c>
      <c r="AE778" s="99" t="str" cm="1">
        <f t="array" ref="AE778">IF(SamplingData[[#This Row],[up/U Selection Probability]] = 0, "Zero", TEXT(SamplingData[[#This Row],[Lower Range]], REPT("0",LEN('General Info'!$B$42))) &amp; " - " &amp; TEXT(SamplingData[[#This Row],[Upper Range]], REPT("0",LEN('General Info'!$B$42))))</f>
        <v>698284 - 699766</v>
      </c>
      <c r="AF778" s="99">
        <f>SamplingData[[#This Row],[Upper Range]]-SamplingData[[#This Row],[Span]]</f>
        <v>698283.61871523748</v>
      </c>
      <c r="AG778" s="99">
        <f>IF(ISNUMBER('General Info'!$B$42), ((SamplingData[[#This Row],[up/U Selection Probability]]) * 'General Info'!$B$44) - 1, 0)</f>
        <v>1482.7132366306778</v>
      </c>
      <c r="AH778" s="99">
        <f>IF(ISNUMBER('General Info'!$B$42), (SamplingData[[#This Row],[Running (cumulative) sum]] * ('General Info'!$B$42 -'General Info'!$B$43 + 1)) + 'General Info'!$B$43 - 1, 0)</f>
        <v>699766.33195186814</v>
      </c>
      <c r="AI778" s="99" t="str">
        <f>IF(ISERROR(MATCH(SamplingData[[#This Row],[Batch by Type (p)]],SelectedPrecincts[Batch Name], 0)), "", INDEX(SelectedPrecincts[Draw], MATCH(SamplingData[[#This Row],[Batch by Type (p)]],SelectedPrecincts[Batch Name], 0)))</f>
        <v/>
      </c>
      <c r="AJ778" s="100">
        <f>IF(COUNTIF(SelectedPrecincts[Batch Name],SamplingData[[#This Row],[Batch by Type (p)]]) &lt;&gt; 0, COUNTIF(SelectedPrecincts[Batch Name],SamplingData[[#This Row],[Batch by Type (p)]]), 0)</f>
        <v>0</v>
      </c>
    </row>
    <row r="779" spans="1:36" ht="15" customHeight="1" x14ac:dyDescent="0.35">
      <c r="A779" s="97" t="s">
        <v>992</v>
      </c>
      <c r="B779" s="97">
        <v>284</v>
      </c>
      <c r="C779" s="97">
        <v>93</v>
      </c>
      <c r="D779" s="92"/>
      <c r="E779" s="92"/>
      <c r="F779" s="92"/>
      <c r="G779" s="96"/>
      <c r="H779" s="96"/>
      <c r="I779" s="92"/>
      <c r="J779" s="92"/>
      <c r="K779" s="92"/>
      <c r="L779" s="92"/>
      <c r="M779" s="92"/>
      <c r="N779" s="97">
        <v>0</v>
      </c>
      <c r="O779" s="97">
        <v>24</v>
      </c>
      <c r="P779" s="98">
        <f>SUM(SamplingData[[#This Row],[Winning Candidate]:[Under Votes]])</f>
        <v>401</v>
      </c>
      <c r="Q779" s="99">
        <f>IF(AND(SamplingData[[#This Row],[Total]]&lt;&gt; 0, NOT(ISBLANK(SamplingData[[#This Row],[Losing Candidate]]))),(SamplingData[[#This Row],[Total]]+SamplingData[[#This Row],[Winning Candidate]]-SamplingData[[#This Row],[Losing Candidate]])/(SamplingData[[#Totals],[Winning Candidate]]-SamplingData[[#Totals],[Losing Candidate]]), 0)</f>
        <v>2.5123069088439993E-2</v>
      </c>
      <c r="R779" s="99">
        <f>IF(AND(SamplingData[[#This Row],[Total]]&lt;&gt; 0, NOT(ISBLANK(SamplingData[[#This Row],[Candidate 3]]))),(SamplingData[[#This Row],[Total]]+SamplingData[[#This Row],[Winning Candidate]]-SamplingData[[#This Row],[Candidate 3]])/(SamplingData[[#Totals],[Winning Candidate]]-SamplingData[[#Totals],[Candidate 3]]), 0)</f>
        <v>0</v>
      </c>
      <c r="S779" s="99">
        <f>IF(AND(SamplingData[[#This Row],[Total]]&lt;&gt; 0, NOT(ISBLANK(SamplingData[[#This Row],[Candidate 4]]))),(SamplingData[[#This Row],[Total]]+SamplingData[[#This Row],[Winning Candidate]]-SamplingData[[#This Row],[Candidate 4]])/(SamplingData[[#Totals],[Winning Candidate]]-SamplingData[[#Totals],[Candidate 4]]), 0)</f>
        <v>0</v>
      </c>
      <c r="T779" s="99">
        <f>IF(AND(SamplingData[[#This Row],[Total]]&lt;&gt; 0, NOT(ISBLANK(SamplingData[[#This Row],[Candidate 5]]))),(SamplingData[[#This Row],[Total]]+SamplingData[[#This Row],[Winning Candidate]]-SamplingData[[#This Row],[Candidate 5]])/(SamplingData[[#Totals],[Winning Candidate]]-SamplingData[[#Totals],[Candidate 5]]), 0)</f>
        <v>0</v>
      </c>
      <c r="U779" s="99">
        <f>IF(AND(SamplingData[[#This Row],[Total]]&lt;&gt; 0, NOT(ISBLANK(SamplingData[[#This Row],[Candidate 6]]))),(SamplingData[[#This Row],[Total]]+SamplingData[[#This Row],[Losing Candidate]]-SamplingData[[#This Row],[Candidate 6]])/(SamplingData[[#Totals],[Winning Candidate]]-SamplingData[[#Totals],[Candidate 6]]), 0)</f>
        <v>0</v>
      </c>
      <c r="V779" s="99">
        <f>IF(AND(SamplingData[[#This Row],[Total]]&lt;&gt; 0, NOT(ISBLANK(SamplingData[[#This Row],[Candidate 7]]))),(SamplingData[[#This Row],[Total]]+SamplingData[[#This Row],[Winning Candidate]]-SamplingData[[#This Row],[Candidate 7]])/(SamplingData[[#Totals],[Winning Candidate]]-SamplingData[[#Totals],[Candidate 7]]), 0)</f>
        <v>0</v>
      </c>
      <c r="W779" s="99">
        <f>IF(AND(SamplingData[[#This Row],[Total]]&lt;&gt; 0, NOT(ISBLANK(SamplingData[[#This Row],[Candidate 8]]))),(SamplingData[[#This Row],[Total]]+SamplingData[[#This Row],[Winning Candidate]]-SamplingData[[#This Row],[Candidate 8]])/(SamplingData[[#Totals],[Winning Candidate]]-SamplingData[[#Totals],[Candidate 8]]), 0)</f>
        <v>0</v>
      </c>
      <c r="X7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9" s="99">
        <f>MAX(SamplingData[[#This Row],[Error Bound (up) - Max. possible relative overstatement - Losing Candidate]:[Error Bound (up) - Max. possible relative overstatement - Candidate 12]])</f>
        <v>2.5123069088439993E-2</v>
      </c>
      <c r="AC779" s="99">
        <f>IF(SamplingData[[#This Row],[Max Error Bound (up)]] = 0,0,SamplingData[[#This Row],[Max Error Bound (up)]]/SamplingData[[#Totals],[Max Error Bound (up)]])</f>
        <v>1.3451121532700784E-3</v>
      </c>
      <c r="AD779" s="103">
        <f>SUM($AC$5:AC779)</f>
        <v>0.70111244410513818</v>
      </c>
      <c r="AE779" s="99" t="str" cm="1">
        <f t="array" ref="AE779">IF(SamplingData[[#This Row],[up/U Selection Probability]] = 0, "Zero", TEXT(SamplingData[[#This Row],[Lower Range]], REPT("0",LEN('General Info'!$B$42))) &amp; " - " &amp; TEXT(SamplingData[[#This Row],[Upper Range]], REPT("0",LEN('General Info'!$B$42))))</f>
        <v>699767 - 701111</v>
      </c>
      <c r="AF779" s="99">
        <f>SamplingData[[#This Row],[Upper Range]]-SamplingData[[#This Row],[Span]]</f>
        <v>699767.33195186814</v>
      </c>
      <c r="AG779" s="99">
        <f>IF(ISNUMBER('General Info'!$B$42), ((SamplingData[[#This Row],[up/U Selection Probability]]) * 'General Info'!$B$44) - 1, 0)</f>
        <v>1344.1121532700784</v>
      </c>
      <c r="AH779" s="99">
        <f>IF(ISNUMBER('General Info'!$B$42), (SamplingData[[#This Row],[Running (cumulative) sum]] * ('General Info'!$B$42 -'General Info'!$B$43 + 1)) + 'General Info'!$B$43 - 1, 0)</f>
        <v>701111.44410513819</v>
      </c>
      <c r="AI779" s="99" t="str">
        <f>IF(ISERROR(MATCH(SamplingData[[#This Row],[Batch by Type (p)]],SelectedPrecincts[Batch Name], 0)), "", INDEX(SelectedPrecincts[Draw], MATCH(SamplingData[[#This Row],[Batch by Type (p)]],SelectedPrecincts[Batch Name], 0)))</f>
        <v/>
      </c>
      <c r="AJ779" s="100">
        <f>IF(COUNTIF(SelectedPrecincts[Batch Name],SamplingData[[#This Row],[Batch by Type (p)]]) &lt;&gt; 0, COUNTIF(SelectedPrecincts[Batch Name],SamplingData[[#This Row],[Batch by Type (p)]]), 0)</f>
        <v>0</v>
      </c>
    </row>
    <row r="780" spans="1:36" ht="15" customHeight="1" x14ac:dyDescent="0.35">
      <c r="A780" s="97" t="s">
        <v>993</v>
      </c>
      <c r="B780" s="97">
        <v>258</v>
      </c>
      <c r="C780" s="97">
        <v>77</v>
      </c>
      <c r="D780" s="92"/>
      <c r="E780" s="92"/>
      <c r="F780" s="92"/>
      <c r="G780" s="96"/>
      <c r="H780" s="96"/>
      <c r="I780" s="92"/>
      <c r="J780" s="92"/>
      <c r="K780" s="92"/>
      <c r="L780" s="92"/>
      <c r="M780" s="92"/>
      <c r="N780" s="97">
        <v>2</v>
      </c>
      <c r="O780" s="97">
        <v>27</v>
      </c>
      <c r="P780" s="98">
        <f>SUM(SamplingData[[#This Row],[Winning Candidate]:[Under Votes]])</f>
        <v>364</v>
      </c>
      <c r="Q780" s="99">
        <f>IF(AND(SamplingData[[#This Row],[Total]]&lt;&gt; 0, NOT(ISBLANK(SamplingData[[#This Row],[Losing Candidate]]))),(SamplingData[[#This Row],[Total]]+SamplingData[[#This Row],[Winning Candidate]]-SamplingData[[#This Row],[Losing Candidate]])/(SamplingData[[#Totals],[Winning Candidate]]-SamplingData[[#Totals],[Losing Candidate]]), 0)</f>
        <v>2.3128501103378035E-2</v>
      </c>
      <c r="R780" s="99">
        <f>IF(AND(SamplingData[[#This Row],[Total]]&lt;&gt; 0, NOT(ISBLANK(SamplingData[[#This Row],[Candidate 3]]))),(SamplingData[[#This Row],[Total]]+SamplingData[[#This Row],[Winning Candidate]]-SamplingData[[#This Row],[Candidate 3]])/(SamplingData[[#Totals],[Winning Candidate]]-SamplingData[[#Totals],[Candidate 3]]), 0)</f>
        <v>0</v>
      </c>
      <c r="S780" s="99">
        <f>IF(AND(SamplingData[[#This Row],[Total]]&lt;&gt; 0, NOT(ISBLANK(SamplingData[[#This Row],[Candidate 4]]))),(SamplingData[[#This Row],[Total]]+SamplingData[[#This Row],[Winning Candidate]]-SamplingData[[#This Row],[Candidate 4]])/(SamplingData[[#Totals],[Winning Candidate]]-SamplingData[[#Totals],[Candidate 4]]), 0)</f>
        <v>0</v>
      </c>
      <c r="T780" s="99">
        <f>IF(AND(SamplingData[[#This Row],[Total]]&lt;&gt; 0, NOT(ISBLANK(SamplingData[[#This Row],[Candidate 5]]))),(SamplingData[[#This Row],[Total]]+SamplingData[[#This Row],[Winning Candidate]]-SamplingData[[#This Row],[Candidate 5]])/(SamplingData[[#Totals],[Winning Candidate]]-SamplingData[[#Totals],[Candidate 5]]), 0)</f>
        <v>0</v>
      </c>
      <c r="U780" s="99">
        <f>IF(AND(SamplingData[[#This Row],[Total]]&lt;&gt; 0, NOT(ISBLANK(SamplingData[[#This Row],[Candidate 6]]))),(SamplingData[[#This Row],[Total]]+SamplingData[[#This Row],[Losing Candidate]]-SamplingData[[#This Row],[Candidate 6]])/(SamplingData[[#Totals],[Winning Candidate]]-SamplingData[[#Totals],[Candidate 6]]), 0)</f>
        <v>0</v>
      </c>
      <c r="V780" s="99">
        <f>IF(AND(SamplingData[[#This Row],[Total]]&lt;&gt; 0, NOT(ISBLANK(SamplingData[[#This Row],[Candidate 7]]))),(SamplingData[[#This Row],[Total]]+SamplingData[[#This Row],[Winning Candidate]]-SamplingData[[#This Row],[Candidate 7]])/(SamplingData[[#Totals],[Winning Candidate]]-SamplingData[[#Totals],[Candidate 7]]), 0)</f>
        <v>0</v>
      </c>
      <c r="W780" s="99">
        <f>IF(AND(SamplingData[[#This Row],[Total]]&lt;&gt; 0, NOT(ISBLANK(SamplingData[[#This Row],[Candidate 8]]))),(SamplingData[[#This Row],[Total]]+SamplingData[[#This Row],[Winning Candidate]]-SamplingData[[#This Row],[Candidate 8]])/(SamplingData[[#Totals],[Winning Candidate]]-SamplingData[[#Totals],[Candidate 8]]), 0)</f>
        <v>0</v>
      </c>
      <c r="X7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0" s="99">
        <f>MAX(SamplingData[[#This Row],[Error Bound (up) - Max. possible relative overstatement - Losing Candidate]:[Error Bound (up) - Max. possible relative overstatement - Candidate 12]])</f>
        <v>2.3128501103378035E-2</v>
      </c>
      <c r="AC780" s="99">
        <f>IF(SamplingData[[#This Row],[Max Error Bound (up)]] = 0,0,SamplingData[[#This Row],[Max Error Bound (up)]]/SamplingData[[#Totals],[Max Error Bound (up)]])</f>
        <v>1.2383211546151904E-3</v>
      </c>
      <c r="AD780" s="103">
        <f>SUM($AC$5:AC780)</f>
        <v>0.70235076525975337</v>
      </c>
      <c r="AE780" s="99" t="str" cm="1">
        <f t="array" ref="AE780">IF(SamplingData[[#This Row],[up/U Selection Probability]] = 0, "Zero", TEXT(SamplingData[[#This Row],[Lower Range]], REPT("0",LEN('General Info'!$B$42))) &amp; " - " &amp; TEXT(SamplingData[[#This Row],[Upper Range]], REPT("0",LEN('General Info'!$B$42))))</f>
        <v>701112 - 702350</v>
      </c>
      <c r="AF780" s="99">
        <f>SamplingData[[#This Row],[Upper Range]]-SamplingData[[#This Row],[Span]]</f>
        <v>701112.44410513819</v>
      </c>
      <c r="AG780" s="99">
        <f>IF(ISNUMBER('General Info'!$B$42), ((SamplingData[[#This Row],[up/U Selection Probability]]) * 'General Info'!$B$44) - 1, 0)</f>
        <v>1237.3211546151904</v>
      </c>
      <c r="AH780" s="99">
        <f>IF(ISNUMBER('General Info'!$B$42), (SamplingData[[#This Row],[Running (cumulative) sum]] * ('General Info'!$B$42 -'General Info'!$B$43 + 1)) + 'General Info'!$B$43 - 1, 0)</f>
        <v>702349.76525975333</v>
      </c>
      <c r="AI780" s="99" t="str">
        <f>IF(ISERROR(MATCH(SamplingData[[#This Row],[Batch by Type (p)]],SelectedPrecincts[Batch Name], 0)), "", INDEX(SelectedPrecincts[Draw], MATCH(SamplingData[[#This Row],[Batch by Type (p)]],SelectedPrecincts[Batch Name], 0)))</f>
        <v/>
      </c>
      <c r="AJ780" s="100">
        <f>IF(COUNTIF(SelectedPrecincts[Batch Name],SamplingData[[#This Row],[Batch by Type (p)]]) &lt;&gt; 0, COUNTIF(SelectedPrecincts[Batch Name],SamplingData[[#This Row],[Batch by Type (p)]]), 0)</f>
        <v>0</v>
      </c>
    </row>
    <row r="781" spans="1:36" ht="15" customHeight="1" x14ac:dyDescent="0.35">
      <c r="A781" s="97" t="s">
        <v>994</v>
      </c>
      <c r="B781" s="97">
        <v>154</v>
      </c>
      <c r="C781" s="97">
        <v>43</v>
      </c>
      <c r="D781" s="92"/>
      <c r="E781" s="92"/>
      <c r="F781" s="92"/>
      <c r="G781" s="96"/>
      <c r="H781" s="96"/>
      <c r="I781" s="92"/>
      <c r="J781" s="92"/>
      <c r="K781" s="92"/>
      <c r="L781" s="92"/>
      <c r="M781" s="92"/>
      <c r="N781" s="97">
        <v>0</v>
      </c>
      <c r="O781" s="97">
        <v>13</v>
      </c>
      <c r="P781" s="98">
        <f>SUM(SamplingData[[#This Row],[Winning Candidate]:[Under Votes]])</f>
        <v>210</v>
      </c>
      <c r="Q781" s="99">
        <f>IF(AND(SamplingData[[#This Row],[Total]]&lt;&gt; 0, NOT(ISBLANK(SamplingData[[#This Row],[Losing Candidate]]))),(SamplingData[[#This Row],[Total]]+SamplingData[[#This Row],[Winning Candidate]]-SamplingData[[#This Row],[Losing Candidate]])/(SamplingData[[#Totals],[Winning Candidate]]-SamplingData[[#Totals],[Losing Candidate]]), 0)</f>
        <v>1.3622474961806144E-2</v>
      </c>
      <c r="R781" s="99">
        <f>IF(AND(SamplingData[[#This Row],[Total]]&lt;&gt; 0, NOT(ISBLANK(SamplingData[[#This Row],[Candidate 3]]))),(SamplingData[[#This Row],[Total]]+SamplingData[[#This Row],[Winning Candidate]]-SamplingData[[#This Row],[Candidate 3]])/(SamplingData[[#Totals],[Winning Candidate]]-SamplingData[[#Totals],[Candidate 3]]), 0)</f>
        <v>0</v>
      </c>
      <c r="S781" s="99">
        <f>IF(AND(SamplingData[[#This Row],[Total]]&lt;&gt; 0, NOT(ISBLANK(SamplingData[[#This Row],[Candidate 4]]))),(SamplingData[[#This Row],[Total]]+SamplingData[[#This Row],[Winning Candidate]]-SamplingData[[#This Row],[Candidate 4]])/(SamplingData[[#Totals],[Winning Candidate]]-SamplingData[[#Totals],[Candidate 4]]), 0)</f>
        <v>0</v>
      </c>
      <c r="T781" s="99">
        <f>IF(AND(SamplingData[[#This Row],[Total]]&lt;&gt; 0, NOT(ISBLANK(SamplingData[[#This Row],[Candidate 5]]))),(SamplingData[[#This Row],[Total]]+SamplingData[[#This Row],[Winning Candidate]]-SamplingData[[#This Row],[Candidate 5]])/(SamplingData[[#Totals],[Winning Candidate]]-SamplingData[[#Totals],[Candidate 5]]), 0)</f>
        <v>0</v>
      </c>
      <c r="U781" s="99">
        <f>IF(AND(SamplingData[[#This Row],[Total]]&lt;&gt; 0, NOT(ISBLANK(SamplingData[[#This Row],[Candidate 6]]))),(SamplingData[[#This Row],[Total]]+SamplingData[[#This Row],[Losing Candidate]]-SamplingData[[#This Row],[Candidate 6]])/(SamplingData[[#Totals],[Winning Candidate]]-SamplingData[[#Totals],[Candidate 6]]), 0)</f>
        <v>0</v>
      </c>
      <c r="V781" s="99">
        <f>IF(AND(SamplingData[[#This Row],[Total]]&lt;&gt; 0, NOT(ISBLANK(SamplingData[[#This Row],[Candidate 7]]))),(SamplingData[[#This Row],[Total]]+SamplingData[[#This Row],[Winning Candidate]]-SamplingData[[#This Row],[Candidate 7]])/(SamplingData[[#Totals],[Winning Candidate]]-SamplingData[[#Totals],[Candidate 7]]), 0)</f>
        <v>0</v>
      </c>
      <c r="W781" s="99">
        <f>IF(AND(SamplingData[[#This Row],[Total]]&lt;&gt; 0, NOT(ISBLANK(SamplingData[[#This Row],[Candidate 8]]))),(SamplingData[[#This Row],[Total]]+SamplingData[[#This Row],[Winning Candidate]]-SamplingData[[#This Row],[Candidate 8]])/(SamplingData[[#Totals],[Winning Candidate]]-SamplingData[[#Totals],[Candidate 8]]), 0)</f>
        <v>0</v>
      </c>
      <c r="X7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1" s="99">
        <f>MAX(SamplingData[[#This Row],[Error Bound (up) - Max. possible relative overstatement - Losing Candidate]:[Error Bound (up) - Max. possible relative overstatement - Candidate 12]])</f>
        <v>1.3622474961806144E-2</v>
      </c>
      <c r="AC781" s="99">
        <f>IF(SamplingData[[#This Row],[Max Error Bound (up)]] = 0,0,SamplingData[[#This Row],[Max Error Bound (up)]]/SamplingData[[#Totals],[Max Error Bound (up)]])</f>
        <v>7.2935979932380935E-4</v>
      </c>
      <c r="AD781" s="103">
        <f>SUM($AC$5:AC781)</f>
        <v>0.70308012505907713</v>
      </c>
      <c r="AE781" s="99" t="str" cm="1">
        <f t="array" ref="AE781">IF(SamplingData[[#This Row],[up/U Selection Probability]] = 0, "Zero", TEXT(SamplingData[[#This Row],[Lower Range]], REPT("0",LEN('General Info'!$B$42))) &amp; " - " &amp; TEXT(SamplingData[[#This Row],[Upper Range]], REPT("0",LEN('General Info'!$B$42))))</f>
        <v>702351 - 703079</v>
      </c>
      <c r="AF781" s="99">
        <f>SamplingData[[#This Row],[Upper Range]]-SamplingData[[#This Row],[Span]]</f>
        <v>702350.76525975333</v>
      </c>
      <c r="AG781" s="99">
        <f>IF(ISNUMBER('General Info'!$B$42), ((SamplingData[[#This Row],[up/U Selection Probability]]) * 'General Info'!$B$44) - 1, 0)</f>
        <v>728.3597993238094</v>
      </c>
      <c r="AH781" s="99">
        <f>IF(ISNUMBER('General Info'!$B$42), (SamplingData[[#This Row],[Running (cumulative) sum]] * ('General Info'!$B$42 -'General Info'!$B$43 + 1)) + 'General Info'!$B$43 - 1, 0)</f>
        <v>703079.12505907717</v>
      </c>
      <c r="AI781" s="99" t="str">
        <f>IF(ISERROR(MATCH(SamplingData[[#This Row],[Batch by Type (p)]],SelectedPrecincts[Batch Name], 0)), "", INDEX(SelectedPrecincts[Draw], MATCH(SamplingData[[#This Row],[Batch by Type (p)]],SelectedPrecincts[Batch Name], 0)))</f>
        <v/>
      </c>
      <c r="AJ781" s="100">
        <f>IF(COUNTIF(SelectedPrecincts[Batch Name],SamplingData[[#This Row],[Batch by Type (p)]]) &lt;&gt; 0, COUNTIF(SelectedPrecincts[Batch Name],SamplingData[[#This Row],[Batch by Type (p)]]), 0)</f>
        <v>0</v>
      </c>
    </row>
    <row r="782" spans="1:36" ht="15" customHeight="1" x14ac:dyDescent="0.35">
      <c r="A782" s="97" t="s">
        <v>995</v>
      </c>
      <c r="B782" s="97">
        <v>278</v>
      </c>
      <c r="C782" s="97">
        <v>56</v>
      </c>
      <c r="D782" s="92"/>
      <c r="E782" s="92"/>
      <c r="F782" s="92"/>
      <c r="G782" s="96"/>
      <c r="H782" s="96"/>
      <c r="I782" s="92"/>
      <c r="J782" s="92"/>
      <c r="K782" s="92"/>
      <c r="L782" s="92"/>
      <c r="M782" s="92"/>
      <c r="N782" s="97">
        <v>0</v>
      </c>
      <c r="O782" s="97">
        <v>22</v>
      </c>
      <c r="P782" s="98">
        <f>SUM(SamplingData[[#This Row],[Winning Candidate]:[Under Votes]])</f>
        <v>356</v>
      </c>
      <c r="Q782" s="99">
        <f>IF(AND(SamplingData[[#This Row],[Total]]&lt;&gt; 0, NOT(ISBLANK(SamplingData[[#This Row],[Losing Candidate]]))),(SamplingData[[#This Row],[Total]]+SamplingData[[#This Row],[Winning Candidate]]-SamplingData[[#This Row],[Losing Candidate]])/(SamplingData[[#Totals],[Winning Candidate]]-SamplingData[[#Totals],[Losing Candidate]]), 0)</f>
        <v>2.4528942454591751E-2</v>
      </c>
      <c r="R782" s="99">
        <f>IF(AND(SamplingData[[#This Row],[Total]]&lt;&gt; 0, NOT(ISBLANK(SamplingData[[#This Row],[Candidate 3]]))),(SamplingData[[#This Row],[Total]]+SamplingData[[#This Row],[Winning Candidate]]-SamplingData[[#This Row],[Candidate 3]])/(SamplingData[[#Totals],[Winning Candidate]]-SamplingData[[#Totals],[Candidate 3]]), 0)</f>
        <v>0</v>
      </c>
      <c r="S782" s="99">
        <f>IF(AND(SamplingData[[#This Row],[Total]]&lt;&gt; 0, NOT(ISBLANK(SamplingData[[#This Row],[Candidate 4]]))),(SamplingData[[#This Row],[Total]]+SamplingData[[#This Row],[Winning Candidate]]-SamplingData[[#This Row],[Candidate 4]])/(SamplingData[[#Totals],[Winning Candidate]]-SamplingData[[#Totals],[Candidate 4]]), 0)</f>
        <v>0</v>
      </c>
      <c r="T782" s="99">
        <f>IF(AND(SamplingData[[#This Row],[Total]]&lt;&gt; 0, NOT(ISBLANK(SamplingData[[#This Row],[Candidate 5]]))),(SamplingData[[#This Row],[Total]]+SamplingData[[#This Row],[Winning Candidate]]-SamplingData[[#This Row],[Candidate 5]])/(SamplingData[[#Totals],[Winning Candidate]]-SamplingData[[#Totals],[Candidate 5]]), 0)</f>
        <v>0</v>
      </c>
      <c r="U782" s="99">
        <f>IF(AND(SamplingData[[#This Row],[Total]]&lt;&gt; 0, NOT(ISBLANK(SamplingData[[#This Row],[Candidate 6]]))),(SamplingData[[#This Row],[Total]]+SamplingData[[#This Row],[Losing Candidate]]-SamplingData[[#This Row],[Candidate 6]])/(SamplingData[[#Totals],[Winning Candidate]]-SamplingData[[#Totals],[Candidate 6]]), 0)</f>
        <v>0</v>
      </c>
      <c r="V782" s="99">
        <f>IF(AND(SamplingData[[#This Row],[Total]]&lt;&gt; 0, NOT(ISBLANK(SamplingData[[#This Row],[Candidate 7]]))),(SamplingData[[#This Row],[Total]]+SamplingData[[#This Row],[Winning Candidate]]-SamplingData[[#This Row],[Candidate 7]])/(SamplingData[[#Totals],[Winning Candidate]]-SamplingData[[#Totals],[Candidate 7]]), 0)</f>
        <v>0</v>
      </c>
      <c r="W782" s="99">
        <f>IF(AND(SamplingData[[#This Row],[Total]]&lt;&gt; 0, NOT(ISBLANK(SamplingData[[#This Row],[Candidate 8]]))),(SamplingData[[#This Row],[Total]]+SamplingData[[#This Row],[Winning Candidate]]-SamplingData[[#This Row],[Candidate 8]])/(SamplingData[[#Totals],[Winning Candidate]]-SamplingData[[#Totals],[Candidate 8]]), 0)</f>
        <v>0</v>
      </c>
      <c r="X7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2" s="99">
        <f>MAX(SamplingData[[#This Row],[Error Bound (up) - Max. possible relative overstatement - Losing Candidate]:[Error Bound (up) - Max. possible relative overstatement - Candidate 12]])</f>
        <v>2.4528942454591751E-2</v>
      </c>
      <c r="AC782" s="99">
        <f>IF(SamplingData[[#This Row],[Max Error Bound (up)]] = 0,0,SamplingData[[#This Row],[Max Error Bound (up)]]/SamplingData[[#Totals],[Max Error Bound (up)]])</f>
        <v>1.3133020685643672E-3</v>
      </c>
      <c r="AD782" s="103">
        <f>SUM($AC$5:AC782)</f>
        <v>0.70439342712764152</v>
      </c>
      <c r="AE782" s="99" t="str" cm="1">
        <f t="array" ref="AE782">IF(SamplingData[[#This Row],[up/U Selection Probability]] = 0, "Zero", TEXT(SamplingData[[#This Row],[Lower Range]], REPT("0",LEN('General Info'!$B$42))) &amp; " - " &amp; TEXT(SamplingData[[#This Row],[Upper Range]], REPT("0",LEN('General Info'!$B$42))))</f>
        <v>703080 - 704392</v>
      </c>
      <c r="AF782" s="99">
        <f>SamplingData[[#This Row],[Upper Range]]-SamplingData[[#This Row],[Span]]</f>
        <v>703080.12505907717</v>
      </c>
      <c r="AG782" s="99">
        <f>IF(ISNUMBER('General Info'!$B$42), ((SamplingData[[#This Row],[up/U Selection Probability]]) * 'General Info'!$B$44) - 1, 0)</f>
        <v>1312.3020685643671</v>
      </c>
      <c r="AH782" s="99">
        <f>IF(ISNUMBER('General Info'!$B$42), (SamplingData[[#This Row],[Running (cumulative) sum]] * ('General Info'!$B$42 -'General Info'!$B$43 + 1)) + 'General Info'!$B$43 - 1, 0)</f>
        <v>704392.42712764151</v>
      </c>
      <c r="AI782" s="99" t="str">
        <f>IF(ISERROR(MATCH(SamplingData[[#This Row],[Batch by Type (p)]],SelectedPrecincts[Batch Name], 0)), "", INDEX(SelectedPrecincts[Draw], MATCH(SamplingData[[#This Row],[Batch by Type (p)]],SelectedPrecincts[Batch Name], 0)))</f>
        <v/>
      </c>
      <c r="AJ782" s="100">
        <f>IF(COUNTIF(SelectedPrecincts[Batch Name],SamplingData[[#This Row],[Batch by Type (p)]]) &lt;&gt; 0, COUNTIF(SelectedPrecincts[Batch Name],SamplingData[[#This Row],[Batch by Type (p)]]), 0)</f>
        <v>0</v>
      </c>
    </row>
    <row r="783" spans="1:36" ht="15" customHeight="1" x14ac:dyDescent="0.35">
      <c r="A783" s="97" t="s">
        <v>996</v>
      </c>
      <c r="B783" s="97">
        <v>242</v>
      </c>
      <c r="C783" s="97">
        <v>55</v>
      </c>
      <c r="D783" s="92"/>
      <c r="E783" s="92"/>
      <c r="F783" s="92"/>
      <c r="G783" s="96"/>
      <c r="H783" s="96"/>
      <c r="I783" s="92"/>
      <c r="J783" s="92"/>
      <c r="K783" s="92"/>
      <c r="L783" s="92"/>
      <c r="M783" s="92"/>
      <c r="N783" s="97">
        <v>0</v>
      </c>
      <c r="O783" s="97">
        <v>18</v>
      </c>
      <c r="P783" s="98">
        <f>SUM(SamplingData[[#This Row],[Winning Candidate]:[Under Votes]])</f>
        <v>315</v>
      </c>
      <c r="Q783" s="99">
        <f>IF(AND(SamplingData[[#This Row],[Total]]&lt;&gt; 0, NOT(ISBLANK(SamplingData[[#This Row],[Losing Candidate]]))),(SamplingData[[#This Row],[Total]]+SamplingData[[#This Row],[Winning Candidate]]-SamplingData[[#This Row],[Losing Candidate]])/(SamplingData[[#Totals],[Winning Candidate]]-SamplingData[[#Totals],[Losing Candidate]]), 0)</f>
        <v>2.1303683585129858E-2</v>
      </c>
      <c r="R783" s="99">
        <f>IF(AND(SamplingData[[#This Row],[Total]]&lt;&gt; 0, NOT(ISBLANK(SamplingData[[#This Row],[Candidate 3]]))),(SamplingData[[#This Row],[Total]]+SamplingData[[#This Row],[Winning Candidate]]-SamplingData[[#This Row],[Candidate 3]])/(SamplingData[[#Totals],[Winning Candidate]]-SamplingData[[#Totals],[Candidate 3]]), 0)</f>
        <v>0</v>
      </c>
      <c r="S783" s="99">
        <f>IF(AND(SamplingData[[#This Row],[Total]]&lt;&gt; 0, NOT(ISBLANK(SamplingData[[#This Row],[Candidate 4]]))),(SamplingData[[#This Row],[Total]]+SamplingData[[#This Row],[Winning Candidate]]-SamplingData[[#This Row],[Candidate 4]])/(SamplingData[[#Totals],[Winning Candidate]]-SamplingData[[#Totals],[Candidate 4]]), 0)</f>
        <v>0</v>
      </c>
      <c r="T783" s="99">
        <f>IF(AND(SamplingData[[#This Row],[Total]]&lt;&gt; 0, NOT(ISBLANK(SamplingData[[#This Row],[Candidate 5]]))),(SamplingData[[#This Row],[Total]]+SamplingData[[#This Row],[Winning Candidate]]-SamplingData[[#This Row],[Candidate 5]])/(SamplingData[[#Totals],[Winning Candidate]]-SamplingData[[#Totals],[Candidate 5]]), 0)</f>
        <v>0</v>
      </c>
      <c r="U783" s="99">
        <f>IF(AND(SamplingData[[#This Row],[Total]]&lt;&gt; 0, NOT(ISBLANK(SamplingData[[#This Row],[Candidate 6]]))),(SamplingData[[#This Row],[Total]]+SamplingData[[#This Row],[Losing Candidate]]-SamplingData[[#This Row],[Candidate 6]])/(SamplingData[[#Totals],[Winning Candidate]]-SamplingData[[#Totals],[Candidate 6]]), 0)</f>
        <v>0</v>
      </c>
      <c r="V783" s="99">
        <f>IF(AND(SamplingData[[#This Row],[Total]]&lt;&gt; 0, NOT(ISBLANK(SamplingData[[#This Row],[Candidate 7]]))),(SamplingData[[#This Row],[Total]]+SamplingData[[#This Row],[Winning Candidate]]-SamplingData[[#This Row],[Candidate 7]])/(SamplingData[[#Totals],[Winning Candidate]]-SamplingData[[#Totals],[Candidate 7]]), 0)</f>
        <v>0</v>
      </c>
      <c r="W783" s="99">
        <f>IF(AND(SamplingData[[#This Row],[Total]]&lt;&gt; 0, NOT(ISBLANK(SamplingData[[#This Row],[Candidate 8]]))),(SamplingData[[#This Row],[Total]]+SamplingData[[#This Row],[Winning Candidate]]-SamplingData[[#This Row],[Candidate 8]])/(SamplingData[[#Totals],[Winning Candidate]]-SamplingData[[#Totals],[Candidate 8]]), 0)</f>
        <v>0</v>
      </c>
      <c r="X7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3" s="99">
        <f>MAX(SamplingData[[#This Row],[Error Bound (up) - Max. possible relative overstatement - Losing Candidate]:[Error Bound (up) - Max. possible relative overstatement - Candidate 12]])</f>
        <v>2.1303683585129858E-2</v>
      </c>
      <c r="AC783" s="99">
        <f>IF(SamplingData[[#This Row],[Max Error Bound (up)]] = 0,0,SamplingData[[#This Row],[Max Error Bound (up)]]/SamplingData[[#Totals],[Max Error Bound (up)]])</f>
        <v>1.1406187515905057E-3</v>
      </c>
      <c r="AD783" s="103">
        <f>SUM($AC$5:AC783)</f>
        <v>0.70553404587923207</v>
      </c>
      <c r="AE783" s="99" t="str" cm="1">
        <f t="array" ref="AE783">IF(SamplingData[[#This Row],[up/U Selection Probability]] = 0, "Zero", TEXT(SamplingData[[#This Row],[Lower Range]], REPT("0",LEN('General Info'!$B$42))) &amp; " - " &amp; TEXT(SamplingData[[#This Row],[Upper Range]], REPT("0",LEN('General Info'!$B$42))))</f>
        <v>704393 - 705533</v>
      </c>
      <c r="AF783" s="99">
        <f>SamplingData[[#This Row],[Upper Range]]-SamplingData[[#This Row],[Span]]</f>
        <v>704393.42712764163</v>
      </c>
      <c r="AG783" s="99">
        <f>IF(ISNUMBER('General Info'!$B$42), ((SamplingData[[#This Row],[up/U Selection Probability]]) * 'General Info'!$B$44) - 1, 0)</f>
        <v>1139.6187515905058</v>
      </c>
      <c r="AH783" s="99">
        <f>IF(ISNUMBER('General Info'!$B$42), (SamplingData[[#This Row],[Running (cumulative) sum]] * ('General Info'!$B$42 -'General Info'!$B$43 + 1)) + 'General Info'!$B$43 - 1, 0)</f>
        <v>705533.04587923212</v>
      </c>
      <c r="AI783" s="99" t="str">
        <f>IF(ISERROR(MATCH(SamplingData[[#This Row],[Batch by Type (p)]],SelectedPrecincts[Batch Name], 0)), "", INDEX(SelectedPrecincts[Draw], MATCH(SamplingData[[#This Row],[Batch by Type (p)]],SelectedPrecincts[Batch Name], 0)))</f>
        <v/>
      </c>
      <c r="AJ783" s="100">
        <f>IF(COUNTIF(SelectedPrecincts[Batch Name],SamplingData[[#This Row],[Batch by Type (p)]]) &lt;&gt; 0, COUNTIF(SelectedPrecincts[Batch Name],SamplingData[[#This Row],[Batch by Type (p)]]), 0)</f>
        <v>0</v>
      </c>
    </row>
    <row r="784" spans="1:36" ht="15" customHeight="1" x14ac:dyDescent="0.35">
      <c r="A784" s="97" t="s">
        <v>997</v>
      </c>
      <c r="B784" s="97">
        <v>248</v>
      </c>
      <c r="C784" s="97">
        <v>86</v>
      </c>
      <c r="D784" s="92"/>
      <c r="E784" s="92"/>
      <c r="F784" s="92"/>
      <c r="G784" s="96"/>
      <c r="H784" s="96"/>
      <c r="I784" s="92"/>
      <c r="J784" s="92"/>
      <c r="K784" s="92"/>
      <c r="L784" s="92"/>
      <c r="M784" s="92"/>
      <c r="N784" s="97">
        <v>1</v>
      </c>
      <c r="O784" s="97">
        <v>16</v>
      </c>
      <c r="P784" s="98">
        <f>SUM(SamplingData[[#This Row],[Winning Candidate]:[Under Votes]])</f>
        <v>351</v>
      </c>
      <c r="Q784" s="99">
        <f>IF(AND(SamplingData[[#This Row],[Total]]&lt;&gt; 0, NOT(ISBLANK(SamplingData[[#This Row],[Losing Candidate]]))),(SamplingData[[#This Row],[Total]]+SamplingData[[#This Row],[Winning Candidate]]-SamplingData[[#This Row],[Losing Candidate]])/(SamplingData[[#Totals],[Winning Candidate]]-SamplingData[[#Totals],[Losing Candidate]]), 0)</f>
        <v>2.1770497368867766E-2</v>
      </c>
      <c r="R784" s="99">
        <f>IF(AND(SamplingData[[#This Row],[Total]]&lt;&gt; 0, NOT(ISBLANK(SamplingData[[#This Row],[Candidate 3]]))),(SamplingData[[#This Row],[Total]]+SamplingData[[#This Row],[Winning Candidate]]-SamplingData[[#This Row],[Candidate 3]])/(SamplingData[[#Totals],[Winning Candidate]]-SamplingData[[#Totals],[Candidate 3]]), 0)</f>
        <v>0</v>
      </c>
      <c r="S784" s="99">
        <f>IF(AND(SamplingData[[#This Row],[Total]]&lt;&gt; 0, NOT(ISBLANK(SamplingData[[#This Row],[Candidate 4]]))),(SamplingData[[#This Row],[Total]]+SamplingData[[#This Row],[Winning Candidate]]-SamplingData[[#This Row],[Candidate 4]])/(SamplingData[[#Totals],[Winning Candidate]]-SamplingData[[#Totals],[Candidate 4]]), 0)</f>
        <v>0</v>
      </c>
      <c r="T784" s="99">
        <f>IF(AND(SamplingData[[#This Row],[Total]]&lt;&gt; 0, NOT(ISBLANK(SamplingData[[#This Row],[Candidate 5]]))),(SamplingData[[#This Row],[Total]]+SamplingData[[#This Row],[Winning Candidate]]-SamplingData[[#This Row],[Candidate 5]])/(SamplingData[[#Totals],[Winning Candidate]]-SamplingData[[#Totals],[Candidate 5]]), 0)</f>
        <v>0</v>
      </c>
      <c r="U784" s="99">
        <f>IF(AND(SamplingData[[#This Row],[Total]]&lt;&gt; 0, NOT(ISBLANK(SamplingData[[#This Row],[Candidate 6]]))),(SamplingData[[#This Row],[Total]]+SamplingData[[#This Row],[Losing Candidate]]-SamplingData[[#This Row],[Candidate 6]])/(SamplingData[[#Totals],[Winning Candidate]]-SamplingData[[#Totals],[Candidate 6]]), 0)</f>
        <v>0</v>
      </c>
      <c r="V784" s="99">
        <f>IF(AND(SamplingData[[#This Row],[Total]]&lt;&gt; 0, NOT(ISBLANK(SamplingData[[#This Row],[Candidate 7]]))),(SamplingData[[#This Row],[Total]]+SamplingData[[#This Row],[Winning Candidate]]-SamplingData[[#This Row],[Candidate 7]])/(SamplingData[[#Totals],[Winning Candidate]]-SamplingData[[#Totals],[Candidate 7]]), 0)</f>
        <v>0</v>
      </c>
      <c r="W784" s="99">
        <f>IF(AND(SamplingData[[#This Row],[Total]]&lt;&gt; 0, NOT(ISBLANK(SamplingData[[#This Row],[Candidate 8]]))),(SamplingData[[#This Row],[Total]]+SamplingData[[#This Row],[Winning Candidate]]-SamplingData[[#This Row],[Candidate 8]])/(SamplingData[[#Totals],[Winning Candidate]]-SamplingData[[#Totals],[Candidate 8]]), 0)</f>
        <v>0</v>
      </c>
      <c r="X7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4" s="99">
        <f>MAX(SamplingData[[#This Row],[Error Bound (up) - Max. possible relative overstatement - Losing Candidate]:[Error Bound (up) - Max. possible relative overstatement - Candidate 12]])</f>
        <v>2.1770497368867766E-2</v>
      </c>
      <c r="AC784" s="99">
        <f>IF(SamplingData[[#This Row],[Max Error Bound (up)]] = 0,0,SamplingData[[#This Row],[Max Error Bound (up)]]/SamplingData[[#Totals],[Max Error Bound (up)]])</f>
        <v>1.1656123895735647E-3</v>
      </c>
      <c r="AD784" s="103">
        <f>SUM($AC$5:AC784)</f>
        <v>0.70669965826880565</v>
      </c>
      <c r="AE784" s="99" t="str" cm="1">
        <f t="array" ref="AE784">IF(SamplingData[[#This Row],[up/U Selection Probability]] = 0, "Zero", TEXT(SamplingData[[#This Row],[Lower Range]], REPT("0",LEN('General Info'!$B$42))) &amp; " - " &amp; TEXT(SamplingData[[#This Row],[Upper Range]], REPT("0",LEN('General Info'!$B$42))))</f>
        <v>705534 - 706699</v>
      </c>
      <c r="AF784" s="99">
        <f>SamplingData[[#This Row],[Upper Range]]-SamplingData[[#This Row],[Span]]</f>
        <v>705534.04587923212</v>
      </c>
      <c r="AG784" s="99">
        <f>IF(ISNUMBER('General Info'!$B$42), ((SamplingData[[#This Row],[up/U Selection Probability]]) * 'General Info'!$B$44) - 1, 0)</f>
        <v>1164.6123895735648</v>
      </c>
      <c r="AH784" s="99">
        <f>IF(ISNUMBER('General Info'!$B$42), (SamplingData[[#This Row],[Running (cumulative) sum]] * ('General Info'!$B$42 -'General Info'!$B$43 + 1)) + 'General Info'!$B$43 - 1, 0)</f>
        <v>706698.65826880571</v>
      </c>
      <c r="AI784" s="99" t="str">
        <f>IF(ISERROR(MATCH(SamplingData[[#This Row],[Batch by Type (p)]],SelectedPrecincts[Batch Name], 0)), "", INDEX(SelectedPrecincts[Draw], MATCH(SamplingData[[#This Row],[Batch by Type (p)]],SelectedPrecincts[Batch Name], 0)))</f>
        <v/>
      </c>
      <c r="AJ784" s="100">
        <f>IF(COUNTIF(SelectedPrecincts[Batch Name],SamplingData[[#This Row],[Batch by Type (p)]]) &lt;&gt; 0, COUNTIF(SelectedPrecincts[Batch Name],SamplingData[[#This Row],[Batch by Type (p)]]), 0)</f>
        <v>0</v>
      </c>
    </row>
    <row r="785" spans="1:36" ht="15" customHeight="1" x14ac:dyDescent="0.35">
      <c r="A785" s="97" t="s">
        <v>998</v>
      </c>
      <c r="B785" s="97">
        <v>307</v>
      </c>
      <c r="C785" s="97">
        <v>71</v>
      </c>
      <c r="D785" s="92"/>
      <c r="E785" s="92"/>
      <c r="F785" s="92"/>
      <c r="G785" s="96"/>
      <c r="H785" s="96"/>
      <c r="I785" s="92"/>
      <c r="J785" s="92"/>
      <c r="K785" s="92"/>
      <c r="L785" s="92"/>
      <c r="M785" s="92"/>
      <c r="N785" s="97">
        <v>0</v>
      </c>
      <c r="O785" s="97">
        <v>19</v>
      </c>
      <c r="P785" s="98">
        <f>SUM(SamplingData[[#This Row],[Winning Candidate]:[Under Votes]])</f>
        <v>397</v>
      </c>
      <c r="Q785" s="99">
        <f>IF(AND(SamplingData[[#This Row],[Total]]&lt;&gt; 0, NOT(ISBLANK(SamplingData[[#This Row],[Losing Candidate]]))),(SamplingData[[#This Row],[Total]]+SamplingData[[#This Row],[Winning Candidate]]-SamplingData[[#This Row],[Losing Candidate]])/(SamplingData[[#Totals],[Winning Candidate]]-SamplingData[[#Totals],[Losing Candidate]]), 0)</f>
        <v>2.6863011373281277E-2</v>
      </c>
      <c r="R785" s="99">
        <f>IF(AND(SamplingData[[#This Row],[Total]]&lt;&gt; 0, NOT(ISBLANK(SamplingData[[#This Row],[Candidate 3]]))),(SamplingData[[#This Row],[Total]]+SamplingData[[#This Row],[Winning Candidate]]-SamplingData[[#This Row],[Candidate 3]])/(SamplingData[[#Totals],[Winning Candidate]]-SamplingData[[#Totals],[Candidate 3]]), 0)</f>
        <v>0</v>
      </c>
      <c r="S785" s="99">
        <f>IF(AND(SamplingData[[#This Row],[Total]]&lt;&gt; 0, NOT(ISBLANK(SamplingData[[#This Row],[Candidate 4]]))),(SamplingData[[#This Row],[Total]]+SamplingData[[#This Row],[Winning Candidate]]-SamplingData[[#This Row],[Candidate 4]])/(SamplingData[[#Totals],[Winning Candidate]]-SamplingData[[#Totals],[Candidate 4]]), 0)</f>
        <v>0</v>
      </c>
      <c r="T785" s="99">
        <f>IF(AND(SamplingData[[#This Row],[Total]]&lt;&gt; 0, NOT(ISBLANK(SamplingData[[#This Row],[Candidate 5]]))),(SamplingData[[#This Row],[Total]]+SamplingData[[#This Row],[Winning Candidate]]-SamplingData[[#This Row],[Candidate 5]])/(SamplingData[[#Totals],[Winning Candidate]]-SamplingData[[#Totals],[Candidate 5]]), 0)</f>
        <v>0</v>
      </c>
      <c r="U785" s="99">
        <f>IF(AND(SamplingData[[#This Row],[Total]]&lt;&gt; 0, NOT(ISBLANK(SamplingData[[#This Row],[Candidate 6]]))),(SamplingData[[#This Row],[Total]]+SamplingData[[#This Row],[Losing Candidate]]-SamplingData[[#This Row],[Candidate 6]])/(SamplingData[[#Totals],[Winning Candidate]]-SamplingData[[#Totals],[Candidate 6]]), 0)</f>
        <v>0</v>
      </c>
      <c r="V785" s="99">
        <f>IF(AND(SamplingData[[#This Row],[Total]]&lt;&gt; 0, NOT(ISBLANK(SamplingData[[#This Row],[Candidate 7]]))),(SamplingData[[#This Row],[Total]]+SamplingData[[#This Row],[Winning Candidate]]-SamplingData[[#This Row],[Candidate 7]])/(SamplingData[[#Totals],[Winning Candidate]]-SamplingData[[#Totals],[Candidate 7]]), 0)</f>
        <v>0</v>
      </c>
      <c r="W785" s="99">
        <f>IF(AND(SamplingData[[#This Row],[Total]]&lt;&gt; 0, NOT(ISBLANK(SamplingData[[#This Row],[Candidate 8]]))),(SamplingData[[#This Row],[Total]]+SamplingData[[#This Row],[Winning Candidate]]-SamplingData[[#This Row],[Candidate 8]])/(SamplingData[[#Totals],[Winning Candidate]]-SamplingData[[#Totals],[Candidate 8]]), 0)</f>
        <v>0</v>
      </c>
      <c r="X7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5" s="99">
        <f>MAX(SamplingData[[#This Row],[Error Bound (up) - Max. possible relative overstatement - Losing Candidate]:[Error Bound (up) - Max. possible relative overstatement - Candidate 12]])</f>
        <v>2.6863011373281277E-2</v>
      </c>
      <c r="AC785" s="99">
        <f>IF(SamplingData[[#This Row],[Max Error Bound (up)]] = 0,0,SamplingData[[#This Row],[Max Error Bound (up)]]/SamplingData[[#Totals],[Max Error Bound (up)]])</f>
        <v>1.4382702584796615E-3</v>
      </c>
      <c r="AD785" s="103">
        <f>SUM($AC$5:AC785)</f>
        <v>0.7081379285272853</v>
      </c>
      <c r="AE785" s="99" t="str" cm="1">
        <f t="array" ref="AE785">IF(SamplingData[[#This Row],[up/U Selection Probability]] = 0, "Zero", TEXT(SamplingData[[#This Row],[Lower Range]], REPT("0",LEN('General Info'!$B$42))) &amp; " - " &amp; TEXT(SamplingData[[#This Row],[Upper Range]], REPT("0",LEN('General Info'!$B$42))))</f>
        <v>706700 - 708137</v>
      </c>
      <c r="AF785" s="99">
        <f>SamplingData[[#This Row],[Upper Range]]-SamplingData[[#This Row],[Span]]</f>
        <v>706699.65826880571</v>
      </c>
      <c r="AG785" s="99">
        <f>IF(ISNUMBER('General Info'!$B$42), ((SamplingData[[#This Row],[up/U Selection Probability]]) * 'General Info'!$B$44) - 1, 0)</f>
        <v>1437.2702584796614</v>
      </c>
      <c r="AH785" s="99">
        <f>IF(ISNUMBER('General Info'!$B$42), (SamplingData[[#This Row],[Running (cumulative) sum]] * ('General Info'!$B$42 -'General Info'!$B$43 + 1)) + 'General Info'!$B$43 - 1, 0)</f>
        <v>708136.92852728534</v>
      </c>
      <c r="AI785" s="99" t="str">
        <f>IF(ISERROR(MATCH(SamplingData[[#This Row],[Batch by Type (p)]],SelectedPrecincts[Batch Name], 0)), "", INDEX(SelectedPrecincts[Draw], MATCH(SamplingData[[#This Row],[Batch by Type (p)]],SelectedPrecincts[Batch Name], 0)))</f>
        <v/>
      </c>
      <c r="AJ785" s="100">
        <f>IF(COUNTIF(SelectedPrecincts[Batch Name],SamplingData[[#This Row],[Batch by Type (p)]]) &lt;&gt; 0, COUNTIF(SelectedPrecincts[Batch Name],SamplingData[[#This Row],[Batch by Type (p)]]), 0)</f>
        <v>0</v>
      </c>
    </row>
    <row r="786" spans="1:36" ht="15" customHeight="1" x14ac:dyDescent="0.35">
      <c r="A786" s="97" t="s">
        <v>999</v>
      </c>
      <c r="B786" s="97">
        <v>280</v>
      </c>
      <c r="C786" s="97">
        <v>79</v>
      </c>
      <c r="D786" s="92"/>
      <c r="E786" s="92"/>
      <c r="F786" s="92"/>
      <c r="G786" s="96"/>
      <c r="H786" s="96"/>
      <c r="I786" s="92"/>
      <c r="J786" s="92"/>
      <c r="K786" s="92"/>
      <c r="L786" s="92"/>
      <c r="M786" s="92"/>
      <c r="N786" s="97">
        <v>0</v>
      </c>
      <c r="O786" s="97">
        <v>22</v>
      </c>
      <c r="P786" s="98">
        <f>SUM(SamplingData[[#This Row],[Winning Candidate]:[Under Votes]])</f>
        <v>381</v>
      </c>
      <c r="Q786" s="99">
        <f>IF(AND(SamplingData[[#This Row],[Total]]&lt;&gt; 0, NOT(ISBLANK(SamplingData[[#This Row],[Losing Candidate]]))),(SamplingData[[#This Row],[Total]]+SamplingData[[#This Row],[Winning Candidate]]-SamplingData[[#This Row],[Losing Candidate]])/(SamplingData[[#Totals],[Winning Candidate]]-SamplingData[[#Totals],[Losing Candidate]]), 0)</f>
        <v>2.4698692921405533E-2</v>
      </c>
      <c r="R786" s="99">
        <f>IF(AND(SamplingData[[#This Row],[Total]]&lt;&gt; 0, NOT(ISBLANK(SamplingData[[#This Row],[Candidate 3]]))),(SamplingData[[#This Row],[Total]]+SamplingData[[#This Row],[Winning Candidate]]-SamplingData[[#This Row],[Candidate 3]])/(SamplingData[[#Totals],[Winning Candidate]]-SamplingData[[#Totals],[Candidate 3]]), 0)</f>
        <v>0</v>
      </c>
      <c r="S786" s="99">
        <f>IF(AND(SamplingData[[#This Row],[Total]]&lt;&gt; 0, NOT(ISBLANK(SamplingData[[#This Row],[Candidate 4]]))),(SamplingData[[#This Row],[Total]]+SamplingData[[#This Row],[Winning Candidate]]-SamplingData[[#This Row],[Candidate 4]])/(SamplingData[[#Totals],[Winning Candidate]]-SamplingData[[#Totals],[Candidate 4]]), 0)</f>
        <v>0</v>
      </c>
      <c r="T786" s="99">
        <f>IF(AND(SamplingData[[#This Row],[Total]]&lt;&gt; 0, NOT(ISBLANK(SamplingData[[#This Row],[Candidate 5]]))),(SamplingData[[#This Row],[Total]]+SamplingData[[#This Row],[Winning Candidate]]-SamplingData[[#This Row],[Candidate 5]])/(SamplingData[[#Totals],[Winning Candidate]]-SamplingData[[#Totals],[Candidate 5]]), 0)</f>
        <v>0</v>
      </c>
      <c r="U786" s="99">
        <f>IF(AND(SamplingData[[#This Row],[Total]]&lt;&gt; 0, NOT(ISBLANK(SamplingData[[#This Row],[Candidate 6]]))),(SamplingData[[#This Row],[Total]]+SamplingData[[#This Row],[Losing Candidate]]-SamplingData[[#This Row],[Candidate 6]])/(SamplingData[[#Totals],[Winning Candidate]]-SamplingData[[#Totals],[Candidate 6]]), 0)</f>
        <v>0</v>
      </c>
      <c r="V786" s="99">
        <f>IF(AND(SamplingData[[#This Row],[Total]]&lt;&gt; 0, NOT(ISBLANK(SamplingData[[#This Row],[Candidate 7]]))),(SamplingData[[#This Row],[Total]]+SamplingData[[#This Row],[Winning Candidate]]-SamplingData[[#This Row],[Candidate 7]])/(SamplingData[[#Totals],[Winning Candidate]]-SamplingData[[#Totals],[Candidate 7]]), 0)</f>
        <v>0</v>
      </c>
      <c r="W786" s="99">
        <f>IF(AND(SamplingData[[#This Row],[Total]]&lt;&gt; 0, NOT(ISBLANK(SamplingData[[#This Row],[Candidate 8]]))),(SamplingData[[#This Row],[Total]]+SamplingData[[#This Row],[Winning Candidate]]-SamplingData[[#This Row],[Candidate 8]])/(SamplingData[[#Totals],[Winning Candidate]]-SamplingData[[#Totals],[Candidate 8]]), 0)</f>
        <v>0</v>
      </c>
      <c r="X7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6" s="99">
        <f>MAX(SamplingData[[#This Row],[Error Bound (up) - Max. possible relative overstatement - Losing Candidate]:[Error Bound (up) - Max. possible relative overstatement - Candidate 12]])</f>
        <v>2.4698692921405533E-2</v>
      </c>
      <c r="AC786" s="99">
        <f>IF(SamplingData[[#This Row],[Max Error Bound (up)]] = 0,0,SamplingData[[#This Row],[Max Error Bound (up)]]/SamplingData[[#Totals],[Max Error Bound (up)]])</f>
        <v>1.3223906641945703E-3</v>
      </c>
      <c r="AD786" s="103">
        <f>SUM($AC$5:AC786)</f>
        <v>0.70946031919147989</v>
      </c>
      <c r="AE786" s="99" t="str" cm="1">
        <f t="array" ref="AE786">IF(SamplingData[[#This Row],[up/U Selection Probability]] = 0, "Zero", TEXT(SamplingData[[#This Row],[Lower Range]], REPT("0",LEN('General Info'!$B$42))) &amp; " - " &amp; TEXT(SamplingData[[#This Row],[Upper Range]], REPT("0",LEN('General Info'!$B$42))))</f>
        <v>708138 - 709459</v>
      </c>
      <c r="AF786" s="99">
        <f>SamplingData[[#This Row],[Upper Range]]-SamplingData[[#This Row],[Span]]</f>
        <v>708137.92852728534</v>
      </c>
      <c r="AG786" s="99">
        <f>IF(ISNUMBER('General Info'!$B$42), ((SamplingData[[#This Row],[up/U Selection Probability]]) * 'General Info'!$B$44) - 1, 0)</f>
        <v>1321.3906641945703</v>
      </c>
      <c r="AH786" s="99">
        <f>IF(ISNUMBER('General Info'!$B$42), (SamplingData[[#This Row],[Running (cumulative) sum]] * ('General Info'!$B$42 -'General Info'!$B$43 + 1)) + 'General Info'!$B$43 - 1, 0)</f>
        <v>709459.31919147994</v>
      </c>
      <c r="AI786" s="99" t="str">
        <f>IF(ISERROR(MATCH(SamplingData[[#This Row],[Batch by Type (p)]],SelectedPrecincts[Batch Name], 0)), "", INDEX(SelectedPrecincts[Draw], MATCH(SamplingData[[#This Row],[Batch by Type (p)]],SelectedPrecincts[Batch Name], 0)))</f>
        <v/>
      </c>
      <c r="AJ786" s="100">
        <f>IF(COUNTIF(SelectedPrecincts[Batch Name],SamplingData[[#This Row],[Batch by Type (p)]]) &lt;&gt; 0, COUNTIF(SelectedPrecincts[Batch Name],SamplingData[[#This Row],[Batch by Type (p)]]), 0)</f>
        <v>0</v>
      </c>
    </row>
    <row r="787" spans="1:36" ht="15" customHeight="1" x14ac:dyDescent="0.35">
      <c r="A787" s="97" t="s">
        <v>1000</v>
      </c>
      <c r="B787" s="97">
        <v>291</v>
      </c>
      <c r="C787" s="97">
        <v>90</v>
      </c>
      <c r="D787" s="92"/>
      <c r="E787" s="92"/>
      <c r="F787" s="92"/>
      <c r="G787" s="96"/>
      <c r="H787" s="96"/>
      <c r="I787" s="92"/>
      <c r="J787" s="92"/>
      <c r="K787" s="92"/>
      <c r="L787" s="92"/>
      <c r="M787" s="92"/>
      <c r="N787" s="97">
        <v>0</v>
      </c>
      <c r="O787" s="97">
        <v>30</v>
      </c>
      <c r="P787" s="98">
        <f>SUM(SamplingData[[#This Row],[Winning Candidate]:[Under Votes]])</f>
        <v>411</v>
      </c>
      <c r="Q787" s="99">
        <f>IF(AND(SamplingData[[#This Row],[Total]]&lt;&gt; 0, NOT(ISBLANK(SamplingData[[#This Row],[Losing Candidate]]))),(SamplingData[[#This Row],[Total]]+SamplingData[[#This Row],[Winning Candidate]]-SamplingData[[#This Row],[Losing Candidate]])/(SamplingData[[#Totals],[Winning Candidate]]-SamplingData[[#Totals],[Losing Candidate]]), 0)</f>
        <v>2.5971821422508912E-2</v>
      </c>
      <c r="R787" s="99">
        <f>IF(AND(SamplingData[[#This Row],[Total]]&lt;&gt; 0, NOT(ISBLANK(SamplingData[[#This Row],[Candidate 3]]))),(SamplingData[[#This Row],[Total]]+SamplingData[[#This Row],[Winning Candidate]]-SamplingData[[#This Row],[Candidate 3]])/(SamplingData[[#Totals],[Winning Candidate]]-SamplingData[[#Totals],[Candidate 3]]), 0)</f>
        <v>0</v>
      </c>
      <c r="S787" s="99">
        <f>IF(AND(SamplingData[[#This Row],[Total]]&lt;&gt; 0, NOT(ISBLANK(SamplingData[[#This Row],[Candidate 4]]))),(SamplingData[[#This Row],[Total]]+SamplingData[[#This Row],[Winning Candidate]]-SamplingData[[#This Row],[Candidate 4]])/(SamplingData[[#Totals],[Winning Candidate]]-SamplingData[[#Totals],[Candidate 4]]), 0)</f>
        <v>0</v>
      </c>
      <c r="T787" s="99">
        <f>IF(AND(SamplingData[[#This Row],[Total]]&lt;&gt; 0, NOT(ISBLANK(SamplingData[[#This Row],[Candidate 5]]))),(SamplingData[[#This Row],[Total]]+SamplingData[[#This Row],[Winning Candidate]]-SamplingData[[#This Row],[Candidate 5]])/(SamplingData[[#Totals],[Winning Candidate]]-SamplingData[[#Totals],[Candidate 5]]), 0)</f>
        <v>0</v>
      </c>
      <c r="U787" s="99">
        <f>IF(AND(SamplingData[[#This Row],[Total]]&lt;&gt; 0, NOT(ISBLANK(SamplingData[[#This Row],[Candidate 6]]))),(SamplingData[[#This Row],[Total]]+SamplingData[[#This Row],[Losing Candidate]]-SamplingData[[#This Row],[Candidate 6]])/(SamplingData[[#Totals],[Winning Candidate]]-SamplingData[[#Totals],[Candidate 6]]), 0)</f>
        <v>0</v>
      </c>
      <c r="V787" s="99">
        <f>IF(AND(SamplingData[[#This Row],[Total]]&lt;&gt; 0, NOT(ISBLANK(SamplingData[[#This Row],[Candidate 7]]))),(SamplingData[[#This Row],[Total]]+SamplingData[[#This Row],[Winning Candidate]]-SamplingData[[#This Row],[Candidate 7]])/(SamplingData[[#Totals],[Winning Candidate]]-SamplingData[[#Totals],[Candidate 7]]), 0)</f>
        <v>0</v>
      </c>
      <c r="W787" s="99">
        <f>IF(AND(SamplingData[[#This Row],[Total]]&lt;&gt; 0, NOT(ISBLANK(SamplingData[[#This Row],[Candidate 8]]))),(SamplingData[[#This Row],[Total]]+SamplingData[[#This Row],[Winning Candidate]]-SamplingData[[#This Row],[Candidate 8]])/(SamplingData[[#Totals],[Winning Candidate]]-SamplingData[[#Totals],[Candidate 8]]), 0)</f>
        <v>0</v>
      </c>
      <c r="X7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7" s="99">
        <f>MAX(SamplingData[[#This Row],[Error Bound (up) - Max. possible relative overstatement - Losing Candidate]:[Error Bound (up) - Max. possible relative overstatement - Candidate 12]])</f>
        <v>2.5971821422508912E-2</v>
      </c>
      <c r="AC787" s="99">
        <f>IF(SamplingData[[#This Row],[Max Error Bound (up)]] = 0,0,SamplingData[[#This Row],[Max Error Bound (up)]]/SamplingData[[#Totals],[Max Error Bound (up)]])</f>
        <v>1.3905551314210946E-3</v>
      </c>
      <c r="AD787" s="103">
        <f>SUM($AC$5:AC787)</f>
        <v>0.71085087432290095</v>
      </c>
      <c r="AE787" s="99" t="str" cm="1">
        <f t="array" ref="AE787">IF(SamplingData[[#This Row],[up/U Selection Probability]] = 0, "Zero", TEXT(SamplingData[[#This Row],[Lower Range]], REPT("0",LEN('General Info'!$B$42))) &amp; " - " &amp; TEXT(SamplingData[[#This Row],[Upper Range]], REPT("0",LEN('General Info'!$B$42))))</f>
        <v>709460 - 710850</v>
      </c>
      <c r="AF787" s="99">
        <f>SamplingData[[#This Row],[Upper Range]]-SamplingData[[#This Row],[Span]]</f>
        <v>709460.31919147982</v>
      </c>
      <c r="AG787" s="99">
        <f>IF(ISNUMBER('General Info'!$B$42), ((SamplingData[[#This Row],[up/U Selection Probability]]) * 'General Info'!$B$44) - 1, 0)</f>
        <v>1389.5551314210945</v>
      </c>
      <c r="AH787" s="99">
        <f>IF(ISNUMBER('General Info'!$B$42), (SamplingData[[#This Row],[Running (cumulative) sum]] * ('General Info'!$B$42 -'General Info'!$B$43 + 1)) + 'General Info'!$B$43 - 1, 0)</f>
        <v>710849.8743229009</v>
      </c>
      <c r="AI787" s="99" t="str">
        <f>IF(ISERROR(MATCH(SamplingData[[#This Row],[Batch by Type (p)]],SelectedPrecincts[Batch Name], 0)), "", INDEX(SelectedPrecincts[Draw], MATCH(SamplingData[[#This Row],[Batch by Type (p)]],SelectedPrecincts[Batch Name], 0)))</f>
        <v/>
      </c>
      <c r="AJ787" s="100">
        <f>IF(COUNTIF(SelectedPrecincts[Batch Name],SamplingData[[#This Row],[Batch by Type (p)]]) &lt;&gt; 0, COUNTIF(SelectedPrecincts[Batch Name],SamplingData[[#This Row],[Batch by Type (p)]]), 0)</f>
        <v>0</v>
      </c>
    </row>
    <row r="788" spans="1:36" ht="15" customHeight="1" x14ac:dyDescent="0.35">
      <c r="A788" s="97" t="s">
        <v>1001</v>
      </c>
      <c r="B788" s="97">
        <v>303</v>
      </c>
      <c r="C788" s="97">
        <v>80</v>
      </c>
      <c r="D788" s="92"/>
      <c r="E788" s="92"/>
      <c r="F788" s="92"/>
      <c r="G788" s="96"/>
      <c r="H788" s="96"/>
      <c r="I788" s="92"/>
      <c r="J788" s="92"/>
      <c r="K788" s="92"/>
      <c r="L788" s="92"/>
      <c r="M788" s="92"/>
      <c r="N788" s="97">
        <v>1</v>
      </c>
      <c r="O788" s="97">
        <v>19</v>
      </c>
      <c r="P788" s="98">
        <f>SUM(SamplingData[[#This Row],[Winning Candidate]:[Under Votes]])</f>
        <v>403</v>
      </c>
      <c r="Q788" s="99">
        <f>IF(AND(SamplingData[[#This Row],[Total]]&lt;&gt; 0, NOT(ISBLANK(SamplingData[[#This Row],[Losing Candidate]]))),(SamplingData[[#This Row],[Total]]+SamplingData[[#This Row],[Winning Candidate]]-SamplingData[[#This Row],[Losing Candidate]])/(SamplingData[[#Totals],[Winning Candidate]]-SamplingData[[#Totals],[Losing Candidate]]), 0)</f>
        <v>2.6565948056357154E-2</v>
      </c>
      <c r="R788" s="99">
        <f>IF(AND(SamplingData[[#This Row],[Total]]&lt;&gt; 0, NOT(ISBLANK(SamplingData[[#This Row],[Candidate 3]]))),(SamplingData[[#This Row],[Total]]+SamplingData[[#This Row],[Winning Candidate]]-SamplingData[[#This Row],[Candidate 3]])/(SamplingData[[#Totals],[Winning Candidate]]-SamplingData[[#Totals],[Candidate 3]]), 0)</f>
        <v>0</v>
      </c>
      <c r="S788" s="99">
        <f>IF(AND(SamplingData[[#This Row],[Total]]&lt;&gt; 0, NOT(ISBLANK(SamplingData[[#This Row],[Candidate 4]]))),(SamplingData[[#This Row],[Total]]+SamplingData[[#This Row],[Winning Candidate]]-SamplingData[[#This Row],[Candidate 4]])/(SamplingData[[#Totals],[Winning Candidate]]-SamplingData[[#Totals],[Candidate 4]]), 0)</f>
        <v>0</v>
      </c>
      <c r="T788" s="99">
        <f>IF(AND(SamplingData[[#This Row],[Total]]&lt;&gt; 0, NOT(ISBLANK(SamplingData[[#This Row],[Candidate 5]]))),(SamplingData[[#This Row],[Total]]+SamplingData[[#This Row],[Winning Candidate]]-SamplingData[[#This Row],[Candidate 5]])/(SamplingData[[#Totals],[Winning Candidate]]-SamplingData[[#Totals],[Candidate 5]]), 0)</f>
        <v>0</v>
      </c>
      <c r="U788" s="99">
        <f>IF(AND(SamplingData[[#This Row],[Total]]&lt;&gt; 0, NOT(ISBLANK(SamplingData[[#This Row],[Candidate 6]]))),(SamplingData[[#This Row],[Total]]+SamplingData[[#This Row],[Losing Candidate]]-SamplingData[[#This Row],[Candidate 6]])/(SamplingData[[#Totals],[Winning Candidate]]-SamplingData[[#Totals],[Candidate 6]]), 0)</f>
        <v>0</v>
      </c>
      <c r="V788" s="99">
        <f>IF(AND(SamplingData[[#This Row],[Total]]&lt;&gt; 0, NOT(ISBLANK(SamplingData[[#This Row],[Candidate 7]]))),(SamplingData[[#This Row],[Total]]+SamplingData[[#This Row],[Winning Candidate]]-SamplingData[[#This Row],[Candidate 7]])/(SamplingData[[#Totals],[Winning Candidate]]-SamplingData[[#Totals],[Candidate 7]]), 0)</f>
        <v>0</v>
      </c>
      <c r="W788" s="99">
        <f>IF(AND(SamplingData[[#This Row],[Total]]&lt;&gt; 0, NOT(ISBLANK(SamplingData[[#This Row],[Candidate 8]]))),(SamplingData[[#This Row],[Total]]+SamplingData[[#This Row],[Winning Candidate]]-SamplingData[[#This Row],[Candidate 8]])/(SamplingData[[#Totals],[Winning Candidate]]-SamplingData[[#Totals],[Candidate 8]]), 0)</f>
        <v>0</v>
      </c>
      <c r="X7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8" s="99">
        <f>MAX(SamplingData[[#This Row],[Error Bound (up) - Max. possible relative overstatement - Losing Candidate]:[Error Bound (up) - Max. possible relative overstatement - Candidate 12]])</f>
        <v>2.6565948056357154E-2</v>
      </c>
      <c r="AC788" s="99">
        <f>IF(SamplingData[[#This Row],[Max Error Bound (up)]] = 0,0,SamplingData[[#This Row],[Max Error Bound (up)]]/SamplingData[[#Totals],[Max Error Bound (up)]])</f>
        <v>1.4223652161268058E-3</v>
      </c>
      <c r="AD788" s="103">
        <f>SUM($AC$5:AC788)</f>
        <v>0.71227323953902777</v>
      </c>
      <c r="AE788" s="99" t="str" cm="1">
        <f t="array" ref="AE788">IF(SamplingData[[#This Row],[up/U Selection Probability]] = 0, "Zero", TEXT(SamplingData[[#This Row],[Lower Range]], REPT("0",LEN('General Info'!$B$42))) &amp; " - " &amp; TEXT(SamplingData[[#This Row],[Upper Range]], REPT("0",LEN('General Info'!$B$42))))</f>
        <v>710851 - 712272</v>
      </c>
      <c r="AF788" s="99">
        <f>SamplingData[[#This Row],[Upper Range]]-SamplingData[[#This Row],[Span]]</f>
        <v>710850.87432290101</v>
      </c>
      <c r="AG788" s="99">
        <f>IF(ISNUMBER('General Info'!$B$42), ((SamplingData[[#This Row],[up/U Selection Probability]]) * 'General Info'!$B$44) - 1, 0)</f>
        <v>1421.3652161268058</v>
      </c>
      <c r="AH788" s="99">
        <f>IF(ISNUMBER('General Info'!$B$42), (SamplingData[[#This Row],[Running (cumulative) sum]] * ('General Info'!$B$42 -'General Info'!$B$43 + 1)) + 'General Info'!$B$43 - 1, 0)</f>
        <v>712272.2395390278</v>
      </c>
      <c r="AI788" s="99" t="str">
        <f>IF(ISERROR(MATCH(SamplingData[[#This Row],[Batch by Type (p)]],SelectedPrecincts[Batch Name], 0)), "", INDEX(SelectedPrecincts[Draw], MATCH(SamplingData[[#This Row],[Batch by Type (p)]],SelectedPrecincts[Batch Name], 0)))</f>
        <v/>
      </c>
      <c r="AJ788" s="100">
        <f>IF(COUNTIF(SelectedPrecincts[Batch Name],SamplingData[[#This Row],[Batch by Type (p)]]) &lt;&gt; 0, COUNTIF(SelectedPrecincts[Batch Name],SamplingData[[#This Row],[Batch by Type (p)]]), 0)</f>
        <v>0</v>
      </c>
    </row>
    <row r="789" spans="1:36" ht="15" customHeight="1" x14ac:dyDescent="0.35">
      <c r="A789" s="97" t="s">
        <v>1002</v>
      </c>
      <c r="B789" s="97">
        <v>120</v>
      </c>
      <c r="C789" s="97">
        <v>558</v>
      </c>
      <c r="D789" s="92"/>
      <c r="E789" s="92"/>
      <c r="F789" s="92"/>
      <c r="G789" s="96"/>
      <c r="H789" s="96"/>
      <c r="I789" s="92"/>
      <c r="J789" s="92"/>
      <c r="K789" s="92"/>
      <c r="L789" s="92"/>
      <c r="M789" s="92"/>
      <c r="N789" s="97">
        <v>0</v>
      </c>
      <c r="O789" s="97">
        <v>72</v>
      </c>
      <c r="P789" s="98">
        <f>SUM(SamplingData[[#This Row],[Winning Candidate]:[Under Votes]])</f>
        <v>750</v>
      </c>
      <c r="Q789" s="99">
        <f>IF(AND(SamplingData[[#This Row],[Total]]&lt;&gt; 0, NOT(ISBLANK(SamplingData[[#This Row],[Losing Candidate]]))),(SamplingData[[#This Row],[Total]]+SamplingData[[#This Row],[Winning Candidate]]-SamplingData[[#This Row],[Losing Candidate]])/(SamplingData[[#Totals],[Winning Candidate]]-SamplingData[[#Totals],[Losing Candidate]]), 0)</f>
        <v>1.3240536411475132E-2</v>
      </c>
      <c r="R789" s="99">
        <f>IF(AND(SamplingData[[#This Row],[Total]]&lt;&gt; 0, NOT(ISBLANK(SamplingData[[#This Row],[Candidate 3]]))),(SamplingData[[#This Row],[Total]]+SamplingData[[#This Row],[Winning Candidate]]-SamplingData[[#This Row],[Candidate 3]])/(SamplingData[[#Totals],[Winning Candidate]]-SamplingData[[#Totals],[Candidate 3]]), 0)</f>
        <v>0</v>
      </c>
      <c r="S789" s="99">
        <f>IF(AND(SamplingData[[#This Row],[Total]]&lt;&gt; 0, NOT(ISBLANK(SamplingData[[#This Row],[Candidate 4]]))),(SamplingData[[#This Row],[Total]]+SamplingData[[#This Row],[Winning Candidate]]-SamplingData[[#This Row],[Candidate 4]])/(SamplingData[[#Totals],[Winning Candidate]]-SamplingData[[#Totals],[Candidate 4]]), 0)</f>
        <v>0</v>
      </c>
      <c r="T789" s="99">
        <f>IF(AND(SamplingData[[#This Row],[Total]]&lt;&gt; 0, NOT(ISBLANK(SamplingData[[#This Row],[Candidate 5]]))),(SamplingData[[#This Row],[Total]]+SamplingData[[#This Row],[Winning Candidate]]-SamplingData[[#This Row],[Candidate 5]])/(SamplingData[[#Totals],[Winning Candidate]]-SamplingData[[#Totals],[Candidate 5]]), 0)</f>
        <v>0</v>
      </c>
      <c r="U789" s="99">
        <f>IF(AND(SamplingData[[#This Row],[Total]]&lt;&gt; 0, NOT(ISBLANK(SamplingData[[#This Row],[Candidate 6]]))),(SamplingData[[#This Row],[Total]]+SamplingData[[#This Row],[Losing Candidate]]-SamplingData[[#This Row],[Candidate 6]])/(SamplingData[[#Totals],[Winning Candidate]]-SamplingData[[#Totals],[Candidate 6]]), 0)</f>
        <v>0</v>
      </c>
      <c r="V789" s="99">
        <f>IF(AND(SamplingData[[#This Row],[Total]]&lt;&gt; 0, NOT(ISBLANK(SamplingData[[#This Row],[Candidate 7]]))),(SamplingData[[#This Row],[Total]]+SamplingData[[#This Row],[Winning Candidate]]-SamplingData[[#This Row],[Candidate 7]])/(SamplingData[[#Totals],[Winning Candidate]]-SamplingData[[#Totals],[Candidate 7]]), 0)</f>
        <v>0</v>
      </c>
      <c r="W789" s="99">
        <f>IF(AND(SamplingData[[#This Row],[Total]]&lt;&gt; 0, NOT(ISBLANK(SamplingData[[#This Row],[Candidate 8]]))),(SamplingData[[#This Row],[Total]]+SamplingData[[#This Row],[Winning Candidate]]-SamplingData[[#This Row],[Candidate 8]])/(SamplingData[[#Totals],[Winning Candidate]]-SamplingData[[#Totals],[Candidate 8]]), 0)</f>
        <v>0</v>
      </c>
      <c r="X7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9" s="99">
        <f>MAX(SamplingData[[#This Row],[Error Bound (up) - Max. possible relative overstatement - Losing Candidate]:[Error Bound (up) - Max. possible relative overstatement - Candidate 12]])</f>
        <v>1.3240536411475132E-2</v>
      </c>
      <c r="AC789" s="99">
        <f>IF(SamplingData[[#This Row],[Max Error Bound (up)]] = 0,0,SamplingData[[#This Row],[Max Error Bound (up)]]/SamplingData[[#Totals],[Max Error Bound (up)]])</f>
        <v>7.0891045915585222E-4</v>
      </c>
      <c r="AD789" s="103">
        <f>SUM($AC$5:AC789)</f>
        <v>0.71298214999818366</v>
      </c>
      <c r="AE789" s="99" t="str" cm="1">
        <f t="array" ref="AE789">IF(SamplingData[[#This Row],[up/U Selection Probability]] = 0, "Zero", TEXT(SamplingData[[#This Row],[Lower Range]], REPT("0",LEN('General Info'!$B$42))) &amp; " - " &amp; TEXT(SamplingData[[#This Row],[Upper Range]], REPT("0",LEN('General Info'!$B$42))))</f>
        <v>712273 - 712981</v>
      </c>
      <c r="AF789" s="99">
        <f>SamplingData[[#This Row],[Upper Range]]-SamplingData[[#This Row],[Span]]</f>
        <v>712273.23953902791</v>
      </c>
      <c r="AG789" s="99">
        <f>IF(ISNUMBER('General Info'!$B$42), ((SamplingData[[#This Row],[up/U Selection Probability]]) * 'General Info'!$B$44) - 1, 0)</f>
        <v>707.91045915585221</v>
      </c>
      <c r="AH789" s="99">
        <f>IF(ISNUMBER('General Info'!$B$42), (SamplingData[[#This Row],[Running (cumulative) sum]] * ('General Info'!$B$42 -'General Info'!$B$43 + 1)) + 'General Info'!$B$43 - 1, 0)</f>
        <v>712981.14999818371</v>
      </c>
      <c r="AI789" s="99" t="str">
        <f>IF(ISERROR(MATCH(SamplingData[[#This Row],[Batch by Type (p)]],SelectedPrecincts[Batch Name], 0)), "", INDEX(SelectedPrecincts[Draw], MATCH(SamplingData[[#This Row],[Batch by Type (p)]],SelectedPrecincts[Batch Name], 0)))</f>
        <v/>
      </c>
      <c r="AJ789" s="100">
        <f>IF(COUNTIF(SelectedPrecincts[Batch Name],SamplingData[[#This Row],[Batch by Type (p)]]) &lt;&gt; 0, COUNTIF(SelectedPrecincts[Batch Name],SamplingData[[#This Row],[Batch by Type (p)]]), 0)</f>
        <v>0</v>
      </c>
    </row>
    <row r="790" spans="1:36" ht="15" customHeight="1" x14ac:dyDescent="0.35">
      <c r="A790" s="97" t="s">
        <v>1003</v>
      </c>
      <c r="B790" s="97">
        <v>135</v>
      </c>
      <c r="C790" s="97">
        <v>592</v>
      </c>
      <c r="D790" s="92"/>
      <c r="E790" s="92"/>
      <c r="F790" s="92"/>
      <c r="G790" s="96"/>
      <c r="H790" s="96"/>
      <c r="I790" s="92"/>
      <c r="J790" s="92"/>
      <c r="K790" s="92"/>
      <c r="L790" s="92"/>
      <c r="M790" s="92"/>
      <c r="N790" s="97">
        <v>1</v>
      </c>
      <c r="O790" s="97">
        <v>63</v>
      </c>
      <c r="P790" s="98">
        <f>SUM(SamplingData[[#This Row],[Winning Candidate]:[Under Votes]])</f>
        <v>791</v>
      </c>
      <c r="Q790" s="99">
        <f>IF(AND(SamplingData[[#This Row],[Total]]&lt;&gt; 0, NOT(ISBLANK(SamplingData[[#This Row],[Losing Candidate]]))),(SamplingData[[#This Row],[Total]]+SamplingData[[#This Row],[Winning Candidate]]-SamplingData[[#This Row],[Losing Candidate]])/(SamplingData[[#Totals],[Winning Candidate]]-SamplingData[[#Totals],[Losing Candidate]]), 0)</f>
        <v>1.4174163978950943E-2</v>
      </c>
      <c r="R790" s="99">
        <f>IF(AND(SamplingData[[#This Row],[Total]]&lt;&gt; 0, NOT(ISBLANK(SamplingData[[#This Row],[Candidate 3]]))),(SamplingData[[#This Row],[Total]]+SamplingData[[#This Row],[Winning Candidate]]-SamplingData[[#This Row],[Candidate 3]])/(SamplingData[[#Totals],[Winning Candidate]]-SamplingData[[#Totals],[Candidate 3]]), 0)</f>
        <v>0</v>
      </c>
      <c r="S790" s="99">
        <f>IF(AND(SamplingData[[#This Row],[Total]]&lt;&gt; 0, NOT(ISBLANK(SamplingData[[#This Row],[Candidate 4]]))),(SamplingData[[#This Row],[Total]]+SamplingData[[#This Row],[Winning Candidate]]-SamplingData[[#This Row],[Candidate 4]])/(SamplingData[[#Totals],[Winning Candidate]]-SamplingData[[#Totals],[Candidate 4]]), 0)</f>
        <v>0</v>
      </c>
      <c r="T790" s="99">
        <f>IF(AND(SamplingData[[#This Row],[Total]]&lt;&gt; 0, NOT(ISBLANK(SamplingData[[#This Row],[Candidate 5]]))),(SamplingData[[#This Row],[Total]]+SamplingData[[#This Row],[Winning Candidate]]-SamplingData[[#This Row],[Candidate 5]])/(SamplingData[[#Totals],[Winning Candidate]]-SamplingData[[#Totals],[Candidate 5]]), 0)</f>
        <v>0</v>
      </c>
      <c r="U790" s="99">
        <f>IF(AND(SamplingData[[#This Row],[Total]]&lt;&gt; 0, NOT(ISBLANK(SamplingData[[#This Row],[Candidate 6]]))),(SamplingData[[#This Row],[Total]]+SamplingData[[#This Row],[Losing Candidate]]-SamplingData[[#This Row],[Candidate 6]])/(SamplingData[[#Totals],[Winning Candidate]]-SamplingData[[#Totals],[Candidate 6]]), 0)</f>
        <v>0</v>
      </c>
      <c r="V790" s="99">
        <f>IF(AND(SamplingData[[#This Row],[Total]]&lt;&gt; 0, NOT(ISBLANK(SamplingData[[#This Row],[Candidate 7]]))),(SamplingData[[#This Row],[Total]]+SamplingData[[#This Row],[Winning Candidate]]-SamplingData[[#This Row],[Candidate 7]])/(SamplingData[[#Totals],[Winning Candidate]]-SamplingData[[#Totals],[Candidate 7]]), 0)</f>
        <v>0</v>
      </c>
      <c r="W790" s="99">
        <f>IF(AND(SamplingData[[#This Row],[Total]]&lt;&gt; 0, NOT(ISBLANK(SamplingData[[#This Row],[Candidate 8]]))),(SamplingData[[#This Row],[Total]]+SamplingData[[#This Row],[Winning Candidate]]-SamplingData[[#This Row],[Candidate 8]])/(SamplingData[[#Totals],[Winning Candidate]]-SamplingData[[#Totals],[Candidate 8]]), 0)</f>
        <v>0</v>
      </c>
      <c r="X7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0" s="99">
        <f>MAX(SamplingData[[#This Row],[Error Bound (up) - Max. possible relative overstatement - Losing Candidate]:[Error Bound (up) - Max. possible relative overstatement - Candidate 12]])</f>
        <v>1.4174163978950943E-2</v>
      </c>
      <c r="AC790" s="99">
        <f>IF(SamplingData[[#This Row],[Max Error Bound (up)]] = 0,0,SamplingData[[#This Row],[Max Error Bound (up)]]/SamplingData[[#Totals],[Max Error Bound (up)]])</f>
        <v>7.5889773512196994E-4</v>
      </c>
      <c r="AD790" s="103">
        <f>SUM($AC$5:AC790)</f>
        <v>0.7137410477333056</v>
      </c>
      <c r="AE790" s="99" t="str" cm="1">
        <f t="array" ref="AE790">IF(SamplingData[[#This Row],[up/U Selection Probability]] = 0, "Zero", TEXT(SamplingData[[#This Row],[Lower Range]], REPT("0",LEN('General Info'!$B$42))) &amp; " - " &amp; TEXT(SamplingData[[#This Row],[Upper Range]], REPT("0",LEN('General Info'!$B$42))))</f>
        <v>712982 - 713740</v>
      </c>
      <c r="AF790" s="99">
        <f>SamplingData[[#This Row],[Upper Range]]-SamplingData[[#This Row],[Span]]</f>
        <v>712982.1499981836</v>
      </c>
      <c r="AG790" s="99">
        <f>IF(ISNUMBER('General Info'!$B$42), ((SamplingData[[#This Row],[up/U Selection Probability]]) * 'General Info'!$B$44) - 1, 0)</f>
        <v>757.89773512196996</v>
      </c>
      <c r="AH790" s="99">
        <f>IF(ISNUMBER('General Info'!$B$42), (SamplingData[[#This Row],[Running (cumulative) sum]] * ('General Info'!$B$42 -'General Info'!$B$43 + 1)) + 'General Info'!$B$43 - 1, 0)</f>
        <v>713740.0477333056</v>
      </c>
      <c r="AI790" s="99" t="str">
        <f>IF(ISERROR(MATCH(SamplingData[[#This Row],[Batch by Type (p)]],SelectedPrecincts[Batch Name], 0)), "", INDEX(SelectedPrecincts[Draw], MATCH(SamplingData[[#This Row],[Batch by Type (p)]],SelectedPrecincts[Batch Name], 0)))</f>
        <v/>
      </c>
      <c r="AJ790" s="100">
        <f>IF(COUNTIF(SelectedPrecincts[Batch Name],SamplingData[[#This Row],[Batch by Type (p)]]) &lt;&gt; 0, COUNTIF(SelectedPrecincts[Batch Name],SamplingData[[#This Row],[Batch by Type (p)]]), 0)</f>
        <v>0</v>
      </c>
    </row>
    <row r="791" spans="1:36" ht="15" customHeight="1" x14ac:dyDescent="0.35">
      <c r="A791" s="97" t="s">
        <v>1004</v>
      </c>
      <c r="B791" s="97">
        <v>129</v>
      </c>
      <c r="C791" s="97">
        <v>682</v>
      </c>
      <c r="D791" s="92"/>
      <c r="E791" s="92"/>
      <c r="F791" s="92"/>
      <c r="G791" s="96"/>
      <c r="H791" s="96"/>
      <c r="I791" s="92"/>
      <c r="J791" s="92"/>
      <c r="K791" s="92"/>
      <c r="L791" s="92"/>
      <c r="M791" s="92"/>
      <c r="N791" s="97">
        <v>0</v>
      </c>
      <c r="O791" s="97">
        <v>65</v>
      </c>
      <c r="P791" s="98">
        <f>SUM(SamplingData[[#This Row],[Winning Candidate]:[Under Votes]])</f>
        <v>876</v>
      </c>
      <c r="Q791" s="99">
        <f>IF(AND(SamplingData[[#This Row],[Total]]&lt;&gt; 0, NOT(ISBLANK(SamplingData[[#This Row],[Losing Candidate]]))),(SamplingData[[#This Row],[Total]]+SamplingData[[#This Row],[Winning Candidate]]-SamplingData[[#This Row],[Losing Candidate]])/(SamplingData[[#Totals],[Winning Candidate]]-SamplingData[[#Totals],[Losing Candidate]]), 0)</f>
        <v>1.3707350195213037E-2</v>
      </c>
      <c r="R791" s="99">
        <f>IF(AND(SamplingData[[#This Row],[Total]]&lt;&gt; 0, NOT(ISBLANK(SamplingData[[#This Row],[Candidate 3]]))),(SamplingData[[#This Row],[Total]]+SamplingData[[#This Row],[Winning Candidate]]-SamplingData[[#This Row],[Candidate 3]])/(SamplingData[[#Totals],[Winning Candidate]]-SamplingData[[#Totals],[Candidate 3]]), 0)</f>
        <v>0</v>
      </c>
      <c r="S791" s="99">
        <f>IF(AND(SamplingData[[#This Row],[Total]]&lt;&gt; 0, NOT(ISBLANK(SamplingData[[#This Row],[Candidate 4]]))),(SamplingData[[#This Row],[Total]]+SamplingData[[#This Row],[Winning Candidate]]-SamplingData[[#This Row],[Candidate 4]])/(SamplingData[[#Totals],[Winning Candidate]]-SamplingData[[#Totals],[Candidate 4]]), 0)</f>
        <v>0</v>
      </c>
      <c r="T791" s="99">
        <f>IF(AND(SamplingData[[#This Row],[Total]]&lt;&gt; 0, NOT(ISBLANK(SamplingData[[#This Row],[Candidate 5]]))),(SamplingData[[#This Row],[Total]]+SamplingData[[#This Row],[Winning Candidate]]-SamplingData[[#This Row],[Candidate 5]])/(SamplingData[[#Totals],[Winning Candidate]]-SamplingData[[#Totals],[Candidate 5]]), 0)</f>
        <v>0</v>
      </c>
      <c r="U791" s="99">
        <f>IF(AND(SamplingData[[#This Row],[Total]]&lt;&gt; 0, NOT(ISBLANK(SamplingData[[#This Row],[Candidate 6]]))),(SamplingData[[#This Row],[Total]]+SamplingData[[#This Row],[Losing Candidate]]-SamplingData[[#This Row],[Candidate 6]])/(SamplingData[[#Totals],[Winning Candidate]]-SamplingData[[#Totals],[Candidate 6]]), 0)</f>
        <v>0</v>
      </c>
      <c r="V791" s="99">
        <f>IF(AND(SamplingData[[#This Row],[Total]]&lt;&gt; 0, NOT(ISBLANK(SamplingData[[#This Row],[Candidate 7]]))),(SamplingData[[#This Row],[Total]]+SamplingData[[#This Row],[Winning Candidate]]-SamplingData[[#This Row],[Candidate 7]])/(SamplingData[[#Totals],[Winning Candidate]]-SamplingData[[#Totals],[Candidate 7]]), 0)</f>
        <v>0</v>
      </c>
      <c r="W791" s="99">
        <f>IF(AND(SamplingData[[#This Row],[Total]]&lt;&gt; 0, NOT(ISBLANK(SamplingData[[#This Row],[Candidate 8]]))),(SamplingData[[#This Row],[Total]]+SamplingData[[#This Row],[Winning Candidate]]-SamplingData[[#This Row],[Candidate 8]])/(SamplingData[[#Totals],[Winning Candidate]]-SamplingData[[#Totals],[Candidate 8]]), 0)</f>
        <v>0</v>
      </c>
      <c r="X7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1" s="99">
        <f>MAX(SamplingData[[#This Row],[Error Bound (up) - Max. possible relative overstatement - Losing Candidate]:[Error Bound (up) - Max. possible relative overstatement - Candidate 12]])</f>
        <v>1.3707350195213037E-2</v>
      </c>
      <c r="AC791" s="99">
        <f>IF(SamplingData[[#This Row],[Max Error Bound (up)]] = 0,0,SamplingData[[#This Row],[Max Error Bound (up)]]/SamplingData[[#Totals],[Max Error Bound (up)]])</f>
        <v>7.3390409713891102E-4</v>
      </c>
      <c r="AD791" s="103">
        <f>SUM($AC$5:AC791)</f>
        <v>0.71447495183044452</v>
      </c>
      <c r="AE791" s="99" t="str" cm="1">
        <f t="array" ref="AE791">IF(SamplingData[[#This Row],[up/U Selection Probability]] = 0, "Zero", TEXT(SamplingData[[#This Row],[Lower Range]], REPT("0",LEN('General Info'!$B$42))) &amp; " - " &amp; TEXT(SamplingData[[#This Row],[Upper Range]], REPT("0",LEN('General Info'!$B$42))))</f>
        <v>713741 - 714474</v>
      </c>
      <c r="AF791" s="99">
        <f>SamplingData[[#This Row],[Upper Range]]-SamplingData[[#This Row],[Span]]</f>
        <v>713741.0477333056</v>
      </c>
      <c r="AG791" s="99">
        <f>IF(ISNUMBER('General Info'!$B$42), ((SamplingData[[#This Row],[up/U Selection Probability]]) * 'General Info'!$B$44) - 1, 0)</f>
        <v>732.90409713891097</v>
      </c>
      <c r="AH791" s="99">
        <f>IF(ISNUMBER('General Info'!$B$42), (SamplingData[[#This Row],[Running (cumulative) sum]] * ('General Info'!$B$42 -'General Info'!$B$43 + 1)) + 'General Info'!$B$43 - 1, 0)</f>
        <v>714473.95183044451</v>
      </c>
      <c r="AI791" s="99" t="str">
        <f>IF(ISERROR(MATCH(SamplingData[[#This Row],[Batch by Type (p)]],SelectedPrecincts[Batch Name], 0)), "", INDEX(SelectedPrecincts[Draw], MATCH(SamplingData[[#This Row],[Batch by Type (p)]],SelectedPrecincts[Batch Name], 0)))</f>
        <v/>
      </c>
      <c r="AJ791" s="100">
        <f>IF(COUNTIF(SelectedPrecincts[Batch Name],SamplingData[[#This Row],[Batch by Type (p)]]) &lt;&gt; 0, COUNTIF(SelectedPrecincts[Batch Name],SamplingData[[#This Row],[Batch by Type (p)]]), 0)</f>
        <v>0</v>
      </c>
    </row>
    <row r="792" spans="1:36" ht="15" customHeight="1" x14ac:dyDescent="0.35">
      <c r="A792" s="97" t="s">
        <v>1005</v>
      </c>
      <c r="B792" s="97">
        <v>137</v>
      </c>
      <c r="C792" s="97">
        <v>662</v>
      </c>
      <c r="D792" s="92"/>
      <c r="E792" s="92"/>
      <c r="F792" s="92"/>
      <c r="G792" s="96"/>
      <c r="H792" s="96"/>
      <c r="I792" s="92"/>
      <c r="J792" s="92"/>
      <c r="K792" s="92"/>
      <c r="L792" s="92"/>
      <c r="M792" s="92"/>
      <c r="N792" s="97">
        <v>0</v>
      </c>
      <c r="O792" s="97">
        <v>39</v>
      </c>
      <c r="P792" s="98">
        <f>SUM(SamplingData[[#This Row],[Winning Candidate]:[Under Votes]])</f>
        <v>838</v>
      </c>
      <c r="Q792" s="99">
        <f>IF(AND(SamplingData[[#This Row],[Total]]&lt;&gt; 0, NOT(ISBLANK(SamplingData[[#This Row],[Losing Candidate]]))),(SamplingData[[#This Row],[Total]]+SamplingData[[#This Row],[Winning Candidate]]-SamplingData[[#This Row],[Losing Candidate]])/(SamplingData[[#Totals],[Winning Candidate]]-SamplingData[[#Totals],[Losing Candidate]]), 0)</f>
        <v>1.3282974028178577E-2</v>
      </c>
      <c r="R792" s="99">
        <f>IF(AND(SamplingData[[#This Row],[Total]]&lt;&gt; 0, NOT(ISBLANK(SamplingData[[#This Row],[Candidate 3]]))),(SamplingData[[#This Row],[Total]]+SamplingData[[#This Row],[Winning Candidate]]-SamplingData[[#This Row],[Candidate 3]])/(SamplingData[[#Totals],[Winning Candidate]]-SamplingData[[#Totals],[Candidate 3]]), 0)</f>
        <v>0</v>
      </c>
      <c r="S792" s="99">
        <f>IF(AND(SamplingData[[#This Row],[Total]]&lt;&gt; 0, NOT(ISBLANK(SamplingData[[#This Row],[Candidate 4]]))),(SamplingData[[#This Row],[Total]]+SamplingData[[#This Row],[Winning Candidate]]-SamplingData[[#This Row],[Candidate 4]])/(SamplingData[[#Totals],[Winning Candidate]]-SamplingData[[#Totals],[Candidate 4]]), 0)</f>
        <v>0</v>
      </c>
      <c r="T792" s="99">
        <f>IF(AND(SamplingData[[#This Row],[Total]]&lt;&gt; 0, NOT(ISBLANK(SamplingData[[#This Row],[Candidate 5]]))),(SamplingData[[#This Row],[Total]]+SamplingData[[#This Row],[Winning Candidate]]-SamplingData[[#This Row],[Candidate 5]])/(SamplingData[[#Totals],[Winning Candidate]]-SamplingData[[#Totals],[Candidate 5]]), 0)</f>
        <v>0</v>
      </c>
      <c r="U792" s="99">
        <f>IF(AND(SamplingData[[#This Row],[Total]]&lt;&gt; 0, NOT(ISBLANK(SamplingData[[#This Row],[Candidate 6]]))),(SamplingData[[#This Row],[Total]]+SamplingData[[#This Row],[Losing Candidate]]-SamplingData[[#This Row],[Candidate 6]])/(SamplingData[[#Totals],[Winning Candidate]]-SamplingData[[#Totals],[Candidate 6]]), 0)</f>
        <v>0</v>
      </c>
      <c r="V792" s="99">
        <f>IF(AND(SamplingData[[#This Row],[Total]]&lt;&gt; 0, NOT(ISBLANK(SamplingData[[#This Row],[Candidate 7]]))),(SamplingData[[#This Row],[Total]]+SamplingData[[#This Row],[Winning Candidate]]-SamplingData[[#This Row],[Candidate 7]])/(SamplingData[[#Totals],[Winning Candidate]]-SamplingData[[#Totals],[Candidate 7]]), 0)</f>
        <v>0</v>
      </c>
      <c r="W792" s="99">
        <f>IF(AND(SamplingData[[#This Row],[Total]]&lt;&gt; 0, NOT(ISBLANK(SamplingData[[#This Row],[Candidate 8]]))),(SamplingData[[#This Row],[Total]]+SamplingData[[#This Row],[Winning Candidate]]-SamplingData[[#This Row],[Candidate 8]])/(SamplingData[[#Totals],[Winning Candidate]]-SamplingData[[#Totals],[Candidate 8]]), 0)</f>
        <v>0</v>
      </c>
      <c r="X7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2" s="99">
        <f>MAX(SamplingData[[#This Row],[Error Bound (up) - Max. possible relative overstatement - Losing Candidate]:[Error Bound (up) - Max. possible relative overstatement - Candidate 12]])</f>
        <v>1.3282974028178577E-2</v>
      </c>
      <c r="AC792" s="99">
        <f>IF(SamplingData[[#This Row],[Max Error Bound (up)]] = 0,0,SamplingData[[#This Row],[Max Error Bound (up)]]/SamplingData[[#Totals],[Max Error Bound (up)]])</f>
        <v>7.1118260806340289E-4</v>
      </c>
      <c r="AD792" s="103">
        <f>SUM($AC$5:AC792)</f>
        <v>0.71518613443850787</v>
      </c>
      <c r="AE792" s="99" t="str" cm="1">
        <f t="array" ref="AE792">IF(SamplingData[[#This Row],[up/U Selection Probability]] = 0, "Zero", TEXT(SamplingData[[#This Row],[Lower Range]], REPT("0",LEN('General Info'!$B$42))) &amp; " - " &amp; TEXT(SamplingData[[#This Row],[Upper Range]], REPT("0",LEN('General Info'!$B$42))))</f>
        <v>714475 - 715185</v>
      </c>
      <c r="AF792" s="99">
        <f>SamplingData[[#This Row],[Upper Range]]-SamplingData[[#This Row],[Span]]</f>
        <v>714474.95183044439</v>
      </c>
      <c r="AG792" s="99">
        <f>IF(ISNUMBER('General Info'!$B$42), ((SamplingData[[#This Row],[up/U Selection Probability]]) * 'General Info'!$B$44) - 1, 0)</f>
        <v>710.18260806340288</v>
      </c>
      <c r="AH792" s="99">
        <f>IF(ISNUMBER('General Info'!$B$42), (SamplingData[[#This Row],[Running (cumulative) sum]] * ('General Info'!$B$42 -'General Info'!$B$43 + 1)) + 'General Info'!$B$43 - 1, 0)</f>
        <v>715185.13443850784</v>
      </c>
      <c r="AI792" s="99" t="str">
        <f>IF(ISERROR(MATCH(SamplingData[[#This Row],[Batch by Type (p)]],SelectedPrecincts[Batch Name], 0)), "", INDEX(SelectedPrecincts[Draw], MATCH(SamplingData[[#This Row],[Batch by Type (p)]],SelectedPrecincts[Batch Name], 0)))</f>
        <v/>
      </c>
      <c r="AJ792" s="100">
        <f>IF(COUNTIF(SelectedPrecincts[Batch Name],SamplingData[[#This Row],[Batch by Type (p)]]) &lt;&gt; 0, COUNTIF(SelectedPrecincts[Batch Name],SamplingData[[#This Row],[Batch by Type (p)]]), 0)</f>
        <v>0</v>
      </c>
    </row>
    <row r="793" spans="1:36" ht="15" customHeight="1" x14ac:dyDescent="0.35">
      <c r="A793" s="97" t="s">
        <v>1006</v>
      </c>
      <c r="B793" s="97">
        <v>106</v>
      </c>
      <c r="C793" s="97">
        <v>700</v>
      </c>
      <c r="D793" s="92"/>
      <c r="E793" s="92"/>
      <c r="F793" s="92"/>
      <c r="G793" s="96"/>
      <c r="H793" s="96"/>
      <c r="I793" s="92"/>
      <c r="J793" s="92"/>
      <c r="K793" s="92"/>
      <c r="L793" s="92"/>
      <c r="M793" s="92"/>
      <c r="N793" s="97">
        <v>0</v>
      </c>
      <c r="O793" s="97">
        <v>81</v>
      </c>
      <c r="P793" s="98">
        <f>SUM(SamplingData[[#This Row],[Winning Candidate]:[Under Votes]])</f>
        <v>887</v>
      </c>
      <c r="Q793" s="99">
        <f>IF(AND(SamplingData[[#This Row],[Total]]&lt;&gt; 0, NOT(ISBLANK(SamplingData[[#This Row],[Losing Candidate]]))),(SamplingData[[#This Row],[Total]]+SamplingData[[#This Row],[Winning Candidate]]-SamplingData[[#This Row],[Losing Candidate]])/(SamplingData[[#Totals],[Winning Candidate]]-SamplingData[[#Totals],[Losing Candidate]]), 0)</f>
        <v>1.2434221694109659E-2</v>
      </c>
      <c r="R793" s="99">
        <f>IF(AND(SamplingData[[#This Row],[Total]]&lt;&gt; 0, NOT(ISBLANK(SamplingData[[#This Row],[Candidate 3]]))),(SamplingData[[#This Row],[Total]]+SamplingData[[#This Row],[Winning Candidate]]-SamplingData[[#This Row],[Candidate 3]])/(SamplingData[[#Totals],[Winning Candidate]]-SamplingData[[#Totals],[Candidate 3]]), 0)</f>
        <v>0</v>
      </c>
      <c r="S793" s="99">
        <f>IF(AND(SamplingData[[#This Row],[Total]]&lt;&gt; 0, NOT(ISBLANK(SamplingData[[#This Row],[Candidate 4]]))),(SamplingData[[#This Row],[Total]]+SamplingData[[#This Row],[Winning Candidate]]-SamplingData[[#This Row],[Candidate 4]])/(SamplingData[[#Totals],[Winning Candidate]]-SamplingData[[#Totals],[Candidate 4]]), 0)</f>
        <v>0</v>
      </c>
      <c r="T793" s="99">
        <f>IF(AND(SamplingData[[#This Row],[Total]]&lt;&gt; 0, NOT(ISBLANK(SamplingData[[#This Row],[Candidate 5]]))),(SamplingData[[#This Row],[Total]]+SamplingData[[#This Row],[Winning Candidate]]-SamplingData[[#This Row],[Candidate 5]])/(SamplingData[[#Totals],[Winning Candidate]]-SamplingData[[#Totals],[Candidate 5]]), 0)</f>
        <v>0</v>
      </c>
      <c r="U793" s="99">
        <f>IF(AND(SamplingData[[#This Row],[Total]]&lt;&gt; 0, NOT(ISBLANK(SamplingData[[#This Row],[Candidate 6]]))),(SamplingData[[#This Row],[Total]]+SamplingData[[#This Row],[Losing Candidate]]-SamplingData[[#This Row],[Candidate 6]])/(SamplingData[[#Totals],[Winning Candidate]]-SamplingData[[#Totals],[Candidate 6]]), 0)</f>
        <v>0</v>
      </c>
      <c r="V793" s="99">
        <f>IF(AND(SamplingData[[#This Row],[Total]]&lt;&gt; 0, NOT(ISBLANK(SamplingData[[#This Row],[Candidate 7]]))),(SamplingData[[#This Row],[Total]]+SamplingData[[#This Row],[Winning Candidate]]-SamplingData[[#This Row],[Candidate 7]])/(SamplingData[[#Totals],[Winning Candidate]]-SamplingData[[#Totals],[Candidate 7]]), 0)</f>
        <v>0</v>
      </c>
      <c r="W793" s="99">
        <f>IF(AND(SamplingData[[#This Row],[Total]]&lt;&gt; 0, NOT(ISBLANK(SamplingData[[#This Row],[Candidate 8]]))),(SamplingData[[#This Row],[Total]]+SamplingData[[#This Row],[Winning Candidate]]-SamplingData[[#This Row],[Candidate 8]])/(SamplingData[[#Totals],[Winning Candidate]]-SamplingData[[#Totals],[Candidate 8]]), 0)</f>
        <v>0</v>
      </c>
      <c r="X7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3" s="99">
        <f>MAX(SamplingData[[#This Row],[Error Bound (up) - Max. possible relative overstatement - Losing Candidate]:[Error Bound (up) - Max. possible relative overstatement - Candidate 12]])</f>
        <v>1.2434221694109659E-2</v>
      </c>
      <c r="AC793" s="99">
        <f>IF(SamplingData[[#This Row],[Max Error Bound (up)]] = 0,0,SamplingData[[#This Row],[Max Error Bound (up)]]/SamplingData[[#Totals],[Max Error Bound (up)]])</f>
        <v>6.6573962991238684E-4</v>
      </c>
      <c r="AD793" s="103">
        <f>SUM($AC$5:AC793)</f>
        <v>0.71585187406842021</v>
      </c>
      <c r="AE793" s="99" t="str" cm="1">
        <f t="array" ref="AE793">IF(SamplingData[[#This Row],[up/U Selection Probability]] = 0, "Zero", TEXT(SamplingData[[#This Row],[Lower Range]], REPT("0",LEN('General Info'!$B$42))) &amp; " - " &amp; TEXT(SamplingData[[#This Row],[Upper Range]], REPT("0",LEN('General Info'!$B$42))))</f>
        <v>715186 - 715851</v>
      </c>
      <c r="AF793" s="99">
        <f>SamplingData[[#This Row],[Upper Range]]-SamplingData[[#This Row],[Span]]</f>
        <v>715186.13443850784</v>
      </c>
      <c r="AG793" s="99">
        <f>IF(ISNUMBER('General Info'!$B$42), ((SamplingData[[#This Row],[up/U Selection Probability]]) * 'General Info'!$B$44) - 1, 0)</f>
        <v>664.73962991238682</v>
      </c>
      <c r="AH793" s="99">
        <f>IF(ISNUMBER('General Info'!$B$42), (SamplingData[[#This Row],[Running (cumulative) sum]] * ('General Info'!$B$42 -'General Info'!$B$43 + 1)) + 'General Info'!$B$43 - 1, 0)</f>
        <v>715850.87406842026</v>
      </c>
      <c r="AI793" s="99" t="str">
        <f>IF(ISERROR(MATCH(SamplingData[[#This Row],[Batch by Type (p)]],SelectedPrecincts[Batch Name], 0)), "", INDEX(SelectedPrecincts[Draw], MATCH(SamplingData[[#This Row],[Batch by Type (p)]],SelectedPrecincts[Batch Name], 0)))</f>
        <v/>
      </c>
      <c r="AJ793" s="100">
        <f>IF(COUNTIF(SelectedPrecincts[Batch Name],SamplingData[[#This Row],[Batch by Type (p)]]) &lt;&gt; 0, COUNTIF(SelectedPrecincts[Batch Name],SamplingData[[#This Row],[Batch by Type (p)]]), 0)</f>
        <v>0</v>
      </c>
    </row>
    <row r="794" spans="1:36" ht="15" customHeight="1" x14ac:dyDescent="0.35">
      <c r="A794" s="97" t="s">
        <v>1007</v>
      </c>
      <c r="B794" s="97">
        <v>161</v>
      </c>
      <c r="C794" s="97">
        <v>694</v>
      </c>
      <c r="D794" s="92"/>
      <c r="E794" s="92"/>
      <c r="F794" s="92"/>
      <c r="G794" s="96"/>
      <c r="H794" s="96"/>
      <c r="I794" s="92"/>
      <c r="J794" s="92"/>
      <c r="K794" s="92"/>
      <c r="L794" s="92"/>
      <c r="M794" s="92"/>
      <c r="N794" s="97">
        <v>0</v>
      </c>
      <c r="O794" s="97">
        <v>75</v>
      </c>
      <c r="P794" s="98">
        <f>SUM(SamplingData[[#This Row],[Winning Candidate]:[Under Votes]])</f>
        <v>930</v>
      </c>
      <c r="Q794" s="99">
        <f>IF(AND(SamplingData[[#This Row],[Total]]&lt;&gt; 0, NOT(ISBLANK(SamplingData[[#This Row],[Losing Candidate]]))),(SamplingData[[#This Row],[Total]]+SamplingData[[#This Row],[Winning Candidate]]-SamplingData[[#This Row],[Losing Candidate]])/(SamplingData[[#Totals],[Winning Candidate]]-SamplingData[[#Totals],[Losing Candidate]]), 0)</f>
        <v>1.6847733831268037E-2</v>
      </c>
      <c r="R794" s="99">
        <f>IF(AND(SamplingData[[#This Row],[Total]]&lt;&gt; 0, NOT(ISBLANK(SamplingData[[#This Row],[Candidate 3]]))),(SamplingData[[#This Row],[Total]]+SamplingData[[#This Row],[Winning Candidate]]-SamplingData[[#This Row],[Candidate 3]])/(SamplingData[[#Totals],[Winning Candidate]]-SamplingData[[#Totals],[Candidate 3]]), 0)</f>
        <v>0</v>
      </c>
      <c r="S794" s="99">
        <f>IF(AND(SamplingData[[#This Row],[Total]]&lt;&gt; 0, NOT(ISBLANK(SamplingData[[#This Row],[Candidate 4]]))),(SamplingData[[#This Row],[Total]]+SamplingData[[#This Row],[Winning Candidate]]-SamplingData[[#This Row],[Candidate 4]])/(SamplingData[[#Totals],[Winning Candidate]]-SamplingData[[#Totals],[Candidate 4]]), 0)</f>
        <v>0</v>
      </c>
      <c r="T794" s="99">
        <f>IF(AND(SamplingData[[#This Row],[Total]]&lt;&gt; 0, NOT(ISBLANK(SamplingData[[#This Row],[Candidate 5]]))),(SamplingData[[#This Row],[Total]]+SamplingData[[#This Row],[Winning Candidate]]-SamplingData[[#This Row],[Candidate 5]])/(SamplingData[[#Totals],[Winning Candidate]]-SamplingData[[#Totals],[Candidate 5]]), 0)</f>
        <v>0</v>
      </c>
      <c r="U794" s="99">
        <f>IF(AND(SamplingData[[#This Row],[Total]]&lt;&gt; 0, NOT(ISBLANK(SamplingData[[#This Row],[Candidate 6]]))),(SamplingData[[#This Row],[Total]]+SamplingData[[#This Row],[Losing Candidate]]-SamplingData[[#This Row],[Candidate 6]])/(SamplingData[[#Totals],[Winning Candidate]]-SamplingData[[#Totals],[Candidate 6]]), 0)</f>
        <v>0</v>
      </c>
      <c r="V794" s="99">
        <f>IF(AND(SamplingData[[#This Row],[Total]]&lt;&gt; 0, NOT(ISBLANK(SamplingData[[#This Row],[Candidate 7]]))),(SamplingData[[#This Row],[Total]]+SamplingData[[#This Row],[Winning Candidate]]-SamplingData[[#This Row],[Candidate 7]])/(SamplingData[[#Totals],[Winning Candidate]]-SamplingData[[#Totals],[Candidate 7]]), 0)</f>
        <v>0</v>
      </c>
      <c r="W794" s="99">
        <f>IF(AND(SamplingData[[#This Row],[Total]]&lt;&gt; 0, NOT(ISBLANK(SamplingData[[#This Row],[Candidate 8]]))),(SamplingData[[#This Row],[Total]]+SamplingData[[#This Row],[Winning Candidate]]-SamplingData[[#This Row],[Candidate 8]])/(SamplingData[[#Totals],[Winning Candidate]]-SamplingData[[#Totals],[Candidate 8]]), 0)</f>
        <v>0</v>
      </c>
      <c r="X7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4" s="99">
        <f>MAX(SamplingData[[#This Row],[Error Bound (up) - Max. possible relative overstatement - Losing Candidate]:[Error Bound (up) - Max. possible relative overstatement - Candidate 12]])</f>
        <v>1.6847733831268037E-2</v>
      </c>
      <c r="AC794" s="99">
        <f>IF(SamplingData[[#This Row],[Max Error Bound (up)]] = 0,0,SamplingData[[#This Row],[Max Error Bound (up)]]/SamplingData[[#Totals],[Max Error Bound (up)]])</f>
        <v>9.0204311629767087E-4</v>
      </c>
      <c r="AD794" s="103">
        <f>SUM($AC$5:AC794)</f>
        <v>0.71675391718471793</v>
      </c>
      <c r="AE794" s="99" t="str" cm="1">
        <f t="array" ref="AE794">IF(SamplingData[[#This Row],[up/U Selection Probability]] = 0, "Zero", TEXT(SamplingData[[#This Row],[Lower Range]], REPT("0",LEN('General Info'!$B$42))) &amp; " - " &amp; TEXT(SamplingData[[#This Row],[Upper Range]], REPT("0",LEN('General Info'!$B$42))))</f>
        <v>715852 - 716753</v>
      </c>
      <c r="AF794" s="99">
        <f>SamplingData[[#This Row],[Upper Range]]-SamplingData[[#This Row],[Span]]</f>
        <v>715851.87406842026</v>
      </c>
      <c r="AG794" s="99">
        <f>IF(ISNUMBER('General Info'!$B$42), ((SamplingData[[#This Row],[up/U Selection Probability]]) * 'General Info'!$B$44) - 1, 0)</f>
        <v>901.04311629767085</v>
      </c>
      <c r="AH794" s="99">
        <f>IF(ISNUMBER('General Info'!$B$42), (SamplingData[[#This Row],[Running (cumulative) sum]] * ('General Info'!$B$42 -'General Info'!$B$43 + 1)) + 'General Info'!$B$43 - 1, 0)</f>
        <v>716752.91718471795</v>
      </c>
      <c r="AI794" s="99" t="str">
        <f>IF(ISERROR(MATCH(SamplingData[[#This Row],[Batch by Type (p)]],SelectedPrecincts[Batch Name], 0)), "", INDEX(SelectedPrecincts[Draw], MATCH(SamplingData[[#This Row],[Batch by Type (p)]],SelectedPrecincts[Batch Name], 0)))</f>
        <v/>
      </c>
      <c r="AJ794" s="100">
        <f>IF(COUNTIF(SelectedPrecincts[Batch Name],SamplingData[[#This Row],[Batch by Type (p)]]) &lt;&gt; 0, COUNTIF(SelectedPrecincts[Batch Name],SamplingData[[#This Row],[Batch by Type (p)]]), 0)</f>
        <v>0</v>
      </c>
    </row>
    <row r="795" spans="1:36" ht="15" customHeight="1" x14ac:dyDescent="0.35">
      <c r="A795" s="97" t="s">
        <v>1008</v>
      </c>
      <c r="B795" s="97">
        <v>67</v>
      </c>
      <c r="C795" s="97">
        <v>298</v>
      </c>
      <c r="D795" s="92"/>
      <c r="E795" s="92"/>
      <c r="F795" s="92"/>
      <c r="G795" s="96"/>
      <c r="H795" s="96"/>
      <c r="I795" s="92"/>
      <c r="J795" s="92"/>
      <c r="K795" s="92"/>
      <c r="L795" s="92"/>
      <c r="M795" s="92"/>
      <c r="N795" s="97">
        <v>0</v>
      </c>
      <c r="O795" s="97">
        <v>27</v>
      </c>
      <c r="P795" s="98">
        <f>SUM(SamplingData[[#This Row],[Winning Candidate]:[Under Votes]])</f>
        <v>392</v>
      </c>
      <c r="Q795" s="99">
        <f>IF(AND(SamplingData[[#This Row],[Total]]&lt;&gt; 0, NOT(ISBLANK(SamplingData[[#This Row],[Losing Candidate]]))),(SamplingData[[#This Row],[Total]]+SamplingData[[#This Row],[Winning Candidate]]-SamplingData[[#This Row],[Losing Candidate]])/(SamplingData[[#Totals],[Winning Candidate]]-SamplingData[[#Totals],[Losing Candidate]]), 0)</f>
        <v>6.8324562892547952E-3</v>
      </c>
      <c r="R795" s="99">
        <f>IF(AND(SamplingData[[#This Row],[Total]]&lt;&gt; 0, NOT(ISBLANK(SamplingData[[#This Row],[Candidate 3]]))),(SamplingData[[#This Row],[Total]]+SamplingData[[#This Row],[Winning Candidate]]-SamplingData[[#This Row],[Candidate 3]])/(SamplingData[[#Totals],[Winning Candidate]]-SamplingData[[#Totals],[Candidate 3]]), 0)</f>
        <v>0</v>
      </c>
      <c r="S795" s="99">
        <f>IF(AND(SamplingData[[#This Row],[Total]]&lt;&gt; 0, NOT(ISBLANK(SamplingData[[#This Row],[Candidate 4]]))),(SamplingData[[#This Row],[Total]]+SamplingData[[#This Row],[Winning Candidate]]-SamplingData[[#This Row],[Candidate 4]])/(SamplingData[[#Totals],[Winning Candidate]]-SamplingData[[#Totals],[Candidate 4]]), 0)</f>
        <v>0</v>
      </c>
      <c r="T795" s="99">
        <f>IF(AND(SamplingData[[#This Row],[Total]]&lt;&gt; 0, NOT(ISBLANK(SamplingData[[#This Row],[Candidate 5]]))),(SamplingData[[#This Row],[Total]]+SamplingData[[#This Row],[Winning Candidate]]-SamplingData[[#This Row],[Candidate 5]])/(SamplingData[[#Totals],[Winning Candidate]]-SamplingData[[#Totals],[Candidate 5]]), 0)</f>
        <v>0</v>
      </c>
      <c r="U795" s="99">
        <f>IF(AND(SamplingData[[#This Row],[Total]]&lt;&gt; 0, NOT(ISBLANK(SamplingData[[#This Row],[Candidate 6]]))),(SamplingData[[#This Row],[Total]]+SamplingData[[#This Row],[Losing Candidate]]-SamplingData[[#This Row],[Candidate 6]])/(SamplingData[[#Totals],[Winning Candidate]]-SamplingData[[#Totals],[Candidate 6]]), 0)</f>
        <v>0</v>
      </c>
      <c r="V795" s="99">
        <f>IF(AND(SamplingData[[#This Row],[Total]]&lt;&gt; 0, NOT(ISBLANK(SamplingData[[#This Row],[Candidate 7]]))),(SamplingData[[#This Row],[Total]]+SamplingData[[#This Row],[Winning Candidate]]-SamplingData[[#This Row],[Candidate 7]])/(SamplingData[[#Totals],[Winning Candidate]]-SamplingData[[#Totals],[Candidate 7]]), 0)</f>
        <v>0</v>
      </c>
      <c r="W795" s="99">
        <f>IF(AND(SamplingData[[#This Row],[Total]]&lt;&gt; 0, NOT(ISBLANK(SamplingData[[#This Row],[Candidate 8]]))),(SamplingData[[#This Row],[Total]]+SamplingData[[#This Row],[Winning Candidate]]-SamplingData[[#This Row],[Candidate 8]])/(SamplingData[[#Totals],[Winning Candidate]]-SamplingData[[#Totals],[Candidate 8]]), 0)</f>
        <v>0</v>
      </c>
      <c r="X7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5" s="99">
        <f>MAX(SamplingData[[#This Row],[Error Bound (up) - Max. possible relative overstatement - Losing Candidate]:[Error Bound (up) - Max. possible relative overstatement - Candidate 12]])</f>
        <v>6.8324562892547952E-3</v>
      </c>
      <c r="AC795" s="99">
        <f>IF(SamplingData[[#This Row],[Max Error Bound (up)]] = 0,0,SamplingData[[#This Row],[Max Error Bound (up)]]/SamplingData[[#Totals],[Max Error Bound (up)]])</f>
        <v>3.6581597411568012E-4</v>
      </c>
      <c r="AD795" s="103">
        <f>SUM($AC$5:AC795)</f>
        <v>0.71711973315883359</v>
      </c>
      <c r="AE795" s="99" t="str" cm="1">
        <f t="array" ref="AE795">IF(SamplingData[[#This Row],[up/U Selection Probability]] = 0, "Zero", TEXT(SamplingData[[#This Row],[Lower Range]], REPT("0",LEN('General Info'!$B$42))) &amp; " - " &amp; TEXT(SamplingData[[#This Row],[Upper Range]], REPT("0",LEN('General Info'!$B$42))))</f>
        <v>716754 - 717119</v>
      </c>
      <c r="AF795" s="99">
        <f>SamplingData[[#This Row],[Upper Range]]-SamplingData[[#This Row],[Span]]</f>
        <v>716753.91718471795</v>
      </c>
      <c r="AG795" s="99">
        <f>IF(ISNUMBER('General Info'!$B$42), ((SamplingData[[#This Row],[up/U Selection Probability]]) * 'General Info'!$B$44) - 1, 0)</f>
        <v>364.81597411568015</v>
      </c>
      <c r="AH795" s="99">
        <f>IF(ISNUMBER('General Info'!$B$42), (SamplingData[[#This Row],[Running (cumulative) sum]] * ('General Info'!$B$42 -'General Info'!$B$43 + 1)) + 'General Info'!$B$43 - 1, 0)</f>
        <v>717118.73315883358</v>
      </c>
      <c r="AI795" s="99" t="str">
        <f>IF(ISERROR(MATCH(SamplingData[[#This Row],[Batch by Type (p)]],SelectedPrecincts[Batch Name], 0)), "", INDEX(SelectedPrecincts[Draw], MATCH(SamplingData[[#This Row],[Batch by Type (p)]],SelectedPrecincts[Batch Name], 0)))</f>
        <v/>
      </c>
      <c r="AJ795" s="100">
        <f>IF(COUNTIF(SelectedPrecincts[Batch Name],SamplingData[[#This Row],[Batch by Type (p)]]) &lt;&gt; 0, COUNTIF(SelectedPrecincts[Batch Name],SamplingData[[#This Row],[Batch by Type (p)]]), 0)</f>
        <v>0</v>
      </c>
    </row>
    <row r="796" spans="1:36" ht="15" customHeight="1" x14ac:dyDescent="0.35">
      <c r="A796" s="97" t="s">
        <v>1009</v>
      </c>
      <c r="B796" s="97">
        <v>94</v>
      </c>
      <c r="C796" s="97">
        <v>201</v>
      </c>
      <c r="D796" s="92"/>
      <c r="E796" s="92"/>
      <c r="F796" s="92"/>
      <c r="G796" s="96"/>
      <c r="H796" s="96"/>
      <c r="I796" s="92"/>
      <c r="J796" s="92"/>
      <c r="K796" s="92"/>
      <c r="L796" s="92"/>
      <c r="M796" s="92"/>
      <c r="N796" s="97">
        <v>0</v>
      </c>
      <c r="O796" s="97">
        <v>21</v>
      </c>
      <c r="P796" s="98">
        <f>SUM(SamplingData[[#This Row],[Winning Candidate]:[Under Votes]])</f>
        <v>316</v>
      </c>
      <c r="Q796" s="99">
        <f>IF(AND(SamplingData[[#This Row],[Total]]&lt;&gt; 0, NOT(ISBLANK(SamplingData[[#This Row],[Losing Candidate]]))),(SamplingData[[#This Row],[Total]]+SamplingData[[#This Row],[Winning Candidate]]-SamplingData[[#This Row],[Losing Candidate]])/(SamplingData[[#Totals],[Winning Candidate]]-SamplingData[[#Totals],[Losing Candidate]]), 0)</f>
        <v>8.8694618910202007E-3</v>
      </c>
      <c r="R796" s="99">
        <f>IF(AND(SamplingData[[#This Row],[Total]]&lt;&gt; 0, NOT(ISBLANK(SamplingData[[#This Row],[Candidate 3]]))),(SamplingData[[#This Row],[Total]]+SamplingData[[#This Row],[Winning Candidate]]-SamplingData[[#This Row],[Candidate 3]])/(SamplingData[[#Totals],[Winning Candidate]]-SamplingData[[#Totals],[Candidate 3]]), 0)</f>
        <v>0</v>
      </c>
      <c r="S796" s="99">
        <f>IF(AND(SamplingData[[#This Row],[Total]]&lt;&gt; 0, NOT(ISBLANK(SamplingData[[#This Row],[Candidate 4]]))),(SamplingData[[#This Row],[Total]]+SamplingData[[#This Row],[Winning Candidate]]-SamplingData[[#This Row],[Candidate 4]])/(SamplingData[[#Totals],[Winning Candidate]]-SamplingData[[#Totals],[Candidate 4]]), 0)</f>
        <v>0</v>
      </c>
      <c r="T796" s="99">
        <f>IF(AND(SamplingData[[#This Row],[Total]]&lt;&gt; 0, NOT(ISBLANK(SamplingData[[#This Row],[Candidate 5]]))),(SamplingData[[#This Row],[Total]]+SamplingData[[#This Row],[Winning Candidate]]-SamplingData[[#This Row],[Candidate 5]])/(SamplingData[[#Totals],[Winning Candidate]]-SamplingData[[#Totals],[Candidate 5]]), 0)</f>
        <v>0</v>
      </c>
      <c r="U796" s="99">
        <f>IF(AND(SamplingData[[#This Row],[Total]]&lt;&gt; 0, NOT(ISBLANK(SamplingData[[#This Row],[Candidate 6]]))),(SamplingData[[#This Row],[Total]]+SamplingData[[#This Row],[Losing Candidate]]-SamplingData[[#This Row],[Candidate 6]])/(SamplingData[[#Totals],[Winning Candidate]]-SamplingData[[#Totals],[Candidate 6]]), 0)</f>
        <v>0</v>
      </c>
      <c r="V796" s="99">
        <f>IF(AND(SamplingData[[#This Row],[Total]]&lt;&gt; 0, NOT(ISBLANK(SamplingData[[#This Row],[Candidate 7]]))),(SamplingData[[#This Row],[Total]]+SamplingData[[#This Row],[Winning Candidate]]-SamplingData[[#This Row],[Candidate 7]])/(SamplingData[[#Totals],[Winning Candidate]]-SamplingData[[#Totals],[Candidate 7]]), 0)</f>
        <v>0</v>
      </c>
      <c r="W796" s="99">
        <f>IF(AND(SamplingData[[#This Row],[Total]]&lt;&gt; 0, NOT(ISBLANK(SamplingData[[#This Row],[Candidate 8]]))),(SamplingData[[#This Row],[Total]]+SamplingData[[#This Row],[Winning Candidate]]-SamplingData[[#This Row],[Candidate 8]])/(SamplingData[[#Totals],[Winning Candidate]]-SamplingData[[#Totals],[Candidate 8]]), 0)</f>
        <v>0</v>
      </c>
      <c r="X7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6" s="99">
        <f>MAX(SamplingData[[#This Row],[Error Bound (up) - Max. possible relative overstatement - Losing Candidate]:[Error Bound (up) - Max. possible relative overstatement - Candidate 12]])</f>
        <v>8.8694618910202007E-3</v>
      </c>
      <c r="AC796" s="99">
        <f>IF(SamplingData[[#This Row],[Max Error Bound (up)]] = 0,0,SamplingData[[#This Row],[Max Error Bound (up)]]/SamplingData[[#Totals],[Max Error Bound (up)]])</f>
        <v>4.7487912167811891E-4</v>
      </c>
      <c r="AD796" s="103">
        <f>SUM($AC$5:AC796)</f>
        <v>0.71759461228051169</v>
      </c>
      <c r="AE796" s="99" t="str" cm="1">
        <f t="array" ref="AE796">IF(SamplingData[[#This Row],[up/U Selection Probability]] = 0, "Zero", TEXT(SamplingData[[#This Row],[Lower Range]], REPT("0",LEN('General Info'!$B$42))) &amp; " - " &amp; TEXT(SamplingData[[#This Row],[Upper Range]], REPT("0",LEN('General Info'!$B$42))))</f>
        <v>717120 - 717594</v>
      </c>
      <c r="AF796" s="99">
        <f>SamplingData[[#This Row],[Upper Range]]-SamplingData[[#This Row],[Span]]</f>
        <v>717119.73315883358</v>
      </c>
      <c r="AG796" s="99">
        <f>IF(ISNUMBER('General Info'!$B$42), ((SamplingData[[#This Row],[up/U Selection Probability]]) * 'General Info'!$B$44) - 1, 0)</f>
        <v>473.87912167811891</v>
      </c>
      <c r="AH796" s="99">
        <f>IF(ISNUMBER('General Info'!$B$42), (SamplingData[[#This Row],[Running (cumulative) sum]] * ('General Info'!$B$42 -'General Info'!$B$43 + 1)) + 'General Info'!$B$43 - 1, 0)</f>
        <v>717593.61228051165</v>
      </c>
      <c r="AI796" s="99" t="str">
        <f>IF(ISERROR(MATCH(SamplingData[[#This Row],[Batch by Type (p)]],SelectedPrecincts[Batch Name], 0)), "", INDEX(SelectedPrecincts[Draw], MATCH(SamplingData[[#This Row],[Batch by Type (p)]],SelectedPrecincts[Batch Name], 0)))</f>
        <v/>
      </c>
      <c r="AJ796" s="100">
        <f>IF(COUNTIF(SelectedPrecincts[Batch Name],SamplingData[[#This Row],[Batch by Type (p)]]) &lt;&gt; 0, COUNTIF(SelectedPrecincts[Batch Name],SamplingData[[#This Row],[Batch by Type (p)]]), 0)</f>
        <v>0</v>
      </c>
    </row>
    <row r="797" spans="1:36" ht="15" customHeight="1" x14ac:dyDescent="0.35">
      <c r="A797" s="97" t="s">
        <v>1010</v>
      </c>
      <c r="B797" s="97">
        <v>102</v>
      </c>
      <c r="C797" s="97">
        <v>343</v>
      </c>
      <c r="D797" s="92"/>
      <c r="E797" s="92"/>
      <c r="F797" s="92"/>
      <c r="G797" s="96"/>
      <c r="H797" s="96"/>
      <c r="I797" s="92"/>
      <c r="J797" s="92"/>
      <c r="K797" s="92"/>
      <c r="L797" s="92"/>
      <c r="M797" s="92"/>
      <c r="N797" s="97">
        <v>0</v>
      </c>
      <c r="O797" s="97">
        <v>24</v>
      </c>
      <c r="P797" s="98">
        <f>SUM(SamplingData[[#This Row],[Winning Candidate]:[Under Votes]])</f>
        <v>469</v>
      </c>
      <c r="Q797" s="99">
        <f>IF(AND(SamplingData[[#This Row],[Total]]&lt;&gt; 0, NOT(ISBLANK(SamplingData[[#This Row],[Losing Candidate]]))),(SamplingData[[#This Row],[Total]]+SamplingData[[#This Row],[Winning Candidate]]-SamplingData[[#This Row],[Losing Candidate]])/(SamplingData[[#Totals],[Winning Candidate]]-SamplingData[[#Totals],[Losing Candidate]]), 0)</f>
        <v>9.6757766083856722E-3</v>
      </c>
      <c r="R797" s="99">
        <f>IF(AND(SamplingData[[#This Row],[Total]]&lt;&gt; 0, NOT(ISBLANK(SamplingData[[#This Row],[Candidate 3]]))),(SamplingData[[#This Row],[Total]]+SamplingData[[#This Row],[Winning Candidate]]-SamplingData[[#This Row],[Candidate 3]])/(SamplingData[[#Totals],[Winning Candidate]]-SamplingData[[#Totals],[Candidate 3]]), 0)</f>
        <v>0</v>
      </c>
      <c r="S797" s="99">
        <f>IF(AND(SamplingData[[#This Row],[Total]]&lt;&gt; 0, NOT(ISBLANK(SamplingData[[#This Row],[Candidate 4]]))),(SamplingData[[#This Row],[Total]]+SamplingData[[#This Row],[Winning Candidate]]-SamplingData[[#This Row],[Candidate 4]])/(SamplingData[[#Totals],[Winning Candidate]]-SamplingData[[#Totals],[Candidate 4]]), 0)</f>
        <v>0</v>
      </c>
      <c r="T797" s="99">
        <f>IF(AND(SamplingData[[#This Row],[Total]]&lt;&gt; 0, NOT(ISBLANK(SamplingData[[#This Row],[Candidate 5]]))),(SamplingData[[#This Row],[Total]]+SamplingData[[#This Row],[Winning Candidate]]-SamplingData[[#This Row],[Candidate 5]])/(SamplingData[[#Totals],[Winning Candidate]]-SamplingData[[#Totals],[Candidate 5]]), 0)</f>
        <v>0</v>
      </c>
      <c r="U797" s="99">
        <f>IF(AND(SamplingData[[#This Row],[Total]]&lt;&gt; 0, NOT(ISBLANK(SamplingData[[#This Row],[Candidate 6]]))),(SamplingData[[#This Row],[Total]]+SamplingData[[#This Row],[Losing Candidate]]-SamplingData[[#This Row],[Candidate 6]])/(SamplingData[[#Totals],[Winning Candidate]]-SamplingData[[#Totals],[Candidate 6]]), 0)</f>
        <v>0</v>
      </c>
      <c r="V797" s="99">
        <f>IF(AND(SamplingData[[#This Row],[Total]]&lt;&gt; 0, NOT(ISBLANK(SamplingData[[#This Row],[Candidate 7]]))),(SamplingData[[#This Row],[Total]]+SamplingData[[#This Row],[Winning Candidate]]-SamplingData[[#This Row],[Candidate 7]])/(SamplingData[[#Totals],[Winning Candidate]]-SamplingData[[#Totals],[Candidate 7]]), 0)</f>
        <v>0</v>
      </c>
      <c r="W797" s="99">
        <f>IF(AND(SamplingData[[#This Row],[Total]]&lt;&gt; 0, NOT(ISBLANK(SamplingData[[#This Row],[Candidate 8]]))),(SamplingData[[#This Row],[Total]]+SamplingData[[#This Row],[Winning Candidate]]-SamplingData[[#This Row],[Candidate 8]])/(SamplingData[[#Totals],[Winning Candidate]]-SamplingData[[#Totals],[Candidate 8]]), 0)</f>
        <v>0</v>
      </c>
      <c r="X7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7" s="99">
        <f>MAX(SamplingData[[#This Row],[Error Bound (up) - Max. possible relative overstatement - Losing Candidate]:[Error Bound (up) - Max. possible relative overstatement - Candidate 12]])</f>
        <v>9.6757766083856722E-3</v>
      </c>
      <c r="AC797" s="99">
        <f>IF(SamplingData[[#This Row],[Max Error Bound (up)]] = 0,0,SamplingData[[#This Row],[Max Error Bound (up)]]/SamplingData[[#Totals],[Max Error Bound (up)]])</f>
        <v>5.1804995092158423E-4</v>
      </c>
      <c r="AD797" s="103">
        <f>SUM($AC$5:AC797)</f>
        <v>0.71811266223143333</v>
      </c>
      <c r="AE797" s="99" t="str" cm="1">
        <f t="array" ref="AE797">IF(SamplingData[[#This Row],[up/U Selection Probability]] = 0, "Zero", TEXT(SamplingData[[#This Row],[Lower Range]], REPT("0",LEN('General Info'!$B$42))) &amp; " - " &amp; TEXT(SamplingData[[#This Row],[Upper Range]], REPT("0",LEN('General Info'!$B$42))))</f>
        <v>717595 - 718112</v>
      </c>
      <c r="AF797" s="99">
        <f>SamplingData[[#This Row],[Upper Range]]-SamplingData[[#This Row],[Span]]</f>
        <v>717594.61228051176</v>
      </c>
      <c r="AG797" s="99">
        <f>IF(ISNUMBER('General Info'!$B$42), ((SamplingData[[#This Row],[up/U Selection Probability]]) * 'General Info'!$B$44) - 1, 0)</f>
        <v>517.04995092158424</v>
      </c>
      <c r="AH797" s="99">
        <f>IF(ISNUMBER('General Info'!$B$42), (SamplingData[[#This Row],[Running (cumulative) sum]] * ('General Info'!$B$42 -'General Info'!$B$43 + 1)) + 'General Info'!$B$43 - 1, 0)</f>
        <v>718111.66223143332</v>
      </c>
      <c r="AI797" s="99" t="str">
        <f>IF(ISERROR(MATCH(SamplingData[[#This Row],[Batch by Type (p)]],SelectedPrecincts[Batch Name], 0)), "", INDEX(SelectedPrecincts[Draw], MATCH(SamplingData[[#This Row],[Batch by Type (p)]],SelectedPrecincts[Batch Name], 0)))</f>
        <v/>
      </c>
      <c r="AJ797" s="100">
        <f>IF(COUNTIF(SelectedPrecincts[Batch Name],SamplingData[[#This Row],[Batch by Type (p)]]) &lt;&gt; 0, COUNTIF(SelectedPrecincts[Batch Name],SamplingData[[#This Row],[Batch by Type (p)]]), 0)</f>
        <v>0</v>
      </c>
    </row>
    <row r="798" spans="1:36" ht="15" customHeight="1" x14ac:dyDescent="0.35">
      <c r="A798" s="97" t="s">
        <v>1011</v>
      </c>
      <c r="B798" s="97">
        <v>111</v>
      </c>
      <c r="C798" s="97">
        <v>242</v>
      </c>
      <c r="D798" s="92"/>
      <c r="E798" s="92"/>
      <c r="F798" s="92"/>
      <c r="G798" s="96"/>
      <c r="H798" s="96"/>
      <c r="I798" s="92"/>
      <c r="J798" s="92"/>
      <c r="K798" s="92"/>
      <c r="L798" s="92"/>
      <c r="M798" s="92"/>
      <c r="N798" s="97">
        <v>0</v>
      </c>
      <c r="O798" s="97">
        <v>22</v>
      </c>
      <c r="P798" s="98">
        <f>SUM(SamplingData[[#This Row],[Winning Candidate]:[Under Votes]])</f>
        <v>375</v>
      </c>
      <c r="Q798" s="99">
        <f>IF(AND(SamplingData[[#This Row],[Total]]&lt;&gt; 0, NOT(ISBLANK(SamplingData[[#This Row],[Losing Candidate]]))),(SamplingData[[#This Row],[Total]]+SamplingData[[#This Row],[Winning Candidate]]-SamplingData[[#This Row],[Losing Candidate]])/(SamplingData[[#Totals],[Winning Candidate]]-SamplingData[[#Totals],[Losing Candidate]]), 0)</f>
        <v>1.0354778475640808E-2</v>
      </c>
      <c r="R798" s="99">
        <f>IF(AND(SamplingData[[#This Row],[Total]]&lt;&gt; 0, NOT(ISBLANK(SamplingData[[#This Row],[Candidate 3]]))),(SamplingData[[#This Row],[Total]]+SamplingData[[#This Row],[Winning Candidate]]-SamplingData[[#This Row],[Candidate 3]])/(SamplingData[[#Totals],[Winning Candidate]]-SamplingData[[#Totals],[Candidate 3]]), 0)</f>
        <v>0</v>
      </c>
      <c r="S798" s="99">
        <f>IF(AND(SamplingData[[#This Row],[Total]]&lt;&gt; 0, NOT(ISBLANK(SamplingData[[#This Row],[Candidate 4]]))),(SamplingData[[#This Row],[Total]]+SamplingData[[#This Row],[Winning Candidate]]-SamplingData[[#This Row],[Candidate 4]])/(SamplingData[[#Totals],[Winning Candidate]]-SamplingData[[#Totals],[Candidate 4]]), 0)</f>
        <v>0</v>
      </c>
      <c r="T798" s="99">
        <f>IF(AND(SamplingData[[#This Row],[Total]]&lt;&gt; 0, NOT(ISBLANK(SamplingData[[#This Row],[Candidate 5]]))),(SamplingData[[#This Row],[Total]]+SamplingData[[#This Row],[Winning Candidate]]-SamplingData[[#This Row],[Candidate 5]])/(SamplingData[[#Totals],[Winning Candidate]]-SamplingData[[#Totals],[Candidate 5]]), 0)</f>
        <v>0</v>
      </c>
      <c r="U798" s="99">
        <f>IF(AND(SamplingData[[#This Row],[Total]]&lt;&gt; 0, NOT(ISBLANK(SamplingData[[#This Row],[Candidate 6]]))),(SamplingData[[#This Row],[Total]]+SamplingData[[#This Row],[Losing Candidate]]-SamplingData[[#This Row],[Candidate 6]])/(SamplingData[[#Totals],[Winning Candidate]]-SamplingData[[#Totals],[Candidate 6]]), 0)</f>
        <v>0</v>
      </c>
      <c r="V798" s="99">
        <f>IF(AND(SamplingData[[#This Row],[Total]]&lt;&gt; 0, NOT(ISBLANK(SamplingData[[#This Row],[Candidate 7]]))),(SamplingData[[#This Row],[Total]]+SamplingData[[#This Row],[Winning Candidate]]-SamplingData[[#This Row],[Candidate 7]])/(SamplingData[[#Totals],[Winning Candidate]]-SamplingData[[#Totals],[Candidate 7]]), 0)</f>
        <v>0</v>
      </c>
      <c r="W798" s="99">
        <f>IF(AND(SamplingData[[#This Row],[Total]]&lt;&gt; 0, NOT(ISBLANK(SamplingData[[#This Row],[Candidate 8]]))),(SamplingData[[#This Row],[Total]]+SamplingData[[#This Row],[Winning Candidate]]-SamplingData[[#This Row],[Candidate 8]])/(SamplingData[[#Totals],[Winning Candidate]]-SamplingData[[#Totals],[Candidate 8]]), 0)</f>
        <v>0</v>
      </c>
      <c r="X7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8" s="99">
        <f>MAX(SamplingData[[#This Row],[Error Bound (up) - Max. possible relative overstatement - Losing Candidate]:[Error Bound (up) - Max. possible relative overstatement - Candidate 12]])</f>
        <v>1.0354778475640808E-2</v>
      </c>
      <c r="AC798" s="99">
        <f>IF(SamplingData[[#This Row],[Max Error Bound (up)]] = 0,0,SamplingData[[#This Row],[Max Error Bound (up)]]/SamplingData[[#Totals],[Max Error Bound (up)]])</f>
        <v>5.5440433344239716E-4</v>
      </c>
      <c r="AD798" s="103">
        <f>SUM($AC$5:AC798)</f>
        <v>0.71866706656487578</v>
      </c>
      <c r="AE798" s="99" t="str" cm="1">
        <f t="array" ref="AE798">IF(SamplingData[[#This Row],[up/U Selection Probability]] = 0, "Zero", TEXT(SamplingData[[#This Row],[Lower Range]], REPT("0",LEN('General Info'!$B$42))) &amp; " - " &amp; TEXT(SamplingData[[#This Row],[Upper Range]], REPT("0",LEN('General Info'!$B$42))))</f>
        <v>718113 - 718666</v>
      </c>
      <c r="AF798" s="99">
        <f>SamplingData[[#This Row],[Upper Range]]-SamplingData[[#This Row],[Span]]</f>
        <v>718112.66223143332</v>
      </c>
      <c r="AG798" s="99">
        <f>IF(ISNUMBER('General Info'!$B$42), ((SamplingData[[#This Row],[up/U Selection Probability]]) * 'General Info'!$B$44) - 1, 0)</f>
        <v>553.40433344239716</v>
      </c>
      <c r="AH798" s="99">
        <f>IF(ISNUMBER('General Info'!$B$42), (SamplingData[[#This Row],[Running (cumulative) sum]] * ('General Info'!$B$42 -'General Info'!$B$43 + 1)) + 'General Info'!$B$43 - 1, 0)</f>
        <v>718666.06656487577</v>
      </c>
      <c r="AI798" s="99" t="str">
        <f>IF(ISERROR(MATCH(SamplingData[[#This Row],[Batch by Type (p)]],SelectedPrecincts[Batch Name], 0)), "", INDEX(SelectedPrecincts[Draw], MATCH(SamplingData[[#This Row],[Batch by Type (p)]],SelectedPrecincts[Batch Name], 0)))</f>
        <v/>
      </c>
      <c r="AJ798" s="100">
        <f>IF(COUNTIF(SelectedPrecincts[Batch Name],SamplingData[[#This Row],[Batch by Type (p)]]) &lt;&gt; 0, COUNTIF(SelectedPrecincts[Batch Name],SamplingData[[#This Row],[Batch by Type (p)]]), 0)</f>
        <v>0</v>
      </c>
    </row>
    <row r="799" spans="1:36" ht="15" customHeight="1" x14ac:dyDescent="0.35">
      <c r="A799" s="97" t="s">
        <v>1012</v>
      </c>
      <c r="B799" s="97">
        <v>91</v>
      </c>
      <c r="C799" s="97">
        <v>215</v>
      </c>
      <c r="D799" s="92"/>
      <c r="E799" s="92"/>
      <c r="F799" s="92"/>
      <c r="G799" s="96"/>
      <c r="H799" s="96"/>
      <c r="I799" s="92"/>
      <c r="J799" s="92"/>
      <c r="K799" s="92"/>
      <c r="L799" s="92"/>
      <c r="M799" s="92"/>
      <c r="N799" s="97">
        <v>0</v>
      </c>
      <c r="O799" s="97">
        <v>16</v>
      </c>
      <c r="P799" s="98">
        <f>SUM(SamplingData[[#This Row],[Winning Candidate]:[Under Votes]])</f>
        <v>322</v>
      </c>
      <c r="Q799" s="99">
        <f>IF(AND(SamplingData[[#This Row],[Total]]&lt;&gt; 0, NOT(ISBLANK(SamplingData[[#This Row],[Losing Candidate]]))),(SamplingData[[#This Row],[Total]]+SamplingData[[#This Row],[Winning Candidate]]-SamplingData[[#This Row],[Losing Candidate]])/(SamplingData[[#Totals],[Winning Candidate]]-SamplingData[[#Totals],[Losing Candidate]]), 0)</f>
        <v>8.4026481072822946E-3</v>
      </c>
      <c r="R799" s="99">
        <f>IF(AND(SamplingData[[#This Row],[Total]]&lt;&gt; 0, NOT(ISBLANK(SamplingData[[#This Row],[Candidate 3]]))),(SamplingData[[#This Row],[Total]]+SamplingData[[#This Row],[Winning Candidate]]-SamplingData[[#This Row],[Candidate 3]])/(SamplingData[[#Totals],[Winning Candidate]]-SamplingData[[#Totals],[Candidate 3]]), 0)</f>
        <v>0</v>
      </c>
      <c r="S799" s="99">
        <f>IF(AND(SamplingData[[#This Row],[Total]]&lt;&gt; 0, NOT(ISBLANK(SamplingData[[#This Row],[Candidate 4]]))),(SamplingData[[#This Row],[Total]]+SamplingData[[#This Row],[Winning Candidate]]-SamplingData[[#This Row],[Candidate 4]])/(SamplingData[[#Totals],[Winning Candidate]]-SamplingData[[#Totals],[Candidate 4]]), 0)</f>
        <v>0</v>
      </c>
      <c r="T799" s="99">
        <f>IF(AND(SamplingData[[#This Row],[Total]]&lt;&gt; 0, NOT(ISBLANK(SamplingData[[#This Row],[Candidate 5]]))),(SamplingData[[#This Row],[Total]]+SamplingData[[#This Row],[Winning Candidate]]-SamplingData[[#This Row],[Candidate 5]])/(SamplingData[[#Totals],[Winning Candidate]]-SamplingData[[#Totals],[Candidate 5]]), 0)</f>
        <v>0</v>
      </c>
      <c r="U799" s="99">
        <f>IF(AND(SamplingData[[#This Row],[Total]]&lt;&gt; 0, NOT(ISBLANK(SamplingData[[#This Row],[Candidate 6]]))),(SamplingData[[#This Row],[Total]]+SamplingData[[#This Row],[Losing Candidate]]-SamplingData[[#This Row],[Candidate 6]])/(SamplingData[[#Totals],[Winning Candidate]]-SamplingData[[#Totals],[Candidate 6]]), 0)</f>
        <v>0</v>
      </c>
      <c r="V799" s="99">
        <f>IF(AND(SamplingData[[#This Row],[Total]]&lt;&gt; 0, NOT(ISBLANK(SamplingData[[#This Row],[Candidate 7]]))),(SamplingData[[#This Row],[Total]]+SamplingData[[#This Row],[Winning Candidate]]-SamplingData[[#This Row],[Candidate 7]])/(SamplingData[[#Totals],[Winning Candidate]]-SamplingData[[#Totals],[Candidate 7]]), 0)</f>
        <v>0</v>
      </c>
      <c r="W799" s="99">
        <f>IF(AND(SamplingData[[#This Row],[Total]]&lt;&gt; 0, NOT(ISBLANK(SamplingData[[#This Row],[Candidate 8]]))),(SamplingData[[#This Row],[Total]]+SamplingData[[#This Row],[Winning Candidate]]-SamplingData[[#This Row],[Candidate 8]])/(SamplingData[[#Totals],[Winning Candidate]]-SamplingData[[#Totals],[Candidate 8]]), 0)</f>
        <v>0</v>
      </c>
      <c r="X7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9" s="99">
        <f>MAX(SamplingData[[#This Row],[Error Bound (up) - Max. possible relative overstatement - Losing Candidate]:[Error Bound (up) - Max. possible relative overstatement - Candidate 12]])</f>
        <v>8.4026481072822946E-3</v>
      </c>
      <c r="AC799" s="99">
        <f>IF(SamplingData[[#This Row],[Max Error Bound (up)]] = 0,0,SamplingData[[#This Row],[Max Error Bound (up)]]/SamplingData[[#Totals],[Max Error Bound (up)]])</f>
        <v>4.4988548369505999E-4</v>
      </c>
      <c r="AD799" s="103">
        <f>SUM($AC$5:AC799)</f>
        <v>0.71911695204857085</v>
      </c>
      <c r="AE799" s="99" t="str" cm="1">
        <f t="array" ref="AE799">IF(SamplingData[[#This Row],[up/U Selection Probability]] = 0, "Zero", TEXT(SamplingData[[#This Row],[Lower Range]], REPT("0",LEN('General Info'!$B$42))) &amp; " - " &amp; TEXT(SamplingData[[#This Row],[Upper Range]], REPT("0",LEN('General Info'!$B$42))))</f>
        <v>718667 - 719116</v>
      </c>
      <c r="AF799" s="99">
        <f>SamplingData[[#This Row],[Upper Range]]-SamplingData[[#This Row],[Span]]</f>
        <v>718667.06656487577</v>
      </c>
      <c r="AG799" s="99">
        <f>IF(ISNUMBER('General Info'!$B$42), ((SamplingData[[#This Row],[up/U Selection Probability]]) * 'General Info'!$B$44) - 1, 0)</f>
        <v>448.88548369505997</v>
      </c>
      <c r="AH799" s="99">
        <f>IF(ISNUMBER('General Info'!$B$42), (SamplingData[[#This Row],[Running (cumulative) sum]] * ('General Info'!$B$42 -'General Info'!$B$43 + 1)) + 'General Info'!$B$43 - 1, 0)</f>
        <v>719115.95204857085</v>
      </c>
      <c r="AI799" s="99" t="str">
        <f>IF(ISERROR(MATCH(SamplingData[[#This Row],[Batch by Type (p)]],SelectedPrecincts[Batch Name], 0)), "", INDEX(SelectedPrecincts[Draw], MATCH(SamplingData[[#This Row],[Batch by Type (p)]],SelectedPrecincts[Batch Name], 0)))</f>
        <v/>
      </c>
      <c r="AJ799" s="100">
        <f>IF(COUNTIF(SelectedPrecincts[Batch Name],SamplingData[[#This Row],[Batch by Type (p)]]) &lt;&gt; 0, COUNTIF(SelectedPrecincts[Batch Name],SamplingData[[#This Row],[Batch by Type (p)]]), 0)</f>
        <v>0</v>
      </c>
    </row>
    <row r="800" spans="1:36" ht="15" customHeight="1" x14ac:dyDescent="0.35">
      <c r="A800" s="97" t="s">
        <v>1013</v>
      </c>
      <c r="B800" s="97">
        <v>125</v>
      </c>
      <c r="C800" s="97">
        <v>316</v>
      </c>
      <c r="D800" s="92"/>
      <c r="E800" s="92"/>
      <c r="F800" s="92"/>
      <c r="G800" s="96"/>
      <c r="H800" s="96"/>
      <c r="I800" s="92"/>
      <c r="J800" s="92"/>
      <c r="K800" s="92"/>
      <c r="L800" s="92"/>
      <c r="M800" s="92"/>
      <c r="N800" s="97">
        <v>0</v>
      </c>
      <c r="O800" s="97">
        <v>31</v>
      </c>
      <c r="P800" s="98">
        <f>SUM(SamplingData[[#This Row],[Winning Candidate]:[Under Votes]])</f>
        <v>472</v>
      </c>
      <c r="Q800" s="99">
        <f>IF(AND(SamplingData[[#This Row],[Total]]&lt;&gt; 0, NOT(ISBLANK(SamplingData[[#This Row],[Losing Candidate]]))),(SamplingData[[#This Row],[Total]]+SamplingData[[#This Row],[Winning Candidate]]-SamplingData[[#This Row],[Losing Candidate]])/(SamplingData[[#Totals],[Winning Candidate]]-SamplingData[[#Totals],[Losing Candidate]]), 0)</f>
        <v>1.1924970293668308E-2</v>
      </c>
      <c r="R800" s="99">
        <f>IF(AND(SamplingData[[#This Row],[Total]]&lt;&gt; 0, NOT(ISBLANK(SamplingData[[#This Row],[Candidate 3]]))),(SamplingData[[#This Row],[Total]]+SamplingData[[#This Row],[Winning Candidate]]-SamplingData[[#This Row],[Candidate 3]])/(SamplingData[[#Totals],[Winning Candidate]]-SamplingData[[#Totals],[Candidate 3]]), 0)</f>
        <v>0</v>
      </c>
      <c r="S800" s="99">
        <f>IF(AND(SamplingData[[#This Row],[Total]]&lt;&gt; 0, NOT(ISBLANK(SamplingData[[#This Row],[Candidate 4]]))),(SamplingData[[#This Row],[Total]]+SamplingData[[#This Row],[Winning Candidate]]-SamplingData[[#This Row],[Candidate 4]])/(SamplingData[[#Totals],[Winning Candidate]]-SamplingData[[#Totals],[Candidate 4]]), 0)</f>
        <v>0</v>
      </c>
      <c r="T800" s="99">
        <f>IF(AND(SamplingData[[#This Row],[Total]]&lt;&gt; 0, NOT(ISBLANK(SamplingData[[#This Row],[Candidate 5]]))),(SamplingData[[#This Row],[Total]]+SamplingData[[#This Row],[Winning Candidate]]-SamplingData[[#This Row],[Candidate 5]])/(SamplingData[[#Totals],[Winning Candidate]]-SamplingData[[#Totals],[Candidate 5]]), 0)</f>
        <v>0</v>
      </c>
      <c r="U800" s="99">
        <f>IF(AND(SamplingData[[#This Row],[Total]]&lt;&gt; 0, NOT(ISBLANK(SamplingData[[#This Row],[Candidate 6]]))),(SamplingData[[#This Row],[Total]]+SamplingData[[#This Row],[Losing Candidate]]-SamplingData[[#This Row],[Candidate 6]])/(SamplingData[[#Totals],[Winning Candidate]]-SamplingData[[#Totals],[Candidate 6]]), 0)</f>
        <v>0</v>
      </c>
      <c r="V800" s="99">
        <f>IF(AND(SamplingData[[#This Row],[Total]]&lt;&gt; 0, NOT(ISBLANK(SamplingData[[#This Row],[Candidate 7]]))),(SamplingData[[#This Row],[Total]]+SamplingData[[#This Row],[Winning Candidate]]-SamplingData[[#This Row],[Candidate 7]])/(SamplingData[[#Totals],[Winning Candidate]]-SamplingData[[#Totals],[Candidate 7]]), 0)</f>
        <v>0</v>
      </c>
      <c r="W800" s="99">
        <f>IF(AND(SamplingData[[#This Row],[Total]]&lt;&gt; 0, NOT(ISBLANK(SamplingData[[#This Row],[Candidate 8]]))),(SamplingData[[#This Row],[Total]]+SamplingData[[#This Row],[Winning Candidate]]-SamplingData[[#This Row],[Candidate 8]])/(SamplingData[[#Totals],[Winning Candidate]]-SamplingData[[#Totals],[Candidate 8]]), 0)</f>
        <v>0</v>
      </c>
      <c r="X8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0" s="99">
        <f>MAX(SamplingData[[#This Row],[Error Bound (up) - Max. possible relative overstatement - Losing Candidate]:[Error Bound (up) - Max. possible relative overstatement - Candidate 12]])</f>
        <v>1.1924970293668308E-2</v>
      </c>
      <c r="AC800" s="99">
        <f>IF(SamplingData[[#This Row],[Max Error Bound (up)]] = 0,0,SamplingData[[#This Row],[Max Error Bound (up)]]/SamplingData[[#Totals],[Max Error Bound (up)]])</f>
        <v>6.3847384302177714E-4</v>
      </c>
      <c r="AD800" s="103">
        <f>SUM($AC$5:AC800)</f>
        <v>0.71975542589159258</v>
      </c>
      <c r="AE800" s="99" t="str" cm="1">
        <f t="array" ref="AE800">IF(SamplingData[[#This Row],[up/U Selection Probability]] = 0, "Zero", TEXT(SamplingData[[#This Row],[Lower Range]], REPT("0",LEN('General Info'!$B$42))) &amp; " - " &amp; TEXT(SamplingData[[#This Row],[Upper Range]], REPT("0",LEN('General Info'!$B$42))))</f>
        <v>719117 - 719754</v>
      </c>
      <c r="AF800" s="99">
        <f>SamplingData[[#This Row],[Upper Range]]-SamplingData[[#This Row],[Span]]</f>
        <v>719116.95204857085</v>
      </c>
      <c r="AG800" s="99">
        <f>IF(ISNUMBER('General Info'!$B$42), ((SamplingData[[#This Row],[up/U Selection Probability]]) * 'General Info'!$B$44) - 1, 0)</f>
        <v>637.47384302177716</v>
      </c>
      <c r="AH800" s="99">
        <f>IF(ISNUMBER('General Info'!$B$42), (SamplingData[[#This Row],[Running (cumulative) sum]] * ('General Info'!$B$42 -'General Info'!$B$43 + 1)) + 'General Info'!$B$43 - 1, 0)</f>
        <v>719754.42589159263</v>
      </c>
      <c r="AI800" s="99" t="str">
        <f>IF(ISERROR(MATCH(SamplingData[[#This Row],[Batch by Type (p)]],SelectedPrecincts[Batch Name], 0)), "", INDEX(SelectedPrecincts[Draw], MATCH(SamplingData[[#This Row],[Batch by Type (p)]],SelectedPrecincts[Batch Name], 0)))</f>
        <v/>
      </c>
      <c r="AJ800" s="100">
        <f>IF(COUNTIF(SelectedPrecincts[Batch Name],SamplingData[[#This Row],[Batch by Type (p)]]) &lt;&gt; 0, COUNTIF(SelectedPrecincts[Batch Name],SamplingData[[#This Row],[Batch by Type (p)]]), 0)</f>
        <v>0</v>
      </c>
    </row>
    <row r="801" spans="1:36" ht="15" customHeight="1" x14ac:dyDescent="0.35">
      <c r="A801" s="97" t="s">
        <v>1014</v>
      </c>
      <c r="B801" s="97">
        <v>72</v>
      </c>
      <c r="C801" s="97">
        <v>201</v>
      </c>
      <c r="D801" s="92"/>
      <c r="E801" s="92"/>
      <c r="F801" s="92"/>
      <c r="G801" s="96"/>
      <c r="H801" s="96"/>
      <c r="I801" s="92"/>
      <c r="J801" s="92"/>
      <c r="K801" s="92"/>
      <c r="L801" s="92"/>
      <c r="M801" s="92"/>
      <c r="N801" s="97">
        <v>0</v>
      </c>
      <c r="O801" s="97">
        <v>7</v>
      </c>
      <c r="P801" s="98">
        <f>SUM(SamplingData[[#This Row],[Winning Candidate]:[Under Votes]])</f>
        <v>280</v>
      </c>
      <c r="Q801" s="99">
        <f>IF(AND(SamplingData[[#This Row],[Total]]&lt;&gt; 0, NOT(ISBLANK(SamplingData[[#This Row],[Losing Candidate]]))),(SamplingData[[#This Row],[Total]]+SamplingData[[#This Row],[Winning Candidate]]-SamplingData[[#This Row],[Losing Candidate]])/(SamplingData[[#Totals],[Winning Candidate]]-SamplingData[[#Totals],[Losing Candidate]]), 0)</f>
        <v>6.4080801222203363E-3</v>
      </c>
      <c r="R801" s="99">
        <f>IF(AND(SamplingData[[#This Row],[Total]]&lt;&gt; 0, NOT(ISBLANK(SamplingData[[#This Row],[Candidate 3]]))),(SamplingData[[#This Row],[Total]]+SamplingData[[#This Row],[Winning Candidate]]-SamplingData[[#This Row],[Candidate 3]])/(SamplingData[[#Totals],[Winning Candidate]]-SamplingData[[#Totals],[Candidate 3]]), 0)</f>
        <v>0</v>
      </c>
      <c r="S801" s="99">
        <f>IF(AND(SamplingData[[#This Row],[Total]]&lt;&gt; 0, NOT(ISBLANK(SamplingData[[#This Row],[Candidate 4]]))),(SamplingData[[#This Row],[Total]]+SamplingData[[#This Row],[Winning Candidate]]-SamplingData[[#This Row],[Candidate 4]])/(SamplingData[[#Totals],[Winning Candidate]]-SamplingData[[#Totals],[Candidate 4]]), 0)</f>
        <v>0</v>
      </c>
      <c r="T801" s="99">
        <f>IF(AND(SamplingData[[#This Row],[Total]]&lt;&gt; 0, NOT(ISBLANK(SamplingData[[#This Row],[Candidate 5]]))),(SamplingData[[#This Row],[Total]]+SamplingData[[#This Row],[Winning Candidate]]-SamplingData[[#This Row],[Candidate 5]])/(SamplingData[[#Totals],[Winning Candidate]]-SamplingData[[#Totals],[Candidate 5]]), 0)</f>
        <v>0</v>
      </c>
      <c r="U801" s="99">
        <f>IF(AND(SamplingData[[#This Row],[Total]]&lt;&gt; 0, NOT(ISBLANK(SamplingData[[#This Row],[Candidate 6]]))),(SamplingData[[#This Row],[Total]]+SamplingData[[#This Row],[Losing Candidate]]-SamplingData[[#This Row],[Candidate 6]])/(SamplingData[[#Totals],[Winning Candidate]]-SamplingData[[#Totals],[Candidate 6]]), 0)</f>
        <v>0</v>
      </c>
      <c r="V801" s="99">
        <f>IF(AND(SamplingData[[#This Row],[Total]]&lt;&gt; 0, NOT(ISBLANK(SamplingData[[#This Row],[Candidate 7]]))),(SamplingData[[#This Row],[Total]]+SamplingData[[#This Row],[Winning Candidate]]-SamplingData[[#This Row],[Candidate 7]])/(SamplingData[[#Totals],[Winning Candidate]]-SamplingData[[#Totals],[Candidate 7]]), 0)</f>
        <v>0</v>
      </c>
      <c r="W801" s="99">
        <f>IF(AND(SamplingData[[#This Row],[Total]]&lt;&gt; 0, NOT(ISBLANK(SamplingData[[#This Row],[Candidate 8]]))),(SamplingData[[#This Row],[Total]]+SamplingData[[#This Row],[Winning Candidate]]-SamplingData[[#This Row],[Candidate 8]])/(SamplingData[[#Totals],[Winning Candidate]]-SamplingData[[#Totals],[Candidate 8]]), 0)</f>
        <v>0</v>
      </c>
      <c r="X8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1" s="99">
        <f>MAX(SamplingData[[#This Row],[Error Bound (up) - Max. possible relative overstatement - Losing Candidate]:[Error Bound (up) - Max. possible relative overstatement - Candidate 12]])</f>
        <v>6.4080801222203363E-3</v>
      </c>
      <c r="AC801" s="99">
        <f>IF(SamplingData[[#This Row],[Max Error Bound (up)]] = 0,0,SamplingData[[#This Row],[Max Error Bound (up)]]/SamplingData[[#Totals],[Max Error Bound (up)]])</f>
        <v>3.4309448504017204E-4</v>
      </c>
      <c r="AD801" s="103">
        <f>SUM($AC$5:AC801)</f>
        <v>0.7200985203766328</v>
      </c>
      <c r="AE801" s="99" t="str" cm="1">
        <f t="array" ref="AE801">IF(SamplingData[[#This Row],[up/U Selection Probability]] = 0, "Zero", TEXT(SamplingData[[#This Row],[Lower Range]], REPT("0",LEN('General Info'!$B$42))) &amp; " - " &amp; TEXT(SamplingData[[#This Row],[Upper Range]], REPT("0",LEN('General Info'!$B$42))))</f>
        <v>719755 - 720098</v>
      </c>
      <c r="AF801" s="99">
        <f>SamplingData[[#This Row],[Upper Range]]-SamplingData[[#This Row],[Span]]</f>
        <v>719755.42589159263</v>
      </c>
      <c r="AG801" s="99">
        <f>IF(ISNUMBER('General Info'!$B$42), ((SamplingData[[#This Row],[up/U Selection Probability]]) * 'General Info'!$B$44) - 1, 0)</f>
        <v>342.09448504017206</v>
      </c>
      <c r="AH801" s="99">
        <f>IF(ISNUMBER('General Info'!$B$42), (SamplingData[[#This Row],[Running (cumulative) sum]] * ('General Info'!$B$42 -'General Info'!$B$43 + 1)) + 'General Info'!$B$43 - 1, 0)</f>
        <v>720097.5203766328</v>
      </c>
      <c r="AI801" s="99" t="str">
        <f>IF(ISERROR(MATCH(SamplingData[[#This Row],[Batch by Type (p)]],SelectedPrecincts[Batch Name], 0)), "", INDEX(SelectedPrecincts[Draw], MATCH(SamplingData[[#This Row],[Batch by Type (p)]],SelectedPrecincts[Batch Name], 0)))</f>
        <v/>
      </c>
      <c r="AJ801" s="100">
        <f>IF(COUNTIF(SelectedPrecincts[Batch Name],SamplingData[[#This Row],[Batch by Type (p)]]) &lt;&gt; 0, COUNTIF(SelectedPrecincts[Batch Name],SamplingData[[#This Row],[Batch by Type (p)]]), 0)</f>
        <v>0</v>
      </c>
    </row>
    <row r="802" spans="1:36" ht="15" customHeight="1" x14ac:dyDescent="0.35">
      <c r="A802" s="97" t="s">
        <v>1015</v>
      </c>
      <c r="B802" s="97">
        <v>105</v>
      </c>
      <c r="C802" s="97">
        <v>214</v>
      </c>
      <c r="D802" s="92"/>
      <c r="E802" s="92"/>
      <c r="F802" s="92"/>
      <c r="G802" s="96"/>
      <c r="H802" s="96"/>
      <c r="I802" s="92"/>
      <c r="J802" s="92"/>
      <c r="K802" s="92"/>
      <c r="L802" s="92"/>
      <c r="M802" s="92"/>
      <c r="N802" s="97">
        <v>0</v>
      </c>
      <c r="O802" s="97">
        <v>24</v>
      </c>
      <c r="P802" s="98">
        <f>SUM(SamplingData[[#This Row],[Winning Candidate]:[Under Votes]])</f>
        <v>343</v>
      </c>
      <c r="Q802" s="99">
        <f>IF(AND(SamplingData[[#This Row],[Total]]&lt;&gt; 0, NOT(ISBLANK(SamplingData[[#This Row],[Losing Candidate]]))),(SamplingData[[#This Row],[Total]]+SamplingData[[#This Row],[Winning Candidate]]-SamplingData[[#This Row],[Losing Candidate]])/(SamplingData[[#Totals],[Winning Candidate]]-SamplingData[[#Totals],[Losing Candidate]]), 0)</f>
        <v>9.9304023086063484E-3</v>
      </c>
      <c r="R802" s="99">
        <f>IF(AND(SamplingData[[#This Row],[Total]]&lt;&gt; 0, NOT(ISBLANK(SamplingData[[#This Row],[Candidate 3]]))),(SamplingData[[#This Row],[Total]]+SamplingData[[#This Row],[Winning Candidate]]-SamplingData[[#This Row],[Candidate 3]])/(SamplingData[[#Totals],[Winning Candidate]]-SamplingData[[#Totals],[Candidate 3]]), 0)</f>
        <v>0</v>
      </c>
      <c r="S802" s="99">
        <f>IF(AND(SamplingData[[#This Row],[Total]]&lt;&gt; 0, NOT(ISBLANK(SamplingData[[#This Row],[Candidate 4]]))),(SamplingData[[#This Row],[Total]]+SamplingData[[#This Row],[Winning Candidate]]-SamplingData[[#This Row],[Candidate 4]])/(SamplingData[[#Totals],[Winning Candidate]]-SamplingData[[#Totals],[Candidate 4]]), 0)</f>
        <v>0</v>
      </c>
      <c r="T802" s="99">
        <f>IF(AND(SamplingData[[#This Row],[Total]]&lt;&gt; 0, NOT(ISBLANK(SamplingData[[#This Row],[Candidate 5]]))),(SamplingData[[#This Row],[Total]]+SamplingData[[#This Row],[Winning Candidate]]-SamplingData[[#This Row],[Candidate 5]])/(SamplingData[[#Totals],[Winning Candidate]]-SamplingData[[#Totals],[Candidate 5]]), 0)</f>
        <v>0</v>
      </c>
      <c r="U802" s="99">
        <f>IF(AND(SamplingData[[#This Row],[Total]]&lt;&gt; 0, NOT(ISBLANK(SamplingData[[#This Row],[Candidate 6]]))),(SamplingData[[#This Row],[Total]]+SamplingData[[#This Row],[Losing Candidate]]-SamplingData[[#This Row],[Candidate 6]])/(SamplingData[[#Totals],[Winning Candidate]]-SamplingData[[#Totals],[Candidate 6]]), 0)</f>
        <v>0</v>
      </c>
      <c r="V802" s="99">
        <f>IF(AND(SamplingData[[#This Row],[Total]]&lt;&gt; 0, NOT(ISBLANK(SamplingData[[#This Row],[Candidate 7]]))),(SamplingData[[#This Row],[Total]]+SamplingData[[#This Row],[Winning Candidate]]-SamplingData[[#This Row],[Candidate 7]])/(SamplingData[[#Totals],[Winning Candidate]]-SamplingData[[#Totals],[Candidate 7]]), 0)</f>
        <v>0</v>
      </c>
      <c r="W802" s="99">
        <f>IF(AND(SamplingData[[#This Row],[Total]]&lt;&gt; 0, NOT(ISBLANK(SamplingData[[#This Row],[Candidate 8]]))),(SamplingData[[#This Row],[Total]]+SamplingData[[#This Row],[Winning Candidate]]-SamplingData[[#This Row],[Candidate 8]])/(SamplingData[[#Totals],[Winning Candidate]]-SamplingData[[#Totals],[Candidate 8]]), 0)</f>
        <v>0</v>
      </c>
      <c r="X8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2" s="99">
        <f>MAX(SamplingData[[#This Row],[Error Bound (up) - Max. possible relative overstatement - Losing Candidate]:[Error Bound (up) - Max. possible relative overstatement - Candidate 12]])</f>
        <v>9.9304023086063484E-3</v>
      </c>
      <c r="AC802" s="99">
        <f>IF(SamplingData[[#This Row],[Max Error Bound (up)]] = 0,0,SamplingData[[#This Row],[Max Error Bound (up)]]/SamplingData[[#Totals],[Max Error Bound (up)]])</f>
        <v>5.3168284436688913E-4</v>
      </c>
      <c r="AD802" s="103">
        <f>SUM($AC$5:AC802)</f>
        <v>0.72063020322099969</v>
      </c>
      <c r="AE802" s="99" t="str" cm="1">
        <f t="array" ref="AE802">IF(SamplingData[[#This Row],[up/U Selection Probability]] = 0, "Zero", TEXT(SamplingData[[#This Row],[Lower Range]], REPT("0",LEN('General Info'!$B$42))) &amp; " - " &amp; TEXT(SamplingData[[#This Row],[Upper Range]], REPT("0",LEN('General Info'!$B$42))))</f>
        <v>720099 - 720629</v>
      </c>
      <c r="AF802" s="99">
        <f>SamplingData[[#This Row],[Upper Range]]-SamplingData[[#This Row],[Span]]</f>
        <v>720098.5203766328</v>
      </c>
      <c r="AG802" s="99">
        <f>IF(ISNUMBER('General Info'!$B$42), ((SamplingData[[#This Row],[up/U Selection Probability]]) * 'General Info'!$B$44) - 1, 0)</f>
        <v>530.68284436688919</v>
      </c>
      <c r="AH802" s="99">
        <f>IF(ISNUMBER('General Info'!$B$42), (SamplingData[[#This Row],[Running (cumulative) sum]] * ('General Info'!$B$42 -'General Info'!$B$43 + 1)) + 'General Info'!$B$43 - 1, 0)</f>
        <v>720629.20322099968</v>
      </c>
      <c r="AI802" s="99" t="str">
        <f>IF(ISERROR(MATCH(SamplingData[[#This Row],[Batch by Type (p)]],SelectedPrecincts[Batch Name], 0)), "", INDEX(SelectedPrecincts[Draw], MATCH(SamplingData[[#This Row],[Batch by Type (p)]],SelectedPrecincts[Batch Name], 0)))</f>
        <v/>
      </c>
      <c r="AJ802" s="100">
        <f>IF(COUNTIF(SelectedPrecincts[Batch Name],SamplingData[[#This Row],[Batch by Type (p)]]) &lt;&gt; 0, COUNTIF(SelectedPrecincts[Batch Name],SamplingData[[#This Row],[Batch by Type (p)]]), 0)</f>
        <v>0</v>
      </c>
    </row>
    <row r="803" spans="1:36" ht="15" customHeight="1" x14ac:dyDescent="0.35">
      <c r="A803" s="97" t="s">
        <v>1016</v>
      </c>
      <c r="B803" s="97">
        <v>262</v>
      </c>
      <c r="C803" s="97">
        <v>409</v>
      </c>
      <c r="D803" s="92"/>
      <c r="E803" s="92"/>
      <c r="F803" s="92"/>
      <c r="G803" s="96"/>
      <c r="H803" s="96"/>
      <c r="I803" s="92"/>
      <c r="J803" s="92"/>
      <c r="K803" s="92"/>
      <c r="L803" s="92"/>
      <c r="M803" s="92"/>
      <c r="N803" s="97">
        <v>0</v>
      </c>
      <c r="O803" s="97">
        <v>67</v>
      </c>
      <c r="P803" s="98">
        <f>SUM(SamplingData[[#This Row],[Winning Candidate]:[Under Votes]])</f>
        <v>738</v>
      </c>
      <c r="Q803" s="99">
        <f>IF(AND(SamplingData[[#This Row],[Total]]&lt;&gt; 0, NOT(ISBLANK(SamplingData[[#This Row],[Losing Candidate]]))),(SamplingData[[#This Row],[Total]]+SamplingData[[#This Row],[Winning Candidate]]-SamplingData[[#This Row],[Losing Candidate]])/(SamplingData[[#Totals],[Winning Candidate]]-SamplingData[[#Totals],[Losing Candidate]]), 0)</f>
        <v>2.5080631471736548E-2</v>
      </c>
      <c r="R803" s="99">
        <f>IF(AND(SamplingData[[#This Row],[Total]]&lt;&gt; 0, NOT(ISBLANK(SamplingData[[#This Row],[Candidate 3]]))),(SamplingData[[#This Row],[Total]]+SamplingData[[#This Row],[Winning Candidate]]-SamplingData[[#This Row],[Candidate 3]])/(SamplingData[[#Totals],[Winning Candidate]]-SamplingData[[#Totals],[Candidate 3]]), 0)</f>
        <v>0</v>
      </c>
      <c r="S803" s="99">
        <f>IF(AND(SamplingData[[#This Row],[Total]]&lt;&gt; 0, NOT(ISBLANK(SamplingData[[#This Row],[Candidate 4]]))),(SamplingData[[#This Row],[Total]]+SamplingData[[#This Row],[Winning Candidate]]-SamplingData[[#This Row],[Candidate 4]])/(SamplingData[[#Totals],[Winning Candidate]]-SamplingData[[#Totals],[Candidate 4]]), 0)</f>
        <v>0</v>
      </c>
      <c r="T803" s="99">
        <f>IF(AND(SamplingData[[#This Row],[Total]]&lt;&gt; 0, NOT(ISBLANK(SamplingData[[#This Row],[Candidate 5]]))),(SamplingData[[#This Row],[Total]]+SamplingData[[#This Row],[Winning Candidate]]-SamplingData[[#This Row],[Candidate 5]])/(SamplingData[[#Totals],[Winning Candidate]]-SamplingData[[#Totals],[Candidate 5]]), 0)</f>
        <v>0</v>
      </c>
      <c r="U803" s="99">
        <f>IF(AND(SamplingData[[#This Row],[Total]]&lt;&gt; 0, NOT(ISBLANK(SamplingData[[#This Row],[Candidate 6]]))),(SamplingData[[#This Row],[Total]]+SamplingData[[#This Row],[Losing Candidate]]-SamplingData[[#This Row],[Candidate 6]])/(SamplingData[[#Totals],[Winning Candidate]]-SamplingData[[#Totals],[Candidate 6]]), 0)</f>
        <v>0</v>
      </c>
      <c r="V803" s="99">
        <f>IF(AND(SamplingData[[#This Row],[Total]]&lt;&gt; 0, NOT(ISBLANK(SamplingData[[#This Row],[Candidate 7]]))),(SamplingData[[#This Row],[Total]]+SamplingData[[#This Row],[Winning Candidate]]-SamplingData[[#This Row],[Candidate 7]])/(SamplingData[[#Totals],[Winning Candidate]]-SamplingData[[#Totals],[Candidate 7]]), 0)</f>
        <v>0</v>
      </c>
      <c r="W803" s="99">
        <f>IF(AND(SamplingData[[#This Row],[Total]]&lt;&gt; 0, NOT(ISBLANK(SamplingData[[#This Row],[Candidate 8]]))),(SamplingData[[#This Row],[Total]]+SamplingData[[#This Row],[Winning Candidate]]-SamplingData[[#This Row],[Candidate 8]])/(SamplingData[[#Totals],[Winning Candidate]]-SamplingData[[#Totals],[Candidate 8]]), 0)</f>
        <v>0</v>
      </c>
      <c r="X8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3" s="99">
        <f>MAX(SamplingData[[#This Row],[Error Bound (up) - Max. possible relative overstatement - Losing Candidate]:[Error Bound (up) - Max. possible relative overstatement - Candidate 12]])</f>
        <v>2.5080631471736548E-2</v>
      </c>
      <c r="AC803" s="99">
        <f>IF(SamplingData[[#This Row],[Max Error Bound (up)]] = 0,0,SamplingData[[#This Row],[Max Error Bound (up)]]/SamplingData[[#Totals],[Max Error Bound (up)]])</f>
        <v>1.3428400043625276E-3</v>
      </c>
      <c r="AD803" s="103">
        <f>SUM($AC$5:AC803)</f>
        <v>0.72197304322536227</v>
      </c>
      <c r="AE803" s="99" t="str" cm="1">
        <f t="array" ref="AE803">IF(SamplingData[[#This Row],[up/U Selection Probability]] = 0, "Zero", TEXT(SamplingData[[#This Row],[Lower Range]], REPT("0",LEN('General Info'!$B$42))) &amp; " - " &amp; TEXT(SamplingData[[#This Row],[Upper Range]], REPT("0",LEN('General Info'!$B$42))))</f>
        <v>720630 - 721972</v>
      </c>
      <c r="AF803" s="99">
        <f>SamplingData[[#This Row],[Upper Range]]-SamplingData[[#This Row],[Span]]</f>
        <v>720630.2032209998</v>
      </c>
      <c r="AG803" s="99">
        <f>IF(ISNUMBER('General Info'!$B$42), ((SamplingData[[#This Row],[up/U Selection Probability]]) * 'General Info'!$B$44) - 1, 0)</f>
        <v>1341.8400043625277</v>
      </c>
      <c r="AH803" s="99">
        <f>IF(ISNUMBER('General Info'!$B$42), (SamplingData[[#This Row],[Running (cumulative) sum]] * ('General Info'!$B$42 -'General Info'!$B$43 + 1)) + 'General Info'!$B$43 - 1, 0)</f>
        <v>721972.04322536231</v>
      </c>
      <c r="AI803" s="99" t="str">
        <f>IF(ISERROR(MATCH(SamplingData[[#This Row],[Batch by Type (p)]],SelectedPrecincts[Batch Name], 0)), "", INDEX(SelectedPrecincts[Draw], MATCH(SamplingData[[#This Row],[Batch by Type (p)]],SelectedPrecincts[Batch Name], 0)))</f>
        <v/>
      </c>
      <c r="AJ803" s="100">
        <f>IF(COUNTIF(SelectedPrecincts[Batch Name],SamplingData[[#This Row],[Batch by Type (p)]]) &lt;&gt; 0, COUNTIF(SelectedPrecincts[Batch Name],SamplingData[[#This Row],[Batch by Type (p)]]), 0)</f>
        <v>0</v>
      </c>
    </row>
    <row r="804" spans="1:36" ht="15" customHeight="1" x14ac:dyDescent="0.35">
      <c r="A804" s="97" t="s">
        <v>1017</v>
      </c>
      <c r="B804" s="97">
        <v>146</v>
      </c>
      <c r="C804" s="97">
        <v>249</v>
      </c>
      <c r="D804" s="92"/>
      <c r="E804" s="92"/>
      <c r="F804" s="92"/>
      <c r="G804" s="96"/>
      <c r="H804" s="96"/>
      <c r="I804" s="92"/>
      <c r="J804" s="92"/>
      <c r="K804" s="92"/>
      <c r="L804" s="92"/>
      <c r="M804" s="92"/>
      <c r="N804" s="97">
        <v>1</v>
      </c>
      <c r="O804" s="97">
        <v>38</v>
      </c>
      <c r="P804" s="98">
        <f>SUM(SamplingData[[#This Row],[Winning Candidate]:[Under Votes]])</f>
        <v>434</v>
      </c>
      <c r="Q804" s="99">
        <f>IF(AND(SamplingData[[#This Row],[Total]]&lt;&gt; 0, NOT(ISBLANK(SamplingData[[#This Row],[Losing Candidate]]))),(SamplingData[[#This Row],[Total]]+SamplingData[[#This Row],[Winning Candidate]]-SamplingData[[#This Row],[Losing Candidate]])/(SamplingData[[#Totals],[Winning Candidate]]-SamplingData[[#Totals],[Losing Candidate]]), 0)</f>
        <v>1.4046851128840604E-2</v>
      </c>
      <c r="R804" s="99">
        <f>IF(AND(SamplingData[[#This Row],[Total]]&lt;&gt; 0, NOT(ISBLANK(SamplingData[[#This Row],[Candidate 3]]))),(SamplingData[[#This Row],[Total]]+SamplingData[[#This Row],[Winning Candidate]]-SamplingData[[#This Row],[Candidate 3]])/(SamplingData[[#Totals],[Winning Candidate]]-SamplingData[[#Totals],[Candidate 3]]), 0)</f>
        <v>0</v>
      </c>
      <c r="S804" s="99">
        <f>IF(AND(SamplingData[[#This Row],[Total]]&lt;&gt; 0, NOT(ISBLANK(SamplingData[[#This Row],[Candidate 4]]))),(SamplingData[[#This Row],[Total]]+SamplingData[[#This Row],[Winning Candidate]]-SamplingData[[#This Row],[Candidate 4]])/(SamplingData[[#Totals],[Winning Candidate]]-SamplingData[[#Totals],[Candidate 4]]), 0)</f>
        <v>0</v>
      </c>
      <c r="T804" s="99">
        <f>IF(AND(SamplingData[[#This Row],[Total]]&lt;&gt; 0, NOT(ISBLANK(SamplingData[[#This Row],[Candidate 5]]))),(SamplingData[[#This Row],[Total]]+SamplingData[[#This Row],[Winning Candidate]]-SamplingData[[#This Row],[Candidate 5]])/(SamplingData[[#Totals],[Winning Candidate]]-SamplingData[[#Totals],[Candidate 5]]), 0)</f>
        <v>0</v>
      </c>
      <c r="U804" s="99">
        <f>IF(AND(SamplingData[[#This Row],[Total]]&lt;&gt; 0, NOT(ISBLANK(SamplingData[[#This Row],[Candidate 6]]))),(SamplingData[[#This Row],[Total]]+SamplingData[[#This Row],[Losing Candidate]]-SamplingData[[#This Row],[Candidate 6]])/(SamplingData[[#Totals],[Winning Candidate]]-SamplingData[[#Totals],[Candidate 6]]), 0)</f>
        <v>0</v>
      </c>
      <c r="V804" s="99">
        <f>IF(AND(SamplingData[[#This Row],[Total]]&lt;&gt; 0, NOT(ISBLANK(SamplingData[[#This Row],[Candidate 7]]))),(SamplingData[[#This Row],[Total]]+SamplingData[[#This Row],[Winning Candidate]]-SamplingData[[#This Row],[Candidate 7]])/(SamplingData[[#Totals],[Winning Candidate]]-SamplingData[[#Totals],[Candidate 7]]), 0)</f>
        <v>0</v>
      </c>
      <c r="W804" s="99">
        <f>IF(AND(SamplingData[[#This Row],[Total]]&lt;&gt; 0, NOT(ISBLANK(SamplingData[[#This Row],[Candidate 8]]))),(SamplingData[[#This Row],[Total]]+SamplingData[[#This Row],[Winning Candidate]]-SamplingData[[#This Row],[Candidate 8]])/(SamplingData[[#Totals],[Winning Candidate]]-SamplingData[[#Totals],[Candidate 8]]), 0)</f>
        <v>0</v>
      </c>
      <c r="X8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4" s="99">
        <f>MAX(SamplingData[[#This Row],[Error Bound (up) - Max. possible relative overstatement - Losing Candidate]:[Error Bound (up) - Max. possible relative overstatement - Candidate 12]])</f>
        <v>1.4046851128840604E-2</v>
      </c>
      <c r="AC804" s="99">
        <f>IF(SamplingData[[#This Row],[Max Error Bound (up)]] = 0,0,SamplingData[[#This Row],[Max Error Bound (up)]]/SamplingData[[#Totals],[Max Error Bound (up)]])</f>
        <v>7.5208128839931749E-4</v>
      </c>
      <c r="AD804" s="103">
        <f>SUM($AC$5:AC804)</f>
        <v>0.72272512451376159</v>
      </c>
      <c r="AE804" s="99" t="str" cm="1">
        <f t="array" ref="AE804">IF(SamplingData[[#This Row],[up/U Selection Probability]] = 0, "Zero", TEXT(SamplingData[[#This Row],[Lower Range]], REPT("0",LEN('General Info'!$B$42))) &amp; " - " &amp; TEXT(SamplingData[[#This Row],[Upper Range]], REPT("0",LEN('General Info'!$B$42))))</f>
        <v>721973 - 722724</v>
      </c>
      <c r="AF804" s="99">
        <f>SamplingData[[#This Row],[Upper Range]]-SamplingData[[#This Row],[Span]]</f>
        <v>721973.04322536231</v>
      </c>
      <c r="AG804" s="99">
        <f>IF(ISNUMBER('General Info'!$B$42), ((SamplingData[[#This Row],[up/U Selection Probability]]) * 'General Info'!$B$44) - 1, 0)</f>
        <v>751.08128839931749</v>
      </c>
      <c r="AH804" s="99">
        <f>IF(ISNUMBER('General Info'!$B$42), (SamplingData[[#This Row],[Running (cumulative) sum]] * ('General Info'!$B$42 -'General Info'!$B$43 + 1)) + 'General Info'!$B$43 - 1, 0)</f>
        <v>722724.12451376161</v>
      </c>
      <c r="AI804" s="99" t="str">
        <f>IF(ISERROR(MATCH(SamplingData[[#This Row],[Batch by Type (p)]],SelectedPrecincts[Batch Name], 0)), "", INDEX(SelectedPrecincts[Draw], MATCH(SamplingData[[#This Row],[Batch by Type (p)]],SelectedPrecincts[Batch Name], 0)))</f>
        <v/>
      </c>
      <c r="AJ804" s="100">
        <f>IF(COUNTIF(SelectedPrecincts[Batch Name],SamplingData[[#This Row],[Batch by Type (p)]]) &lt;&gt; 0, COUNTIF(SelectedPrecincts[Batch Name],SamplingData[[#This Row],[Batch by Type (p)]]), 0)</f>
        <v>0</v>
      </c>
    </row>
    <row r="805" spans="1:36" ht="15" customHeight="1" x14ac:dyDescent="0.35">
      <c r="A805" s="97" t="s">
        <v>1018</v>
      </c>
      <c r="B805" s="97">
        <v>159</v>
      </c>
      <c r="C805" s="97">
        <v>311</v>
      </c>
      <c r="D805" s="92"/>
      <c r="E805" s="92"/>
      <c r="F805" s="92"/>
      <c r="G805" s="96"/>
      <c r="H805" s="96"/>
      <c r="I805" s="92"/>
      <c r="J805" s="92"/>
      <c r="K805" s="92"/>
      <c r="L805" s="92"/>
      <c r="M805" s="92"/>
      <c r="N805" s="97">
        <v>0</v>
      </c>
      <c r="O805" s="97">
        <v>47</v>
      </c>
      <c r="P805" s="98">
        <f>SUM(SamplingData[[#This Row],[Winning Candidate]:[Under Votes]])</f>
        <v>517</v>
      </c>
      <c r="Q805" s="99">
        <f>IF(AND(SamplingData[[#This Row],[Total]]&lt;&gt; 0, NOT(ISBLANK(SamplingData[[#This Row],[Losing Candidate]]))),(SamplingData[[#This Row],[Total]]+SamplingData[[#This Row],[Winning Candidate]]-SamplingData[[#This Row],[Losing Candidate]])/(SamplingData[[#Totals],[Winning Candidate]]-SamplingData[[#Totals],[Losing Candidate]]), 0)</f>
        <v>1.5489730096757767E-2</v>
      </c>
      <c r="R805" s="99">
        <f>IF(AND(SamplingData[[#This Row],[Total]]&lt;&gt; 0, NOT(ISBLANK(SamplingData[[#This Row],[Candidate 3]]))),(SamplingData[[#This Row],[Total]]+SamplingData[[#This Row],[Winning Candidate]]-SamplingData[[#This Row],[Candidate 3]])/(SamplingData[[#Totals],[Winning Candidate]]-SamplingData[[#Totals],[Candidate 3]]), 0)</f>
        <v>0</v>
      </c>
      <c r="S805" s="99">
        <f>IF(AND(SamplingData[[#This Row],[Total]]&lt;&gt; 0, NOT(ISBLANK(SamplingData[[#This Row],[Candidate 4]]))),(SamplingData[[#This Row],[Total]]+SamplingData[[#This Row],[Winning Candidate]]-SamplingData[[#This Row],[Candidate 4]])/(SamplingData[[#Totals],[Winning Candidate]]-SamplingData[[#Totals],[Candidate 4]]), 0)</f>
        <v>0</v>
      </c>
      <c r="T805" s="99">
        <f>IF(AND(SamplingData[[#This Row],[Total]]&lt;&gt; 0, NOT(ISBLANK(SamplingData[[#This Row],[Candidate 5]]))),(SamplingData[[#This Row],[Total]]+SamplingData[[#This Row],[Winning Candidate]]-SamplingData[[#This Row],[Candidate 5]])/(SamplingData[[#Totals],[Winning Candidate]]-SamplingData[[#Totals],[Candidate 5]]), 0)</f>
        <v>0</v>
      </c>
      <c r="U805" s="99">
        <f>IF(AND(SamplingData[[#This Row],[Total]]&lt;&gt; 0, NOT(ISBLANK(SamplingData[[#This Row],[Candidate 6]]))),(SamplingData[[#This Row],[Total]]+SamplingData[[#This Row],[Losing Candidate]]-SamplingData[[#This Row],[Candidate 6]])/(SamplingData[[#Totals],[Winning Candidate]]-SamplingData[[#Totals],[Candidate 6]]), 0)</f>
        <v>0</v>
      </c>
      <c r="V805" s="99">
        <f>IF(AND(SamplingData[[#This Row],[Total]]&lt;&gt; 0, NOT(ISBLANK(SamplingData[[#This Row],[Candidate 7]]))),(SamplingData[[#This Row],[Total]]+SamplingData[[#This Row],[Winning Candidate]]-SamplingData[[#This Row],[Candidate 7]])/(SamplingData[[#Totals],[Winning Candidate]]-SamplingData[[#Totals],[Candidate 7]]), 0)</f>
        <v>0</v>
      </c>
      <c r="W805" s="99">
        <f>IF(AND(SamplingData[[#This Row],[Total]]&lt;&gt; 0, NOT(ISBLANK(SamplingData[[#This Row],[Candidate 8]]))),(SamplingData[[#This Row],[Total]]+SamplingData[[#This Row],[Winning Candidate]]-SamplingData[[#This Row],[Candidate 8]])/(SamplingData[[#Totals],[Winning Candidate]]-SamplingData[[#Totals],[Candidate 8]]), 0)</f>
        <v>0</v>
      </c>
      <c r="X8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5" s="99">
        <f>MAX(SamplingData[[#This Row],[Error Bound (up) - Max. possible relative overstatement - Losing Candidate]:[Error Bound (up) - Max. possible relative overstatement - Candidate 12]])</f>
        <v>1.5489730096757767E-2</v>
      </c>
      <c r="AC805" s="99">
        <f>IF(SamplingData[[#This Row],[Max Error Bound (up)]] = 0,0,SamplingData[[#This Row],[Max Error Bound (up)]]/SamplingData[[#Totals],[Max Error Bound (up)]])</f>
        <v>8.2933435125604501E-4</v>
      </c>
      <c r="AD805" s="103">
        <f>SUM($AC$5:AC805)</f>
        <v>0.72355445886501768</v>
      </c>
      <c r="AE805" s="99" t="str" cm="1">
        <f t="array" ref="AE805">IF(SamplingData[[#This Row],[up/U Selection Probability]] = 0, "Zero", TEXT(SamplingData[[#This Row],[Lower Range]], REPT("0",LEN('General Info'!$B$42))) &amp; " - " &amp; TEXT(SamplingData[[#This Row],[Upper Range]], REPT("0",LEN('General Info'!$B$42))))</f>
        <v>722725 - 723553</v>
      </c>
      <c r="AF805" s="99">
        <f>SamplingData[[#This Row],[Upper Range]]-SamplingData[[#This Row],[Span]]</f>
        <v>722725.12451376161</v>
      </c>
      <c r="AG805" s="99">
        <f>IF(ISNUMBER('General Info'!$B$42), ((SamplingData[[#This Row],[up/U Selection Probability]]) * 'General Info'!$B$44) - 1, 0)</f>
        <v>828.33435125604501</v>
      </c>
      <c r="AH805" s="99">
        <f>IF(ISNUMBER('General Info'!$B$42), (SamplingData[[#This Row],[Running (cumulative) sum]] * ('General Info'!$B$42 -'General Info'!$B$43 + 1)) + 'General Info'!$B$43 - 1, 0)</f>
        <v>723553.45886501763</v>
      </c>
      <c r="AI805" s="99" t="str">
        <f>IF(ISERROR(MATCH(SamplingData[[#This Row],[Batch by Type (p)]],SelectedPrecincts[Batch Name], 0)), "", INDEX(SelectedPrecincts[Draw], MATCH(SamplingData[[#This Row],[Batch by Type (p)]],SelectedPrecincts[Batch Name], 0)))</f>
        <v/>
      </c>
      <c r="AJ805" s="100">
        <f>IF(COUNTIF(SelectedPrecincts[Batch Name],SamplingData[[#This Row],[Batch by Type (p)]]) &lt;&gt; 0, COUNTIF(SelectedPrecincts[Batch Name],SamplingData[[#This Row],[Batch by Type (p)]]), 0)</f>
        <v>0</v>
      </c>
    </row>
    <row r="806" spans="1:36" ht="15" customHeight="1" x14ac:dyDescent="0.35">
      <c r="A806" s="97" t="s">
        <v>1019</v>
      </c>
      <c r="B806" s="97">
        <v>166</v>
      </c>
      <c r="C806" s="97">
        <v>302</v>
      </c>
      <c r="D806" s="92"/>
      <c r="E806" s="92"/>
      <c r="F806" s="92"/>
      <c r="G806" s="96"/>
      <c r="H806" s="96"/>
      <c r="I806" s="92"/>
      <c r="J806" s="92"/>
      <c r="K806" s="92"/>
      <c r="L806" s="92"/>
      <c r="M806" s="92"/>
      <c r="N806" s="97">
        <v>0</v>
      </c>
      <c r="O806" s="97">
        <v>65</v>
      </c>
      <c r="P806" s="98">
        <f>SUM(SamplingData[[#This Row],[Winning Candidate]:[Under Votes]])</f>
        <v>533</v>
      </c>
      <c r="Q806" s="99">
        <f>IF(AND(SamplingData[[#This Row],[Total]]&lt;&gt; 0, NOT(ISBLANK(SamplingData[[#This Row],[Losing Candidate]]))),(SamplingData[[#This Row],[Total]]+SamplingData[[#This Row],[Winning Candidate]]-SamplingData[[#This Row],[Losing Candidate]])/(SamplingData[[#Totals],[Winning Candidate]]-SamplingData[[#Totals],[Losing Candidate]]), 0)</f>
        <v>1.6847733831268037E-2</v>
      </c>
      <c r="R806" s="99">
        <f>IF(AND(SamplingData[[#This Row],[Total]]&lt;&gt; 0, NOT(ISBLANK(SamplingData[[#This Row],[Candidate 3]]))),(SamplingData[[#This Row],[Total]]+SamplingData[[#This Row],[Winning Candidate]]-SamplingData[[#This Row],[Candidate 3]])/(SamplingData[[#Totals],[Winning Candidate]]-SamplingData[[#Totals],[Candidate 3]]), 0)</f>
        <v>0</v>
      </c>
      <c r="S806" s="99">
        <f>IF(AND(SamplingData[[#This Row],[Total]]&lt;&gt; 0, NOT(ISBLANK(SamplingData[[#This Row],[Candidate 4]]))),(SamplingData[[#This Row],[Total]]+SamplingData[[#This Row],[Winning Candidate]]-SamplingData[[#This Row],[Candidate 4]])/(SamplingData[[#Totals],[Winning Candidate]]-SamplingData[[#Totals],[Candidate 4]]), 0)</f>
        <v>0</v>
      </c>
      <c r="T806" s="99">
        <f>IF(AND(SamplingData[[#This Row],[Total]]&lt;&gt; 0, NOT(ISBLANK(SamplingData[[#This Row],[Candidate 5]]))),(SamplingData[[#This Row],[Total]]+SamplingData[[#This Row],[Winning Candidate]]-SamplingData[[#This Row],[Candidate 5]])/(SamplingData[[#Totals],[Winning Candidate]]-SamplingData[[#Totals],[Candidate 5]]), 0)</f>
        <v>0</v>
      </c>
      <c r="U806" s="99">
        <f>IF(AND(SamplingData[[#This Row],[Total]]&lt;&gt; 0, NOT(ISBLANK(SamplingData[[#This Row],[Candidate 6]]))),(SamplingData[[#This Row],[Total]]+SamplingData[[#This Row],[Losing Candidate]]-SamplingData[[#This Row],[Candidate 6]])/(SamplingData[[#Totals],[Winning Candidate]]-SamplingData[[#Totals],[Candidate 6]]), 0)</f>
        <v>0</v>
      </c>
      <c r="V806" s="99">
        <f>IF(AND(SamplingData[[#This Row],[Total]]&lt;&gt; 0, NOT(ISBLANK(SamplingData[[#This Row],[Candidate 7]]))),(SamplingData[[#This Row],[Total]]+SamplingData[[#This Row],[Winning Candidate]]-SamplingData[[#This Row],[Candidate 7]])/(SamplingData[[#Totals],[Winning Candidate]]-SamplingData[[#Totals],[Candidate 7]]), 0)</f>
        <v>0</v>
      </c>
      <c r="W806" s="99">
        <f>IF(AND(SamplingData[[#This Row],[Total]]&lt;&gt; 0, NOT(ISBLANK(SamplingData[[#This Row],[Candidate 8]]))),(SamplingData[[#This Row],[Total]]+SamplingData[[#This Row],[Winning Candidate]]-SamplingData[[#This Row],[Candidate 8]])/(SamplingData[[#Totals],[Winning Candidate]]-SamplingData[[#Totals],[Candidate 8]]), 0)</f>
        <v>0</v>
      </c>
      <c r="X8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6" s="99">
        <f>MAX(SamplingData[[#This Row],[Error Bound (up) - Max. possible relative overstatement - Losing Candidate]:[Error Bound (up) - Max. possible relative overstatement - Candidate 12]])</f>
        <v>1.6847733831268037E-2</v>
      </c>
      <c r="AC806" s="99">
        <f>IF(SamplingData[[#This Row],[Max Error Bound (up)]] = 0,0,SamplingData[[#This Row],[Max Error Bound (up)]]/SamplingData[[#Totals],[Max Error Bound (up)]])</f>
        <v>9.0204311629767087E-4</v>
      </c>
      <c r="AD806" s="103">
        <f>SUM($AC$5:AC806)</f>
        <v>0.72445650198131539</v>
      </c>
      <c r="AE806" s="99" t="str" cm="1">
        <f t="array" ref="AE806">IF(SamplingData[[#This Row],[up/U Selection Probability]] = 0, "Zero", TEXT(SamplingData[[#This Row],[Lower Range]], REPT("0",LEN('General Info'!$B$42))) &amp; " - " &amp; TEXT(SamplingData[[#This Row],[Upper Range]], REPT("0",LEN('General Info'!$B$42))))</f>
        <v>723554 - 724456</v>
      </c>
      <c r="AF806" s="99">
        <f>SamplingData[[#This Row],[Upper Range]]-SamplingData[[#This Row],[Span]]</f>
        <v>723554.45886501775</v>
      </c>
      <c r="AG806" s="99">
        <f>IF(ISNUMBER('General Info'!$B$42), ((SamplingData[[#This Row],[up/U Selection Probability]]) * 'General Info'!$B$44) - 1, 0)</f>
        <v>901.04311629767085</v>
      </c>
      <c r="AH806" s="99">
        <f>IF(ISNUMBER('General Info'!$B$42), (SamplingData[[#This Row],[Running (cumulative) sum]] * ('General Info'!$B$42 -'General Info'!$B$43 + 1)) + 'General Info'!$B$43 - 1, 0)</f>
        <v>724455.50198131544</v>
      </c>
      <c r="AI806" s="99" t="str">
        <f>IF(ISERROR(MATCH(SamplingData[[#This Row],[Batch by Type (p)]],SelectedPrecincts[Batch Name], 0)), "", INDEX(SelectedPrecincts[Draw], MATCH(SamplingData[[#This Row],[Batch by Type (p)]],SelectedPrecincts[Batch Name], 0)))</f>
        <v/>
      </c>
      <c r="AJ806" s="100">
        <f>IF(COUNTIF(SelectedPrecincts[Batch Name],SamplingData[[#This Row],[Batch by Type (p)]]) &lt;&gt; 0, COUNTIF(SelectedPrecincts[Batch Name],SamplingData[[#This Row],[Batch by Type (p)]]), 0)</f>
        <v>0</v>
      </c>
    </row>
    <row r="807" spans="1:36" ht="15" customHeight="1" x14ac:dyDescent="0.35">
      <c r="A807" s="97" t="s">
        <v>1020</v>
      </c>
      <c r="B807" s="97">
        <v>159</v>
      </c>
      <c r="C807" s="97">
        <v>244</v>
      </c>
      <c r="D807" s="92"/>
      <c r="E807" s="92"/>
      <c r="F807" s="92"/>
      <c r="G807" s="96"/>
      <c r="H807" s="96"/>
      <c r="I807" s="92"/>
      <c r="J807" s="92"/>
      <c r="K807" s="92"/>
      <c r="L807" s="92"/>
      <c r="M807" s="92"/>
      <c r="N807" s="97">
        <v>0</v>
      </c>
      <c r="O807" s="97">
        <v>39</v>
      </c>
      <c r="P807" s="98">
        <f>SUM(SamplingData[[#This Row],[Winning Candidate]:[Under Votes]])</f>
        <v>442</v>
      </c>
      <c r="Q807" s="99">
        <f>IF(AND(SamplingData[[#This Row],[Total]]&lt;&gt; 0, NOT(ISBLANK(SamplingData[[#This Row],[Losing Candidate]]))),(SamplingData[[#This Row],[Total]]+SamplingData[[#This Row],[Winning Candidate]]-SamplingData[[#This Row],[Losing Candidate]])/(SamplingData[[#Totals],[Winning Candidate]]-SamplingData[[#Totals],[Losing Candidate]]), 0)</f>
        <v>1.5150229163130198E-2</v>
      </c>
      <c r="R807" s="99">
        <f>IF(AND(SamplingData[[#This Row],[Total]]&lt;&gt; 0, NOT(ISBLANK(SamplingData[[#This Row],[Candidate 3]]))),(SamplingData[[#This Row],[Total]]+SamplingData[[#This Row],[Winning Candidate]]-SamplingData[[#This Row],[Candidate 3]])/(SamplingData[[#Totals],[Winning Candidate]]-SamplingData[[#Totals],[Candidate 3]]), 0)</f>
        <v>0</v>
      </c>
      <c r="S807" s="99">
        <f>IF(AND(SamplingData[[#This Row],[Total]]&lt;&gt; 0, NOT(ISBLANK(SamplingData[[#This Row],[Candidate 4]]))),(SamplingData[[#This Row],[Total]]+SamplingData[[#This Row],[Winning Candidate]]-SamplingData[[#This Row],[Candidate 4]])/(SamplingData[[#Totals],[Winning Candidate]]-SamplingData[[#Totals],[Candidate 4]]), 0)</f>
        <v>0</v>
      </c>
      <c r="T807" s="99">
        <f>IF(AND(SamplingData[[#This Row],[Total]]&lt;&gt; 0, NOT(ISBLANK(SamplingData[[#This Row],[Candidate 5]]))),(SamplingData[[#This Row],[Total]]+SamplingData[[#This Row],[Winning Candidate]]-SamplingData[[#This Row],[Candidate 5]])/(SamplingData[[#Totals],[Winning Candidate]]-SamplingData[[#Totals],[Candidate 5]]), 0)</f>
        <v>0</v>
      </c>
      <c r="U807" s="99">
        <f>IF(AND(SamplingData[[#This Row],[Total]]&lt;&gt; 0, NOT(ISBLANK(SamplingData[[#This Row],[Candidate 6]]))),(SamplingData[[#This Row],[Total]]+SamplingData[[#This Row],[Losing Candidate]]-SamplingData[[#This Row],[Candidate 6]])/(SamplingData[[#Totals],[Winning Candidate]]-SamplingData[[#Totals],[Candidate 6]]), 0)</f>
        <v>0</v>
      </c>
      <c r="V807" s="99">
        <f>IF(AND(SamplingData[[#This Row],[Total]]&lt;&gt; 0, NOT(ISBLANK(SamplingData[[#This Row],[Candidate 7]]))),(SamplingData[[#This Row],[Total]]+SamplingData[[#This Row],[Winning Candidate]]-SamplingData[[#This Row],[Candidate 7]])/(SamplingData[[#Totals],[Winning Candidate]]-SamplingData[[#Totals],[Candidate 7]]), 0)</f>
        <v>0</v>
      </c>
      <c r="W807" s="99">
        <f>IF(AND(SamplingData[[#This Row],[Total]]&lt;&gt; 0, NOT(ISBLANK(SamplingData[[#This Row],[Candidate 8]]))),(SamplingData[[#This Row],[Total]]+SamplingData[[#This Row],[Winning Candidate]]-SamplingData[[#This Row],[Candidate 8]])/(SamplingData[[#Totals],[Winning Candidate]]-SamplingData[[#Totals],[Candidate 8]]), 0)</f>
        <v>0</v>
      </c>
      <c r="X8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7" s="99">
        <f>MAX(SamplingData[[#This Row],[Error Bound (up) - Max. possible relative overstatement - Losing Candidate]:[Error Bound (up) - Max. possible relative overstatement - Candidate 12]])</f>
        <v>1.5150229163130198E-2</v>
      </c>
      <c r="AC807" s="99">
        <f>IF(SamplingData[[#This Row],[Max Error Bound (up)]] = 0,0,SamplingData[[#This Row],[Max Error Bound (up)]]/SamplingData[[#Totals],[Max Error Bound (up)]])</f>
        <v>8.1115715999563844E-4</v>
      </c>
      <c r="AD807" s="103">
        <f>SUM($AC$5:AC807)</f>
        <v>0.72526765914131108</v>
      </c>
      <c r="AE807" s="99" t="str" cm="1">
        <f t="array" ref="AE807">IF(SamplingData[[#This Row],[up/U Selection Probability]] = 0, "Zero", TEXT(SamplingData[[#This Row],[Lower Range]], REPT("0",LEN('General Info'!$B$42))) &amp; " - " &amp; TEXT(SamplingData[[#This Row],[Upper Range]], REPT("0",LEN('General Info'!$B$42))))</f>
        <v>724457 - 725267</v>
      </c>
      <c r="AF807" s="99">
        <f>SamplingData[[#This Row],[Upper Range]]-SamplingData[[#This Row],[Span]]</f>
        <v>724456.50198131544</v>
      </c>
      <c r="AG807" s="99">
        <f>IF(ISNUMBER('General Info'!$B$42), ((SamplingData[[#This Row],[up/U Selection Probability]]) * 'General Info'!$B$44) - 1, 0)</f>
        <v>810.15715999563849</v>
      </c>
      <c r="AH807" s="99">
        <f>IF(ISNUMBER('General Info'!$B$42), (SamplingData[[#This Row],[Running (cumulative) sum]] * ('General Info'!$B$42 -'General Info'!$B$43 + 1)) + 'General Info'!$B$43 - 1, 0)</f>
        <v>725266.65914131107</v>
      </c>
      <c r="AI807" s="99" t="str">
        <f>IF(ISERROR(MATCH(SamplingData[[#This Row],[Batch by Type (p)]],SelectedPrecincts[Batch Name], 0)), "", INDEX(SelectedPrecincts[Draw], MATCH(SamplingData[[#This Row],[Batch by Type (p)]],SelectedPrecincts[Batch Name], 0)))</f>
        <v/>
      </c>
      <c r="AJ807" s="100">
        <f>IF(COUNTIF(SelectedPrecincts[Batch Name],SamplingData[[#This Row],[Batch by Type (p)]]) &lt;&gt; 0, COUNTIF(SelectedPrecincts[Batch Name],SamplingData[[#This Row],[Batch by Type (p)]]), 0)</f>
        <v>0</v>
      </c>
    </row>
    <row r="808" spans="1:36" ht="15" customHeight="1" x14ac:dyDescent="0.35">
      <c r="A808" s="97" t="s">
        <v>1021</v>
      </c>
      <c r="B808" s="97">
        <v>111</v>
      </c>
      <c r="C808" s="97">
        <v>186</v>
      </c>
      <c r="D808" s="92"/>
      <c r="E808" s="92"/>
      <c r="F808" s="92"/>
      <c r="G808" s="96"/>
      <c r="H808" s="96"/>
      <c r="I808" s="92"/>
      <c r="J808" s="92"/>
      <c r="K808" s="92"/>
      <c r="L808" s="92"/>
      <c r="M808" s="92"/>
      <c r="N808" s="97">
        <v>0</v>
      </c>
      <c r="O808" s="97">
        <v>27</v>
      </c>
      <c r="P808" s="98">
        <f>SUM(SamplingData[[#This Row],[Winning Candidate]:[Under Votes]])</f>
        <v>324</v>
      </c>
      <c r="Q808" s="99">
        <f>IF(AND(SamplingData[[#This Row],[Total]]&lt;&gt; 0, NOT(ISBLANK(SamplingData[[#This Row],[Losing Candidate]]))),(SamplingData[[#This Row],[Total]]+SamplingData[[#This Row],[Winning Candidate]]-SamplingData[[#This Row],[Losing Candidate]])/(SamplingData[[#Totals],[Winning Candidate]]-SamplingData[[#Totals],[Losing Candidate]]), 0)</f>
        <v>1.0566966559158038E-2</v>
      </c>
      <c r="R808" s="99">
        <f>IF(AND(SamplingData[[#This Row],[Total]]&lt;&gt; 0, NOT(ISBLANK(SamplingData[[#This Row],[Candidate 3]]))),(SamplingData[[#This Row],[Total]]+SamplingData[[#This Row],[Winning Candidate]]-SamplingData[[#This Row],[Candidate 3]])/(SamplingData[[#Totals],[Winning Candidate]]-SamplingData[[#Totals],[Candidate 3]]), 0)</f>
        <v>0</v>
      </c>
      <c r="S808" s="99">
        <f>IF(AND(SamplingData[[#This Row],[Total]]&lt;&gt; 0, NOT(ISBLANK(SamplingData[[#This Row],[Candidate 4]]))),(SamplingData[[#This Row],[Total]]+SamplingData[[#This Row],[Winning Candidate]]-SamplingData[[#This Row],[Candidate 4]])/(SamplingData[[#Totals],[Winning Candidate]]-SamplingData[[#Totals],[Candidate 4]]), 0)</f>
        <v>0</v>
      </c>
      <c r="T808" s="99">
        <f>IF(AND(SamplingData[[#This Row],[Total]]&lt;&gt; 0, NOT(ISBLANK(SamplingData[[#This Row],[Candidate 5]]))),(SamplingData[[#This Row],[Total]]+SamplingData[[#This Row],[Winning Candidate]]-SamplingData[[#This Row],[Candidate 5]])/(SamplingData[[#Totals],[Winning Candidate]]-SamplingData[[#Totals],[Candidate 5]]), 0)</f>
        <v>0</v>
      </c>
      <c r="U808" s="99">
        <f>IF(AND(SamplingData[[#This Row],[Total]]&lt;&gt; 0, NOT(ISBLANK(SamplingData[[#This Row],[Candidate 6]]))),(SamplingData[[#This Row],[Total]]+SamplingData[[#This Row],[Losing Candidate]]-SamplingData[[#This Row],[Candidate 6]])/(SamplingData[[#Totals],[Winning Candidate]]-SamplingData[[#Totals],[Candidate 6]]), 0)</f>
        <v>0</v>
      </c>
      <c r="V808" s="99">
        <f>IF(AND(SamplingData[[#This Row],[Total]]&lt;&gt; 0, NOT(ISBLANK(SamplingData[[#This Row],[Candidate 7]]))),(SamplingData[[#This Row],[Total]]+SamplingData[[#This Row],[Winning Candidate]]-SamplingData[[#This Row],[Candidate 7]])/(SamplingData[[#Totals],[Winning Candidate]]-SamplingData[[#Totals],[Candidate 7]]), 0)</f>
        <v>0</v>
      </c>
      <c r="W808" s="99">
        <f>IF(AND(SamplingData[[#This Row],[Total]]&lt;&gt; 0, NOT(ISBLANK(SamplingData[[#This Row],[Candidate 8]]))),(SamplingData[[#This Row],[Total]]+SamplingData[[#This Row],[Winning Candidate]]-SamplingData[[#This Row],[Candidate 8]])/(SamplingData[[#Totals],[Winning Candidate]]-SamplingData[[#Totals],[Candidate 8]]), 0)</f>
        <v>0</v>
      </c>
      <c r="X8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8" s="99">
        <f>MAX(SamplingData[[#This Row],[Error Bound (up) - Max. possible relative overstatement - Losing Candidate]:[Error Bound (up) - Max. possible relative overstatement - Candidate 12]])</f>
        <v>1.0566966559158038E-2</v>
      </c>
      <c r="AC808" s="99">
        <f>IF(SamplingData[[#This Row],[Max Error Bound (up)]] = 0,0,SamplingData[[#This Row],[Max Error Bound (up)]]/SamplingData[[#Totals],[Max Error Bound (up)]])</f>
        <v>5.6576507798015128E-4</v>
      </c>
      <c r="AD808" s="103">
        <f>SUM($AC$5:AC808)</f>
        <v>0.7258334242192912</v>
      </c>
      <c r="AE808" s="99" t="str" cm="1">
        <f t="array" ref="AE808">IF(SamplingData[[#This Row],[up/U Selection Probability]] = 0, "Zero", TEXT(SamplingData[[#This Row],[Lower Range]], REPT("0",LEN('General Info'!$B$42))) &amp; " - " &amp; TEXT(SamplingData[[#This Row],[Upper Range]], REPT("0",LEN('General Info'!$B$42))))</f>
        <v>725268 - 725832</v>
      </c>
      <c r="AF808" s="99">
        <f>SamplingData[[#This Row],[Upper Range]]-SamplingData[[#This Row],[Span]]</f>
        <v>725267.65914131107</v>
      </c>
      <c r="AG808" s="99">
        <f>IF(ISNUMBER('General Info'!$B$42), ((SamplingData[[#This Row],[up/U Selection Probability]]) * 'General Info'!$B$44) - 1, 0)</f>
        <v>564.76507798015132</v>
      </c>
      <c r="AH808" s="99">
        <f>IF(ISNUMBER('General Info'!$B$42), (SamplingData[[#This Row],[Running (cumulative) sum]] * ('General Info'!$B$42 -'General Info'!$B$43 + 1)) + 'General Info'!$B$43 - 1, 0)</f>
        <v>725832.42421929119</v>
      </c>
      <c r="AI808" s="99" t="str">
        <f>IF(ISERROR(MATCH(SamplingData[[#This Row],[Batch by Type (p)]],SelectedPrecincts[Batch Name], 0)), "", INDEX(SelectedPrecincts[Draw], MATCH(SamplingData[[#This Row],[Batch by Type (p)]],SelectedPrecincts[Batch Name], 0)))</f>
        <v/>
      </c>
      <c r="AJ808" s="100">
        <f>IF(COUNTIF(SelectedPrecincts[Batch Name],SamplingData[[#This Row],[Batch by Type (p)]]) &lt;&gt; 0, COUNTIF(SelectedPrecincts[Batch Name],SamplingData[[#This Row],[Batch by Type (p)]]), 0)</f>
        <v>0</v>
      </c>
    </row>
    <row r="809" spans="1:36" ht="15" customHeight="1" x14ac:dyDescent="0.35">
      <c r="A809" s="97" t="s">
        <v>1022</v>
      </c>
      <c r="B809" s="97">
        <v>178</v>
      </c>
      <c r="C809" s="97">
        <v>284</v>
      </c>
      <c r="D809" s="92"/>
      <c r="E809" s="92"/>
      <c r="F809" s="92"/>
      <c r="G809" s="96"/>
      <c r="H809" s="96"/>
      <c r="I809" s="92"/>
      <c r="J809" s="92"/>
      <c r="K809" s="92"/>
      <c r="L809" s="92"/>
      <c r="M809" s="92"/>
      <c r="N809" s="97">
        <v>0</v>
      </c>
      <c r="O809" s="97">
        <v>36</v>
      </c>
      <c r="P809" s="98">
        <f>SUM(SamplingData[[#This Row],[Winning Candidate]:[Under Votes]])</f>
        <v>498</v>
      </c>
      <c r="Q809" s="99">
        <f>IF(AND(SamplingData[[#This Row],[Total]]&lt;&gt; 0, NOT(ISBLANK(SamplingData[[#This Row],[Losing Candidate]]))),(SamplingData[[#This Row],[Total]]+SamplingData[[#This Row],[Winning Candidate]]-SamplingData[[#This Row],[Losing Candidate]])/(SamplingData[[#Totals],[Winning Candidate]]-SamplingData[[#Totals],[Losing Candidate]]), 0)</f>
        <v>1.6635545747750807E-2</v>
      </c>
      <c r="R809" s="99">
        <f>IF(AND(SamplingData[[#This Row],[Total]]&lt;&gt; 0, NOT(ISBLANK(SamplingData[[#This Row],[Candidate 3]]))),(SamplingData[[#This Row],[Total]]+SamplingData[[#This Row],[Winning Candidate]]-SamplingData[[#This Row],[Candidate 3]])/(SamplingData[[#Totals],[Winning Candidate]]-SamplingData[[#Totals],[Candidate 3]]), 0)</f>
        <v>0</v>
      </c>
      <c r="S809" s="99">
        <f>IF(AND(SamplingData[[#This Row],[Total]]&lt;&gt; 0, NOT(ISBLANK(SamplingData[[#This Row],[Candidate 4]]))),(SamplingData[[#This Row],[Total]]+SamplingData[[#This Row],[Winning Candidate]]-SamplingData[[#This Row],[Candidate 4]])/(SamplingData[[#Totals],[Winning Candidate]]-SamplingData[[#Totals],[Candidate 4]]), 0)</f>
        <v>0</v>
      </c>
      <c r="T809" s="99">
        <f>IF(AND(SamplingData[[#This Row],[Total]]&lt;&gt; 0, NOT(ISBLANK(SamplingData[[#This Row],[Candidate 5]]))),(SamplingData[[#This Row],[Total]]+SamplingData[[#This Row],[Winning Candidate]]-SamplingData[[#This Row],[Candidate 5]])/(SamplingData[[#Totals],[Winning Candidate]]-SamplingData[[#Totals],[Candidate 5]]), 0)</f>
        <v>0</v>
      </c>
      <c r="U809" s="99">
        <f>IF(AND(SamplingData[[#This Row],[Total]]&lt;&gt; 0, NOT(ISBLANK(SamplingData[[#This Row],[Candidate 6]]))),(SamplingData[[#This Row],[Total]]+SamplingData[[#This Row],[Losing Candidate]]-SamplingData[[#This Row],[Candidate 6]])/(SamplingData[[#Totals],[Winning Candidate]]-SamplingData[[#Totals],[Candidate 6]]), 0)</f>
        <v>0</v>
      </c>
      <c r="V809" s="99">
        <f>IF(AND(SamplingData[[#This Row],[Total]]&lt;&gt; 0, NOT(ISBLANK(SamplingData[[#This Row],[Candidate 7]]))),(SamplingData[[#This Row],[Total]]+SamplingData[[#This Row],[Winning Candidate]]-SamplingData[[#This Row],[Candidate 7]])/(SamplingData[[#Totals],[Winning Candidate]]-SamplingData[[#Totals],[Candidate 7]]), 0)</f>
        <v>0</v>
      </c>
      <c r="W809" s="99">
        <f>IF(AND(SamplingData[[#This Row],[Total]]&lt;&gt; 0, NOT(ISBLANK(SamplingData[[#This Row],[Candidate 8]]))),(SamplingData[[#This Row],[Total]]+SamplingData[[#This Row],[Winning Candidate]]-SamplingData[[#This Row],[Candidate 8]])/(SamplingData[[#Totals],[Winning Candidate]]-SamplingData[[#Totals],[Candidate 8]]), 0)</f>
        <v>0</v>
      </c>
      <c r="X8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9" s="99">
        <f>MAX(SamplingData[[#This Row],[Error Bound (up) - Max. possible relative overstatement - Losing Candidate]:[Error Bound (up) - Max. possible relative overstatement - Candidate 12]])</f>
        <v>1.6635545747750807E-2</v>
      </c>
      <c r="AC809" s="99">
        <f>IF(SamplingData[[#This Row],[Max Error Bound (up)]] = 0,0,SamplingData[[#This Row],[Max Error Bound (up)]]/SamplingData[[#Totals],[Max Error Bound (up)]])</f>
        <v>8.9068237175991686E-4</v>
      </c>
      <c r="AD809" s="103">
        <f>SUM($AC$5:AC809)</f>
        <v>0.72672410659105113</v>
      </c>
      <c r="AE809" s="99" t="str" cm="1">
        <f t="array" ref="AE809">IF(SamplingData[[#This Row],[up/U Selection Probability]] = 0, "Zero", TEXT(SamplingData[[#This Row],[Lower Range]], REPT("0",LEN('General Info'!$B$42))) &amp; " - " &amp; TEXT(SamplingData[[#This Row],[Upper Range]], REPT("0",LEN('General Info'!$B$42))))</f>
        <v>725833 - 726723</v>
      </c>
      <c r="AF809" s="99">
        <f>SamplingData[[#This Row],[Upper Range]]-SamplingData[[#This Row],[Span]]</f>
        <v>725833.42421929119</v>
      </c>
      <c r="AG809" s="99">
        <f>IF(ISNUMBER('General Info'!$B$42), ((SamplingData[[#This Row],[up/U Selection Probability]]) * 'General Info'!$B$44) - 1, 0)</f>
        <v>889.6823717599168</v>
      </c>
      <c r="AH809" s="99">
        <f>IF(ISNUMBER('General Info'!$B$42), (SamplingData[[#This Row],[Running (cumulative) sum]] * ('General Info'!$B$42 -'General Info'!$B$43 + 1)) + 'General Info'!$B$43 - 1, 0)</f>
        <v>726723.1065910511</v>
      </c>
      <c r="AI809" s="99" t="str">
        <f>IF(ISERROR(MATCH(SamplingData[[#This Row],[Batch by Type (p)]],SelectedPrecincts[Batch Name], 0)), "", INDEX(SelectedPrecincts[Draw], MATCH(SamplingData[[#This Row],[Batch by Type (p)]],SelectedPrecincts[Batch Name], 0)))</f>
        <v/>
      </c>
      <c r="AJ809" s="100">
        <f>IF(COUNTIF(SelectedPrecincts[Batch Name],SamplingData[[#This Row],[Batch by Type (p)]]) &lt;&gt; 0, COUNTIF(SelectedPrecincts[Batch Name],SamplingData[[#This Row],[Batch by Type (p)]]), 0)</f>
        <v>0</v>
      </c>
    </row>
    <row r="810" spans="1:36" ht="15" customHeight="1" x14ac:dyDescent="0.35">
      <c r="A810" s="97" t="s">
        <v>1023</v>
      </c>
      <c r="B810" s="97">
        <v>147</v>
      </c>
      <c r="C810" s="97">
        <v>191</v>
      </c>
      <c r="D810" s="92"/>
      <c r="E810" s="92"/>
      <c r="F810" s="92"/>
      <c r="G810" s="96"/>
      <c r="H810" s="96"/>
      <c r="I810" s="92"/>
      <c r="J810" s="92"/>
      <c r="K810" s="92"/>
      <c r="L810" s="92"/>
      <c r="M810" s="92"/>
      <c r="N810" s="97">
        <v>0</v>
      </c>
      <c r="O810" s="97">
        <v>31</v>
      </c>
      <c r="P810" s="98">
        <f>SUM(SamplingData[[#This Row],[Winning Candidate]:[Under Votes]])</f>
        <v>369</v>
      </c>
      <c r="Q810" s="99">
        <f>IF(AND(SamplingData[[#This Row],[Total]]&lt;&gt; 0, NOT(ISBLANK(SamplingData[[#This Row],[Losing Candidate]]))),(SamplingData[[#This Row],[Total]]+SamplingData[[#This Row],[Winning Candidate]]-SamplingData[[#This Row],[Losing Candidate]])/(SamplingData[[#Totals],[Winning Candidate]]-SamplingData[[#Totals],[Losing Candidate]]), 0)</f>
        <v>1.3792225428619929E-2</v>
      </c>
      <c r="R810" s="99">
        <f>IF(AND(SamplingData[[#This Row],[Total]]&lt;&gt; 0, NOT(ISBLANK(SamplingData[[#This Row],[Candidate 3]]))),(SamplingData[[#This Row],[Total]]+SamplingData[[#This Row],[Winning Candidate]]-SamplingData[[#This Row],[Candidate 3]])/(SamplingData[[#Totals],[Winning Candidate]]-SamplingData[[#Totals],[Candidate 3]]), 0)</f>
        <v>0</v>
      </c>
      <c r="S810" s="99">
        <f>IF(AND(SamplingData[[#This Row],[Total]]&lt;&gt; 0, NOT(ISBLANK(SamplingData[[#This Row],[Candidate 4]]))),(SamplingData[[#This Row],[Total]]+SamplingData[[#This Row],[Winning Candidate]]-SamplingData[[#This Row],[Candidate 4]])/(SamplingData[[#Totals],[Winning Candidate]]-SamplingData[[#Totals],[Candidate 4]]), 0)</f>
        <v>0</v>
      </c>
      <c r="T810" s="99">
        <f>IF(AND(SamplingData[[#This Row],[Total]]&lt;&gt; 0, NOT(ISBLANK(SamplingData[[#This Row],[Candidate 5]]))),(SamplingData[[#This Row],[Total]]+SamplingData[[#This Row],[Winning Candidate]]-SamplingData[[#This Row],[Candidate 5]])/(SamplingData[[#Totals],[Winning Candidate]]-SamplingData[[#Totals],[Candidate 5]]), 0)</f>
        <v>0</v>
      </c>
      <c r="U810" s="99">
        <f>IF(AND(SamplingData[[#This Row],[Total]]&lt;&gt; 0, NOT(ISBLANK(SamplingData[[#This Row],[Candidate 6]]))),(SamplingData[[#This Row],[Total]]+SamplingData[[#This Row],[Losing Candidate]]-SamplingData[[#This Row],[Candidate 6]])/(SamplingData[[#Totals],[Winning Candidate]]-SamplingData[[#Totals],[Candidate 6]]), 0)</f>
        <v>0</v>
      </c>
      <c r="V810" s="99">
        <f>IF(AND(SamplingData[[#This Row],[Total]]&lt;&gt; 0, NOT(ISBLANK(SamplingData[[#This Row],[Candidate 7]]))),(SamplingData[[#This Row],[Total]]+SamplingData[[#This Row],[Winning Candidate]]-SamplingData[[#This Row],[Candidate 7]])/(SamplingData[[#Totals],[Winning Candidate]]-SamplingData[[#Totals],[Candidate 7]]), 0)</f>
        <v>0</v>
      </c>
      <c r="W810" s="99">
        <f>IF(AND(SamplingData[[#This Row],[Total]]&lt;&gt; 0, NOT(ISBLANK(SamplingData[[#This Row],[Candidate 8]]))),(SamplingData[[#This Row],[Total]]+SamplingData[[#This Row],[Winning Candidate]]-SamplingData[[#This Row],[Candidate 8]])/(SamplingData[[#Totals],[Winning Candidate]]-SamplingData[[#Totals],[Candidate 8]]), 0)</f>
        <v>0</v>
      </c>
      <c r="X8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0" s="99">
        <f>MAX(SamplingData[[#This Row],[Error Bound (up) - Max. possible relative overstatement - Losing Candidate]:[Error Bound (up) - Max. possible relative overstatement - Candidate 12]])</f>
        <v>1.3792225428619929E-2</v>
      </c>
      <c r="AC810" s="99">
        <f>IF(SamplingData[[#This Row],[Max Error Bound (up)]] = 0,0,SamplingData[[#This Row],[Max Error Bound (up)]]/SamplingData[[#Totals],[Max Error Bound (up)]])</f>
        <v>7.3844839495401269E-4</v>
      </c>
      <c r="AD810" s="103">
        <f>SUM($AC$5:AC810)</f>
        <v>0.72746255498600509</v>
      </c>
      <c r="AE810" s="99" t="str" cm="1">
        <f t="array" ref="AE810">IF(SamplingData[[#This Row],[up/U Selection Probability]] = 0, "Zero", TEXT(SamplingData[[#This Row],[Lower Range]], REPT("0",LEN('General Info'!$B$42))) &amp; " - " &amp; TEXT(SamplingData[[#This Row],[Upper Range]], REPT("0",LEN('General Info'!$B$42))))</f>
        <v>726724 - 727462</v>
      </c>
      <c r="AF810" s="99">
        <f>SamplingData[[#This Row],[Upper Range]]-SamplingData[[#This Row],[Span]]</f>
        <v>726724.1065910511</v>
      </c>
      <c r="AG810" s="99">
        <f>IF(ISNUMBER('General Info'!$B$42), ((SamplingData[[#This Row],[up/U Selection Probability]]) * 'General Info'!$B$44) - 1, 0)</f>
        <v>737.44839495401266</v>
      </c>
      <c r="AH810" s="99">
        <f>IF(ISNUMBER('General Info'!$B$42), (SamplingData[[#This Row],[Running (cumulative) sum]] * ('General Info'!$B$42 -'General Info'!$B$43 + 1)) + 'General Info'!$B$43 - 1, 0)</f>
        <v>727461.55498600507</v>
      </c>
      <c r="AI810" s="99" t="str">
        <f>IF(ISERROR(MATCH(SamplingData[[#This Row],[Batch by Type (p)]],SelectedPrecincts[Batch Name], 0)), "", INDEX(SelectedPrecincts[Draw], MATCH(SamplingData[[#This Row],[Batch by Type (p)]],SelectedPrecincts[Batch Name], 0)))</f>
        <v/>
      </c>
      <c r="AJ810" s="100">
        <f>IF(COUNTIF(SelectedPrecincts[Batch Name],SamplingData[[#This Row],[Batch by Type (p)]]) &lt;&gt; 0, COUNTIF(SelectedPrecincts[Batch Name],SamplingData[[#This Row],[Batch by Type (p)]]), 0)</f>
        <v>0</v>
      </c>
    </row>
    <row r="811" spans="1:36" ht="15" customHeight="1" x14ac:dyDescent="0.35">
      <c r="A811" s="97" t="s">
        <v>1024</v>
      </c>
      <c r="B811" s="97">
        <v>117</v>
      </c>
      <c r="C811" s="97">
        <v>205</v>
      </c>
      <c r="D811" s="92"/>
      <c r="E811" s="92"/>
      <c r="F811" s="92"/>
      <c r="G811" s="96"/>
      <c r="H811" s="96"/>
      <c r="I811" s="92"/>
      <c r="J811" s="92"/>
      <c r="K811" s="92"/>
      <c r="L811" s="92"/>
      <c r="M811" s="92"/>
      <c r="N811" s="97">
        <v>0</v>
      </c>
      <c r="O811" s="97">
        <v>39</v>
      </c>
      <c r="P811" s="98">
        <f>SUM(SamplingData[[#This Row],[Winning Candidate]:[Under Votes]])</f>
        <v>361</v>
      </c>
      <c r="Q811" s="99">
        <f>IF(AND(SamplingData[[#This Row],[Total]]&lt;&gt; 0, NOT(ISBLANK(SamplingData[[#This Row],[Losing Candidate]]))),(SamplingData[[#This Row],[Total]]+SamplingData[[#This Row],[Winning Candidate]]-SamplingData[[#This Row],[Losing Candidate]])/(SamplingData[[#Totals],[Winning Candidate]]-SamplingData[[#Totals],[Losing Candidate]]), 0)</f>
        <v>1.158546936004074E-2</v>
      </c>
      <c r="R811" s="99">
        <f>IF(AND(SamplingData[[#This Row],[Total]]&lt;&gt; 0, NOT(ISBLANK(SamplingData[[#This Row],[Candidate 3]]))),(SamplingData[[#This Row],[Total]]+SamplingData[[#This Row],[Winning Candidate]]-SamplingData[[#This Row],[Candidate 3]])/(SamplingData[[#Totals],[Winning Candidate]]-SamplingData[[#Totals],[Candidate 3]]), 0)</f>
        <v>0</v>
      </c>
      <c r="S811" s="99">
        <f>IF(AND(SamplingData[[#This Row],[Total]]&lt;&gt; 0, NOT(ISBLANK(SamplingData[[#This Row],[Candidate 4]]))),(SamplingData[[#This Row],[Total]]+SamplingData[[#This Row],[Winning Candidate]]-SamplingData[[#This Row],[Candidate 4]])/(SamplingData[[#Totals],[Winning Candidate]]-SamplingData[[#Totals],[Candidate 4]]), 0)</f>
        <v>0</v>
      </c>
      <c r="T811" s="99">
        <f>IF(AND(SamplingData[[#This Row],[Total]]&lt;&gt; 0, NOT(ISBLANK(SamplingData[[#This Row],[Candidate 5]]))),(SamplingData[[#This Row],[Total]]+SamplingData[[#This Row],[Winning Candidate]]-SamplingData[[#This Row],[Candidate 5]])/(SamplingData[[#Totals],[Winning Candidate]]-SamplingData[[#Totals],[Candidate 5]]), 0)</f>
        <v>0</v>
      </c>
      <c r="U811" s="99">
        <f>IF(AND(SamplingData[[#This Row],[Total]]&lt;&gt; 0, NOT(ISBLANK(SamplingData[[#This Row],[Candidate 6]]))),(SamplingData[[#This Row],[Total]]+SamplingData[[#This Row],[Losing Candidate]]-SamplingData[[#This Row],[Candidate 6]])/(SamplingData[[#Totals],[Winning Candidate]]-SamplingData[[#Totals],[Candidate 6]]), 0)</f>
        <v>0</v>
      </c>
      <c r="V811" s="99">
        <f>IF(AND(SamplingData[[#This Row],[Total]]&lt;&gt; 0, NOT(ISBLANK(SamplingData[[#This Row],[Candidate 7]]))),(SamplingData[[#This Row],[Total]]+SamplingData[[#This Row],[Winning Candidate]]-SamplingData[[#This Row],[Candidate 7]])/(SamplingData[[#Totals],[Winning Candidate]]-SamplingData[[#Totals],[Candidate 7]]), 0)</f>
        <v>0</v>
      </c>
      <c r="W811" s="99">
        <f>IF(AND(SamplingData[[#This Row],[Total]]&lt;&gt; 0, NOT(ISBLANK(SamplingData[[#This Row],[Candidate 8]]))),(SamplingData[[#This Row],[Total]]+SamplingData[[#This Row],[Winning Candidate]]-SamplingData[[#This Row],[Candidate 8]])/(SamplingData[[#Totals],[Winning Candidate]]-SamplingData[[#Totals],[Candidate 8]]), 0)</f>
        <v>0</v>
      </c>
      <c r="X8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1" s="99">
        <f>MAX(SamplingData[[#This Row],[Error Bound (up) - Max. possible relative overstatement - Losing Candidate]:[Error Bound (up) - Max. possible relative overstatement - Candidate 12]])</f>
        <v>1.158546936004074E-2</v>
      </c>
      <c r="AC811" s="99">
        <f>IF(SamplingData[[#This Row],[Max Error Bound (up)]] = 0,0,SamplingData[[#This Row],[Max Error Bound (up)]]/SamplingData[[#Totals],[Max Error Bound (up)]])</f>
        <v>6.2029665176137057E-4</v>
      </c>
      <c r="AD811" s="103">
        <f>SUM($AC$5:AC811)</f>
        <v>0.72808285163776643</v>
      </c>
      <c r="AE811" s="99" t="str" cm="1">
        <f t="array" ref="AE811">IF(SamplingData[[#This Row],[up/U Selection Probability]] = 0, "Zero", TEXT(SamplingData[[#This Row],[Lower Range]], REPT("0",LEN('General Info'!$B$42))) &amp; " - " &amp; TEXT(SamplingData[[#This Row],[Upper Range]], REPT("0",LEN('General Info'!$B$42))))</f>
        <v>727463 - 728082</v>
      </c>
      <c r="AF811" s="99">
        <f>SamplingData[[#This Row],[Upper Range]]-SamplingData[[#This Row],[Span]]</f>
        <v>727462.55498600507</v>
      </c>
      <c r="AG811" s="99">
        <f>IF(ISNUMBER('General Info'!$B$42), ((SamplingData[[#This Row],[up/U Selection Probability]]) * 'General Info'!$B$44) - 1, 0)</f>
        <v>619.29665176137053</v>
      </c>
      <c r="AH811" s="99">
        <f>IF(ISNUMBER('General Info'!$B$42), (SamplingData[[#This Row],[Running (cumulative) sum]] * ('General Info'!$B$42 -'General Info'!$B$43 + 1)) + 'General Info'!$B$43 - 1, 0)</f>
        <v>728081.85163776646</v>
      </c>
      <c r="AI811" s="99" t="str">
        <f>IF(ISERROR(MATCH(SamplingData[[#This Row],[Batch by Type (p)]],SelectedPrecincts[Batch Name], 0)), "", INDEX(SelectedPrecincts[Draw], MATCH(SamplingData[[#This Row],[Batch by Type (p)]],SelectedPrecincts[Batch Name], 0)))</f>
        <v/>
      </c>
      <c r="AJ811" s="100">
        <f>IF(COUNTIF(SelectedPrecincts[Batch Name],SamplingData[[#This Row],[Batch by Type (p)]]) &lt;&gt; 0, COUNTIF(SelectedPrecincts[Batch Name],SamplingData[[#This Row],[Batch by Type (p)]]), 0)</f>
        <v>0</v>
      </c>
    </row>
    <row r="812" spans="1:36" ht="15" customHeight="1" x14ac:dyDescent="0.35">
      <c r="A812" s="97" t="s">
        <v>1025</v>
      </c>
      <c r="B812" s="97">
        <v>238</v>
      </c>
      <c r="C812" s="97">
        <v>304</v>
      </c>
      <c r="D812" s="92"/>
      <c r="E812" s="92"/>
      <c r="F812" s="92"/>
      <c r="G812" s="96"/>
      <c r="H812" s="96"/>
      <c r="I812" s="92"/>
      <c r="J812" s="92"/>
      <c r="K812" s="92"/>
      <c r="L812" s="92"/>
      <c r="M812" s="92"/>
      <c r="N812" s="97">
        <v>0</v>
      </c>
      <c r="O812" s="97">
        <v>45</v>
      </c>
      <c r="P812" s="98">
        <f>SUM(SamplingData[[#This Row],[Winning Candidate]:[Under Votes]])</f>
        <v>587</v>
      </c>
      <c r="Q812" s="99">
        <f>IF(AND(SamplingData[[#This Row],[Total]]&lt;&gt; 0, NOT(ISBLANK(SamplingData[[#This Row],[Losing Candidate]]))),(SamplingData[[#This Row],[Total]]+SamplingData[[#This Row],[Winning Candidate]]-SamplingData[[#This Row],[Losing Candidate]])/(SamplingData[[#Totals],[Winning Candidate]]-SamplingData[[#Totals],[Losing Candidate]]), 0)</f>
        <v>2.2109998302495333E-2</v>
      </c>
      <c r="R812" s="99">
        <f>IF(AND(SamplingData[[#This Row],[Total]]&lt;&gt; 0, NOT(ISBLANK(SamplingData[[#This Row],[Candidate 3]]))),(SamplingData[[#This Row],[Total]]+SamplingData[[#This Row],[Winning Candidate]]-SamplingData[[#This Row],[Candidate 3]])/(SamplingData[[#Totals],[Winning Candidate]]-SamplingData[[#Totals],[Candidate 3]]), 0)</f>
        <v>0</v>
      </c>
      <c r="S812" s="99">
        <f>IF(AND(SamplingData[[#This Row],[Total]]&lt;&gt; 0, NOT(ISBLANK(SamplingData[[#This Row],[Candidate 4]]))),(SamplingData[[#This Row],[Total]]+SamplingData[[#This Row],[Winning Candidate]]-SamplingData[[#This Row],[Candidate 4]])/(SamplingData[[#Totals],[Winning Candidate]]-SamplingData[[#Totals],[Candidate 4]]), 0)</f>
        <v>0</v>
      </c>
      <c r="T812" s="99">
        <f>IF(AND(SamplingData[[#This Row],[Total]]&lt;&gt; 0, NOT(ISBLANK(SamplingData[[#This Row],[Candidate 5]]))),(SamplingData[[#This Row],[Total]]+SamplingData[[#This Row],[Winning Candidate]]-SamplingData[[#This Row],[Candidate 5]])/(SamplingData[[#Totals],[Winning Candidate]]-SamplingData[[#Totals],[Candidate 5]]), 0)</f>
        <v>0</v>
      </c>
      <c r="U812" s="99">
        <f>IF(AND(SamplingData[[#This Row],[Total]]&lt;&gt; 0, NOT(ISBLANK(SamplingData[[#This Row],[Candidate 6]]))),(SamplingData[[#This Row],[Total]]+SamplingData[[#This Row],[Losing Candidate]]-SamplingData[[#This Row],[Candidate 6]])/(SamplingData[[#Totals],[Winning Candidate]]-SamplingData[[#Totals],[Candidate 6]]), 0)</f>
        <v>0</v>
      </c>
      <c r="V812" s="99">
        <f>IF(AND(SamplingData[[#This Row],[Total]]&lt;&gt; 0, NOT(ISBLANK(SamplingData[[#This Row],[Candidate 7]]))),(SamplingData[[#This Row],[Total]]+SamplingData[[#This Row],[Winning Candidate]]-SamplingData[[#This Row],[Candidate 7]])/(SamplingData[[#Totals],[Winning Candidate]]-SamplingData[[#Totals],[Candidate 7]]), 0)</f>
        <v>0</v>
      </c>
      <c r="W812" s="99">
        <f>IF(AND(SamplingData[[#This Row],[Total]]&lt;&gt; 0, NOT(ISBLANK(SamplingData[[#This Row],[Candidate 8]]))),(SamplingData[[#This Row],[Total]]+SamplingData[[#This Row],[Winning Candidate]]-SamplingData[[#This Row],[Candidate 8]])/(SamplingData[[#Totals],[Winning Candidate]]-SamplingData[[#Totals],[Candidate 8]]), 0)</f>
        <v>0</v>
      </c>
      <c r="X8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2" s="99">
        <f>MAX(SamplingData[[#This Row],[Error Bound (up) - Max. possible relative overstatement - Losing Candidate]:[Error Bound (up) - Max. possible relative overstatement - Candidate 12]])</f>
        <v>2.2109998302495333E-2</v>
      </c>
      <c r="AC812" s="99">
        <f>IF(SamplingData[[#This Row],[Max Error Bound (up)]] = 0,0,SamplingData[[#This Row],[Max Error Bound (up)]]/SamplingData[[#Totals],[Max Error Bound (up)]])</f>
        <v>1.1837895808339712E-3</v>
      </c>
      <c r="AD812" s="103">
        <f>SUM($AC$5:AC812)</f>
        <v>0.72926664121860041</v>
      </c>
      <c r="AE812" s="99" t="str" cm="1">
        <f t="array" ref="AE812">IF(SamplingData[[#This Row],[up/U Selection Probability]] = 0, "Zero", TEXT(SamplingData[[#This Row],[Lower Range]], REPT("0",LEN('General Info'!$B$42))) &amp; " - " &amp; TEXT(SamplingData[[#This Row],[Upper Range]], REPT("0",LEN('General Info'!$B$42))))</f>
        <v>728083 - 729266</v>
      </c>
      <c r="AF812" s="99">
        <f>SamplingData[[#This Row],[Upper Range]]-SamplingData[[#This Row],[Span]]</f>
        <v>728082.85163776646</v>
      </c>
      <c r="AG812" s="99">
        <f>IF(ISNUMBER('General Info'!$B$42), ((SamplingData[[#This Row],[up/U Selection Probability]]) * 'General Info'!$B$44) - 1, 0)</f>
        <v>1182.7895808339713</v>
      </c>
      <c r="AH812" s="99">
        <f>IF(ISNUMBER('General Info'!$B$42), (SamplingData[[#This Row],[Running (cumulative) sum]] * ('General Info'!$B$42 -'General Info'!$B$43 + 1)) + 'General Info'!$B$43 - 1, 0)</f>
        <v>729265.64121860045</v>
      </c>
      <c r="AI812" s="99" t="str">
        <f>IF(ISERROR(MATCH(SamplingData[[#This Row],[Batch by Type (p)]],SelectedPrecincts[Batch Name], 0)), "", INDEX(SelectedPrecincts[Draw], MATCH(SamplingData[[#This Row],[Batch by Type (p)]],SelectedPrecincts[Batch Name], 0)))</f>
        <v/>
      </c>
      <c r="AJ812" s="100">
        <f>IF(COUNTIF(SelectedPrecincts[Batch Name],SamplingData[[#This Row],[Batch by Type (p)]]) &lt;&gt; 0, COUNTIF(SelectedPrecincts[Batch Name],SamplingData[[#This Row],[Batch by Type (p)]]), 0)</f>
        <v>0</v>
      </c>
    </row>
    <row r="813" spans="1:36" ht="15" customHeight="1" x14ac:dyDescent="0.35">
      <c r="A813" s="97" t="s">
        <v>1026</v>
      </c>
      <c r="B813" s="97">
        <v>126</v>
      </c>
      <c r="C813" s="97">
        <v>159</v>
      </c>
      <c r="D813" s="92"/>
      <c r="E813" s="92"/>
      <c r="F813" s="92"/>
      <c r="G813" s="96"/>
      <c r="H813" s="96"/>
      <c r="I813" s="92"/>
      <c r="J813" s="92"/>
      <c r="K813" s="92"/>
      <c r="L813" s="92"/>
      <c r="M813" s="92"/>
      <c r="N813" s="97">
        <v>0</v>
      </c>
      <c r="O813" s="97">
        <v>14</v>
      </c>
      <c r="P813" s="98">
        <f>SUM(SamplingData[[#This Row],[Winning Candidate]:[Under Votes]])</f>
        <v>299</v>
      </c>
      <c r="Q813" s="99">
        <f>IF(AND(SamplingData[[#This Row],[Total]]&lt;&gt; 0, NOT(ISBLANK(SamplingData[[#This Row],[Losing Candidate]]))),(SamplingData[[#This Row],[Total]]+SamplingData[[#This Row],[Winning Candidate]]-SamplingData[[#This Row],[Losing Candidate]])/(SamplingData[[#Totals],[Winning Candidate]]-SamplingData[[#Totals],[Losing Candidate]]), 0)</f>
        <v>1.1288406043116619E-2</v>
      </c>
      <c r="R813" s="99">
        <f>IF(AND(SamplingData[[#This Row],[Total]]&lt;&gt; 0, NOT(ISBLANK(SamplingData[[#This Row],[Candidate 3]]))),(SamplingData[[#This Row],[Total]]+SamplingData[[#This Row],[Winning Candidate]]-SamplingData[[#This Row],[Candidate 3]])/(SamplingData[[#Totals],[Winning Candidate]]-SamplingData[[#Totals],[Candidate 3]]), 0)</f>
        <v>0</v>
      </c>
      <c r="S813" s="99">
        <f>IF(AND(SamplingData[[#This Row],[Total]]&lt;&gt; 0, NOT(ISBLANK(SamplingData[[#This Row],[Candidate 4]]))),(SamplingData[[#This Row],[Total]]+SamplingData[[#This Row],[Winning Candidate]]-SamplingData[[#This Row],[Candidate 4]])/(SamplingData[[#Totals],[Winning Candidate]]-SamplingData[[#Totals],[Candidate 4]]), 0)</f>
        <v>0</v>
      </c>
      <c r="T813" s="99">
        <f>IF(AND(SamplingData[[#This Row],[Total]]&lt;&gt; 0, NOT(ISBLANK(SamplingData[[#This Row],[Candidate 5]]))),(SamplingData[[#This Row],[Total]]+SamplingData[[#This Row],[Winning Candidate]]-SamplingData[[#This Row],[Candidate 5]])/(SamplingData[[#Totals],[Winning Candidate]]-SamplingData[[#Totals],[Candidate 5]]), 0)</f>
        <v>0</v>
      </c>
      <c r="U813" s="99">
        <f>IF(AND(SamplingData[[#This Row],[Total]]&lt;&gt; 0, NOT(ISBLANK(SamplingData[[#This Row],[Candidate 6]]))),(SamplingData[[#This Row],[Total]]+SamplingData[[#This Row],[Losing Candidate]]-SamplingData[[#This Row],[Candidate 6]])/(SamplingData[[#Totals],[Winning Candidate]]-SamplingData[[#Totals],[Candidate 6]]), 0)</f>
        <v>0</v>
      </c>
      <c r="V813" s="99">
        <f>IF(AND(SamplingData[[#This Row],[Total]]&lt;&gt; 0, NOT(ISBLANK(SamplingData[[#This Row],[Candidate 7]]))),(SamplingData[[#This Row],[Total]]+SamplingData[[#This Row],[Winning Candidate]]-SamplingData[[#This Row],[Candidate 7]])/(SamplingData[[#Totals],[Winning Candidate]]-SamplingData[[#Totals],[Candidate 7]]), 0)</f>
        <v>0</v>
      </c>
      <c r="W813" s="99">
        <f>IF(AND(SamplingData[[#This Row],[Total]]&lt;&gt; 0, NOT(ISBLANK(SamplingData[[#This Row],[Candidate 8]]))),(SamplingData[[#This Row],[Total]]+SamplingData[[#This Row],[Winning Candidate]]-SamplingData[[#This Row],[Candidate 8]])/(SamplingData[[#Totals],[Winning Candidate]]-SamplingData[[#Totals],[Candidate 8]]), 0)</f>
        <v>0</v>
      </c>
      <c r="X8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3" s="99">
        <f>MAX(SamplingData[[#This Row],[Error Bound (up) - Max. possible relative overstatement - Losing Candidate]:[Error Bound (up) - Max. possible relative overstatement - Candidate 12]])</f>
        <v>1.1288406043116619E-2</v>
      </c>
      <c r="AC813" s="99">
        <f>IF(SamplingData[[#This Row],[Max Error Bound (up)]] = 0,0,SamplingData[[#This Row],[Max Error Bound (up)]]/SamplingData[[#Totals],[Max Error Bound (up)]])</f>
        <v>6.0439160940851499E-4</v>
      </c>
      <c r="AD813" s="103">
        <f>SUM($AC$5:AC813)</f>
        <v>0.72987103282800891</v>
      </c>
      <c r="AE813" s="99" t="str" cm="1">
        <f t="array" ref="AE813">IF(SamplingData[[#This Row],[up/U Selection Probability]] = 0, "Zero", TEXT(SamplingData[[#This Row],[Lower Range]], REPT("0",LEN('General Info'!$B$42))) &amp; " - " &amp; TEXT(SamplingData[[#This Row],[Upper Range]], REPT("0",LEN('General Info'!$B$42))))</f>
        <v>729267 - 729870</v>
      </c>
      <c r="AF813" s="99">
        <f>SamplingData[[#This Row],[Upper Range]]-SamplingData[[#This Row],[Span]]</f>
        <v>729266.64121860033</v>
      </c>
      <c r="AG813" s="99">
        <f>IF(ISNUMBER('General Info'!$B$42), ((SamplingData[[#This Row],[up/U Selection Probability]]) * 'General Info'!$B$44) - 1, 0)</f>
        <v>603.39160940851502</v>
      </c>
      <c r="AH813" s="99">
        <f>IF(ISNUMBER('General Info'!$B$42), (SamplingData[[#This Row],[Running (cumulative) sum]] * ('General Info'!$B$42 -'General Info'!$B$43 + 1)) + 'General Info'!$B$43 - 1, 0)</f>
        <v>729870.03282800887</v>
      </c>
      <c r="AI813" s="99" t="str">
        <f>IF(ISERROR(MATCH(SamplingData[[#This Row],[Batch by Type (p)]],SelectedPrecincts[Batch Name], 0)), "", INDEX(SelectedPrecincts[Draw], MATCH(SamplingData[[#This Row],[Batch by Type (p)]],SelectedPrecincts[Batch Name], 0)))</f>
        <v/>
      </c>
      <c r="AJ813" s="100">
        <f>IF(COUNTIF(SelectedPrecincts[Batch Name],SamplingData[[#This Row],[Batch by Type (p)]]) &lt;&gt; 0, COUNTIF(SelectedPrecincts[Batch Name],SamplingData[[#This Row],[Batch by Type (p)]]), 0)</f>
        <v>0</v>
      </c>
    </row>
    <row r="814" spans="1:36" ht="15" customHeight="1" x14ac:dyDescent="0.35">
      <c r="A814" s="97" t="s">
        <v>1027</v>
      </c>
      <c r="B814" s="97">
        <v>196</v>
      </c>
      <c r="C814" s="97">
        <v>341</v>
      </c>
      <c r="D814" s="92"/>
      <c r="E814" s="92"/>
      <c r="F814" s="92"/>
      <c r="G814" s="96"/>
      <c r="H814" s="96"/>
      <c r="I814" s="92"/>
      <c r="J814" s="92"/>
      <c r="K814" s="92"/>
      <c r="L814" s="92"/>
      <c r="M814" s="92"/>
      <c r="N814" s="97">
        <v>0</v>
      </c>
      <c r="O814" s="97">
        <v>45</v>
      </c>
      <c r="P814" s="98">
        <f>SUM(SamplingData[[#This Row],[Winning Candidate]:[Under Votes]])</f>
        <v>582</v>
      </c>
      <c r="Q814" s="99">
        <f>IF(AND(SamplingData[[#This Row],[Total]]&lt;&gt; 0, NOT(ISBLANK(SamplingData[[#This Row],[Losing Candidate]]))),(SamplingData[[#This Row],[Total]]+SamplingData[[#This Row],[Winning Candidate]]-SamplingData[[#This Row],[Losing Candidate]])/(SamplingData[[#Totals],[Winning Candidate]]-SamplingData[[#Totals],[Losing Candidate]]), 0)</f>
        <v>1.8545238499405873E-2</v>
      </c>
      <c r="R814" s="99">
        <f>IF(AND(SamplingData[[#This Row],[Total]]&lt;&gt; 0, NOT(ISBLANK(SamplingData[[#This Row],[Candidate 3]]))),(SamplingData[[#This Row],[Total]]+SamplingData[[#This Row],[Winning Candidate]]-SamplingData[[#This Row],[Candidate 3]])/(SamplingData[[#Totals],[Winning Candidate]]-SamplingData[[#Totals],[Candidate 3]]), 0)</f>
        <v>0</v>
      </c>
      <c r="S814" s="99">
        <f>IF(AND(SamplingData[[#This Row],[Total]]&lt;&gt; 0, NOT(ISBLANK(SamplingData[[#This Row],[Candidate 4]]))),(SamplingData[[#This Row],[Total]]+SamplingData[[#This Row],[Winning Candidate]]-SamplingData[[#This Row],[Candidate 4]])/(SamplingData[[#Totals],[Winning Candidate]]-SamplingData[[#Totals],[Candidate 4]]), 0)</f>
        <v>0</v>
      </c>
      <c r="T814" s="99">
        <f>IF(AND(SamplingData[[#This Row],[Total]]&lt;&gt; 0, NOT(ISBLANK(SamplingData[[#This Row],[Candidate 5]]))),(SamplingData[[#This Row],[Total]]+SamplingData[[#This Row],[Winning Candidate]]-SamplingData[[#This Row],[Candidate 5]])/(SamplingData[[#Totals],[Winning Candidate]]-SamplingData[[#Totals],[Candidate 5]]), 0)</f>
        <v>0</v>
      </c>
      <c r="U814" s="99">
        <f>IF(AND(SamplingData[[#This Row],[Total]]&lt;&gt; 0, NOT(ISBLANK(SamplingData[[#This Row],[Candidate 6]]))),(SamplingData[[#This Row],[Total]]+SamplingData[[#This Row],[Losing Candidate]]-SamplingData[[#This Row],[Candidate 6]])/(SamplingData[[#Totals],[Winning Candidate]]-SamplingData[[#Totals],[Candidate 6]]), 0)</f>
        <v>0</v>
      </c>
      <c r="V814" s="99">
        <f>IF(AND(SamplingData[[#This Row],[Total]]&lt;&gt; 0, NOT(ISBLANK(SamplingData[[#This Row],[Candidate 7]]))),(SamplingData[[#This Row],[Total]]+SamplingData[[#This Row],[Winning Candidate]]-SamplingData[[#This Row],[Candidate 7]])/(SamplingData[[#Totals],[Winning Candidate]]-SamplingData[[#Totals],[Candidate 7]]), 0)</f>
        <v>0</v>
      </c>
      <c r="W814" s="99">
        <f>IF(AND(SamplingData[[#This Row],[Total]]&lt;&gt; 0, NOT(ISBLANK(SamplingData[[#This Row],[Candidate 8]]))),(SamplingData[[#This Row],[Total]]+SamplingData[[#This Row],[Winning Candidate]]-SamplingData[[#This Row],[Candidate 8]])/(SamplingData[[#Totals],[Winning Candidate]]-SamplingData[[#Totals],[Candidate 8]]), 0)</f>
        <v>0</v>
      </c>
      <c r="X8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4" s="99">
        <f>MAX(SamplingData[[#This Row],[Error Bound (up) - Max. possible relative overstatement - Losing Candidate]:[Error Bound (up) - Max. possible relative overstatement - Candidate 12]])</f>
        <v>1.8545238499405873E-2</v>
      </c>
      <c r="AC814" s="99">
        <f>IF(SamplingData[[#This Row],[Max Error Bound (up)]] = 0,0,SamplingData[[#This Row],[Max Error Bound (up)]]/SamplingData[[#Totals],[Max Error Bound (up)]])</f>
        <v>9.9292907259970319E-4</v>
      </c>
      <c r="AD814" s="103">
        <f>SUM($AC$5:AC814)</f>
        <v>0.73086396190060865</v>
      </c>
      <c r="AE814" s="99" t="str" cm="1">
        <f t="array" ref="AE814">IF(SamplingData[[#This Row],[up/U Selection Probability]] = 0, "Zero", TEXT(SamplingData[[#This Row],[Lower Range]], REPT("0",LEN('General Info'!$B$42))) &amp; " - " &amp; TEXT(SamplingData[[#This Row],[Upper Range]], REPT("0",LEN('General Info'!$B$42))))</f>
        <v>729871 - 730863</v>
      </c>
      <c r="AF814" s="99">
        <f>SamplingData[[#This Row],[Upper Range]]-SamplingData[[#This Row],[Span]]</f>
        <v>729871.03282800887</v>
      </c>
      <c r="AG814" s="99">
        <f>IF(ISNUMBER('General Info'!$B$42), ((SamplingData[[#This Row],[up/U Selection Probability]]) * 'General Info'!$B$44) - 1, 0)</f>
        <v>991.9290725997032</v>
      </c>
      <c r="AH814" s="99">
        <f>IF(ISNUMBER('General Info'!$B$42), (SamplingData[[#This Row],[Running (cumulative) sum]] * ('General Info'!$B$42 -'General Info'!$B$43 + 1)) + 'General Info'!$B$43 - 1, 0)</f>
        <v>730862.96190060861</v>
      </c>
      <c r="AI814" s="99" t="str">
        <f>IF(ISERROR(MATCH(SamplingData[[#This Row],[Batch by Type (p)]],SelectedPrecincts[Batch Name], 0)), "", INDEX(SelectedPrecincts[Draw], MATCH(SamplingData[[#This Row],[Batch by Type (p)]],SelectedPrecincts[Batch Name], 0)))</f>
        <v/>
      </c>
      <c r="AJ814" s="100">
        <f>IF(COUNTIF(SelectedPrecincts[Batch Name],SamplingData[[#This Row],[Batch by Type (p)]]) &lt;&gt; 0, COUNTIF(SelectedPrecincts[Batch Name],SamplingData[[#This Row],[Batch by Type (p)]]), 0)</f>
        <v>0</v>
      </c>
    </row>
    <row r="815" spans="1:36" ht="15" customHeight="1" x14ac:dyDescent="0.35">
      <c r="A815" s="97" t="s">
        <v>1028</v>
      </c>
      <c r="B815" s="97">
        <v>148</v>
      </c>
      <c r="C815" s="97">
        <v>183</v>
      </c>
      <c r="D815" s="92"/>
      <c r="E815" s="92"/>
      <c r="F815" s="92"/>
      <c r="G815" s="96"/>
      <c r="H815" s="96"/>
      <c r="I815" s="92"/>
      <c r="J815" s="92"/>
      <c r="K815" s="92"/>
      <c r="L815" s="92"/>
      <c r="M815" s="92"/>
      <c r="N815" s="97">
        <v>0</v>
      </c>
      <c r="O815" s="97">
        <v>44</v>
      </c>
      <c r="P815" s="98">
        <f>SUM(SamplingData[[#This Row],[Winning Candidate]:[Under Votes]])</f>
        <v>375</v>
      </c>
      <c r="Q815" s="99">
        <f>IF(AND(SamplingData[[#This Row],[Total]]&lt;&gt; 0, NOT(ISBLANK(SamplingData[[#This Row],[Losing Candidate]]))),(SamplingData[[#This Row],[Total]]+SamplingData[[#This Row],[Winning Candidate]]-SamplingData[[#This Row],[Losing Candidate]])/(SamplingData[[#Totals],[Winning Candidate]]-SamplingData[[#Totals],[Losing Candidate]]), 0)</f>
        <v>1.4428789679171617E-2</v>
      </c>
      <c r="R815" s="99">
        <f>IF(AND(SamplingData[[#This Row],[Total]]&lt;&gt; 0, NOT(ISBLANK(SamplingData[[#This Row],[Candidate 3]]))),(SamplingData[[#This Row],[Total]]+SamplingData[[#This Row],[Winning Candidate]]-SamplingData[[#This Row],[Candidate 3]])/(SamplingData[[#Totals],[Winning Candidate]]-SamplingData[[#Totals],[Candidate 3]]), 0)</f>
        <v>0</v>
      </c>
      <c r="S815" s="99">
        <f>IF(AND(SamplingData[[#This Row],[Total]]&lt;&gt; 0, NOT(ISBLANK(SamplingData[[#This Row],[Candidate 4]]))),(SamplingData[[#This Row],[Total]]+SamplingData[[#This Row],[Winning Candidate]]-SamplingData[[#This Row],[Candidate 4]])/(SamplingData[[#Totals],[Winning Candidate]]-SamplingData[[#Totals],[Candidate 4]]), 0)</f>
        <v>0</v>
      </c>
      <c r="T815" s="99">
        <f>IF(AND(SamplingData[[#This Row],[Total]]&lt;&gt; 0, NOT(ISBLANK(SamplingData[[#This Row],[Candidate 5]]))),(SamplingData[[#This Row],[Total]]+SamplingData[[#This Row],[Winning Candidate]]-SamplingData[[#This Row],[Candidate 5]])/(SamplingData[[#Totals],[Winning Candidate]]-SamplingData[[#Totals],[Candidate 5]]), 0)</f>
        <v>0</v>
      </c>
      <c r="U815" s="99">
        <f>IF(AND(SamplingData[[#This Row],[Total]]&lt;&gt; 0, NOT(ISBLANK(SamplingData[[#This Row],[Candidate 6]]))),(SamplingData[[#This Row],[Total]]+SamplingData[[#This Row],[Losing Candidate]]-SamplingData[[#This Row],[Candidate 6]])/(SamplingData[[#Totals],[Winning Candidate]]-SamplingData[[#Totals],[Candidate 6]]), 0)</f>
        <v>0</v>
      </c>
      <c r="V815" s="99">
        <f>IF(AND(SamplingData[[#This Row],[Total]]&lt;&gt; 0, NOT(ISBLANK(SamplingData[[#This Row],[Candidate 7]]))),(SamplingData[[#This Row],[Total]]+SamplingData[[#This Row],[Winning Candidate]]-SamplingData[[#This Row],[Candidate 7]])/(SamplingData[[#Totals],[Winning Candidate]]-SamplingData[[#Totals],[Candidate 7]]), 0)</f>
        <v>0</v>
      </c>
      <c r="W815" s="99">
        <f>IF(AND(SamplingData[[#This Row],[Total]]&lt;&gt; 0, NOT(ISBLANK(SamplingData[[#This Row],[Candidate 8]]))),(SamplingData[[#This Row],[Total]]+SamplingData[[#This Row],[Winning Candidate]]-SamplingData[[#This Row],[Candidate 8]])/(SamplingData[[#Totals],[Winning Candidate]]-SamplingData[[#Totals],[Candidate 8]]), 0)</f>
        <v>0</v>
      </c>
      <c r="X8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5" s="99">
        <f>MAX(SamplingData[[#This Row],[Error Bound (up) - Max. possible relative overstatement - Losing Candidate]:[Error Bound (up) - Max. possible relative overstatement - Candidate 12]])</f>
        <v>1.4428789679171617E-2</v>
      </c>
      <c r="AC815" s="99">
        <f>IF(SamplingData[[#This Row],[Max Error Bound (up)]] = 0,0,SamplingData[[#This Row],[Max Error Bound (up)]]/SamplingData[[#Totals],[Max Error Bound (up)]])</f>
        <v>7.7253062856727473E-4</v>
      </c>
      <c r="AD815" s="103">
        <f>SUM($AC$5:AC815)</f>
        <v>0.73163649252917595</v>
      </c>
      <c r="AE815" s="99" t="str" cm="1">
        <f t="array" ref="AE815">IF(SamplingData[[#This Row],[up/U Selection Probability]] = 0, "Zero", TEXT(SamplingData[[#This Row],[Lower Range]], REPT("0",LEN('General Info'!$B$42))) &amp; " - " &amp; TEXT(SamplingData[[#This Row],[Upper Range]], REPT("0",LEN('General Info'!$B$42))))</f>
        <v>730864 - 731635</v>
      </c>
      <c r="AF815" s="99">
        <f>SamplingData[[#This Row],[Upper Range]]-SamplingData[[#This Row],[Span]]</f>
        <v>730863.96190060861</v>
      </c>
      <c r="AG815" s="99">
        <f>IF(ISNUMBER('General Info'!$B$42), ((SamplingData[[#This Row],[up/U Selection Probability]]) * 'General Info'!$B$44) - 1, 0)</f>
        <v>771.53062856727468</v>
      </c>
      <c r="AH815" s="99">
        <f>IF(ISNUMBER('General Info'!$B$42), (SamplingData[[#This Row],[Running (cumulative) sum]] * ('General Info'!$B$42 -'General Info'!$B$43 + 1)) + 'General Info'!$B$43 - 1, 0)</f>
        <v>731635.49252917594</v>
      </c>
      <c r="AI815" s="99" t="str">
        <f>IF(ISERROR(MATCH(SamplingData[[#This Row],[Batch by Type (p)]],SelectedPrecincts[Batch Name], 0)), "", INDEX(SelectedPrecincts[Draw], MATCH(SamplingData[[#This Row],[Batch by Type (p)]],SelectedPrecincts[Batch Name], 0)))</f>
        <v/>
      </c>
      <c r="AJ815" s="100">
        <f>IF(COUNTIF(SelectedPrecincts[Batch Name],SamplingData[[#This Row],[Batch by Type (p)]]) &lt;&gt; 0, COUNTIF(SelectedPrecincts[Batch Name],SamplingData[[#This Row],[Batch by Type (p)]]), 0)</f>
        <v>0</v>
      </c>
    </row>
    <row r="816" spans="1:36" ht="15" customHeight="1" x14ac:dyDescent="0.35">
      <c r="A816" s="97" t="s">
        <v>1029</v>
      </c>
      <c r="B816" s="97">
        <v>123</v>
      </c>
      <c r="C816" s="97">
        <v>160</v>
      </c>
      <c r="D816" s="92"/>
      <c r="E816" s="92"/>
      <c r="F816" s="92"/>
      <c r="G816" s="96"/>
      <c r="H816" s="96"/>
      <c r="I816" s="92"/>
      <c r="J816" s="92"/>
      <c r="K816" s="92"/>
      <c r="L816" s="92"/>
      <c r="M816" s="92"/>
      <c r="N816" s="97">
        <v>1</v>
      </c>
      <c r="O816" s="97">
        <v>31</v>
      </c>
      <c r="P816" s="98">
        <f>SUM(SamplingData[[#This Row],[Winning Candidate]:[Under Votes]])</f>
        <v>315</v>
      </c>
      <c r="Q816" s="99">
        <f>IF(AND(SamplingData[[#This Row],[Total]]&lt;&gt; 0, NOT(ISBLANK(SamplingData[[#This Row],[Losing Candidate]]))),(SamplingData[[#This Row],[Total]]+SamplingData[[#This Row],[Winning Candidate]]-SamplingData[[#This Row],[Losing Candidate]])/(SamplingData[[#Totals],[Winning Candidate]]-SamplingData[[#Totals],[Losing Candidate]]), 0)</f>
        <v>1.1797657443557969E-2</v>
      </c>
      <c r="R816" s="99">
        <f>IF(AND(SamplingData[[#This Row],[Total]]&lt;&gt; 0, NOT(ISBLANK(SamplingData[[#This Row],[Candidate 3]]))),(SamplingData[[#This Row],[Total]]+SamplingData[[#This Row],[Winning Candidate]]-SamplingData[[#This Row],[Candidate 3]])/(SamplingData[[#Totals],[Winning Candidate]]-SamplingData[[#Totals],[Candidate 3]]), 0)</f>
        <v>0</v>
      </c>
      <c r="S816" s="99">
        <f>IF(AND(SamplingData[[#This Row],[Total]]&lt;&gt; 0, NOT(ISBLANK(SamplingData[[#This Row],[Candidate 4]]))),(SamplingData[[#This Row],[Total]]+SamplingData[[#This Row],[Winning Candidate]]-SamplingData[[#This Row],[Candidate 4]])/(SamplingData[[#Totals],[Winning Candidate]]-SamplingData[[#Totals],[Candidate 4]]), 0)</f>
        <v>0</v>
      </c>
      <c r="T816" s="99">
        <f>IF(AND(SamplingData[[#This Row],[Total]]&lt;&gt; 0, NOT(ISBLANK(SamplingData[[#This Row],[Candidate 5]]))),(SamplingData[[#This Row],[Total]]+SamplingData[[#This Row],[Winning Candidate]]-SamplingData[[#This Row],[Candidate 5]])/(SamplingData[[#Totals],[Winning Candidate]]-SamplingData[[#Totals],[Candidate 5]]), 0)</f>
        <v>0</v>
      </c>
      <c r="U816" s="99">
        <f>IF(AND(SamplingData[[#This Row],[Total]]&lt;&gt; 0, NOT(ISBLANK(SamplingData[[#This Row],[Candidate 6]]))),(SamplingData[[#This Row],[Total]]+SamplingData[[#This Row],[Losing Candidate]]-SamplingData[[#This Row],[Candidate 6]])/(SamplingData[[#Totals],[Winning Candidate]]-SamplingData[[#Totals],[Candidate 6]]), 0)</f>
        <v>0</v>
      </c>
      <c r="V816" s="99">
        <f>IF(AND(SamplingData[[#This Row],[Total]]&lt;&gt; 0, NOT(ISBLANK(SamplingData[[#This Row],[Candidate 7]]))),(SamplingData[[#This Row],[Total]]+SamplingData[[#This Row],[Winning Candidate]]-SamplingData[[#This Row],[Candidate 7]])/(SamplingData[[#Totals],[Winning Candidate]]-SamplingData[[#Totals],[Candidate 7]]), 0)</f>
        <v>0</v>
      </c>
      <c r="W816" s="99">
        <f>IF(AND(SamplingData[[#This Row],[Total]]&lt;&gt; 0, NOT(ISBLANK(SamplingData[[#This Row],[Candidate 8]]))),(SamplingData[[#This Row],[Total]]+SamplingData[[#This Row],[Winning Candidate]]-SamplingData[[#This Row],[Candidate 8]])/(SamplingData[[#Totals],[Winning Candidate]]-SamplingData[[#Totals],[Candidate 8]]), 0)</f>
        <v>0</v>
      </c>
      <c r="X8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6" s="99">
        <f>MAX(SamplingData[[#This Row],[Error Bound (up) - Max. possible relative overstatement - Losing Candidate]:[Error Bound (up) - Max. possible relative overstatement - Candidate 12]])</f>
        <v>1.1797657443557969E-2</v>
      </c>
      <c r="AC816" s="99">
        <f>IF(SamplingData[[#This Row],[Max Error Bound (up)]] = 0,0,SamplingData[[#This Row],[Max Error Bound (up)]]/SamplingData[[#Totals],[Max Error Bound (up)]])</f>
        <v>6.3165739629912469E-4</v>
      </c>
      <c r="AD816" s="103">
        <f>SUM($AC$5:AC816)</f>
        <v>0.73226814992547506</v>
      </c>
      <c r="AE816" s="99" t="str" cm="1">
        <f t="array" ref="AE816">IF(SamplingData[[#This Row],[up/U Selection Probability]] = 0, "Zero", TEXT(SamplingData[[#This Row],[Lower Range]], REPT("0",LEN('General Info'!$B$42))) &amp; " - " &amp; TEXT(SamplingData[[#This Row],[Upper Range]], REPT("0",LEN('General Info'!$B$42))))</f>
        <v>731636 - 732267</v>
      </c>
      <c r="AF816" s="99">
        <f>SamplingData[[#This Row],[Upper Range]]-SamplingData[[#This Row],[Span]]</f>
        <v>731636.49252917583</v>
      </c>
      <c r="AG816" s="99">
        <f>IF(ISNUMBER('General Info'!$B$42), ((SamplingData[[#This Row],[up/U Selection Probability]]) * 'General Info'!$B$44) - 1, 0)</f>
        <v>630.65739629912468</v>
      </c>
      <c r="AH816" s="99">
        <f>IF(ISNUMBER('General Info'!$B$42), (SamplingData[[#This Row],[Running (cumulative) sum]] * ('General Info'!$B$42 -'General Info'!$B$43 + 1)) + 'General Info'!$B$43 - 1, 0)</f>
        <v>732267.14992547501</v>
      </c>
      <c r="AI816" s="99" t="str">
        <f>IF(ISERROR(MATCH(SamplingData[[#This Row],[Batch by Type (p)]],SelectedPrecincts[Batch Name], 0)), "", INDEX(SelectedPrecincts[Draw], MATCH(SamplingData[[#This Row],[Batch by Type (p)]],SelectedPrecincts[Batch Name], 0)))</f>
        <v/>
      </c>
      <c r="AJ816" s="100">
        <f>IF(COUNTIF(SelectedPrecincts[Batch Name],SamplingData[[#This Row],[Batch by Type (p)]]) &lt;&gt; 0, COUNTIF(SelectedPrecincts[Batch Name],SamplingData[[#This Row],[Batch by Type (p)]]), 0)</f>
        <v>0</v>
      </c>
    </row>
    <row r="817" spans="1:36" ht="15" customHeight="1" x14ac:dyDescent="0.35">
      <c r="A817" s="97" t="s">
        <v>1030</v>
      </c>
      <c r="B817" s="97">
        <v>2</v>
      </c>
      <c r="C817" s="97">
        <v>13</v>
      </c>
      <c r="D817" s="92"/>
      <c r="E817" s="92"/>
      <c r="F817" s="92"/>
      <c r="G817" s="96"/>
      <c r="H817" s="96"/>
      <c r="I817" s="92"/>
      <c r="J817" s="92"/>
      <c r="K817" s="92"/>
      <c r="L817" s="92"/>
      <c r="M817" s="92"/>
      <c r="N817" s="97">
        <v>0</v>
      </c>
      <c r="O817" s="97">
        <v>0</v>
      </c>
      <c r="P817" s="98">
        <f>SUM(SamplingData[[#This Row],[Winning Candidate]:[Under Votes]])</f>
        <v>15</v>
      </c>
      <c r="Q817" s="99">
        <f>IF(AND(SamplingData[[#This Row],[Total]]&lt;&gt; 0, NOT(ISBLANK(SamplingData[[#This Row],[Losing Candidate]]))),(SamplingData[[#This Row],[Total]]+SamplingData[[#This Row],[Winning Candidate]]-SamplingData[[#This Row],[Losing Candidate]])/(SamplingData[[#Totals],[Winning Candidate]]-SamplingData[[#Totals],[Losing Candidate]]), 0)</f>
        <v>1.6975046681378373E-4</v>
      </c>
      <c r="R817" s="99">
        <f>IF(AND(SamplingData[[#This Row],[Total]]&lt;&gt; 0, NOT(ISBLANK(SamplingData[[#This Row],[Candidate 3]]))),(SamplingData[[#This Row],[Total]]+SamplingData[[#This Row],[Winning Candidate]]-SamplingData[[#This Row],[Candidate 3]])/(SamplingData[[#Totals],[Winning Candidate]]-SamplingData[[#Totals],[Candidate 3]]), 0)</f>
        <v>0</v>
      </c>
      <c r="S817" s="99">
        <f>IF(AND(SamplingData[[#This Row],[Total]]&lt;&gt; 0, NOT(ISBLANK(SamplingData[[#This Row],[Candidate 4]]))),(SamplingData[[#This Row],[Total]]+SamplingData[[#This Row],[Winning Candidate]]-SamplingData[[#This Row],[Candidate 4]])/(SamplingData[[#Totals],[Winning Candidate]]-SamplingData[[#Totals],[Candidate 4]]), 0)</f>
        <v>0</v>
      </c>
      <c r="T817" s="99">
        <f>IF(AND(SamplingData[[#This Row],[Total]]&lt;&gt; 0, NOT(ISBLANK(SamplingData[[#This Row],[Candidate 5]]))),(SamplingData[[#This Row],[Total]]+SamplingData[[#This Row],[Winning Candidate]]-SamplingData[[#This Row],[Candidate 5]])/(SamplingData[[#Totals],[Winning Candidate]]-SamplingData[[#Totals],[Candidate 5]]), 0)</f>
        <v>0</v>
      </c>
      <c r="U817" s="99">
        <f>IF(AND(SamplingData[[#This Row],[Total]]&lt;&gt; 0, NOT(ISBLANK(SamplingData[[#This Row],[Candidate 6]]))),(SamplingData[[#This Row],[Total]]+SamplingData[[#This Row],[Losing Candidate]]-SamplingData[[#This Row],[Candidate 6]])/(SamplingData[[#Totals],[Winning Candidate]]-SamplingData[[#Totals],[Candidate 6]]), 0)</f>
        <v>0</v>
      </c>
      <c r="V817" s="99">
        <f>IF(AND(SamplingData[[#This Row],[Total]]&lt;&gt; 0, NOT(ISBLANK(SamplingData[[#This Row],[Candidate 7]]))),(SamplingData[[#This Row],[Total]]+SamplingData[[#This Row],[Winning Candidate]]-SamplingData[[#This Row],[Candidate 7]])/(SamplingData[[#Totals],[Winning Candidate]]-SamplingData[[#Totals],[Candidate 7]]), 0)</f>
        <v>0</v>
      </c>
      <c r="W817" s="99">
        <f>IF(AND(SamplingData[[#This Row],[Total]]&lt;&gt; 0, NOT(ISBLANK(SamplingData[[#This Row],[Candidate 8]]))),(SamplingData[[#This Row],[Total]]+SamplingData[[#This Row],[Winning Candidate]]-SamplingData[[#This Row],[Candidate 8]])/(SamplingData[[#Totals],[Winning Candidate]]-SamplingData[[#Totals],[Candidate 8]]), 0)</f>
        <v>0</v>
      </c>
      <c r="X8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7" s="99">
        <f>MAX(SamplingData[[#This Row],[Error Bound (up) - Max. possible relative overstatement - Losing Candidate]:[Error Bound (up) - Max. possible relative overstatement - Candidate 12]])</f>
        <v>1.6975046681378373E-4</v>
      </c>
      <c r="AC817" s="99">
        <f>IF(SamplingData[[#This Row],[Max Error Bound (up)]] = 0,0,SamplingData[[#This Row],[Max Error Bound (up)]]/SamplingData[[#Totals],[Max Error Bound (up)]])</f>
        <v>9.0885956302032321E-6</v>
      </c>
      <c r="AD817" s="103">
        <f>SUM($AC$5:AC817)</f>
        <v>0.73227723852110527</v>
      </c>
      <c r="AE817" s="99" t="str" cm="1">
        <f t="array" ref="AE817">IF(SamplingData[[#This Row],[up/U Selection Probability]] = 0, "Zero", TEXT(SamplingData[[#This Row],[Lower Range]], REPT("0",LEN('General Info'!$B$42))) &amp; " - " &amp; TEXT(SamplingData[[#This Row],[Upper Range]], REPT("0",LEN('General Info'!$B$42))))</f>
        <v>732268 - 732276</v>
      </c>
      <c r="AF817" s="99">
        <f>SamplingData[[#This Row],[Upper Range]]-SamplingData[[#This Row],[Span]]</f>
        <v>732268.14992547501</v>
      </c>
      <c r="AG817" s="99">
        <f>IF(ISNUMBER('General Info'!$B$42), ((SamplingData[[#This Row],[up/U Selection Probability]]) * 'General Info'!$B$44) - 1, 0)</f>
        <v>8.0885956302032316</v>
      </c>
      <c r="AH817" s="99">
        <f>IF(ISNUMBER('General Info'!$B$42), (SamplingData[[#This Row],[Running (cumulative) sum]] * ('General Info'!$B$42 -'General Info'!$B$43 + 1)) + 'General Info'!$B$43 - 1, 0)</f>
        <v>732276.23852110526</v>
      </c>
      <c r="AI817" s="99" t="str">
        <f>IF(ISERROR(MATCH(SamplingData[[#This Row],[Batch by Type (p)]],SelectedPrecincts[Batch Name], 0)), "", INDEX(SelectedPrecincts[Draw], MATCH(SamplingData[[#This Row],[Batch by Type (p)]],SelectedPrecincts[Batch Name], 0)))</f>
        <v/>
      </c>
      <c r="AJ817" s="100">
        <f>IF(COUNTIF(SelectedPrecincts[Batch Name],SamplingData[[#This Row],[Batch by Type (p)]]) &lt;&gt; 0, COUNTIF(SelectedPrecincts[Batch Name],SamplingData[[#This Row],[Batch by Type (p)]]), 0)</f>
        <v>0</v>
      </c>
    </row>
    <row r="818" spans="1:36" ht="15" customHeight="1" x14ac:dyDescent="0.35">
      <c r="A818" s="97" t="s">
        <v>1031</v>
      </c>
      <c r="B818" s="97">
        <v>230</v>
      </c>
      <c r="C818" s="97">
        <v>329</v>
      </c>
      <c r="D818" s="92"/>
      <c r="E818" s="92"/>
      <c r="F818" s="92"/>
      <c r="G818" s="96"/>
      <c r="H818" s="96"/>
      <c r="I818" s="92"/>
      <c r="J818" s="92"/>
      <c r="K818" s="92"/>
      <c r="L818" s="92"/>
      <c r="M818" s="92"/>
      <c r="N818" s="97">
        <v>0</v>
      </c>
      <c r="O818" s="97">
        <v>53</v>
      </c>
      <c r="P818" s="98">
        <f>SUM(SamplingData[[#This Row],[Winning Candidate]:[Under Votes]])</f>
        <v>612</v>
      </c>
      <c r="Q818" s="99">
        <f>IF(AND(SamplingData[[#This Row],[Total]]&lt;&gt; 0, NOT(ISBLANK(SamplingData[[#This Row],[Losing Candidate]]))),(SamplingData[[#This Row],[Total]]+SamplingData[[#This Row],[Winning Candidate]]-SamplingData[[#This Row],[Losing Candidate]])/(SamplingData[[#Totals],[Winning Candidate]]-SamplingData[[#Totals],[Losing Candidate]]), 0)</f>
        <v>2.1770497368867766E-2</v>
      </c>
      <c r="R818" s="99">
        <f>IF(AND(SamplingData[[#This Row],[Total]]&lt;&gt; 0, NOT(ISBLANK(SamplingData[[#This Row],[Candidate 3]]))),(SamplingData[[#This Row],[Total]]+SamplingData[[#This Row],[Winning Candidate]]-SamplingData[[#This Row],[Candidate 3]])/(SamplingData[[#Totals],[Winning Candidate]]-SamplingData[[#Totals],[Candidate 3]]), 0)</f>
        <v>0</v>
      </c>
      <c r="S818" s="99">
        <f>IF(AND(SamplingData[[#This Row],[Total]]&lt;&gt; 0, NOT(ISBLANK(SamplingData[[#This Row],[Candidate 4]]))),(SamplingData[[#This Row],[Total]]+SamplingData[[#This Row],[Winning Candidate]]-SamplingData[[#This Row],[Candidate 4]])/(SamplingData[[#Totals],[Winning Candidate]]-SamplingData[[#Totals],[Candidate 4]]), 0)</f>
        <v>0</v>
      </c>
      <c r="T818" s="99">
        <f>IF(AND(SamplingData[[#This Row],[Total]]&lt;&gt; 0, NOT(ISBLANK(SamplingData[[#This Row],[Candidate 5]]))),(SamplingData[[#This Row],[Total]]+SamplingData[[#This Row],[Winning Candidate]]-SamplingData[[#This Row],[Candidate 5]])/(SamplingData[[#Totals],[Winning Candidate]]-SamplingData[[#Totals],[Candidate 5]]), 0)</f>
        <v>0</v>
      </c>
      <c r="U818" s="99">
        <f>IF(AND(SamplingData[[#This Row],[Total]]&lt;&gt; 0, NOT(ISBLANK(SamplingData[[#This Row],[Candidate 6]]))),(SamplingData[[#This Row],[Total]]+SamplingData[[#This Row],[Losing Candidate]]-SamplingData[[#This Row],[Candidate 6]])/(SamplingData[[#Totals],[Winning Candidate]]-SamplingData[[#Totals],[Candidate 6]]), 0)</f>
        <v>0</v>
      </c>
      <c r="V818" s="99">
        <f>IF(AND(SamplingData[[#This Row],[Total]]&lt;&gt; 0, NOT(ISBLANK(SamplingData[[#This Row],[Candidate 7]]))),(SamplingData[[#This Row],[Total]]+SamplingData[[#This Row],[Winning Candidate]]-SamplingData[[#This Row],[Candidate 7]])/(SamplingData[[#Totals],[Winning Candidate]]-SamplingData[[#Totals],[Candidate 7]]), 0)</f>
        <v>0</v>
      </c>
      <c r="W818" s="99">
        <f>IF(AND(SamplingData[[#This Row],[Total]]&lt;&gt; 0, NOT(ISBLANK(SamplingData[[#This Row],[Candidate 8]]))),(SamplingData[[#This Row],[Total]]+SamplingData[[#This Row],[Winning Candidate]]-SamplingData[[#This Row],[Candidate 8]])/(SamplingData[[#Totals],[Winning Candidate]]-SamplingData[[#Totals],[Candidate 8]]), 0)</f>
        <v>0</v>
      </c>
      <c r="X8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8" s="99">
        <f>MAX(SamplingData[[#This Row],[Error Bound (up) - Max. possible relative overstatement - Losing Candidate]:[Error Bound (up) - Max. possible relative overstatement - Candidate 12]])</f>
        <v>2.1770497368867766E-2</v>
      </c>
      <c r="AC818" s="99">
        <f>IF(SamplingData[[#This Row],[Max Error Bound (up)]] = 0,0,SamplingData[[#This Row],[Max Error Bound (up)]]/SamplingData[[#Totals],[Max Error Bound (up)]])</f>
        <v>1.1656123895735647E-3</v>
      </c>
      <c r="AD818" s="103">
        <f>SUM($AC$5:AC818)</f>
        <v>0.73344285091067885</v>
      </c>
      <c r="AE818" s="99" t="str" cm="1">
        <f t="array" ref="AE818">IF(SamplingData[[#This Row],[up/U Selection Probability]] = 0, "Zero", TEXT(SamplingData[[#This Row],[Lower Range]], REPT("0",LEN('General Info'!$B$42))) &amp; " - " &amp; TEXT(SamplingData[[#This Row],[Upper Range]], REPT("0",LEN('General Info'!$B$42))))</f>
        <v>732277 - 733442</v>
      </c>
      <c r="AF818" s="99">
        <f>SamplingData[[#This Row],[Upper Range]]-SamplingData[[#This Row],[Span]]</f>
        <v>732277.23852110526</v>
      </c>
      <c r="AG818" s="99">
        <f>IF(ISNUMBER('General Info'!$B$42), ((SamplingData[[#This Row],[up/U Selection Probability]]) * 'General Info'!$B$44) - 1, 0)</f>
        <v>1164.6123895735648</v>
      </c>
      <c r="AH818" s="99">
        <f>IF(ISNUMBER('General Info'!$B$42), (SamplingData[[#This Row],[Running (cumulative) sum]] * ('General Info'!$B$42 -'General Info'!$B$43 + 1)) + 'General Info'!$B$43 - 1, 0)</f>
        <v>733441.85091067886</v>
      </c>
      <c r="AI818" s="99" t="str">
        <f>IF(ISERROR(MATCH(SamplingData[[#This Row],[Batch by Type (p)]],SelectedPrecincts[Batch Name], 0)), "", INDEX(SelectedPrecincts[Draw], MATCH(SamplingData[[#This Row],[Batch by Type (p)]],SelectedPrecincts[Batch Name], 0)))</f>
        <v/>
      </c>
      <c r="AJ818" s="100">
        <f>IF(COUNTIF(SelectedPrecincts[Batch Name],SamplingData[[#This Row],[Batch by Type (p)]]) &lt;&gt; 0, COUNTIF(SelectedPrecincts[Batch Name],SamplingData[[#This Row],[Batch by Type (p)]]), 0)</f>
        <v>0</v>
      </c>
    </row>
    <row r="819" spans="1:36" ht="15" customHeight="1" x14ac:dyDescent="0.35">
      <c r="A819" s="97" t="s">
        <v>1032</v>
      </c>
      <c r="B819" s="97">
        <v>230</v>
      </c>
      <c r="C819" s="97">
        <v>310</v>
      </c>
      <c r="D819" s="92"/>
      <c r="E819" s="92"/>
      <c r="F819" s="92"/>
      <c r="G819" s="96"/>
      <c r="H819" s="96"/>
      <c r="I819" s="92"/>
      <c r="J819" s="92"/>
      <c r="K819" s="92"/>
      <c r="L819" s="92"/>
      <c r="M819" s="92"/>
      <c r="N819" s="97">
        <v>0</v>
      </c>
      <c r="O819" s="97">
        <v>39</v>
      </c>
      <c r="P819" s="98">
        <f>SUM(SamplingData[[#This Row],[Winning Candidate]:[Under Votes]])</f>
        <v>579</v>
      </c>
      <c r="Q819" s="99">
        <f>IF(AND(SamplingData[[#This Row],[Total]]&lt;&gt; 0, NOT(ISBLANK(SamplingData[[#This Row],[Losing Candidate]]))),(SamplingData[[#This Row],[Total]]+SamplingData[[#This Row],[Winning Candidate]]-SamplingData[[#This Row],[Losing Candidate]])/(SamplingData[[#Totals],[Winning Candidate]]-SamplingData[[#Totals],[Losing Candidate]]), 0)</f>
        <v>2.1176370735019521E-2</v>
      </c>
      <c r="R819" s="99">
        <f>IF(AND(SamplingData[[#This Row],[Total]]&lt;&gt; 0, NOT(ISBLANK(SamplingData[[#This Row],[Candidate 3]]))),(SamplingData[[#This Row],[Total]]+SamplingData[[#This Row],[Winning Candidate]]-SamplingData[[#This Row],[Candidate 3]])/(SamplingData[[#Totals],[Winning Candidate]]-SamplingData[[#Totals],[Candidate 3]]), 0)</f>
        <v>0</v>
      </c>
      <c r="S819" s="99">
        <f>IF(AND(SamplingData[[#This Row],[Total]]&lt;&gt; 0, NOT(ISBLANK(SamplingData[[#This Row],[Candidate 4]]))),(SamplingData[[#This Row],[Total]]+SamplingData[[#This Row],[Winning Candidate]]-SamplingData[[#This Row],[Candidate 4]])/(SamplingData[[#Totals],[Winning Candidate]]-SamplingData[[#Totals],[Candidate 4]]), 0)</f>
        <v>0</v>
      </c>
      <c r="T819" s="99">
        <f>IF(AND(SamplingData[[#This Row],[Total]]&lt;&gt; 0, NOT(ISBLANK(SamplingData[[#This Row],[Candidate 5]]))),(SamplingData[[#This Row],[Total]]+SamplingData[[#This Row],[Winning Candidate]]-SamplingData[[#This Row],[Candidate 5]])/(SamplingData[[#Totals],[Winning Candidate]]-SamplingData[[#Totals],[Candidate 5]]), 0)</f>
        <v>0</v>
      </c>
      <c r="U819" s="99">
        <f>IF(AND(SamplingData[[#This Row],[Total]]&lt;&gt; 0, NOT(ISBLANK(SamplingData[[#This Row],[Candidate 6]]))),(SamplingData[[#This Row],[Total]]+SamplingData[[#This Row],[Losing Candidate]]-SamplingData[[#This Row],[Candidate 6]])/(SamplingData[[#Totals],[Winning Candidate]]-SamplingData[[#Totals],[Candidate 6]]), 0)</f>
        <v>0</v>
      </c>
      <c r="V819" s="99">
        <f>IF(AND(SamplingData[[#This Row],[Total]]&lt;&gt; 0, NOT(ISBLANK(SamplingData[[#This Row],[Candidate 7]]))),(SamplingData[[#This Row],[Total]]+SamplingData[[#This Row],[Winning Candidate]]-SamplingData[[#This Row],[Candidate 7]])/(SamplingData[[#Totals],[Winning Candidate]]-SamplingData[[#Totals],[Candidate 7]]), 0)</f>
        <v>0</v>
      </c>
      <c r="W819" s="99">
        <f>IF(AND(SamplingData[[#This Row],[Total]]&lt;&gt; 0, NOT(ISBLANK(SamplingData[[#This Row],[Candidate 8]]))),(SamplingData[[#This Row],[Total]]+SamplingData[[#This Row],[Winning Candidate]]-SamplingData[[#This Row],[Candidate 8]])/(SamplingData[[#Totals],[Winning Candidate]]-SamplingData[[#Totals],[Candidate 8]]), 0)</f>
        <v>0</v>
      </c>
      <c r="X8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9" s="99">
        <f>MAX(SamplingData[[#This Row],[Error Bound (up) - Max. possible relative overstatement - Losing Candidate]:[Error Bound (up) - Max. possible relative overstatement - Candidate 12]])</f>
        <v>2.1176370735019521E-2</v>
      </c>
      <c r="AC819" s="99">
        <f>IF(SamplingData[[#This Row],[Max Error Bound (up)]] = 0,0,SamplingData[[#This Row],[Max Error Bound (up)]]/SamplingData[[#Totals],[Max Error Bound (up)]])</f>
        <v>1.1338023048678533E-3</v>
      </c>
      <c r="AD819" s="103">
        <f>SUM($AC$5:AC819)</f>
        <v>0.73457665321554666</v>
      </c>
      <c r="AE819" s="99" t="str" cm="1">
        <f t="array" ref="AE819">IF(SamplingData[[#This Row],[up/U Selection Probability]] = 0, "Zero", TEXT(SamplingData[[#This Row],[Lower Range]], REPT("0",LEN('General Info'!$B$42))) &amp; " - " &amp; TEXT(SamplingData[[#This Row],[Upper Range]], REPT("0",LEN('General Info'!$B$42))))</f>
        <v>733443 - 734576</v>
      </c>
      <c r="AF819" s="99">
        <f>SamplingData[[#This Row],[Upper Range]]-SamplingData[[#This Row],[Span]]</f>
        <v>733442.85091067874</v>
      </c>
      <c r="AG819" s="99">
        <f>IF(ISNUMBER('General Info'!$B$42), ((SamplingData[[#This Row],[up/U Selection Probability]]) * 'General Info'!$B$44) - 1, 0)</f>
        <v>1132.8023048678533</v>
      </c>
      <c r="AH819" s="99">
        <f>IF(ISNUMBER('General Info'!$B$42), (SamplingData[[#This Row],[Running (cumulative) sum]] * ('General Info'!$B$42 -'General Info'!$B$43 + 1)) + 'General Info'!$B$43 - 1, 0)</f>
        <v>734575.65321554663</v>
      </c>
      <c r="AI819" s="99" t="str">
        <f>IF(ISERROR(MATCH(SamplingData[[#This Row],[Batch by Type (p)]],SelectedPrecincts[Batch Name], 0)), "", INDEX(SelectedPrecincts[Draw], MATCH(SamplingData[[#This Row],[Batch by Type (p)]],SelectedPrecincts[Batch Name], 0)))</f>
        <v/>
      </c>
      <c r="AJ819" s="100">
        <f>IF(COUNTIF(SelectedPrecincts[Batch Name],SamplingData[[#This Row],[Batch by Type (p)]]) &lt;&gt; 0, COUNTIF(SelectedPrecincts[Batch Name],SamplingData[[#This Row],[Batch by Type (p)]]), 0)</f>
        <v>0</v>
      </c>
    </row>
    <row r="820" spans="1:36" ht="15" customHeight="1" x14ac:dyDescent="0.35">
      <c r="A820" s="97" t="s">
        <v>1033</v>
      </c>
      <c r="B820" s="97">
        <v>248</v>
      </c>
      <c r="C820" s="97">
        <v>282</v>
      </c>
      <c r="D820" s="92"/>
      <c r="E820" s="92"/>
      <c r="F820" s="92"/>
      <c r="G820" s="96"/>
      <c r="H820" s="96"/>
      <c r="I820" s="92"/>
      <c r="J820" s="92"/>
      <c r="K820" s="92"/>
      <c r="L820" s="92"/>
      <c r="M820" s="92"/>
      <c r="N820" s="97">
        <v>0</v>
      </c>
      <c r="O820" s="97">
        <v>54</v>
      </c>
      <c r="P820" s="98">
        <f>SUM(SamplingData[[#This Row],[Winning Candidate]:[Under Votes]])</f>
        <v>584</v>
      </c>
      <c r="Q820" s="99">
        <f>IF(AND(SamplingData[[#This Row],[Total]]&lt;&gt; 0, NOT(ISBLANK(SamplingData[[#This Row],[Losing Candidate]]))),(SamplingData[[#This Row],[Total]]+SamplingData[[#This Row],[Winning Candidate]]-SamplingData[[#This Row],[Losing Candidate]])/(SamplingData[[#Totals],[Winning Candidate]]-SamplingData[[#Totals],[Losing Candidate]]), 0)</f>
        <v>2.3340689186895264E-2</v>
      </c>
      <c r="R820" s="99">
        <f>IF(AND(SamplingData[[#This Row],[Total]]&lt;&gt; 0, NOT(ISBLANK(SamplingData[[#This Row],[Candidate 3]]))),(SamplingData[[#This Row],[Total]]+SamplingData[[#This Row],[Winning Candidate]]-SamplingData[[#This Row],[Candidate 3]])/(SamplingData[[#Totals],[Winning Candidate]]-SamplingData[[#Totals],[Candidate 3]]), 0)</f>
        <v>0</v>
      </c>
      <c r="S820" s="99">
        <f>IF(AND(SamplingData[[#This Row],[Total]]&lt;&gt; 0, NOT(ISBLANK(SamplingData[[#This Row],[Candidate 4]]))),(SamplingData[[#This Row],[Total]]+SamplingData[[#This Row],[Winning Candidate]]-SamplingData[[#This Row],[Candidate 4]])/(SamplingData[[#Totals],[Winning Candidate]]-SamplingData[[#Totals],[Candidate 4]]), 0)</f>
        <v>0</v>
      </c>
      <c r="T820" s="99">
        <f>IF(AND(SamplingData[[#This Row],[Total]]&lt;&gt; 0, NOT(ISBLANK(SamplingData[[#This Row],[Candidate 5]]))),(SamplingData[[#This Row],[Total]]+SamplingData[[#This Row],[Winning Candidate]]-SamplingData[[#This Row],[Candidate 5]])/(SamplingData[[#Totals],[Winning Candidate]]-SamplingData[[#Totals],[Candidate 5]]), 0)</f>
        <v>0</v>
      </c>
      <c r="U820" s="99">
        <f>IF(AND(SamplingData[[#This Row],[Total]]&lt;&gt; 0, NOT(ISBLANK(SamplingData[[#This Row],[Candidate 6]]))),(SamplingData[[#This Row],[Total]]+SamplingData[[#This Row],[Losing Candidate]]-SamplingData[[#This Row],[Candidate 6]])/(SamplingData[[#Totals],[Winning Candidate]]-SamplingData[[#Totals],[Candidate 6]]), 0)</f>
        <v>0</v>
      </c>
      <c r="V820" s="99">
        <f>IF(AND(SamplingData[[#This Row],[Total]]&lt;&gt; 0, NOT(ISBLANK(SamplingData[[#This Row],[Candidate 7]]))),(SamplingData[[#This Row],[Total]]+SamplingData[[#This Row],[Winning Candidate]]-SamplingData[[#This Row],[Candidate 7]])/(SamplingData[[#Totals],[Winning Candidate]]-SamplingData[[#Totals],[Candidate 7]]), 0)</f>
        <v>0</v>
      </c>
      <c r="W820" s="99">
        <f>IF(AND(SamplingData[[#This Row],[Total]]&lt;&gt; 0, NOT(ISBLANK(SamplingData[[#This Row],[Candidate 8]]))),(SamplingData[[#This Row],[Total]]+SamplingData[[#This Row],[Winning Candidate]]-SamplingData[[#This Row],[Candidate 8]])/(SamplingData[[#Totals],[Winning Candidate]]-SamplingData[[#Totals],[Candidate 8]]), 0)</f>
        <v>0</v>
      </c>
      <c r="X8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0" s="99">
        <f>MAX(SamplingData[[#This Row],[Error Bound (up) - Max. possible relative overstatement - Losing Candidate]:[Error Bound (up) - Max. possible relative overstatement - Candidate 12]])</f>
        <v>2.3340689186895264E-2</v>
      </c>
      <c r="AC820" s="99">
        <f>IF(SamplingData[[#This Row],[Max Error Bound (up)]] = 0,0,SamplingData[[#This Row],[Max Error Bound (up)]]/SamplingData[[#Totals],[Max Error Bound (up)]])</f>
        <v>1.2496818991529445E-3</v>
      </c>
      <c r="AD820" s="103">
        <f>SUM($AC$5:AC820)</f>
        <v>0.73582633511469964</v>
      </c>
      <c r="AE820" s="99" t="str" cm="1">
        <f t="array" ref="AE820">IF(SamplingData[[#This Row],[up/U Selection Probability]] = 0, "Zero", TEXT(SamplingData[[#This Row],[Lower Range]], REPT("0",LEN('General Info'!$B$42))) &amp; " - " &amp; TEXT(SamplingData[[#This Row],[Upper Range]], REPT("0",LEN('General Info'!$B$42))))</f>
        <v>734577 - 735825</v>
      </c>
      <c r="AF820" s="99">
        <f>SamplingData[[#This Row],[Upper Range]]-SamplingData[[#This Row],[Span]]</f>
        <v>734576.65321554674</v>
      </c>
      <c r="AG820" s="99">
        <f>IF(ISNUMBER('General Info'!$B$42), ((SamplingData[[#This Row],[up/U Selection Probability]]) * 'General Info'!$B$44) - 1, 0)</f>
        <v>1248.6818991529444</v>
      </c>
      <c r="AH820" s="99">
        <f>IF(ISNUMBER('General Info'!$B$42), (SamplingData[[#This Row],[Running (cumulative) sum]] * ('General Info'!$B$42 -'General Info'!$B$43 + 1)) + 'General Info'!$B$43 - 1, 0)</f>
        <v>735825.33511469967</v>
      </c>
      <c r="AI820" s="99" t="str">
        <f>IF(ISERROR(MATCH(SamplingData[[#This Row],[Batch by Type (p)]],SelectedPrecincts[Batch Name], 0)), "", INDEX(SelectedPrecincts[Draw], MATCH(SamplingData[[#This Row],[Batch by Type (p)]],SelectedPrecincts[Batch Name], 0)))</f>
        <v/>
      </c>
      <c r="AJ820" s="100">
        <f>IF(COUNTIF(SelectedPrecincts[Batch Name],SamplingData[[#This Row],[Batch by Type (p)]]) &lt;&gt; 0, COUNTIF(SelectedPrecincts[Batch Name],SamplingData[[#This Row],[Batch by Type (p)]]), 0)</f>
        <v>0</v>
      </c>
    </row>
    <row r="821" spans="1:36" ht="15" customHeight="1" x14ac:dyDescent="0.35">
      <c r="A821" s="97" t="s">
        <v>1034</v>
      </c>
      <c r="B821" s="97">
        <v>107</v>
      </c>
      <c r="C821" s="97">
        <v>120</v>
      </c>
      <c r="D821" s="92"/>
      <c r="E821" s="92"/>
      <c r="F821" s="92"/>
      <c r="G821" s="96"/>
      <c r="H821" s="96"/>
      <c r="I821" s="92"/>
      <c r="J821" s="92"/>
      <c r="K821" s="92"/>
      <c r="L821" s="92"/>
      <c r="M821" s="92"/>
      <c r="N821" s="97">
        <v>0</v>
      </c>
      <c r="O821" s="97">
        <v>24</v>
      </c>
      <c r="P821" s="98">
        <f>SUM(SamplingData[[#This Row],[Winning Candidate]:[Under Votes]])</f>
        <v>251</v>
      </c>
      <c r="Q821" s="99">
        <f>IF(AND(SamplingData[[#This Row],[Total]]&lt;&gt; 0, NOT(ISBLANK(SamplingData[[#This Row],[Losing Candidate]]))),(SamplingData[[#This Row],[Total]]+SamplingData[[#This Row],[Winning Candidate]]-SamplingData[[#This Row],[Losing Candidate]])/(SamplingData[[#Totals],[Winning Candidate]]-SamplingData[[#Totals],[Losing Candidate]]), 0)</f>
        <v>1.0100152775420132E-2</v>
      </c>
      <c r="R821" s="99">
        <f>IF(AND(SamplingData[[#This Row],[Total]]&lt;&gt; 0, NOT(ISBLANK(SamplingData[[#This Row],[Candidate 3]]))),(SamplingData[[#This Row],[Total]]+SamplingData[[#This Row],[Winning Candidate]]-SamplingData[[#This Row],[Candidate 3]])/(SamplingData[[#Totals],[Winning Candidate]]-SamplingData[[#Totals],[Candidate 3]]), 0)</f>
        <v>0</v>
      </c>
      <c r="S821" s="99">
        <f>IF(AND(SamplingData[[#This Row],[Total]]&lt;&gt; 0, NOT(ISBLANK(SamplingData[[#This Row],[Candidate 4]]))),(SamplingData[[#This Row],[Total]]+SamplingData[[#This Row],[Winning Candidate]]-SamplingData[[#This Row],[Candidate 4]])/(SamplingData[[#Totals],[Winning Candidate]]-SamplingData[[#Totals],[Candidate 4]]), 0)</f>
        <v>0</v>
      </c>
      <c r="T821" s="99">
        <f>IF(AND(SamplingData[[#This Row],[Total]]&lt;&gt; 0, NOT(ISBLANK(SamplingData[[#This Row],[Candidate 5]]))),(SamplingData[[#This Row],[Total]]+SamplingData[[#This Row],[Winning Candidate]]-SamplingData[[#This Row],[Candidate 5]])/(SamplingData[[#Totals],[Winning Candidate]]-SamplingData[[#Totals],[Candidate 5]]), 0)</f>
        <v>0</v>
      </c>
      <c r="U821" s="99">
        <f>IF(AND(SamplingData[[#This Row],[Total]]&lt;&gt; 0, NOT(ISBLANK(SamplingData[[#This Row],[Candidate 6]]))),(SamplingData[[#This Row],[Total]]+SamplingData[[#This Row],[Losing Candidate]]-SamplingData[[#This Row],[Candidate 6]])/(SamplingData[[#Totals],[Winning Candidate]]-SamplingData[[#Totals],[Candidate 6]]), 0)</f>
        <v>0</v>
      </c>
      <c r="V821" s="99">
        <f>IF(AND(SamplingData[[#This Row],[Total]]&lt;&gt; 0, NOT(ISBLANK(SamplingData[[#This Row],[Candidate 7]]))),(SamplingData[[#This Row],[Total]]+SamplingData[[#This Row],[Winning Candidate]]-SamplingData[[#This Row],[Candidate 7]])/(SamplingData[[#Totals],[Winning Candidate]]-SamplingData[[#Totals],[Candidate 7]]), 0)</f>
        <v>0</v>
      </c>
      <c r="W821" s="99">
        <f>IF(AND(SamplingData[[#This Row],[Total]]&lt;&gt; 0, NOT(ISBLANK(SamplingData[[#This Row],[Candidate 8]]))),(SamplingData[[#This Row],[Total]]+SamplingData[[#This Row],[Winning Candidate]]-SamplingData[[#This Row],[Candidate 8]])/(SamplingData[[#Totals],[Winning Candidate]]-SamplingData[[#Totals],[Candidate 8]]), 0)</f>
        <v>0</v>
      </c>
      <c r="X8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1" s="99">
        <f>MAX(SamplingData[[#This Row],[Error Bound (up) - Max. possible relative overstatement - Losing Candidate]:[Error Bound (up) - Max. possible relative overstatement - Candidate 12]])</f>
        <v>1.0100152775420132E-2</v>
      </c>
      <c r="AC821" s="99">
        <f>IF(SamplingData[[#This Row],[Max Error Bound (up)]] = 0,0,SamplingData[[#This Row],[Max Error Bound (up)]]/SamplingData[[#Totals],[Max Error Bound (up)]])</f>
        <v>5.4077143999709237E-4</v>
      </c>
      <c r="AD821" s="103">
        <f>SUM($AC$5:AC821)</f>
        <v>0.73636710655469673</v>
      </c>
      <c r="AE821" s="99" t="str" cm="1">
        <f t="array" ref="AE821">IF(SamplingData[[#This Row],[up/U Selection Probability]] = 0, "Zero", TEXT(SamplingData[[#This Row],[Lower Range]], REPT("0",LEN('General Info'!$B$42))) &amp; " - " &amp; TEXT(SamplingData[[#This Row],[Upper Range]], REPT("0",LEN('General Info'!$B$42))))</f>
        <v>735826 - 736366</v>
      </c>
      <c r="AF821" s="99">
        <f>SamplingData[[#This Row],[Upper Range]]-SamplingData[[#This Row],[Span]]</f>
        <v>735826.33511469956</v>
      </c>
      <c r="AG821" s="99">
        <f>IF(ISNUMBER('General Info'!$B$42), ((SamplingData[[#This Row],[up/U Selection Probability]]) * 'General Info'!$B$44) - 1, 0)</f>
        <v>539.77143999709233</v>
      </c>
      <c r="AH821" s="99">
        <f>IF(ISNUMBER('General Info'!$B$42), (SamplingData[[#This Row],[Running (cumulative) sum]] * ('General Info'!$B$42 -'General Info'!$B$43 + 1)) + 'General Info'!$B$43 - 1, 0)</f>
        <v>736366.10655469669</v>
      </c>
      <c r="AI821" s="99" t="str">
        <f>IF(ISERROR(MATCH(SamplingData[[#This Row],[Batch by Type (p)]],SelectedPrecincts[Batch Name], 0)), "", INDEX(SelectedPrecincts[Draw], MATCH(SamplingData[[#This Row],[Batch by Type (p)]],SelectedPrecincts[Batch Name], 0)))</f>
        <v/>
      </c>
      <c r="AJ821" s="100">
        <f>IF(COUNTIF(SelectedPrecincts[Batch Name],SamplingData[[#This Row],[Batch by Type (p)]]) &lt;&gt; 0, COUNTIF(SelectedPrecincts[Batch Name],SamplingData[[#This Row],[Batch by Type (p)]]), 0)</f>
        <v>0</v>
      </c>
    </row>
    <row r="822" spans="1:36" ht="15" customHeight="1" x14ac:dyDescent="0.35">
      <c r="A822" s="97" t="s">
        <v>1035</v>
      </c>
      <c r="B822" s="97">
        <v>93</v>
      </c>
      <c r="C822" s="97">
        <v>146</v>
      </c>
      <c r="D822" s="92"/>
      <c r="E822" s="92"/>
      <c r="F822" s="92"/>
      <c r="G822" s="96"/>
      <c r="H822" s="96"/>
      <c r="I822" s="92"/>
      <c r="J822" s="92"/>
      <c r="K822" s="92"/>
      <c r="L822" s="92"/>
      <c r="M822" s="92"/>
      <c r="N822" s="97">
        <v>0</v>
      </c>
      <c r="O822" s="97">
        <v>18</v>
      </c>
      <c r="P822" s="98">
        <f>SUM(SamplingData[[#This Row],[Winning Candidate]:[Under Votes]])</f>
        <v>257</v>
      </c>
      <c r="Q822" s="99">
        <f>IF(AND(SamplingData[[#This Row],[Total]]&lt;&gt; 0, NOT(ISBLANK(SamplingData[[#This Row],[Losing Candidate]]))),(SamplingData[[#This Row],[Total]]+SamplingData[[#This Row],[Winning Candidate]]-SamplingData[[#This Row],[Losing Candidate]])/(SamplingData[[#Totals],[Winning Candidate]]-SamplingData[[#Totals],[Losing Candidate]]), 0)</f>
        <v>8.6572738075029708E-3</v>
      </c>
      <c r="R822" s="99">
        <f>IF(AND(SamplingData[[#This Row],[Total]]&lt;&gt; 0, NOT(ISBLANK(SamplingData[[#This Row],[Candidate 3]]))),(SamplingData[[#This Row],[Total]]+SamplingData[[#This Row],[Winning Candidate]]-SamplingData[[#This Row],[Candidate 3]])/(SamplingData[[#Totals],[Winning Candidate]]-SamplingData[[#Totals],[Candidate 3]]), 0)</f>
        <v>0</v>
      </c>
      <c r="S822" s="99">
        <f>IF(AND(SamplingData[[#This Row],[Total]]&lt;&gt; 0, NOT(ISBLANK(SamplingData[[#This Row],[Candidate 4]]))),(SamplingData[[#This Row],[Total]]+SamplingData[[#This Row],[Winning Candidate]]-SamplingData[[#This Row],[Candidate 4]])/(SamplingData[[#Totals],[Winning Candidate]]-SamplingData[[#Totals],[Candidate 4]]), 0)</f>
        <v>0</v>
      </c>
      <c r="T822" s="99">
        <f>IF(AND(SamplingData[[#This Row],[Total]]&lt;&gt; 0, NOT(ISBLANK(SamplingData[[#This Row],[Candidate 5]]))),(SamplingData[[#This Row],[Total]]+SamplingData[[#This Row],[Winning Candidate]]-SamplingData[[#This Row],[Candidate 5]])/(SamplingData[[#Totals],[Winning Candidate]]-SamplingData[[#Totals],[Candidate 5]]), 0)</f>
        <v>0</v>
      </c>
      <c r="U822" s="99">
        <f>IF(AND(SamplingData[[#This Row],[Total]]&lt;&gt; 0, NOT(ISBLANK(SamplingData[[#This Row],[Candidate 6]]))),(SamplingData[[#This Row],[Total]]+SamplingData[[#This Row],[Losing Candidate]]-SamplingData[[#This Row],[Candidate 6]])/(SamplingData[[#Totals],[Winning Candidate]]-SamplingData[[#Totals],[Candidate 6]]), 0)</f>
        <v>0</v>
      </c>
      <c r="V822" s="99">
        <f>IF(AND(SamplingData[[#This Row],[Total]]&lt;&gt; 0, NOT(ISBLANK(SamplingData[[#This Row],[Candidate 7]]))),(SamplingData[[#This Row],[Total]]+SamplingData[[#This Row],[Winning Candidate]]-SamplingData[[#This Row],[Candidate 7]])/(SamplingData[[#Totals],[Winning Candidate]]-SamplingData[[#Totals],[Candidate 7]]), 0)</f>
        <v>0</v>
      </c>
      <c r="W822" s="99">
        <f>IF(AND(SamplingData[[#This Row],[Total]]&lt;&gt; 0, NOT(ISBLANK(SamplingData[[#This Row],[Candidate 8]]))),(SamplingData[[#This Row],[Total]]+SamplingData[[#This Row],[Winning Candidate]]-SamplingData[[#This Row],[Candidate 8]])/(SamplingData[[#Totals],[Winning Candidate]]-SamplingData[[#Totals],[Candidate 8]]), 0)</f>
        <v>0</v>
      </c>
      <c r="X8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2" s="99">
        <f>MAX(SamplingData[[#This Row],[Error Bound (up) - Max. possible relative overstatement - Losing Candidate]:[Error Bound (up) - Max. possible relative overstatement - Candidate 12]])</f>
        <v>8.6572738075029708E-3</v>
      </c>
      <c r="AC822" s="99">
        <f>IF(SamplingData[[#This Row],[Max Error Bound (up)]] = 0,0,SamplingData[[#This Row],[Max Error Bound (up)]]/SamplingData[[#Totals],[Max Error Bound (up)]])</f>
        <v>4.6351837714036489E-4</v>
      </c>
      <c r="AD822" s="103">
        <f>SUM($AC$5:AC822)</f>
        <v>0.73683062493183704</v>
      </c>
      <c r="AE822" s="99" t="str" cm="1">
        <f t="array" ref="AE822">IF(SamplingData[[#This Row],[up/U Selection Probability]] = 0, "Zero", TEXT(SamplingData[[#This Row],[Lower Range]], REPT("0",LEN('General Info'!$B$42))) &amp; " - " &amp; TEXT(SamplingData[[#This Row],[Upper Range]], REPT("0",LEN('General Info'!$B$42))))</f>
        <v>736367 - 736830</v>
      </c>
      <c r="AF822" s="99">
        <f>SamplingData[[#This Row],[Upper Range]]-SamplingData[[#This Row],[Span]]</f>
        <v>736367.10655469669</v>
      </c>
      <c r="AG822" s="99">
        <f>IF(ISNUMBER('General Info'!$B$42), ((SamplingData[[#This Row],[up/U Selection Probability]]) * 'General Info'!$B$44) - 1, 0)</f>
        <v>462.51837714036492</v>
      </c>
      <c r="AH822" s="99">
        <f>IF(ISNUMBER('General Info'!$B$42), (SamplingData[[#This Row],[Running (cumulative) sum]] * ('General Info'!$B$42 -'General Info'!$B$43 + 1)) + 'General Info'!$B$43 - 1, 0)</f>
        <v>736829.62493183708</v>
      </c>
      <c r="AI822" s="99" t="str">
        <f>IF(ISERROR(MATCH(SamplingData[[#This Row],[Batch by Type (p)]],SelectedPrecincts[Batch Name], 0)), "", INDEX(SelectedPrecincts[Draw], MATCH(SamplingData[[#This Row],[Batch by Type (p)]],SelectedPrecincts[Batch Name], 0)))</f>
        <v/>
      </c>
      <c r="AJ822" s="100">
        <f>IF(COUNTIF(SelectedPrecincts[Batch Name],SamplingData[[#This Row],[Batch by Type (p)]]) &lt;&gt; 0, COUNTIF(SelectedPrecincts[Batch Name],SamplingData[[#This Row],[Batch by Type (p)]]), 0)</f>
        <v>0</v>
      </c>
    </row>
    <row r="823" spans="1:36" ht="15" customHeight="1" x14ac:dyDescent="0.35">
      <c r="A823" s="97" t="s">
        <v>1036</v>
      </c>
      <c r="B823" s="97">
        <v>200</v>
      </c>
      <c r="C823" s="97">
        <v>261</v>
      </c>
      <c r="D823" s="92"/>
      <c r="E823" s="92"/>
      <c r="F823" s="92"/>
      <c r="G823" s="96"/>
      <c r="H823" s="96"/>
      <c r="I823" s="92"/>
      <c r="J823" s="92"/>
      <c r="K823" s="92"/>
      <c r="L823" s="92"/>
      <c r="M823" s="92"/>
      <c r="N823" s="97">
        <v>0</v>
      </c>
      <c r="O823" s="97">
        <v>27</v>
      </c>
      <c r="P823" s="98">
        <f>SUM(SamplingData[[#This Row],[Winning Candidate]:[Under Votes]])</f>
        <v>488</v>
      </c>
      <c r="Q823" s="99">
        <f>IF(AND(SamplingData[[#This Row],[Total]]&lt;&gt; 0, NOT(ISBLANK(SamplingData[[#This Row],[Losing Candidate]]))),(SamplingData[[#This Row],[Total]]+SamplingData[[#This Row],[Winning Candidate]]-SamplingData[[#This Row],[Losing Candidate]])/(SamplingData[[#Totals],[Winning Candidate]]-SamplingData[[#Totals],[Losing Candidate]]), 0)</f>
        <v>1.8120862332371413E-2</v>
      </c>
      <c r="R823" s="99">
        <f>IF(AND(SamplingData[[#This Row],[Total]]&lt;&gt; 0, NOT(ISBLANK(SamplingData[[#This Row],[Candidate 3]]))),(SamplingData[[#This Row],[Total]]+SamplingData[[#This Row],[Winning Candidate]]-SamplingData[[#This Row],[Candidate 3]])/(SamplingData[[#Totals],[Winning Candidate]]-SamplingData[[#Totals],[Candidate 3]]), 0)</f>
        <v>0</v>
      </c>
      <c r="S823" s="99">
        <f>IF(AND(SamplingData[[#This Row],[Total]]&lt;&gt; 0, NOT(ISBLANK(SamplingData[[#This Row],[Candidate 4]]))),(SamplingData[[#This Row],[Total]]+SamplingData[[#This Row],[Winning Candidate]]-SamplingData[[#This Row],[Candidate 4]])/(SamplingData[[#Totals],[Winning Candidate]]-SamplingData[[#Totals],[Candidate 4]]), 0)</f>
        <v>0</v>
      </c>
      <c r="T823" s="99">
        <f>IF(AND(SamplingData[[#This Row],[Total]]&lt;&gt; 0, NOT(ISBLANK(SamplingData[[#This Row],[Candidate 5]]))),(SamplingData[[#This Row],[Total]]+SamplingData[[#This Row],[Winning Candidate]]-SamplingData[[#This Row],[Candidate 5]])/(SamplingData[[#Totals],[Winning Candidate]]-SamplingData[[#Totals],[Candidate 5]]), 0)</f>
        <v>0</v>
      </c>
      <c r="U823" s="99">
        <f>IF(AND(SamplingData[[#This Row],[Total]]&lt;&gt; 0, NOT(ISBLANK(SamplingData[[#This Row],[Candidate 6]]))),(SamplingData[[#This Row],[Total]]+SamplingData[[#This Row],[Losing Candidate]]-SamplingData[[#This Row],[Candidate 6]])/(SamplingData[[#Totals],[Winning Candidate]]-SamplingData[[#Totals],[Candidate 6]]), 0)</f>
        <v>0</v>
      </c>
      <c r="V823" s="99">
        <f>IF(AND(SamplingData[[#This Row],[Total]]&lt;&gt; 0, NOT(ISBLANK(SamplingData[[#This Row],[Candidate 7]]))),(SamplingData[[#This Row],[Total]]+SamplingData[[#This Row],[Winning Candidate]]-SamplingData[[#This Row],[Candidate 7]])/(SamplingData[[#Totals],[Winning Candidate]]-SamplingData[[#Totals],[Candidate 7]]), 0)</f>
        <v>0</v>
      </c>
      <c r="W823" s="99">
        <f>IF(AND(SamplingData[[#This Row],[Total]]&lt;&gt; 0, NOT(ISBLANK(SamplingData[[#This Row],[Candidate 8]]))),(SamplingData[[#This Row],[Total]]+SamplingData[[#This Row],[Winning Candidate]]-SamplingData[[#This Row],[Candidate 8]])/(SamplingData[[#Totals],[Winning Candidate]]-SamplingData[[#Totals],[Candidate 8]]), 0)</f>
        <v>0</v>
      </c>
      <c r="X8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3" s="99">
        <f>MAX(SamplingData[[#This Row],[Error Bound (up) - Max. possible relative overstatement - Losing Candidate]:[Error Bound (up) - Max. possible relative overstatement - Candidate 12]])</f>
        <v>1.8120862332371413E-2</v>
      </c>
      <c r="AC823" s="99">
        <f>IF(SamplingData[[#This Row],[Max Error Bound (up)]] = 0,0,SamplingData[[#This Row],[Max Error Bound (up)]]/SamplingData[[#Totals],[Max Error Bound (up)]])</f>
        <v>9.7020758352419506E-4</v>
      </c>
      <c r="AD823" s="103">
        <f>SUM($AC$5:AC823)</f>
        <v>0.73780083251536122</v>
      </c>
      <c r="AE823" s="99" t="str" cm="1">
        <f t="array" ref="AE823">IF(SamplingData[[#This Row],[up/U Selection Probability]] = 0, "Zero", TEXT(SamplingData[[#This Row],[Lower Range]], REPT("0",LEN('General Info'!$B$42))) &amp; " - " &amp; TEXT(SamplingData[[#This Row],[Upper Range]], REPT("0",LEN('General Info'!$B$42))))</f>
        <v>736831 - 737800</v>
      </c>
      <c r="AF823" s="99">
        <f>SamplingData[[#This Row],[Upper Range]]-SamplingData[[#This Row],[Span]]</f>
        <v>736830.62493183708</v>
      </c>
      <c r="AG823" s="99">
        <f>IF(ISNUMBER('General Info'!$B$42), ((SamplingData[[#This Row],[up/U Selection Probability]]) * 'General Info'!$B$44) - 1, 0)</f>
        <v>969.207583524195</v>
      </c>
      <c r="AH823" s="99">
        <f>IF(ISNUMBER('General Info'!$B$42), (SamplingData[[#This Row],[Running (cumulative) sum]] * ('General Info'!$B$42 -'General Info'!$B$43 + 1)) + 'General Info'!$B$43 - 1, 0)</f>
        <v>737799.83251536125</v>
      </c>
      <c r="AI823" s="99" t="str">
        <f>IF(ISERROR(MATCH(SamplingData[[#This Row],[Batch by Type (p)]],SelectedPrecincts[Batch Name], 0)), "", INDEX(SelectedPrecincts[Draw], MATCH(SamplingData[[#This Row],[Batch by Type (p)]],SelectedPrecincts[Batch Name], 0)))</f>
        <v/>
      </c>
      <c r="AJ823" s="100">
        <f>IF(COUNTIF(SelectedPrecincts[Batch Name],SamplingData[[#This Row],[Batch by Type (p)]]) &lt;&gt; 0, COUNTIF(SelectedPrecincts[Batch Name],SamplingData[[#This Row],[Batch by Type (p)]]), 0)</f>
        <v>0</v>
      </c>
    </row>
    <row r="824" spans="1:36" ht="15" customHeight="1" x14ac:dyDescent="0.35">
      <c r="A824" s="97" t="s">
        <v>1037</v>
      </c>
      <c r="B824" s="97">
        <v>127</v>
      </c>
      <c r="C824" s="97">
        <v>166</v>
      </c>
      <c r="D824" s="92"/>
      <c r="E824" s="92"/>
      <c r="F824" s="92"/>
      <c r="G824" s="96"/>
      <c r="H824" s="96"/>
      <c r="I824" s="92"/>
      <c r="J824" s="92"/>
      <c r="K824" s="92"/>
      <c r="L824" s="92"/>
      <c r="M824" s="92"/>
      <c r="N824" s="97">
        <v>0</v>
      </c>
      <c r="O824" s="97">
        <v>25</v>
      </c>
      <c r="P824" s="98">
        <f>SUM(SamplingData[[#This Row],[Winning Candidate]:[Under Votes]])</f>
        <v>318</v>
      </c>
      <c r="Q824" s="99">
        <f>IF(AND(SamplingData[[#This Row],[Total]]&lt;&gt; 0, NOT(ISBLANK(SamplingData[[#This Row],[Losing Candidate]]))),(SamplingData[[#This Row],[Total]]+SamplingData[[#This Row],[Winning Candidate]]-SamplingData[[#This Row],[Losing Candidate]])/(SamplingData[[#Totals],[Winning Candidate]]-SamplingData[[#Totals],[Losing Candidate]]), 0)</f>
        <v>1.1840095060261416E-2</v>
      </c>
      <c r="R824" s="99">
        <f>IF(AND(SamplingData[[#This Row],[Total]]&lt;&gt; 0, NOT(ISBLANK(SamplingData[[#This Row],[Candidate 3]]))),(SamplingData[[#This Row],[Total]]+SamplingData[[#This Row],[Winning Candidate]]-SamplingData[[#This Row],[Candidate 3]])/(SamplingData[[#Totals],[Winning Candidate]]-SamplingData[[#Totals],[Candidate 3]]), 0)</f>
        <v>0</v>
      </c>
      <c r="S824" s="99">
        <f>IF(AND(SamplingData[[#This Row],[Total]]&lt;&gt; 0, NOT(ISBLANK(SamplingData[[#This Row],[Candidate 4]]))),(SamplingData[[#This Row],[Total]]+SamplingData[[#This Row],[Winning Candidate]]-SamplingData[[#This Row],[Candidate 4]])/(SamplingData[[#Totals],[Winning Candidate]]-SamplingData[[#Totals],[Candidate 4]]), 0)</f>
        <v>0</v>
      </c>
      <c r="T824" s="99">
        <f>IF(AND(SamplingData[[#This Row],[Total]]&lt;&gt; 0, NOT(ISBLANK(SamplingData[[#This Row],[Candidate 5]]))),(SamplingData[[#This Row],[Total]]+SamplingData[[#This Row],[Winning Candidate]]-SamplingData[[#This Row],[Candidate 5]])/(SamplingData[[#Totals],[Winning Candidate]]-SamplingData[[#Totals],[Candidate 5]]), 0)</f>
        <v>0</v>
      </c>
      <c r="U824" s="99">
        <f>IF(AND(SamplingData[[#This Row],[Total]]&lt;&gt; 0, NOT(ISBLANK(SamplingData[[#This Row],[Candidate 6]]))),(SamplingData[[#This Row],[Total]]+SamplingData[[#This Row],[Losing Candidate]]-SamplingData[[#This Row],[Candidate 6]])/(SamplingData[[#Totals],[Winning Candidate]]-SamplingData[[#Totals],[Candidate 6]]), 0)</f>
        <v>0</v>
      </c>
      <c r="V824" s="99">
        <f>IF(AND(SamplingData[[#This Row],[Total]]&lt;&gt; 0, NOT(ISBLANK(SamplingData[[#This Row],[Candidate 7]]))),(SamplingData[[#This Row],[Total]]+SamplingData[[#This Row],[Winning Candidate]]-SamplingData[[#This Row],[Candidate 7]])/(SamplingData[[#Totals],[Winning Candidate]]-SamplingData[[#Totals],[Candidate 7]]), 0)</f>
        <v>0</v>
      </c>
      <c r="W824" s="99">
        <f>IF(AND(SamplingData[[#This Row],[Total]]&lt;&gt; 0, NOT(ISBLANK(SamplingData[[#This Row],[Candidate 8]]))),(SamplingData[[#This Row],[Total]]+SamplingData[[#This Row],[Winning Candidate]]-SamplingData[[#This Row],[Candidate 8]])/(SamplingData[[#Totals],[Winning Candidate]]-SamplingData[[#Totals],[Candidate 8]]), 0)</f>
        <v>0</v>
      </c>
      <c r="X8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4" s="99">
        <f>MAX(SamplingData[[#This Row],[Error Bound (up) - Max. possible relative overstatement - Losing Candidate]:[Error Bound (up) - Max. possible relative overstatement - Candidate 12]])</f>
        <v>1.1840095060261416E-2</v>
      </c>
      <c r="AC824" s="99">
        <f>IF(SamplingData[[#This Row],[Max Error Bound (up)]] = 0,0,SamplingData[[#This Row],[Max Error Bound (up)]]/SamplingData[[#Totals],[Max Error Bound (up)]])</f>
        <v>6.3392954520667547E-4</v>
      </c>
      <c r="AD824" s="103">
        <f>SUM($AC$5:AC824)</f>
        <v>0.73843476206056791</v>
      </c>
      <c r="AE824" s="99" t="str" cm="1">
        <f t="array" ref="AE824">IF(SamplingData[[#This Row],[up/U Selection Probability]] = 0, "Zero", TEXT(SamplingData[[#This Row],[Lower Range]], REPT("0",LEN('General Info'!$B$42))) &amp; " - " &amp; TEXT(SamplingData[[#This Row],[Upper Range]], REPT("0",LEN('General Info'!$B$42))))</f>
        <v>737801 - 738434</v>
      </c>
      <c r="AF824" s="99">
        <f>SamplingData[[#This Row],[Upper Range]]-SamplingData[[#This Row],[Span]]</f>
        <v>737800.83251536114</v>
      </c>
      <c r="AG824" s="99">
        <f>IF(ISNUMBER('General Info'!$B$42), ((SamplingData[[#This Row],[up/U Selection Probability]]) * 'General Info'!$B$44) - 1, 0)</f>
        <v>632.92954520667547</v>
      </c>
      <c r="AH824" s="99">
        <f>IF(ISNUMBER('General Info'!$B$42), (SamplingData[[#This Row],[Running (cumulative) sum]] * ('General Info'!$B$42 -'General Info'!$B$43 + 1)) + 'General Info'!$B$43 - 1, 0)</f>
        <v>738433.76206056785</v>
      </c>
      <c r="AI824" s="99" t="str">
        <f>IF(ISERROR(MATCH(SamplingData[[#This Row],[Batch by Type (p)]],SelectedPrecincts[Batch Name], 0)), "", INDEX(SelectedPrecincts[Draw], MATCH(SamplingData[[#This Row],[Batch by Type (p)]],SelectedPrecincts[Batch Name], 0)))</f>
        <v/>
      </c>
      <c r="AJ824" s="100">
        <f>IF(COUNTIF(SelectedPrecincts[Batch Name],SamplingData[[#This Row],[Batch by Type (p)]]) &lt;&gt; 0, COUNTIF(SelectedPrecincts[Batch Name],SamplingData[[#This Row],[Batch by Type (p)]]), 0)</f>
        <v>0</v>
      </c>
    </row>
    <row r="825" spans="1:36" ht="15" customHeight="1" x14ac:dyDescent="0.35">
      <c r="A825" s="97" t="s">
        <v>1038</v>
      </c>
      <c r="B825" s="97">
        <v>145</v>
      </c>
      <c r="C825" s="97">
        <v>232</v>
      </c>
      <c r="D825" s="92"/>
      <c r="E825" s="92"/>
      <c r="F825" s="92"/>
      <c r="G825" s="96"/>
      <c r="H825" s="96"/>
      <c r="I825" s="92"/>
      <c r="J825" s="92"/>
      <c r="K825" s="92"/>
      <c r="L825" s="92"/>
      <c r="M825" s="92"/>
      <c r="N825" s="97">
        <v>0</v>
      </c>
      <c r="O825" s="97">
        <v>39</v>
      </c>
      <c r="P825" s="98">
        <f>SUM(SamplingData[[#This Row],[Winning Candidate]:[Under Votes]])</f>
        <v>416</v>
      </c>
      <c r="Q825" s="99">
        <f>IF(AND(SamplingData[[#This Row],[Total]]&lt;&gt; 0, NOT(ISBLANK(SamplingData[[#This Row],[Losing Candidate]]))),(SamplingData[[#This Row],[Total]]+SamplingData[[#This Row],[Winning Candidate]]-SamplingData[[#This Row],[Losing Candidate]])/(SamplingData[[#Totals],[Winning Candidate]]-SamplingData[[#Totals],[Losing Candidate]]), 0)</f>
        <v>1.3961975895433713E-2</v>
      </c>
      <c r="R825" s="99">
        <f>IF(AND(SamplingData[[#This Row],[Total]]&lt;&gt; 0, NOT(ISBLANK(SamplingData[[#This Row],[Candidate 3]]))),(SamplingData[[#This Row],[Total]]+SamplingData[[#This Row],[Winning Candidate]]-SamplingData[[#This Row],[Candidate 3]])/(SamplingData[[#Totals],[Winning Candidate]]-SamplingData[[#Totals],[Candidate 3]]), 0)</f>
        <v>0</v>
      </c>
      <c r="S825" s="99">
        <f>IF(AND(SamplingData[[#This Row],[Total]]&lt;&gt; 0, NOT(ISBLANK(SamplingData[[#This Row],[Candidate 4]]))),(SamplingData[[#This Row],[Total]]+SamplingData[[#This Row],[Winning Candidate]]-SamplingData[[#This Row],[Candidate 4]])/(SamplingData[[#Totals],[Winning Candidate]]-SamplingData[[#Totals],[Candidate 4]]), 0)</f>
        <v>0</v>
      </c>
      <c r="T825" s="99">
        <f>IF(AND(SamplingData[[#This Row],[Total]]&lt;&gt; 0, NOT(ISBLANK(SamplingData[[#This Row],[Candidate 5]]))),(SamplingData[[#This Row],[Total]]+SamplingData[[#This Row],[Winning Candidate]]-SamplingData[[#This Row],[Candidate 5]])/(SamplingData[[#Totals],[Winning Candidate]]-SamplingData[[#Totals],[Candidate 5]]), 0)</f>
        <v>0</v>
      </c>
      <c r="U825" s="99">
        <f>IF(AND(SamplingData[[#This Row],[Total]]&lt;&gt; 0, NOT(ISBLANK(SamplingData[[#This Row],[Candidate 6]]))),(SamplingData[[#This Row],[Total]]+SamplingData[[#This Row],[Losing Candidate]]-SamplingData[[#This Row],[Candidate 6]])/(SamplingData[[#Totals],[Winning Candidate]]-SamplingData[[#Totals],[Candidate 6]]), 0)</f>
        <v>0</v>
      </c>
      <c r="V825" s="99">
        <f>IF(AND(SamplingData[[#This Row],[Total]]&lt;&gt; 0, NOT(ISBLANK(SamplingData[[#This Row],[Candidate 7]]))),(SamplingData[[#This Row],[Total]]+SamplingData[[#This Row],[Winning Candidate]]-SamplingData[[#This Row],[Candidate 7]])/(SamplingData[[#Totals],[Winning Candidate]]-SamplingData[[#Totals],[Candidate 7]]), 0)</f>
        <v>0</v>
      </c>
      <c r="W825" s="99">
        <f>IF(AND(SamplingData[[#This Row],[Total]]&lt;&gt; 0, NOT(ISBLANK(SamplingData[[#This Row],[Candidate 8]]))),(SamplingData[[#This Row],[Total]]+SamplingData[[#This Row],[Winning Candidate]]-SamplingData[[#This Row],[Candidate 8]])/(SamplingData[[#Totals],[Winning Candidate]]-SamplingData[[#Totals],[Candidate 8]]), 0)</f>
        <v>0</v>
      </c>
      <c r="X8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5" s="99">
        <f>MAX(SamplingData[[#This Row],[Error Bound (up) - Max. possible relative overstatement - Losing Candidate]:[Error Bound (up) - Max. possible relative overstatement - Candidate 12]])</f>
        <v>1.3961975895433713E-2</v>
      </c>
      <c r="AC825" s="99">
        <f>IF(SamplingData[[#This Row],[Max Error Bound (up)]] = 0,0,SamplingData[[#This Row],[Max Error Bound (up)]]/SamplingData[[#Totals],[Max Error Bound (up)]])</f>
        <v>7.4753699058421592E-4</v>
      </c>
      <c r="AD825" s="103">
        <f>SUM($AC$5:AC825)</f>
        <v>0.73918229905115207</v>
      </c>
      <c r="AE825" s="99" t="str" cm="1">
        <f t="array" ref="AE825">IF(SamplingData[[#This Row],[up/U Selection Probability]] = 0, "Zero", TEXT(SamplingData[[#This Row],[Lower Range]], REPT("0",LEN('General Info'!$B$42))) &amp; " - " &amp; TEXT(SamplingData[[#This Row],[Upper Range]], REPT("0",LEN('General Info'!$B$42))))</f>
        <v>738435 - 739181</v>
      </c>
      <c r="AF825" s="99">
        <f>SamplingData[[#This Row],[Upper Range]]-SamplingData[[#This Row],[Span]]</f>
        <v>738434.76206056785</v>
      </c>
      <c r="AG825" s="99">
        <f>IF(ISNUMBER('General Info'!$B$42), ((SamplingData[[#This Row],[up/U Selection Probability]]) * 'General Info'!$B$44) - 1, 0)</f>
        <v>746.53699058421591</v>
      </c>
      <c r="AH825" s="99">
        <f>IF(ISNUMBER('General Info'!$B$42), (SamplingData[[#This Row],[Running (cumulative) sum]] * ('General Info'!$B$42 -'General Info'!$B$43 + 1)) + 'General Info'!$B$43 - 1, 0)</f>
        <v>739181.29905115208</v>
      </c>
      <c r="AI825" s="99" t="str">
        <f>IF(ISERROR(MATCH(SamplingData[[#This Row],[Batch by Type (p)]],SelectedPrecincts[Batch Name], 0)), "", INDEX(SelectedPrecincts[Draw], MATCH(SamplingData[[#This Row],[Batch by Type (p)]],SelectedPrecincts[Batch Name], 0)))</f>
        <v/>
      </c>
      <c r="AJ825" s="100">
        <f>IF(COUNTIF(SelectedPrecincts[Batch Name],SamplingData[[#This Row],[Batch by Type (p)]]) &lt;&gt; 0, COUNTIF(SelectedPrecincts[Batch Name],SamplingData[[#This Row],[Batch by Type (p)]]), 0)</f>
        <v>0</v>
      </c>
    </row>
    <row r="826" spans="1:36" ht="15" customHeight="1" x14ac:dyDescent="0.35">
      <c r="A826" s="97" t="s">
        <v>1039</v>
      </c>
      <c r="B826" s="97">
        <v>137</v>
      </c>
      <c r="C826" s="97">
        <v>172</v>
      </c>
      <c r="D826" s="92"/>
      <c r="E826" s="92"/>
      <c r="F826" s="92"/>
      <c r="G826" s="96"/>
      <c r="H826" s="96"/>
      <c r="I826" s="92"/>
      <c r="J826" s="92"/>
      <c r="K826" s="92"/>
      <c r="L826" s="92"/>
      <c r="M826" s="92"/>
      <c r="N826" s="97">
        <v>0</v>
      </c>
      <c r="O826" s="97">
        <v>28</v>
      </c>
      <c r="P826" s="98">
        <f>SUM(SamplingData[[#This Row],[Winning Candidate]:[Under Votes]])</f>
        <v>337</v>
      </c>
      <c r="Q826" s="99">
        <f>IF(AND(SamplingData[[#This Row],[Total]]&lt;&gt; 0, NOT(ISBLANK(SamplingData[[#This Row],[Losing Candidate]]))),(SamplingData[[#This Row],[Total]]+SamplingData[[#This Row],[Winning Candidate]]-SamplingData[[#This Row],[Losing Candidate]])/(SamplingData[[#Totals],[Winning Candidate]]-SamplingData[[#Totals],[Losing Candidate]]), 0)</f>
        <v>1.2816160244440673E-2</v>
      </c>
      <c r="R826" s="99">
        <f>IF(AND(SamplingData[[#This Row],[Total]]&lt;&gt; 0, NOT(ISBLANK(SamplingData[[#This Row],[Candidate 3]]))),(SamplingData[[#This Row],[Total]]+SamplingData[[#This Row],[Winning Candidate]]-SamplingData[[#This Row],[Candidate 3]])/(SamplingData[[#Totals],[Winning Candidate]]-SamplingData[[#Totals],[Candidate 3]]), 0)</f>
        <v>0</v>
      </c>
      <c r="S826" s="99">
        <f>IF(AND(SamplingData[[#This Row],[Total]]&lt;&gt; 0, NOT(ISBLANK(SamplingData[[#This Row],[Candidate 4]]))),(SamplingData[[#This Row],[Total]]+SamplingData[[#This Row],[Winning Candidate]]-SamplingData[[#This Row],[Candidate 4]])/(SamplingData[[#Totals],[Winning Candidate]]-SamplingData[[#Totals],[Candidate 4]]), 0)</f>
        <v>0</v>
      </c>
      <c r="T826" s="99">
        <f>IF(AND(SamplingData[[#This Row],[Total]]&lt;&gt; 0, NOT(ISBLANK(SamplingData[[#This Row],[Candidate 5]]))),(SamplingData[[#This Row],[Total]]+SamplingData[[#This Row],[Winning Candidate]]-SamplingData[[#This Row],[Candidate 5]])/(SamplingData[[#Totals],[Winning Candidate]]-SamplingData[[#Totals],[Candidate 5]]), 0)</f>
        <v>0</v>
      </c>
      <c r="U826" s="99">
        <f>IF(AND(SamplingData[[#This Row],[Total]]&lt;&gt; 0, NOT(ISBLANK(SamplingData[[#This Row],[Candidate 6]]))),(SamplingData[[#This Row],[Total]]+SamplingData[[#This Row],[Losing Candidate]]-SamplingData[[#This Row],[Candidate 6]])/(SamplingData[[#Totals],[Winning Candidate]]-SamplingData[[#Totals],[Candidate 6]]), 0)</f>
        <v>0</v>
      </c>
      <c r="V826" s="99">
        <f>IF(AND(SamplingData[[#This Row],[Total]]&lt;&gt; 0, NOT(ISBLANK(SamplingData[[#This Row],[Candidate 7]]))),(SamplingData[[#This Row],[Total]]+SamplingData[[#This Row],[Winning Candidate]]-SamplingData[[#This Row],[Candidate 7]])/(SamplingData[[#Totals],[Winning Candidate]]-SamplingData[[#Totals],[Candidate 7]]), 0)</f>
        <v>0</v>
      </c>
      <c r="W826" s="99">
        <f>IF(AND(SamplingData[[#This Row],[Total]]&lt;&gt; 0, NOT(ISBLANK(SamplingData[[#This Row],[Candidate 8]]))),(SamplingData[[#This Row],[Total]]+SamplingData[[#This Row],[Winning Candidate]]-SamplingData[[#This Row],[Candidate 8]])/(SamplingData[[#Totals],[Winning Candidate]]-SamplingData[[#Totals],[Candidate 8]]), 0)</f>
        <v>0</v>
      </c>
      <c r="X8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6" s="99">
        <f>MAX(SamplingData[[#This Row],[Error Bound (up) - Max. possible relative overstatement - Losing Candidate]:[Error Bound (up) - Max. possible relative overstatement - Candidate 12]])</f>
        <v>1.2816160244440673E-2</v>
      </c>
      <c r="AC826" s="99">
        <f>IF(SamplingData[[#This Row],[Max Error Bound (up)]] = 0,0,SamplingData[[#This Row],[Max Error Bound (up)]]/SamplingData[[#Totals],[Max Error Bound (up)]])</f>
        <v>6.8618897008034408E-4</v>
      </c>
      <c r="AD826" s="103">
        <f>SUM($AC$5:AC826)</f>
        <v>0.7398684880212324</v>
      </c>
      <c r="AE826" s="99" t="str" cm="1">
        <f t="array" ref="AE826">IF(SamplingData[[#This Row],[up/U Selection Probability]] = 0, "Zero", TEXT(SamplingData[[#This Row],[Lower Range]], REPT("0",LEN('General Info'!$B$42))) &amp; " - " &amp; TEXT(SamplingData[[#This Row],[Upper Range]], REPT("0",LEN('General Info'!$B$42))))</f>
        <v>739182 - 739867</v>
      </c>
      <c r="AF826" s="99">
        <f>SamplingData[[#This Row],[Upper Range]]-SamplingData[[#This Row],[Span]]</f>
        <v>739182.29905115208</v>
      </c>
      <c r="AG826" s="99">
        <f>IF(ISNUMBER('General Info'!$B$42), ((SamplingData[[#This Row],[up/U Selection Probability]]) * 'General Info'!$B$44) - 1, 0)</f>
        <v>685.18897008034412</v>
      </c>
      <c r="AH826" s="99">
        <f>IF(ISNUMBER('General Info'!$B$42), (SamplingData[[#This Row],[Running (cumulative) sum]] * ('General Info'!$B$42 -'General Info'!$B$43 + 1)) + 'General Info'!$B$43 - 1, 0)</f>
        <v>739867.48802123242</v>
      </c>
      <c r="AI826" s="99" t="str">
        <f>IF(ISERROR(MATCH(SamplingData[[#This Row],[Batch by Type (p)]],SelectedPrecincts[Batch Name], 0)), "", INDEX(SelectedPrecincts[Draw], MATCH(SamplingData[[#This Row],[Batch by Type (p)]],SelectedPrecincts[Batch Name], 0)))</f>
        <v/>
      </c>
      <c r="AJ826" s="100">
        <f>IF(COUNTIF(SelectedPrecincts[Batch Name],SamplingData[[#This Row],[Batch by Type (p)]]) &lt;&gt; 0, COUNTIF(SelectedPrecincts[Batch Name],SamplingData[[#This Row],[Batch by Type (p)]]), 0)</f>
        <v>0</v>
      </c>
    </row>
    <row r="827" spans="1:36" ht="15" customHeight="1" x14ac:dyDescent="0.35">
      <c r="A827" s="97" t="s">
        <v>1040</v>
      </c>
      <c r="B827" s="97">
        <v>330</v>
      </c>
      <c r="C827" s="97">
        <v>135</v>
      </c>
      <c r="D827" s="92"/>
      <c r="E827" s="92"/>
      <c r="F827" s="92"/>
      <c r="G827" s="96"/>
      <c r="H827" s="96"/>
      <c r="I827" s="92"/>
      <c r="J827" s="92"/>
      <c r="K827" s="92"/>
      <c r="L827" s="92"/>
      <c r="M827" s="92"/>
      <c r="N827" s="97">
        <v>0</v>
      </c>
      <c r="O827" s="97">
        <v>36</v>
      </c>
      <c r="P827" s="98">
        <f>SUM(SamplingData[[#This Row],[Winning Candidate]:[Under Votes]])</f>
        <v>501</v>
      </c>
      <c r="Q827" s="99">
        <f>IF(AND(SamplingData[[#This Row],[Total]]&lt;&gt; 0, NOT(ISBLANK(SamplingData[[#This Row],[Losing Candidate]]))),(SamplingData[[#This Row],[Total]]+SamplingData[[#This Row],[Winning Candidate]]-SamplingData[[#This Row],[Losing Candidate]])/(SamplingData[[#Totals],[Winning Candidate]]-SamplingData[[#Totals],[Losing Candidate]]), 0)</f>
        <v>2.9536581225598369E-2</v>
      </c>
      <c r="R827" s="99">
        <f>IF(AND(SamplingData[[#This Row],[Total]]&lt;&gt; 0, NOT(ISBLANK(SamplingData[[#This Row],[Candidate 3]]))),(SamplingData[[#This Row],[Total]]+SamplingData[[#This Row],[Winning Candidate]]-SamplingData[[#This Row],[Candidate 3]])/(SamplingData[[#Totals],[Winning Candidate]]-SamplingData[[#Totals],[Candidate 3]]), 0)</f>
        <v>0</v>
      </c>
      <c r="S827" s="99">
        <f>IF(AND(SamplingData[[#This Row],[Total]]&lt;&gt; 0, NOT(ISBLANK(SamplingData[[#This Row],[Candidate 4]]))),(SamplingData[[#This Row],[Total]]+SamplingData[[#This Row],[Winning Candidate]]-SamplingData[[#This Row],[Candidate 4]])/(SamplingData[[#Totals],[Winning Candidate]]-SamplingData[[#Totals],[Candidate 4]]), 0)</f>
        <v>0</v>
      </c>
      <c r="T827" s="99">
        <f>IF(AND(SamplingData[[#This Row],[Total]]&lt;&gt; 0, NOT(ISBLANK(SamplingData[[#This Row],[Candidate 5]]))),(SamplingData[[#This Row],[Total]]+SamplingData[[#This Row],[Winning Candidate]]-SamplingData[[#This Row],[Candidate 5]])/(SamplingData[[#Totals],[Winning Candidate]]-SamplingData[[#Totals],[Candidate 5]]), 0)</f>
        <v>0</v>
      </c>
      <c r="U827" s="99">
        <f>IF(AND(SamplingData[[#This Row],[Total]]&lt;&gt; 0, NOT(ISBLANK(SamplingData[[#This Row],[Candidate 6]]))),(SamplingData[[#This Row],[Total]]+SamplingData[[#This Row],[Losing Candidate]]-SamplingData[[#This Row],[Candidate 6]])/(SamplingData[[#Totals],[Winning Candidate]]-SamplingData[[#Totals],[Candidate 6]]), 0)</f>
        <v>0</v>
      </c>
      <c r="V827" s="99">
        <f>IF(AND(SamplingData[[#This Row],[Total]]&lt;&gt; 0, NOT(ISBLANK(SamplingData[[#This Row],[Candidate 7]]))),(SamplingData[[#This Row],[Total]]+SamplingData[[#This Row],[Winning Candidate]]-SamplingData[[#This Row],[Candidate 7]])/(SamplingData[[#Totals],[Winning Candidate]]-SamplingData[[#Totals],[Candidate 7]]), 0)</f>
        <v>0</v>
      </c>
      <c r="W827" s="99">
        <f>IF(AND(SamplingData[[#This Row],[Total]]&lt;&gt; 0, NOT(ISBLANK(SamplingData[[#This Row],[Candidate 8]]))),(SamplingData[[#This Row],[Total]]+SamplingData[[#This Row],[Winning Candidate]]-SamplingData[[#This Row],[Candidate 8]])/(SamplingData[[#Totals],[Winning Candidate]]-SamplingData[[#Totals],[Candidate 8]]), 0)</f>
        <v>0</v>
      </c>
      <c r="X8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7" s="99">
        <f>MAX(SamplingData[[#This Row],[Error Bound (up) - Max. possible relative overstatement - Losing Candidate]:[Error Bound (up) - Max. possible relative overstatement - Candidate 12]])</f>
        <v>2.9536581225598369E-2</v>
      </c>
      <c r="AC827" s="99">
        <f>IF(SamplingData[[#This Row],[Max Error Bound (up)]] = 0,0,SamplingData[[#This Row],[Max Error Bound (up)]]/SamplingData[[#Totals],[Max Error Bound (up)]])</f>
        <v>1.5814156396553624E-3</v>
      </c>
      <c r="AD827" s="103">
        <f>SUM($AC$5:AC827)</f>
        <v>0.74144990366088781</v>
      </c>
      <c r="AE827" s="99" t="str" cm="1">
        <f t="array" ref="AE827">IF(SamplingData[[#This Row],[up/U Selection Probability]] = 0, "Zero", TEXT(SamplingData[[#This Row],[Lower Range]], REPT("0",LEN('General Info'!$B$42))) &amp; " - " &amp; TEXT(SamplingData[[#This Row],[Upper Range]], REPT("0",LEN('General Info'!$B$42))))</f>
        <v>739868 - 741449</v>
      </c>
      <c r="AF827" s="99">
        <f>SamplingData[[#This Row],[Upper Range]]-SamplingData[[#This Row],[Span]]</f>
        <v>739868.48802123254</v>
      </c>
      <c r="AG827" s="99">
        <f>IF(ISNUMBER('General Info'!$B$42), ((SamplingData[[#This Row],[up/U Selection Probability]]) * 'General Info'!$B$44) - 1, 0)</f>
        <v>1580.4156396553624</v>
      </c>
      <c r="AH827" s="99">
        <f>IF(ISNUMBER('General Info'!$B$42), (SamplingData[[#This Row],[Running (cumulative) sum]] * ('General Info'!$B$42 -'General Info'!$B$43 + 1)) + 'General Info'!$B$43 - 1, 0)</f>
        <v>741448.90366088785</v>
      </c>
      <c r="AI827" s="99" t="str">
        <f>IF(ISERROR(MATCH(SamplingData[[#This Row],[Batch by Type (p)]],SelectedPrecincts[Batch Name], 0)), "", INDEX(SelectedPrecincts[Draw], MATCH(SamplingData[[#This Row],[Batch by Type (p)]],SelectedPrecincts[Batch Name], 0)))</f>
        <v/>
      </c>
      <c r="AJ827" s="100">
        <f>IF(COUNTIF(SelectedPrecincts[Batch Name],SamplingData[[#This Row],[Batch by Type (p)]]) &lt;&gt; 0, COUNTIF(SelectedPrecincts[Batch Name],SamplingData[[#This Row],[Batch by Type (p)]]), 0)</f>
        <v>0</v>
      </c>
    </row>
    <row r="828" spans="1:36" ht="15" customHeight="1" x14ac:dyDescent="0.35">
      <c r="A828" s="97" t="s">
        <v>1041</v>
      </c>
      <c r="B828" s="97">
        <v>220</v>
      </c>
      <c r="C828" s="97">
        <v>204</v>
      </c>
      <c r="D828" s="92"/>
      <c r="E828" s="92"/>
      <c r="F828" s="92"/>
      <c r="G828" s="96"/>
      <c r="H828" s="96"/>
      <c r="I828" s="92"/>
      <c r="J828" s="92"/>
      <c r="K828" s="92"/>
      <c r="L828" s="92"/>
      <c r="M828" s="92"/>
      <c r="N828" s="97">
        <v>0</v>
      </c>
      <c r="O828" s="97">
        <v>46</v>
      </c>
      <c r="P828" s="98">
        <f>SUM(SamplingData[[#This Row],[Winning Candidate]:[Under Votes]])</f>
        <v>470</v>
      </c>
      <c r="Q828" s="99">
        <f>IF(AND(SamplingData[[#This Row],[Total]]&lt;&gt; 0, NOT(ISBLANK(SamplingData[[#This Row],[Losing Candidate]]))),(SamplingData[[#This Row],[Total]]+SamplingData[[#This Row],[Winning Candidate]]-SamplingData[[#This Row],[Losing Candidate]])/(SamplingData[[#Totals],[Winning Candidate]]-SamplingData[[#Totals],[Losing Candidate]]), 0)</f>
        <v>2.0624681717874724E-2</v>
      </c>
      <c r="R828" s="99">
        <f>IF(AND(SamplingData[[#This Row],[Total]]&lt;&gt; 0, NOT(ISBLANK(SamplingData[[#This Row],[Candidate 3]]))),(SamplingData[[#This Row],[Total]]+SamplingData[[#This Row],[Winning Candidate]]-SamplingData[[#This Row],[Candidate 3]])/(SamplingData[[#Totals],[Winning Candidate]]-SamplingData[[#Totals],[Candidate 3]]), 0)</f>
        <v>0</v>
      </c>
      <c r="S828" s="99">
        <f>IF(AND(SamplingData[[#This Row],[Total]]&lt;&gt; 0, NOT(ISBLANK(SamplingData[[#This Row],[Candidate 4]]))),(SamplingData[[#This Row],[Total]]+SamplingData[[#This Row],[Winning Candidate]]-SamplingData[[#This Row],[Candidate 4]])/(SamplingData[[#Totals],[Winning Candidate]]-SamplingData[[#Totals],[Candidate 4]]), 0)</f>
        <v>0</v>
      </c>
      <c r="T828" s="99">
        <f>IF(AND(SamplingData[[#This Row],[Total]]&lt;&gt; 0, NOT(ISBLANK(SamplingData[[#This Row],[Candidate 5]]))),(SamplingData[[#This Row],[Total]]+SamplingData[[#This Row],[Winning Candidate]]-SamplingData[[#This Row],[Candidate 5]])/(SamplingData[[#Totals],[Winning Candidate]]-SamplingData[[#Totals],[Candidate 5]]), 0)</f>
        <v>0</v>
      </c>
      <c r="U828" s="99">
        <f>IF(AND(SamplingData[[#This Row],[Total]]&lt;&gt; 0, NOT(ISBLANK(SamplingData[[#This Row],[Candidate 6]]))),(SamplingData[[#This Row],[Total]]+SamplingData[[#This Row],[Losing Candidate]]-SamplingData[[#This Row],[Candidate 6]])/(SamplingData[[#Totals],[Winning Candidate]]-SamplingData[[#Totals],[Candidate 6]]), 0)</f>
        <v>0</v>
      </c>
      <c r="V828" s="99">
        <f>IF(AND(SamplingData[[#This Row],[Total]]&lt;&gt; 0, NOT(ISBLANK(SamplingData[[#This Row],[Candidate 7]]))),(SamplingData[[#This Row],[Total]]+SamplingData[[#This Row],[Winning Candidate]]-SamplingData[[#This Row],[Candidate 7]])/(SamplingData[[#Totals],[Winning Candidate]]-SamplingData[[#Totals],[Candidate 7]]), 0)</f>
        <v>0</v>
      </c>
      <c r="W828" s="99">
        <f>IF(AND(SamplingData[[#This Row],[Total]]&lt;&gt; 0, NOT(ISBLANK(SamplingData[[#This Row],[Candidate 8]]))),(SamplingData[[#This Row],[Total]]+SamplingData[[#This Row],[Winning Candidate]]-SamplingData[[#This Row],[Candidate 8]])/(SamplingData[[#Totals],[Winning Candidate]]-SamplingData[[#Totals],[Candidate 8]]), 0)</f>
        <v>0</v>
      </c>
      <c r="X8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8" s="99">
        <f>MAX(SamplingData[[#This Row],[Error Bound (up) - Max. possible relative overstatement - Losing Candidate]:[Error Bound (up) - Max. possible relative overstatement - Candidate 12]])</f>
        <v>2.0624681717874724E-2</v>
      </c>
      <c r="AC828" s="99">
        <f>IF(SamplingData[[#This Row],[Max Error Bound (up)]] = 0,0,SamplingData[[#This Row],[Max Error Bound (up)]]/SamplingData[[#Totals],[Max Error Bound (up)]])</f>
        <v>1.1042643690696928E-3</v>
      </c>
      <c r="AD828" s="103">
        <f>SUM($AC$5:AC828)</f>
        <v>0.74255416802995755</v>
      </c>
      <c r="AE828" s="99" t="str" cm="1">
        <f t="array" ref="AE828">IF(SamplingData[[#This Row],[up/U Selection Probability]] = 0, "Zero", TEXT(SamplingData[[#This Row],[Lower Range]], REPT("0",LEN('General Info'!$B$42))) &amp; " - " &amp; TEXT(SamplingData[[#This Row],[Upper Range]], REPT("0",LEN('General Info'!$B$42))))</f>
        <v>741450 - 742553</v>
      </c>
      <c r="AF828" s="99">
        <f>SamplingData[[#This Row],[Upper Range]]-SamplingData[[#This Row],[Span]]</f>
        <v>741449.90366088785</v>
      </c>
      <c r="AG828" s="99">
        <f>IF(ISNUMBER('General Info'!$B$42), ((SamplingData[[#This Row],[up/U Selection Probability]]) * 'General Info'!$B$44) - 1, 0)</f>
        <v>1103.2643690696927</v>
      </c>
      <c r="AH828" s="99">
        <f>IF(ISNUMBER('General Info'!$B$42), (SamplingData[[#This Row],[Running (cumulative) sum]] * ('General Info'!$B$42 -'General Info'!$B$43 + 1)) + 'General Info'!$B$43 - 1, 0)</f>
        <v>742553.16802995757</v>
      </c>
      <c r="AI828" s="99" t="str">
        <f>IF(ISERROR(MATCH(SamplingData[[#This Row],[Batch by Type (p)]],SelectedPrecincts[Batch Name], 0)), "", INDEX(SelectedPrecincts[Draw], MATCH(SamplingData[[#This Row],[Batch by Type (p)]],SelectedPrecincts[Batch Name], 0)))</f>
        <v/>
      </c>
      <c r="AJ828" s="100">
        <f>IF(COUNTIF(SelectedPrecincts[Batch Name],SamplingData[[#This Row],[Batch by Type (p)]]) &lt;&gt; 0, COUNTIF(SelectedPrecincts[Batch Name],SamplingData[[#This Row],[Batch by Type (p)]]), 0)</f>
        <v>0</v>
      </c>
    </row>
    <row r="829" spans="1:36" ht="15" customHeight="1" x14ac:dyDescent="0.35">
      <c r="A829" s="97" t="s">
        <v>1042</v>
      </c>
      <c r="B829" s="97">
        <v>249</v>
      </c>
      <c r="C829" s="97">
        <v>133</v>
      </c>
      <c r="D829" s="92"/>
      <c r="E829" s="92"/>
      <c r="F829" s="92"/>
      <c r="G829" s="96"/>
      <c r="H829" s="96"/>
      <c r="I829" s="92"/>
      <c r="J829" s="92"/>
      <c r="K829" s="92"/>
      <c r="L829" s="92"/>
      <c r="M829" s="92"/>
      <c r="N829" s="97">
        <v>0</v>
      </c>
      <c r="O829" s="97">
        <v>39</v>
      </c>
      <c r="P829" s="98">
        <f>SUM(SamplingData[[#This Row],[Winning Candidate]:[Under Votes]])</f>
        <v>421</v>
      </c>
      <c r="Q829" s="99">
        <f>IF(AND(SamplingData[[#This Row],[Total]]&lt;&gt; 0, NOT(ISBLANK(SamplingData[[#This Row],[Losing Candidate]]))),(SamplingData[[#This Row],[Total]]+SamplingData[[#This Row],[Winning Candidate]]-SamplingData[[#This Row],[Losing Candidate]])/(SamplingData[[#Totals],[Winning Candidate]]-SamplingData[[#Totals],[Losing Candidate]]), 0)</f>
        <v>2.2789000169750467E-2</v>
      </c>
      <c r="R829" s="99">
        <f>IF(AND(SamplingData[[#This Row],[Total]]&lt;&gt; 0, NOT(ISBLANK(SamplingData[[#This Row],[Candidate 3]]))),(SamplingData[[#This Row],[Total]]+SamplingData[[#This Row],[Winning Candidate]]-SamplingData[[#This Row],[Candidate 3]])/(SamplingData[[#Totals],[Winning Candidate]]-SamplingData[[#Totals],[Candidate 3]]), 0)</f>
        <v>0</v>
      </c>
      <c r="S829" s="99">
        <f>IF(AND(SamplingData[[#This Row],[Total]]&lt;&gt; 0, NOT(ISBLANK(SamplingData[[#This Row],[Candidate 4]]))),(SamplingData[[#This Row],[Total]]+SamplingData[[#This Row],[Winning Candidate]]-SamplingData[[#This Row],[Candidate 4]])/(SamplingData[[#Totals],[Winning Candidate]]-SamplingData[[#Totals],[Candidate 4]]), 0)</f>
        <v>0</v>
      </c>
      <c r="T829" s="99">
        <f>IF(AND(SamplingData[[#This Row],[Total]]&lt;&gt; 0, NOT(ISBLANK(SamplingData[[#This Row],[Candidate 5]]))),(SamplingData[[#This Row],[Total]]+SamplingData[[#This Row],[Winning Candidate]]-SamplingData[[#This Row],[Candidate 5]])/(SamplingData[[#Totals],[Winning Candidate]]-SamplingData[[#Totals],[Candidate 5]]), 0)</f>
        <v>0</v>
      </c>
      <c r="U829" s="99">
        <f>IF(AND(SamplingData[[#This Row],[Total]]&lt;&gt; 0, NOT(ISBLANK(SamplingData[[#This Row],[Candidate 6]]))),(SamplingData[[#This Row],[Total]]+SamplingData[[#This Row],[Losing Candidate]]-SamplingData[[#This Row],[Candidate 6]])/(SamplingData[[#Totals],[Winning Candidate]]-SamplingData[[#Totals],[Candidate 6]]), 0)</f>
        <v>0</v>
      </c>
      <c r="V829" s="99">
        <f>IF(AND(SamplingData[[#This Row],[Total]]&lt;&gt; 0, NOT(ISBLANK(SamplingData[[#This Row],[Candidate 7]]))),(SamplingData[[#This Row],[Total]]+SamplingData[[#This Row],[Winning Candidate]]-SamplingData[[#This Row],[Candidate 7]])/(SamplingData[[#Totals],[Winning Candidate]]-SamplingData[[#Totals],[Candidate 7]]), 0)</f>
        <v>0</v>
      </c>
      <c r="W829" s="99">
        <f>IF(AND(SamplingData[[#This Row],[Total]]&lt;&gt; 0, NOT(ISBLANK(SamplingData[[#This Row],[Candidate 8]]))),(SamplingData[[#This Row],[Total]]+SamplingData[[#This Row],[Winning Candidate]]-SamplingData[[#This Row],[Candidate 8]])/(SamplingData[[#Totals],[Winning Candidate]]-SamplingData[[#Totals],[Candidate 8]]), 0)</f>
        <v>0</v>
      </c>
      <c r="X8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9" s="99">
        <f>MAX(SamplingData[[#This Row],[Error Bound (up) - Max. possible relative overstatement - Losing Candidate]:[Error Bound (up) - Max. possible relative overstatement - Candidate 12]])</f>
        <v>2.2789000169750467E-2</v>
      </c>
      <c r="AC829" s="99">
        <f>IF(SamplingData[[#This Row],[Max Error Bound (up)]] = 0,0,SamplingData[[#This Row],[Max Error Bound (up)]]/SamplingData[[#Totals],[Max Error Bound (up)]])</f>
        <v>1.2201439633547841E-3</v>
      </c>
      <c r="AD829" s="103">
        <f>SUM($AC$5:AC829)</f>
        <v>0.74377431199331234</v>
      </c>
      <c r="AE829" s="99" t="str" cm="1">
        <f t="array" ref="AE829">IF(SamplingData[[#This Row],[up/U Selection Probability]] = 0, "Zero", TEXT(SamplingData[[#This Row],[Lower Range]], REPT("0",LEN('General Info'!$B$42))) &amp; " - " &amp; TEXT(SamplingData[[#This Row],[Upper Range]], REPT("0",LEN('General Info'!$B$42))))</f>
        <v>742554 - 743773</v>
      </c>
      <c r="AF829" s="99">
        <f>SamplingData[[#This Row],[Upper Range]]-SamplingData[[#This Row],[Span]]</f>
        <v>742554.16802995757</v>
      </c>
      <c r="AG829" s="99">
        <f>IF(ISNUMBER('General Info'!$B$42), ((SamplingData[[#This Row],[up/U Selection Probability]]) * 'General Info'!$B$44) - 1, 0)</f>
        <v>1219.1439633547841</v>
      </c>
      <c r="AH829" s="99">
        <f>IF(ISNUMBER('General Info'!$B$42), (SamplingData[[#This Row],[Running (cumulative) sum]] * ('General Info'!$B$42 -'General Info'!$B$43 + 1)) + 'General Info'!$B$43 - 1, 0)</f>
        <v>743773.31199331232</v>
      </c>
      <c r="AI829" s="99" t="str">
        <f>IF(ISERROR(MATCH(SamplingData[[#This Row],[Batch by Type (p)]],SelectedPrecincts[Batch Name], 0)), "", INDEX(SelectedPrecincts[Draw], MATCH(SamplingData[[#This Row],[Batch by Type (p)]],SelectedPrecincts[Batch Name], 0)))</f>
        <v/>
      </c>
      <c r="AJ829" s="100">
        <f>IF(COUNTIF(SelectedPrecincts[Batch Name],SamplingData[[#This Row],[Batch by Type (p)]]) &lt;&gt; 0, COUNTIF(SelectedPrecincts[Batch Name],SamplingData[[#This Row],[Batch by Type (p)]]), 0)</f>
        <v>0</v>
      </c>
    </row>
    <row r="830" spans="1:36" ht="15" customHeight="1" x14ac:dyDescent="0.35">
      <c r="A830" s="97" t="s">
        <v>1043</v>
      </c>
      <c r="B830" s="97">
        <v>226</v>
      </c>
      <c r="C830" s="97">
        <v>128</v>
      </c>
      <c r="D830" s="92"/>
      <c r="E830" s="92"/>
      <c r="F830" s="92"/>
      <c r="G830" s="96"/>
      <c r="H830" s="96"/>
      <c r="I830" s="92"/>
      <c r="J830" s="92"/>
      <c r="K830" s="92"/>
      <c r="L830" s="92"/>
      <c r="M830" s="92"/>
      <c r="N830" s="97">
        <v>0</v>
      </c>
      <c r="O830" s="97">
        <v>34</v>
      </c>
      <c r="P830" s="98">
        <f>SUM(SamplingData[[#This Row],[Winning Candidate]:[Under Votes]])</f>
        <v>388</v>
      </c>
      <c r="Q830" s="99">
        <f>IF(AND(SamplingData[[#This Row],[Total]]&lt;&gt; 0, NOT(ISBLANK(SamplingData[[#This Row],[Losing Candidate]]))),(SamplingData[[#This Row],[Total]]+SamplingData[[#This Row],[Winning Candidate]]-SamplingData[[#This Row],[Losing Candidate]])/(SamplingData[[#Totals],[Winning Candidate]]-SamplingData[[#Totals],[Losing Candidate]]), 0)</f>
        <v>2.0624681717874724E-2</v>
      </c>
      <c r="R830" s="99">
        <f>IF(AND(SamplingData[[#This Row],[Total]]&lt;&gt; 0, NOT(ISBLANK(SamplingData[[#This Row],[Candidate 3]]))),(SamplingData[[#This Row],[Total]]+SamplingData[[#This Row],[Winning Candidate]]-SamplingData[[#This Row],[Candidate 3]])/(SamplingData[[#Totals],[Winning Candidate]]-SamplingData[[#Totals],[Candidate 3]]), 0)</f>
        <v>0</v>
      </c>
      <c r="S830" s="99">
        <f>IF(AND(SamplingData[[#This Row],[Total]]&lt;&gt; 0, NOT(ISBLANK(SamplingData[[#This Row],[Candidate 4]]))),(SamplingData[[#This Row],[Total]]+SamplingData[[#This Row],[Winning Candidate]]-SamplingData[[#This Row],[Candidate 4]])/(SamplingData[[#Totals],[Winning Candidate]]-SamplingData[[#Totals],[Candidate 4]]), 0)</f>
        <v>0</v>
      </c>
      <c r="T830" s="99">
        <f>IF(AND(SamplingData[[#This Row],[Total]]&lt;&gt; 0, NOT(ISBLANK(SamplingData[[#This Row],[Candidate 5]]))),(SamplingData[[#This Row],[Total]]+SamplingData[[#This Row],[Winning Candidate]]-SamplingData[[#This Row],[Candidate 5]])/(SamplingData[[#Totals],[Winning Candidate]]-SamplingData[[#Totals],[Candidate 5]]), 0)</f>
        <v>0</v>
      </c>
      <c r="U830" s="99">
        <f>IF(AND(SamplingData[[#This Row],[Total]]&lt;&gt; 0, NOT(ISBLANK(SamplingData[[#This Row],[Candidate 6]]))),(SamplingData[[#This Row],[Total]]+SamplingData[[#This Row],[Losing Candidate]]-SamplingData[[#This Row],[Candidate 6]])/(SamplingData[[#Totals],[Winning Candidate]]-SamplingData[[#Totals],[Candidate 6]]), 0)</f>
        <v>0</v>
      </c>
      <c r="V830" s="99">
        <f>IF(AND(SamplingData[[#This Row],[Total]]&lt;&gt; 0, NOT(ISBLANK(SamplingData[[#This Row],[Candidate 7]]))),(SamplingData[[#This Row],[Total]]+SamplingData[[#This Row],[Winning Candidate]]-SamplingData[[#This Row],[Candidate 7]])/(SamplingData[[#Totals],[Winning Candidate]]-SamplingData[[#Totals],[Candidate 7]]), 0)</f>
        <v>0</v>
      </c>
      <c r="W830" s="99">
        <f>IF(AND(SamplingData[[#This Row],[Total]]&lt;&gt; 0, NOT(ISBLANK(SamplingData[[#This Row],[Candidate 8]]))),(SamplingData[[#This Row],[Total]]+SamplingData[[#This Row],[Winning Candidate]]-SamplingData[[#This Row],[Candidate 8]])/(SamplingData[[#Totals],[Winning Candidate]]-SamplingData[[#Totals],[Candidate 8]]), 0)</f>
        <v>0</v>
      </c>
      <c r="X8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0" s="99">
        <f>MAX(SamplingData[[#This Row],[Error Bound (up) - Max. possible relative overstatement - Losing Candidate]:[Error Bound (up) - Max. possible relative overstatement - Candidate 12]])</f>
        <v>2.0624681717874724E-2</v>
      </c>
      <c r="AC830" s="99">
        <f>IF(SamplingData[[#This Row],[Max Error Bound (up)]] = 0,0,SamplingData[[#This Row],[Max Error Bound (up)]]/SamplingData[[#Totals],[Max Error Bound (up)]])</f>
        <v>1.1042643690696928E-3</v>
      </c>
      <c r="AD830" s="103">
        <f>SUM($AC$5:AC830)</f>
        <v>0.74487857636238208</v>
      </c>
      <c r="AE830" s="99" t="str" cm="1">
        <f t="array" ref="AE830">IF(SamplingData[[#This Row],[up/U Selection Probability]] = 0, "Zero", TEXT(SamplingData[[#This Row],[Lower Range]], REPT("0",LEN('General Info'!$B$42))) &amp; " - " &amp; TEXT(SamplingData[[#This Row],[Upper Range]], REPT("0",LEN('General Info'!$B$42))))</f>
        <v>743774 - 744878</v>
      </c>
      <c r="AF830" s="99">
        <f>SamplingData[[#This Row],[Upper Range]]-SamplingData[[#This Row],[Span]]</f>
        <v>743774.31199331232</v>
      </c>
      <c r="AG830" s="99">
        <f>IF(ISNUMBER('General Info'!$B$42), ((SamplingData[[#This Row],[up/U Selection Probability]]) * 'General Info'!$B$44) - 1, 0)</f>
        <v>1103.2643690696927</v>
      </c>
      <c r="AH830" s="99">
        <f>IF(ISNUMBER('General Info'!$B$42), (SamplingData[[#This Row],[Running (cumulative) sum]] * ('General Info'!$B$42 -'General Info'!$B$43 + 1)) + 'General Info'!$B$43 - 1, 0)</f>
        <v>744877.57636238204</v>
      </c>
      <c r="AI830" s="99" t="str">
        <f>IF(ISERROR(MATCH(SamplingData[[#This Row],[Batch by Type (p)]],SelectedPrecincts[Batch Name], 0)), "", INDEX(SelectedPrecincts[Draw], MATCH(SamplingData[[#This Row],[Batch by Type (p)]],SelectedPrecincts[Batch Name], 0)))</f>
        <v/>
      </c>
      <c r="AJ830" s="100">
        <f>IF(COUNTIF(SelectedPrecincts[Batch Name],SamplingData[[#This Row],[Batch by Type (p)]]) &lt;&gt; 0, COUNTIF(SelectedPrecincts[Batch Name],SamplingData[[#This Row],[Batch by Type (p)]]), 0)</f>
        <v>0</v>
      </c>
    </row>
    <row r="831" spans="1:36" ht="15" customHeight="1" x14ac:dyDescent="0.35">
      <c r="A831" s="97" t="s">
        <v>1044</v>
      </c>
      <c r="B831" s="97">
        <v>165</v>
      </c>
      <c r="C831" s="97">
        <v>60</v>
      </c>
      <c r="D831" s="92"/>
      <c r="E831" s="92"/>
      <c r="F831" s="92"/>
      <c r="G831" s="96"/>
      <c r="H831" s="96"/>
      <c r="I831" s="92"/>
      <c r="J831" s="92"/>
      <c r="K831" s="92"/>
      <c r="L831" s="92"/>
      <c r="M831" s="92"/>
      <c r="N831" s="97">
        <v>0</v>
      </c>
      <c r="O831" s="97">
        <v>16</v>
      </c>
      <c r="P831" s="98">
        <f>SUM(SamplingData[[#This Row],[Winning Candidate]:[Under Votes]])</f>
        <v>241</v>
      </c>
      <c r="Q831" s="99">
        <f>IF(AND(SamplingData[[#This Row],[Total]]&lt;&gt; 0, NOT(ISBLANK(SamplingData[[#This Row],[Losing Candidate]]))),(SamplingData[[#This Row],[Total]]+SamplingData[[#This Row],[Winning Candidate]]-SamplingData[[#This Row],[Losing Candidate]])/(SamplingData[[#Totals],[Winning Candidate]]-SamplingData[[#Totals],[Losing Candidate]]), 0)</f>
        <v>1.4683415379392294E-2</v>
      </c>
      <c r="R831" s="99">
        <f>IF(AND(SamplingData[[#This Row],[Total]]&lt;&gt; 0, NOT(ISBLANK(SamplingData[[#This Row],[Candidate 3]]))),(SamplingData[[#This Row],[Total]]+SamplingData[[#This Row],[Winning Candidate]]-SamplingData[[#This Row],[Candidate 3]])/(SamplingData[[#Totals],[Winning Candidate]]-SamplingData[[#Totals],[Candidate 3]]), 0)</f>
        <v>0</v>
      </c>
      <c r="S831" s="99">
        <f>IF(AND(SamplingData[[#This Row],[Total]]&lt;&gt; 0, NOT(ISBLANK(SamplingData[[#This Row],[Candidate 4]]))),(SamplingData[[#This Row],[Total]]+SamplingData[[#This Row],[Winning Candidate]]-SamplingData[[#This Row],[Candidate 4]])/(SamplingData[[#Totals],[Winning Candidate]]-SamplingData[[#Totals],[Candidate 4]]), 0)</f>
        <v>0</v>
      </c>
      <c r="T831" s="99">
        <f>IF(AND(SamplingData[[#This Row],[Total]]&lt;&gt; 0, NOT(ISBLANK(SamplingData[[#This Row],[Candidate 5]]))),(SamplingData[[#This Row],[Total]]+SamplingData[[#This Row],[Winning Candidate]]-SamplingData[[#This Row],[Candidate 5]])/(SamplingData[[#Totals],[Winning Candidate]]-SamplingData[[#Totals],[Candidate 5]]), 0)</f>
        <v>0</v>
      </c>
      <c r="U831" s="99">
        <f>IF(AND(SamplingData[[#This Row],[Total]]&lt;&gt; 0, NOT(ISBLANK(SamplingData[[#This Row],[Candidate 6]]))),(SamplingData[[#This Row],[Total]]+SamplingData[[#This Row],[Losing Candidate]]-SamplingData[[#This Row],[Candidate 6]])/(SamplingData[[#Totals],[Winning Candidate]]-SamplingData[[#Totals],[Candidate 6]]), 0)</f>
        <v>0</v>
      </c>
      <c r="V831" s="99">
        <f>IF(AND(SamplingData[[#This Row],[Total]]&lt;&gt; 0, NOT(ISBLANK(SamplingData[[#This Row],[Candidate 7]]))),(SamplingData[[#This Row],[Total]]+SamplingData[[#This Row],[Winning Candidate]]-SamplingData[[#This Row],[Candidate 7]])/(SamplingData[[#Totals],[Winning Candidate]]-SamplingData[[#Totals],[Candidate 7]]), 0)</f>
        <v>0</v>
      </c>
      <c r="W831" s="99">
        <f>IF(AND(SamplingData[[#This Row],[Total]]&lt;&gt; 0, NOT(ISBLANK(SamplingData[[#This Row],[Candidate 8]]))),(SamplingData[[#This Row],[Total]]+SamplingData[[#This Row],[Winning Candidate]]-SamplingData[[#This Row],[Candidate 8]])/(SamplingData[[#Totals],[Winning Candidate]]-SamplingData[[#Totals],[Candidate 8]]), 0)</f>
        <v>0</v>
      </c>
      <c r="X8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1" s="99">
        <f>MAX(SamplingData[[#This Row],[Error Bound (up) - Max. possible relative overstatement - Losing Candidate]:[Error Bound (up) - Max. possible relative overstatement - Candidate 12]])</f>
        <v>1.4683415379392294E-2</v>
      </c>
      <c r="AC831" s="99">
        <f>IF(SamplingData[[#This Row],[Max Error Bound (up)]] = 0,0,SamplingData[[#This Row],[Max Error Bound (up)]]/SamplingData[[#Totals],[Max Error Bound (up)]])</f>
        <v>7.8616352201257963E-4</v>
      </c>
      <c r="AD831" s="103">
        <f>SUM($AC$5:AC831)</f>
        <v>0.74566473988439463</v>
      </c>
      <c r="AE831" s="99" t="str" cm="1">
        <f t="array" ref="AE831">IF(SamplingData[[#This Row],[up/U Selection Probability]] = 0, "Zero", TEXT(SamplingData[[#This Row],[Lower Range]], REPT("0",LEN('General Info'!$B$42))) &amp; " - " &amp; TEXT(SamplingData[[#This Row],[Upper Range]], REPT("0",LEN('General Info'!$B$42))))</f>
        <v>744879 - 745664</v>
      </c>
      <c r="AF831" s="99">
        <f>SamplingData[[#This Row],[Upper Range]]-SamplingData[[#This Row],[Span]]</f>
        <v>744878.57636238215</v>
      </c>
      <c r="AG831" s="99">
        <f>IF(ISNUMBER('General Info'!$B$42), ((SamplingData[[#This Row],[up/U Selection Probability]]) * 'General Info'!$B$44) - 1, 0)</f>
        <v>785.16352201257962</v>
      </c>
      <c r="AH831" s="99">
        <f>IF(ISNUMBER('General Info'!$B$42), (SamplingData[[#This Row],[Running (cumulative) sum]] * ('General Info'!$B$42 -'General Info'!$B$43 + 1)) + 'General Info'!$B$43 - 1, 0)</f>
        <v>745663.73988439469</v>
      </c>
      <c r="AI831" s="99">
        <f>IF(ISERROR(MATCH(SamplingData[[#This Row],[Batch by Type (p)]],SelectedPrecincts[Batch Name], 0)), "", INDEX(SelectedPrecincts[Draw], MATCH(SamplingData[[#This Row],[Batch by Type (p)]],SelectedPrecincts[Batch Name], 0)))</f>
        <v>14</v>
      </c>
      <c r="AJ831" s="100">
        <f>IF(COUNTIF(SelectedPrecincts[Batch Name],SamplingData[[#This Row],[Batch by Type (p)]]) &lt;&gt; 0, COUNTIF(SelectedPrecincts[Batch Name],SamplingData[[#This Row],[Batch by Type (p)]]), 0)</f>
        <v>1</v>
      </c>
    </row>
    <row r="832" spans="1:36" ht="15" customHeight="1" x14ac:dyDescent="0.35">
      <c r="A832" s="97" t="s">
        <v>1045</v>
      </c>
      <c r="B832" s="97">
        <v>248</v>
      </c>
      <c r="C832" s="97">
        <v>150</v>
      </c>
      <c r="D832" s="92"/>
      <c r="E832" s="92"/>
      <c r="F832" s="92"/>
      <c r="G832" s="96"/>
      <c r="H832" s="96"/>
      <c r="I832" s="92"/>
      <c r="J832" s="92"/>
      <c r="K832" s="92"/>
      <c r="L832" s="92"/>
      <c r="M832" s="92"/>
      <c r="N832" s="97">
        <v>1</v>
      </c>
      <c r="O832" s="97">
        <v>33</v>
      </c>
      <c r="P832" s="98">
        <f>SUM(SamplingData[[#This Row],[Winning Candidate]:[Under Votes]])</f>
        <v>432</v>
      </c>
      <c r="Q832" s="99">
        <f>IF(AND(SamplingData[[#This Row],[Total]]&lt;&gt; 0, NOT(ISBLANK(SamplingData[[#This Row],[Losing Candidate]]))),(SamplingData[[#This Row],[Total]]+SamplingData[[#This Row],[Winning Candidate]]-SamplingData[[#This Row],[Losing Candidate]])/(SamplingData[[#Totals],[Winning Candidate]]-SamplingData[[#Totals],[Losing Candidate]]), 0)</f>
        <v>2.2491936852826345E-2</v>
      </c>
      <c r="R832" s="99">
        <f>IF(AND(SamplingData[[#This Row],[Total]]&lt;&gt; 0, NOT(ISBLANK(SamplingData[[#This Row],[Candidate 3]]))),(SamplingData[[#This Row],[Total]]+SamplingData[[#This Row],[Winning Candidate]]-SamplingData[[#This Row],[Candidate 3]])/(SamplingData[[#Totals],[Winning Candidate]]-SamplingData[[#Totals],[Candidate 3]]), 0)</f>
        <v>0</v>
      </c>
      <c r="S832" s="99">
        <f>IF(AND(SamplingData[[#This Row],[Total]]&lt;&gt; 0, NOT(ISBLANK(SamplingData[[#This Row],[Candidate 4]]))),(SamplingData[[#This Row],[Total]]+SamplingData[[#This Row],[Winning Candidate]]-SamplingData[[#This Row],[Candidate 4]])/(SamplingData[[#Totals],[Winning Candidate]]-SamplingData[[#Totals],[Candidate 4]]), 0)</f>
        <v>0</v>
      </c>
      <c r="T832" s="99">
        <f>IF(AND(SamplingData[[#This Row],[Total]]&lt;&gt; 0, NOT(ISBLANK(SamplingData[[#This Row],[Candidate 5]]))),(SamplingData[[#This Row],[Total]]+SamplingData[[#This Row],[Winning Candidate]]-SamplingData[[#This Row],[Candidate 5]])/(SamplingData[[#Totals],[Winning Candidate]]-SamplingData[[#Totals],[Candidate 5]]), 0)</f>
        <v>0</v>
      </c>
      <c r="U832" s="99">
        <f>IF(AND(SamplingData[[#This Row],[Total]]&lt;&gt; 0, NOT(ISBLANK(SamplingData[[#This Row],[Candidate 6]]))),(SamplingData[[#This Row],[Total]]+SamplingData[[#This Row],[Losing Candidate]]-SamplingData[[#This Row],[Candidate 6]])/(SamplingData[[#Totals],[Winning Candidate]]-SamplingData[[#Totals],[Candidate 6]]), 0)</f>
        <v>0</v>
      </c>
      <c r="V832" s="99">
        <f>IF(AND(SamplingData[[#This Row],[Total]]&lt;&gt; 0, NOT(ISBLANK(SamplingData[[#This Row],[Candidate 7]]))),(SamplingData[[#This Row],[Total]]+SamplingData[[#This Row],[Winning Candidate]]-SamplingData[[#This Row],[Candidate 7]])/(SamplingData[[#Totals],[Winning Candidate]]-SamplingData[[#Totals],[Candidate 7]]), 0)</f>
        <v>0</v>
      </c>
      <c r="W832" s="99">
        <f>IF(AND(SamplingData[[#This Row],[Total]]&lt;&gt; 0, NOT(ISBLANK(SamplingData[[#This Row],[Candidate 8]]))),(SamplingData[[#This Row],[Total]]+SamplingData[[#This Row],[Winning Candidate]]-SamplingData[[#This Row],[Candidate 8]])/(SamplingData[[#Totals],[Winning Candidate]]-SamplingData[[#Totals],[Candidate 8]]), 0)</f>
        <v>0</v>
      </c>
      <c r="X8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2" s="99">
        <f>MAX(SamplingData[[#This Row],[Error Bound (up) - Max. possible relative overstatement - Losing Candidate]:[Error Bound (up) - Max. possible relative overstatement - Candidate 12]])</f>
        <v>2.2491936852826345E-2</v>
      </c>
      <c r="AC832" s="99">
        <f>IF(SamplingData[[#This Row],[Max Error Bound (up)]] = 0,0,SamplingData[[#This Row],[Max Error Bound (up)]]/SamplingData[[#Totals],[Max Error Bound (up)]])</f>
        <v>1.2042389210019282E-3</v>
      </c>
      <c r="AD832" s="103">
        <f>SUM($AC$5:AC832)</f>
        <v>0.7468689788053966</v>
      </c>
      <c r="AE832" s="99" t="str" cm="1">
        <f t="array" ref="AE832">IF(SamplingData[[#This Row],[up/U Selection Probability]] = 0, "Zero", TEXT(SamplingData[[#This Row],[Lower Range]], REPT("0",LEN('General Info'!$B$42))) &amp; " - " &amp; TEXT(SamplingData[[#This Row],[Upper Range]], REPT("0",LEN('General Info'!$B$42))))</f>
        <v>745665 - 746868</v>
      </c>
      <c r="AF832" s="99">
        <f>SamplingData[[#This Row],[Upper Range]]-SamplingData[[#This Row],[Span]]</f>
        <v>745664.73988439469</v>
      </c>
      <c r="AG832" s="99">
        <f>IF(ISNUMBER('General Info'!$B$42), ((SamplingData[[#This Row],[up/U Selection Probability]]) * 'General Info'!$B$44) - 1, 0)</f>
        <v>1203.2389210019282</v>
      </c>
      <c r="AH832" s="99">
        <f>IF(ISNUMBER('General Info'!$B$42), (SamplingData[[#This Row],[Running (cumulative) sum]] * ('General Info'!$B$42 -'General Info'!$B$43 + 1)) + 'General Info'!$B$43 - 1, 0)</f>
        <v>746867.97880539659</v>
      </c>
      <c r="AI832" s="99" t="str">
        <f>IF(ISERROR(MATCH(SamplingData[[#This Row],[Batch by Type (p)]],SelectedPrecincts[Batch Name], 0)), "", INDEX(SelectedPrecincts[Draw], MATCH(SamplingData[[#This Row],[Batch by Type (p)]],SelectedPrecincts[Batch Name], 0)))</f>
        <v/>
      </c>
      <c r="AJ832" s="100">
        <f>IF(COUNTIF(SelectedPrecincts[Batch Name],SamplingData[[#This Row],[Batch by Type (p)]]) &lt;&gt; 0, COUNTIF(SelectedPrecincts[Batch Name],SamplingData[[#This Row],[Batch by Type (p)]]), 0)</f>
        <v>0</v>
      </c>
    </row>
    <row r="833" spans="1:36" ht="15" customHeight="1" x14ac:dyDescent="0.35">
      <c r="A833" s="97" t="s">
        <v>1046</v>
      </c>
      <c r="B833" s="97">
        <v>244</v>
      </c>
      <c r="C833" s="97">
        <v>89</v>
      </c>
      <c r="D833" s="92"/>
      <c r="E833" s="92"/>
      <c r="F833" s="92"/>
      <c r="G833" s="96"/>
      <c r="H833" s="96"/>
      <c r="I833" s="92"/>
      <c r="J833" s="92"/>
      <c r="K833" s="92"/>
      <c r="L833" s="92"/>
      <c r="M833" s="92"/>
      <c r="N833" s="97">
        <v>0</v>
      </c>
      <c r="O833" s="97">
        <v>18</v>
      </c>
      <c r="P833" s="98">
        <f>SUM(SamplingData[[#This Row],[Winning Candidate]:[Under Votes]])</f>
        <v>351</v>
      </c>
      <c r="Q833" s="99">
        <f>IF(AND(SamplingData[[#This Row],[Total]]&lt;&gt; 0, NOT(ISBLANK(SamplingData[[#This Row],[Losing Candidate]]))),(SamplingData[[#This Row],[Total]]+SamplingData[[#This Row],[Winning Candidate]]-SamplingData[[#This Row],[Losing Candidate]])/(SamplingData[[#Totals],[Winning Candidate]]-SamplingData[[#Totals],[Losing Candidate]]), 0)</f>
        <v>2.1473434051943643E-2</v>
      </c>
      <c r="R833" s="99">
        <f>IF(AND(SamplingData[[#This Row],[Total]]&lt;&gt; 0, NOT(ISBLANK(SamplingData[[#This Row],[Candidate 3]]))),(SamplingData[[#This Row],[Total]]+SamplingData[[#This Row],[Winning Candidate]]-SamplingData[[#This Row],[Candidate 3]])/(SamplingData[[#Totals],[Winning Candidate]]-SamplingData[[#Totals],[Candidate 3]]), 0)</f>
        <v>0</v>
      </c>
      <c r="S833" s="99">
        <f>IF(AND(SamplingData[[#This Row],[Total]]&lt;&gt; 0, NOT(ISBLANK(SamplingData[[#This Row],[Candidate 4]]))),(SamplingData[[#This Row],[Total]]+SamplingData[[#This Row],[Winning Candidate]]-SamplingData[[#This Row],[Candidate 4]])/(SamplingData[[#Totals],[Winning Candidate]]-SamplingData[[#Totals],[Candidate 4]]), 0)</f>
        <v>0</v>
      </c>
      <c r="T833" s="99">
        <f>IF(AND(SamplingData[[#This Row],[Total]]&lt;&gt; 0, NOT(ISBLANK(SamplingData[[#This Row],[Candidate 5]]))),(SamplingData[[#This Row],[Total]]+SamplingData[[#This Row],[Winning Candidate]]-SamplingData[[#This Row],[Candidate 5]])/(SamplingData[[#Totals],[Winning Candidate]]-SamplingData[[#Totals],[Candidate 5]]), 0)</f>
        <v>0</v>
      </c>
      <c r="U833" s="99">
        <f>IF(AND(SamplingData[[#This Row],[Total]]&lt;&gt; 0, NOT(ISBLANK(SamplingData[[#This Row],[Candidate 6]]))),(SamplingData[[#This Row],[Total]]+SamplingData[[#This Row],[Losing Candidate]]-SamplingData[[#This Row],[Candidate 6]])/(SamplingData[[#Totals],[Winning Candidate]]-SamplingData[[#Totals],[Candidate 6]]), 0)</f>
        <v>0</v>
      </c>
      <c r="V833" s="99">
        <f>IF(AND(SamplingData[[#This Row],[Total]]&lt;&gt; 0, NOT(ISBLANK(SamplingData[[#This Row],[Candidate 7]]))),(SamplingData[[#This Row],[Total]]+SamplingData[[#This Row],[Winning Candidate]]-SamplingData[[#This Row],[Candidate 7]])/(SamplingData[[#Totals],[Winning Candidate]]-SamplingData[[#Totals],[Candidate 7]]), 0)</f>
        <v>0</v>
      </c>
      <c r="W833" s="99">
        <f>IF(AND(SamplingData[[#This Row],[Total]]&lt;&gt; 0, NOT(ISBLANK(SamplingData[[#This Row],[Candidate 8]]))),(SamplingData[[#This Row],[Total]]+SamplingData[[#This Row],[Winning Candidate]]-SamplingData[[#This Row],[Candidate 8]])/(SamplingData[[#Totals],[Winning Candidate]]-SamplingData[[#Totals],[Candidate 8]]), 0)</f>
        <v>0</v>
      </c>
      <c r="X8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3" s="99">
        <f>MAX(SamplingData[[#This Row],[Error Bound (up) - Max. possible relative overstatement - Losing Candidate]:[Error Bound (up) - Max. possible relative overstatement - Candidate 12]])</f>
        <v>2.1473434051943643E-2</v>
      </c>
      <c r="AC833" s="99">
        <f>IF(SamplingData[[#This Row],[Max Error Bound (up)]] = 0,0,SamplingData[[#This Row],[Max Error Bound (up)]]/SamplingData[[#Totals],[Max Error Bound (up)]])</f>
        <v>1.149707347220709E-3</v>
      </c>
      <c r="AD833" s="103">
        <f>SUM($AC$5:AC833)</f>
        <v>0.74801868615261735</v>
      </c>
      <c r="AE833" s="99" t="str" cm="1">
        <f t="array" ref="AE833">IF(SamplingData[[#This Row],[up/U Selection Probability]] = 0, "Zero", TEXT(SamplingData[[#This Row],[Lower Range]], REPT("0",LEN('General Info'!$B$42))) &amp; " - " &amp; TEXT(SamplingData[[#This Row],[Upper Range]], REPT("0",LEN('General Info'!$B$42))))</f>
        <v>746869 - 748018</v>
      </c>
      <c r="AF833" s="99">
        <f>SamplingData[[#This Row],[Upper Range]]-SamplingData[[#This Row],[Span]]</f>
        <v>746868.97880539659</v>
      </c>
      <c r="AG833" s="99">
        <f>IF(ISNUMBER('General Info'!$B$42), ((SamplingData[[#This Row],[up/U Selection Probability]]) * 'General Info'!$B$44) - 1, 0)</f>
        <v>1148.7073472207089</v>
      </c>
      <c r="AH833" s="99">
        <f>IF(ISNUMBER('General Info'!$B$42), (SamplingData[[#This Row],[Running (cumulative) sum]] * ('General Info'!$B$42 -'General Info'!$B$43 + 1)) + 'General Info'!$B$43 - 1, 0)</f>
        <v>748017.68615261733</v>
      </c>
      <c r="AI833" s="99" t="str">
        <f>IF(ISERROR(MATCH(SamplingData[[#This Row],[Batch by Type (p)]],SelectedPrecincts[Batch Name], 0)), "", INDEX(SelectedPrecincts[Draw], MATCH(SamplingData[[#This Row],[Batch by Type (p)]],SelectedPrecincts[Batch Name], 0)))</f>
        <v/>
      </c>
      <c r="AJ833" s="100">
        <f>IF(COUNTIF(SelectedPrecincts[Batch Name],SamplingData[[#This Row],[Batch by Type (p)]]) &lt;&gt; 0, COUNTIF(SelectedPrecincts[Batch Name],SamplingData[[#This Row],[Batch by Type (p)]]), 0)</f>
        <v>0</v>
      </c>
    </row>
    <row r="834" spans="1:36" ht="15" customHeight="1" x14ac:dyDescent="0.35">
      <c r="A834" s="97" t="s">
        <v>1047</v>
      </c>
      <c r="B834" s="97">
        <v>289</v>
      </c>
      <c r="C834" s="97">
        <v>136</v>
      </c>
      <c r="D834" s="92"/>
      <c r="E834" s="92"/>
      <c r="F834" s="92"/>
      <c r="G834" s="96"/>
      <c r="H834" s="96"/>
      <c r="I834" s="92"/>
      <c r="J834" s="92"/>
      <c r="K834" s="92"/>
      <c r="L834" s="92"/>
      <c r="M834" s="92"/>
      <c r="N834" s="97">
        <v>0</v>
      </c>
      <c r="O834" s="97">
        <v>37</v>
      </c>
      <c r="P834" s="98">
        <f>SUM(SamplingData[[#This Row],[Winning Candidate]:[Under Votes]])</f>
        <v>462</v>
      </c>
      <c r="Q834" s="99">
        <f>IF(AND(SamplingData[[#This Row],[Total]]&lt;&gt; 0, NOT(ISBLANK(SamplingData[[#This Row],[Losing Candidate]]))),(SamplingData[[#This Row],[Total]]+SamplingData[[#This Row],[Winning Candidate]]-SamplingData[[#This Row],[Losing Candidate]])/(SamplingData[[#Totals],[Winning Candidate]]-SamplingData[[#Totals],[Losing Candidate]]), 0)</f>
        <v>2.609913427261925E-2</v>
      </c>
      <c r="R834" s="99">
        <f>IF(AND(SamplingData[[#This Row],[Total]]&lt;&gt; 0, NOT(ISBLANK(SamplingData[[#This Row],[Candidate 3]]))),(SamplingData[[#This Row],[Total]]+SamplingData[[#This Row],[Winning Candidate]]-SamplingData[[#This Row],[Candidate 3]])/(SamplingData[[#Totals],[Winning Candidate]]-SamplingData[[#Totals],[Candidate 3]]), 0)</f>
        <v>0</v>
      </c>
      <c r="S834" s="99">
        <f>IF(AND(SamplingData[[#This Row],[Total]]&lt;&gt; 0, NOT(ISBLANK(SamplingData[[#This Row],[Candidate 4]]))),(SamplingData[[#This Row],[Total]]+SamplingData[[#This Row],[Winning Candidate]]-SamplingData[[#This Row],[Candidate 4]])/(SamplingData[[#Totals],[Winning Candidate]]-SamplingData[[#Totals],[Candidate 4]]), 0)</f>
        <v>0</v>
      </c>
      <c r="T834" s="99">
        <f>IF(AND(SamplingData[[#This Row],[Total]]&lt;&gt; 0, NOT(ISBLANK(SamplingData[[#This Row],[Candidate 5]]))),(SamplingData[[#This Row],[Total]]+SamplingData[[#This Row],[Winning Candidate]]-SamplingData[[#This Row],[Candidate 5]])/(SamplingData[[#Totals],[Winning Candidate]]-SamplingData[[#Totals],[Candidate 5]]), 0)</f>
        <v>0</v>
      </c>
      <c r="U834" s="99">
        <f>IF(AND(SamplingData[[#This Row],[Total]]&lt;&gt; 0, NOT(ISBLANK(SamplingData[[#This Row],[Candidate 6]]))),(SamplingData[[#This Row],[Total]]+SamplingData[[#This Row],[Losing Candidate]]-SamplingData[[#This Row],[Candidate 6]])/(SamplingData[[#Totals],[Winning Candidate]]-SamplingData[[#Totals],[Candidate 6]]), 0)</f>
        <v>0</v>
      </c>
      <c r="V834" s="99">
        <f>IF(AND(SamplingData[[#This Row],[Total]]&lt;&gt; 0, NOT(ISBLANK(SamplingData[[#This Row],[Candidate 7]]))),(SamplingData[[#This Row],[Total]]+SamplingData[[#This Row],[Winning Candidate]]-SamplingData[[#This Row],[Candidate 7]])/(SamplingData[[#Totals],[Winning Candidate]]-SamplingData[[#Totals],[Candidate 7]]), 0)</f>
        <v>0</v>
      </c>
      <c r="W834" s="99">
        <f>IF(AND(SamplingData[[#This Row],[Total]]&lt;&gt; 0, NOT(ISBLANK(SamplingData[[#This Row],[Candidate 8]]))),(SamplingData[[#This Row],[Total]]+SamplingData[[#This Row],[Winning Candidate]]-SamplingData[[#This Row],[Candidate 8]])/(SamplingData[[#Totals],[Winning Candidate]]-SamplingData[[#Totals],[Candidate 8]]), 0)</f>
        <v>0</v>
      </c>
      <c r="X8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4" s="99">
        <f>MAX(SamplingData[[#This Row],[Error Bound (up) - Max. possible relative overstatement - Losing Candidate]:[Error Bound (up) - Max. possible relative overstatement - Candidate 12]])</f>
        <v>2.609913427261925E-2</v>
      </c>
      <c r="AC834" s="99">
        <f>IF(SamplingData[[#This Row],[Max Error Bound (up)]] = 0,0,SamplingData[[#This Row],[Max Error Bound (up)]]/SamplingData[[#Totals],[Max Error Bound (up)]])</f>
        <v>1.397371578143747E-3</v>
      </c>
      <c r="AD834" s="103">
        <f>SUM($AC$5:AC834)</f>
        <v>0.74941605773076114</v>
      </c>
      <c r="AE834" s="99" t="str" cm="1">
        <f t="array" ref="AE834">IF(SamplingData[[#This Row],[up/U Selection Probability]] = 0, "Zero", TEXT(SamplingData[[#This Row],[Lower Range]], REPT("0",LEN('General Info'!$B$42))) &amp; " - " &amp; TEXT(SamplingData[[#This Row],[Upper Range]], REPT("0",LEN('General Info'!$B$42))))</f>
        <v>748019 - 749415</v>
      </c>
      <c r="AF834" s="99">
        <f>SamplingData[[#This Row],[Upper Range]]-SamplingData[[#This Row],[Span]]</f>
        <v>748018.68615261733</v>
      </c>
      <c r="AG834" s="99">
        <f>IF(ISNUMBER('General Info'!$B$42), ((SamplingData[[#This Row],[up/U Selection Probability]]) * 'General Info'!$B$44) - 1, 0)</f>
        <v>1396.371578143747</v>
      </c>
      <c r="AH834" s="99">
        <f>IF(ISNUMBER('General Info'!$B$42), (SamplingData[[#This Row],[Running (cumulative) sum]] * ('General Info'!$B$42 -'General Info'!$B$43 + 1)) + 'General Info'!$B$43 - 1, 0)</f>
        <v>749415.05773076112</v>
      </c>
      <c r="AI834" s="99" t="str">
        <f>IF(ISERROR(MATCH(SamplingData[[#This Row],[Batch by Type (p)]],SelectedPrecincts[Batch Name], 0)), "", INDEX(SelectedPrecincts[Draw], MATCH(SamplingData[[#This Row],[Batch by Type (p)]],SelectedPrecincts[Batch Name], 0)))</f>
        <v/>
      </c>
      <c r="AJ834" s="100">
        <f>IF(COUNTIF(SelectedPrecincts[Batch Name],SamplingData[[#This Row],[Batch by Type (p)]]) &lt;&gt; 0, COUNTIF(SelectedPrecincts[Batch Name],SamplingData[[#This Row],[Batch by Type (p)]]), 0)</f>
        <v>0</v>
      </c>
    </row>
    <row r="835" spans="1:36" ht="15" customHeight="1" x14ac:dyDescent="0.35">
      <c r="A835" s="97" t="s">
        <v>1048</v>
      </c>
      <c r="B835" s="97">
        <v>276</v>
      </c>
      <c r="C835" s="97">
        <v>140</v>
      </c>
      <c r="D835" s="92"/>
      <c r="E835" s="92"/>
      <c r="F835" s="92"/>
      <c r="G835" s="96"/>
      <c r="H835" s="96"/>
      <c r="I835" s="92"/>
      <c r="J835" s="92"/>
      <c r="K835" s="92"/>
      <c r="L835" s="92"/>
      <c r="M835" s="92"/>
      <c r="N835" s="97">
        <v>0</v>
      </c>
      <c r="O835" s="97">
        <v>28</v>
      </c>
      <c r="P835" s="98">
        <f>SUM(SamplingData[[#This Row],[Winning Candidate]:[Under Votes]])</f>
        <v>444</v>
      </c>
      <c r="Q835" s="99">
        <f>IF(AND(SamplingData[[#This Row],[Total]]&lt;&gt; 0, NOT(ISBLANK(SamplingData[[#This Row],[Losing Candidate]]))),(SamplingData[[#This Row],[Total]]+SamplingData[[#This Row],[Winning Candidate]]-SamplingData[[#This Row],[Losing Candidate]])/(SamplingData[[#Totals],[Winning Candidate]]-SamplingData[[#Totals],[Losing Candidate]]), 0)</f>
        <v>2.461381768799864E-2</v>
      </c>
      <c r="R835" s="99">
        <f>IF(AND(SamplingData[[#This Row],[Total]]&lt;&gt; 0, NOT(ISBLANK(SamplingData[[#This Row],[Candidate 3]]))),(SamplingData[[#This Row],[Total]]+SamplingData[[#This Row],[Winning Candidate]]-SamplingData[[#This Row],[Candidate 3]])/(SamplingData[[#Totals],[Winning Candidate]]-SamplingData[[#Totals],[Candidate 3]]), 0)</f>
        <v>0</v>
      </c>
      <c r="S835" s="99">
        <f>IF(AND(SamplingData[[#This Row],[Total]]&lt;&gt; 0, NOT(ISBLANK(SamplingData[[#This Row],[Candidate 4]]))),(SamplingData[[#This Row],[Total]]+SamplingData[[#This Row],[Winning Candidate]]-SamplingData[[#This Row],[Candidate 4]])/(SamplingData[[#Totals],[Winning Candidate]]-SamplingData[[#Totals],[Candidate 4]]), 0)</f>
        <v>0</v>
      </c>
      <c r="T835" s="99">
        <f>IF(AND(SamplingData[[#This Row],[Total]]&lt;&gt; 0, NOT(ISBLANK(SamplingData[[#This Row],[Candidate 5]]))),(SamplingData[[#This Row],[Total]]+SamplingData[[#This Row],[Winning Candidate]]-SamplingData[[#This Row],[Candidate 5]])/(SamplingData[[#Totals],[Winning Candidate]]-SamplingData[[#Totals],[Candidate 5]]), 0)</f>
        <v>0</v>
      </c>
      <c r="U835" s="99">
        <f>IF(AND(SamplingData[[#This Row],[Total]]&lt;&gt; 0, NOT(ISBLANK(SamplingData[[#This Row],[Candidate 6]]))),(SamplingData[[#This Row],[Total]]+SamplingData[[#This Row],[Losing Candidate]]-SamplingData[[#This Row],[Candidate 6]])/(SamplingData[[#Totals],[Winning Candidate]]-SamplingData[[#Totals],[Candidate 6]]), 0)</f>
        <v>0</v>
      </c>
      <c r="V835" s="99">
        <f>IF(AND(SamplingData[[#This Row],[Total]]&lt;&gt; 0, NOT(ISBLANK(SamplingData[[#This Row],[Candidate 7]]))),(SamplingData[[#This Row],[Total]]+SamplingData[[#This Row],[Winning Candidate]]-SamplingData[[#This Row],[Candidate 7]])/(SamplingData[[#Totals],[Winning Candidate]]-SamplingData[[#Totals],[Candidate 7]]), 0)</f>
        <v>0</v>
      </c>
      <c r="W835" s="99">
        <f>IF(AND(SamplingData[[#This Row],[Total]]&lt;&gt; 0, NOT(ISBLANK(SamplingData[[#This Row],[Candidate 8]]))),(SamplingData[[#This Row],[Total]]+SamplingData[[#This Row],[Winning Candidate]]-SamplingData[[#This Row],[Candidate 8]])/(SamplingData[[#Totals],[Winning Candidate]]-SamplingData[[#Totals],[Candidate 8]]), 0)</f>
        <v>0</v>
      </c>
      <c r="X8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5" s="99">
        <f>MAX(SamplingData[[#This Row],[Error Bound (up) - Max. possible relative overstatement - Losing Candidate]:[Error Bound (up) - Max. possible relative overstatement - Candidate 12]])</f>
        <v>2.461381768799864E-2</v>
      </c>
      <c r="AC835" s="99">
        <f>IF(SamplingData[[#This Row],[Max Error Bound (up)]] = 0,0,SamplingData[[#This Row],[Max Error Bound (up)]]/SamplingData[[#Totals],[Max Error Bound (up)]])</f>
        <v>1.3178463663794686E-3</v>
      </c>
      <c r="AD835" s="103">
        <f>SUM($AC$5:AC835)</f>
        <v>0.75073390409714058</v>
      </c>
      <c r="AE835" s="99" t="str" cm="1">
        <f t="array" ref="AE835">IF(SamplingData[[#This Row],[up/U Selection Probability]] = 0, "Zero", TEXT(SamplingData[[#This Row],[Lower Range]], REPT("0",LEN('General Info'!$B$42))) &amp; " - " &amp; TEXT(SamplingData[[#This Row],[Upper Range]], REPT("0",LEN('General Info'!$B$42))))</f>
        <v>749416 - 750733</v>
      </c>
      <c r="AF835" s="99">
        <f>SamplingData[[#This Row],[Upper Range]]-SamplingData[[#This Row],[Span]]</f>
        <v>749416.05773076101</v>
      </c>
      <c r="AG835" s="99">
        <f>IF(ISNUMBER('General Info'!$B$42), ((SamplingData[[#This Row],[up/U Selection Probability]]) * 'General Info'!$B$44) - 1, 0)</f>
        <v>1316.8463663794685</v>
      </c>
      <c r="AH835" s="99">
        <f>IF(ISNUMBER('General Info'!$B$42), (SamplingData[[#This Row],[Running (cumulative) sum]] * ('General Info'!$B$42 -'General Info'!$B$43 + 1)) + 'General Info'!$B$43 - 1, 0)</f>
        <v>750732.90409714053</v>
      </c>
      <c r="AI835" s="99" t="str">
        <f>IF(ISERROR(MATCH(SamplingData[[#This Row],[Batch by Type (p)]],SelectedPrecincts[Batch Name], 0)), "", INDEX(SelectedPrecincts[Draw], MATCH(SamplingData[[#This Row],[Batch by Type (p)]],SelectedPrecincts[Batch Name], 0)))</f>
        <v/>
      </c>
      <c r="AJ835" s="100">
        <f>IF(COUNTIF(SelectedPrecincts[Batch Name],SamplingData[[#This Row],[Batch by Type (p)]]) &lt;&gt; 0, COUNTIF(SelectedPrecincts[Batch Name],SamplingData[[#This Row],[Batch by Type (p)]]), 0)</f>
        <v>0</v>
      </c>
    </row>
    <row r="836" spans="1:36" ht="15" customHeight="1" x14ac:dyDescent="0.35">
      <c r="A836" s="97" t="s">
        <v>1049</v>
      </c>
      <c r="B836" s="97">
        <v>163</v>
      </c>
      <c r="C836" s="97">
        <v>64</v>
      </c>
      <c r="D836" s="92"/>
      <c r="E836" s="92"/>
      <c r="F836" s="92"/>
      <c r="G836" s="96"/>
      <c r="H836" s="96"/>
      <c r="I836" s="92"/>
      <c r="J836" s="92"/>
      <c r="K836" s="92"/>
      <c r="L836" s="92"/>
      <c r="M836" s="92"/>
      <c r="N836" s="97">
        <v>0</v>
      </c>
      <c r="O836" s="97">
        <v>23</v>
      </c>
      <c r="P836" s="98">
        <f>SUM(SamplingData[[#This Row],[Winning Candidate]:[Under Votes]])</f>
        <v>250</v>
      </c>
      <c r="Q836" s="99">
        <f>IF(AND(SamplingData[[#This Row],[Total]]&lt;&gt; 0, NOT(ISBLANK(SamplingData[[#This Row],[Losing Candidate]]))),(SamplingData[[#This Row],[Total]]+SamplingData[[#This Row],[Winning Candidate]]-SamplingData[[#This Row],[Losing Candidate]])/(SamplingData[[#Totals],[Winning Candidate]]-SamplingData[[#Totals],[Losing Candidate]]), 0)</f>
        <v>1.4810728229502631E-2</v>
      </c>
      <c r="R836" s="99">
        <f>IF(AND(SamplingData[[#This Row],[Total]]&lt;&gt; 0, NOT(ISBLANK(SamplingData[[#This Row],[Candidate 3]]))),(SamplingData[[#This Row],[Total]]+SamplingData[[#This Row],[Winning Candidate]]-SamplingData[[#This Row],[Candidate 3]])/(SamplingData[[#Totals],[Winning Candidate]]-SamplingData[[#Totals],[Candidate 3]]), 0)</f>
        <v>0</v>
      </c>
      <c r="S836" s="99">
        <f>IF(AND(SamplingData[[#This Row],[Total]]&lt;&gt; 0, NOT(ISBLANK(SamplingData[[#This Row],[Candidate 4]]))),(SamplingData[[#This Row],[Total]]+SamplingData[[#This Row],[Winning Candidate]]-SamplingData[[#This Row],[Candidate 4]])/(SamplingData[[#Totals],[Winning Candidate]]-SamplingData[[#Totals],[Candidate 4]]), 0)</f>
        <v>0</v>
      </c>
      <c r="T836" s="99">
        <f>IF(AND(SamplingData[[#This Row],[Total]]&lt;&gt; 0, NOT(ISBLANK(SamplingData[[#This Row],[Candidate 5]]))),(SamplingData[[#This Row],[Total]]+SamplingData[[#This Row],[Winning Candidate]]-SamplingData[[#This Row],[Candidate 5]])/(SamplingData[[#Totals],[Winning Candidate]]-SamplingData[[#Totals],[Candidate 5]]), 0)</f>
        <v>0</v>
      </c>
      <c r="U836" s="99">
        <f>IF(AND(SamplingData[[#This Row],[Total]]&lt;&gt; 0, NOT(ISBLANK(SamplingData[[#This Row],[Candidate 6]]))),(SamplingData[[#This Row],[Total]]+SamplingData[[#This Row],[Losing Candidate]]-SamplingData[[#This Row],[Candidate 6]])/(SamplingData[[#Totals],[Winning Candidate]]-SamplingData[[#Totals],[Candidate 6]]), 0)</f>
        <v>0</v>
      </c>
      <c r="V836" s="99">
        <f>IF(AND(SamplingData[[#This Row],[Total]]&lt;&gt; 0, NOT(ISBLANK(SamplingData[[#This Row],[Candidate 7]]))),(SamplingData[[#This Row],[Total]]+SamplingData[[#This Row],[Winning Candidate]]-SamplingData[[#This Row],[Candidate 7]])/(SamplingData[[#Totals],[Winning Candidate]]-SamplingData[[#Totals],[Candidate 7]]), 0)</f>
        <v>0</v>
      </c>
      <c r="W836" s="99">
        <f>IF(AND(SamplingData[[#This Row],[Total]]&lt;&gt; 0, NOT(ISBLANK(SamplingData[[#This Row],[Candidate 8]]))),(SamplingData[[#This Row],[Total]]+SamplingData[[#This Row],[Winning Candidate]]-SamplingData[[#This Row],[Candidate 8]])/(SamplingData[[#Totals],[Winning Candidate]]-SamplingData[[#Totals],[Candidate 8]]), 0)</f>
        <v>0</v>
      </c>
      <c r="X8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6" s="99">
        <f>MAX(SamplingData[[#This Row],[Error Bound (up) - Max. possible relative overstatement - Losing Candidate]:[Error Bound (up) - Max. possible relative overstatement - Candidate 12]])</f>
        <v>1.4810728229502631E-2</v>
      </c>
      <c r="AC836" s="99">
        <f>IF(SamplingData[[#This Row],[Max Error Bound (up)]] = 0,0,SamplingData[[#This Row],[Max Error Bound (up)]]/SamplingData[[#Totals],[Max Error Bound (up)]])</f>
        <v>7.9297996873523209E-4</v>
      </c>
      <c r="AD836" s="103">
        <f>SUM($AC$5:AC836)</f>
        <v>0.75152688406587587</v>
      </c>
      <c r="AE836" s="99" t="str" cm="1">
        <f t="array" ref="AE836">IF(SamplingData[[#This Row],[up/U Selection Probability]] = 0, "Zero", TEXT(SamplingData[[#This Row],[Lower Range]], REPT("0",LEN('General Info'!$B$42))) &amp; " - " &amp; TEXT(SamplingData[[#This Row],[Upper Range]], REPT("0",LEN('General Info'!$B$42))))</f>
        <v>750734 - 751526</v>
      </c>
      <c r="AF836" s="99">
        <f>SamplingData[[#This Row],[Upper Range]]-SamplingData[[#This Row],[Span]]</f>
        <v>750733.90409714065</v>
      </c>
      <c r="AG836" s="99">
        <f>IF(ISNUMBER('General Info'!$B$42), ((SamplingData[[#This Row],[up/U Selection Probability]]) * 'General Info'!$B$44) - 1, 0)</f>
        <v>791.97996873523209</v>
      </c>
      <c r="AH836" s="99">
        <f>IF(ISNUMBER('General Info'!$B$42), (SamplingData[[#This Row],[Running (cumulative) sum]] * ('General Info'!$B$42 -'General Info'!$B$43 + 1)) + 'General Info'!$B$43 - 1, 0)</f>
        <v>751525.8840658759</v>
      </c>
      <c r="AI836" s="99" t="str">
        <f>IF(ISERROR(MATCH(SamplingData[[#This Row],[Batch by Type (p)]],SelectedPrecincts[Batch Name], 0)), "", INDEX(SelectedPrecincts[Draw], MATCH(SamplingData[[#This Row],[Batch by Type (p)]],SelectedPrecincts[Batch Name], 0)))</f>
        <v/>
      </c>
      <c r="AJ836" s="100">
        <f>IF(COUNTIF(SelectedPrecincts[Batch Name],SamplingData[[#This Row],[Batch by Type (p)]]) &lt;&gt; 0, COUNTIF(SelectedPrecincts[Batch Name],SamplingData[[#This Row],[Batch by Type (p)]]), 0)</f>
        <v>0</v>
      </c>
    </row>
    <row r="837" spans="1:36" ht="15" customHeight="1" x14ac:dyDescent="0.35">
      <c r="A837" s="97" t="s">
        <v>1050</v>
      </c>
      <c r="B837" s="97">
        <v>245</v>
      </c>
      <c r="C837" s="97">
        <v>42</v>
      </c>
      <c r="D837" s="92"/>
      <c r="E837" s="92"/>
      <c r="F837" s="92"/>
      <c r="G837" s="96"/>
      <c r="H837" s="96"/>
      <c r="I837" s="92"/>
      <c r="J837" s="92"/>
      <c r="K837" s="92"/>
      <c r="L837" s="92"/>
      <c r="M837" s="92"/>
      <c r="N837" s="97">
        <v>0</v>
      </c>
      <c r="O837" s="97">
        <v>12</v>
      </c>
      <c r="P837" s="98">
        <f>SUM(SamplingData[[#This Row],[Winning Candidate]:[Under Votes]])</f>
        <v>299</v>
      </c>
      <c r="Q837" s="99">
        <f>IF(AND(SamplingData[[#This Row],[Total]]&lt;&gt; 0, NOT(ISBLANK(SamplingData[[#This Row],[Losing Candidate]]))),(SamplingData[[#This Row],[Total]]+SamplingData[[#This Row],[Winning Candidate]]-SamplingData[[#This Row],[Losing Candidate]])/(SamplingData[[#Totals],[Winning Candidate]]-SamplingData[[#Totals],[Losing Candidate]]), 0)</f>
        <v>2.1303683585129858E-2</v>
      </c>
      <c r="R837" s="99">
        <f>IF(AND(SamplingData[[#This Row],[Total]]&lt;&gt; 0, NOT(ISBLANK(SamplingData[[#This Row],[Candidate 3]]))),(SamplingData[[#This Row],[Total]]+SamplingData[[#This Row],[Winning Candidate]]-SamplingData[[#This Row],[Candidate 3]])/(SamplingData[[#Totals],[Winning Candidate]]-SamplingData[[#Totals],[Candidate 3]]), 0)</f>
        <v>0</v>
      </c>
      <c r="S837" s="99">
        <f>IF(AND(SamplingData[[#This Row],[Total]]&lt;&gt; 0, NOT(ISBLANK(SamplingData[[#This Row],[Candidate 4]]))),(SamplingData[[#This Row],[Total]]+SamplingData[[#This Row],[Winning Candidate]]-SamplingData[[#This Row],[Candidate 4]])/(SamplingData[[#Totals],[Winning Candidate]]-SamplingData[[#Totals],[Candidate 4]]), 0)</f>
        <v>0</v>
      </c>
      <c r="T837" s="99">
        <f>IF(AND(SamplingData[[#This Row],[Total]]&lt;&gt; 0, NOT(ISBLANK(SamplingData[[#This Row],[Candidate 5]]))),(SamplingData[[#This Row],[Total]]+SamplingData[[#This Row],[Winning Candidate]]-SamplingData[[#This Row],[Candidate 5]])/(SamplingData[[#Totals],[Winning Candidate]]-SamplingData[[#Totals],[Candidate 5]]), 0)</f>
        <v>0</v>
      </c>
      <c r="U837" s="99">
        <f>IF(AND(SamplingData[[#This Row],[Total]]&lt;&gt; 0, NOT(ISBLANK(SamplingData[[#This Row],[Candidate 6]]))),(SamplingData[[#This Row],[Total]]+SamplingData[[#This Row],[Losing Candidate]]-SamplingData[[#This Row],[Candidate 6]])/(SamplingData[[#Totals],[Winning Candidate]]-SamplingData[[#Totals],[Candidate 6]]), 0)</f>
        <v>0</v>
      </c>
      <c r="V837" s="99">
        <f>IF(AND(SamplingData[[#This Row],[Total]]&lt;&gt; 0, NOT(ISBLANK(SamplingData[[#This Row],[Candidate 7]]))),(SamplingData[[#This Row],[Total]]+SamplingData[[#This Row],[Winning Candidate]]-SamplingData[[#This Row],[Candidate 7]])/(SamplingData[[#Totals],[Winning Candidate]]-SamplingData[[#Totals],[Candidate 7]]), 0)</f>
        <v>0</v>
      </c>
      <c r="W837" s="99">
        <f>IF(AND(SamplingData[[#This Row],[Total]]&lt;&gt; 0, NOT(ISBLANK(SamplingData[[#This Row],[Candidate 8]]))),(SamplingData[[#This Row],[Total]]+SamplingData[[#This Row],[Winning Candidate]]-SamplingData[[#This Row],[Candidate 8]])/(SamplingData[[#Totals],[Winning Candidate]]-SamplingData[[#Totals],[Candidate 8]]), 0)</f>
        <v>0</v>
      </c>
      <c r="X8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7" s="99">
        <f>MAX(SamplingData[[#This Row],[Error Bound (up) - Max. possible relative overstatement - Losing Candidate]:[Error Bound (up) - Max. possible relative overstatement - Candidate 12]])</f>
        <v>2.1303683585129858E-2</v>
      </c>
      <c r="AC837" s="99">
        <f>IF(SamplingData[[#This Row],[Max Error Bound (up)]] = 0,0,SamplingData[[#This Row],[Max Error Bound (up)]]/SamplingData[[#Totals],[Max Error Bound (up)]])</f>
        <v>1.1406187515905057E-3</v>
      </c>
      <c r="AD837" s="103">
        <f>SUM($AC$5:AC837)</f>
        <v>0.75266750281746642</v>
      </c>
      <c r="AE837" s="99" t="str" cm="1">
        <f t="array" ref="AE837">IF(SamplingData[[#This Row],[up/U Selection Probability]] = 0, "Zero", TEXT(SamplingData[[#This Row],[Lower Range]], REPT("0",LEN('General Info'!$B$42))) &amp; " - " &amp; TEXT(SamplingData[[#This Row],[Upper Range]], REPT("0",LEN('General Info'!$B$42))))</f>
        <v>751527 - 752667</v>
      </c>
      <c r="AF837" s="99">
        <f>SamplingData[[#This Row],[Upper Range]]-SamplingData[[#This Row],[Span]]</f>
        <v>751526.8840658759</v>
      </c>
      <c r="AG837" s="99">
        <f>IF(ISNUMBER('General Info'!$B$42), ((SamplingData[[#This Row],[up/U Selection Probability]]) * 'General Info'!$B$44) - 1, 0)</f>
        <v>1139.6187515905058</v>
      </c>
      <c r="AH837" s="99">
        <f>IF(ISNUMBER('General Info'!$B$42), (SamplingData[[#This Row],[Running (cumulative) sum]] * ('General Info'!$B$42 -'General Info'!$B$43 + 1)) + 'General Info'!$B$43 - 1, 0)</f>
        <v>752666.50281746639</v>
      </c>
      <c r="AI837" s="99" t="str">
        <f>IF(ISERROR(MATCH(SamplingData[[#This Row],[Batch by Type (p)]],SelectedPrecincts[Batch Name], 0)), "", INDEX(SelectedPrecincts[Draw], MATCH(SamplingData[[#This Row],[Batch by Type (p)]],SelectedPrecincts[Batch Name], 0)))</f>
        <v/>
      </c>
      <c r="AJ837" s="100">
        <f>IF(COUNTIF(SelectedPrecincts[Batch Name],SamplingData[[#This Row],[Batch by Type (p)]]) &lt;&gt; 0, COUNTIF(SelectedPrecincts[Batch Name],SamplingData[[#This Row],[Batch by Type (p)]]), 0)</f>
        <v>0</v>
      </c>
    </row>
    <row r="838" spans="1:36" ht="15" customHeight="1" x14ac:dyDescent="0.35">
      <c r="A838" s="97" t="s">
        <v>1051</v>
      </c>
      <c r="B838" s="97">
        <v>121</v>
      </c>
      <c r="C838" s="97">
        <v>68</v>
      </c>
      <c r="D838" s="92"/>
      <c r="E838" s="92"/>
      <c r="F838" s="92"/>
      <c r="G838" s="96"/>
      <c r="H838" s="96"/>
      <c r="I838" s="92"/>
      <c r="J838" s="92"/>
      <c r="K838" s="92"/>
      <c r="L838" s="92"/>
      <c r="M838" s="92"/>
      <c r="N838" s="97">
        <v>0</v>
      </c>
      <c r="O838" s="97">
        <v>21</v>
      </c>
      <c r="P838" s="98">
        <f>SUM(SamplingData[[#This Row],[Winning Candidate]:[Under Votes]])</f>
        <v>210</v>
      </c>
      <c r="Q838" s="99">
        <f>IF(AND(SamplingData[[#This Row],[Total]]&lt;&gt; 0, NOT(ISBLANK(SamplingData[[#This Row],[Losing Candidate]]))),(SamplingData[[#This Row],[Total]]+SamplingData[[#This Row],[Winning Candidate]]-SamplingData[[#This Row],[Losing Candidate]])/(SamplingData[[#Totals],[Winning Candidate]]-SamplingData[[#Totals],[Losing Candidate]]), 0)</f>
        <v>1.1161093193006281E-2</v>
      </c>
      <c r="R838" s="99">
        <f>IF(AND(SamplingData[[#This Row],[Total]]&lt;&gt; 0, NOT(ISBLANK(SamplingData[[#This Row],[Candidate 3]]))),(SamplingData[[#This Row],[Total]]+SamplingData[[#This Row],[Winning Candidate]]-SamplingData[[#This Row],[Candidate 3]])/(SamplingData[[#Totals],[Winning Candidate]]-SamplingData[[#Totals],[Candidate 3]]), 0)</f>
        <v>0</v>
      </c>
      <c r="S838" s="99">
        <f>IF(AND(SamplingData[[#This Row],[Total]]&lt;&gt; 0, NOT(ISBLANK(SamplingData[[#This Row],[Candidate 4]]))),(SamplingData[[#This Row],[Total]]+SamplingData[[#This Row],[Winning Candidate]]-SamplingData[[#This Row],[Candidate 4]])/(SamplingData[[#Totals],[Winning Candidate]]-SamplingData[[#Totals],[Candidate 4]]), 0)</f>
        <v>0</v>
      </c>
      <c r="T838" s="99">
        <f>IF(AND(SamplingData[[#This Row],[Total]]&lt;&gt; 0, NOT(ISBLANK(SamplingData[[#This Row],[Candidate 5]]))),(SamplingData[[#This Row],[Total]]+SamplingData[[#This Row],[Winning Candidate]]-SamplingData[[#This Row],[Candidate 5]])/(SamplingData[[#Totals],[Winning Candidate]]-SamplingData[[#Totals],[Candidate 5]]), 0)</f>
        <v>0</v>
      </c>
      <c r="U838" s="99">
        <f>IF(AND(SamplingData[[#This Row],[Total]]&lt;&gt; 0, NOT(ISBLANK(SamplingData[[#This Row],[Candidate 6]]))),(SamplingData[[#This Row],[Total]]+SamplingData[[#This Row],[Losing Candidate]]-SamplingData[[#This Row],[Candidate 6]])/(SamplingData[[#Totals],[Winning Candidate]]-SamplingData[[#Totals],[Candidate 6]]), 0)</f>
        <v>0</v>
      </c>
      <c r="V838" s="99">
        <f>IF(AND(SamplingData[[#This Row],[Total]]&lt;&gt; 0, NOT(ISBLANK(SamplingData[[#This Row],[Candidate 7]]))),(SamplingData[[#This Row],[Total]]+SamplingData[[#This Row],[Winning Candidate]]-SamplingData[[#This Row],[Candidate 7]])/(SamplingData[[#Totals],[Winning Candidate]]-SamplingData[[#Totals],[Candidate 7]]), 0)</f>
        <v>0</v>
      </c>
      <c r="W838" s="99">
        <f>IF(AND(SamplingData[[#This Row],[Total]]&lt;&gt; 0, NOT(ISBLANK(SamplingData[[#This Row],[Candidate 8]]))),(SamplingData[[#This Row],[Total]]+SamplingData[[#This Row],[Winning Candidate]]-SamplingData[[#This Row],[Candidate 8]])/(SamplingData[[#Totals],[Winning Candidate]]-SamplingData[[#Totals],[Candidate 8]]), 0)</f>
        <v>0</v>
      </c>
      <c r="X8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8" s="99">
        <f>MAX(SamplingData[[#This Row],[Error Bound (up) - Max. possible relative overstatement - Losing Candidate]:[Error Bound (up) - Max. possible relative overstatement - Candidate 12]])</f>
        <v>1.1161093193006281E-2</v>
      </c>
      <c r="AC838" s="99">
        <f>IF(SamplingData[[#This Row],[Max Error Bound (up)]] = 0,0,SamplingData[[#This Row],[Max Error Bound (up)]]/SamplingData[[#Totals],[Max Error Bound (up)]])</f>
        <v>5.9757516268586254E-4</v>
      </c>
      <c r="AD838" s="103">
        <f>SUM($AC$5:AC838)</f>
        <v>0.7532650779801523</v>
      </c>
      <c r="AE838" s="99" t="str" cm="1">
        <f t="array" ref="AE838">IF(SamplingData[[#This Row],[up/U Selection Probability]] = 0, "Zero", TEXT(SamplingData[[#This Row],[Lower Range]], REPT("0",LEN('General Info'!$B$42))) &amp; " - " &amp; TEXT(SamplingData[[#This Row],[Upper Range]], REPT("0",LEN('General Info'!$B$42))))</f>
        <v>752668 - 753264</v>
      </c>
      <c r="AF838" s="99">
        <f>SamplingData[[#This Row],[Upper Range]]-SamplingData[[#This Row],[Span]]</f>
        <v>752667.50281746651</v>
      </c>
      <c r="AG838" s="99">
        <f>IF(ISNUMBER('General Info'!$B$42), ((SamplingData[[#This Row],[up/U Selection Probability]]) * 'General Info'!$B$44) - 1, 0)</f>
        <v>596.57516268586255</v>
      </c>
      <c r="AH838" s="99">
        <f>IF(ISNUMBER('General Info'!$B$42), (SamplingData[[#This Row],[Running (cumulative) sum]] * ('General Info'!$B$42 -'General Info'!$B$43 + 1)) + 'General Info'!$B$43 - 1, 0)</f>
        <v>753264.07798015233</v>
      </c>
      <c r="AI838" s="99" t="str">
        <f>IF(ISERROR(MATCH(SamplingData[[#This Row],[Batch by Type (p)]],SelectedPrecincts[Batch Name], 0)), "", INDEX(SelectedPrecincts[Draw], MATCH(SamplingData[[#This Row],[Batch by Type (p)]],SelectedPrecincts[Batch Name], 0)))</f>
        <v/>
      </c>
      <c r="AJ838" s="100">
        <f>IF(COUNTIF(SelectedPrecincts[Batch Name],SamplingData[[#This Row],[Batch by Type (p)]]) &lt;&gt; 0, COUNTIF(SelectedPrecincts[Batch Name],SamplingData[[#This Row],[Batch by Type (p)]]), 0)</f>
        <v>0</v>
      </c>
    </row>
    <row r="839" spans="1:36" ht="15" customHeight="1" x14ac:dyDescent="0.35">
      <c r="A839" s="97" t="s">
        <v>1052</v>
      </c>
      <c r="B839" s="97">
        <v>146</v>
      </c>
      <c r="C839" s="97">
        <v>163</v>
      </c>
      <c r="D839" s="92"/>
      <c r="E839" s="92"/>
      <c r="F839" s="92"/>
      <c r="G839" s="96"/>
      <c r="H839" s="96"/>
      <c r="I839" s="92"/>
      <c r="J839" s="92"/>
      <c r="K839" s="92"/>
      <c r="L839" s="92"/>
      <c r="M839" s="92"/>
      <c r="N839" s="97">
        <v>0</v>
      </c>
      <c r="O839" s="97">
        <v>26</v>
      </c>
      <c r="P839" s="98">
        <f>SUM(SamplingData[[#This Row],[Winning Candidate]:[Under Votes]])</f>
        <v>335</v>
      </c>
      <c r="Q839" s="99">
        <f>IF(AND(SamplingData[[#This Row],[Total]]&lt;&gt; 0, NOT(ISBLANK(SamplingData[[#This Row],[Losing Candidate]]))),(SamplingData[[#This Row],[Total]]+SamplingData[[#This Row],[Winning Candidate]]-SamplingData[[#This Row],[Losing Candidate]])/(SamplingData[[#Totals],[Winning Candidate]]-SamplingData[[#Totals],[Losing Candidate]]), 0)</f>
        <v>1.3495162111695807E-2</v>
      </c>
      <c r="R839" s="99">
        <f>IF(AND(SamplingData[[#This Row],[Total]]&lt;&gt; 0, NOT(ISBLANK(SamplingData[[#This Row],[Candidate 3]]))),(SamplingData[[#This Row],[Total]]+SamplingData[[#This Row],[Winning Candidate]]-SamplingData[[#This Row],[Candidate 3]])/(SamplingData[[#Totals],[Winning Candidate]]-SamplingData[[#Totals],[Candidate 3]]), 0)</f>
        <v>0</v>
      </c>
      <c r="S839" s="99">
        <f>IF(AND(SamplingData[[#This Row],[Total]]&lt;&gt; 0, NOT(ISBLANK(SamplingData[[#This Row],[Candidate 4]]))),(SamplingData[[#This Row],[Total]]+SamplingData[[#This Row],[Winning Candidate]]-SamplingData[[#This Row],[Candidate 4]])/(SamplingData[[#Totals],[Winning Candidate]]-SamplingData[[#Totals],[Candidate 4]]), 0)</f>
        <v>0</v>
      </c>
      <c r="T839" s="99">
        <f>IF(AND(SamplingData[[#This Row],[Total]]&lt;&gt; 0, NOT(ISBLANK(SamplingData[[#This Row],[Candidate 5]]))),(SamplingData[[#This Row],[Total]]+SamplingData[[#This Row],[Winning Candidate]]-SamplingData[[#This Row],[Candidate 5]])/(SamplingData[[#Totals],[Winning Candidate]]-SamplingData[[#Totals],[Candidate 5]]), 0)</f>
        <v>0</v>
      </c>
      <c r="U839" s="99">
        <f>IF(AND(SamplingData[[#This Row],[Total]]&lt;&gt; 0, NOT(ISBLANK(SamplingData[[#This Row],[Candidate 6]]))),(SamplingData[[#This Row],[Total]]+SamplingData[[#This Row],[Losing Candidate]]-SamplingData[[#This Row],[Candidate 6]])/(SamplingData[[#Totals],[Winning Candidate]]-SamplingData[[#Totals],[Candidate 6]]), 0)</f>
        <v>0</v>
      </c>
      <c r="V839" s="99">
        <f>IF(AND(SamplingData[[#This Row],[Total]]&lt;&gt; 0, NOT(ISBLANK(SamplingData[[#This Row],[Candidate 7]]))),(SamplingData[[#This Row],[Total]]+SamplingData[[#This Row],[Winning Candidate]]-SamplingData[[#This Row],[Candidate 7]])/(SamplingData[[#Totals],[Winning Candidate]]-SamplingData[[#Totals],[Candidate 7]]), 0)</f>
        <v>0</v>
      </c>
      <c r="W839" s="99">
        <f>IF(AND(SamplingData[[#This Row],[Total]]&lt;&gt; 0, NOT(ISBLANK(SamplingData[[#This Row],[Candidate 8]]))),(SamplingData[[#This Row],[Total]]+SamplingData[[#This Row],[Winning Candidate]]-SamplingData[[#This Row],[Candidate 8]])/(SamplingData[[#Totals],[Winning Candidate]]-SamplingData[[#Totals],[Candidate 8]]), 0)</f>
        <v>0</v>
      </c>
      <c r="X8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9" s="99">
        <f>MAX(SamplingData[[#This Row],[Error Bound (up) - Max. possible relative overstatement - Losing Candidate]:[Error Bound (up) - Max. possible relative overstatement - Candidate 12]])</f>
        <v>1.3495162111695807E-2</v>
      </c>
      <c r="AC839" s="99">
        <f>IF(SamplingData[[#This Row],[Max Error Bound (up)]] = 0,0,SamplingData[[#This Row],[Max Error Bound (up)]]/SamplingData[[#Totals],[Max Error Bound (up)]])</f>
        <v>7.2254335260115701E-4</v>
      </c>
      <c r="AD839" s="103">
        <f>SUM($AC$5:AC839)</f>
        <v>0.75398762133275343</v>
      </c>
      <c r="AE839" s="99" t="str" cm="1">
        <f t="array" ref="AE839">IF(SamplingData[[#This Row],[up/U Selection Probability]] = 0, "Zero", TEXT(SamplingData[[#This Row],[Lower Range]], REPT("0",LEN('General Info'!$B$42))) &amp; " - " &amp; TEXT(SamplingData[[#This Row],[Upper Range]], REPT("0",LEN('General Info'!$B$42))))</f>
        <v>753265 - 753987</v>
      </c>
      <c r="AF839" s="99">
        <f>SamplingData[[#This Row],[Upper Range]]-SamplingData[[#This Row],[Span]]</f>
        <v>753265.07798015233</v>
      </c>
      <c r="AG839" s="99">
        <f>IF(ISNUMBER('General Info'!$B$42), ((SamplingData[[#This Row],[up/U Selection Probability]]) * 'General Info'!$B$44) - 1, 0)</f>
        <v>721.54335260115704</v>
      </c>
      <c r="AH839" s="99">
        <f>IF(ISNUMBER('General Info'!$B$42), (SamplingData[[#This Row],[Running (cumulative) sum]] * ('General Info'!$B$42 -'General Info'!$B$43 + 1)) + 'General Info'!$B$43 - 1, 0)</f>
        <v>753986.62133275345</v>
      </c>
      <c r="AI839" s="99" t="str">
        <f>IF(ISERROR(MATCH(SamplingData[[#This Row],[Batch by Type (p)]],SelectedPrecincts[Batch Name], 0)), "", INDEX(SelectedPrecincts[Draw], MATCH(SamplingData[[#This Row],[Batch by Type (p)]],SelectedPrecincts[Batch Name], 0)))</f>
        <v/>
      </c>
      <c r="AJ839" s="100">
        <f>IF(COUNTIF(SelectedPrecincts[Batch Name],SamplingData[[#This Row],[Batch by Type (p)]]) &lt;&gt; 0, COUNTIF(SelectedPrecincts[Batch Name],SamplingData[[#This Row],[Batch by Type (p)]]), 0)</f>
        <v>0</v>
      </c>
    </row>
    <row r="840" spans="1:36" ht="15" customHeight="1" x14ac:dyDescent="0.35">
      <c r="A840" s="97" t="s">
        <v>1053</v>
      </c>
      <c r="B840" s="97">
        <v>186</v>
      </c>
      <c r="C840" s="97">
        <v>160</v>
      </c>
      <c r="D840" s="92"/>
      <c r="E840" s="92"/>
      <c r="F840" s="92"/>
      <c r="G840" s="96"/>
      <c r="H840" s="96"/>
      <c r="I840" s="92"/>
      <c r="J840" s="92"/>
      <c r="K840" s="92"/>
      <c r="L840" s="92"/>
      <c r="M840" s="92"/>
      <c r="N840" s="97">
        <v>0</v>
      </c>
      <c r="O840" s="97">
        <v>35</v>
      </c>
      <c r="P840" s="98">
        <f>SUM(SamplingData[[#This Row],[Winning Candidate]:[Under Votes]])</f>
        <v>381</v>
      </c>
      <c r="Q840" s="99">
        <f>IF(AND(SamplingData[[#This Row],[Total]]&lt;&gt; 0, NOT(ISBLANK(SamplingData[[#This Row],[Losing Candidate]]))),(SamplingData[[#This Row],[Total]]+SamplingData[[#This Row],[Winning Candidate]]-SamplingData[[#This Row],[Losing Candidate]])/(SamplingData[[#Totals],[Winning Candidate]]-SamplingData[[#Totals],[Losing Candidate]]), 0)</f>
        <v>1.7272109998302497E-2</v>
      </c>
      <c r="R840" s="99">
        <f>IF(AND(SamplingData[[#This Row],[Total]]&lt;&gt; 0, NOT(ISBLANK(SamplingData[[#This Row],[Candidate 3]]))),(SamplingData[[#This Row],[Total]]+SamplingData[[#This Row],[Winning Candidate]]-SamplingData[[#This Row],[Candidate 3]])/(SamplingData[[#Totals],[Winning Candidate]]-SamplingData[[#Totals],[Candidate 3]]), 0)</f>
        <v>0</v>
      </c>
      <c r="S840" s="99">
        <f>IF(AND(SamplingData[[#This Row],[Total]]&lt;&gt; 0, NOT(ISBLANK(SamplingData[[#This Row],[Candidate 4]]))),(SamplingData[[#This Row],[Total]]+SamplingData[[#This Row],[Winning Candidate]]-SamplingData[[#This Row],[Candidate 4]])/(SamplingData[[#Totals],[Winning Candidate]]-SamplingData[[#Totals],[Candidate 4]]), 0)</f>
        <v>0</v>
      </c>
      <c r="T840" s="99">
        <f>IF(AND(SamplingData[[#This Row],[Total]]&lt;&gt; 0, NOT(ISBLANK(SamplingData[[#This Row],[Candidate 5]]))),(SamplingData[[#This Row],[Total]]+SamplingData[[#This Row],[Winning Candidate]]-SamplingData[[#This Row],[Candidate 5]])/(SamplingData[[#Totals],[Winning Candidate]]-SamplingData[[#Totals],[Candidate 5]]), 0)</f>
        <v>0</v>
      </c>
      <c r="U840" s="99">
        <f>IF(AND(SamplingData[[#This Row],[Total]]&lt;&gt; 0, NOT(ISBLANK(SamplingData[[#This Row],[Candidate 6]]))),(SamplingData[[#This Row],[Total]]+SamplingData[[#This Row],[Losing Candidate]]-SamplingData[[#This Row],[Candidate 6]])/(SamplingData[[#Totals],[Winning Candidate]]-SamplingData[[#Totals],[Candidate 6]]), 0)</f>
        <v>0</v>
      </c>
      <c r="V840" s="99">
        <f>IF(AND(SamplingData[[#This Row],[Total]]&lt;&gt; 0, NOT(ISBLANK(SamplingData[[#This Row],[Candidate 7]]))),(SamplingData[[#This Row],[Total]]+SamplingData[[#This Row],[Winning Candidate]]-SamplingData[[#This Row],[Candidate 7]])/(SamplingData[[#Totals],[Winning Candidate]]-SamplingData[[#Totals],[Candidate 7]]), 0)</f>
        <v>0</v>
      </c>
      <c r="W840" s="99">
        <f>IF(AND(SamplingData[[#This Row],[Total]]&lt;&gt; 0, NOT(ISBLANK(SamplingData[[#This Row],[Candidate 8]]))),(SamplingData[[#This Row],[Total]]+SamplingData[[#This Row],[Winning Candidate]]-SamplingData[[#This Row],[Candidate 8]])/(SamplingData[[#Totals],[Winning Candidate]]-SamplingData[[#Totals],[Candidate 8]]), 0)</f>
        <v>0</v>
      </c>
      <c r="X8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0" s="99">
        <f>MAX(SamplingData[[#This Row],[Error Bound (up) - Max. possible relative overstatement - Losing Candidate]:[Error Bound (up) - Max. possible relative overstatement - Candidate 12]])</f>
        <v>1.7272109998302497E-2</v>
      </c>
      <c r="AC840" s="99">
        <f>IF(SamplingData[[#This Row],[Max Error Bound (up)]] = 0,0,SamplingData[[#This Row],[Max Error Bound (up)]]/SamplingData[[#Totals],[Max Error Bound (up)]])</f>
        <v>9.2476460537317901E-4</v>
      </c>
      <c r="AD840" s="103">
        <f>SUM($AC$5:AC840)</f>
        <v>0.7549123859381266</v>
      </c>
      <c r="AE840" s="99" t="str" cm="1">
        <f t="array" ref="AE840">IF(SamplingData[[#This Row],[up/U Selection Probability]] = 0, "Zero", TEXT(SamplingData[[#This Row],[Lower Range]], REPT("0",LEN('General Info'!$B$42))) &amp; " - " &amp; TEXT(SamplingData[[#This Row],[Upper Range]], REPT("0",LEN('General Info'!$B$42))))</f>
        <v>753988 - 754911</v>
      </c>
      <c r="AF840" s="99">
        <f>SamplingData[[#This Row],[Upper Range]]-SamplingData[[#This Row],[Span]]</f>
        <v>753987.62133275345</v>
      </c>
      <c r="AG840" s="99">
        <f>IF(ISNUMBER('General Info'!$B$42), ((SamplingData[[#This Row],[up/U Selection Probability]]) * 'General Info'!$B$44) - 1, 0)</f>
        <v>923.76460537317905</v>
      </c>
      <c r="AH840" s="99">
        <f>IF(ISNUMBER('General Info'!$B$42), (SamplingData[[#This Row],[Running (cumulative) sum]] * ('General Info'!$B$42 -'General Info'!$B$43 + 1)) + 'General Info'!$B$43 - 1, 0)</f>
        <v>754911.38593812659</v>
      </c>
      <c r="AI840" s="99" t="str">
        <f>IF(ISERROR(MATCH(SamplingData[[#This Row],[Batch by Type (p)]],SelectedPrecincts[Batch Name], 0)), "", INDEX(SelectedPrecincts[Draw], MATCH(SamplingData[[#This Row],[Batch by Type (p)]],SelectedPrecincts[Batch Name], 0)))</f>
        <v/>
      </c>
      <c r="AJ840" s="100">
        <f>IF(COUNTIF(SelectedPrecincts[Batch Name],SamplingData[[#This Row],[Batch by Type (p)]]) &lt;&gt; 0, COUNTIF(SelectedPrecincts[Batch Name],SamplingData[[#This Row],[Batch by Type (p)]]), 0)</f>
        <v>0</v>
      </c>
    </row>
    <row r="841" spans="1:36" ht="15" customHeight="1" x14ac:dyDescent="0.35">
      <c r="A841" s="97" t="s">
        <v>1054</v>
      </c>
      <c r="B841" s="97">
        <v>157</v>
      </c>
      <c r="C841" s="97">
        <v>190</v>
      </c>
      <c r="D841" s="92"/>
      <c r="E841" s="92"/>
      <c r="F841" s="92"/>
      <c r="G841" s="96"/>
      <c r="H841" s="96"/>
      <c r="I841" s="92"/>
      <c r="J841" s="92"/>
      <c r="K841" s="92"/>
      <c r="L841" s="92"/>
      <c r="M841" s="92"/>
      <c r="N841" s="97">
        <v>0</v>
      </c>
      <c r="O841" s="97">
        <v>38</v>
      </c>
      <c r="P841" s="98">
        <f>SUM(SamplingData[[#This Row],[Winning Candidate]:[Under Votes]])</f>
        <v>385</v>
      </c>
      <c r="Q841" s="99">
        <f>IF(AND(SamplingData[[#This Row],[Total]]&lt;&gt; 0, NOT(ISBLANK(SamplingData[[#This Row],[Losing Candidate]]))),(SamplingData[[#This Row],[Total]]+SamplingData[[#This Row],[Winning Candidate]]-SamplingData[[#This Row],[Losing Candidate]])/(SamplingData[[#Totals],[Winning Candidate]]-SamplingData[[#Totals],[Losing Candidate]]), 0)</f>
        <v>1.4938041079612968E-2</v>
      </c>
      <c r="R841" s="99">
        <f>IF(AND(SamplingData[[#This Row],[Total]]&lt;&gt; 0, NOT(ISBLANK(SamplingData[[#This Row],[Candidate 3]]))),(SamplingData[[#This Row],[Total]]+SamplingData[[#This Row],[Winning Candidate]]-SamplingData[[#This Row],[Candidate 3]])/(SamplingData[[#Totals],[Winning Candidate]]-SamplingData[[#Totals],[Candidate 3]]), 0)</f>
        <v>0</v>
      </c>
      <c r="S841" s="99">
        <f>IF(AND(SamplingData[[#This Row],[Total]]&lt;&gt; 0, NOT(ISBLANK(SamplingData[[#This Row],[Candidate 4]]))),(SamplingData[[#This Row],[Total]]+SamplingData[[#This Row],[Winning Candidate]]-SamplingData[[#This Row],[Candidate 4]])/(SamplingData[[#Totals],[Winning Candidate]]-SamplingData[[#Totals],[Candidate 4]]), 0)</f>
        <v>0</v>
      </c>
      <c r="T841" s="99">
        <f>IF(AND(SamplingData[[#This Row],[Total]]&lt;&gt; 0, NOT(ISBLANK(SamplingData[[#This Row],[Candidate 5]]))),(SamplingData[[#This Row],[Total]]+SamplingData[[#This Row],[Winning Candidate]]-SamplingData[[#This Row],[Candidate 5]])/(SamplingData[[#Totals],[Winning Candidate]]-SamplingData[[#Totals],[Candidate 5]]), 0)</f>
        <v>0</v>
      </c>
      <c r="U841" s="99">
        <f>IF(AND(SamplingData[[#This Row],[Total]]&lt;&gt; 0, NOT(ISBLANK(SamplingData[[#This Row],[Candidate 6]]))),(SamplingData[[#This Row],[Total]]+SamplingData[[#This Row],[Losing Candidate]]-SamplingData[[#This Row],[Candidate 6]])/(SamplingData[[#Totals],[Winning Candidate]]-SamplingData[[#Totals],[Candidate 6]]), 0)</f>
        <v>0</v>
      </c>
      <c r="V841" s="99">
        <f>IF(AND(SamplingData[[#This Row],[Total]]&lt;&gt; 0, NOT(ISBLANK(SamplingData[[#This Row],[Candidate 7]]))),(SamplingData[[#This Row],[Total]]+SamplingData[[#This Row],[Winning Candidate]]-SamplingData[[#This Row],[Candidate 7]])/(SamplingData[[#Totals],[Winning Candidate]]-SamplingData[[#Totals],[Candidate 7]]), 0)</f>
        <v>0</v>
      </c>
      <c r="W841" s="99">
        <f>IF(AND(SamplingData[[#This Row],[Total]]&lt;&gt; 0, NOT(ISBLANK(SamplingData[[#This Row],[Candidate 8]]))),(SamplingData[[#This Row],[Total]]+SamplingData[[#This Row],[Winning Candidate]]-SamplingData[[#This Row],[Candidate 8]])/(SamplingData[[#Totals],[Winning Candidate]]-SamplingData[[#Totals],[Candidate 8]]), 0)</f>
        <v>0</v>
      </c>
      <c r="X8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1" s="99">
        <f>MAX(SamplingData[[#This Row],[Error Bound (up) - Max. possible relative overstatement - Losing Candidate]:[Error Bound (up) - Max. possible relative overstatement - Candidate 12]])</f>
        <v>1.4938041079612968E-2</v>
      </c>
      <c r="AC841" s="99">
        <f>IF(SamplingData[[#This Row],[Max Error Bound (up)]] = 0,0,SamplingData[[#This Row],[Max Error Bound (up)]]/SamplingData[[#Totals],[Max Error Bound (up)]])</f>
        <v>7.9979641545788443E-4</v>
      </c>
      <c r="AD841" s="103">
        <f>SUM($AC$5:AC841)</f>
        <v>0.75571218235358451</v>
      </c>
      <c r="AE841" s="99" t="str" cm="1">
        <f t="array" ref="AE841">IF(SamplingData[[#This Row],[up/U Selection Probability]] = 0, "Zero", TEXT(SamplingData[[#This Row],[Lower Range]], REPT("0",LEN('General Info'!$B$42))) &amp; " - " &amp; TEXT(SamplingData[[#This Row],[Upper Range]], REPT("0",LEN('General Info'!$B$42))))</f>
        <v>754912 - 755711</v>
      </c>
      <c r="AF841" s="99">
        <f>SamplingData[[#This Row],[Upper Range]]-SamplingData[[#This Row],[Span]]</f>
        <v>754912.38593812671</v>
      </c>
      <c r="AG841" s="99">
        <f>IF(ISNUMBER('General Info'!$B$42), ((SamplingData[[#This Row],[up/U Selection Probability]]) * 'General Info'!$B$44) - 1, 0)</f>
        <v>798.79641545788445</v>
      </c>
      <c r="AH841" s="99">
        <f>IF(ISNUMBER('General Info'!$B$42), (SamplingData[[#This Row],[Running (cumulative) sum]] * ('General Info'!$B$42 -'General Info'!$B$43 + 1)) + 'General Info'!$B$43 - 1, 0)</f>
        <v>755711.18235358456</v>
      </c>
      <c r="AI841" s="99" t="str">
        <f>IF(ISERROR(MATCH(SamplingData[[#This Row],[Batch by Type (p)]],SelectedPrecincts[Batch Name], 0)), "", INDEX(SelectedPrecincts[Draw], MATCH(SamplingData[[#This Row],[Batch by Type (p)]],SelectedPrecincts[Batch Name], 0)))</f>
        <v/>
      </c>
      <c r="AJ841" s="100">
        <f>IF(COUNTIF(SelectedPrecincts[Batch Name],SamplingData[[#This Row],[Batch by Type (p)]]) &lt;&gt; 0, COUNTIF(SelectedPrecincts[Batch Name],SamplingData[[#This Row],[Batch by Type (p)]]), 0)</f>
        <v>0</v>
      </c>
    </row>
    <row r="842" spans="1:36" ht="15" customHeight="1" x14ac:dyDescent="0.35">
      <c r="A842" s="97" t="s">
        <v>1055</v>
      </c>
      <c r="B842" s="97">
        <v>167</v>
      </c>
      <c r="C842" s="97">
        <v>200</v>
      </c>
      <c r="D842" s="92"/>
      <c r="E842" s="92"/>
      <c r="F842" s="92"/>
      <c r="G842" s="96"/>
      <c r="H842" s="96"/>
      <c r="I842" s="92"/>
      <c r="J842" s="92"/>
      <c r="K842" s="92"/>
      <c r="L842" s="92"/>
      <c r="M842" s="92"/>
      <c r="N842" s="97">
        <v>0</v>
      </c>
      <c r="O842" s="97">
        <v>36</v>
      </c>
      <c r="P842" s="98">
        <f>SUM(SamplingData[[#This Row],[Winning Candidate]:[Under Votes]])</f>
        <v>403</v>
      </c>
      <c r="Q842" s="99">
        <f>IF(AND(SamplingData[[#This Row],[Total]]&lt;&gt; 0, NOT(ISBLANK(SamplingData[[#This Row],[Losing Candidate]]))),(SamplingData[[#This Row],[Total]]+SamplingData[[#This Row],[Winning Candidate]]-SamplingData[[#This Row],[Losing Candidate]])/(SamplingData[[#Totals],[Winning Candidate]]-SamplingData[[#Totals],[Losing Candidate]]), 0)</f>
        <v>1.5701918180274995E-2</v>
      </c>
      <c r="R842" s="99">
        <f>IF(AND(SamplingData[[#This Row],[Total]]&lt;&gt; 0, NOT(ISBLANK(SamplingData[[#This Row],[Candidate 3]]))),(SamplingData[[#This Row],[Total]]+SamplingData[[#This Row],[Winning Candidate]]-SamplingData[[#This Row],[Candidate 3]])/(SamplingData[[#Totals],[Winning Candidate]]-SamplingData[[#Totals],[Candidate 3]]), 0)</f>
        <v>0</v>
      </c>
      <c r="S842" s="99">
        <f>IF(AND(SamplingData[[#This Row],[Total]]&lt;&gt; 0, NOT(ISBLANK(SamplingData[[#This Row],[Candidate 4]]))),(SamplingData[[#This Row],[Total]]+SamplingData[[#This Row],[Winning Candidate]]-SamplingData[[#This Row],[Candidate 4]])/(SamplingData[[#Totals],[Winning Candidate]]-SamplingData[[#Totals],[Candidate 4]]), 0)</f>
        <v>0</v>
      </c>
      <c r="T842" s="99">
        <f>IF(AND(SamplingData[[#This Row],[Total]]&lt;&gt; 0, NOT(ISBLANK(SamplingData[[#This Row],[Candidate 5]]))),(SamplingData[[#This Row],[Total]]+SamplingData[[#This Row],[Winning Candidate]]-SamplingData[[#This Row],[Candidate 5]])/(SamplingData[[#Totals],[Winning Candidate]]-SamplingData[[#Totals],[Candidate 5]]), 0)</f>
        <v>0</v>
      </c>
      <c r="U842" s="99">
        <f>IF(AND(SamplingData[[#This Row],[Total]]&lt;&gt; 0, NOT(ISBLANK(SamplingData[[#This Row],[Candidate 6]]))),(SamplingData[[#This Row],[Total]]+SamplingData[[#This Row],[Losing Candidate]]-SamplingData[[#This Row],[Candidate 6]])/(SamplingData[[#Totals],[Winning Candidate]]-SamplingData[[#Totals],[Candidate 6]]), 0)</f>
        <v>0</v>
      </c>
      <c r="V842" s="99">
        <f>IF(AND(SamplingData[[#This Row],[Total]]&lt;&gt; 0, NOT(ISBLANK(SamplingData[[#This Row],[Candidate 7]]))),(SamplingData[[#This Row],[Total]]+SamplingData[[#This Row],[Winning Candidate]]-SamplingData[[#This Row],[Candidate 7]])/(SamplingData[[#Totals],[Winning Candidate]]-SamplingData[[#Totals],[Candidate 7]]), 0)</f>
        <v>0</v>
      </c>
      <c r="W842" s="99">
        <f>IF(AND(SamplingData[[#This Row],[Total]]&lt;&gt; 0, NOT(ISBLANK(SamplingData[[#This Row],[Candidate 8]]))),(SamplingData[[#This Row],[Total]]+SamplingData[[#This Row],[Winning Candidate]]-SamplingData[[#This Row],[Candidate 8]])/(SamplingData[[#Totals],[Winning Candidate]]-SamplingData[[#Totals],[Candidate 8]]), 0)</f>
        <v>0</v>
      </c>
      <c r="X8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2" s="99">
        <f>MAX(SamplingData[[#This Row],[Error Bound (up) - Max. possible relative overstatement - Losing Candidate]:[Error Bound (up) - Max. possible relative overstatement - Candidate 12]])</f>
        <v>1.5701918180274995E-2</v>
      </c>
      <c r="AC842" s="99">
        <f>IF(SamplingData[[#This Row],[Max Error Bound (up)]] = 0,0,SamplingData[[#This Row],[Max Error Bound (up)]]/SamplingData[[#Totals],[Max Error Bound (up)]])</f>
        <v>8.4069509579379903E-4</v>
      </c>
      <c r="AD842" s="103">
        <f>SUM($AC$5:AC842)</f>
        <v>0.75655287744937827</v>
      </c>
      <c r="AE842" s="99" t="str" cm="1">
        <f t="array" ref="AE842">IF(SamplingData[[#This Row],[up/U Selection Probability]] = 0, "Zero", TEXT(SamplingData[[#This Row],[Lower Range]], REPT("0",LEN('General Info'!$B$42))) &amp; " - " &amp; TEXT(SamplingData[[#This Row],[Upper Range]], REPT("0",LEN('General Info'!$B$42))))</f>
        <v>755712 - 756552</v>
      </c>
      <c r="AF842" s="99">
        <f>SamplingData[[#This Row],[Upper Range]]-SamplingData[[#This Row],[Span]]</f>
        <v>755712.18235358445</v>
      </c>
      <c r="AG842" s="99">
        <f>IF(ISNUMBER('General Info'!$B$42), ((SamplingData[[#This Row],[up/U Selection Probability]]) * 'General Info'!$B$44) - 1, 0)</f>
        <v>839.69509579379906</v>
      </c>
      <c r="AH842" s="99">
        <f>IF(ISNUMBER('General Info'!$B$42), (SamplingData[[#This Row],[Running (cumulative) sum]] * ('General Info'!$B$42 -'General Info'!$B$43 + 1)) + 'General Info'!$B$43 - 1, 0)</f>
        <v>756551.87744937825</v>
      </c>
      <c r="AI842" s="99" t="str">
        <f>IF(ISERROR(MATCH(SamplingData[[#This Row],[Batch by Type (p)]],SelectedPrecincts[Batch Name], 0)), "", INDEX(SelectedPrecincts[Draw], MATCH(SamplingData[[#This Row],[Batch by Type (p)]],SelectedPrecincts[Batch Name], 0)))</f>
        <v/>
      </c>
      <c r="AJ842" s="100">
        <f>IF(COUNTIF(SelectedPrecincts[Batch Name],SamplingData[[#This Row],[Batch by Type (p)]]) &lt;&gt; 0, COUNTIF(SelectedPrecincts[Batch Name],SamplingData[[#This Row],[Batch by Type (p)]]), 0)</f>
        <v>0</v>
      </c>
    </row>
    <row r="843" spans="1:36" ht="15" customHeight="1" x14ac:dyDescent="0.35">
      <c r="A843" s="97" t="s">
        <v>1056</v>
      </c>
      <c r="B843" s="97">
        <v>148</v>
      </c>
      <c r="C843" s="97">
        <v>171</v>
      </c>
      <c r="D843" s="92"/>
      <c r="E843" s="92"/>
      <c r="F843" s="92"/>
      <c r="G843" s="96"/>
      <c r="H843" s="96"/>
      <c r="I843" s="92"/>
      <c r="J843" s="92"/>
      <c r="K843" s="92"/>
      <c r="L843" s="92"/>
      <c r="M843" s="92"/>
      <c r="N843" s="97">
        <v>0</v>
      </c>
      <c r="O843" s="97">
        <v>23</v>
      </c>
      <c r="P843" s="98">
        <f>SUM(SamplingData[[#This Row],[Winning Candidate]:[Under Votes]])</f>
        <v>342</v>
      </c>
      <c r="Q843" s="99">
        <f>IF(AND(SamplingData[[#This Row],[Total]]&lt;&gt; 0, NOT(ISBLANK(SamplingData[[#This Row],[Losing Candidate]]))),(SamplingData[[#This Row],[Total]]+SamplingData[[#This Row],[Winning Candidate]]-SamplingData[[#This Row],[Losing Candidate]])/(SamplingData[[#Totals],[Winning Candidate]]-SamplingData[[#Totals],[Losing Candidate]]), 0)</f>
        <v>1.3537599728399253E-2</v>
      </c>
      <c r="R843" s="99">
        <f>IF(AND(SamplingData[[#This Row],[Total]]&lt;&gt; 0, NOT(ISBLANK(SamplingData[[#This Row],[Candidate 3]]))),(SamplingData[[#This Row],[Total]]+SamplingData[[#This Row],[Winning Candidate]]-SamplingData[[#This Row],[Candidate 3]])/(SamplingData[[#Totals],[Winning Candidate]]-SamplingData[[#Totals],[Candidate 3]]), 0)</f>
        <v>0</v>
      </c>
      <c r="S843" s="99">
        <f>IF(AND(SamplingData[[#This Row],[Total]]&lt;&gt; 0, NOT(ISBLANK(SamplingData[[#This Row],[Candidate 4]]))),(SamplingData[[#This Row],[Total]]+SamplingData[[#This Row],[Winning Candidate]]-SamplingData[[#This Row],[Candidate 4]])/(SamplingData[[#Totals],[Winning Candidate]]-SamplingData[[#Totals],[Candidate 4]]), 0)</f>
        <v>0</v>
      </c>
      <c r="T843" s="99">
        <f>IF(AND(SamplingData[[#This Row],[Total]]&lt;&gt; 0, NOT(ISBLANK(SamplingData[[#This Row],[Candidate 5]]))),(SamplingData[[#This Row],[Total]]+SamplingData[[#This Row],[Winning Candidate]]-SamplingData[[#This Row],[Candidate 5]])/(SamplingData[[#Totals],[Winning Candidate]]-SamplingData[[#Totals],[Candidate 5]]), 0)</f>
        <v>0</v>
      </c>
      <c r="U843" s="99">
        <f>IF(AND(SamplingData[[#This Row],[Total]]&lt;&gt; 0, NOT(ISBLANK(SamplingData[[#This Row],[Candidate 6]]))),(SamplingData[[#This Row],[Total]]+SamplingData[[#This Row],[Losing Candidate]]-SamplingData[[#This Row],[Candidate 6]])/(SamplingData[[#Totals],[Winning Candidate]]-SamplingData[[#Totals],[Candidate 6]]), 0)</f>
        <v>0</v>
      </c>
      <c r="V843" s="99">
        <f>IF(AND(SamplingData[[#This Row],[Total]]&lt;&gt; 0, NOT(ISBLANK(SamplingData[[#This Row],[Candidate 7]]))),(SamplingData[[#This Row],[Total]]+SamplingData[[#This Row],[Winning Candidate]]-SamplingData[[#This Row],[Candidate 7]])/(SamplingData[[#Totals],[Winning Candidate]]-SamplingData[[#Totals],[Candidate 7]]), 0)</f>
        <v>0</v>
      </c>
      <c r="W843" s="99">
        <f>IF(AND(SamplingData[[#This Row],[Total]]&lt;&gt; 0, NOT(ISBLANK(SamplingData[[#This Row],[Candidate 8]]))),(SamplingData[[#This Row],[Total]]+SamplingData[[#This Row],[Winning Candidate]]-SamplingData[[#This Row],[Candidate 8]])/(SamplingData[[#Totals],[Winning Candidate]]-SamplingData[[#Totals],[Candidate 8]]), 0)</f>
        <v>0</v>
      </c>
      <c r="X8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3" s="99">
        <f>MAX(SamplingData[[#This Row],[Error Bound (up) - Max. possible relative overstatement - Losing Candidate]:[Error Bound (up) - Max. possible relative overstatement - Candidate 12]])</f>
        <v>1.3537599728399253E-2</v>
      </c>
      <c r="AC843" s="99">
        <f>IF(SamplingData[[#This Row],[Max Error Bound (up)]] = 0,0,SamplingData[[#This Row],[Max Error Bound (up)]]/SamplingData[[#Totals],[Max Error Bound (up)]])</f>
        <v>7.2481550150870779E-4</v>
      </c>
      <c r="AD843" s="103">
        <f>SUM($AC$5:AC843)</f>
        <v>0.75727769295088698</v>
      </c>
      <c r="AE843" s="99" t="str" cm="1">
        <f t="array" ref="AE843">IF(SamplingData[[#This Row],[up/U Selection Probability]] = 0, "Zero", TEXT(SamplingData[[#This Row],[Lower Range]], REPT("0",LEN('General Info'!$B$42))) &amp; " - " &amp; TEXT(SamplingData[[#This Row],[Upper Range]], REPT("0",LEN('General Info'!$B$42))))</f>
        <v>756553 - 757277</v>
      </c>
      <c r="AF843" s="99">
        <f>SamplingData[[#This Row],[Upper Range]]-SamplingData[[#This Row],[Span]]</f>
        <v>756552.87744937837</v>
      </c>
      <c r="AG843" s="99">
        <f>IF(ISNUMBER('General Info'!$B$42), ((SamplingData[[#This Row],[up/U Selection Probability]]) * 'General Info'!$B$44) - 1, 0)</f>
        <v>723.81550150870783</v>
      </c>
      <c r="AH843" s="99">
        <f>IF(ISNUMBER('General Info'!$B$42), (SamplingData[[#This Row],[Running (cumulative) sum]] * ('General Info'!$B$42 -'General Info'!$B$43 + 1)) + 'General Info'!$B$43 - 1, 0)</f>
        <v>757276.69295088702</v>
      </c>
      <c r="AI843" s="99" t="str">
        <f>IF(ISERROR(MATCH(SamplingData[[#This Row],[Batch by Type (p)]],SelectedPrecincts[Batch Name], 0)), "", INDEX(SelectedPrecincts[Draw], MATCH(SamplingData[[#This Row],[Batch by Type (p)]],SelectedPrecincts[Batch Name], 0)))</f>
        <v/>
      </c>
      <c r="AJ843" s="100">
        <f>IF(COUNTIF(SelectedPrecincts[Batch Name],SamplingData[[#This Row],[Batch by Type (p)]]) &lt;&gt; 0, COUNTIF(SelectedPrecincts[Batch Name],SamplingData[[#This Row],[Batch by Type (p)]]), 0)</f>
        <v>0</v>
      </c>
    </row>
    <row r="844" spans="1:36" ht="15" customHeight="1" x14ac:dyDescent="0.35">
      <c r="A844" s="97" t="s">
        <v>1057</v>
      </c>
      <c r="B844" s="97">
        <v>193</v>
      </c>
      <c r="C844" s="97">
        <v>189</v>
      </c>
      <c r="D844" s="92"/>
      <c r="E844" s="92"/>
      <c r="F844" s="92"/>
      <c r="G844" s="96"/>
      <c r="H844" s="96"/>
      <c r="I844" s="92"/>
      <c r="J844" s="92"/>
      <c r="K844" s="92"/>
      <c r="L844" s="92"/>
      <c r="M844" s="92"/>
      <c r="N844" s="97">
        <v>0</v>
      </c>
      <c r="O844" s="97">
        <v>39</v>
      </c>
      <c r="P844" s="98">
        <f>SUM(SamplingData[[#This Row],[Winning Candidate]:[Under Votes]])</f>
        <v>421</v>
      </c>
      <c r="Q844" s="99">
        <f>IF(AND(SamplingData[[#This Row],[Total]]&lt;&gt; 0, NOT(ISBLANK(SamplingData[[#This Row],[Losing Candidate]]))),(SamplingData[[#This Row],[Total]]+SamplingData[[#This Row],[Winning Candidate]]-SamplingData[[#This Row],[Losing Candidate]])/(SamplingData[[#Totals],[Winning Candidate]]-SamplingData[[#Totals],[Losing Candidate]]), 0)</f>
        <v>1.803598709896452E-2</v>
      </c>
      <c r="R844" s="99">
        <f>IF(AND(SamplingData[[#This Row],[Total]]&lt;&gt; 0, NOT(ISBLANK(SamplingData[[#This Row],[Candidate 3]]))),(SamplingData[[#This Row],[Total]]+SamplingData[[#This Row],[Winning Candidate]]-SamplingData[[#This Row],[Candidate 3]])/(SamplingData[[#Totals],[Winning Candidate]]-SamplingData[[#Totals],[Candidate 3]]), 0)</f>
        <v>0</v>
      </c>
      <c r="S844" s="99">
        <f>IF(AND(SamplingData[[#This Row],[Total]]&lt;&gt; 0, NOT(ISBLANK(SamplingData[[#This Row],[Candidate 4]]))),(SamplingData[[#This Row],[Total]]+SamplingData[[#This Row],[Winning Candidate]]-SamplingData[[#This Row],[Candidate 4]])/(SamplingData[[#Totals],[Winning Candidate]]-SamplingData[[#Totals],[Candidate 4]]), 0)</f>
        <v>0</v>
      </c>
      <c r="T844" s="99">
        <f>IF(AND(SamplingData[[#This Row],[Total]]&lt;&gt; 0, NOT(ISBLANK(SamplingData[[#This Row],[Candidate 5]]))),(SamplingData[[#This Row],[Total]]+SamplingData[[#This Row],[Winning Candidate]]-SamplingData[[#This Row],[Candidate 5]])/(SamplingData[[#Totals],[Winning Candidate]]-SamplingData[[#Totals],[Candidate 5]]), 0)</f>
        <v>0</v>
      </c>
      <c r="U844" s="99">
        <f>IF(AND(SamplingData[[#This Row],[Total]]&lt;&gt; 0, NOT(ISBLANK(SamplingData[[#This Row],[Candidate 6]]))),(SamplingData[[#This Row],[Total]]+SamplingData[[#This Row],[Losing Candidate]]-SamplingData[[#This Row],[Candidate 6]])/(SamplingData[[#Totals],[Winning Candidate]]-SamplingData[[#Totals],[Candidate 6]]), 0)</f>
        <v>0</v>
      </c>
      <c r="V844" s="99">
        <f>IF(AND(SamplingData[[#This Row],[Total]]&lt;&gt; 0, NOT(ISBLANK(SamplingData[[#This Row],[Candidate 7]]))),(SamplingData[[#This Row],[Total]]+SamplingData[[#This Row],[Winning Candidate]]-SamplingData[[#This Row],[Candidate 7]])/(SamplingData[[#Totals],[Winning Candidate]]-SamplingData[[#Totals],[Candidate 7]]), 0)</f>
        <v>0</v>
      </c>
      <c r="W844" s="99">
        <f>IF(AND(SamplingData[[#This Row],[Total]]&lt;&gt; 0, NOT(ISBLANK(SamplingData[[#This Row],[Candidate 8]]))),(SamplingData[[#This Row],[Total]]+SamplingData[[#This Row],[Winning Candidate]]-SamplingData[[#This Row],[Candidate 8]])/(SamplingData[[#Totals],[Winning Candidate]]-SamplingData[[#Totals],[Candidate 8]]), 0)</f>
        <v>0</v>
      </c>
      <c r="X8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4" s="99">
        <f>MAX(SamplingData[[#This Row],[Error Bound (up) - Max. possible relative overstatement - Losing Candidate]:[Error Bound (up) - Max. possible relative overstatement - Candidate 12]])</f>
        <v>1.803598709896452E-2</v>
      </c>
      <c r="AC844" s="99">
        <f>IF(SamplingData[[#This Row],[Max Error Bound (up)]] = 0,0,SamplingData[[#This Row],[Max Error Bound (up)]]/SamplingData[[#Totals],[Max Error Bound (up)]])</f>
        <v>9.6566328570909339E-4</v>
      </c>
      <c r="AD844" s="103">
        <f>SUM($AC$5:AC844)</f>
        <v>0.75824335623659611</v>
      </c>
      <c r="AE844" s="99" t="str" cm="1">
        <f t="array" ref="AE844">IF(SamplingData[[#This Row],[up/U Selection Probability]] = 0, "Zero", TEXT(SamplingData[[#This Row],[Lower Range]], REPT("0",LEN('General Info'!$B$42))) &amp; " - " &amp; TEXT(SamplingData[[#This Row],[Upper Range]], REPT("0",LEN('General Info'!$B$42))))</f>
        <v>757278 - 758242</v>
      </c>
      <c r="AF844" s="99">
        <f>SamplingData[[#This Row],[Upper Range]]-SamplingData[[#This Row],[Span]]</f>
        <v>757277.69295088702</v>
      </c>
      <c r="AG844" s="99">
        <f>IF(ISNUMBER('General Info'!$B$42), ((SamplingData[[#This Row],[up/U Selection Probability]]) * 'General Info'!$B$44) - 1, 0)</f>
        <v>964.66328570909343</v>
      </c>
      <c r="AH844" s="99">
        <f>IF(ISNUMBER('General Info'!$B$42), (SamplingData[[#This Row],[Running (cumulative) sum]] * ('General Info'!$B$42 -'General Info'!$B$43 + 1)) + 'General Info'!$B$43 - 1, 0)</f>
        <v>758242.35623659613</v>
      </c>
      <c r="AI844" s="99" t="str">
        <f>IF(ISERROR(MATCH(SamplingData[[#This Row],[Batch by Type (p)]],SelectedPrecincts[Batch Name], 0)), "", INDEX(SelectedPrecincts[Draw], MATCH(SamplingData[[#This Row],[Batch by Type (p)]],SelectedPrecincts[Batch Name], 0)))</f>
        <v/>
      </c>
      <c r="AJ844" s="100">
        <f>IF(COUNTIF(SelectedPrecincts[Batch Name],SamplingData[[#This Row],[Batch by Type (p)]]) &lt;&gt; 0, COUNTIF(SelectedPrecincts[Batch Name],SamplingData[[#This Row],[Batch by Type (p)]]), 0)</f>
        <v>0</v>
      </c>
    </row>
    <row r="845" spans="1:36" ht="15" customHeight="1" x14ac:dyDescent="0.35">
      <c r="A845" s="97" t="s">
        <v>1058</v>
      </c>
      <c r="B845" s="97">
        <v>96</v>
      </c>
      <c r="C845" s="97">
        <v>128</v>
      </c>
      <c r="D845" s="92"/>
      <c r="E845" s="92"/>
      <c r="F845" s="92"/>
      <c r="G845" s="96"/>
      <c r="H845" s="96"/>
      <c r="I845" s="92"/>
      <c r="J845" s="92"/>
      <c r="K845" s="92"/>
      <c r="L845" s="92"/>
      <c r="M845" s="92"/>
      <c r="N845" s="97">
        <v>0</v>
      </c>
      <c r="O845" s="97">
        <v>27</v>
      </c>
      <c r="P845" s="98">
        <f>SUM(SamplingData[[#This Row],[Winning Candidate]:[Under Votes]])</f>
        <v>251</v>
      </c>
      <c r="Q845" s="99">
        <f>IF(AND(SamplingData[[#This Row],[Total]]&lt;&gt; 0, NOT(ISBLANK(SamplingData[[#This Row],[Losing Candidate]]))),(SamplingData[[#This Row],[Total]]+SamplingData[[#This Row],[Winning Candidate]]-SamplingData[[#This Row],[Losing Candidate]])/(SamplingData[[#Totals],[Winning Candidate]]-SamplingData[[#Totals],[Losing Candidate]]), 0)</f>
        <v>9.2938380580546605E-3</v>
      </c>
      <c r="R845" s="99">
        <f>IF(AND(SamplingData[[#This Row],[Total]]&lt;&gt; 0, NOT(ISBLANK(SamplingData[[#This Row],[Candidate 3]]))),(SamplingData[[#This Row],[Total]]+SamplingData[[#This Row],[Winning Candidate]]-SamplingData[[#This Row],[Candidate 3]])/(SamplingData[[#Totals],[Winning Candidate]]-SamplingData[[#Totals],[Candidate 3]]), 0)</f>
        <v>0</v>
      </c>
      <c r="S845" s="99">
        <f>IF(AND(SamplingData[[#This Row],[Total]]&lt;&gt; 0, NOT(ISBLANK(SamplingData[[#This Row],[Candidate 4]]))),(SamplingData[[#This Row],[Total]]+SamplingData[[#This Row],[Winning Candidate]]-SamplingData[[#This Row],[Candidate 4]])/(SamplingData[[#Totals],[Winning Candidate]]-SamplingData[[#Totals],[Candidate 4]]), 0)</f>
        <v>0</v>
      </c>
      <c r="T845" s="99">
        <f>IF(AND(SamplingData[[#This Row],[Total]]&lt;&gt; 0, NOT(ISBLANK(SamplingData[[#This Row],[Candidate 5]]))),(SamplingData[[#This Row],[Total]]+SamplingData[[#This Row],[Winning Candidate]]-SamplingData[[#This Row],[Candidate 5]])/(SamplingData[[#Totals],[Winning Candidate]]-SamplingData[[#Totals],[Candidate 5]]), 0)</f>
        <v>0</v>
      </c>
      <c r="U845" s="99">
        <f>IF(AND(SamplingData[[#This Row],[Total]]&lt;&gt; 0, NOT(ISBLANK(SamplingData[[#This Row],[Candidate 6]]))),(SamplingData[[#This Row],[Total]]+SamplingData[[#This Row],[Losing Candidate]]-SamplingData[[#This Row],[Candidate 6]])/(SamplingData[[#Totals],[Winning Candidate]]-SamplingData[[#Totals],[Candidate 6]]), 0)</f>
        <v>0</v>
      </c>
      <c r="V845" s="99">
        <f>IF(AND(SamplingData[[#This Row],[Total]]&lt;&gt; 0, NOT(ISBLANK(SamplingData[[#This Row],[Candidate 7]]))),(SamplingData[[#This Row],[Total]]+SamplingData[[#This Row],[Winning Candidate]]-SamplingData[[#This Row],[Candidate 7]])/(SamplingData[[#Totals],[Winning Candidate]]-SamplingData[[#Totals],[Candidate 7]]), 0)</f>
        <v>0</v>
      </c>
      <c r="W845" s="99">
        <f>IF(AND(SamplingData[[#This Row],[Total]]&lt;&gt; 0, NOT(ISBLANK(SamplingData[[#This Row],[Candidate 8]]))),(SamplingData[[#This Row],[Total]]+SamplingData[[#This Row],[Winning Candidate]]-SamplingData[[#This Row],[Candidate 8]])/(SamplingData[[#Totals],[Winning Candidate]]-SamplingData[[#Totals],[Candidate 8]]), 0)</f>
        <v>0</v>
      </c>
      <c r="X8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5" s="99">
        <f>MAX(SamplingData[[#This Row],[Error Bound (up) - Max. possible relative overstatement - Losing Candidate]:[Error Bound (up) - Max. possible relative overstatement - Candidate 12]])</f>
        <v>9.2938380580546605E-3</v>
      </c>
      <c r="AC845" s="99">
        <f>IF(SamplingData[[#This Row],[Max Error Bound (up)]] = 0,0,SamplingData[[#This Row],[Max Error Bound (up)]]/SamplingData[[#Totals],[Max Error Bound (up)]])</f>
        <v>4.9760061075362699E-4</v>
      </c>
      <c r="AD845" s="103">
        <f>SUM($AC$5:AC845)</f>
        <v>0.75874095684734977</v>
      </c>
      <c r="AE845" s="99" t="str" cm="1">
        <f t="array" ref="AE845">IF(SamplingData[[#This Row],[up/U Selection Probability]] = 0, "Zero", TEXT(SamplingData[[#This Row],[Lower Range]], REPT("0",LEN('General Info'!$B$42))) &amp; " - " &amp; TEXT(SamplingData[[#This Row],[Upper Range]], REPT("0",LEN('General Info'!$B$42))))</f>
        <v>758243 - 758740</v>
      </c>
      <c r="AF845" s="99">
        <f>SamplingData[[#This Row],[Upper Range]]-SamplingData[[#This Row],[Span]]</f>
        <v>758243.35623659613</v>
      </c>
      <c r="AG845" s="99">
        <f>IF(ISNUMBER('General Info'!$B$42), ((SamplingData[[#This Row],[up/U Selection Probability]]) * 'General Info'!$B$44) - 1, 0)</f>
        <v>496.600610753627</v>
      </c>
      <c r="AH845" s="99">
        <f>IF(ISNUMBER('General Info'!$B$42), (SamplingData[[#This Row],[Running (cumulative) sum]] * ('General Info'!$B$42 -'General Info'!$B$43 + 1)) + 'General Info'!$B$43 - 1, 0)</f>
        <v>758739.95684734976</v>
      </c>
      <c r="AI845" s="99" t="str">
        <f>IF(ISERROR(MATCH(SamplingData[[#This Row],[Batch by Type (p)]],SelectedPrecincts[Batch Name], 0)), "", INDEX(SelectedPrecincts[Draw], MATCH(SamplingData[[#This Row],[Batch by Type (p)]],SelectedPrecincts[Batch Name], 0)))</f>
        <v/>
      </c>
      <c r="AJ845" s="100">
        <f>IF(COUNTIF(SelectedPrecincts[Batch Name],SamplingData[[#This Row],[Batch by Type (p)]]) &lt;&gt; 0, COUNTIF(SelectedPrecincts[Batch Name],SamplingData[[#This Row],[Batch by Type (p)]]), 0)</f>
        <v>0</v>
      </c>
    </row>
    <row r="846" spans="1:36" ht="15" customHeight="1" x14ac:dyDescent="0.35">
      <c r="A846" s="97" t="s">
        <v>1059</v>
      </c>
      <c r="B846" s="97">
        <v>241</v>
      </c>
      <c r="C846" s="97">
        <v>295</v>
      </c>
      <c r="D846" s="92"/>
      <c r="E846" s="92"/>
      <c r="F846" s="92"/>
      <c r="G846" s="96"/>
      <c r="H846" s="96"/>
      <c r="I846" s="92"/>
      <c r="J846" s="92"/>
      <c r="K846" s="92"/>
      <c r="L846" s="92"/>
      <c r="M846" s="92"/>
      <c r="N846" s="97">
        <v>0</v>
      </c>
      <c r="O846" s="97">
        <v>61</v>
      </c>
      <c r="P846" s="98">
        <f>SUM(SamplingData[[#This Row],[Winning Candidate]:[Under Votes]])</f>
        <v>597</v>
      </c>
      <c r="Q846" s="99">
        <f>IF(AND(SamplingData[[#This Row],[Total]]&lt;&gt; 0, NOT(ISBLANK(SamplingData[[#This Row],[Losing Candidate]]))),(SamplingData[[#This Row],[Total]]+SamplingData[[#This Row],[Winning Candidate]]-SamplingData[[#This Row],[Losing Candidate]])/(SamplingData[[#Totals],[Winning Candidate]]-SamplingData[[#Totals],[Losing Candidate]]), 0)</f>
        <v>2.3043625869971142E-2</v>
      </c>
      <c r="R846" s="99">
        <f>IF(AND(SamplingData[[#This Row],[Total]]&lt;&gt; 0, NOT(ISBLANK(SamplingData[[#This Row],[Candidate 3]]))),(SamplingData[[#This Row],[Total]]+SamplingData[[#This Row],[Winning Candidate]]-SamplingData[[#This Row],[Candidate 3]])/(SamplingData[[#Totals],[Winning Candidate]]-SamplingData[[#Totals],[Candidate 3]]), 0)</f>
        <v>0</v>
      </c>
      <c r="S846" s="99">
        <f>IF(AND(SamplingData[[#This Row],[Total]]&lt;&gt; 0, NOT(ISBLANK(SamplingData[[#This Row],[Candidate 4]]))),(SamplingData[[#This Row],[Total]]+SamplingData[[#This Row],[Winning Candidate]]-SamplingData[[#This Row],[Candidate 4]])/(SamplingData[[#Totals],[Winning Candidate]]-SamplingData[[#Totals],[Candidate 4]]), 0)</f>
        <v>0</v>
      </c>
      <c r="T846" s="99">
        <f>IF(AND(SamplingData[[#This Row],[Total]]&lt;&gt; 0, NOT(ISBLANK(SamplingData[[#This Row],[Candidate 5]]))),(SamplingData[[#This Row],[Total]]+SamplingData[[#This Row],[Winning Candidate]]-SamplingData[[#This Row],[Candidate 5]])/(SamplingData[[#Totals],[Winning Candidate]]-SamplingData[[#Totals],[Candidate 5]]), 0)</f>
        <v>0</v>
      </c>
      <c r="U846" s="99">
        <f>IF(AND(SamplingData[[#This Row],[Total]]&lt;&gt; 0, NOT(ISBLANK(SamplingData[[#This Row],[Candidate 6]]))),(SamplingData[[#This Row],[Total]]+SamplingData[[#This Row],[Losing Candidate]]-SamplingData[[#This Row],[Candidate 6]])/(SamplingData[[#Totals],[Winning Candidate]]-SamplingData[[#Totals],[Candidate 6]]), 0)</f>
        <v>0</v>
      </c>
      <c r="V846" s="99">
        <f>IF(AND(SamplingData[[#This Row],[Total]]&lt;&gt; 0, NOT(ISBLANK(SamplingData[[#This Row],[Candidate 7]]))),(SamplingData[[#This Row],[Total]]+SamplingData[[#This Row],[Winning Candidate]]-SamplingData[[#This Row],[Candidate 7]])/(SamplingData[[#Totals],[Winning Candidate]]-SamplingData[[#Totals],[Candidate 7]]), 0)</f>
        <v>0</v>
      </c>
      <c r="W846" s="99">
        <f>IF(AND(SamplingData[[#This Row],[Total]]&lt;&gt; 0, NOT(ISBLANK(SamplingData[[#This Row],[Candidate 8]]))),(SamplingData[[#This Row],[Total]]+SamplingData[[#This Row],[Winning Candidate]]-SamplingData[[#This Row],[Candidate 8]])/(SamplingData[[#Totals],[Winning Candidate]]-SamplingData[[#Totals],[Candidate 8]]), 0)</f>
        <v>0</v>
      </c>
      <c r="X8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6" s="99">
        <f>MAX(SamplingData[[#This Row],[Error Bound (up) - Max. possible relative overstatement - Losing Candidate]:[Error Bound (up) - Max. possible relative overstatement - Candidate 12]])</f>
        <v>2.3043625869971142E-2</v>
      </c>
      <c r="AC846" s="99">
        <f>IF(SamplingData[[#This Row],[Max Error Bound (up)]] = 0,0,SamplingData[[#This Row],[Max Error Bound (up)]]/SamplingData[[#Totals],[Max Error Bound (up)]])</f>
        <v>1.2337768568000888E-3</v>
      </c>
      <c r="AD846" s="103">
        <f>SUM($AC$5:AC846)</f>
        <v>0.75997473370414981</v>
      </c>
      <c r="AE846" s="99" t="str" cm="1">
        <f t="array" ref="AE846">IF(SamplingData[[#This Row],[up/U Selection Probability]] = 0, "Zero", TEXT(SamplingData[[#This Row],[Lower Range]], REPT("0",LEN('General Info'!$B$42))) &amp; " - " &amp; TEXT(SamplingData[[#This Row],[Upper Range]], REPT("0",LEN('General Info'!$B$42))))</f>
        <v>758741 - 759974</v>
      </c>
      <c r="AF846" s="99">
        <f>SamplingData[[#This Row],[Upper Range]]-SamplingData[[#This Row],[Span]]</f>
        <v>758740.95684734976</v>
      </c>
      <c r="AG846" s="99">
        <f>IF(ISNUMBER('General Info'!$B$42), ((SamplingData[[#This Row],[up/U Selection Probability]]) * 'General Info'!$B$44) - 1, 0)</f>
        <v>1232.7768568000888</v>
      </c>
      <c r="AH846" s="99">
        <f>IF(ISNUMBER('General Info'!$B$42), (SamplingData[[#This Row],[Running (cumulative) sum]] * ('General Info'!$B$42 -'General Info'!$B$43 + 1)) + 'General Info'!$B$43 - 1, 0)</f>
        <v>759973.73370414984</v>
      </c>
      <c r="AI846" s="99" t="str">
        <f>IF(ISERROR(MATCH(SamplingData[[#This Row],[Batch by Type (p)]],SelectedPrecincts[Batch Name], 0)), "", INDEX(SelectedPrecincts[Draw], MATCH(SamplingData[[#This Row],[Batch by Type (p)]],SelectedPrecincts[Batch Name], 0)))</f>
        <v/>
      </c>
      <c r="AJ846" s="100">
        <f>IF(COUNTIF(SelectedPrecincts[Batch Name],SamplingData[[#This Row],[Batch by Type (p)]]) &lt;&gt; 0, COUNTIF(SelectedPrecincts[Batch Name],SamplingData[[#This Row],[Batch by Type (p)]]), 0)</f>
        <v>0</v>
      </c>
    </row>
    <row r="847" spans="1:36" ht="15" customHeight="1" x14ac:dyDescent="0.35">
      <c r="A847" s="97" t="s">
        <v>1060</v>
      </c>
      <c r="B847" s="97">
        <v>133</v>
      </c>
      <c r="C847" s="97">
        <v>123</v>
      </c>
      <c r="D847" s="92"/>
      <c r="E847" s="92"/>
      <c r="F847" s="92"/>
      <c r="G847" s="96"/>
      <c r="H847" s="96"/>
      <c r="I847" s="92"/>
      <c r="J847" s="92"/>
      <c r="K847" s="92"/>
      <c r="L847" s="92"/>
      <c r="M847" s="92"/>
      <c r="N847" s="97">
        <v>1</v>
      </c>
      <c r="O847" s="97">
        <v>26</v>
      </c>
      <c r="P847" s="98">
        <f>SUM(SamplingData[[#This Row],[Winning Candidate]:[Under Votes]])</f>
        <v>283</v>
      </c>
      <c r="Q847" s="99">
        <f>IF(AND(SamplingData[[#This Row],[Total]]&lt;&gt; 0, NOT(ISBLANK(SamplingData[[#This Row],[Losing Candidate]]))),(SamplingData[[#This Row],[Total]]+SamplingData[[#This Row],[Winning Candidate]]-SamplingData[[#This Row],[Losing Candidate]])/(SamplingData[[#Totals],[Winning Candidate]]-SamplingData[[#Totals],[Losing Candidate]]), 0)</f>
        <v>1.2434221694109659E-2</v>
      </c>
      <c r="R847" s="99">
        <f>IF(AND(SamplingData[[#This Row],[Total]]&lt;&gt; 0, NOT(ISBLANK(SamplingData[[#This Row],[Candidate 3]]))),(SamplingData[[#This Row],[Total]]+SamplingData[[#This Row],[Winning Candidate]]-SamplingData[[#This Row],[Candidate 3]])/(SamplingData[[#Totals],[Winning Candidate]]-SamplingData[[#Totals],[Candidate 3]]), 0)</f>
        <v>0</v>
      </c>
      <c r="S847" s="99">
        <f>IF(AND(SamplingData[[#This Row],[Total]]&lt;&gt; 0, NOT(ISBLANK(SamplingData[[#This Row],[Candidate 4]]))),(SamplingData[[#This Row],[Total]]+SamplingData[[#This Row],[Winning Candidate]]-SamplingData[[#This Row],[Candidate 4]])/(SamplingData[[#Totals],[Winning Candidate]]-SamplingData[[#Totals],[Candidate 4]]), 0)</f>
        <v>0</v>
      </c>
      <c r="T847" s="99">
        <f>IF(AND(SamplingData[[#This Row],[Total]]&lt;&gt; 0, NOT(ISBLANK(SamplingData[[#This Row],[Candidate 5]]))),(SamplingData[[#This Row],[Total]]+SamplingData[[#This Row],[Winning Candidate]]-SamplingData[[#This Row],[Candidate 5]])/(SamplingData[[#Totals],[Winning Candidate]]-SamplingData[[#Totals],[Candidate 5]]), 0)</f>
        <v>0</v>
      </c>
      <c r="U847" s="99">
        <f>IF(AND(SamplingData[[#This Row],[Total]]&lt;&gt; 0, NOT(ISBLANK(SamplingData[[#This Row],[Candidate 6]]))),(SamplingData[[#This Row],[Total]]+SamplingData[[#This Row],[Losing Candidate]]-SamplingData[[#This Row],[Candidate 6]])/(SamplingData[[#Totals],[Winning Candidate]]-SamplingData[[#Totals],[Candidate 6]]), 0)</f>
        <v>0</v>
      </c>
      <c r="V847" s="99">
        <f>IF(AND(SamplingData[[#This Row],[Total]]&lt;&gt; 0, NOT(ISBLANK(SamplingData[[#This Row],[Candidate 7]]))),(SamplingData[[#This Row],[Total]]+SamplingData[[#This Row],[Winning Candidate]]-SamplingData[[#This Row],[Candidate 7]])/(SamplingData[[#Totals],[Winning Candidate]]-SamplingData[[#Totals],[Candidate 7]]), 0)</f>
        <v>0</v>
      </c>
      <c r="W847" s="99">
        <f>IF(AND(SamplingData[[#This Row],[Total]]&lt;&gt; 0, NOT(ISBLANK(SamplingData[[#This Row],[Candidate 8]]))),(SamplingData[[#This Row],[Total]]+SamplingData[[#This Row],[Winning Candidate]]-SamplingData[[#This Row],[Candidate 8]])/(SamplingData[[#Totals],[Winning Candidate]]-SamplingData[[#Totals],[Candidate 8]]), 0)</f>
        <v>0</v>
      </c>
      <c r="X8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7" s="99">
        <f>MAX(SamplingData[[#This Row],[Error Bound (up) - Max. possible relative overstatement - Losing Candidate]:[Error Bound (up) - Max. possible relative overstatement - Candidate 12]])</f>
        <v>1.2434221694109659E-2</v>
      </c>
      <c r="AC847" s="99">
        <f>IF(SamplingData[[#This Row],[Max Error Bound (up)]] = 0,0,SamplingData[[#This Row],[Max Error Bound (up)]]/SamplingData[[#Totals],[Max Error Bound (up)]])</f>
        <v>6.6573962991238684E-4</v>
      </c>
      <c r="AD847" s="103">
        <f>SUM($AC$5:AC847)</f>
        <v>0.76064047333406215</v>
      </c>
      <c r="AE847" s="99" t="str" cm="1">
        <f t="array" ref="AE847">IF(SamplingData[[#This Row],[up/U Selection Probability]] = 0, "Zero", TEXT(SamplingData[[#This Row],[Lower Range]], REPT("0",LEN('General Info'!$B$42))) &amp; " - " &amp; TEXT(SamplingData[[#This Row],[Upper Range]], REPT("0",LEN('General Info'!$B$42))))</f>
        <v>759975 - 760639</v>
      </c>
      <c r="AF847" s="99">
        <f>SamplingData[[#This Row],[Upper Range]]-SamplingData[[#This Row],[Span]]</f>
        <v>759974.73370414972</v>
      </c>
      <c r="AG847" s="99">
        <f>IF(ISNUMBER('General Info'!$B$42), ((SamplingData[[#This Row],[up/U Selection Probability]]) * 'General Info'!$B$44) - 1, 0)</f>
        <v>664.73962991238682</v>
      </c>
      <c r="AH847" s="99">
        <f>IF(ISNUMBER('General Info'!$B$42), (SamplingData[[#This Row],[Running (cumulative) sum]] * ('General Info'!$B$42 -'General Info'!$B$43 + 1)) + 'General Info'!$B$43 - 1, 0)</f>
        <v>760639.47333406215</v>
      </c>
      <c r="AI847" s="99" t="str">
        <f>IF(ISERROR(MATCH(SamplingData[[#This Row],[Batch by Type (p)]],SelectedPrecincts[Batch Name], 0)), "", INDEX(SelectedPrecincts[Draw], MATCH(SamplingData[[#This Row],[Batch by Type (p)]],SelectedPrecincts[Batch Name], 0)))</f>
        <v/>
      </c>
      <c r="AJ847" s="100">
        <f>IF(COUNTIF(SelectedPrecincts[Batch Name],SamplingData[[#This Row],[Batch by Type (p)]]) &lt;&gt; 0, COUNTIF(SelectedPrecincts[Batch Name],SamplingData[[#This Row],[Batch by Type (p)]]), 0)</f>
        <v>0</v>
      </c>
    </row>
    <row r="848" spans="1:36" ht="15" customHeight="1" x14ac:dyDescent="0.35">
      <c r="A848" s="97" t="s">
        <v>1061</v>
      </c>
      <c r="B848" s="97">
        <v>164</v>
      </c>
      <c r="C848" s="97">
        <v>145</v>
      </c>
      <c r="D848" s="92"/>
      <c r="E848" s="92"/>
      <c r="F848" s="92"/>
      <c r="G848" s="96"/>
      <c r="H848" s="96"/>
      <c r="I848" s="92"/>
      <c r="J848" s="92"/>
      <c r="K848" s="92"/>
      <c r="L848" s="92"/>
      <c r="M848" s="92"/>
      <c r="N848" s="97">
        <v>0</v>
      </c>
      <c r="O848" s="97">
        <v>29</v>
      </c>
      <c r="P848" s="98">
        <f>SUM(SamplingData[[#This Row],[Winning Candidate]:[Under Votes]])</f>
        <v>338</v>
      </c>
      <c r="Q848" s="99">
        <f>IF(AND(SamplingData[[#This Row],[Total]]&lt;&gt; 0, NOT(ISBLANK(SamplingData[[#This Row],[Losing Candidate]]))),(SamplingData[[#This Row],[Total]]+SamplingData[[#This Row],[Winning Candidate]]-SamplingData[[#This Row],[Losing Candidate]])/(SamplingData[[#Totals],[Winning Candidate]]-SamplingData[[#Totals],[Losing Candidate]]), 0)</f>
        <v>1.5150229163130198E-2</v>
      </c>
      <c r="R848" s="99">
        <f>IF(AND(SamplingData[[#This Row],[Total]]&lt;&gt; 0, NOT(ISBLANK(SamplingData[[#This Row],[Candidate 3]]))),(SamplingData[[#This Row],[Total]]+SamplingData[[#This Row],[Winning Candidate]]-SamplingData[[#This Row],[Candidate 3]])/(SamplingData[[#Totals],[Winning Candidate]]-SamplingData[[#Totals],[Candidate 3]]), 0)</f>
        <v>0</v>
      </c>
      <c r="S848" s="99">
        <f>IF(AND(SamplingData[[#This Row],[Total]]&lt;&gt; 0, NOT(ISBLANK(SamplingData[[#This Row],[Candidate 4]]))),(SamplingData[[#This Row],[Total]]+SamplingData[[#This Row],[Winning Candidate]]-SamplingData[[#This Row],[Candidate 4]])/(SamplingData[[#Totals],[Winning Candidate]]-SamplingData[[#Totals],[Candidate 4]]), 0)</f>
        <v>0</v>
      </c>
      <c r="T848" s="99">
        <f>IF(AND(SamplingData[[#This Row],[Total]]&lt;&gt; 0, NOT(ISBLANK(SamplingData[[#This Row],[Candidate 5]]))),(SamplingData[[#This Row],[Total]]+SamplingData[[#This Row],[Winning Candidate]]-SamplingData[[#This Row],[Candidate 5]])/(SamplingData[[#Totals],[Winning Candidate]]-SamplingData[[#Totals],[Candidate 5]]), 0)</f>
        <v>0</v>
      </c>
      <c r="U848" s="99">
        <f>IF(AND(SamplingData[[#This Row],[Total]]&lt;&gt; 0, NOT(ISBLANK(SamplingData[[#This Row],[Candidate 6]]))),(SamplingData[[#This Row],[Total]]+SamplingData[[#This Row],[Losing Candidate]]-SamplingData[[#This Row],[Candidate 6]])/(SamplingData[[#Totals],[Winning Candidate]]-SamplingData[[#Totals],[Candidate 6]]), 0)</f>
        <v>0</v>
      </c>
      <c r="V848" s="99">
        <f>IF(AND(SamplingData[[#This Row],[Total]]&lt;&gt; 0, NOT(ISBLANK(SamplingData[[#This Row],[Candidate 7]]))),(SamplingData[[#This Row],[Total]]+SamplingData[[#This Row],[Winning Candidate]]-SamplingData[[#This Row],[Candidate 7]])/(SamplingData[[#Totals],[Winning Candidate]]-SamplingData[[#Totals],[Candidate 7]]), 0)</f>
        <v>0</v>
      </c>
      <c r="W848" s="99">
        <f>IF(AND(SamplingData[[#This Row],[Total]]&lt;&gt; 0, NOT(ISBLANK(SamplingData[[#This Row],[Candidate 8]]))),(SamplingData[[#This Row],[Total]]+SamplingData[[#This Row],[Winning Candidate]]-SamplingData[[#This Row],[Candidate 8]])/(SamplingData[[#Totals],[Winning Candidate]]-SamplingData[[#Totals],[Candidate 8]]), 0)</f>
        <v>0</v>
      </c>
      <c r="X8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8" s="99">
        <f>MAX(SamplingData[[#This Row],[Error Bound (up) - Max. possible relative overstatement - Losing Candidate]:[Error Bound (up) - Max. possible relative overstatement - Candidate 12]])</f>
        <v>1.5150229163130198E-2</v>
      </c>
      <c r="AC848" s="99">
        <f>IF(SamplingData[[#This Row],[Max Error Bound (up)]] = 0,0,SamplingData[[#This Row],[Max Error Bound (up)]]/SamplingData[[#Totals],[Max Error Bound (up)]])</f>
        <v>8.1115715999563844E-4</v>
      </c>
      <c r="AD848" s="103">
        <f>SUM($AC$5:AC848)</f>
        <v>0.76145163049405784</v>
      </c>
      <c r="AE848" s="99" t="str" cm="1">
        <f t="array" ref="AE848">IF(SamplingData[[#This Row],[up/U Selection Probability]] = 0, "Zero", TEXT(SamplingData[[#This Row],[Lower Range]], REPT("0",LEN('General Info'!$B$42))) &amp; " - " &amp; TEXT(SamplingData[[#This Row],[Upper Range]], REPT("0",LEN('General Info'!$B$42))))</f>
        <v>760640 - 761451</v>
      </c>
      <c r="AF848" s="99">
        <f>SamplingData[[#This Row],[Upper Range]]-SamplingData[[#This Row],[Span]]</f>
        <v>760640.47333406215</v>
      </c>
      <c r="AG848" s="99">
        <f>IF(ISNUMBER('General Info'!$B$42), ((SamplingData[[#This Row],[up/U Selection Probability]]) * 'General Info'!$B$44) - 1, 0)</f>
        <v>810.15715999563849</v>
      </c>
      <c r="AH848" s="99">
        <f>IF(ISNUMBER('General Info'!$B$42), (SamplingData[[#This Row],[Running (cumulative) sum]] * ('General Info'!$B$42 -'General Info'!$B$43 + 1)) + 'General Info'!$B$43 - 1, 0)</f>
        <v>761450.63049405778</v>
      </c>
      <c r="AI848" s="99" t="str">
        <f>IF(ISERROR(MATCH(SamplingData[[#This Row],[Batch by Type (p)]],SelectedPrecincts[Batch Name], 0)), "", INDEX(SelectedPrecincts[Draw], MATCH(SamplingData[[#This Row],[Batch by Type (p)]],SelectedPrecincts[Batch Name], 0)))</f>
        <v/>
      </c>
      <c r="AJ848" s="100">
        <f>IF(COUNTIF(SelectedPrecincts[Batch Name],SamplingData[[#This Row],[Batch by Type (p)]]) &lt;&gt; 0, COUNTIF(SelectedPrecincts[Batch Name],SamplingData[[#This Row],[Batch by Type (p)]]), 0)</f>
        <v>0</v>
      </c>
    </row>
    <row r="849" spans="1:36" ht="15" customHeight="1" x14ac:dyDescent="0.35">
      <c r="A849" s="97" t="s">
        <v>1062</v>
      </c>
      <c r="B849" s="97">
        <v>177</v>
      </c>
      <c r="C849" s="97">
        <v>186</v>
      </c>
      <c r="D849" s="92"/>
      <c r="E849" s="92"/>
      <c r="F849" s="92"/>
      <c r="G849" s="96"/>
      <c r="H849" s="96"/>
      <c r="I849" s="92"/>
      <c r="J849" s="92"/>
      <c r="K849" s="92"/>
      <c r="L849" s="92"/>
      <c r="M849" s="92"/>
      <c r="N849" s="97">
        <v>1</v>
      </c>
      <c r="O849" s="97">
        <v>28</v>
      </c>
      <c r="P849" s="98">
        <f>SUM(SamplingData[[#This Row],[Winning Candidate]:[Under Votes]])</f>
        <v>392</v>
      </c>
      <c r="Q849" s="99">
        <f>IF(AND(SamplingData[[#This Row],[Total]]&lt;&gt; 0, NOT(ISBLANK(SamplingData[[#This Row],[Losing Candidate]]))),(SamplingData[[#This Row],[Total]]+SamplingData[[#This Row],[Winning Candidate]]-SamplingData[[#This Row],[Losing Candidate]])/(SamplingData[[#Totals],[Winning Candidate]]-SamplingData[[#Totals],[Losing Candidate]]), 0)</f>
        <v>1.6253607197419792E-2</v>
      </c>
      <c r="R849" s="99">
        <f>IF(AND(SamplingData[[#This Row],[Total]]&lt;&gt; 0, NOT(ISBLANK(SamplingData[[#This Row],[Candidate 3]]))),(SamplingData[[#This Row],[Total]]+SamplingData[[#This Row],[Winning Candidate]]-SamplingData[[#This Row],[Candidate 3]])/(SamplingData[[#Totals],[Winning Candidate]]-SamplingData[[#Totals],[Candidate 3]]), 0)</f>
        <v>0</v>
      </c>
      <c r="S849" s="99">
        <f>IF(AND(SamplingData[[#This Row],[Total]]&lt;&gt; 0, NOT(ISBLANK(SamplingData[[#This Row],[Candidate 4]]))),(SamplingData[[#This Row],[Total]]+SamplingData[[#This Row],[Winning Candidate]]-SamplingData[[#This Row],[Candidate 4]])/(SamplingData[[#Totals],[Winning Candidate]]-SamplingData[[#Totals],[Candidate 4]]), 0)</f>
        <v>0</v>
      </c>
      <c r="T849" s="99">
        <f>IF(AND(SamplingData[[#This Row],[Total]]&lt;&gt; 0, NOT(ISBLANK(SamplingData[[#This Row],[Candidate 5]]))),(SamplingData[[#This Row],[Total]]+SamplingData[[#This Row],[Winning Candidate]]-SamplingData[[#This Row],[Candidate 5]])/(SamplingData[[#Totals],[Winning Candidate]]-SamplingData[[#Totals],[Candidate 5]]), 0)</f>
        <v>0</v>
      </c>
      <c r="U849" s="99">
        <f>IF(AND(SamplingData[[#This Row],[Total]]&lt;&gt; 0, NOT(ISBLANK(SamplingData[[#This Row],[Candidate 6]]))),(SamplingData[[#This Row],[Total]]+SamplingData[[#This Row],[Losing Candidate]]-SamplingData[[#This Row],[Candidate 6]])/(SamplingData[[#Totals],[Winning Candidate]]-SamplingData[[#Totals],[Candidate 6]]), 0)</f>
        <v>0</v>
      </c>
      <c r="V849" s="99">
        <f>IF(AND(SamplingData[[#This Row],[Total]]&lt;&gt; 0, NOT(ISBLANK(SamplingData[[#This Row],[Candidate 7]]))),(SamplingData[[#This Row],[Total]]+SamplingData[[#This Row],[Winning Candidate]]-SamplingData[[#This Row],[Candidate 7]])/(SamplingData[[#Totals],[Winning Candidate]]-SamplingData[[#Totals],[Candidate 7]]), 0)</f>
        <v>0</v>
      </c>
      <c r="W849" s="99">
        <f>IF(AND(SamplingData[[#This Row],[Total]]&lt;&gt; 0, NOT(ISBLANK(SamplingData[[#This Row],[Candidate 8]]))),(SamplingData[[#This Row],[Total]]+SamplingData[[#This Row],[Winning Candidate]]-SamplingData[[#This Row],[Candidate 8]])/(SamplingData[[#Totals],[Winning Candidate]]-SamplingData[[#Totals],[Candidate 8]]), 0)</f>
        <v>0</v>
      </c>
      <c r="X8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9" s="99">
        <f>MAX(SamplingData[[#This Row],[Error Bound (up) - Max. possible relative overstatement - Losing Candidate]:[Error Bound (up) - Max. possible relative overstatement - Candidate 12]])</f>
        <v>1.6253607197419792E-2</v>
      </c>
      <c r="AC849" s="99">
        <f>IF(SamplingData[[#This Row],[Max Error Bound (up)]] = 0,0,SamplingData[[#This Row],[Max Error Bound (up)]]/SamplingData[[#Totals],[Max Error Bound (up)]])</f>
        <v>8.702330315919595E-4</v>
      </c>
      <c r="AD849" s="103">
        <f>SUM($AC$5:AC849)</f>
        <v>0.76232186352564979</v>
      </c>
      <c r="AE849" s="99" t="str" cm="1">
        <f t="array" ref="AE849">IF(SamplingData[[#This Row],[up/U Selection Probability]] = 0, "Zero", TEXT(SamplingData[[#This Row],[Lower Range]], REPT("0",LEN('General Info'!$B$42))) &amp; " - " &amp; TEXT(SamplingData[[#This Row],[Upper Range]], REPT("0",LEN('General Info'!$B$42))))</f>
        <v>761452 - 762321</v>
      </c>
      <c r="AF849" s="99">
        <f>SamplingData[[#This Row],[Upper Range]]-SamplingData[[#This Row],[Span]]</f>
        <v>761451.63049405778</v>
      </c>
      <c r="AG849" s="99">
        <f>IF(ISNUMBER('General Info'!$B$42), ((SamplingData[[#This Row],[up/U Selection Probability]]) * 'General Info'!$B$44) - 1, 0)</f>
        <v>869.2330315919595</v>
      </c>
      <c r="AH849" s="99">
        <f>IF(ISNUMBER('General Info'!$B$42), (SamplingData[[#This Row],[Running (cumulative) sum]] * ('General Info'!$B$42 -'General Info'!$B$43 + 1)) + 'General Info'!$B$43 - 1, 0)</f>
        <v>762320.86352564977</v>
      </c>
      <c r="AI849" s="99" t="str">
        <f>IF(ISERROR(MATCH(SamplingData[[#This Row],[Batch by Type (p)]],SelectedPrecincts[Batch Name], 0)), "", INDEX(SelectedPrecincts[Draw], MATCH(SamplingData[[#This Row],[Batch by Type (p)]],SelectedPrecincts[Batch Name], 0)))</f>
        <v/>
      </c>
      <c r="AJ849" s="100">
        <f>IF(COUNTIF(SelectedPrecincts[Batch Name],SamplingData[[#This Row],[Batch by Type (p)]]) &lt;&gt; 0, COUNTIF(SelectedPrecincts[Batch Name],SamplingData[[#This Row],[Batch by Type (p)]]), 0)</f>
        <v>0</v>
      </c>
    </row>
    <row r="850" spans="1:36" ht="15" customHeight="1" x14ac:dyDescent="0.35">
      <c r="A850" s="97" t="s">
        <v>1063</v>
      </c>
      <c r="B850" s="97">
        <v>207</v>
      </c>
      <c r="C850" s="97">
        <v>358</v>
      </c>
      <c r="D850" s="92"/>
      <c r="E850" s="92"/>
      <c r="F850" s="92"/>
      <c r="G850" s="96"/>
      <c r="H850" s="96"/>
      <c r="I850" s="92"/>
      <c r="J850" s="92"/>
      <c r="K850" s="92"/>
      <c r="L850" s="92"/>
      <c r="M850" s="92"/>
      <c r="N850" s="97">
        <v>0</v>
      </c>
      <c r="O850" s="97">
        <v>31</v>
      </c>
      <c r="P850" s="98">
        <f>SUM(SamplingData[[#This Row],[Winning Candidate]:[Under Votes]])</f>
        <v>596</v>
      </c>
      <c r="Q850" s="99">
        <f>IF(AND(SamplingData[[#This Row],[Total]]&lt;&gt; 0, NOT(ISBLANK(SamplingData[[#This Row],[Losing Candidate]]))),(SamplingData[[#This Row],[Total]]+SamplingData[[#This Row],[Winning Candidate]]-SamplingData[[#This Row],[Losing Candidate]])/(SamplingData[[#Totals],[Winning Candidate]]-SamplingData[[#Totals],[Losing Candidate]]), 0)</f>
        <v>1.888473943303344E-2</v>
      </c>
      <c r="R850" s="99">
        <f>IF(AND(SamplingData[[#This Row],[Total]]&lt;&gt; 0, NOT(ISBLANK(SamplingData[[#This Row],[Candidate 3]]))),(SamplingData[[#This Row],[Total]]+SamplingData[[#This Row],[Winning Candidate]]-SamplingData[[#This Row],[Candidate 3]])/(SamplingData[[#Totals],[Winning Candidate]]-SamplingData[[#Totals],[Candidate 3]]), 0)</f>
        <v>0</v>
      </c>
      <c r="S850" s="99">
        <f>IF(AND(SamplingData[[#This Row],[Total]]&lt;&gt; 0, NOT(ISBLANK(SamplingData[[#This Row],[Candidate 4]]))),(SamplingData[[#This Row],[Total]]+SamplingData[[#This Row],[Winning Candidate]]-SamplingData[[#This Row],[Candidate 4]])/(SamplingData[[#Totals],[Winning Candidate]]-SamplingData[[#Totals],[Candidate 4]]), 0)</f>
        <v>0</v>
      </c>
      <c r="T850" s="99">
        <f>IF(AND(SamplingData[[#This Row],[Total]]&lt;&gt; 0, NOT(ISBLANK(SamplingData[[#This Row],[Candidate 5]]))),(SamplingData[[#This Row],[Total]]+SamplingData[[#This Row],[Winning Candidate]]-SamplingData[[#This Row],[Candidate 5]])/(SamplingData[[#Totals],[Winning Candidate]]-SamplingData[[#Totals],[Candidate 5]]), 0)</f>
        <v>0</v>
      </c>
      <c r="U850" s="99">
        <f>IF(AND(SamplingData[[#This Row],[Total]]&lt;&gt; 0, NOT(ISBLANK(SamplingData[[#This Row],[Candidate 6]]))),(SamplingData[[#This Row],[Total]]+SamplingData[[#This Row],[Losing Candidate]]-SamplingData[[#This Row],[Candidate 6]])/(SamplingData[[#Totals],[Winning Candidate]]-SamplingData[[#Totals],[Candidate 6]]), 0)</f>
        <v>0</v>
      </c>
      <c r="V850" s="99">
        <f>IF(AND(SamplingData[[#This Row],[Total]]&lt;&gt; 0, NOT(ISBLANK(SamplingData[[#This Row],[Candidate 7]]))),(SamplingData[[#This Row],[Total]]+SamplingData[[#This Row],[Winning Candidate]]-SamplingData[[#This Row],[Candidate 7]])/(SamplingData[[#Totals],[Winning Candidate]]-SamplingData[[#Totals],[Candidate 7]]), 0)</f>
        <v>0</v>
      </c>
      <c r="W850" s="99">
        <f>IF(AND(SamplingData[[#This Row],[Total]]&lt;&gt; 0, NOT(ISBLANK(SamplingData[[#This Row],[Candidate 8]]))),(SamplingData[[#This Row],[Total]]+SamplingData[[#This Row],[Winning Candidate]]-SamplingData[[#This Row],[Candidate 8]])/(SamplingData[[#Totals],[Winning Candidate]]-SamplingData[[#Totals],[Candidate 8]]), 0)</f>
        <v>0</v>
      </c>
      <c r="X8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0" s="99">
        <f>MAX(SamplingData[[#This Row],[Error Bound (up) - Max. possible relative overstatement - Losing Candidate]:[Error Bound (up) - Max. possible relative overstatement - Candidate 12]])</f>
        <v>1.888473943303344E-2</v>
      </c>
      <c r="AC850" s="99">
        <f>IF(SamplingData[[#This Row],[Max Error Bound (up)]] = 0,0,SamplingData[[#This Row],[Max Error Bound (up)]]/SamplingData[[#Totals],[Max Error Bound (up)]])</f>
        <v>1.0111062638601097E-3</v>
      </c>
      <c r="AD850" s="103">
        <f>SUM($AC$5:AC850)</f>
        <v>0.76333296978950993</v>
      </c>
      <c r="AE850" s="99" t="str" cm="1">
        <f t="array" ref="AE850">IF(SamplingData[[#This Row],[up/U Selection Probability]] = 0, "Zero", TEXT(SamplingData[[#This Row],[Lower Range]], REPT("0",LEN('General Info'!$B$42))) &amp; " - " &amp; TEXT(SamplingData[[#This Row],[Upper Range]], REPT("0",LEN('General Info'!$B$42))))</f>
        <v>762322 - 763332</v>
      </c>
      <c r="AF850" s="99">
        <f>SamplingData[[#This Row],[Upper Range]]-SamplingData[[#This Row],[Span]]</f>
        <v>762321.86352564977</v>
      </c>
      <c r="AG850" s="99">
        <f>IF(ISNUMBER('General Info'!$B$42), ((SamplingData[[#This Row],[up/U Selection Probability]]) * 'General Info'!$B$44) - 1, 0)</f>
        <v>1010.1062638601096</v>
      </c>
      <c r="AH850" s="99">
        <f>IF(ISNUMBER('General Info'!$B$42), (SamplingData[[#This Row],[Running (cumulative) sum]] * ('General Info'!$B$42 -'General Info'!$B$43 + 1)) + 'General Info'!$B$43 - 1, 0)</f>
        <v>763331.96978950989</v>
      </c>
      <c r="AI850" s="99" t="str">
        <f>IF(ISERROR(MATCH(SamplingData[[#This Row],[Batch by Type (p)]],SelectedPrecincts[Batch Name], 0)), "", INDEX(SelectedPrecincts[Draw], MATCH(SamplingData[[#This Row],[Batch by Type (p)]],SelectedPrecincts[Batch Name], 0)))</f>
        <v/>
      </c>
      <c r="AJ850" s="100">
        <f>IF(COUNTIF(SelectedPrecincts[Batch Name],SamplingData[[#This Row],[Batch by Type (p)]]) &lt;&gt; 0, COUNTIF(SelectedPrecincts[Batch Name],SamplingData[[#This Row],[Batch by Type (p)]]), 0)</f>
        <v>0</v>
      </c>
    </row>
    <row r="851" spans="1:36" ht="15" customHeight="1" x14ac:dyDescent="0.35">
      <c r="A851" s="97" t="s">
        <v>1064</v>
      </c>
      <c r="B851" s="97">
        <v>100</v>
      </c>
      <c r="C851" s="97">
        <v>78</v>
      </c>
      <c r="D851" s="92"/>
      <c r="E851" s="92"/>
      <c r="F851" s="92"/>
      <c r="G851" s="96"/>
      <c r="H851" s="96"/>
      <c r="I851" s="92"/>
      <c r="J851" s="92"/>
      <c r="K851" s="92"/>
      <c r="L851" s="92"/>
      <c r="M851" s="92"/>
      <c r="N851" s="97">
        <v>1</v>
      </c>
      <c r="O851" s="97">
        <v>11</v>
      </c>
      <c r="P851" s="98">
        <f>SUM(SamplingData[[#This Row],[Winning Candidate]:[Under Votes]])</f>
        <v>190</v>
      </c>
      <c r="Q851" s="99">
        <f>IF(AND(SamplingData[[#This Row],[Total]]&lt;&gt; 0, NOT(ISBLANK(SamplingData[[#This Row],[Losing Candidate]]))),(SamplingData[[#This Row],[Total]]+SamplingData[[#This Row],[Winning Candidate]]-SamplingData[[#This Row],[Losing Candidate]])/(SamplingData[[#Totals],[Winning Candidate]]-SamplingData[[#Totals],[Losing Candidate]]), 0)</f>
        <v>8.9967747411305379E-3</v>
      </c>
      <c r="R851" s="99">
        <f>IF(AND(SamplingData[[#This Row],[Total]]&lt;&gt; 0, NOT(ISBLANK(SamplingData[[#This Row],[Candidate 3]]))),(SamplingData[[#This Row],[Total]]+SamplingData[[#This Row],[Winning Candidate]]-SamplingData[[#This Row],[Candidate 3]])/(SamplingData[[#Totals],[Winning Candidate]]-SamplingData[[#Totals],[Candidate 3]]), 0)</f>
        <v>0</v>
      </c>
      <c r="S851" s="99">
        <f>IF(AND(SamplingData[[#This Row],[Total]]&lt;&gt; 0, NOT(ISBLANK(SamplingData[[#This Row],[Candidate 4]]))),(SamplingData[[#This Row],[Total]]+SamplingData[[#This Row],[Winning Candidate]]-SamplingData[[#This Row],[Candidate 4]])/(SamplingData[[#Totals],[Winning Candidate]]-SamplingData[[#Totals],[Candidate 4]]), 0)</f>
        <v>0</v>
      </c>
      <c r="T851" s="99">
        <f>IF(AND(SamplingData[[#This Row],[Total]]&lt;&gt; 0, NOT(ISBLANK(SamplingData[[#This Row],[Candidate 5]]))),(SamplingData[[#This Row],[Total]]+SamplingData[[#This Row],[Winning Candidate]]-SamplingData[[#This Row],[Candidate 5]])/(SamplingData[[#Totals],[Winning Candidate]]-SamplingData[[#Totals],[Candidate 5]]), 0)</f>
        <v>0</v>
      </c>
      <c r="U851" s="99">
        <f>IF(AND(SamplingData[[#This Row],[Total]]&lt;&gt; 0, NOT(ISBLANK(SamplingData[[#This Row],[Candidate 6]]))),(SamplingData[[#This Row],[Total]]+SamplingData[[#This Row],[Losing Candidate]]-SamplingData[[#This Row],[Candidate 6]])/(SamplingData[[#Totals],[Winning Candidate]]-SamplingData[[#Totals],[Candidate 6]]), 0)</f>
        <v>0</v>
      </c>
      <c r="V851" s="99">
        <f>IF(AND(SamplingData[[#This Row],[Total]]&lt;&gt; 0, NOT(ISBLANK(SamplingData[[#This Row],[Candidate 7]]))),(SamplingData[[#This Row],[Total]]+SamplingData[[#This Row],[Winning Candidate]]-SamplingData[[#This Row],[Candidate 7]])/(SamplingData[[#Totals],[Winning Candidate]]-SamplingData[[#Totals],[Candidate 7]]), 0)</f>
        <v>0</v>
      </c>
      <c r="W851" s="99">
        <f>IF(AND(SamplingData[[#This Row],[Total]]&lt;&gt; 0, NOT(ISBLANK(SamplingData[[#This Row],[Candidate 8]]))),(SamplingData[[#This Row],[Total]]+SamplingData[[#This Row],[Winning Candidate]]-SamplingData[[#This Row],[Candidate 8]])/(SamplingData[[#Totals],[Winning Candidate]]-SamplingData[[#Totals],[Candidate 8]]), 0)</f>
        <v>0</v>
      </c>
      <c r="X8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1" s="99">
        <f>MAX(SamplingData[[#This Row],[Error Bound (up) - Max. possible relative overstatement - Losing Candidate]:[Error Bound (up) - Max. possible relative overstatement - Candidate 12]])</f>
        <v>8.9967747411305379E-3</v>
      </c>
      <c r="AC851" s="99">
        <f>IF(SamplingData[[#This Row],[Max Error Bound (up)]] = 0,0,SamplingData[[#This Row],[Max Error Bound (up)]]/SamplingData[[#Totals],[Max Error Bound (up)]])</f>
        <v>4.816955684007713E-4</v>
      </c>
      <c r="AD851" s="103">
        <f>SUM($AC$5:AC851)</f>
        <v>0.76381466535791065</v>
      </c>
      <c r="AE851" s="99" t="str" cm="1">
        <f t="array" ref="AE851">IF(SamplingData[[#This Row],[up/U Selection Probability]] = 0, "Zero", TEXT(SamplingData[[#This Row],[Lower Range]], REPT("0",LEN('General Info'!$B$42))) &amp; " - " &amp; TEXT(SamplingData[[#This Row],[Upper Range]], REPT("0",LEN('General Info'!$B$42))))</f>
        <v>763333 - 763814</v>
      </c>
      <c r="AF851" s="99">
        <f>SamplingData[[#This Row],[Upper Range]]-SamplingData[[#This Row],[Span]]</f>
        <v>763332.96978950989</v>
      </c>
      <c r="AG851" s="99">
        <f>IF(ISNUMBER('General Info'!$B$42), ((SamplingData[[#This Row],[up/U Selection Probability]]) * 'General Info'!$B$44) - 1, 0)</f>
        <v>480.69556840077132</v>
      </c>
      <c r="AH851" s="99">
        <f>IF(ISNUMBER('General Info'!$B$42), (SamplingData[[#This Row],[Running (cumulative) sum]] * ('General Info'!$B$42 -'General Info'!$B$43 + 1)) + 'General Info'!$B$43 - 1, 0)</f>
        <v>763813.66535791068</v>
      </c>
      <c r="AI851" s="99" t="str">
        <f>IF(ISERROR(MATCH(SamplingData[[#This Row],[Batch by Type (p)]],SelectedPrecincts[Batch Name], 0)), "", INDEX(SelectedPrecincts[Draw], MATCH(SamplingData[[#This Row],[Batch by Type (p)]],SelectedPrecincts[Batch Name], 0)))</f>
        <v/>
      </c>
      <c r="AJ851" s="100">
        <f>IF(COUNTIF(SelectedPrecincts[Batch Name],SamplingData[[#This Row],[Batch by Type (p)]]) &lt;&gt; 0, COUNTIF(SelectedPrecincts[Batch Name],SamplingData[[#This Row],[Batch by Type (p)]]), 0)</f>
        <v>0</v>
      </c>
    </row>
    <row r="852" spans="1:36" ht="15" customHeight="1" x14ac:dyDescent="0.35">
      <c r="A852" s="97" t="s">
        <v>1065</v>
      </c>
      <c r="B852" s="97">
        <v>149</v>
      </c>
      <c r="C852" s="97">
        <v>263</v>
      </c>
      <c r="D852" s="92"/>
      <c r="E852" s="92"/>
      <c r="F852" s="92"/>
      <c r="G852" s="96"/>
      <c r="H852" s="96"/>
      <c r="I852" s="92"/>
      <c r="J852" s="92"/>
      <c r="K852" s="92"/>
      <c r="L852" s="92"/>
      <c r="M852" s="92"/>
      <c r="N852" s="97">
        <v>0</v>
      </c>
      <c r="O852" s="97">
        <v>29</v>
      </c>
      <c r="P852" s="98">
        <f>SUM(SamplingData[[#This Row],[Winning Candidate]:[Under Votes]])</f>
        <v>441</v>
      </c>
      <c r="Q852" s="99">
        <f>IF(AND(SamplingData[[#This Row],[Total]]&lt;&gt; 0, NOT(ISBLANK(SamplingData[[#This Row],[Losing Candidate]]))),(SamplingData[[#This Row],[Total]]+SamplingData[[#This Row],[Winning Candidate]]-SamplingData[[#This Row],[Losing Candidate]])/(SamplingData[[#Totals],[Winning Candidate]]-SamplingData[[#Totals],[Losing Candidate]]), 0)</f>
        <v>1.387710066202682E-2</v>
      </c>
      <c r="R852" s="99">
        <f>IF(AND(SamplingData[[#This Row],[Total]]&lt;&gt; 0, NOT(ISBLANK(SamplingData[[#This Row],[Candidate 3]]))),(SamplingData[[#This Row],[Total]]+SamplingData[[#This Row],[Winning Candidate]]-SamplingData[[#This Row],[Candidate 3]])/(SamplingData[[#Totals],[Winning Candidate]]-SamplingData[[#Totals],[Candidate 3]]), 0)</f>
        <v>0</v>
      </c>
      <c r="S852" s="99">
        <f>IF(AND(SamplingData[[#This Row],[Total]]&lt;&gt; 0, NOT(ISBLANK(SamplingData[[#This Row],[Candidate 4]]))),(SamplingData[[#This Row],[Total]]+SamplingData[[#This Row],[Winning Candidate]]-SamplingData[[#This Row],[Candidate 4]])/(SamplingData[[#Totals],[Winning Candidate]]-SamplingData[[#Totals],[Candidate 4]]), 0)</f>
        <v>0</v>
      </c>
      <c r="T852" s="99">
        <f>IF(AND(SamplingData[[#This Row],[Total]]&lt;&gt; 0, NOT(ISBLANK(SamplingData[[#This Row],[Candidate 5]]))),(SamplingData[[#This Row],[Total]]+SamplingData[[#This Row],[Winning Candidate]]-SamplingData[[#This Row],[Candidate 5]])/(SamplingData[[#Totals],[Winning Candidate]]-SamplingData[[#Totals],[Candidate 5]]), 0)</f>
        <v>0</v>
      </c>
      <c r="U852" s="99">
        <f>IF(AND(SamplingData[[#This Row],[Total]]&lt;&gt; 0, NOT(ISBLANK(SamplingData[[#This Row],[Candidate 6]]))),(SamplingData[[#This Row],[Total]]+SamplingData[[#This Row],[Losing Candidate]]-SamplingData[[#This Row],[Candidate 6]])/(SamplingData[[#Totals],[Winning Candidate]]-SamplingData[[#Totals],[Candidate 6]]), 0)</f>
        <v>0</v>
      </c>
      <c r="V852" s="99">
        <f>IF(AND(SamplingData[[#This Row],[Total]]&lt;&gt; 0, NOT(ISBLANK(SamplingData[[#This Row],[Candidate 7]]))),(SamplingData[[#This Row],[Total]]+SamplingData[[#This Row],[Winning Candidate]]-SamplingData[[#This Row],[Candidate 7]])/(SamplingData[[#Totals],[Winning Candidate]]-SamplingData[[#Totals],[Candidate 7]]), 0)</f>
        <v>0</v>
      </c>
      <c r="W852" s="99">
        <f>IF(AND(SamplingData[[#This Row],[Total]]&lt;&gt; 0, NOT(ISBLANK(SamplingData[[#This Row],[Candidate 8]]))),(SamplingData[[#This Row],[Total]]+SamplingData[[#This Row],[Winning Candidate]]-SamplingData[[#This Row],[Candidate 8]])/(SamplingData[[#Totals],[Winning Candidate]]-SamplingData[[#Totals],[Candidate 8]]), 0)</f>
        <v>0</v>
      </c>
      <c r="X8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2" s="99">
        <f>MAX(SamplingData[[#This Row],[Error Bound (up) - Max. possible relative overstatement - Losing Candidate]:[Error Bound (up) - Max. possible relative overstatement - Candidate 12]])</f>
        <v>1.387710066202682E-2</v>
      </c>
      <c r="AC852" s="99">
        <f>IF(SamplingData[[#This Row],[Max Error Bound (up)]] = 0,0,SamplingData[[#This Row],[Max Error Bound (up)]]/SamplingData[[#Totals],[Max Error Bound (up)]])</f>
        <v>7.4299269276911425E-4</v>
      </c>
      <c r="AD852" s="103">
        <f>SUM($AC$5:AC852)</f>
        <v>0.76455765805067977</v>
      </c>
      <c r="AE852" s="99" t="str" cm="1">
        <f t="array" ref="AE852">IF(SamplingData[[#This Row],[up/U Selection Probability]] = 0, "Zero", TEXT(SamplingData[[#This Row],[Lower Range]], REPT("0",LEN('General Info'!$B$42))) &amp; " - " &amp; TEXT(SamplingData[[#This Row],[Upper Range]], REPT("0",LEN('General Info'!$B$42))))</f>
        <v>763815 - 764557</v>
      </c>
      <c r="AF852" s="99">
        <f>SamplingData[[#This Row],[Upper Range]]-SamplingData[[#This Row],[Span]]</f>
        <v>763814.66535791056</v>
      </c>
      <c r="AG852" s="99">
        <f>IF(ISNUMBER('General Info'!$B$42), ((SamplingData[[#This Row],[up/U Selection Probability]]) * 'General Info'!$B$44) - 1, 0)</f>
        <v>741.99269276911423</v>
      </c>
      <c r="AH852" s="99">
        <f>IF(ISNUMBER('General Info'!$B$42), (SamplingData[[#This Row],[Running (cumulative) sum]] * ('General Info'!$B$42 -'General Info'!$B$43 + 1)) + 'General Info'!$B$43 - 1, 0)</f>
        <v>764556.65805067972</v>
      </c>
      <c r="AI852" s="99" t="str">
        <f>IF(ISERROR(MATCH(SamplingData[[#This Row],[Batch by Type (p)]],SelectedPrecincts[Batch Name], 0)), "", INDEX(SelectedPrecincts[Draw], MATCH(SamplingData[[#This Row],[Batch by Type (p)]],SelectedPrecincts[Batch Name], 0)))</f>
        <v/>
      </c>
      <c r="AJ852" s="100">
        <f>IF(COUNTIF(SelectedPrecincts[Batch Name],SamplingData[[#This Row],[Batch by Type (p)]]) &lt;&gt; 0, COUNTIF(SelectedPrecincts[Batch Name],SamplingData[[#This Row],[Batch by Type (p)]]), 0)</f>
        <v>0</v>
      </c>
    </row>
    <row r="853" spans="1:36" ht="15" customHeight="1" x14ac:dyDescent="0.35">
      <c r="A853" s="97" t="s">
        <v>1066</v>
      </c>
      <c r="B853" s="97">
        <v>79</v>
      </c>
      <c r="C853" s="97">
        <v>190</v>
      </c>
      <c r="D853" s="92"/>
      <c r="E853" s="92"/>
      <c r="F853" s="92"/>
      <c r="G853" s="96"/>
      <c r="H853" s="96"/>
      <c r="I853" s="92"/>
      <c r="J853" s="92"/>
      <c r="K853" s="92"/>
      <c r="L853" s="92"/>
      <c r="M853" s="92"/>
      <c r="N853" s="97">
        <v>0</v>
      </c>
      <c r="O853" s="97">
        <v>20</v>
      </c>
      <c r="P853" s="98">
        <f>SUM(SamplingData[[#This Row],[Winning Candidate]:[Under Votes]])</f>
        <v>289</v>
      </c>
      <c r="Q853" s="99">
        <f>IF(AND(SamplingData[[#This Row],[Total]]&lt;&gt; 0, NOT(ISBLANK(SamplingData[[#This Row],[Losing Candidate]]))),(SamplingData[[#This Row],[Total]]+SamplingData[[#This Row],[Winning Candidate]]-SamplingData[[#This Row],[Losing Candidate]])/(SamplingData[[#Totals],[Winning Candidate]]-SamplingData[[#Totals],[Losing Candidate]]), 0)</f>
        <v>7.5538957732133767E-3</v>
      </c>
      <c r="R853" s="99">
        <f>IF(AND(SamplingData[[#This Row],[Total]]&lt;&gt; 0, NOT(ISBLANK(SamplingData[[#This Row],[Candidate 3]]))),(SamplingData[[#This Row],[Total]]+SamplingData[[#This Row],[Winning Candidate]]-SamplingData[[#This Row],[Candidate 3]])/(SamplingData[[#Totals],[Winning Candidate]]-SamplingData[[#Totals],[Candidate 3]]), 0)</f>
        <v>0</v>
      </c>
      <c r="S853" s="99">
        <f>IF(AND(SamplingData[[#This Row],[Total]]&lt;&gt; 0, NOT(ISBLANK(SamplingData[[#This Row],[Candidate 4]]))),(SamplingData[[#This Row],[Total]]+SamplingData[[#This Row],[Winning Candidate]]-SamplingData[[#This Row],[Candidate 4]])/(SamplingData[[#Totals],[Winning Candidate]]-SamplingData[[#Totals],[Candidate 4]]), 0)</f>
        <v>0</v>
      </c>
      <c r="T853" s="99">
        <f>IF(AND(SamplingData[[#This Row],[Total]]&lt;&gt; 0, NOT(ISBLANK(SamplingData[[#This Row],[Candidate 5]]))),(SamplingData[[#This Row],[Total]]+SamplingData[[#This Row],[Winning Candidate]]-SamplingData[[#This Row],[Candidate 5]])/(SamplingData[[#Totals],[Winning Candidate]]-SamplingData[[#Totals],[Candidate 5]]), 0)</f>
        <v>0</v>
      </c>
      <c r="U853" s="99">
        <f>IF(AND(SamplingData[[#This Row],[Total]]&lt;&gt; 0, NOT(ISBLANK(SamplingData[[#This Row],[Candidate 6]]))),(SamplingData[[#This Row],[Total]]+SamplingData[[#This Row],[Losing Candidate]]-SamplingData[[#This Row],[Candidate 6]])/(SamplingData[[#Totals],[Winning Candidate]]-SamplingData[[#Totals],[Candidate 6]]), 0)</f>
        <v>0</v>
      </c>
      <c r="V853" s="99">
        <f>IF(AND(SamplingData[[#This Row],[Total]]&lt;&gt; 0, NOT(ISBLANK(SamplingData[[#This Row],[Candidate 7]]))),(SamplingData[[#This Row],[Total]]+SamplingData[[#This Row],[Winning Candidate]]-SamplingData[[#This Row],[Candidate 7]])/(SamplingData[[#Totals],[Winning Candidate]]-SamplingData[[#Totals],[Candidate 7]]), 0)</f>
        <v>0</v>
      </c>
      <c r="W853" s="99">
        <f>IF(AND(SamplingData[[#This Row],[Total]]&lt;&gt; 0, NOT(ISBLANK(SamplingData[[#This Row],[Candidate 8]]))),(SamplingData[[#This Row],[Total]]+SamplingData[[#This Row],[Winning Candidate]]-SamplingData[[#This Row],[Candidate 8]])/(SamplingData[[#Totals],[Winning Candidate]]-SamplingData[[#Totals],[Candidate 8]]), 0)</f>
        <v>0</v>
      </c>
      <c r="X8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3" s="99">
        <f>MAX(SamplingData[[#This Row],[Error Bound (up) - Max. possible relative overstatement - Losing Candidate]:[Error Bound (up) - Max. possible relative overstatement - Candidate 12]])</f>
        <v>7.5538957732133767E-3</v>
      </c>
      <c r="AC853" s="99">
        <f>IF(SamplingData[[#This Row],[Max Error Bound (up)]] = 0,0,SamplingData[[#This Row],[Max Error Bound (up)]]/SamplingData[[#Totals],[Max Error Bound (up)]])</f>
        <v>4.0444250554404388E-4</v>
      </c>
      <c r="AD853" s="103">
        <f>SUM($AC$5:AC853)</f>
        <v>0.76496210055622382</v>
      </c>
      <c r="AE853" s="99" t="str" cm="1">
        <f t="array" ref="AE853">IF(SamplingData[[#This Row],[up/U Selection Probability]] = 0, "Zero", TEXT(SamplingData[[#This Row],[Lower Range]], REPT("0",LEN('General Info'!$B$42))) &amp; " - " &amp; TEXT(SamplingData[[#This Row],[Upper Range]], REPT("0",LEN('General Info'!$B$42))))</f>
        <v>764558 - 764961</v>
      </c>
      <c r="AF853" s="99">
        <f>SamplingData[[#This Row],[Upper Range]]-SamplingData[[#This Row],[Span]]</f>
        <v>764557.65805067972</v>
      </c>
      <c r="AG853" s="99">
        <f>IF(ISNUMBER('General Info'!$B$42), ((SamplingData[[#This Row],[up/U Selection Probability]]) * 'General Info'!$B$44) - 1, 0)</f>
        <v>403.44250554404391</v>
      </c>
      <c r="AH853" s="99">
        <f>IF(ISNUMBER('General Info'!$B$42), (SamplingData[[#This Row],[Running (cumulative) sum]] * ('General Info'!$B$42 -'General Info'!$B$43 + 1)) + 'General Info'!$B$43 - 1, 0)</f>
        <v>764961.10055622377</v>
      </c>
      <c r="AI853" s="99" t="str">
        <f>IF(ISERROR(MATCH(SamplingData[[#This Row],[Batch by Type (p)]],SelectedPrecincts[Batch Name], 0)), "", INDEX(SelectedPrecincts[Draw], MATCH(SamplingData[[#This Row],[Batch by Type (p)]],SelectedPrecincts[Batch Name], 0)))</f>
        <v/>
      </c>
      <c r="AJ853" s="100">
        <f>IF(COUNTIF(SelectedPrecincts[Batch Name],SamplingData[[#This Row],[Batch by Type (p)]]) &lt;&gt; 0, COUNTIF(SelectedPrecincts[Batch Name],SamplingData[[#This Row],[Batch by Type (p)]]), 0)</f>
        <v>0</v>
      </c>
    </row>
    <row r="854" spans="1:36" ht="15" customHeight="1" x14ac:dyDescent="0.35">
      <c r="A854" s="97" t="s">
        <v>1067</v>
      </c>
      <c r="B854" s="97">
        <v>158</v>
      </c>
      <c r="C854" s="97">
        <v>313</v>
      </c>
      <c r="D854" s="92"/>
      <c r="E854" s="92"/>
      <c r="F854" s="92"/>
      <c r="G854" s="96"/>
      <c r="H854" s="96"/>
      <c r="I854" s="92"/>
      <c r="J854" s="92"/>
      <c r="K854" s="92"/>
      <c r="L854" s="92"/>
      <c r="M854" s="92"/>
      <c r="N854" s="97">
        <v>0</v>
      </c>
      <c r="O854" s="97">
        <v>44</v>
      </c>
      <c r="P854" s="98">
        <f>SUM(SamplingData[[#This Row],[Winning Candidate]:[Under Votes]])</f>
        <v>515</v>
      </c>
      <c r="Q854" s="99">
        <f>IF(AND(SamplingData[[#This Row],[Total]]&lt;&gt; 0, NOT(ISBLANK(SamplingData[[#This Row],[Losing Candidate]]))),(SamplingData[[#This Row],[Total]]+SamplingData[[#This Row],[Winning Candidate]]-SamplingData[[#This Row],[Losing Candidate]])/(SamplingData[[#Totals],[Winning Candidate]]-SamplingData[[#Totals],[Losing Candidate]]), 0)</f>
        <v>1.5277542013240537E-2</v>
      </c>
      <c r="R854" s="99">
        <f>IF(AND(SamplingData[[#This Row],[Total]]&lt;&gt; 0, NOT(ISBLANK(SamplingData[[#This Row],[Candidate 3]]))),(SamplingData[[#This Row],[Total]]+SamplingData[[#This Row],[Winning Candidate]]-SamplingData[[#This Row],[Candidate 3]])/(SamplingData[[#Totals],[Winning Candidate]]-SamplingData[[#Totals],[Candidate 3]]), 0)</f>
        <v>0</v>
      </c>
      <c r="S854" s="99">
        <f>IF(AND(SamplingData[[#This Row],[Total]]&lt;&gt; 0, NOT(ISBLANK(SamplingData[[#This Row],[Candidate 4]]))),(SamplingData[[#This Row],[Total]]+SamplingData[[#This Row],[Winning Candidate]]-SamplingData[[#This Row],[Candidate 4]])/(SamplingData[[#Totals],[Winning Candidate]]-SamplingData[[#Totals],[Candidate 4]]), 0)</f>
        <v>0</v>
      </c>
      <c r="T854" s="99">
        <f>IF(AND(SamplingData[[#This Row],[Total]]&lt;&gt; 0, NOT(ISBLANK(SamplingData[[#This Row],[Candidate 5]]))),(SamplingData[[#This Row],[Total]]+SamplingData[[#This Row],[Winning Candidate]]-SamplingData[[#This Row],[Candidate 5]])/(SamplingData[[#Totals],[Winning Candidate]]-SamplingData[[#Totals],[Candidate 5]]), 0)</f>
        <v>0</v>
      </c>
      <c r="U854" s="99">
        <f>IF(AND(SamplingData[[#This Row],[Total]]&lt;&gt; 0, NOT(ISBLANK(SamplingData[[#This Row],[Candidate 6]]))),(SamplingData[[#This Row],[Total]]+SamplingData[[#This Row],[Losing Candidate]]-SamplingData[[#This Row],[Candidate 6]])/(SamplingData[[#Totals],[Winning Candidate]]-SamplingData[[#Totals],[Candidate 6]]), 0)</f>
        <v>0</v>
      </c>
      <c r="V854" s="99">
        <f>IF(AND(SamplingData[[#This Row],[Total]]&lt;&gt; 0, NOT(ISBLANK(SamplingData[[#This Row],[Candidate 7]]))),(SamplingData[[#This Row],[Total]]+SamplingData[[#This Row],[Winning Candidate]]-SamplingData[[#This Row],[Candidate 7]])/(SamplingData[[#Totals],[Winning Candidate]]-SamplingData[[#Totals],[Candidate 7]]), 0)</f>
        <v>0</v>
      </c>
      <c r="W854" s="99">
        <f>IF(AND(SamplingData[[#This Row],[Total]]&lt;&gt; 0, NOT(ISBLANK(SamplingData[[#This Row],[Candidate 8]]))),(SamplingData[[#This Row],[Total]]+SamplingData[[#This Row],[Winning Candidate]]-SamplingData[[#This Row],[Candidate 8]])/(SamplingData[[#Totals],[Winning Candidate]]-SamplingData[[#Totals],[Candidate 8]]), 0)</f>
        <v>0</v>
      </c>
      <c r="X8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4" s="99">
        <f>MAX(SamplingData[[#This Row],[Error Bound (up) - Max. possible relative overstatement - Losing Candidate]:[Error Bound (up) - Max. possible relative overstatement - Candidate 12]])</f>
        <v>1.5277542013240537E-2</v>
      </c>
      <c r="AC854" s="99">
        <f>IF(SamplingData[[#This Row],[Max Error Bound (up)]] = 0,0,SamplingData[[#This Row],[Max Error Bound (up)]]/SamplingData[[#Totals],[Max Error Bound (up)]])</f>
        <v>8.17973606718291E-4</v>
      </c>
      <c r="AD854" s="103">
        <f>SUM($AC$5:AC854)</f>
        <v>0.76578007416294214</v>
      </c>
      <c r="AE854" s="99" t="str" cm="1">
        <f t="array" ref="AE854">IF(SamplingData[[#This Row],[up/U Selection Probability]] = 0, "Zero", TEXT(SamplingData[[#This Row],[Lower Range]], REPT("0",LEN('General Info'!$B$42))) &amp; " - " &amp; TEXT(SamplingData[[#This Row],[Upper Range]], REPT("0",LEN('General Info'!$B$42))))</f>
        <v>764962 - 765779</v>
      </c>
      <c r="AF854" s="99">
        <f>SamplingData[[#This Row],[Upper Range]]-SamplingData[[#This Row],[Span]]</f>
        <v>764962.10055622389</v>
      </c>
      <c r="AG854" s="99">
        <f>IF(ISNUMBER('General Info'!$B$42), ((SamplingData[[#This Row],[up/U Selection Probability]]) * 'General Info'!$B$44) - 1, 0)</f>
        <v>816.97360671829097</v>
      </c>
      <c r="AH854" s="99">
        <f>IF(ISNUMBER('General Info'!$B$42), (SamplingData[[#This Row],[Running (cumulative) sum]] * ('General Info'!$B$42 -'General Info'!$B$43 + 1)) + 'General Info'!$B$43 - 1, 0)</f>
        <v>765779.07416294212</v>
      </c>
      <c r="AI854" s="99" t="str">
        <f>IF(ISERROR(MATCH(SamplingData[[#This Row],[Batch by Type (p)]],SelectedPrecincts[Batch Name], 0)), "", INDEX(SelectedPrecincts[Draw], MATCH(SamplingData[[#This Row],[Batch by Type (p)]],SelectedPrecincts[Batch Name], 0)))</f>
        <v/>
      </c>
      <c r="AJ854" s="100">
        <f>IF(COUNTIF(SelectedPrecincts[Batch Name],SamplingData[[#This Row],[Batch by Type (p)]]) &lt;&gt; 0, COUNTIF(SelectedPrecincts[Batch Name],SamplingData[[#This Row],[Batch by Type (p)]]), 0)</f>
        <v>0</v>
      </c>
    </row>
    <row r="855" spans="1:36" ht="15" customHeight="1" x14ac:dyDescent="0.35">
      <c r="A855" s="97" t="s">
        <v>1068</v>
      </c>
      <c r="B855" s="97">
        <v>99</v>
      </c>
      <c r="C855" s="97">
        <v>237</v>
      </c>
      <c r="D855" s="92"/>
      <c r="E855" s="92"/>
      <c r="F855" s="92"/>
      <c r="G855" s="96"/>
      <c r="H855" s="96"/>
      <c r="I855" s="92"/>
      <c r="J855" s="92"/>
      <c r="K855" s="92"/>
      <c r="L855" s="92"/>
      <c r="M855" s="92"/>
      <c r="N855" s="97">
        <v>0</v>
      </c>
      <c r="O855" s="97">
        <v>29</v>
      </c>
      <c r="P855" s="98">
        <f>SUM(SamplingData[[#This Row],[Winning Candidate]:[Under Votes]])</f>
        <v>365</v>
      </c>
      <c r="Q855" s="99">
        <f>IF(AND(SamplingData[[#This Row],[Total]]&lt;&gt; 0, NOT(ISBLANK(SamplingData[[#This Row],[Losing Candidate]]))),(SamplingData[[#This Row],[Total]]+SamplingData[[#This Row],[Winning Candidate]]-SamplingData[[#This Row],[Losing Candidate]])/(SamplingData[[#Totals],[Winning Candidate]]-SamplingData[[#Totals],[Losing Candidate]]), 0)</f>
        <v>9.6333389916822276E-3</v>
      </c>
      <c r="R855" s="99">
        <f>IF(AND(SamplingData[[#This Row],[Total]]&lt;&gt; 0, NOT(ISBLANK(SamplingData[[#This Row],[Candidate 3]]))),(SamplingData[[#This Row],[Total]]+SamplingData[[#This Row],[Winning Candidate]]-SamplingData[[#This Row],[Candidate 3]])/(SamplingData[[#Totals],[Winning Candidate]]-SamplingData[[#Totals],[Candidate 3]]), 0)</f>
        <v>0</v>
      </c>
      <c r="S855" s="99">
        <f>IF(AND(SamplingData[[#This Row],[Total]]&lt;&gt; 0, NOT(ISBLANK(SamplingData[[#This Row],[Candidate 4]]))),(SamplingData[[#This Row],[Total]]+SamplingData[[#This Row],[Winning Candidate]]-SamplingData[[#This Row],[Candidate 4]])/(SamplingData[[#Totals],[Winning Candidate]]-SamplingData[[#Totals],[Candidate 4]]), 0)</f>
        <v>0</v>
      </c>
      <c r="T855" s="99">
        <f>IF(AND(SamplingData[[#This Row],[Total]]&lt;&gt; 0, NOT(ISBLANK(SamplingData[[#This Row],[Candidate 5]]))),(SamplingData[[#This Row],[Total]]+SamplingData[[#This Row],[Winning Candidate]]-SamplingData[[#This Row],[Candidate 5]])/(SamplingData[[#Totals],[Winning Candidate]]-SamplingData[[#Totals],[Candidate 5]]), 0)</f>
        <v>0</v>
      </c>
      <c r="U855" s="99">
        <f>IF(AND(SamplingData[[#This Row],[Total]]&lt;&gt; 0, NOT(ISBLANK(SamplingData[[#This Row],[Candidate 6]]))),(SamplingData[[#This Row],[Total]]+SamplingData[[#This Row],[Losing Candidate]]-SamplingData[[#This Row],[Candidate 6]])/(SamplingData[[#Totals],[Winning Candidate]]-SamplingData[[#Totals],[Candidate 6]]), 0)</f>
        <v>0</v>
      </c>
      <c r="V855" s="99">
        <f>IF(AND(SamplingData[[#This Row],[Total]]&lt;&gt; 0, NOT(ISBLANK(SamplingData[[#This Row],[Candidate 7]]))),(SamplingData[[#This Row],[Total]]+SamplingData[[#This Row],[Winning Candidate]]-SamplingData[[#This Row],[Candidate 7]])/(SamplingData[[#Totals],[Winning Candidate]]-SamplingData[[#Totals],[Candidate 7]]), 0)</f>
        <v>0</v>
      </c>
      <c r="W855" s="99">
        <f>IF(AND(SamplingData[[#This Row],[Total]]&lt;&gt; 0, NOT(ISBLANK(SamplingData[[#This Row],[Candidate 8]]))),(SamplingData[[#This Row],[Total]]+SamplingData[[#This Row],[Winning Candidate]]-SamplingData[[#This Row],[Candidate 8]])/(SamplingData[[#Totals],[Winning Candidate]]-SamplingData[[#Totals],[Candidate 8]]), 0)</f>
        <v>0</v>
      </c>
      <c r="X8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5" s="99">
        <f>MAX(SamplingData[[#This Row],[Error Bound (up) - Max. possible relative overstatement - Losing Candidate]:[Error Bound (up) - Max. possible relative overstatement - Candidate 12]])</f>
        <v>9.6333389916822276E-3</v>
      </c>
      <c r="AC855" s="99">
        <f>IF(SamplingData[[#This Row],[Max Error Bound (up)]] = 0,0,SamplingData[[#This Row],[Max Error Bound (up)]]/SamplingData[[#Totals],[Max Error Bound (up)]])</f>
        <v>5.1577780201403345E-4</v>
      </c>
      <c r="AD855" s="103">
        <f>SUM($AC$5:AC855)</f>
        <v>0.7662958519649562</v>
      </c>
      <c r="AE855" s="99" t="str" cm="1">
        <f t="array" ref="AE855">IF(SamplingData[[#This Row],[up/U Selection Probability]] = 0, "Zero", TEXT(SamplingData[[#This Row],[Lower Range]], REPT("0",LEN('General Info'!$B$42))) &amp; " - " &amp; TEXT(SamplingData[[#This Row],[Upper Range]], REPT("0",LEN('General Info'!$B$42))))</f>
        <v>765780 - 766295</v>
      </c>
      <c r="AF855" s="99">
        <f>SamplingData[[#This Row],[Upper Range]]-SamplingData[[#This Row],[Span]]</f>
        <v>765780.07416294212</v>
      </c>
      <c r="AG855" s="99">
        <f>IF(ISNUMBER('General Info'!$B$42), ((SamplingData[[#This Row],[up/U Selection Probability]]) * 'General Info'!$B$44) - 1, 0)</f>
        <v>514.77780201403345</v>
      </c>
      <c r="AH855" s="99">
        <f>IF(ISNUMBER('General Info'!$B$42), (SamplingData[[#This Row],[Running (cumulative) sum]] * ('General Info'!$B$42 -'General Info'!$B$43 + 1)) + 'General Info'!$B$43 - 1, 0)</f>
        <v>766294.85196495615</v>
      </c>
      <c r="AI855" s="99" t="str">
        <f>IF(ISERROR(MATCH(SamplingData[[#This Row],[Batch by Type (p)]],SelectedPrecincts[Batch Name], 0)), "", INDEX(SelectedPrecincts[Draw], MATCH(SamplingData[[#This Row],[Batch by Type (p)]],SelectedPrecincts[Batch Name], 0)))</f>
        <v/>
      </c>
      <c r="AJ855" s="100">
        <f>IF(COUNTIF(SelectedPrecincts[Batch Name],SamplingData[[#This Row],[Batch by Type (p)]]) &lt;&gt; 0, COUNTIF(SelectedPrecincts[Batch Name],SamplingData[[#This Row],[Batch by Type (p)]]), 0)</f>
        <v>0</v>
      </c>
    </row>
    <row r="856" spans="1:36" ht="15" customHeight="1" x14ac:dyDescent="0.35">
      <c r="A856" s="97" t="s">
        <v>1069</v>
      </c>
      <c r="B856" s="97">
        <v>95</v>
      </c>
      <c r="C856" s="97">
        <v>299</v>
      </c>
      <c r="D856" s="92"/>
      <c r="E856" s="92"/>
      <c r="F856" s="92"/>
      <c r="G856" s="96"/>
      <c r="H856" s="96"/>
      <c r="I856" s="92"/>
      <c r="J856" s="92"/>
      <c r="K856" s="92"/>
      <c r="L856" s="92"/>
      <c r="M856" s="92"/>
      <c r="N856" s="97">
        <v>0</v>
      </c>
      <c r="O856" s="97">
        <v>45</v>
      </c>
      <c r="P856" s="98">
        <f>SUM(SamplingData[[#This Row],[Winning Candidate]:[Under Votes]])</f>
        <v>439</v>
      </c>
      <c r="Q856" s="99">
        <f>IF(AND(SamplingData[[#This Row],[Total]]&lt;&gt; 0, NOT(ISBLANK(SamplingData[[#This Row],[Losing Candidate]]))),(SamplingData[[#This Row],[Total]]+SamplingData[[#This Row],[Winning Candidate]]-SamplingData[[#This Row],[Losing Candidate]])/(SamplingData[[#Totals],[Winning Candidate]]-SamplingData[[#Totals],[Losing Candidate]]), 0)</f>
        <v>9.9728399253097948E-3</v>
      </c>
      <c r="R856" s="99">
        <f>IF(AND(SamplingData[[#This Row],[Total]]&lt;&gt; 0, NOT(ISBLANK(SamplingData[[#This Row],[Candidate 3]]))),(SamplingData[[#This Row],[Total]]+SamplingData[[#This Row],[Winning Candidate]]-SamplingData[[#This Row],[Candidate 3]])/(SamplingData[[#Totals],[Winning Candidate]]-SamplingData[[#Totals],[Candidate 3]]), 0)</f>
        <v>0</v>
      </c>
      <c r="S856" s="99">
        <f>IF(AND(SamplingData[[#This Row],[Total]]&lt;&gt; 0, NOT(ISBLANK(SamplingData[[#This Row],[Candidate 4]]))),(SamplingData[[#This Row],[Total]]+SamplingData[[#This Row],[Winning Candidate]]-SamplingData[[#This Row],[Candidate 4]])/(SamplingData[[#Totals],[Winning Candidate]]-SamplingData[[#Totals],[Candidate 4]]), 0)</f>
        <v>0</v>
      </c>
      <c r="T856" s="99">
        <f>IF(AND(SamplingData[[#This Row],[Total]]&lt;&gt; 0, NOT(ISBLANK(SamplingData[[#This Row],[Candidate 5]]))),(SamplingData[[#This Row],[Total]]+SamplingData[[#This Row],[Winning Candidate]]-SamplingData[[#This Row],[Candidate 5]])/(SamplingData[[#Totals],[Winning Candidate]]-SamplingData[[#Totals],[Candidate 5]]), 0)</f>
        <v>0</v>
      </c>
      <c r="U856" s="99">
        <f>IF(AND(SamplingData[[#This Row],[Total]]&lt;&gt; 0, NOT(ISBLANK(SamplingData[[#This Row],[Candidate 6]]))),(SamplingData[[#This Row],[Total]]+SamplingData[[#This Row],[Losing Candidate]]-SamplingData[[#This Row],[Candidate 6]])/(SamplingData[[#Totals],[Winning Candidate]]-SamplingData[[#Totals],[Candidate 6]]), 0)</f>
        <v>0</v>
      </c>
      <c r="V856" s="99">
        <f>IF(AND(SamplingData[[#This Row],[Total]]&lt;&gt; 0, NOT(ISBLANK(SamplingData[[#This Row],[Candidate 7]]))),(SamplingData[[#This Row],[Total]]+SamplingData[[#This Row],[Winning Candidate]]-SamplingData[[#This Row],[Candidate 7]])/(SamplingData[[#Totals],[Winning Candidate]]-SamplingData[[#Totals],[Candidate 7]]), 0)</f>
        <v>0</v>
      </c>
      <c r="W856" s="99">
        <f>IF(AND(SamplingData[[#This Row],[Total]]&lt;&gt; 0, NOT(ISBLANK(SamplingData[[#This Row],[Candidate 8]]))),(SamplingData[[#This Row],[Total]]+SamplingData[[#This Row],[Winning Candidate]]-SamplingData[[#This Row],[Candidate 8]])/(SamplingData[[#Totals],[Winning Candidate]]-SamplingData[[#Totals],[Candidate 8]]), 0)</f>
        <v>0</v>
      </c>
      <c r="X8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6" s="99">
        <f>MAX(SamplingData[[#This Row],[Error Bound (up) - Max. possible relative overstatement - Losing Candidate]:[Error Bound (up) - Max. possible relative overstatement - Candidate 12]])</f>
        <v>9.9728399253097948E-3</v>
      </c>
      <c r="AC856" s="99">
        <f>IF(SamplingData[[#This Row],[Max Error Bound (up)]] = 0,0,SamplingData[[#This Row],[Max Error Bound (up)]]/SamplingData[[#Totals],[Max Error Bound (up)]])</f>
        <v>5.3395499327443992E-4</v>
      </c>
      <c r="AD856" s="103">
        <f>SUM($AC$5:AC856)</f>
        <v>0.76682980695823066</v>
      </c>
      <c r="AE856" s="99" t="str" cm="1">
        <f t="array" ref="AE856">IF(SamplingData[[#This Row],[up/U Selection Probability]] = 0, "Zero", TEXT(SamplingData[[#This Row],[Lower Range]], REPT("0",LEN('General Info'!$B$42))) &amp; " - " &amp; TEXT(SamplingData[[#This Row],[Upper Range]], REPT("0",LEN('General Info'!$B$42))))</f>
        <v>766296 - 766829</v>
      </c>
      <c r="AF856" s="99">
        <f>SamplingData[[#This Row],[Upper Range]]-SamplingData[[#This Row],[Span]]</f>
        <v>766295.85196495627</v>
      </c>
      <c r="AG856" s="99">
        <f>IF(ISNUMBER('General Info'!$B$42), ((SamplingData[[#This Row],[up/U Selection Probability]]) * 'General Info'!$B$44) - 1, 0)</f>
        <v>532.95499327443997</v>
      </c>
      <c r="AH856" s="99">
        <f>IF(ISNUMBER('General Info'!$B$42), (SamplingData[[#This Row],[Running (cumulative) sum]] * ('General Info'!$B$42 -'General Info'!$B$43 + 1)) + 'General Info'!$B$43 - 1, 0)</f>
        <v>766828.80695823068</v>
      </c>
      <c r="AI856" s="99" t="str">
        <f>IF(ISERROR(MATCH(SamplingData[[#This Row],[Batch by Type (p)]],SelectedPrecincts[Batch Name], 0)), "", INDEX(SelectedPrecincts[Draw], MATCH(SamplingData[[#This Row],[Batch by Type (p)]],SelectedPrecincts[Batch Name], 0)))</f>
        <v/>
      </c>
      <c r="AJ856" s="100">
        <f>IF(COUNTIF(SelectedPrecincts[Batch Name],SamplingData[[#This Row],[Batch by Type (p)]]) &lt;&gt; 0, COUNTIF(SelectedPrecincts[Batch Name],SamplingData[[#This Row],[Batch by Type (p)]]), 0)</f>
        <v>0</v>
      </c>
    </row>
    <row r="857" spans="1:36" ht="15" customHeight="1" x14ac:dyDescent="0.35">
      <c r="A857" s="97" t="s">
        <v>1070</v>
      </c>
      <c r="B857" s="97">
        <v>127</v>
      </c>
      <c r="C857" s="97">
        <v>426</v>
      </c>
      <c r="D857" s="92"/>
      <c r="E857" s="92"/>
      <c r="F857" s="92"/>
      <c r="G857" s="96"/>
      <c r="H857" s="96"/>
      <c r="I857" s="92"/>
      <c r="J857" s="92"/>
      <c r="K857" s="92"/>
      <c r="L857" s="92"/>
      <c r="M857" s="92"/>
      <c r="N857" s="97">
        <v>0</v>
      </c>
      <c r="O857" s="97">
        <v>37</v>
      </c>
      <c r="P857" s="98">
        <f>SUM(SamplingData[[#This Row],[Winning Candidate]:[Under Votes]])</f>
        <v>590</v>
      </c>
      <c r="Q857" s="99">
        <f>IF(AND(SamplingData[[#This Row],[Total]]&lt;&gt; 0, NOT(ISBLANK(SamplingData[[#This Row],[Losing Candidate]]))),(SamplingData[[#This Row],[Total]]+SamplingData[[#This Row],[Winning Candidate]]-SamplingData[[#This Row],[Losing Candidate]])/(SamplingData[[#Totals],[Winning Candidate]]-SamplingData[[#Totals],[Losing Candidate]]), 0)</f>
        <v>1.2349346460702766E-2</v>
      </c>
      <c r="R857" s="99">
        <f>IF(AND(SamplingData[[#This Row],[Total]]&lt;&gt; 0, NOT(ISBLANK(SamplingData[[#This Row],[Candidate 3]]))),(SamplingData[[#This Row],[Total]]+SamplingData[[#This Row],[Winning Candidate]]-SamplingData[[#This Row],[Candidate 3]])/(SamplingData[[#Totals],[Winning Candidate]]-SamplingData[[#Totals],[Candidate 3]]), 0)</f>
        <v>0</v>
      </c>
      <c r="S857" s="99">
        <f>IF(AND(SamplingData[[#This Row],[Total]]&lt;&gt; 0, NOT(ISBLANK(SamplingData[[#This Row],[Candidate 4]]))),(SamplingData[[#This Row],[Total]]+SamplingData[[#This Row],[Winning Candidate]]-SamplingData[[#This Row],[Candidate 4]])/(SamplingData[[#Totals],[Winning Candidate]]-SamplingData[[#Totals],[Candidate 4]]), 0)</f>
        <v>0</v>
      </c>
      <c r="T857" s="99">
        <f>IF(AND(SamplingData[[#This Row],[Total]]&lt;&gt; 0, NOT(ISBLANK(SamplingData[[#This Row],[Candidate 5]]))),(SamplingData[[#This Row],[Total]]+SamplingData[[#This Row],[Winning Candidate]]-SamplingData[[#This Row],[Candidate 5]])/(SamplingData[[#Totals],[Winning Candidate]]-SamplingData[[#Totals],[Candidate 5]]), 0)</f>
        <v>0</v>
      </c>
      <c r="U857" s="99">
        <f>IF(AND(SamplingData[[#This Row],[Total]]&lt;&gt; 0, NOT(ISBLANK(SamplingData[[#This Row],[Candidate 6]]))),(SamplingData[[#This Row],[Total]]+SamplingData[[#This Row],[Losing Candidate]]-SamplingData[[#This Row],[Candidate 6]])/(SamplingData[[#Totals],[Winning Candidate]]-SamplingData[[#Totals],[Candidate 6]]), 0)</f>
        <v>0</v>
      </c>
      <c r="V857" s="99">
        <f>IF(AND(SamplingData[[#This Row],[Total]]&lt;&gt; 0, NOT(ISBLANK(SamplingData[[#This Row],[Candidate 7]]))),(SamplingData[[#This Row],[Total]]+SamplingData[[#This Row],[Winning Candidate]]-SamplingData[[#This Row],[Candidate 7]])/(SamplingData[[#Totals],[Winning Candidate]]-SamplingData[[#Totals],[Candidate 7]]), 0)</f>
        <v>0</v>
      </c>
      <c r="W857" s="99">
        <f>IF(AND(SamplingData[[#This Row],[Total]]&lt;&gt; 0, NOT(ISBLANK(SamplingData[[#This Row],[Candidate 8]]))),(SamplingData[[#This Row],[Total]]+SamplingData[[#This Row],[Winning Candidate]]-SamplingData[[#This Row],[Candidate 8]])/(SamplingData[[#Totals],[Winning Candidate]]-SamplingData[[#Totals],[Candidate 8]]), 0)</f>
        <v>0</v>
      </c>
      <c r="X8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7" s="99">
        <f>MAX(SamplingData[[#This Row],[Error Bound (up) - Max. possible relative overstatement - Losing Candidate]:[Error Bound (up) - Max. possible relative overstatement - Candidate 12]])</f>
        <v>1.2349346460702766E-2</v>
      </c>
      <c r="AC857" s="99">
        <f>IF(SamplingData[[#This Row],[Max Error Bound (up)]] = 0,0,SamplingData[[#This Row],[Max Error Bound (up)]]/SamplingData[[#Totals],[Max Error Bound (up)]])</f>
        <v>6.6119533209728517E-4</v>
      </c>
      <c r="AD857" s="103">
        <f>SUM($AC$5:AC857)</f>
        <v>0.76749100229032796</v>
      </c>
      <c r="AE857" s="99" t="str" cm="1">
        <f t="array" ref="AE857">IF(SamplingData[[#This Row],[up/U Selection Probability]] = 0, "Zero", TEXT(SamplingData[[#This Row],[Lower Range]], REPT("0",LEN('General Info'!$B$42))) &amp; " - " &amp; TEXT(SamplingData[[#This Row],[Upper Range]], REPT("0",LEN('General Info'!$B$42))))</f>
        <v>766830 - 767490</v>
      </c>
      <c r="AF857" s="99">
        <f>SamplingData[[#This Row],[Upper Range]]-SamplingData[[#This Row],[Span]]</f>
        <v>766829.80695823068</v>
      </c>
      <c r="AG857" s="99">
        <f>IF(ISNUMBER('General Info'!$B$42), ((SamplingData[[#This Row],[up/U Selection Probability]]) * 'General Info'!$B$44) - 1, 0)</f>
        <v>660.19533209728513</v>
      </c>
      <c r="AH857" s="99">
        <f>IF(ISNUMBER('General Info'!$B$42), (SamplingData[[#This Row],[Running (cumulative) sum]] * ('General Info'!$B$42 -'General Info'!$B$43 + 1)) + 'General Info'!$B$43 - 1, 0)</f>
        <v>767490.00229032792</v>
      </c>
      <c r="AI857" s="99" t="str">
        <f>IF(ISERROR(MATCH(SamplingData[[#This Row],[Batch by Type (p)]],SelectedPrecincts[Batch Name], 0)), "", INDEX(SelectedPrecincts[Draw], MATCH(SamplingData[[#This Row],[Batch by Type (p)]],SelectedPrecincts[Batch Name], 0)))</f>
        <v/>
      </c>
      <c r="AJ857" s="100">
        <f>IF(COUNTIF(SelectedPrecincts[Batch Name],SamplingData[[#This Row],[Batch by Type (p)]]) &lt;&gt; 0, COUNTIF(SelectedPrecincts[Batch Name],SamplingData[[#This Row],[Batch by Type (p)]]), 0)</f>
        <v>0</v>
      </c>
    </row>
    <row r="858" spans="1:36" ht="15" customHeight="1" x14ac:dyDescent="0.35">
      <c r="A858" s="97" t="s">
        <v>1071</v>
      </c>
      <c r="B858" s="97">
        <v>154</v>
      </c>
      <c r="C858" s="97">
        <v>190</v>
      </c>
      <c r="D858" s="92"/>
      <c r="E858" s="92"/>
      <c r="F858" s="92"/>
      <c r="G858" s="96"/>
      <c r="H858" s="96"/>
      <c r="I858" s="92"/>
      <c r="J858" s="92"/>
      <c r="K858" s="92"/>
      <c r="L858" s="92"/>
      <c r="M858" s="92"/>
      <c r="N858" s="97">
        <v>0</v>
      </c>
      <c r="O858" s="97">
        <v>23</v>
      </c>
      <c r="P858" s="98">
        <f>SUM(SamplingData[[#This Row],[Winning Candidate]:[Under Votes]])</f>
        <v>367</v>
      </c>
      <c r="Q858" s="99">
        <f>IF(AND(SamplingData[[#This Row],[Total]]&lt;&gt; 0, NOT(ISBLANK(SamplingData[[#This Row],[Losing Candidate]]))),(SamplingData[[#This Row],[Total]]+SamplingData[[#This Row],[Winning Candidate]]-SamplingData[[#This Row],[Losing Candidate]])/(SamplingData[[#Totals],[Winning Candidate]]-SamplingData[[#Totals],[Losing Candidate]]), 0)</f>
        <v>1.4046851128840604E-2</v>
      </c>
      <c r="R858" s="99">
        <f>IF(AND(SamplingData[[#This Row],[Total]]&lt;&gt; 0, NOT(ISBLANK(SamplingData[[#This Row],[Candidate 3]]))),(SamplingData[[#This Row],[Total]]+SamplingData[[#This Row],[Winning Candidate]]-SamplingData[[#This Row],[Candidate 3]])/(SamplingData[[#Totals],[Winning Candidate]]-SamplingData[[#Totals],[Candidate 3]]), 0)</f>
        <v>0</v>
      </c>
      <c r="S858" s="99">
        <f>IF(AND(SamplingData[[#This Row],[Total]]&lt;&gt; 0, NOT(ISBLANK(SamplingData[[#This Row],[Candidate 4]]))),(SamplingData[[#This Row],[Total]]+SamplingData[[#This Row],[Winning Candidate]]-SamplingData[[#This Row],[Candidate 4]])/(SamplingData[[#Totals],[Winning Candidate]]-SamplingData[[#Totals],[Candidate 4]]), 0)</f>
        <v>0</v>
      </c>
      <c r="T858" s="99">
        <f>IF(AND(SamplingData[[#This Row],[Total]]&lt;&gt; 0, NOT(ISBLANK(SamplingData[[#This Row],[Candidate 5]]))),(SamplingData[[#This Row],[Total]]+SamplingData[[#This Row],[Winning Candidate]]-SamplingData[[#This Row],[Candidate 5]])/(SamplingData[[#Totals],[Winning Candidate]]-SamplingData[[#Totals],[Candidate 5]]), 0)</f>
        <v>0</v>
      </c>
      <c r="U858" s="99">
        <f>IF(AND(SamplingData[[#This Row],[Total]]&lt;&gt; 0, NOT(ISBLANK(SamplingData[[#This Row],[Candidate 6]]))),(SamplingData[[#This Row],[Total]]+SamplingData[[#This Row],[Losing Candidate]]-SamplingData[[#This Row],[Candidate 6]])/(SamplingData[[#Totals],[Winning Candidate]]-SamplingData[[#Totals],[Candidate 6]]), 0)</f>
        <v>0</v>
      </c>
      <c r="V858" s="99">
        <f>IF(AND(SamplingData[[#This Row],[Total]]&lt;&gt; 0, NOT(ISBLANK(SamplingData[[#This Row],[Candidate 7]]))),(SamplingData[[#This Row],[Total]]+SamplingData[[#This Row],[Winning Candidate]]-SamplingData[[#This Row],[Candidate 7]])/(SamplingData[[#Totals],[Winning Candidate]]-SamplingData[[#Totals],[Candidate 7]]), 0)</f>
        <v>0</v>
      </c>
      <c r="W858" s="99">
        <f>IF(AND(SamplingData[[#This Row],[Total]]&lt;&gt; 0, NOT(ISBLANK(SamplingData[[#This Row],[Candidate 8]]))),(SamplingData[[#This Row],[Total]]+SamplingData[[#This Row],[Winning Candidate]]-SamplingData[[#This Row],[Candidate 8]])/(SamplingData[[#Totals],[Winning Candidate]]-SamplingData[[#Totals],[Candidate 8]]), 0)</f>
        <v>0</v>
      </c>
      <c r="X8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8" s="99">
        <f>MAX(SamplingData[[#This Row],[Error Bound (up) - Max. possible relative overstatement - Losing Candidate]:[Error Bound (up) - Max. possible relative overstatement - Candidate 12]])</f>
        <v>1.4046851128840604E-2</v>
      </c>
      <c r="AC858" s="99">
        <f>IF(SamplingData[[#This Row],[Max Error Bound (up)]] = 0,0,SamplingData[[#This Row],[Max Error Bound (up)]]/SamplingData[[#Totals],[Max Error Bound (up)]])</f>
        <v>7.5208128839931749E-4</v>
      </c>
      <c r="AD858" s="103">
        <f>SUM($AC$5:AC858)</f>
        <v>0.76824308357872728</v>
      </c>
      <c r="AE858" s="99" t="str" cm="1">
        <f t="array" ref="AE858">IF(SamplingData[[#This Row],[up/U Selection Probability]] = 0, "Zero", TEXT(SamplingData[[#This Row],[Lower Range]], REPT("0",LEN('General Info'!$B$42))) &amp; " - " &amp; TEXT(SamplingData[[#This Row],[Upper Range]], REPT("0",LEN('General Info'!$B$42))))</f>
        <v>767491 - 768242</v>
      </c>
      <c r="AF858" s="99">
        <f>SamplingData[[#This Row],[Upper Range]]-SamplingData[[#This Row],[Span]]</f>
        <v>767491.00229032803</v>
      </c>
      <c r="AG858" s="99">
        <f>IF(ISNUMBER('General Info'!$B$42), ((SamplingData[[#This Row],[up/U Selection Probability]]) * 'General Info'!$B$44) - 1, 0)</f>
        <v>751.08128839931749</v>
      </c>
      <c r="AH858" s="99">
        <f>IF(ISNUMBER('General Info'!$B$42), (SamplingData[[#This Row],[Running (cumulative) sum]] * ('General Info'!$B$42 -'General Info'!$B$43 + 1)) + 'General Info'!$B$43 - 1, 0)</f>
        <v>768242.08357872732</v>
      </c>
      <c r="AI858" s="99" t="str">
        <f>IF(ISERROR(MATCH(SamplingData[[#This Row],[Batch by Type (p)]],SelectedPrecincts[Batch Name], 0)), "", INDEX(SelectedPrecincts[Draw], MATCH(SamplingData[[#This Row],[Batch by Type (p)]],SelectedPrecincts[Batch Name], 0)))</f>
        <v/>
      </c>
      <c r="AJ858" s="100">
        <f>IF(COUNTIF(SelectedPrecincts[Batch Name],SamplingData[[#This Row],[Batch by Type (p)]]) &lt;&gt; 0, COUNTIF(SelectedPrecincts[Batch Name],SamplingData[[#This Row],[Batch by Type (p)]]), 0)</f>
        <v>0</v>
      </c>
    </row>
    <row r="859" spans="1:36" ht="15" customHeight="1" x14ac:dyDescent="0.35">
      <c r="A859" s="97" t="s">
        <v>1072</v>
      </c>
      <c r="B859" s="97">
        <v>141</v>
      </c>
      <c r="C859" s="97">
        <v>121</v>
      </c>
      <c r="D859" s="92"/>
      <c r="E859" s="92"/>
      <c r="F859" s="92"/>
      <c r="G859" s="96"/>
      <c r="H859" s="96"/>
      <c r="I859" s="92"/>
      <c r="J859" s="92"/>
      <c r="K859" s="92"/>
      <c r="L859" s="92"/>
      <c r="M859" s="92"/>
      <c r="N859" s="97">
        <v>1</v>
      </c>
      <c r="O859" s="97">
        <v>29</v>
      </c>
      <c r="P859" s="98">
        <f>SUM(SamplingData[[#This Row],[Winning Candidate]:[Under Votes]])</f>
        <v>292</v>
      </c>
      <c r="Q859" s="99">
        <f>IF(AND(SamplingData[[#This Row],[Total]]&lt;&gt; 0, NOT(ISBLANK(SamplingData[[#This Row],[Losing Candidate]]))),(SamplingData[[#This Row],[Total]]+SamplingData[[#This Row],[Winning Candidate]]-SamplingData[[#This Row],[Losing Candidate]])/(SamplingData[[#Totals],[Winning Candidate]]-SamplingData[[#Totals],[Losing Candidate]]), 0)</f>
        <v>1.3240536411475132E-2</v>
      </c>
      <c r="R859" s="99">
        <f>IF(AND(SamplingData[[#This Row],[Total]]&lt;&gt; 0, NOT(ISBLANK(SamplingData[[#This Row],[Candidate 3]]))),(SamplingData[[#This Row],[Total]]+SamplingData[[#This Row],[Winning Candidate]]-SamplingData[[#This Row],[Candidate 3]])/(SamplingData[[#Totals],[Winning Candidate]]-SamplingData[[#Totals],[Candidate 3]]), 0)</f>
        <v>0</v>
      </c>
      <c r="S859" s="99">
        <f>IF(AND(SamplingData[[#This Row],[Total]]&lt;&gt; 0, NOT(ISBLANK(SamplingData[[#This Row],[Candidate 4]]))),(SamplingData[[#This Row],[Total]]+SamplingData[[#This Row],[Winning Candidate]]-SamplingData[[#This Row],[Candidate 4]])/(SamplingData[[#Totals],[Winning Candidate]]-SamplingData[[#Totals],[Candidate 4]]), 0)</f>
        <v>0</v>
      </c>
      <c r="T859" s="99">
        <f>IF(AND(SamplingData[[#This Row],[Total]]&lt;&gt; 0, NOT(ISBLANK(SamplingData[[#This Row],[Candidate 5]]))),(SamplingData[[#This Row],[Total]]+SamplingData[[#This Row],[Winning Candidate]]-SamplingData[[#This Row],[Candidate 5]])/(SamplingData[[#Totals],[Winning Candidate]]-SamplingData[[#Totals],[Candidate 5]]), 0)</f>
        <v>0</v>
      </c>
      <c r="U859" s="99">
        <f>IF(AND(SamplingData[[#This Row],[Total]]&lt;&gt; 0, NOT(ISBLANK(SamplingData[[#This Row],[Candidate 6]]))),(SamplingData[[#This Row],[Total]]+SamplingData[[#This Row],[Losing Candidate]]-SamplingData[[#This Row],[Candidate 6]])/(SamplingData[[#Totals],[Winning Candidate]]-SamplingData[[#Totals],[Candidate 6]]), 0)</f>
        <v>0</v>
      </c>
      <c r="V859" s="99">
        <f>IF(AND(SamplingData[[#This Row],[Total]]&lt;&gt; 0, NOT(ISBLANK(SamplingData[[#This Row],[Candidate 7]]))),(SamplingData[[#This Row],[Total]]+SamplingData[[#This Row],[Winning Candidate]]-SamplingData[[#This Row],[Candidate 7]])/(SamplingData[[#Totals],[Winning Candidate]]-SamplingData[[#Totals],[Candidate 7]]), 0)</f>
        <v>0</v>
      </c>
      <c r="W859" s="99">
        <f>IF(AND(SamplingData[[#This Row],[Total]]&lt;&gt; 0, NOT(ISBLANK(SamplingData[[#This Row],[Candidate 8]]))),(SamplingData[[#This Row],[Total]]+SamplingData[[#This Row],[Winning Candidate]]-SamplingData[[#This Row],[Candidate 8]])/(SamplingData[[#Totals],[Winning Candidate]]-SamplingData[[#Totals],[Candidate 8]]), 0)</f>
        <v>0</v>
      </c>
      <c r="X8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9" s="99">
        <f>MAX(SamplingData[[#This Row],[Error Bound (up) - Max. possible relative overstatement - Losing Candidate]:[Error Bound (up) - Max. possible relative overstatement - Candidate 12]])</f>
        <v>1.3240536411475132E-2</v>
      </c>
      <c r="AC859" s="99">
        <f>IF(SamplingData[[#This Row],[Max Error Bound (up)]] = 0,0,SamplingData[[#This Row],[Max Error Bound (up)]]/SamplingData[[#Totals],[Max Error Bound (up)]])</f>
        <v>7.0891045915585222E-4</v>
      </c>
      <c r="AD859" s="103">
        <f>SUM($AC$5:AC859)</f>
        <v>0.76895199403788317</v>
      </c>
      <c r="AE859" s="99" t="str" cm="1">
        <f t="array" ref="AE859">IF(SamplingData[[#This Row],[up/U Selection Probability]] = 0, "Zero", TEXT(SamplingData[[#This Row],[Lower Range]], REPT("0",LEN('General Info'!$B$42))) &amp; " - " &amp; TEXT(SamplingData[[#This Row],[Upper Range]], REPT("0",LEN('General Info'!$B$42))))</f>
        <v>768243 - 768951</v>
      </c>
      <c r="AF859" s="99">
        <f>SamplingData[[#This Row],[Upper Range]]-SamplingData[[#This Row],[Span]]</f>
        <v>768243.08357872732</v>
      </c>
      <c r="AG859" s="99">
        <f>IF(ISNUMBER('General Info'!$B$42), ((SamplingData[[#This Row],[up/U Selection Probability]]) * 'General Info'!$B$44) - 1, 0)</f>
        <v>707.91045915585221</v>
      </c>
      <c r="AH859" s="99">
        <f>IF(ISNUMBER('General Info'!$B$42), (SamplingData[[#This Row],[Running (cumulative) sum]] * ('General Info'!$B$42 -'General Info'!$B$43 + 1)) + 'General Info'!$B$43 - 1, 0)</f>
        <v>768950.99403788312</v>
      </c>
      <c r="AI859" s="99" t="str">
        <f>IF(ISERROR(MATCH(SamplingData[[#This Row],[Batch by Type (p)]],SelectedPrecincts[Batch Name], 0)), "", INDEX(SelectedPrecincts[Draw], MATCH(SamplingData[[#This Row],[Batch by Type (p)]],SelectedPrecincts[Batch Name], 0)))</f>
        <v/>
      </c>
      <c r="AJ859" s="100">
        <f>IF(COUNTIF(SelectedPrecincts[Batch Name],SamplingData[[#This Row],[Batch by Type (p)]]) &lt;&gt; 0, COUNTIF(SelectedPrecincts[Batch Name],SamplingData[[#This Row],[Batch by Type (p)]]), 0)</f>
        <v>0</v>
      </c>
    </row>
    <row r="860" spans="1:36" ht="15" customHeight="1" x14ac:dyDescent="0.35">
      <c r="A860" s="97" t="s">
        <v>1073</v>
      </c>
      <c r="B860" s="97">
        <v>188</v>
      </c>
      <c r="C860" s="97">
        <v>224</v>
      </c>
      <c r="D860" s="92"/>
      <c r="E860" s="92"/>
      <c r="F860" s="92"/>
      <c r="G860" s="96"/>
      <c r="H860" s="96"/>
      <c r="I860" s="92"/>
      <c r="J860" s="92"/>
      <c r="K860" s="92"/>
      <c r="L860" s="92"/>
      <c r="M860" s="92"/>
      <c r="N860" s="97">
        <v>0</v>
      </c>
      <c r="O860" s="97">
        <v>27</v>
      </c>
      <c r="P860" s="98">
        <f>SUM(SamplingData[[#This Row],[Winning Candidate]:[Under Votes]])</f>
        <v>439</v>
      </c>
      <c r="Q860" s="99">
        <f>IF(AND(SamplingData[[#This Row],[Total]]&lt;&gt; 0, NOT(ISBLANK(SamplingData[[#This Row],[Losing Candidate]]))),(SamplingData[[#This Row],[Total]]+SamplingData[[#This Row],[Winning Candidate]]-SamplingData[[#This Row],[Losing Candidate]])/(SamplingData[[#Totals],[Winning Candidate]]-SamplingData[[#Totals],[Losing Candidate]]), 0)</f>
        <v>1.7102359531488712E-2</v>
      </c>
      <c r="R860" s="99">
        <f>IF(AND(SamplingData[[#This Row],[Total]]&lt;&gt; 0, NOT(ISBLANK(SamplingData[[#This Row],[Candidate 3]]))),(SamplingData[[#This Row],[Total]]+SamplingData[[#This Row],[Winning Candidate]]-SamplingData[[#This Row],[Candidate 3]])/(SamplingData[[#Totals],[Winning Candidate]]-SamplingData[[#Totals],[Candidate 3]]), 0)</f>
        <v>0</v>
      </c>
      <c r="S860" s="99">
        <f>IF(AND(SamplingData[[#This Row],[Total]]&lt;&gt; 0, NOT(ISBLANK(SamplingData[[#This Row],[Candidate 4]]))),(SamplingData[[#This Row],[Total]]+SamplingData[[#This Row],[Winning Candidate]]-SamplingData[[#This Row],[Candidate 4]])/(SamplingData[[#Totals],[Winning Candidate]]-SamplingData[[#Totals],[Candidate 4]]), 0)</f>
        <v>0</v>
      </c>
      <c r="T860" s="99">
        <f>IF(AND(SamplingData[[#This Row],[Total]]&lt;&gt; 0, NOT(ISBLANK(SamplingData[[#This Row],[Candidate 5]]))),(SamplingData[[#This Row],[Total]]+SamplingData[[#This Row],[Winning Candidate]]-SamplingData[[#This Row],[Candidate 5]])/(SamplingData[[#Totals],[Winning Candidate]]-SamplingData[[#Totals],[Candidate 5]]), 0)</f>
        <v>0</v>
      </c>
      <c r="U860" s="99">
        <f>IF(AND(SamplingData[[#This Row],[Total]]&lt;&gt; 0, NOT(ISBLANK(SamplingData[[#This Row],[Candidate 6]]))),(SamplingData[[#This Row],[Total]]+SamplingData[[#This Row],[Losing Candidate]]-SamplingData[[#This Row],[Candidate 6]])/(SamplingData[[#Totals],[Winning Candidate]]-SamplingData[[#Totals],[Candidate 6]]), 0)</f>
        <v>0</v>
      </c>
      <c r="V860" s="99">
        <f>IF(AND(SamplingData[[#This Row],[Total]]&lt;&gt; 0, NOT(ISBLANK(SamplingData[[#This Row],[Candidate 7]]))),(SamplingData[[#This Row],[Total]]+SamplingData[[#This Row],[Winning Candidate]]-SamplingData[[#This Row],[Candidate 7]])/(SamplingData[[#Totals],[Winning Candidate]]-SamplingData[[#Totals],[Candidate 7]]), 0)</f>
        <v>0</v>
      </c>
      <c r="W860" s="99">
        <f>IF(AND(SamplingData[[#This Row],[Total]]&lt;&gt; 0, NOT(ISBLANK(SamplingData[[#This Row],[Candidate 8]]))),(SamplingData[[#This Row],[Total]]+SamplingData[[#This Row],[Winning Candidate]]-SamplingData[[#This Row],[Candidate 8]])/(SamplingData[[#Totals],[Winning Candidate]]-SamplingData[[#Totals],[Candidate 8]]), 0)</f>
        <v>0</v>
      </c>
      <c r="X8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0" s="99">
        <f>MAX(SamplingData[[#This Row],[Error Bound (up) - Max. possible relative overstatement - Losing Candidate]:[Error Bound (up) - Max. possible relative overstatement - Candidate 12]])</f>
        <v>1.7102359531488712E-2</v>
      </c>
      <c r="AC860" s="99">
        <f>IF(SamplingData[[#This Row],[Max Error Bound (up)]] = 0,0,SamplingData[[#This Row],[Max Error Bound (up)]]/SamplingData[[#Totals],[Max Error Bound (up)]])</f>
        <v>9.1567600974297567E-4</v>
      </c>
      <c r="AD860" s="103">
        <f>SUM($AC$5:AC860)</f>
        <v>0.76986767004762613</v>
      </c>
      <c r="AE860" s="99" t="str" cm="1">
        <f t="array" ref="AE860">IF(SamplingData[[#This Row],[up/U Selection Probability]] = 0, "Zero", TEXT(SamplingData[[#This Row],[Lower Range]], REPT("0",LEN('General Info'!$B$42))) &amp; " - " &amp; TEXT(SamplingData[[#This Row],[Upper Range]], REPT("0",LEN('General Info'!$B$42))))</f>
        <v>768952 - 769867</v>
      </c>
      <c r="AF860" s="99">
        <f>SamplingData[[#This Row],[Upper Range]]-SamplingData[[#This Row],[Span]]</f>
        <v>768951.99403788312</v>
      </c>
      <c r="AG860" s="99">
        <f>IF(ISNUMBER('General Info'!$B$42), ((SamplingData[[#This Row],[up/U Selection Probability]]) * 'General Info'!$B$44) - 1, 0)</f>
        <v>914.67600974297568</v>
      </c>
      <c r="AH860" s="99">
        <f>IF(ISNUMBER('General Info'!$B$42), (SamplingData[[#This Row],[Running (cumulative) sum]] * ('General Info'!$B$42 -'General Info'!$B$43 + 1)) + 'General Info'!$B$43 - 1, 0)</f>
        <v>769866.67004762613</v>
      </c>
      <c r="AI860" s="99" t="str">
        <f>IF(ISERROR(MATCH(SamplingData[[#This Row],[Batch by Type (p)]],SelectedPrecincts[Batch Name], 0)), "", INDEX(SelectedPrecincts[Draw], MATCH(SamplingData[[#This Row],[Batch by Type (p)]],SelectedPrecincts[Batch Name], 0)))</f>
        <v/>
      </c>
      <c r="AJ860" s="100">
        <f>IF(COUNTIF(SelectedPrecincts[Batch Name],SamplingData[[#This Row],[Batch by Type (p)]]) &lt;&gt; 0, COUNTIF(SelectedPrecincts[Batch Name],SamplingData[[#This Row],[Batch by Type (p)]]), 0)</f>
        <v>0</v>
      </c>
    </row>
    <row r="861" spans="1:36" ht="15" customHeight="1" x14ac:dyDescent="0.35">
      <c r="A861" s="97" t="s">
        <v>1074</v>
      </c>
      <c r="B861" s="97">
        <v>224</v>
      </c>
      <c r="C861" s="97">
        <v>325</v>
      </c>
      <c r="D861" s="92"/>
      <c r="E861" s="92"/>
      <c r="F861" s="92"/>
      <c r="G861" s="96"/>
      <c r="H861" s="96"/>
      <c r="I861" s="92"/>
      <c r="J861" s="92"/>
      <c r="K861" s="92"/>
      <c r="L861" s="92"/>
      <c r="M861" s="92"/>
      <c r="N861" s="97">
        <v>2</v>
      </c>
      <c r="O861" s="97">
        <v>59</v>
      </c>
      <c r="P861" s="98">
        <f>SUM(SamplingData[[#This Row],[Winning Candidate]:[Under Votes]])</f>
        <v>610</v>
      </c>
      <c r="Q861" s="99">
        <f>IF(AND(SamplingData[[#This Row],[Total]]&lt;&gt; 0, NOT(ISBLANK(SamplingData[[#This Row],[Losing Candidate]]))),(SamplingData[[#This Row],[Total]]+SamplingData[[#This Row],[Winning Candidate]]-SamplingData[[#This Row],[Losing Candidate]])/(SamplingData[[#Totals],[Winning Candidate]]-SamplingData[[#Totals],[Losing Candidate]]), 0)</f>
        <v>2.1600746902053981E-2</v>
      </c>
      <c r="R861" s="99">
        <f>IF(AND(SamplingData[[#This Row],[Total]]&lt;&gt; 0, NOT(ISBLANK(SamplingData[[#This Row],[Candidate 3]]))),(SamplingData[[#This Row],[Total]]+SamplingData[[#This Row],[Winning Candidate]]-SamplingData[[#This Row],[Candidate 3]])/(SamplingData[[#Totals],[Winning Candidate]]-SamplingData[[#Totals],[Candidate 3]]), 0)</f>
        <v>0</v>
      </c>
      <c r="S861" s="99">
        <f>IF(AND(SamplingData[[#This Row],[Total]]&lt;&gt; 0, NOT(ISBLANK(SamplingData[[#This Row],[Candidate 4]]))),(SamplingData[[#This Row],[Total]]+SamplingData[[#This Row],[Winning Candidate]]-SamplingData[[#This Row],[Candidate 4]])/(SamplingData[[#Totals],[Winning Candidate]]-SamplingData[[#Totals],[Candidate 4]]), 0)</f>
        <v>0</v>
      </c>
      <c r="T861" s="99">
        <f>IF(AND(SamplingData[[#This Row],[Total]]&lt;&gt; 0, NOT(ISBLANK(SamplingData[[#This Row],[Candidate 5]]))),(SamplingData[[#This Row],[Total]]+SamplingData[[#This Row],[Winning Candidate]]-SamplingData[[#This Row],[Candidate 5]])/(SamplingData[[#Totals],[Winning Candidate]]-SamplingData[[#Totals],[Candidate 5]]), 0)</f>
        <v>0</v>
      </c>
      <c r="U861" s="99">
        <f>IF(AND(SamplingData[[#This Row],[Total]]&lt;&gt; 0, NOT(ISBLANK(SamplingData[[#This Row],[Candidate 6]]))),(SamplingData[[#This Row],[Total]]+SamplingData[[#This Row],[Losing Candidate]]-SamplingData[[#This Row],[Candidate 6]])/(SamplingData[[#Totals],[Winning Candidate]]-SamplingData[[#Totals],[Candidate 6]]), 0)</f>
        <v>0</v>
      </c>
      <c r="V861" s="99">
        <f>IF(AND(SamplingData[[#This Row],[Total]]&lt;&gt; 0, NOT(ISBLANK(SamplingData[[#This Row],[Candidate 7]]))),(SamplingData[[#This Row],[Total]]+SamplingData[[#This Row],[Winning Candidate]]-SamplingData[[#This Row],[Candidate 7]])/(SamplingData[[#Totals],[Winning Candidate]]-SamplingData[[#Totals],[Candidate 7]]), 0)</f>
        <v>0</v>
      </c>
      <c r="W861" s="99">
        <f>IF(AND(SamplingData[[#This Row],[Total]]&lt;&gt; 0, NOT(ISBLANK(SamplingData[[#This Row],[Candidate 8]]))),(SamplingData[[#This Row],[Total]]+SamplingData[[#This Row],[Winning Candidate]]-SamplingData[[#This Row],[Candidate 8]])/(SamplingData[[#Totals],[Winning Candidate]]-SamplingData[[#Totals],[Candidate 8]]), 0)</f>
        <v>0</v>
      </c>
      <c r="X8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1" s="99">
        <f>MAX(SamplingData[[#This Row],[Error Bound (up) - Max. possible relative overstatement - Losing Candidate]:[Error Bound (up) - Max. possible relative overstatement - Candidate 12]])</f>
        <v>2.1600746902053981E-2</v>
      </c>
      <c r="AC861" s="99">
        <f>IF(SamplingData[[#This Row],[Max Error Bound (up)]] = 0,0,SamplingData[[#This Row],[Max Error Bound (up)]]/SamplingData[[#Totals],[Max Error Bound (up)]])</f>
        <v>1.1565237939433614E-3</v>
      </c>
      <c r="AD861" s="103">
        <f>SUM($AC$5:AC861)</f>
        <v>0.77102419384156951</v>
      </c>
      <c r="AE861" s="99" t="str" cm="1">
        <f t="array" ref="AE861">IF(SamplingData[[#This Row],[up/U Selection Probability]] = 0, "Zero", TEXT(SamplingData[[#This Row],[Lower Range]], REPT("0",LEN('General Info'!$B$42))) &amp; " - " &amp; TEXT(SamplingData[[#This Row],[Upper Range]], REPT("0",LEN('General Info'!$B$42))))</f>
        <v>769868 - 771023</v>
      </c>
      <c r="AF861" s="99">
        <f>SamplingData[[#This Row],[Upper Range]]-SamplingData[[#This Row],[Span]]</f>
        <v>769867.67004762613</v>
      </c>
      <c r="AG861" s="99">
        <f>IF(ISNUMBER('General Info'!$B$42), ((SamplingData[[#This Row],[up/U Selection Probability]]) * 'General Info'!$B$44) - 1, 0)</f>
        <v>1155.5237939433614</v>
      </c>
      <c r="AH861" s="99">
        <f>IF(ISNUMBER('General Info'!$B$42), (SamplingData[[#This Row],[Running (cumulative) sum]] * ('General Info'!$B$42 -'General Info'!$B$43 + 1)) + 'General Info'!$B$43 - 1, 0)</f>
        <v>771023.19384156947</v>
      </c>
      <c r="AI861" s="99" t="str">
        <f>IF(ISERROR(MATCH(SamplingData[[#This Row],[Batch by Type (p)]],SelectedPrecincts[Batch Name], 0)), "", INDEX(SelectedPrecincts[Draw], MATCH(SamplingData[[#This Row],[Batch by Type (p)]],SelectedPrecincts[Batch Name], 0)))</f>
        <v/>
      </c>
      <c r="AJ861" s="100">
        <f>IF(COUNTIF(SelectedPrecincts[Batch Name],SamplingData[[#This Row],[Batch by Type (p)]]) &lt;&gt; 0, COUNTIF(SelectedPrecincts[Batch Name],SamplingData[[#This Row],[Batch by Type (p)]]), 0)</f>
        <v>0</v>
      </c>
    </row>
    <row r="862" spans="1:36" ht="15" customHeight="1" x14ac:dyDescent="0.35">
      <c r="A862" s="97" t="s">
        <v>1075</v>
      </c>
      <c r="B862" s="97">
        <v>116</v>
      </c>
      <c r="C862" s="97">
        <v>268</v>
      </c>
      <c r="D862" s="92"/>
      <c r="E862" s="92"/>
      <c r="F862" s="92"/>
      <c r="G862" s="96"/>
      <c r="H862" s="96"/>
      <c r="I862" s="92"/>
      <c r="J862" s="92"/>
      <c r="K862" s="92"/>
      <c r="L862" s="92"/>
      <c r="M862" s="92"/>
      <c r="N862" s="97">
        <v>0</v>
      </c>
      <c r="O862" s="97">
        <v>34</v>
      </c>
      <c r="P862" s="98">
        <f>SUM(SamplingData[[#This Row],[Winning Candidate]:[Under Votes]])</f>
        <v>418</v>
      </c>
      <c r="Q862" s="99">
        <f>IF(AND(SamplingData[[#This Row],[Total]]&lt;&gt; 0, NOT(ISBLANK(SamplingData[[#This Row],[Losing Candidate]]))),(SamplingData[[#This Row],[Total]]+SamplingData[[#This Row],[Winning Candidate]]-SamplingData[[#This Row],[Losing Candidate]])/(SamplingData[[#Totals],[Winning Candidate]]-SamplingData[[#Totals],[Losing Candidate]]), 0)</f>
        <v>1.1288406043116619E-2</v>
      </c>
      <c r="R862" s="99">
        <f>IF(AND(SamplingData[[#This Row],[Total]]&lt;&gt; 0, NOT(ISBLANK(SamplingData[[#This Row],[Candidate 3]]))),(SamplingData[[#This Row],[Total]]+SamplingData[[#This Row],[Winning Candidate]]-SamplingData[[#This Row],[Candidate 3]])/(SamplingData[[#Totals],[Winning Candidate]]-SamplingData[[#Totals],[Candidate 3]]), 0)</f>
        <v>0</v>
      </c>
      <c r="S862" s="99">
        <f>IF(AND(SamplingData[[#This Row],[Total]]&lt;&gt; 0, NOT(ISBLANK(SamplingData[[#This Row],[Candidate 4]]))),(SamplingData[[#This Row],[Total]]+SamplingData[[#This Row],[Winning Candidate]]-SamplingData[[#This Row],[Candidate 4]])/(SamplingData[[#Totals],[Winning Candidate]]-SamplingData[[#Totals],[Candidate 4]]), 0)</f>
        <v>0</v>
      </c>
      <c r="T862" s="99">
        <f>IF(AND(SamplingData[[#This Row],[Total]]&lt;&gt; 0, NOT(ISBLANK(SamplingData[[#This Row],[Candidate 5]]))),(SamplingData[[#This Row],[Total]]+SamplingData[[#This Row],[Winning Candidate]]-SamplingData[[#This Row],[Candidate 5]])/(SamplingData[[#Totals],[Winning Candidate]]-SamplingData[[#Totals],[Candidate 5]]), 0)</f>
        <v>0</v>
      </c>
      <c r="U862" s="99">
        <f>IF(AND(SamplingData[[#This Row],[Total]]&lt;&gt; 0, NOT(ISBLANK(SamplingData[[#This Row],[Candidate 6]]))),(SamplingData[[#This Row],[Total]]+SamplingData[[#This Row],[Losing Candidate]]-SamplingData[[#This Row],[Candidate 6]])/(SamplingData[[#Totals],[Winning Candidate]]-SamplingData[[#Totals],[Candidate 6]]), 0)</f>
        <v>0</v>
      </c>
      <c r="V862" s="99">
        <f>IF(AND(SamplingData[[#This Row],[Total]]&lt;&gt; 0, NOT(ISBLANK(SamplingData[[#This Row],[Candidate 7]]))),(SamplingData[[#This Row],[Total]]+SamplingData[[#This Row],[Winning Candidate]]-SamplingData[[#This Row],[Candidate 7]])/(SamplingData[[#Totals],[Winning Candidate]]-SamplingData[[#Totals],[Candidate 7]]), 0)</f>
        <v>0</v>
      </c>
      <c r="W862" s="99">
        <f>IF(AND(SamplingData[[#This Row],[Total]]&lt;&gt; 0, NOT(ISBLANK(SamplingData[[#This Row],[Candidate 8]]))),(SamplingData[[#This Row],[Total]]+SamplingData[[#This Row],[Winning Candidate]]-SamplingData[[#This Row],[Candidate 8]])/(SamplingData[[#Totals],[Winning Candidate]]-SamplingData[[#Totals],[Candidate 8]]), 0)</f>
        <v>0</v>
      </c>
      <c r="X8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2" s="99">
        <f>MAX(SamplingData[[#This Row],[Error Bound (up) - Max. possible relative overstatement - Losing Candidate]:[Error Bound (up) - Max. possible relative overstatement - Candidate 12]])</f>
        <v>1.1288406043116619E-2</v>
      </c>
      <c r="AC862" s="99">
        <f>IF(SamplingData[[#This Row],[Max Error Bound (up)]] = 0,0,SamplingData[[#This Row],[Max Error Bound (up)]]/SamplingData[[#Totals],[Max Error Bound (up)]])</f>
        <v>6.0439160940851499E-4</v>
      </c>
      <c r="AD862" s="103">
        <f>SUM($AC$5:AC862)</f>
        <v>0.77162858545097801</v>
      </c>
      <c r="AE862" s="99" t="str" cm="1">
        <f t="array" ref="AE862">IF(SamplingData[[#This Row],[up/U Selection Probability]] = 0, "Zero", TEXT(SamplingData[[#This Row],[Lower Range]], REPT("0",LEN('General Info'!$B$42))) &amp; " - " &amp; TEXT(SamplingData[[#This Row],[Upper Range]], REPT("0",LEN('General Info'!$B$42))))</f>
        <v>771024 - 771628</v>
      </c>
      <c r="AF862" s="99">
        <f>SamplingData[[#This Row],[Upper Range]]-SamplingData[[#This Row],[Span]]</f>
        <v>771024.19384156947</v>
      </c>
      <c r="AG862" s="99">
        <f>IF(ISNUMBER('General Info'!$B$42), ((SamplingData[[#This Row],[up/U Selection Probability]]) * 'General Info'!$B$44) - 1, 0)</f>
        <v>603.39160940851502</v>
      </c>
      <c r="AH862" s="99">
        <f>IF(ISNUMBER('General Info'!$B$42), (SamplingData[[#This Row],[Running (cumulative) sum]] * ('General Info'!$B$42 -'General Info'!$B$43 + 1)) + 'General Info'!$B$43 - 1, 0)</f>
        <v>771627.58545097802</v>
      </c>
      <c r="AI862" s="99">
        <f>IF(ISERROR(MATCH(SamplingData[[#This Row],[Batch by Type (p)]],SelectedPrecincts[Batch Name], 0)), "", INDEX(SelectedPrecincts[Draw], MATCH(SamplingData[[#This Row],[Batch by Type (p)]],SelectedPrecincts[Batch Name], 0)))</f>
        <v>11</v>
      </c>
      <c r="AJ862" s="100">
        <f>IF(COUNTIF(SelectedPrecincts[Batch Name],SamplingData[[#This Row],[Batch by Type (p)]]) &lt;&gt; 0, COUNTIF(SelectedPrecincts[Batch Name],SamplingData[[#This Row],[Batch by Type (p)]]), 0)</f>
        <v>1</v>
      </c>
    </row>
    <row r="863" spans="1:36" ht="15" customHeight="1" x14ac:dyDescent="0.35">
      <c r="A863" s="97" t="s">
        <v>1076</v>
      </c>
      <c r="B863" s="97">
        <v>181</v>
      </c>
      <c r="C863" s="97">
        <v>313</v>
      </c>
      <c r="D863" s="92"/>
      <c r="E863" s="92"/>
      <c r="F863" s="92"/>
      <c r="G863" s="96"/>
      <c r="H863" s="96"/>
      <c r="I863" s="92"/>
      <c r="J863" s="92"/>
      <c r="K863" s="92"/>
      <c r="L863" s="92"/>
      <c r="M863" s="92"/>
      <c r="N863" s="97">
        <v>1</v>
      </c>
      <c r="O863" s="97">
        <v>32</v>
      </c>
      <c r="P863" s="98">
        <f>SUM(SamplingData[[#This Row],[Winning Candidate]:[Under Votes]])</f>
        <v>527</v>
      </c>
      <c r="Q863" s="99">
        <f>IF(AND(SamplingData[[#This Row],[Total]]&lt;&gt; 0, NOT(ISBLANK(SamplingData[[#This Row],[Losing Candidate]]))),(SamplingData[[#This Row],[Total]]+SamplingData[[#This Row],[Winning Candidate]]-SamplingData[[#This Row],[Losing Candidate]])/(SamplingData[[#Totals],[Winning Candidate]]-SamplingData[[#Totals],[Losing Candidate]]), 0)</f>
        <v>1.6762858597861145E-2</v>
      </c>
      <c r="R863" s="99">
        <f>IF(AND(SamplingData[[#This Row],[Total]]&lt;&gt; 0, NOT(ISBLANK(SamplingData[[#This Row],[Candidate 3]]))),(SamplingData[[#This Row],[Total]]+SamplingData[[#This Row],[Winning Candidate]]-SamplingData[[#This Row],[Candidate 3]])/(SamplingData[[#Totals],[Winning Candidate]]-SamplingData[[#Totals],[Candidate 3]]), 0)</f>
        <v>0</v>
      </c>
      <c r="S863" s="99">
        <f>IF(AND(SamplingData[[#This Row],[Total]]&lt;&gt; 0, NOT(ISBLANK(SamplingData[[#This Row],[Candidate 4]]))),(SamplingData[[#This Row],[Total]]+SamplingData[[#This Row],[Winning Candidate]]-SamplingData[[#This Row],[Candidate 4]])/(SamplingData[[#Totals],[Winning Candidate]]-SamplingData[[#Totals],[Candidate 4]]), 0)</f>
        <v>0</v>
      </c>
      <c r="T863" s="99">
        <f>IF(AND(SamplingData[[#This Row],[Total]]&lt;&gt; 0, NOT(ISBLANK(SamplingData[[#This Row],[Candidate 5]]))),(SamplingData[[#This Row],[Total]]+SamplingData[[#This Row],[Winning Candidate]]-SamplingData[[#This Row],[Candidate 5]])/(SamplingData[[#Totals],[Winning Candidate]]-SamplingData[[#Totals],[Candidate 5]]), 0)</f>
        <v>0</v>
      </c>
      <c r="U863" s="99">
        <f>IF(AND(SamplingData[[#This Row],[Total]]&lt;&gt; 0, NOT(ISBLANK(SamplingData[[#This Row],[Candidate 6]]))),(SamplingData[[#This Row],[Total]]+SamplingData[[#This Row],[Losing Candidate]]-SamplingData[[#This Row],[Candidate 6]])/(SamplingData[[#Totals],[Winning Candidate]]-SamplingData[[#Totals],[Candidate 6]]), 0)</f>
        <v>0</v>
      </c>
      <c r="V863" s="99">
        <f>IF(AND(SamplingData[[#This Row],[Total]]&lt;&gt; 0, NOT(ISBLANK(SamplingData[[#This Row],[Candidate 7]]))),(SamplingData[[#This Row],[Total]]+SamplingData[[#This Row],[Winning Candidate]]-SamplingData[[#This Row],[Candidate 7]])/(SamplingData[[#Totals],[Winning Candidate]]-SamplingData[[#Totals],[Candidate 7]]), 0)</f>
        <v>0</v>
      </c>
      <c r="W863" s="99">
        <f>IF(AND(SamplingData[[#This Row],[Total]]&lt;&gt; 0, NOT(ISBLANK(SamplingData[[#This Row],[Candidate 8]]))),(SamplingData[[#This Row],[Total]]+SamplingData[[#This Row],[Winning Candidate]]-SamplingData[[#This Row],[Candidate 8]])/(SamplingData[[#Totals],[Winning Candidate]]-SamplingData[[#Totals],[Candidate 8]]), 0)</f>
        <v>0</v>
      </c>
      <c r="X8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3" s="99">
        <f>MAX(SamplingData[[#This Row],[Error Bound (up) - Max. possible relative overstatement - Losing Candidate]:[Error Bound (up) - Max. possible relative overstatement - Candidate 12]])</f>
        <v>1.6762858597861145E-2</v>
      </c>
      <c r="AC863" s="99">
        <f>IF(SamplingData[[#This Row],[Max Error Bound (up)]] = 0,0,SamplingData[[#This Row],[Max Error Bound (up)]]/SamplingData[[#Totals],[Max Error Bound (up)]])</f>
        <v>8.974988184825692E-4</v>
      </c>
      <c r="AD863" s="103">
        <f>SUM($AC$5:AC863)</f>
        <v>0.77252608426946057</v>
      </c>
      <c r="AE863" s="99" t="str" cm="1">
        <f t="array" ref="AE863">IF(SamplingData[[#This Row],[up/U Selection Probability]] = 0, "Zero", TEXT(SamplingData[[#This Row],[Lower Range]], REPT("0",LEN('General Info'!$B$42))) &amp; " - " &amp; TEXT(SamplingData[[#This Row],[Upper Range]], REPT("0",LEN('General Info'!$B$42))))</f>
        <v>771629 - 772525</v>
      </c>
      <c r="AF863" s="99">
        <f>SamplingData[[#This Row],[Upper Range]]-SamplingData[[#This Row],[Span]]</f>
        <v>771628.5854509779</v>
      </c>
      <c r="AG863" s="99">
        <f>IF(ISNUMBER('General Info'!$B$42), ((SamplingData[[#This Row],[up/U Selection Probability]]) * 'General Info'!$B$44) - 1, 0)</f>
        <v>896.49881848256916</v>
      </c>
      <c r="AH863" s="99">
        <f>IF(ISNUMBER('General Info'!$B$42), (SamplingData[[#This Row],[Running (cumulative) sum]] * ('General Info'!$B$42 -'General Info'!$B$43 + 1)) + 'General Info'!$B$43 - 1, 0)</f>
        <v>772525.08426946052</v>
      </c>
      <c r="AI863" s="99" t="str">
        <f>IF(ISERROR(MATCH(SamplingData[[#This Row],[Batch by Type (p)]],SelectedPrecincts[Batch Name], 0)), "", INDEX(SelectedPrecincts[Draw], MATCH(SamplingData[[#This Row],[Batch by Type (p)]],SelectedPrecincts[Batch Name], 0)))</f>
        <v/>
      </c>
      <c r="AJ863" s="100">
        <f>IF(COUNTIF(SelectedPrecincts[Batch Name],SamplingData[[#This Row],[Batch by Type (p)]]) &lt;&gt; 0, COUNTIF(SelectedPrecincts[Batch Name],SamplingData[[#This Row],[Batch by Type (p)]]), 0)</f>
        <v>0</v>
      </c>
    </row>
    <row r="864" spans="1:36" ht="15" customHeight="1" x14ac:dyDescent="0.35">
      <c r="A864" s="97" t="s">
        <v>1077</v>
      </c>
      <c r="B864" s="97">
        <v>287</v>
      </c>
      <c r="C864" s="97">
        <v>443</v>
      </c>
      <c r="D864" s="92"/>
      <c r="E864" s="92"/>
      <c r="F864" s="92"/>
      <c r="G864" s="96"/>
      <c r="H864" s="96"/>
      <c r="I864" s="92"/>
      <c r="J864" s="92"/>
      <c r="K864" s="92"/>
      <c r="L864" s="92"/>
      <c r="M864" s="92"/>
      <c r="N864" s="97">
        <v>0</v>
      </c>
      <c r="O864" s="97">
        <v>72</v>
      </c>
      <c r="P864" s="98">
        <f>SUM(SamplingData[[#This Row],[Winning Candidate]:[Under Votes]])</f>
        <v>802</v>
      </c>
      <c r="Q864" s="99">
        <f>IF(AND(SamplingData[[#This Row],[Total]]&lt;&gt; 0, NOT(ISBLANK(SamplingData[[#This Row],[Losing Candidate]]))),(SamplingData[[#This Row],[Total]]+SamplingData[[#This Row],[Winning Candidate]]-SamplingData[[#This Row],[Losing Candidate]])/(SamplingData[[#Totals],[Winning Candidate]]-SamplingData[[#Totals],[Losing Candidate]]), 0)</f>
        <v>2.7414700390426074E-2</v>
      </c>
      <c r="R864" s="99">
        <f>IF(AND(SamplingData[[#This Row],[Total]]&lt;&gt; 0, NOT(ISBLANK(SamplingData[[#This Row],[Candidate 3]]))),(SamplingData[[#This Row],[Total]]+SamplingData[[#This Row],[Winning Candidate]]-SamplingData[[#This Row],[Candidate 3]])/(SamplingData[[#Totals],[Winning Candidate]]-SamplingData[[#Totals],[Candidate 3]]), 0)</f>
        <v>0</v>
      </c>
      <c r="S864" s="99">
        <f>IF(AND(SamplingData[[#This Row],[Total]]&lt;&gt; 0, NOT(ISBLANK(SamplingData[[#This Row],[Candidate 4]]))),(SamplingData[[#This Row],[Total]]+SamplingData[[#This Row],[Winning Candidate]]-SamplingData[[#This Row],[Candidate 4]])/(SamplingData[[#Totals],[Winning Candidate]]-SamplingData[[#Totals],[Candidate 4]]), 0)</f>
        <v>0</v>
      </c>
      <c r="T864" s="99">
        <f>IF(AND(SamplingData[[#This Row],[Total]]&lt;&gt; 0, NOT(ISBLANK(SamplingData[[#This Row],[Candidate 5]]))),(SamplingData[[#This Row],[Total]]+SamplingData[[#This Row],[Winning Candidate]]-SamplingData[[#This Row],[Candidate 5]])/(SamplingData[[#Totals],[Winning Candidate]]-SamplingData[[#Totals],[Candidate 5]]), 0)</f>
        <v>0</v>
      </c>
      <c r="U864" s="99">
        <f>IF(AND(SamplingData[[#This Row],[Total]]&lt;&gt; 0, NOT(ISBLANK(SamplingData[[#This Row],[Candidate 6]]))),(SamplingData[[#This Row],[Total]]+SamplingData[[#This Row],[Losing Candidate]]-SamplingData[[#This Row],[Candidate 6]])/(SamplingData[[#Totals],[Winning Candidate]]-SamplingData[[#Totals],[Candidate 6]]), 0)</f>
        <v>0</v>
      </c>
      <c r="V864" s="99">
        <f>IF(AND(SamplingData[[#This Row],[Total]]&lt;&gt; 0, NOT(ISBLANK(SamplingData[[#This Row],[Candidate 7]]))),(SamplingData[[#This Row],[Total]]+SamplingData[[#This Row],[Winning Candidate]]-SamplingData[[#This Row],[Candidate 7]])/(SamplingData[[#Totals],[Winning Candidate]]-SamplingData[[#Totals],[Candidate 7]]), 0)</f>
        <v>0</v>
      </c>
      <c r="W864" s="99">
        <f>IF(AND(SamplingData[[#This Row],[Total]]&lt;&gt; 0, NOT(ISBLANK(SamplingData[[#This Row],[Candidate 8]]))),(SamplingData[[#This Row],[Total]]+SamplingData[[#This Row],[Winning Candidate]]-SamplingData[[#This Row],[Candidate 8]])/(SamplingData[[#Totals],[Winning Candidate]]-SamplingData[[#Totals],[Candidate 8]]), 0)</f>
        <v>0</v>
      </c>
      <c r="X8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4" s="99">
        <f>MAX(SamplingData[[#This Row],[Error Bound (up) - Max. possible relative overstatement - Losing Candidate]:[Error Bound (up) - Max. possible relative overstatement - Candidate 12]])</f>
        <v>2.7414700390426074E-2</v>
      </c>
      <c r="AC864" s="99">
        <f>IF(SamplingData[[#This Row],[Max Error Bound (up)]] = 0,0,SamplingData[[#This Row],[Max Error Bound (up)]]/SamplingData[[#Totals],[Max Error Bound (up)]])</f>
        <v>1.467808194277822E-3</v>
      </c>
      <c r="AD864" s="103">
        <f>SUM($AC$5:AC864)</f>
        <v>0.7739938924637384</v>
      </c>
      <c r="AE864" s="99" t="str" cm="1">
        <f t="array" ref="AE864">IF(SamplingData[[#This Row],[up/U Selection Probability]] = 0, "Zero", TEXT(SamplingData[[#This Row],[Lower Range]], REPT("0",LEN('General Info'!$B$42))) &amp; " - " &amp; TEXT(SamplingData[[#This Row],[Upper Range]], REPT("0",LEN('General Info'!$B$42))))</f>
        <v>772526 - 773993</v>
      </c>
      <c r="AF864" s="99">
        <f>SamplingData[[#This Row],[Upper Range]]-SamplingData[[#This Row],[Span]]</f>
        <v>772526.08426946064</v>
      </c>
      <c r="AG864" s="99">
        <f>IF(ISNUMBER('General Info'!$B$42), ((SamplingData[[#This Row],[up/U Selection Probability]]) * 'General Info'!$B$44) - 1, 0)</f>
        <v>1466.8081942778219</v>
      </c>
      <c r="AH864" s="99">
        <f>IF(ISNUMBER('General Info'!$B$42), (SamplingData[[#This Row],[Running (cumulative) sum]] * ('General Info'!$B$42 -'General Info'!$B$43 + 1)) + 'General Info'!$B$43 - 1, 0)</f>
        <v>773992.89246373845</v>
      </c>
      <c r="AI864" s="99" t="str">
        <f>IF(ISERROR(MATCH(SamplingData[[#This Row],[Batch by Type (p)]],SelectedPrecincts[Batch Name], 0)), "", INDEX(SelectedPrecincts[Draw], MATCH(SamplingData[[#This Row],[Batch by Type (p)]],SelectedPrecincts[Batch Name], 0)))</f>
        <v/>
      </c>
      <c r="AJ864" s="100">
        <f>IF(COUNTIF(SelectedPrecincts[Batch Name],SamplingData[[#This Row],[Batch by Type (p)]]) &lt;&gt; 0, COUNTIF(SelectedPrecincts[Batch Name],SamplingData[[#This Row],[Batch by Type (p)]]), 0)</f>
        <v>0</v>
      </c>
    </row>
    <row r="865" spans="1:36" ht="15" customHeight="1" x14ac:dyDescent="0.35">
      <c r="A865" s="97" t="s">
        <v>1078</v>
      </c>
      <c r="B865" s="97">
        <v>210</v>
      </c>
      <c r="C865" s="97">
        <v>122</v>
      </c>
      <c r="D865" s="92"/>
      <c r="E865" s="92"/>
      <c r="F865" s="92"/>
      <c r="G865" s="96"/>
      <c r="H865" s="96"/>
      <c r="I865" s="92"/>
      <c r="J865" s="92"/>
      <c r="K865" s="92"/>
      <c r="L865" s="92"/>
      <c r="M865" s="92"/>
      <c r="N865" s="97">
        <v>0</v>
      </c>
      <c r="O865" s="97">
        <v>29</v>
      </c>
      <c r="P865" s="98">
        <f>SUM(SamplingData[[#This Row],[Winning Candidate]:[Under Votes]])</f>
        <v>361</v>
      </c>
      <c r="Q865" s="99">
        <f>IF(AND(SamplingData[[#This Row],[Total]]&lt;&gt; 0, NOT(ISBLANK(SamplingData[[#This Row],[Losing Candidate]]))),(SamplingData[[#This Row],[Total]]+SamplingData[[#This Row],[Winning Candidate]]-SamplingData[[#This Row],[Losing Candidate]])/(SamplingData[[#Totals],[Winning Candidate]]-SamplingData[[#Totals],[Losing Candidate]]), 0)</f>
        <v>1.9054489899847225E-2</v>
      </c>
      <c r="R865" s="99">
        <f>IF(AND(SamplingData[[#This Row],[Total]]&lt;&gt; 0, NOT(ISBLANK(SamplingData[[#This Row],[Candidate 3]]))),(SamplingData[[#This Row],[Total]]+SamplingData[[#This Row],[Winning Candidate]]-SamplingData[[#This Row],[Candidate 3]])/(SamplingData[[#Totals],[Winning Candidate]]-SamplingData[[#Totals],[Candidate 3]]), 0)</f>
        <v>0</v>
      </c>
      <c r="S865" s="99">
        <f>IF(AND(SamplingData[[#This Row],[Total]]&lt;&gt; 0, NOT(ISBLANK(SamplingData[[#This Row],[Candidate 4]]))),(SamplingData[[#This Row],[Total]]+SamplingData[[#This Row],[Winning Candidate]]-SamplingData[[#This Row],[Candidate 4]])/(SamplingData[[#Totals],[Winning Candidate]]-SamplingData[[#Totals],[Candidate 4]]), 0)</f>
        <v>0</v>
      </c>
      <c r="T865" s="99">
        <f>IF(AND(SamplingData[[#This Row],[Total]]&lt;&gt; 0, NOT(ISBLANK(SamplingData[[#This Row],[Candidate 5]]))),(SamplingData[[#This Row],[Total]]+SamplingData[[#This Row],[Winning Candidate]]-SamplingData[[#This Row],[Candidate 5]])/(SamplingData[[#Totals],[Winning Candidate]]-SamplingData[[#Totals],[Candidate 5]]), 0)</f>
        <v>0</v>
      </c>
      <c r="U865" s="99">
        <f>IF(AND(SamplingData[[#This Row],[Total]]&lt;&gt; 0, NOT(ISBLANK(SamplingData[[#This Row],[Candidate 6]]))),(SamplingData[[#This Row],[Total]]+SamplingData[[#This Row],[Losing Candidate]]-SamplingData[[#This Row],[Candidate 6]])/(SamplingData[[#Totals],[Winning Candidate]]-SamplingData[[#Totals],[Candidate 6]]), 0)</f>
        <v>0</v>
      </c>
      <c r="V865" s="99">
        <f>IF(AND(SamplingData[[#This Row],[Total]]&lt;&gt; 0, NOT(ISBLANK(SamplingData[[#This Row],[Candidate 7]]))),(SamplingData[[#This Row],[Total]]+SamplingData[[#This Row],[Winning Candidate]]-SamplingData[[#This Row],[Candidate 7]])/(SamplingData[[#Totals],[Winning Candidate]]-SamplingData[[#Totals],[Candidate 7]]), 0)</f>
        <v>0</v>
      </c>
      <c r="W865" s="99">
        <f>IF(AND(SamplingData[[#This Row],[Total]]&lt;&gt; 0, NOT(ISBLANK(SamplingData[[#This Row],[Candidate 8]]))),(SamplingData[[#This Row],[Total]]+SamplingData[[#This Row],[Winning Candidate]]-SamplingData[[#This Row],[Candidate 8]])/(SamplingData[[#Totals],[Winning Candidate]]-SamplingData[[#Totals],[Candidate 8]]), 0)</f>
        <v>0</v>
      </c>
      <c r="X8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5" s="99">
        <f>MAX(SamplingData[[#This Row],[Error Bound (up) - Max. possible relative overstatement - Losing Candidate]:[Error Bound (up) - Max. possible relative overstatement - Candidate 12]])</f>
        <v>1.9054489899847225E-2</v>
      </c>
      <c r="AC865" s="99">
        <f>IF(SamplingData[[#This Row],[Max Error Bound (up)]] = 0,0,SamplingData[[#This Row],[Max Error Bound (up)]]/SamplingData[[#Totals],[Max Error Bound (up)]])</f>
        <v>1.020194859490313E-3</v>
      </c>
      <c r="AD865" s="103">
        <f>SUM($AC$5:AC865)</f>
        <v>0.77501408732322874</v>
      </c>
      <c r="AE865" s="99" t="str" cm="1">
        <f t="array" ref="AE865">IF(SamplingData[[#This Row],[up/U Selection Probability]] = 0, "Zero", TEXT(SamplingData[[#This Row],[Lower Range]], REPT("0",LEN('General Info'!$B$42))) &amp; " - " &amp; TEXT(SamplingData[[#This Row],[Upper Range]], REPT("0",LEN('General Info'!$B$42))))</f>
        <v>773994 - 775013</v>
      </c>
      <c r="AF865" s="99">
        <f>SamplingData[[#This Row],[Upper Range]]-SamplingData[[#This Row],[Span]]</f>
        <v>773993.89246373845</v>
      </c>
      <c r="AG865" s="99">
        <f>IF(ISNUMBER('General Info'!$B$42), ((SamplingData[[#This Row],[up/U Selection Probability]]) * 'General Info'!$B$44) - 1, 0)</f>
        <v>1019.194859490313</v>
      </c>
      <c r="AH865" s="99">
        <f>IF(ISNUMBER('General Info'!$B$42), (SamplingData[[#This Row],[Running (cumulative) sum]] * ('General Info'!$B$42 -'General Info'!$B$43 + 1)) + 'General Info'!$B$43 - 1, 0)</f>
        <v>775013.08732322871</v>
      </c>
      <c r="AI865" s="99" t="str">
        <f>IF(ISERROR(MATCH(SamplingData[[#This Row],[Batch by Type (p)]],SelectedPrecincts[Batch Name], 0)), "", INDEX(SelectedPrecincts[Draw], MATCH(SamplingData[[#This Row],[Batch by Type (p)]],SelectedPrecincts[Batch Name], 0)))</f>
        <v/>
      </c>
      <c r="AJ865" s="100">
        <f>IF(COUNTIF(SelectedPrecincts[Batch Name],SamplingData[[#This Row],[Batch by Type (p)]]) &lt;&gt; 0, COUNTIF(SelectedPrecincts[Batch Name],SamplingData[[#This Row],[Batch by Type (p)]]), 0)</f>
        <v>0</v>
      </c>
    </row>
    <row r="866" spans="1:36" ht="15" customHeight="1" x14ac:dyDescent="0.35">
      <c r="A866" s="97" t="s">
        <v>1079</v>
      </c>
      <c r="B866" s="97">
        <v>226</v>
      </c>
      <c r="C866" s="97">
        <v>151</v>
      </c>
      <c r="D866" s="92"/>
      <c r="E866" s="92"/>
      <c r="F866" s="92"/>
      <c r="G866" s="96"/>
      <c r="H866" s="96"/>
      <c r="I866" s="92"/>
      <c r="J866" s="92"/>
      <c r="K866" s="92"/>
      <c r="L866" s="92"/>
      <c r="M866" s="92"/>
      <c r="N866" s="97">
        <v>0</v>
      </c>
      <c r="O866" s="97">
        <v>29</v>
      </c>
      <c r="P866" s="98">
        <f>SUM(SamplingData[[#This Row],[Winning Candidate]:[Under Votes]])</f>
        <v>406</v>
      </c>
      <c r="Q866" s="99">
        <f>IF(AND(SamplingData[[#This Row],[Total]]&lt;&gt; 0, NOT(ISBLANK(SamplingData[[#This Row],[Losing Candidate]]))),(SamplingData[[#This Row],[Total]]+SamplingData[[#This Row],[Winning Candidate]]-SamplingData[[#This Row],[Losing Candidate]])/(SamplingData[[#Totals],[Winning Candidate]]-SamplingData[[#Totals],[Losing Candidate]]), 0)</f>
        <v>2.0412493634357494E-2</v>
      </c>
      <c r="R866" s="99">
        <f>IF(AND(SamplingData[[#This Row],[Total]]&lt;&gt; 0, NOT(ISBLANK(SamplingData[[#This Row],[Candidate 3]]))),(SamplingData[[#This Row],[Total]]+SamplingData[[#This Row],[Winning Candidate]]-SamplingData[[#This Row],[Candidate 3]])/(SamplingData[[#Totals],[Winning Candidate]]-SamplingData[[#Totals],[Candidate 3]]), 0)</f>
        <v>0</v>
      </c>
      <c r="S866" s="99">
        <f>IF(AND(SamplingData[[#This Row],[Total]]&lt;&gt; 0, NOT(ISBLANK(SamplingData[[#This Row],[Candidate 4]]))),(SamplingData[[#This Row],[Total]]+SamplingData[[#This Row],[Winning Candidate]]-SamplingData[[#This Row],[Candidate 4]])/(SamplingData[[#Totals],[Winning Candidate]]-SamplingData[[#Totals],[Candidate 4]]), 0)</f>
        <v>0</v>
      </c>
      <c r="T866" s="99">
        <f>IF(AND(SamplingData[[#This Row],[Total]]&lt;&gt; 0, NOT(ISBLANK(SamplingData[[#This Row],[Candidate 5]]))),(SamplingData[[#This Row],[Total]]+SamplingData[[#This Row],[Winning Candidate]]-SamplingData[[#This Row],[Candidate 5]])/(SamplingData[[#Totals],[Winning Candidate]]-SamplingData[[#Totals],[Candidate 5]]), 0)</f>
        <v>0</v>
      </c>
      <c r="U866" s="99">
        <f>IF(AND(SamplingData[[#This Row],[Total]]&lt;&gt; 0, NOT(ISBLANK(SamplingData[[#This Row],[Candidate 6]]))),(SamplingData[[#This Row],[Total]]+SamplingData[[#This Row],[Losing Candidate]]-SamplingData[[#This Row],[Candidate 6]])/(SamplingData[[#Totals],[Winning Candidate]]-SamplingData[[#Totals],[Candidate 6]]), 0)</f>
        <v>0</v>
      </c>
      <c r="V866" s="99">
        <f>IF(AND(SamplingData[[#This Row],[Total]]&lt;&gt; 0, NOT(ISBLANK(SamplingData[[#This Row],[Candidate 7]]))),(SamplingData[[#This Row],[Total]]+SamplingData[[#This Row],[Winning Candidate]]-SamplingData[[#This Row],[Candidate 7]])/(SamplingData[[#Totals],[Winning Candidate]]-SamplingData[[#Totals],[Candidate 7]]), 0)</f>
        <v>0</v>
      </c>
      <c r="W866" s="99">
        <f>IF(AND(SamplingData[[#This Row],[Total]]&lt;&gt; 0, NOT(ISBLANK(SamplingData[[#This Row],[Candidate 8]]))),(SamplingData[[#This Row],[Total]]+SamplingData[[#This Row],[Winning Candidate]]-SamplingData[[#This Row],[Candidate 8]])/(SamplingData[[#Totals],[Winning Candidate]]-SamplingData[[#Totals],[Candidate 8]]), 0)</f>
        <v>0</v>
      </c>
      <c r="X8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6" s="99">
        <f>MAX(SamplingData[[#This Row],[Error Bound (up) - Max. possible relative overstatement - Losing Candidate]:[Error Bound (up) - Max. possible relative overstatement - Candidate 12]])</f>
        <v>2.0412493634357494E-2</v>
      </c>
      <c r="AC866" s="99">
        <f>IF(SamplingData[[#This Row],[Max Error Bound (up)]] = 0,0,SamplingData[[#This Row],[Max Error Bound (up)]]/SamplingData[[#Totals],[Max Error Bound (up)]])</f>
        <v>1.0929036245319386E-3</v>
      </c>
      <c r="AD866" s="103">
        <f>SUM($AC$5:AC866)</f>
        <v>0.7761069909477607</v>
      </c>
      <c r="AE866" s="99" t="str" cm="1">
        <f t="array" ref="AE866">IF(SamplingData[[#This Row],[up/U Selection Probability]] = 0, "Zero", TEXT(SamplingData[[#This Row],[Lower Range]], REPT("0",LEN('General Info'!$B$42))) &amp; " - " &amp; TEXT(SamplingData[[#This Row],[Upper Range]], REPT("0",LEN('General Info'!$B$42))))</f>
        <v>775014 - 776106</v>
      </c>
      <c r="AF866" s="99">
        <f>SamplingData[[#This Row],[Upper Range]]-SamplingData[[#This Row],[Span]]</f>
        <v>775014.08732322883</v>
      </c>
      <c r="AG866" s="99">
        <f>IF(ISNUMBER('General Info'!$B$42), ((SamplingData[[#This Row],[up/U Selection Probability]]) * 'General Info'!$B$44) - 1, 0)</f>
        <v>1091.9036245319387</v>
      </c>
      <c r="AH866" s="99">
        <f>IF(ISNUMBER('General Info'!$B$42), (SamplingData[[#This Row],[Running (cumulative) sum]] * ('General Info'!$B$42 -'General Info'!$B$43 + 1)) + 'General Info'!$B$43 - 1, 0)</f>
        <v>776105.99094776076</v>
      </c>
      <c r="AI866" s="99" t="str">
        <f>IF(ISERROR(MATCH(SamplingData[[#This Row],[Batch by Type (p)]],SelectedPrecincts[Batch Name], 0)), "", INDEX(SelectedPrecincts[Draw], MATCH(SamplingData[[#This Row],[Batch by Type (p)]],SelectedPrecincts[Batch Name], 0)))</f>
        <v/>
      </c>
      <c r="AJ866" s="100">
        <f>IF(COUNTIF(SelectedPrecincts[Batch Name],SamplingData[[#This Row],[Batch by Type (p)]]) &lt;&gt; 0, COUNTIF(SelectedPrecincts[Batch Name],SamplingData[[#This Row],[Batch by Type (p)]]), 0)</f>
        <v>0</v>
      </c>
    </row>
    <row r="867" spans="1:36" ht="15" customHeight="1" x14ac:dyDescent="0.35">
      <c r="A867" s="97" t="s">
        <v>1080</v>
      </c>
      <c r="B867" s="97">
        <v>190</v>
      </c>
      <c r="C867" s="97">
        <v>161</v>
      </c>
      <c r="D867" s="92"/>
      <c r="E867" s="92"/>
      <c r="F867" s="92"/>
      <c r="G867" s="96"/>
      <c r="H867" s="96"/>
      <c r="I867" s="92"/>
      <c r="J867" s="92"/>
      <c r="K867" s="92"/>
      <c r="L867" s="92"/>
      <c r="M867" s="92"/>
      <c r="N867" s="97">
        <v>0</v>
      </c>
      <c r="O867" s="97">
        <v>20</v>
      </c>
      <c r="P867" s="98">
        <f>SUM(SamplingData[[#This Row],[Winning Candidate]:[Under Votes]])</f>
        <v>371</v>
      </c>
      <c r="Q867" s="99">
        <f>IF(AND(SamplingData[[#This Row],[Total]]&lt;&gt; 0, NOT(ISBLANK(SamplingData[[#This Row],[Losing Candidate]]))),(SamplingData[[#This Row],[Total]]+SamplingData[[#This Row],[Winning Candidate]]-SamplingData[[#This Row],[Losing Candidate]])/(SamplingData[[#Totals],[Winning Candidate]]-SamplingData[[#Totals],[Losing Candidate]]), 0)</f>
        <v>1.6975046681378374E-2</v>
      </c>
      <c r="R867" s="99">
        <f>IF(AND(SamplingData[[#This Row],[Total]]&lt;&gt; 0, NOT(ISBLANK(SamplingData[[#This Row],[Candidate 3]]))),(SamplingData[[#This Row],[Total]]+SamplingData[[#This Row],[Winning Candidate]]-SamplingData[[#This Row],[Candidate 3]])/(SamplingData[[#Totals],[Winning Candidate]]-SamplingData[[#Totals],[Candidate 3]]), 0)</f>
        <v>0</v>
      </c>
      <c r="S867" s="99">
        <f>IF(AND(SamplingData[[#This Row],[Total]]&lt;&gt; 0, NOT(ISBLANK(SamplingData[[#This Row],[Candidate 4]]))),(SamplingData[[#This Row],[Total]]+SamplingData[[#This Row],[Winning Candidate]]-SamplingData[[#This Row],[Candidate 4]])/(SamplingData[[#Totals],[Winning Candidate]]-SamplingData[[#Totals],[Candidate 4]]), 0)</f>
        <v>0</v>
      </c>
      <c r="T867" s="99">
        <f>IF(AND(SamplingData[[#This Row],[Total]]&lt;&gt; 0, NOT(ISBLANK(SamplingData[[#This Row],[Candidate 5]]))),(SamplingData[[#This Row],[Total]]+SamplingData[[#This Row],[Winning Candidate]]-SamplingData[[#This Row],[Candidate 5]])/(SamplingData[[#Totals],[Winning Candidate]]-SamplingData[[#Totals],[Candidate 5]]), 0)</f>
        <v>0</v>
      </c>
      <c r="U867" s="99">
        <f>IF(AND(SamplingData[[#This Row],[Total]]&lt;&gt; 0, NOT(ISBLANK(SamplingData[[#This Row],[Candidate 6]]))),(SamplingData[[#This Row],[Total]]+SamplingData[[#This Row],[Losing Candidate]]-SamplingData[[#This Row],[Candidate 6]])/(SamplingData[[#Totals],[Winning Candidate]]-SamplingData[[#Totals],[Candidate 6]]), 0)</f>
        <v>0</v>
      </c>
      <c r="V867" s="99">
        <f>IF(AND(SamplingData[[#This Row],[Total]]&lt;&gt; 0, NOT(ISBLANK(SamplingData[[#This Row],[Candidate 7]]))),(SamplingData[[#This Row],[Total]]+SamplingData[[#This Row],[Winning Candidate]]-SamplingData[[#This Row],[Candidate 7]])/(SamplingData[[#Totals],[Winning Candidate]]-SamplingData[[#Totals],[Candidate 7]]), 0)</f>
        <v>0</v>
      </c>
      <c r="W867" s="99">
        <f>IF(AND(SamplingData[[#This Row],[Total]]&lt;&gt; 0, NOT(ISBLANK(SamplingData[[#This Row],[Candidate 8]]))),(SamplingData[[#This Row],[Total]]+SamplingData[[#This Row],[Winning Candidate]]-SamplingData[[#This Row],[Candidate 8]])/(SamplingData[[#Totals],[Winning Candidate]]-SamplingData[[#Totals],[Candidate 8]]), 0)</f>
        <v>0</v>
      </c>
      <c r="X8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7" s="99">
        <f>MAX(SamplingData[[#This Row],[Error Bound (up) - Max. possible relative overstatement - Losing Candidate]:[Error Bound (up) - Max. possible relative overstatement - Candidate 12]])</f>
        <v>1.6975046681378374E-2</v>
      </c>
      <c r="AC867" s="99">
        <f>IF(SamplingData[[#This Row],[Max Error Bound (up)]] = 0,0,SamplingData[[#This Row],[Max Error Bound (up)]]/SamplingData[[#Totals],[Max Error Bound (up)]])</f>
        <v>9.0885956302032332E-4</v>
      </c>
      <c r="AD867" s="103">
        <f>SUM($AC$5:AC867)</f>
        <v>0.77701585051078104</v>
      </c>
      <c r="AE867" s="99" t="str" cm="1">
        <f t="array" ref="AE867">IF(SamplingData[[#This Row],[up/U Selection Probability]] = 0, "Zero", TEXT(SamplingData[[#This Row],[Lower Range]], REPT("0",LEN('General Info'!$B$42))) &amp; " - " &amp; TEXT(SamplingData[[#This Row],[Upper Range]], REPT("0",LEN('General Info'!$B$42))))</f>
        <v>776107 - 777015</v>
      </c>
      <c r="AF867" s="99">
        <f>SamplingData[[#This Row],[Upper Range]]-SamplingData[[#This Row],[Span]]</f>
        <v>776106.99094776076</v>
      </c>
      <c r="AG867" s="99">
        <f>IF(ISNUMBER('General Info'!$B$42), ((SamplingData[[#This Row],[up/U Selection Probability]]) * 'General Info'!$B$44) - 1, 0)</f>
        <v>907.85956302032332</v>
      </c>
      <c r="AH867" s="99">
        <f>IF(ISNUMBER('General Info'!$B$42), (SamplingData[[#This Row],[Running (cumulative) sum]] * ('General Info'!$B$42 -'General Info'!$B$43 + 1)) + 'General Info'!$B$43 - 1, 0)</f>
        <v>777014.85051078105</v>
      </c>
      <c r="AI867" s="99" t="str">
        <f>IF(ISERROR(MATCH(SamplingData[[#This Row],[Batch by Type (p)]],SelectedPrecincts[Batch Name], 0)), "", INDEX(SelectedPrecincts[Draw], MATCH(SamplingData[[#This Row],[Batch by Type (p)]],SelectedPrecincts[Batch Name], 0)))</f>
        <v/>
      </c>
      <c r="AJ867" s="100">
        <f>IF(COUNTIF(SelectedPrecincts[Batch Name],SamplingData[[#This Row],[Batch by Type (p)]]) &lt;&gt; 0, COUNTIF(SelectedPrecincts[Batch Name],SamplingData[[#This Row],[Batch by Type (p)]]), 0)</f>
        <v>0</v>
      </c>
    </row>
    <row r="868" spans="1:36" ht="15" customHeight="1" x14ac:dyDescent="0.35">
      <c r="A868" s="97" t="s">
        <v>1081</v>
      </c>
      <c r="B868" s="97">
        <v>179</v>
      </c>
      <c r="C868" s="97">
        <v>187</v>
      </c>
      <c r="D868" s="92"/>
      <c r="E868" s="92"/>
      <c r="F868" s="92"/>
      <c r="G868" s="96"/>
      <c r="H868" s="96"/>
      <c r="I868" s="92"/>
      <c r="J868" s="92"/>
      <c r="K868" s="92"/>
      <c r="L868" s="92"/>
      <c r="M868" s="92"/>
      <c r="N868" s="97">
        <v>1</v>
      </c>
      <c r="O868" s="97">
        <v>42</v>
      </c>
      <c r="P868" s="98">
        <f>SUM(SamplingData[[#This Row],[Winning Candidate]:[Under Votes]])</f>
        <v>409</v>
      </c>
      <c r="Q868" s="99">
        <f>IF(AND(SamplingData[[#This Row],[Total]]&lt;&gt; 0, NOT(ISBLANK(SamplingData[[#This Row],[Losing Candidate]]))),(SamplingData[[#This Row],[Total]]+SamplingData[[#This Row],[Winning Candidate]]-SamplingData[[#This Row],[Losing Candidate]])/(SamplingData[[#Totals],[Winning Candidate]]-SamplingData[[#Totals],[Losing Candidate]]), 0)</f>
        <v>1.7017484298081819E-2</v>
      </c>
      <c r="R868" s="99">
        <f>IF(AND(SamplingData[[#This Row],[Total]]&lt;&gt; 0, NOT(ISBLANK(SamplingData[[#This Row],[Candidate 3]]))),(SamplingData[[#This Row],[Total]]+SamplingData[[#This Row],[Winning Candidate]]-SamplingData[[#This Row],[Candidate 3]])/(SamplingData[[#Totals],[Winning Candidate]]-SamplingData[[#Totals],[Candidate 3]]), 0)</f>
        <v>0</v>
      </c>
      <c r="S868" s="99">
        <f>IF(AND(SamplingData[[#This Row],[Total]]&lt;&gt; 0, NOT(ISBLANK(SamplingData[[#This Row],[Candidate 4]]))),(SamplingData[[#This Row],[Total]]+SamplingData[[#This Row],[Winning Candidate]]-SamplingData[[#This Row],[Candidate 4]])/(SamplingData[[#Totals],[Winning Candidate]]-SamplingData[[#Totals],[Candidate 4]]), 0)</f>
        <v>0</v>
      </c>
      <c r="T868" s="99">
        <f>IF(AND(SamplingData[[#This Row],[Total]]&lt;&gt; 0, NOT(ISBLANK(SamplingData[[#This Row],[Candidate 5]]))),(SamplingData[[#This Row],[Total]]+SamplingData[[#This Row],[Winning Candidate]]-SamplingData[[#This Row],[Candidate 5]])/(SamplingData[[#Totals],[Winning Candidate]]-SamplingData[[#Totals],[Candidate 5]]), 0)</f>
        <v>0</v>
      </c>
      <c r="U868" s="99">
        <f>IF(AND(SamplingData[[#This Row],[Total]]&lt;&gt; 0, NOT(ISBLANK(SamplingData[[#This Row],[Candidate 6]]))),(SamplingData[[#This Row],[Total]]+SamplingData[[#This Row],[Losing Candidate]]-SamplingData[[#This Row],[Candidate 6]])/(SamplingData[[#Totals],[Winning Candidate]]-SamplingData[[#Totals],[Candidate 6]]), 0)</f>
        <v>0</v>
      </c>
      <c r="V868" s="99">
        <f>IF(AND(SamplingData[[#This Row],[Total]]&lt;&gt; 0, NOT(ISBLANK(SamplingData[[#This Row],[Candidate 7]]))),(SamplingData[[#This Row],[Total]]+SamplingData[[#This Row],[Winning Candidate]]-SamplingData[[#This Row],[Candidate 7]])/(SamplingData[[#Totals],[Winning Candidate]]-SamplingData[[#Totals],[Candidate 7]]), 0)</f>
        <v>0</v>
      </c>
      <c r="W868" s="99">
        <f>IF(AND(SamplingData[[#This Row],[Total]]&lt;&gt; 0, NOT(ISBLANK(SamplingData[[#This Row],[Candidate 8]]))),(SamplingData[[#This Row],[Total]]+SamplingData[[#This Row],[Winning Candidate]]-SamplingData[[#This Row],[Candidate 8]])/(SamplingData[[#Totals],[Winning Candidate]]-SamplingData[[#Totals],[Candidate 8]]), 0)</f>
        <v>0</v>
      </c>
      <c r="X8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8" s="99">
        <f>MAX(SamplingData[[#This Row],[Error Bound (up) - Max. possible relative overstatement - Losing Candidate]:[Error Bound (up) - Max. possible relative overstatement - Candidate 12]])</f>
        <v>1.7017484298081819E-2</v>
      </c>
      <c r="AC868" s="99">
        <f>IF(SamplingData[[#This Row],[Max Error Bound (up)]] = 0,0,SamplingData[[#This Row],[Max Error Bound (up)]]/SamplingData[[#Totals],[Max Error Bound (up)]])</f>
        <v>9.11131711927874E-4</v>
      </c>
      <c r="AD868" s="103">
        <f>SUM($AC$5:AC868)</f>
        <v>0.77792698222270895</v>
      </c>
      <c r="AE868" s="99" t="str" cm="1">
        <f t="array" ref="AE868">IF(SamplingData[[#This Row],[up/U Selection Probability]] = 0, "Zero", TEXT(SamplingData[[#This Row],[Lower Range]], REPT("0",LEN('General Info'!$B$42))) &amp; " - " &amp; TEXT(SamplingData[[#This Row],[Upper Range]], REPT("0",LEN('General Info'!$B$42))))</f>
        <v>777016 - 777926</v>
      </c>
      <c r="AF868" s="99">
        <f>SamplingData[[#This Row],[Upper Range]]-SamplingData[[#This Row],[Span]]</f>
        <v>777015.85051078117</v>
      </c>
      <c r="AG868" s="99">
        <f>IF(ISNUMBER('General Info'!$B$42), ((SamplingData[[#This Row],[up/U Selection Probability]]) * 'General Info'!$B$44) - 1, 0)</f>
        <v>910.13171192787399</v>
      </c>
      <c r="AH868" s="99">
        <f>IF(ISNUMBER('General Info'!$B$42), (SamplingData[[#This Row],[Running (cumulative) sum]] * ('General Info'!$B$42 -'General Info'!$B$43 + 1)) + 'General Info'!$B$43 - 1, 0)</f>
        <v>777925.98222270899</v>
      </c>
      <c r="AI868" s="99">
        <f>IF(ISERROR(MATCH(SamplingData[[#This Row],[Batch by Type (p)]],SelectedPrecincts[Batch Name], 0)), "", INDEX(SelectedPrecincts[Draw], MATCH(SamplingData[[#This Row],[Batch by Type (p)]],SelectedPrecincts[Batch Name], 0)))</f>
        <v>13</v>
      </c>
      <c r="AJ868" s="100">
        <f>IF(COUNTIF(SelectedPrecincts[Batch Name],SamplingData[[#This Row],[Batch by Type (p)]]) &lt;&gt; 0, COUNTIF(SelectedPrecincts[Batch Name],SamplingData[[#This Row],[Batch by Type (p)]]), 0)</f>
        <v>1</v>
      </c>
    </row>
    <row r="869" spans="1:36" ht="15" customHeight="1" x14ac:dyDescent="0.35">
      <c r="A869" s="97" t="s">
        <v>1082</v>
      </c>
      <c r="B869" s="97">
        <v>223</v>
      </c>
      <c r="C869" s="97">
        <v>177</v>
      </c>
      <c r="D869" s="92"/>
      <c r="E869" s="92"/>
      <c r="F869" s="92"/>
      <c r="G869" s="96"/>
      <c r="H869" s="96"/>
      <c r="I869" s="92"/>
      <c r="J869" s="92"/>
      <c r="K869" s="92"/>
      <c r="L869" s="92"/>
      <c r="M869" s="92"/>
      <c r="N869" s="97">
        <v>0</v>
      </c>
      <c r="O869" s="97">
        <v>36</v>
      </c>
      <c r="P869" s="98">
        <f>SUM(SamplingData[[#This Row],[Winning Candidate]:[Under Votes]])</f>
        <v>436</v>
      </c>
      <c r="Q869" s="99">
        <f>IF(AND(SamplingData[[#This Row],[Total]]&lt;&gt; 0, NOT(ISBLANK(SamplingData[[#This Row],[Losing Candidate]]))),(SamplingData[[#This Row],[Total]]+SamplingData[[#This Row],[Winning Candidate]]-SamplingData[[#This Row],[Losing Candidate]])/(SamplingData[[#Totals],[Winning Candidate]]-SamplingData[[#Totals],[Losing Candidate]]), 0)</f>
        <v>2.0454931251060942E-2</v>
      </c>
      <c r="R869" s="99">
        <f>IF(AND(SamplingData[[#This Row],[Total]]&lt;&gt; 0, NOT(ISBLANK(SamplingData[[#This Row],[Candidate 3]]))),(SamplingData[[#This Row],[Total]]+SamplingData[[#This Row],[Winning Candidate]]-SamplingData[[#This Row],[Candidate 3]])/(SamplingData[[#Totals],[Winning Candidate]]-SamplingData[[#Totals],[Candidate 3]]), 0)</f>
        <v>0</v>
      </c>
      <c r="S869" s="99">
        <f>IF(AND(SamplingData[[#This Row],[Total]]&lt;&gt; 0, NOT(ISBLANK(SamplingData[[#This Row],[Candidate 4]]))),(SamplingData[[#This Row],[Total]]+SamplingData[[#This Row],[Winning Candidate]]-SamplingData[[#This Row],[Candidate 4]])/(SamplingData[[#Totals],[Winning Candidate]]-SamplingData[[#Totals],[Candidate 4]]), 0)</f>
        <v>0</v>
      </c>
      <c r="T869" s="99">
        <f>IF(AND(SamplingData[[#This Row],[Total]]&lt;&gt; 0, NOT(ISBLANK(SamplingData[[#This Row],[Candidate 5]]))),(SamplingData[[#This Row],[Total]]+SamplingData[[#This Row],[Winning Candidate]]-SamplingData[[#This Row],[Candidate 5]])/(SamplingData[[#Totals],[Winning Candidate]]-SamplingData[[#Totals],[Candidate 5]]), 0)</f>
        <v>0</v>
      </c>
      <c r="U869" s="99">
        <f>IF(AND(SamplingData[[#This Row],[Total]]&lt;&gt; 0, NOT(ISBLANK(SamplingData[[#This Row],[Candidate 6]]))),(SamplingData[[#This Row],[Total]]+SamplingData[[#This Row],[Losing Candidate]]-SamplingData[[#This Row],[Candidate 6]])/(SamplingData[[#Totals],[Winning Candidate]]-SamplingData[[#Totals],[Candidate 6]]), 0)</f>
        <v>0</v>
      </c>
      <c r="V869" s="99">
        <f>IF(AND(SamplingData[[#This Row],[Total]]&lt;&gt; 0, NOT(ISBLANK(SamplingData[[#This Row],[Candidate 7]]))),(SamplingData[[#This Row],[Total]]+SamplingData[[#This Row],[Winning Candidate]]-SamplingData[[#This Row],[Candidate 7]])/(SamplingData[[#Totals],[Winning Candidate]]-SamplingData[[#Totals],[Candidate 7]]), 0)</f>
        <v>0</v>
      </c>
      <c r="W869" s="99">
        <f>IF(AND(SamplingData[[#This Row],[Total]]&lt;&gt; 0, NOT(ISBLANK(SamplingData[[#This Row],[Candidate 8]]))),(SamplingData[[#This Row],[Total]]+SamplingData[[#This Row],[Winning Candidate]]-SamplingData[[#This Row],[Candidate 8]])/(SamplingData[[#Totals],[Winning Candidate]]-SamplingData[[#Totals],[Candidate 8]]), 0)</f>
        <v>0</v>
      </c>
      <c r="X8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9" s="99">
        <f>MAX(SamplingData[[#This Row],[Error Bound (up) - Max. possible relative overstatement - Losing Candidate]:[Error Bound (up) - Max. possible relative overstatement - Candidate 12]])</f>
        <v>2.0454931251060942E-2</v>
      </c>
      <c r="AC869" s="99">
        <f>IF(SamplingData[[#This Row],[Max Error Bound (up)]] = 0,0,SamplingData[[#This Row],[Max Error Bound (up)]]/SamplingData[[#Totals],[Max Error Bound (up)]])</f>
        <v>1.0951757734394896E-3</v>
      </c>
      <c r="AD869" s="103">
        <f>SUM($AC$5:AC869)</f>
        <v>0.77902215799614849</v>
      </c>
      <c r="AE869" s="99" t="str" cm="1">
        <f t="array" ref="AE869">IF(SamplingData[[#This Row],[up/U Selection Probability]] = 0, "Zero", TEXT(SamplingData[[#This Row],[Lower Range]], REPT("0",LEN('General Info'!$B$42))) &amp; " - " &amp; TEXT(SamplingData[[#This Row],[Upper Range]], REPT("0",LEN('General Info'!$B$42))))</f>
        <v>777927 - 779021</v>
      </c>
      <c r="AF869" s="99">
        <f>SamplingData[[#This Row],[Upper Range]]-SamplingData[[#This Row],[Span]]</f>
        <v>777926.98222270899</v>
      </c>
      <c r="AG869" s="99">
        <f>IF(ISNUMBER('General Info'!$B$42), ((SamplingData[[#This Row],[up/U Selection Probability]]) * 'General Info'!$B$44) - 1, 0)</f>
        <v>1094.1757734394896</v>
      </c>
      <c r="AH869" s="99">
        <f>IF(ISNUMBER('General Info'!$B$42), (SamplingData[[#This Row],[Running (cumulative) sum]] * ('General Info'!$B$42 -'General Info'!$B$43 + 1)) + 'General Info'!$B$43 - 1, 0)</f>
        <v>779021.15799614845</v>
      </c>
      <c r="AI869" s="99" t="str">
        <f>IF(ISERROR(MATCH(SamplingData[[#This Row],[Batch by Type (p)]],SelectedPrecincts[Batch Name], 0)), "", INDEX(SelectedPrecincts[Draw], MATCH(SamplingData[[#This Row],[Batch by Type (p)]],SelectedPrecincts[Batch Name], 0)))</f>
        <v/>
      </c>
      <c r="AJ869" s="100">
        <f>IF(COUNTIF(SelectedPrecincts[Batch Name],SamplingData[[#This Row],[Batch by Type (p)]]) &lt;&gt; 0, COUNTIF(SelectedPrecincts[Batch Name],SamplingData[[#This Row],[Batch by Type (p)]]), 0)</f>
        <v>0</v>
      </c>
    </row>
    <row r="870" spans="1:36" ht="15" customHeight="1" x14ac:dyDescent="0.35">
      <c r="A870" s="97" t="s">
        <v>1083</v>
      </c>
      <c r="B870" s="97">
        <v>187</v>
      </c>
      <c r="C870" s="97">
        <v>156</v>
      </c>
      <c r="D870" s="92"/>
      <c r="E870" s="92"/>
      <c r="F870" s="92"/>
      <c r="G870" s="96"/>
      <c r="H870" s="96"/>
      <c r="I870" s="92"/>
      <c r="J870" s="92"/>
      <c r="K870" s="92"/>
      <c r="L870" s="92"/>
      <c r="M870" s="92"/>
      <c r="N870" s="97">
        <v>0</v>
      </c>
      <c r="O870" s="97">
        <v>36</v>
      </c>
      <c r="P870" s="98">
        <f>SUM(SamplingData[[#This Row],[Winning Candidate]:[Under Votes]])</f>
        <v>379</v>
      </c>
      <c r="Q870" s="99">
        <f>IF(AND(SamplingData[[#This Row],[Total]]&lt;&gt; 0, NOT(ISBLANK(SamplingData[[#This Row],[Losing Candidate]]))),(SamplingData[[#This Row],[Total]]+SamplingData[[#This Row],[Winning Candidate]]-SamplingData[[#This Row],[Losing Candidate]])/(SamplingData[[#Totals],[Winning Candidate]]-SamplingData[[#Totals],[Losing Candidate]]), 0)</f>
        <v>1.7399422848412834E-2</v>
      </c>
      <c r="R870" s="99">
        <f>IF(AND(SamplingData[[#This Row],[Total]]&lt;&gt; 0, NOT(ISBLANK(SamplingData[[#This Row],[Candidate 3]]))),(SamplingData[[#This Row],[Total]]+SamplingData[[#This Row],[Winning Candidate]]-SamplingData[[#This Row],[Candidate 3]])/(SamplingData[[#Totals],[Winning Candidate]]-SamplingData[[#Totals],[Candidate 3]]), 0)</f>
        <v>0</v>
      </c>
      <c r="S870" s="99">
        <f>IF(AND(SamplingData[[#This Row],[Total]]&lt;&gt; 0, NOT(ISBLANK(SamplingData[[#This Row],[Candidate 4]]))),(SamplingData[[#This Row],[Total]]+SamplingData[[#This Row],[Winning Candidate]]-SamplingData[[#This Row],[Candidate 4]])/(SamplingData[[#Totals],[Winning Candidate]]-SamplingData[[#Totals],[Candidate 4]]), 0)</f>
        <v>0</v>
      </c>
      <c r="T870" s="99">
        <f>IF(AND(SamplingData[[#This Row],[Total]]&lt;&gt; 0, NOT(ISBLANK(SamplingData[[#This Row],[Candidate 5]]))),(SamplingData[[#This Row],[Total]]+SamplingData[[#This Row],[Winning Candidate]]-SamplingData[[#This Row],[Candidate 5]])/(SamplingData[[#Totals],[Winning Candidate]]-SamplingData[[#Totals],[Candidate 5]]), 0)</f>
        <v>0</v>
      </c>
      <c r="U870" s="99">
        <f>IF(AND(SamplingData[[#This Row],[Total]]&lt;&gt; 0, NOT(ISBLANK(SamplingData[[#This Row],[Candidate 6]]))),(SamplingData[[#This Row],[Total]]+SamplingData[[#This Row],[Losing Candidate]]-SamplingData[[#This Row],[Candidate 6]])/(SamplingData[[#Totals],[Winning Candidate]]-SamplingData[[#Totals],[Candidate 6]]), 0)</f>
        <v>0</v>
      </c>
      <c r="V870" s="99">
        <f>IF(AND(SamplingData[[#This Row],[Total]]&lt;&gt; 0, NOT(ISBLANK(SamplingData[[#This Row],[Candidate 7]]))),(SamplingData[[#This Row],[Total]]+SamplingData[[#This Row],[Winning Candidate]]-SamplingData[[#This Row],[Candidate 7]])/(SamplingData[[#Totals],[Winning Candidate]]-SamplingData[[#Totals],[Candidate 7]]), 0)</f>
        <v>0</v>
      </c>
      <c r="W870" s="99">
        <f>IF(AND(SamplingData[[#This Row],[Total]]&lt;&gt; 0, NOT(ISBLANK(SamplingData[[#This Row],[Candidate 8]]))),(SamplingData[[#This Row],[Total]]+SamplingData[[#This Row],[Winning Candidate]]-SamplingData[[#This Row],[Candidate 8]])/(SamplingData[[#Totals],[Winning Candidate]]-SamplingData[[#Totals],[Candidate 8]]), 0)</f>
        <v>0</v>
      </c>
      <c r="X8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0" s="99">
        <f>MAX(SamplingData[[#This Row],[Error Bound (up) - Max. possible relative overstatement - Losing Candidate]:[Error Bound (up) - Max. possible relative overstatement - Candidate 12]])</f>
        <v>1.7399422848412834E-2</v>
      </c>
      <c r="AC870" s="99">
        <f>IF(SamplingData[[#This Row],[Max Error Bound (up)]] = 0,0,SamplingData[[#This Row],[Max Error Bound (up)]]/SamplingData[[#Totals],[Max Error Bound (up)]])</f>
        <v>9.3158105209583135E-4</v>
      </c>
      <c r="AD870" s="103">
        <f>SUM($AC$5:AC870)</f>
        <v>0.77995373904824428</v>
      </c>
      <c r="AE870" s="99" t="str" cm="1">
        <f t="array" ref="AE870">IF(SamplingData[[#This Row],[up/U Selection Probability]] = 0, "Zero", TEXT(SamplingData[[#This Row],[Lower Range]], REPT("0",LEN('General Info'!$B$42))) &amp; " - " &amp; TEXT(SamplingData[[#This Row],[Upper Range]], REPT("0",LEN('General Info'!$B$42))))</f>
        <v>779022 - 779953</v>
      </c>
      <c r="AF870" s="99">
        <f>SamplingData[[#This Row],[Upper Range]]-SamplingData[[#This Row],[Span]]</f>
        <v>779022.15799614845</v>
      </c>
      <c r="AG870" s="99">
        <f>IF(ISNUMBER('General Info'!$B$42), ((SamplingData[[#This Row],[up/U Selection Probability]]) * 'General Info'!$B$44) - 1, 0)</f>
        <v>930.5810520958313</v>
      </c>
      <c r="AH870" s="99">
        <f>IF(ISNUMBER('General Info'!$B$42), (SamplingData[[#This Row],[Running (cumulative) sum]] * ('General Info'!$B$42 -'General Info'!$B$43 + 1)) + 'General Info'!$B$43 - 1, 0)</f>
        <v>779952.73904824432</v>
      </c>
      <c r="AI870" s="99" t="str">
        <f>IF(ISERROR(MATCH(SamplingData[[#This Row],[Batch by Type (p)]],SelectedPrecincts[Batch Name], 0)), "", INDEX(SelectedPrecincts[Draw], MATCH(SamplingData[[#This Row],[Batch by Type (p)]],SelectedPrecincts[Batch Name], 0)))</f>
        <v/>
      </c>
      <c r="AJ870" s="100">
        <f>IF(COUNTIF(SelectedPrecincts[Batch Name],SamplingData[[#This Row],[Batch by Type (p)]]) &lt;&gt; 0, COUNTIF(SelectedPrecincts[Batch Name],SamplingData[[#This Row],[Batch by Type (p)]]), 0)</f>
        <v>0</v>
      </c>
    </row>
    <row r="871" spans="1:36" ht="15" customHeight="1" x14ac:dyDescent="0.35">
      <c r="A871" s="97" t="s">
        <v>1084</v>
      </c>
      <c r="B871" s="97">
        <v>201</v>
      </c>
      <c r="C871" s="97">
        <v>72</v>
      </c>
      <c r="D871" s="92"/>
      <c r="E871" s="92"/>
      <c r="F871" s="92"/>
      <c r="G871" s="96"/>
      <c r="H871" s="96"/>
      <c r="I871" s="92"/>
      <c r="J871" s="92"/>
      <c r="K871" s="92"/>
      <c r="L871" s="92"/>
      <c r="M871" s="92"/>
      <c r="N871" s="97">
        <v>0</v>
      </c>
      <c r="O871" s="97">
        <v>22</v>
      </c>
      <c r="P871" s="98">
        <f>SUM(SamplingData[[#This Row],[Winning Candidate]:[Under Votes]])</f>
        <v>295</v>
      </c>
      <c r="Q871" s="99">
        <f>IF(AND(SamplingData[[#This Row],[Total]]&lt;&gt; 0, NOT(ISBLANK(SamplingData[[#This Row],[Losing Candidate]]))),(SamplingData[[#This Row],[Total]]+SamplingData[[#This Row],[Winning Candidate]]-SamplingData[[#This Row],[Losing Candidate]])/(SamplingData[[#Totals],[Winning Candidate]]-SamplingData[[#Totals],[Losing Candidate]]), 0)</f>
        <v>1.7993549482261076E-2</v>
      </c>
      <c r="R871" s="99">
        <f>IF(AND(SamplingData[[#This Row],[Total]]&lt;&gt; 0, NOT(ISBLANK(SamplingData[[#This Row],[Candidate 3]]))),(SamplingData[[#This Row],[Total]]+SamplingData[[#This Row],[Winning Candidate]]-SamplingData[[#This Row],[Candidate 3]])/(SamplingData[[#Totals],[Winning Candidate]]-SamplingData[[#Totals],[Candidate 3]]), 0)</f>
        <v>0</v>
      </c>
      <c r="S871" s="99">
        <f>IF(AND(SamplingData[[#This Row],[Total]]&lt;&gt; 0, NOT(ISBLANK(SamplingData[[#This Row],[Candidate 4]]))),(SamplingData[[#This Row],[Total]]+SamplingData[[#This Row],[Winning Candidate]]-SamplingData[[#This Row],[Candidate 4]])/(SamplingData[[#Totals],[Winning Candidate]]-SamplingData[[#Totals],[Candidate 4]]), 0)</f>
        <v>0</v>
      </c>
      <c r="T871" s="99">
        <f>IF(AND(SamplingData[[#This Row],[Total]]&lt;&gt; 0, NOT(ISBLANK(SamplingData[[#This Row],[Candidate 5]]))),(SamplingData[[#This Row],[Total]]+SamplingData[[#This Row],[Winning Candidate]]-SamplingData[[#This Row],[Candidate 5]])/(SamplingData[[#Totals],[Winning Candidate]]-SamplingData[[#Totals],[Candidate 5]]), 0)</f>
        <v>0</v>
      </c>
      <c r="U871" s="99">
        <f>IF(AND(SamplingData[[#This Row],[Total]]&lt;&gt; 0, NOT(ISBLANK(SamplingData[[#This Row],[Candidate 6]]))),(SamplingData[[#This Row],[Total]]+SamplingData[[#This Row],[Losing Candidate]]-SamplingData[[#This Row],[Candidate 6]])/(SamplingData[[#Totals],[Winning Candidate]]-SamplingData[[#Totals],[Candidate 6]]), 0)</f>
        <v>0</v>
      </c>
      <c r="V871" s="99">
        <f>IF(AND(SamplingData[[#This Row],[Total]]&lt;&gt; 0, NOT(ISBLANK(SamplingData[[#This Row],[Candidate 7]]))),(SamplingData[[#This Row],[Total]]+SamplingData[[#This Row],[Winning Candidate]]-SamplingData[[#This Row],[Candidate 7]])/(SamplingData[[#Totals],[Winning Candidate]]-SamplingData[[#Totals],[Candidate 7]]), 0)</f>
        <v>0</v>
      </c>
      <c r="W871" s="99">
        <f>IF(AND(SamplingData[[#This Row],[Total]]&lt;&gt; 0, NOT(ISBLANK(SamplingData[[#This Row],[Candidate 8]]))),(SamplingData[[#This Row],[Total]]+SamplingData[[#This Row],[Winning Candidate]]-SamplingData[[#This Row],[Candidate 8]])/(SamplingData[[#Totals],[Winning Candidate]]-SamplingData[[#Totals],[Candidate 8]]), 0)</f>
        <v>0</v>
      </c>
      <c r="X8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1" s="99">
        <f>MAX(SamplingData[[#This Row],[Error Bound (up) - Max. possible relative overstatement - Losing Candidate]:[Error Bound (up) - Max. possible relative overstatement - Candidate 12]])</f>
        <v>1.7993549482261076E-2</v>
      </c>
      <c r="AC871" s="99">
        <f>IF(SamplingData[[#This Row],[Max Error Bound (up)]] = 0,0,SamplingData[[#This Row],[Max Error Bound (up)]]/SamplingData[[#Totals],[Max Error Bound (up)]])</f>
        <v>9.6339113680154261E-4</v>
      </c>
      <c r="AD871" s="103">
        <f>SUM($AC$5:AC871)</f>
        <v>0.78091713018504583</v>
      </c>
      <c r="AE871" s="99" t="str" cm="1">
        <f t="array" ref="AE871">IF(SamplingData[[#This Row],[up/U Selection Probability]] = 0, "Zero", TEXT(SamplingData[[#This Row],[Lower Range]], REPT("0",LEN('General Info'!$B$42))) &amp; " - " &amp; TEXT(SamplingData[[#This Row],[Upper Range]], REPT("0",LEN('General Info'!$B$42))))</f>
        <v>779954 - 780916</v>
      </c>
      <c r="AF871" s="99">
        <f>SamplingData[[#This Row],[Upper Range]]-SamplingData[[#This Row],[Span]]</f>
        <v>779953.73904824432</v>
      </c>
      <c r="AG871" s="99">
        <f>IF(ISNUMBER('General Info'!$B$42), ((SamplingData[[#This Row],[up/U Selection Probability]]) * 'General Info'!$B$44) - 1, 0)</f>
        <v>962.39113680154264</v>
      </c>
      <c r="AH871" s="99">
        <f>IF(ISNUMBER('General Info'!$B$42), (SamplingData[[#This Row],[Running (cumulative) sum]] * ('General Info'!$B$42 -'General Info'!$B$43 + 1)) + 'General Info'!$B$43 - 1, 0)</f>
        <v>780916.13018504588</v>
      </c>
      <c r="AI871" s="99" t="str">
        <f>IF(ISERROR(MATCH(SamplingData[[#This Row],[Batch by Type (p)]],SelectedPrecincts[Batch Name], 0)), "", INDEX(SelectedPrecincts[Draw], MATCH(SamplingData[[#This Row],[Batch by Type (p)]],SelectedPrecincts[Batch Name], 0)))</f>
        <v/>
      </c>
      <c r="AJ871" s="100">
        <f>IF(COUNTIF(SelectedPrecincts[Batch Name],SamplingData[[#This Row],[Batch by Type (p)]]) &lt;&gt; 0, COUNTIF(SelectedPrecincts[Batch Name],SamplingData[[#This Row],[Batch by Type (p)]]), 0)</f>
        <v>0</v>
      </c>
    </row>
    <row r="872" spans="1:36" ht="15" customHeight="1" x14ac:dyDescent="0.35">
      <c r="A872" s="97" t="s">
        <v>1085</v>
      </c>
      <c r="B872" s="97">
        <v>284</v>
      </c>
      <c r="C872" s="97">
        <v>124</v>
      </c>
      <c r="D872" s="92"/>
      <c r="E872" s="92"/>
      <c r="F872" s="92"/>
      <c r="G872" s="96"/>
      <c r="H872" s="96"/>
      <c r="I872" s="92"/>
      <c r="J872" s="92"/>
      <c r="K872" s="92"/>
      <c r="L872" s="92"/>
      <c r="M872" s="92"/>
      <c r="N872" s="97">
        <v>0</v>
      </c>
      <c r="O872" s="97">
        <v>19</v>
      </c>
      <c r="P872" s="98">
        <f>SUM(SamplingData[[#This Row],[Winning Candidate]:[Under Votes]])</f>
        <v>427</v>
      </c>
      <c r="Q872" s="99">
        <f>IF(AND(SamplingData[[#This Row],[Total]]&lt;&gt; 0, NOT(ISBLANK(SamplingData[[#This Row],[Losing Candidate]]))),(SamplingData[[#This Row],[Total]]+SamplingData[[#This Row],[Winning Candidate]]-SamplingData[[#This Row],[Losing Candidate]])/(SamplingData[[#Totals],[Winning Candidate]]-SamplingData[[#Totals],[Losing Candidate]]), 0)</f>
        <v>2.4910881004922763E-2</v>
      </c>
      <c r="R872" s="99">
        <f>IF(AND(SamplingData[[#This Row],[Total]]&lt;&gt; 0, NOT(ISBLANK(SamplingData[[#This Row],[Candidate 3]]))),(SamplingData[[#This Row],[Total]]+SamplingData[[#This Row],[Winning Candidate]]-SamplingData[[#This Row],[Candidate 3]])/(SamplingData[[#Totals],[Winning Candidate]]-SamplingData[[#Totals],[Candidate 3]]), 0)</f>
        <v>0</v>
      </c>
      <c r="S872" s="99">
        <f>IF(AND(SamplingData[[#This Row],[Total]]&lt;&gt; 0, NOT(ISBLANK(SamplingData[[#This Row],[Candidate 4]]))),(SamplingData[[#This Row],[Total]]+SamplingData[[#This Row],[Winning Candidate]]-SamplingData[[#This Row],[Candidate 4]])/(SamplingData[[#Totals],[Winning Candidate]]-SamplingData[[#Totals],[Candidate 4]]), 0)</f>
        <v>0</v>
      </c>
      <c r="T872" s="99">
        <f>IF(AND(SamplingData[[#This Row],[Total]]&lt;&gt; 0, NOT(ISBLANK(SamplingData[[#This Row],[Candidate 5]]))),(SamplingData[[#This Row],[Total]]+SamplingData[[#This Row],[Winning Candidate]]-SamplingData[[#This Row],[Candidate 5]])/(SamplingData[[#Totals],[Winning Candidate]]-SamplingData[[#Totals],[Candidate 5]]), 0)</f>
        <v>0</v>
      </c>
      <c r="U872" s="99">
        <f>IF(AND(SamplingData[[#This Row],[Total]]&lt;&gt; 0, NOT(ISBLANK(SamplingData[[#This Row],[Candidate 6]]))),(SamplingData[[#This Row],[Total]]+SamplingData[[#This Row],[Losing Candidate]]-SamplingData[[#This Row],[Candidate 6]])/(SamplingData[[#Totals],[Winning Candidate]]-SamplingData[[#Totals],[Candidate 6]]), 0)</f>
        <v>0</v>
      </c>
      <c r="V872" s="99">
        <f>IF(AND(SamplingData[[#This Row],[Total]]&lt;&gt; 0, NOT(ISBLANK(SamplingData[[#This Row],[Candidate 7]]))),(SamplingData[[#This Row],[Total]]+SamplingData[[#This Row],[Winning Candidate]]-SamplingData[[#This Row],[Candidate 7]])/(SamplingData[[#Totals],[Winning Candidate]]-SamplingData[[#Totals],[Candidate 7]]), 0)</f>
        <v>0</v>
      </c>
      <c r="W872" s="99">
        <f>IF(AND(SamplingData[[#This Row],[Total]]&lt;&gt; 0, NOT(ISBLANK(SamplingData[[#This Row],[Candidate 8]]))),(SamplingData[[#This Row],[Total]]+SamplingData[[#This Row],[Winning Candidate]]-SamplingData[[#This Row],[Candidate 8]])/(SamplingData[[#Totals],[Winning Candidate]]-SamplingData[[#Totals],[Candidate 8]]), 0)</f>
        <v>0</v>
      </c>
      <c r="X8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2" s="99">
        <f>MAX(SamplingData[[#This Row],[Error Bound (up) - Max. possible relative overstatement - Losing Candidate]:[Error Bound (up) - Max. possible relative overstatement - Candidate 12]])</f>
        <v>2.4910881004922763E-2</v>
      </c>
      <c r="AC872" s="99">
        <f>IF(SamplingData[[#This Row],[Max Error Bound (up)]] = 0,0,SamplingData[[#This Row],[Max Error Bound (up)]]/SamplingData[[#Totals],[Max Error Bound (up)]])</f>
        <v>1.3337514087323245E-3</v>
      </c>
      <c r="AD872" s="103">
        <f>SUM($AC$5:AC872)</f>
        <v>0.7822508815937782</v>
      </c>
      <c r="AE872" s="99" t="str" cm="1">
        <f t="array" ref="AE872">IF(SamplingData[[#This Row],[up/U Selection Probability]] = 0, "Zero", TEXT(SamplingData[[#This Row],[Lower Range]], REPT("0",LEN('General Info'!$B$42))) &amp; " - " &amp; TEXT(SamplingData[[#This Row],[Upper Range]], REPT("0",LEN('General Info'!$B$42))))</f>
        <v>780917 - 782250</v>
      </c>
      <c r="AF872" s="99">
        <f>SamplingData[[#This Row],[Upper Range]]-SamplingData[[#This Row],[Span]]</f>
        <v>780917.13018504577</v>
      </c>
      <c r="AG872" s="99">
        <f>IF(ISNUMBER('General Info'!$B$42), ((SamplingData[[#This Row],[up/U Selection Probability]]) * 'General Info'!$B$44) - 1, 0)</f>
        <v>1332.7514087323245</v>
      </c>
      <c r="AH872" s="99">
        <f>IF(ISNUMBER('General Info'!$B$42), (SamplingData[[#This Row],[Running (cumulative) sum]] * ('General Info'!$B$42 -'General Info'!$B$43 + 1)) + 'General Info'!$B$43 - 1, 0)</f>
        <v>782249.88159377815</v>
      </c>
      <c r="AI872" s="99">
        <f>IF(ISERROR(MATCH(SamplingData[[#This Row],[Batch by Type (p)]],SelectedPrecincts[Batch Name], 0)), "", INDEX(SelectedPrecincts[Draw], MATCH(SamplingData[[#This Row],[Batch by Type (p)]],SelectedPrecincts[Batch Name], 0)))</f>
        <v>12</v>
      </c>
      <c r="AJ872" s="100">
        <f>IF(COUNTIF(SelectedPrecincts[Batch Name],SamplingData[[#This Row],[Batch by Type (p)]]) &lt;&gt; 0, COUNTIF(SelectedPrecincts[Batch Name],SamplingData[[#This Row],[Batch by Type (p)]]), 0)</f>
        <v>1</v>
      </c>
    </row>
    <row r="873" spans="1:36" ht="15" customHeight="1" x14ac:dyDescent="0.35">
      <c r="A873" s="97" t="s">
        <v>1086</v>
      </c>
      <c r="B873" s="97">
        <v>358</v>
      </c>
      <c r="C873" s="97">
        <v>257</v>
      </c>
      <c r="D873" s="92"/>
      <c r="E873" s="92"/>
      <c r="F873" s="92"/>
      <c r="G873" s="96"/>
      <c r="H873" s="96"/>
      <c r="I873" s="92"/>
      <c r="J873" s="92"/>
      <c r="K873" s="92"/>
      <c r="L873" s="92"/>
      <c r="M873" s="92"/>
      <c r="N873" s="97">
        <v>0</v>
      </c>
      <c r="O873" s="97">
        <v>33</v>
      </c>
      <c r="P873" s="98">
        <f>SUM(SamplingData[[#This Row],[Winning Candidate]:[Under Votes]])</f>
        <v>648</v>
      </c>
      <c r="Q873" s="99">
        <f>IF(AND(SamplingData[[#This Row],[Total]]&lt;&gt; 0, NOT(ISBLANK(SamplingData[[#This Row],[Losing Candidate]]))),(SamplingData[[#This Row],[Total]]+SamplingData[[#This Row],[Winning Candidate]]-SamplingData[[#This Row],[Losing Candidate]])/(SamplingData[[#Totals],[Winning Candidate]]-SamplingData[[#Totals],[Losing Candidate]]), 0)</f>
        <v>3.1785774910881005E-2</v>
      </c>
      <c r="R873" s="99">
        <f>IF(AND(SamplingData[[#This Row],[Total]]&lt;&gt; 0, NOT(ISBLANK(SamplingData[[#This Row],[Candidate 3]]))),(SamplingData[[#This Row],[Total]]+SamplingData[[#This Row],[Winning Candidate]]-SamplingData[[#This Row],[Candidate 3]])/(SamplingData[[#Totals],[Winning Candidate]]-SamplingData[[#Totals],[Candidate 3]]), 0)</f>
        <v>0</v>
      </c>
      <c r="S873" s="99">
        <f>IF(AND(SamplingData[[#This Row],[Total]]&lt;&gt; 0, NOT(ISBLANK(SamplingData[[#This Row],[Candidate 4]]))),(SamplingData[[#This Row],[Total]]+SamplingData[[#This Row],[Winning Candidate]]-SamplingData[[#This Row],[Candidate 4]])/(SamplingData[[#Totals],[Winning Candidate]]-SamplingData[[#Totals],[Candidate 4]]), 0)</f>
        <v>0</v>
      </c>
      <c r="T873" s="99">
        <f>IF(AND(SamplingData[[#This Row],[Total]]&lt;&gt; 0, NOT(ISBLANK(SamplingData[[#This Row],[Candidate 5]]))),(SamplingData[[#This Row],[Total]]+SamplingData[[#This Row],[Winning Candidate]]-SamplingData[[#This Row],[Candidate 5]])/(SamplingData[[#Totals],[Winning Candidate]]-SamplingData[[#Totals],[Candidate 5]]), 0)</f>
        <v>0</v>
      </c>
      <c r="U873" s="99">
        <f>IF(AND(SamplingData[[#This Row],[Total]]&lt;&gt; 0, NOT(ISBLANK(SamplingData[[#This Row],[Candidate 6]]))),(SamplingData[[#This Row],[Total]]+SamplingData[[#This Row],[Losing Candidate]]-SamplingData[[#This Row],[Candidate 6]])/(SamplingData[[#Totals],[Winning Candidate]]-SamplingData[[#Totals],[Candidate 6]]), 0)</f>
        <v>0</v>
      </c>
      <c r="V873" s="99">
        <f>IF(AND(SamplingData[[#This Row],[Total]]&lt;&gt; 0, NOT(ISBLANK(SamplingData[[#This Row],[Candidate 7]]))),(SamplingData[[#This Row],[Total]]+SamplingData[[#This Row],[Winning Candidate]]-SamplingData[[#This Row],[Candidate 7]])/(SamplingData[[#Totals],[Winning Candidate]]-SamplingData[[#Totals],[Candidate 7]]), 0)</f>
        <v>0</v>
      </c>
      <c r="W873" s="99">
        <f>IF(AND(SamplingData[[#This Row],[Total]]&lt;&gt; 0, NOT(ISBLANK(SamplingData[[#This Row],[Candidate 8]]))),(SamplingData[[#This Row],[Total]]+SamplingData[[#This Row],[Winning Candidate]]-SamplingData[[#This Row],[Candidate 8]])/(SamplingData[[#Totals],[Winning Candidate]]-SamplingData[[#Totals],[Candidate 8]]), 0)</f>
        <v>0</v>
      </c>
      <c r="X8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3" s="99">
        <f>MAX(SamplingData[[#This Row],[Error Bound (up) - Max. possible relative overstatement - Losing Candidate]:[Error Bound (up) - Max. possible relative overstatement - Candidate 12]])</f>
        <v>3.1785774910881005E-2</v>
      </c>
      <c r="AC873" s="99">
        <f>IF(SamplingData[[#This Row],[Max Error Bound (up)]] = 0,0,SamplingData[[#This Row],[Max Error Bound (up)]]/SamplingData[[#Totals],[Max Error Bound (up)]])</f>
        <v>1.7018395317555553E-3</v>
      </c>
      <c r="AD873" s="103">
        <f>SUM($AC$5:AC873)</f>
        <v>0.78395272112553371</v>
      </c>
      <c r="AE873" s="99" t="str" cm="1">
        <f t="array" ref="AE873">IF(SamplingData[[#This Row],[up/U Selection Probability]] = 0, "Zero", TEXT(SamplingData[[#This Row],[Lower Range]], REPT("0",LEN('General Info'!$B$42))) &amp; " - " &amp; TEXT(SamplingData[[#This Row],[Upper Range]], REPT("0",LEN('General Info'!$B$42))))</f>
        <v>782251 - 783952</v>
      </c>
      <c r="AF873" s="99">
        <f>SamplingData[[#This Row],[Upper Range]]-SamplingData[[#This Row],[Span]]</f>
        <v>782250.88159377815</v>
      </c>
      <c r="AG873" s="99">
        <f>IF(ISNUMBER('General Info'!$B$42), ((SamplingData[[#This Row],[up/U Selection Probability]]) * 'General Info'!$B$44) - 1, 0)</f>
        <v>1700.8395317555553</v>
      </c>
      <c r="AH873" s="99">
        <f>IF(ISNUMBER('General Info'!$B$42), (SamplingData[[#This Row],[Running (cumulative) sum]] * ('General Info'!$B$42 -'General Info'!$B$43 + 1)) + 'General Info'!$B$43 - 1, 0)</f>
        <v>783951.72112553369</v>
      </c>
      <c r="AI873" s="99" t="str">
        <f>IF(ISERROR(MATCH(SamplingData[[#This Row],[Batch by Type (p)]],SelectedPrecincts[Batch Name], 0)), "", INDEX(SelectedPrecincts[Draw], MATCH(SamplingData[[#This Row],[Batch by Type (p)]],SelectedPrecincts[Batch Name], 0)))</f>
        <v/>
      </c>
      <c r="AJ873" s="100">
        <f>IF(COUNTIF(SelectedPrecincts[Batch Name],SamplingData[[#This Row],[Batch by Type (p)]]) &lt;&gt; 0, COUNTIF(SelectedPrecincts[Batch Name],SamplingData[[#This Row],[Batch by Type (p)]]), 0)</f>
        <v>0</v>
      </c>
    </row>
    <row r="874" spans="1:36" ht="15" customHeight="1" x14ac:dyDescent="0.35">
      <c r="A874" s="97" t="s">
        <v>1087</v>
      </c>
      <c r="B874" s="97">
        <v>348</v>
      </c>
      <c r="C874" s="97">
        <v>249</v>
      </c>
      <c r="D874" s="92"/>
      <c r="E874" s="92"/>
      <c r="F874" s="92"/>
      <c r="G874" s="96"/>
      <c r="H874" s="96"/>
      <c r="I874" s="92"/>
      <c r="J874" s="92"/>
      <c r="K874" s="92"/>
      <c r="L874" s="92"/>
      <c r="M874" s="92"/>
      <c r="N874" s="97">
        <v>0</v>
      </c>
      <c r="O874" s="97">
        <v>36</v>
      </c>
      <c r="P874" s="98">
        <f>SUM(SamplingData[[#This Row],[Winning Candidate]:[Under Votes]])</f>
        <v>633</v>
      </c>
      <c r="Q874" s="99">
        <f>IF(AND(SamplingData[[#This Row],[Total]]&lt;&gt; 0, NOT(ISBLANK(SamplingData[[#This Row],[Losing Candidate]]))),(SamplingData[[#This Row],[Total]]+SamplingData[[#This Row],[Winning Candidate]]-SamplingData[[#This Row],[Losing Candidate]])/(SamplingData[[#Totals],[Winning Candidate]]-SamplingData[[#Totals],[Losing Candidate]]), 0)</f>
        <v>3.1064335426922423E-2</v>
      </c>
      <c r="R874" s="99">
        <f>IF(AND(SamplingData[[#This Row],[Total]]&lt;&gt; 0, NOT(ISBLANK(SamplingData[[#This Row],[Candidate 3]]))),(SamplingData[[#This Row],[Total]]+SamplingData[[#This Row],[Winning Candidate]]-SamplingData[[#This Row],[Candidate 3]])/(SamplingData[[#Totals],[Winning Candidate]]-SamplingData[[#Totals],[Candidate 3]]), 0)</f>
        <v>0</v>
      </c>
      <c r="S874" s="99">
        <f>IF(AND(SamplingData[[#This Row],[Total]]&lt;&gt; 0, NOT(ISBLANK(SamplingData[[#This Row],[Candidate 4]]))),(SamplingData[[#This Row],[Total]]+SamplingData[[#This Row],[Winning Candidate]]-SamplingData[[#This Row],[Candidate 4]])/(SamplingData[[#Totals],[Winning Candidate]]-SamplingData[[#Totals],[Candidate 4]]), 0)</f>
        <v>0</v>
      </c>
      <c r="T874" s="99">
        <f>IF(AND(SamplingData[[#This Row],[Total]]&lt;&gt; 0, NOT(ISBLANK(SamplingData[[#This Row],[Candidate 5]]))),(SamplingData[[#This Row],[Total]]+SamplingData[[#This Row],[Winning Candidate]]-SamplingData[[#This Row],[Candidate 5]])/(SamplingData[[#Totals],[Winning Candidate]]-SamplingData[[#Totals],[Candidate 5]]), 0)</f>
        <v>0</v>
      </c>
      <c r="U874" s="99">
        <f>IF(AND(SamplingData[[#This Row],[Total]]&lt;&gt; 0, NOT(ISBLANK(SamplingData[[#This Row],[Candidate 6]]))),(SamplingData[[#This Row],[Total]]+SamplingData[[#This Row],[Losing Candidate]]-SamplingData[[#This Row],[Candidate 6]])/(SamplingData[[#Totals],[Winning Candidate]]-SamplingData[[#Totals],[Candidate 6]]), 0)</f>
        <v>0</v>
      </c>
      <c r="V874" s="99">
        <f>IF(AND(SamplingData[[#This Row],[Total]]&lt;&gt; 0, NOT(ISBLANK(SamplingData[[#This Row],[Candidate 7]]))),(SamplingData[[#This Row],[Total]]+SamplingData[[#This Row],[Winning Candidate]]-SamplingData[[#This Row],[Candidate 7]])/(SamplingData[[#Totals],[Winning Candidate]]-SamplingData[[#Totals],[Candidate 7]]), 0)</f>
        <v>0</v>
      </c>
      <c r="W874" s="99">
        <f>IF(AND(SamplingData[[#This Row],[Total]]&lt;&gt; 0, NOT(ISBLANK(SamplingData[[#This Row],[Candidate 8]]))),(SamplingData[[#This Row],[Total]]+SamplingData[[#This Row],[Winning Candidate]]-SamplingData[[#This Row],[Candidate 8]])/(SamplingData[[#Totals],[Winning Candidate]]-SamplingData[[#Totals],[Candidate 8]]), 0)</f>
        <v>0</v>
      </c>
      <c r="X8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4" s="99">
        <f>MAX(SamplingData[[#This Row],[Error Bound (up) - Max. possible relative overstatement - Losing Candidate]:[Error Bound (up) - Max. possible relative overstatement - Candidate 12]])</f>
        <v>3.1064335426922423E-2</v>
      </c>
      <c r="AC874" s="99">
        <f>IF(SamplingData[[#This Row],[Max Error Bound (up)]] = 0,0,SamplingData[[#This Row],[Max Error Bound (up)]]/SamplingData[[#Totals],[Max Error Bound (up)]])</f>
        <v>1.6632130003271916E-3</v>
      </c>
      <c r="AD874" s="103">
        <f>SUM($AC$5:AC874)</f>
        <v>0.78561593412586095</v>
      </c>
      <c r="AE874" s="99" t="str" cm="1">
        <f t="array" ref="AE874">IF(SamplingData[[#This Row],[up/U Selection Probability]] = 0, "Zero", TEXT(SamplingData[[#This Row],[Lower Range]], REPT("0",LEN('General Info'!$B$42))) &amp; " - " &amp; TEXT(SamplingData[[#This Row],[Upper Range]], REPT("0",LEN('General Info'!$B$42))))</f>
        <v>783953 - 785615</v>
      </c>
      <c r="AF874" s="99">
        <f>SamplingData[[#This Row],[Upper Range]]-SamplingData[[#This Row],[Span]]</f>
        <v>783952.72112553369</v>
      </c>
      <c r="AG874" s="99">
        <f>IF(ISNUMBER('General Info'!$B$42), ((SamplingData[[#This Row],[up/U Selection Probability]]) * 'General Info'!$B$44) - 1, 0)</f>
        <v>1662.2130003271916</v>
      </c>
      <c r="AH874" s="99">
        <f>IF(ISNUMBER('General Info'!$B$42), (SamplingData[[#This Row],[Running (cumulative) sum]] * ('General Info'!$B$42 -'General Info'!$B$43 + 1)) + 'General Info'!$B$43 - 1, 0)</f>
        <v>785614.93412586092</v>
      </c>
      <c r="AI874" s="99" t="str">
        <f>IF(ISERROR(MATCH(SamplingData[[#This Row],[Batch by Type (p)]],SelectedPrecincts[Batch Name], 0)), "", INDEX(SelectedPrecincts[Draw], MATCH(SamplingData[[#This Row],[Batch by Type (p)]],SelectedPrecincts[Batch Name], 0)))</f>
        <v/>
      </c>
      <c r="AJ874" s="100">
        <f>IF(COUNTIF(SelectedPrecincts[Batch Name],SamplingData[[#This Row],[Batch by Type (p)]]) &lt;&gt; 0, COUNTIF(SelectedPrecincts[Batch Name],SamplingData[[#This Row],[Batch by Type (p)]]), 0)</f>
        <v>0</v>
      </c>
    </row>
    <row r="875" spans="1:36" ht="15" customHeight="1" x14ac:dyDescent="0.35">
      <c r="A875" s="97" t="s">
        <v>1088</v>
      </c>
      <c r="B875" s="97">
        <v>416</v>
      </c>
      <c r="C875" s="97">
        <v>269</v>
      </c>
      <c r="D875" s="92"/>
      <c r="E875" s="92"/>
      <c r="F875" s="92"/>
      <c r="G875" s="96"/>
      <c r="H875" s="96"/>
      <c r="I875" s="92"/>
      <c r="J875" s="92"/>
      <c r="K875" s="92"/>
      <c r="L875" s="92"/>
      <c r="M875" s="92"/>
      <c r="N875" s="97">
        <v>0</v>
      </c>
      <c r="O875" s="97">
        <v>44</v>
      </c>
      <c r="P875" s="98">
        <f>SUM(SamplingData[[#This Row],[Winning Candidate]:[Under Votes]])</f>
        <v>729</v>
      </c>
      <c r="Q875" s="99">
        <f>IF(AND(SamplingData[[#This Row],[Total]]&lt;&gt; 0, NOT(ISBLANK(SamplingData[[#This Row],[Losing Candidate]]))),(SamplingData[[#This Row],[Total]]+SamplingData[[#This Row],[Winning Candidate]]-SamplingData[[#This Row],[Losing Candidate]])/(SamplingData[[#Totals],[Winning Candidate]]-SamplingData[[#Totals],[Losing Candidate]]), 0)</f>
        <v>3.7175352232218642E-2</v>
      </c>
      <c r="R875" s="99">
        <f>IF(AND(SamplingData[[#This Row],[Total]]&lt;&gt; 0, NOT(ISBLANK(SamplingData[[#This Row],[Candidate 3]]))),(SamplingData[[#This Row],[Total]]+SamplingData[[#This Row],[Winning Candidate]]-SamplingData[[#This Row],[Candidate 3]])/(SamplingData[[#Totals],[Winning Candidate]]-SamplingData[[#Totals],[Candidate 3]]), 0)</f>
        <v>0</v>
      </c>
      <c r="S875" s="99">
        <f>IF(AND(SamplingData[[#This Row],[Total]]&lt;&gt; 0, NOT(ISBLANK(SamplingData[[#This Row],[Candidate 4]]))),(SamplingData[[#This Row],[Total]]+SamplingData[[#This Row],[Winning Candidate]]-SamplingData[[#This Row],[Candidate 4]])/(SamplingData[[#Totals],[Winning Candidate]]-SamplingData[[#Totals],[Candidate 4]]), 0)</f>
        <v>0</v>
      </c>
      <c r="T875" s="99">
        <f>IF(AND(SamplingData[[#This Row],[Total]]&lt;&gt; 0, NOT(ISBLANK(SamplingData[[#This Row],[Candidate 5]]))),(SamplingData[[#This Row],[Total]]+SamplingData[[#This Row],[Winning Candidate]]-SamplingData[[#This Row],[Candidate 5]])/(SamplingData[[#Totals],[Winning Candidate]]-SamplingData[[#Totals],[Candidate 5]]), 0)</f>
        <v>0</v>
      </c>
      <c r="U875" s="99">
        <f>IF(AND(SamplingData[[#This Row],[Total]]&lt;&gt; 0, NOT(ISBLANK(SamplingData[[#This Row],[Candidate 6]]))),(SamplingData[[#This Row],[Total]]+SamplingData[[#This Row],[Losing Candidate]]-SamplingData[[#This Row],[Candidate 6]])/(SamplingData[[#Totals],[Winning Candidate]]-SamplingData[[#Totals],[Candidate 6]]), 0)</f>
        <v>0</v>
      </c>
      <c r="V875" s="99">
        <f>IF(AND(SamplingData[[#This Row],[Total]]&lt;&gt; 0, NOT(ISBLANK(SamplingData[[#This Row],[Candidate 7]]))),(SamplingData[[#This Row],[Total]]+SamplingData[[#This Row],[Winning Candidate]]-SamplingData[[#This Row],[Candidate 7]])/(SamplingData[[#Totals],[Winning Candidate]]-SamplingData[[#Totals],[Candidate 7]]), 0)</f>
        <v>0</v>
      </c>
      <c r="W875" s="99">
        <f>IF(AND(SamplingData[[#This Row],[Total]]&lt;&gt; 0, NOT(ISBLANK(SamplingData[[#This Row],[Candidate 8]]))),(SamplingData[[#This Row],[Total]]+SamplingData[[#This Row],[Winning Candidate]]-SamplingData[[#This Row],[Candidate 8]])/(SamplingData[[#Totals],[Winning Candidate]]-SamplingData[[#Totals],[Candidate 8]]), 0)</f>
        <v>0</v>
      </c>
      <c r="X8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5" s="99">
        <f>MAX(SamplingData[[#This Row],[Error Bound (up) - Max. possible relative overstatement - Losing Candidate]:[Error Bound (up) - Max. possible relative overstatement - Candidate 12]])</f>
        <v>3.7175352232218642E-2</v>
      </c>
      <c r="AC875" s="99">
        <f>IF(SamplingData[[#This Row],[Max Error Bound (up)]] = 0,0,SamplingData[[#This Row],[Max Error Bound (up)]]/SamplingData[[#Totals],[Max Error Bound (up)]])</f>
        <v>1.9904024430145079E-3</v>
      </c>
      <c r="AD875" s="103">
        <f>SUM($AC$5:AC875)</f>
        <v>0.78760633656887546</v>
      </c>
      <c r="AE875" s="99" t="str" cm="1">
        <f t="array" ref="AE875">IF(SamplingData[[#This Row],[up/U Selection Probability]] = 0, "Zero", TEXT(SamplingData[[#This Row],[Lower Range]], REPT("0",LEN('General Info'!$B$42))) &amp; " - " &amp; TEXT(SamplingData[[#This Row],[Upper Range]], REPT("0",LEN('General Info'!$B$42))))</f>
        <v>785616 - 787605</v>
      </c>
      <c r="AF875" s="99">
        <f>SamplingData[[#This Row],[Upper Range]]-SamplingData[[#This Row],[Span]]</f>
        <v>785615.93412586092</v>
      </c>
      <c r="AG875" s="99">
        <f>IF(ISNUMBER('General Info'!$B$42), ((SamplingData[[#This Row],[up/U Selection Probability]]) * 'General Info'!$B$44) - 1, 0)</f>
        <v>1989.402443014508</v>
      </c>
      <c r="AH875" s="99">
        <f>IF(ISNUMBER('General Info'!$B$42), (SamplingData[[#This Row],[Running (cumulative) sum]] * ('General Info'!$B$42 -'General Info'!$B$43 + 1)) + 'General Info'!$B$43 - 1, 0)</f>
        <v>787605.33656887547</v>
      </c>
      <c r="AI875" s="99" t="str">
        <f>IF(ISERROR(MATCH(SamplingData[[#This Row],[Batch by Type (p)]],SelectedPrecincts[Batch Name], 0)), "", INDEX(SelectedPrecincts[Draw], MATCH(SamplingData[[#This Row],[Batch by Type (p)]],SelectedPrecincts[Batch Name], 0)))</f>
        <v/>
      </c>
      <c r="AJ875" s="100">
        <f>IF(COUNTIF(SelectedPrecincts[Batch Name],SamplingData[[#This Row],[Batch by Type (p)]]) &lt;&gt; 0, COUNTIF(SelectedPrecincts[Batch Name],SamplingData[[#This Row],[Batch by Type (p)]]), 0)</f>
        <v>0</v>
      </c>
    </row>
    <row r="876" spans="1:36" ht="15" customHeight="1" x14ac:dyDescent="0.35">
      <c r="A876" s="97" t="s">
        <v>1089</v>
      </c>
      <c r="B876" s="97">
        <v>381</v>
      </c>
      <c r="C876" s="97">
        <v>202</v>
      </c>
      <c r="D876" s="92"/>
      <c r="E876" s="92"/>
      <c r="F876" s="92"/>
      <c r="G876" s="96"/>
      <c r="H876" s="96"/>
      <c r="I876" s="92"/>
      <c r="J876" s="92"/>
      <c r="K876" s="92"/>
      <c r="L876" s="92"/>
      <c r="M876" s="92"/>
      <c r="N876" s="97">
        <v>0</v>
      </c>
      <c r="O876" s="97">
        <v>46</v>
      </c>
      <c r="P876" s="98">
        <f>SUM(SamplingData[[#This Row],[Winning Candidate]:[Under Votes]])</f>
        <v>629</v>
      </c>
      <c r="Q876" s="99">
        <f>IF(AND(SamplingData[[#This Row],[Total]]&lt;&gt; 0, NOT(ISBLANK(SamplingData[[#This Row],[Losing Candidate]]))),(SamplingData[[#This Row],[Total]]+SamplingData[[#This Row],[Winning Candidate]]-SamplingData[[#This Row],[Losing Candidate]])/(SamplingData[[#Totals],[Winning Candidate]]-SamplingData[[#Totals],[Losing Candidate]]), 0)</f>
        <v>3.4289594296384313E-2</v>
      </c>
      <c r="R876" s="99">
        <f>IF(AND(SamplingData[[#This Row],[Total]]&lt;&gt; 0, NOT(ISBLANK(SamplingData[[#This Row],[Candidate 3]]))),(SamplingData[[#This Row],[Total]]+SamplingData[[#This Row],[Winning Candidate]]-SamplingData[[#This Row],[Candidate 3]])/(SamplingData[[#Totals],[Winning Candidate]]-SamplingData[[#Totals],[Candidate 3]]), 0)</f>
        <v>0</v>
      </c>
      <c r="S876" s="99">
        <f>IF(AND(SamplingData[[#This Row],[Total]]&lt;&gt; 0, NOT(ISBLANK(SamplingData[[#This Row],[Candidate 4]]))),(SamplingData[[#This Row],[Total]]+SamplingData[[#This Row],[Winning Candidate]]-SamplingData[[#This Row],[Candidate 4]])/(SamplingData[[#Totals],[Winning Candidate]]-SamplingData[[#Totals],[Candidate 4]]), 0)</f>
        <v>0</v>
      </c>
      <c r="T876" s="99">
        <f>IF(AND(SamplingData[[#This Row],[Total]]&lt;&gt; 0, NOT(ISBLANK(SamplingData[[#This Row],[Candidate 5]]))),(SamplingData[[#This Row],[Total]]+SamplingData[[#This Row],[Winning Candidate]]-SamplingData[[#This Row],[Candidate 5]])/(SamplingData[[#Totals],[Winning Candidate]]-SamplingData[[#Totals],[Candidate 5]]), 0)</f>
        <v>0</v>
      </c>
      <c r="U876" s="99">
        <f>IF(AND(SamplingData[[#This Row],[Total]]&lt;&gt; 0, NOT(ISBLANK(SamplingData[[#This Row],[Candidate 6]]))),(SamplingData[[#This Row],[Total]]+SamplingData[[#This Row],[Losing Candidate]]-SamplingData[[#This Row],[Candidate 6]])/(SamplingData[[#Totals],[Winning Candidate]]-SamplingData[[#Totals],[Candidate 6]]), 0)</f>
        <v>0</v>
      </c>
      <c r="V876" s="99">
        <f>IF(AND(SamplingData[[#This Row],[Total]]&lt;&gt; 0, NOT(ISBLANK(SamplingData[[#This Row],[Candidate 7]]))),(SamplingData[[#This Row],[Total]]+SamplingData[[#This Row],[Winning Candidate]]-SamplingData[[#This Row],[Candidate 7]])/(SamplingData[[#Totals],[Winning Candidate]]-SamplingData[[#Totals],[Candidate 7]]), 0)</f>
        <v>0</v>
      </c>
      <c r="W876" s="99">
        <f>IF(AND(SamplingData[[#This Row],[Total]]&lt;&gt; 0, NOT(ISBLANK(SamplingData[[#This Row],[Candidate 8]]))),(SamplingData[[#This Row],[Total]]+SamplingData[[#This Row],[Winning Candidate]]-SamplingData[[#This Row],[Candidate 8]])/(SamplingData[[#Totals],[Winning Candidate]]-SamplingData[[#Totals],[Candidate 8]]), 0)</f>
        <v>0</v>
      </c>
      <c r="X8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6" s="99">
        <f>MAX(SamplingData[[#This Row],[Error Bound (up) - Max. possible relative overstatement - Losing Candidate]:[Error Bound (up) - Max. possible relative overstatement - Candidate 12]])</f>
        <v>3.4289594296384313E-2</v>
      </c>
      <c r="AC876" s="99">
        <f>IF(SamplingData[[#This Row],[Max Error Bound (up)]] = 0,0,SamplingData[[#This Row],[Max Error Bound (up)]]/SamplingData[[#Totals],[Max Error Bound (up)]])</f>
        <v>1.8358963173010529E-3</v>
      </c>
      <c r="AD876" s="103">
        <f>SUM($AC$5:AC876)</f>
        <v>0.78944223288617654</v>
      </c>
      <c r="AE876" s="99" t="str" cm="1">
        <f t="array" ref="AE876">IF(SamplingData[[#This Row],[up/U Selection Probability]] = 0, "Zero", TEXT(SamplingData[[#This Row],[Lower Range]], REPT("0",LEN('General Info'!$B$42))) &amp; " - " &amp; TEXT(SamplingData[[#This Row],[Upper Range]], REPT("0",LEN('General Info'!$B$42))))</f>
        <v>787606 - 789441</v>
      </c>
      <c r="AF876" s="99">
        <f>SamplingData[[#This Row],[Upper Range]]-SamplingData[[#This Row],[Span]]</f>
        <v>787606.33656887547</v>
      </c>
      <c r="AG876" s="99">
        <f>IF(ISNUMBER('General Info'!$B$42), ((SamplingData[[#This Row],[up/U Selection Probability]]) * 'General Info'!$B$44) - 1, 0)</f>
        <v>1834.8963173010529</v>
      </c>
      <c r="AH876" s="99">
        <f>IF(ISNUMBER('General Info'!$B$42), (SamplingData[[#This Row],[Running (cumulative) sum]] * ('General Info'!$B$42 -'General Info'!$B$43 + 1)) + 'General Info'!$B$43 - 1, 0)</f>
        <v>789441.23288617656</v>
      </c>
      <c r="AI876" s="99" t="str">
        <f>IF(ISERROR(MATCH(SamplingData[[#This Row],[Batch by Type (p)]],SelectedPrecincts[Batch Name], 0)), "", INDEX(SelectedPrecincts[Draw], MATCH(SamplingData[[#This Row],[Batch by Type (p)]],SelectedPrecincts[Batch Name], 0)))</f>
        <v/>
      </c>
      <c r="AJ876" s="100">
        <f>IF(COUNTIF(SelectedPrecincts[Batch Name],SamplingData[[#This Row],[Batch by Type (p)]]) &lt;&gt; 0, COUNTIF(SelectedPrecincts[Batch Name],SamplingData[[#This Row],[Batch by Type (p)]]), 0)</f>
        <v>0</v>
      </c>
    </row>
    <row r="877" spans="1:36" ht="15" customHeight="1" x14ac:dyDescent="0.35">
      <c r="A877" s="97" t="s">
        <v>1090</v>
      </c>
      <c r="B877" s="97">
        <v>287</v>
      </c>
      <c r="C877" s="97">
        <v>206</v>
      </c>
      <c r="D877" s="92"/>
      <c r="E877" s="92"/>
      <c r="F877" s="92"/>
      <c r="G877" s="96"/>
      <c r="H877" s="96"/>
      <c r="I877" s="92"/>
      <c r="J877" s="92"/>
      <c r="K877" s="92"/>
      <c r="L877" s="92"/>
      <c r="M877" s="92"/>
      <c r="N877" s="97">
        <v>0</v>
      </c>
      <c r="O877" s="97">
        <v>50</v>
      </c>
      <c r="P877" s="98">
        <f>SUM(SamplingData[[#This Row],[Winning Candidate]:[Under Votes]])</f>
        <v>543</v>
      </c>
      <c r="Q877" s="99">
        <f>IF(AND(SamplingData[[#This Row],[Total]]&lt;&gt; 0, NOT(ISBLANK(SamplingData[[#This Row],[Losing Candidate]]))),(SamplingData[[#This Row],[Total]]+SamplingData[[#This Row],[Winning Candidate]]-SamplingData[[#This Row],[Losing Candidate]])/(SamplingData[[#Totals],[Winning Candidate]]-SamplingData[[#Totals],[Losing Candidate]]), 0)</f>
        <v>2.6481072822950265E-2</v>
      </c>
      <c r="R877" s="99">
        <f>IF(AND(SamplingData[[#This Row],[Total]]&lt;&gt; 0, NOT(ISBLANK(SamplingData[[#This Row],[Candidate 3]]))),(SamplingData[[#This Row],[Total]]+SamplingData[[#This Row],[Winning Candidate]]-SamplingData[[#This Row],[Candidate 3]])/(SamplingData[[#Totals],[Winning Candidate]]-SamplingData[[#Totals],[Candidate 3]]), 0)</f>
        <v>0</v>
      </c>
      <c r="S877" s="99">
        <f>IF(AND(SamplingData[[#This Row],[Total]]&lt;&gt; 0, NOT(ISBLANK(SamplingData[[#This Row],[Candidate 4]]))),(SamplingData[[#This Row],[Total]]+SamplingData[[#This Row],[Winning Candidate]]-SamplingData[[#This Row],[Candidate 4]])/(SamplingData[[#Totals],[Winning Candidate]]-SamplingData[[#Totals],[Candidate 4]]), 0)</f>
        <v>0</v>
      </c>
      <c r="T877" s="99">
        <f>IF(AND(SamplingData[[#This Row],[Total]]&lt;&gt; 0, NOT(ISBLANK(SamplingData[[#This Row],[Candidate 5]]))),(SamplingData[[#This Row],[Total]]+SamplingData[[#This Row],[Winning Candidate]]-SamplingData[[#This Row],[Candidate 5]])/(SamplingData[[#Totals],[Winning Candidate]]-SamplingData[[#Totals],[Candidate 5]]), 0)</f>
        <v>0</v>
      </c>
      <c r="U877" s="99">
        <f>IF(AND(SamplingData[[#This Row],[Total]]&lt;&gt; 0, NOT(ISBLANK(SamplingData[[#This Row],[Candidate 6]]))),(SamplingData[[#This Row],[Total]]+SamplingData[[#This Row],[Losing Candidate]]-SamplingData[[#This Row],[Candidate 6]])/(SamplingData[[#Totals],[Winning Candidate]]-SamplingData[[#Totals],[Candidate 6]]), 0)</f>
        <v>0</v>
      </c>
      <c r="V877" s="99">
        <f>IF(AND(SamplingData[[#This Row],[Total]]&lt;&gt; 0, NOT(ISBLANK(SamplingData[[#This Row],[Candidate 7]]))),(SamplingData[[#This Row],[Total]]+SamplingData[[#This Row],[Winning Candidate]]-SamplingData[[#This Row],[Candidate 7]])/(SamplingData[[#Totals],[Winning Candidate]]-SamplingData[[#Totals],[Candidate 7]]), 0)</f>
        <v>0</v>
      </c>
      <c r="W877" s="99">
        <f>IF(AND(SamplingData[[#This Row],[Total]]&lt;&gt; 0, NOT(ISBLANK(SamplingData[[#This Row],[Candidate 8]]))),(SamplingData[[#This Row],[Total]]+SamplingData[[#This Row],[Winning Candidate]]-SamplingData[[#This Row],[Candidate 8]])/(SamplingData[[#Totals],[Winning Candidate]]-SamplingData[[#Totals],[Candidate 8]]), 0)</f>
        <v>0</v>
      </c>
      <c r="X8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7" s="99">
        <f>MAX(SamplingData[[#This Row],[Error Bound (up) - Max. possible relative overstatement - Losing Candidate]:[Error Bound (up) - Max. possible relative overstatement - Candidate 12]])</f>
        <v>2.6481072822950265E-2</v>
      </c>
      <c r="AC877" s="99">
        <f>IF(SamplingData[[#This Row],[Max Error Bound (up)]] = 0,0,SamplingData[[#This Row],[Max Error Bound (up)]]/SamplingData[[#Totals],[Max Error Bound (up)]])</f>
        <v>1.4178209183117044E-3</v>
      </c>
      <c r="AD877" s="103">
        <f>SUM($AC$5:AC877)</f>
        <v>0.79086005380448821</v>
      </c>
      <c r="AE877" s="99" t="str" cm="1">
        <f t="array" ref="AE877">IF(SamplingData[[#This Row],[up/U Selection Probability]] = 0, "Zero", TEXT(SamplingData[[#This Row],[Lower Range]], REPT("0",LEN('General Info'!$B$42))) &amp; " - " &amp; TEXT(SamplingData[[#This Row],[Upper Range]], REPT("0",LEN('General Info'!$B$42))))</f>
        <v>789442 - 790859</v>
      </c>
      <c r="AF877" s="99">
        <f>SamplingData[[#This Row],[Upper Range]]-SamplingData[[#This Row],[Span]]</f>
        <v>789442.23288617644</v>
      </c>
      <c r="AG877" s="99">
        <f>IF(ISNUMBER('General Info'!$B$42), ((SamplingData[[#This Row],[up/U Selection Probability]]) * 'General Info'!$B$44) - 1, 0)</f>
        <v>1416.8209183117044</v>
      </c>
      <c r="AH877" s="99">
        <f>IF(ISNUMBER('General Info'!$B$42), (SamplingData[[#This Row],[Running (cumulative) sum]] * ('General Info'!$B$42 -'General Info'!$B$43 + 1)) + 'General Info'!$B$43 - 1, 0)</f>
        <v>790859.05380448815</v>
      </c>
      <c r="AI877" s="99" t="str">
        <f>IF(ISERROR(MATCH(SamplingData[[#This Row],[Batch by Type (p)]],SelectedPrecincts[Batch Name], 0)), "", INDEX(SelectedPrecincts[Draw], MATCH(SamplingData[[#This Row],[Batch by Type (p)]],SelectedPrecincts[Batch Name], 0)))</f>
        <v/>
      </c>
      <c r="AJ877" s="100">
        <f>IF(COUNTIF(SelectedPrecincts[Batch Name],SamplingData[[#This Row],[Batch by Type (p)]]) &lt;&gt; 0, COUNTIF(SelectedPrecincts[Batch Name],SamplingData[[#This Row],[Batch by Type (p)]]), 0)</f>
        <v>0</v>
      </c>
    </row>
    <row r="878" spans="1:36" ht="15" customHeight="1" x14ac:dyDescent="0.35">
      <c r="A878" s="97" t="s">
        <v>1091</v>
      </c>
      <c r="B878" s="97">
        <v>121</v>
      </c>
      <c r="C878" s="97">
        <v>160</v>
      </c>
      <c r="D878" s="92"/>
      <c r="E878" s="92"/>
      <c r="F878" s="92"/>
      <c r="G878" s="96"/>
      <c r="H878" s="96"/>
      <c r="I878" s="92"/>
      <c r="J878" s="92"/>
      <c r="K878" s="92"/>
      <c r="L878" s="92"/>
      <c r="M878" s="92"/>
      <c r="N878" s="97">
        <v>0</v>
      </c>
      <c r="O878" s="97">
        <v>20</v>
      </c>
      <c r="P878" s="98">
        <f>SUM(SamplingData[[#This Row],[Winning Candidate]:[Under Votes]])</f>
        <v>301</v>
      </c>
      <c r="Q878" s="99">
        <f>IF(AND(SamplingData[[#This Row],[Total]]&lt;&gt; 0, NOT(ISBLANK(SamplingData[[#This Row],[Losing Candidate]]))),(SamplingData[[#This Row],[Total]]+SamplingData[[#This Row],[Winning Candidate]]-SamplingData[[#This Row],[Losing Candidate]])/(SamplingData[[#Totals],[Winning Candidate]]-SamplingData[[#Totals],[Losing Candidate]]), 0)</f>
        <v>1.1118655576302835E-2</v>
      </c>
      <c r="R878" s="99">
        <f>IF(AND(SamplingData[[#This Row],[Total]]&lt;&gt; 0, NOT(ISBLANK(SamplingData[[#This Row],[Candidate 3]]))),(SamplingData[[#This Row],[Total]]+SamplingData[[#This Row],[Winning Candidate]]-SamplingData[[#This Row],[Candidate 3]])/(SamplingData[[#Totals],[Winning Candidate]]-SamplingData[[#Totals],[Candidate 3]]), 0)</f>
        <v>0</v>
      </c>
      <c r="S878" s="99">
        <f>IF(AND(SamplingData[[#This Row],[Total]]&lt;&gt; 0, NOT(ISBLANK(SamplingData[[#This Row],[Candidate 4]]))),(SamplingData[[#This Row],[Total]]+SamplingData[[#This Row],[Winning Candidate]]-SamplingData[[#This Row],[Candidate 4]])/(SamplingData[[#Totals],[Winning Candidate]]-SamplingData[[#Totals],[Candidate 4]]), 0)</f>
        <v>0</v>
      </c>
      <c r="T878" s="99">
        <f>IF(AND(SamplingData[[#This Row],[Total]]&lt;&gt; 0, NOT(ISBLANK(SamplingData[[#This Row],[Candidate 5]]))),(SamplingData[[#This Row],[Total]]+SamplingData[[#This Row],[Winning Candidate]]-SamplingData[[#This Row],[Candidate 5]])/(SamplingData[[#Totals],[Winning Candidate]]-SamplingData[[#Totals],[Candidate 5]]), 0)</f>
        <v>0</v>
      </c>
      <c r="U878" s="99">
        <f>IF(AND(SamplingData[[#This Row],[Total]]&lt;&gt; 0, NOT(ISBLANK(SamplingData[[#This Row],[Candidate 6]]))),(SamplingData[[#This Row],[Total]]+SamplingData[[#This Row],[Losing Candidate]]-SamplingData[[#This Row],[Candidate 6]])/(SamplingData[[#Totals],[Winning Candidate]]-SamplingData[[#Totals],[Candidate 6]]), 0)</f>
        <v>0</v>
      </c>
      <c r="V878" s="99">
        <f>IF(AND(SamplingData[[#This Row],[Total]]&lt;&gt; 0, NOT(ISBLANK(SamplingData[[#This Row],[Candidate 7]]))),(SamplingData[[#This Row],[Total]]+SamplingData[[#This Row],[Winning Candidate]]-SamplingData[[#This Row],[Candidate 7]])/(SamplingData[[#Totals],[Winning Candidate]]-SamplingData[[#Totals],[Candidate 7]]), 0)</f>
        <v>0</v>
      </c>
      <c r="W878" s="99">
        <f>IF(AND(SamplingData[[#This Row],[Total]]&lt;&gt; 0, NOT(ISBLANK(SamplingData[[#This Row],[Candidate 8]]))),(SamplingData[[#This Row],[Total]]+SamplingData[[#This Row],[Winning Candidate]]-SamplingData[[#This Row],[Candidate 8]])/(SamplingData[[#Totals],[Winning Candidate]]-SamplingData[[#Totals],[Candidate 8]]), 0)</f>
        <v>0</v>
      </c>
      <c r="X8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8" s="99">
        <f>MAX(SamplingData[[#This Row],[Error Bound (up) - Max. possible relative overstatement - Losing Candidate]:[Error Bound (up) - Max. possible relative overstatement - Candidate 12]])</f>
        <v>1.1118655576302835E-2</v>
      </c>
      <c r="AC878" s="99">
        <f>IF(SamplingData[[#This Row],[Max Error Bound (up)]] = 0,0,SamplingData[[#This Row],[Max Error Bound (up)]]/SamplingData[[#Totals],[Max Error Bound (up)]])</f>
        <v>5.9530301377831176E-4</v>
      </c>
      <c r="AD878" s="103">
        <f>SUM($AC$5:AC878)</f>
        <v>0.79145535681826651</v>
      </c>
      <c r="AE878" s="99" t="str" cm="1">
        <f t="array" ref="AE878">IF(SamplingData[[#This Row],[up/U Selection Probability]] = 0, "Zero", TEXT(SamplingData[[#This Row],[Lower Range]], REPT("0",LEN('General Info'!$B$42))) &amp; " - " &amp; TEXT(SamplingData[[#This Row],[Upper Range]], REPT("0",LEN('General Info'!$B$42))))</f>
        <v>790860 - 791454</v>
      </c>
      <c r="AF878" s="99">
        <f>SamplingData[[#This Row],[Upper Range]]-SamplingData[[#This Row],[Span]]</f>
        <v>790860.05380448827</v>
      </c>
      <c r="AG878" s="99">
        <f>IF(ISNUMBER('General Info'!$B$42), ((SamplingData[[#This Row],[up/U Selection Probability]]) * 'General Info'!$B$44) - 1, 0)</f>
        <v>594.30301377831177</v>
      </c>
      <c r="AH878" s="99">
        <f>IF(ISNUMBER('General Info'!$B$42), (SamplingData[[#This Row],[Running (cumulative) sum]] * ('General Info'!$B$42 -'General Info'!$B$43 + 1)) + 'General Info'!$B$43 - 1, 0)</f>
        <v>791454.35681826656</v>
      </c>
      <c r="AI878" s="99" t="str">
        <f>IF(ISERROR(MATCH(SamplingData[[#This Row],[Batch by Type (p)]],SelectedPrecincts[Batch Name], 0)), "", INDEX(SelectedPrecincts[Draw], MATCH(SamplingData[[#This Row],[Batch by Type (p)]],SelectedPrecincts[Batch Name], 0)))</f>
        <v/>
      </c>
      <c r="AJ878" s="100">
        <f>IF(COUNTIF(SelectedPrecincts[Batch Name],SamplingData[[#This Row],[Batch by Type (p)]]) &lt;&gt; 0, COUNTIF(SelectedPrecincts[Batch Name],SamplingData[[#This Row],[Batch by Type (p)]]), 0)</f>
        <v>0</v>
      </c>
    </row>
    <row r="879" spans="1:36" ht="15" customHeight="1" x14ac:dyDescent="0.35">
      <c r="A879" s="97" t="s">
        <v>1092</v>
      </c>
      <c r="B879" s="97">
        <v>118</v>
      </c>
      <c r="C879" s="97">
        <v>205</v>
      </c>
      <c r="D879" s="92"/>
      <c r="E879" s="92"/>
      <c r="F879" s="92"/>
      <c r="G879" s="96"/>
      <c r="H879" s="96"/>
      <c r="I879" s="92"/>
      <c r="J879" s="92"/>
      <c r="K879" s="92"/>
      <c r="L879" s="92"/>
      <c r="M879" s="92"/>
      <c r="N879" s="97">
        <v>0</v>
      </c>
      <c r="O879" s="97">
        <v>20</v>
      </c>
      <c r="P879" s="98">
        <f>SUM(SamplingData[[#This Row],[Winning Candidate]:[Under Votes]])</f>
        <v>343</v>
      </c>
      <c r="Q879" s="99">
        <f>IF(AND(SamplingData[[#This Row],[Total]]&lt;&gt; 0, NOT(ISBLANK(SamplingData[[#This Row],[Losing Candidate]]))),(SamplingData[[#This Row],[Total]]+SamplingData[[#This Row],[Winning Candidate]]-SamplingData[[#This Row],[Losing Candidate]])/(SamplingData[[#Totals],[Winning Candidate]]-SamplingData[[#Totals],[Losing Candidate]]), 0)</f>
        <v>1.0864029876082159E-2</v>
      </c>
      <c r="R879" s="99">
        <f>IF(AND(SamplingData[[#This Row],[Total]]&lt;&gt; 0, NOT(ISBLANK(SamplingData[[#This Row],[Candidate 3]]))),(SamplingData[[#This Row],[Total]]+SamplingData[[#This Row],[Winning Candidate]]-SamplingData[[#This Row],[Candidate 3]])/(SamplingData[[#Totals],[Winning Candidate]]-SamplingData[[#Totals],[Candidate 3]]), 0)</f>
        <v>0</v>
      </c>
      <c r="S879" s="99">
        <f>IF(AND(SamplingData[[#This Row],[Total]]&lt;&gt; 0, NOT(ISBLANK(SamplingData[[#This Row],[Candidate 4]]))),(SamplingData[[#This Row],[Total]]+SamplingData[[#This Row],[Winning Candidate]]-SamplingData[[#This Row],[Candidate 4]])/(SamplingData[[#Totals],[Winning Candidate]]-SamplingData[[#Totals],[Candidate 4]]), 0)</f>
        <v>0</v>
      </c>
      <c r="T879" s="99">
        <f>IF(AND(SamplingData[[#This Row],[Total]]&lt;&gt; 0, NOT(ISBLANK(SamplingData[[#This Row],[Candidate 5]]))),(SamplingData[[#This Row],[Total]]+SamplingData[[#This Row],[Winning Candidate]]-SamplingData[[#This Row],[Candidate 5]])/(SamplingData[[#Totals],[Winning Candidate]]-SamplingData[[#Totals],[Candidate 5]]), 0)</f>
        <v>0</v>
      </c>
      <c r="U879" s="99">
        <f>IF(AND(SamplingData[[#This Row],[Total]]&lt;&gt; 0, NOT(ISBLANK(SamplingData[[#This Row],[Candidate 6]]))),(SamplingData[[#This Row],[Total]]+SamplingData[[#This Row],[Losing Candidate]]-SamplingData[[#This Row],[Candidate 6]])/(SamplingData[[#Totals],[Winning Candidate]]-SamplingData[[#Totals],[Candidate 6]]), 0)</f>
        <v>0</v>
      </c>
      <c r="V879" s="99">
        <f>IF(AND(SamplingData[[#This Row],[Total]]&lt;&gt; 0, NOT(ISBLANK(SamplingData[[#This Row],[Candidate 7]]))),(SamplingData[[#This Row],[Total]]+SamplingData[[#This Row],[Winning Candidate]]-SamplingData[[#This Row],[Candidate 7]])/(SamplingData[[#Totals],[Winning Candidate]]-SamplingData[[#Totals],[Candidate 7]]), 0)</f>
        <v>0</v>
      </c>
      <c r="W879" s="99">
        <f>IF(AND(SamplingData[[#This Row],[Total]]&lt;&gt; 0, NOT(ISBLANK(SamplingData[[#This Row],[Candidate 8]]))),(SamplingData[[#This Row],[Total]]+SamplingData[[#This Row],[Winning Candidate]]-SamplingData[[#This Row],[Candidate 8]])/(SamplingData[[#Totals],[Winning Candidate]]-SamplingData[[#Totals],[Candidate 8]]), 0)</f>
        <v>0</v>
      </c>
      <c r="X8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9" s="99">
        <f>MAX(SamplingData[[#This Row],[Error Bound (up) - Max. possible relative overstatement - Losing Candidate]:[Error Bound (up) - Max. possible relative overstatement - Candidate 12]])</f>
        <v>1.0864029876082159E-2</v>
      </c>
      <c r="AC879" s="99">
        <f>IF(SamplingData[[#This Row],[Max Error Bound (up)]] = 0,0,SamplingData[[#This Row],[Max Error Bound (up)]]/SamplingData[[#Totals],[Max Error Bound (up)]])</f>
        <v>5.8167012033300686E-4</v>
      </c>
      <c r="AD879" s="103">
        <f>SUM($AC$5:AC879)</f>
        <v>0.79203702693859956</v>
      </c>
      <c r="AE879" s="99" t="str" cm="1">
        <f t="array" ref="AE879">IF(SamplingData[[#This Row],[up/U Selection Probability]] = 0, "Zero", TEXT(SamplingData[[#This Row],[Lower Range]], REPT("0",LEN('General Info'!$B$42))) &amp; " - " &amp; TEXT(SamplingData[[#This Row],[Upper Range]], REPT("0",LEN('General Info'!$B$42))))</f>
        <v>791455 - 792036</v>
      </c>
      <c r="AF879" s="99">
        <f>SamplingData[[#This Row],[Upper Range]]-SamplingData[[#This Row],[Span]]</f>
        <v>791455.35681826656</v>
      </c>
      <c r="AG879" s="99">
        <f>IF(ISNUMBER('General Info'!$B$42), ((SamplingData[[#This Row],[up/U Selection Probability]]) * 'General Info'!$B$44) - 1, 0)</f>
        <v>580.67012033300682</v>
      </c>
      <c r="AH879" s="99">
        <f>IF(ISNUMBER('General Info'!$B$42), (SamplingData[[#This Row],[Running (cumulative) sum]] * ('General Info'!$B$42 -'General Info'!$B$43 + 1)) + 'General Info'!$B$43 - 1, 0)</f>
        <v>792036.02693859953</v>
      </c>
      <c r="AI879" s="99" t="str">
        <f>IF(ISERROR(MATCH(SamplingData[[#This Row],[Batch by Type (p)]],SelectedPrecincts[Batch Name], 0)), "", INDEX(SelectedPrecincts[Draw], MATCH(SamplingData[[#This Row],[Batch by Type (p)]],SelectedPrecincts[Batch Name], 0)))</f>
        <v/>
      </c>
      <c r="AJ879" s="100">
        <f>IF(COUNTIF(SelectedPrecincts[Batch Name],SamplingData[[#This Row],[Batch by Type (p)]]) &lt;&gt; 0, COUNTIF(SelectedPrecincts[Batch Name],SamplingData[[#This Row],[Batch by Type (p)]]), 0)</f>
        <v>0</v>
      </c>
    </row>
    <row r="880" spans="1:36" ht="15" customHeight="1" x14ac:dyDescent="0.35">
      <c r="A880" s="97" t="s">
        <v>1093</v>
      </c>
      <c r="B880" s="97">
        <v>153</v>
      </c>
      <c r="C880" s="97">
        <v>152</v>
      </c>
      <c r="D880" s="92"/>
      <c r="E880" s="92"/>
      <c r="F880" s="92"/>
      <c r="G880" s="96"/>
      <c r="H880" s="96"/>
      <c r="I880" s="92"/>
      <c r="J880" s="92"/>
      <c r="K880" s="92"/>
      <c r="L880" s="92"/>
      <c r="M880" s="92"/>
      <c r="N880" s="97">
        <v>0</v>
      </c>
      <c r="O880" s="97">
        <v>18</v>
      </c>
      <c r="P880" s="98">
        <f>SUM(SamplingData[[#This Row],[Winning Candidate]:[Under Votes]])</f>
        <v>323</v>
      </c>
      <c r="Q880" s="99">
        <f>IF(AND(SamplingData[[#This Row],[Total]]&lt;&gt; 0, NOT(ISBLANK(SamplingData[[#This Row],[Losing Candidate]]))),(SamplingData[[#This Row],[Total]]+SamplingData[[#This Row],[Winning Candidate]]-SamplingData[[#This Row],[Losing Candidate]])/(SamplingData[[#Totals],[Winning Candidate]]-SamplingData[[#Totals],[Losing Candidate]]), 0)</f>
        <v>1.3749787811916483E-2</v>
      </c>
      <c r="R880" s="99">
        <f>IF(AND(SamplingData[[#This Row],[Total]]&lt;&gt; 0, NOT(ISBLANK(SamplingData[[#This Row],[Candidate 3]]))),(SamplingData[[#This Row],[Total]]+SamplingData[[#This Row],[Winning Candidate]]-SamplingData[[#This Row],[Candidate 3]])/(SamplingData[[#Totals],[Winning Candidate]]-SamplingData[[#Totals],[Candidate 3]]), 0)</f>
        <v>0</v>
      </c>
      <c r="S880" s="99">
        <f>IF(AND(SamplingData[[#This Row],[Total]]&lt;&gt; 0, NOT(ISBLANK(SamplingData[[#This Row],[Candidate 4]]))),(SamplingData[[#This Row],[Total]]+SamplingData[[#This Row],[Winning Candidate]]-SamplingData[[#This Row],[Candidate 4]])/(SamplingData[[#Totals],[Winning Candidate]]-SamplingData[[#Totals],[Candidate 4]]), 0)</f>
        <v>0</v>
      </c>
      <c r="T880" s="99">
        <f>IF(AND(SamplingData[[#This Row],[Total]]&lt;&gt; 0, NOT(ISBLANK(SamplingData[[#This Row],[Candidate 5]]))),(SamplingData[[#This Row],[Total]]+SamplingData[[#This Row],[Winning Candidate]]-SamplingData[[#This Row],[Candidate 5]])/(SamplingData[[#Totals],[Winning Candidate]]-SamplingData[[#Totals],[Candidate 5]]), 0)</f>
        <v>0</v>
      </c>
      <c r="U880" s="99">
        <f>IF(AND(SamplingData[[#This Row],[Total]]&lt;&gt; 0, NOT(ISBLANK(SamplingData[[#This Row],[Candidate 6]]))),(SamplingData[[#This Row],[Total]]+SamplingData[[#This Row],[Losing Candidate]]-SamplingData[[#This Row],[Candidate 6]])/(SamplingData[[#Totals],[Winning Candidate]]-SamplingData[[#Totals],[Candidate 6]]), 0)</f>
        <v>0</v>
      </c>
      <c r="V880" s="99">
        <f>IF(AND(SamplingData[[#This Row],[Total]]&lt;&gt; 0, NOT(ISBLANK(SamplingData[[#This Row],[Candidate 7]]))),(SamplingData[[#This Row],[Total]]+SamplingData[[#This Row],[Winning Candidate]]-SamplingData[[#This Row],[Candidate 7]])/(SamplingData[[#Totals],[Winning Candidate]]-SamplingData[[#Totals],[Candidate 7]]), 0)</f>
        <v>0</v>
      </c>
      <c r="W880" s="99">
        <f>IF(AND(SamplingData[[#This Row],[Total]]&lt;&gt; 0, NOT(ISBLANK(SamplingData[[#This Row],[Candidate 8]]))),(SamplingData[[#This Row],[Total]]+SamplingData[[#This Row],[Winning Candidate]]-SamplingData[[#This Row],[Candidate 8]])/(SamplingData[[#Totals],[Winning Candidate]]-SamplingData[[#Totals],[Candidate 8]]), 0)</f>
        <v>0</v>
      </c>
      <c r="X8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0" s="99">
        <f>MAX(SamplingData[[#This Row],[Error Bound (up) - Max. possible relative overstatement - Losing Candidate]:[Error Bound (up) - Max. possible relative overstatement - Candidate 12]])</f>
        <v>1.3749787811916483E-2</v>
      </c>
      <c r="AC880" s="99">
        <f>IF(SamplingData[[#This Row],[Max Error Bound (up)]] = 0,0,SamplingData[[#This Row],[Max Error Bound (up)]]/SamplingData[[#Totals],[Max Error Bound (up)]])</f>
        <v>7.3617624604646191E-4</v>
      </c>
      <c r="AD880" s="103">
        <f>SUM($AC$5:AC880)</f>
        <v>0.79277320318464606</v>
      </c>
      <c r="AE880" s="99" t="str" cm="1">
        <f t="array" ref="AE880">IF(SamplingData[[#This Row],[up/U Selection Probability]] = 0, "Zero", TEXT(SamplingData[[#This Row],[Lower Range]], REPT("0",LEN('General Info'!$B$42))) &amp; " - " &amp; TEXT(SamplingData[[#This Row],[Upper Range]], REPT("0",LEN('General Info'!$B$42))))</f>
        <v>792037 - 792772</v>
      </c>
      <c r="AF880" s="99">
        <f>SamplingData[[#This Row],[Upper Range]]-SamplingData[[#This Row],[Span]]</f>
        <v>792037.02693859965</v>
      </c>
      <c r="AG880" s="99">
        <f>IF(ISNUMBER('General Info'!$B$42), ((SamplingData[[#This Row],[up/U Selection Probability]]) * 'General Info'!$B$44) - 1, 0)</f>
        <v>735.17624604646187</v>
      </c>
      <c r="AH880" s="99">
        <f>IF(ISNUMBER('General Info'!$B$42), (SamplingData[[#This Row],[Running (cumulative) sum]] * ('General Info'!$B$42 -'General Info'!$B$43 + 1)) + 'General Info'!$B$43 - 1, 0)</f>
        <v>792772.20318464609</v>
      </c>
      <c r="AI880" s="99" t="str">
        <f>IF(ISERROR(MATCH(SamplingData[[#This Row],[Batch by Type (p)]],SelectedPrecincts[Batch Name], 0)), "", INDEX(SelectedPrecincts[Draw], MATCH(SamplingData[[#This Row],[Batch by Type (p)]],SelectedPrecincts[Batch Name], 0)))</f>
        <v/>
      </c>
      <c r="AJ880" s="100">
        <f>IF(COUNTIF(SelectedPrecincts[Batch Name],SamplingData[[#This Row],[Batch by Type (p)]]) &lt;&gt; 0, COUNTIF(SelectedPrecincts[Batch Name],SamplingData[[#This Row],[Batch by Type (p)]]), 0)</f>
        <v>0</v>
      </c>
    </row>
    <row r="881" spans="1:36" ht="15" customHeight="1" x14ac:dyDescent="0.35">
      <c r="A881" s="97" t="s">
        <v>1094</v>
      </c>
      <c r="B881" s="97">
        <v>141</v>
      </c>
      <c r="C881" s="97">
        <v>161</v>
      </c>
      <c r="D881" s="92"/>
      <c r="E881" s="92"/>
      <c r="F881" s="92"/>
      <c r="G881" s="96"/>
      <c r="H881" s="96"/>
      <c r="I881" s="92"/>
      <c r="J881" s="92"/>
      <c r="K881" s="92"/>
      <c r="L881" s="92"/>
      <c r="M881" s="92"/>
      <c r="N881" s="97">
        <v>0</v>
      </c>
      <c r="O881" s="97">
        <v>25</v>
      </c>
      <c r="P881" s="98">
        <f>SUM(SamplingData[[#This Row],[Winning Candidate]:[Under Votes]])</f>
        <v>327</v>
      </c>
      <c r="Q881" s="99">
        <f>IF(AND(SamplingData[[#This Row],[Total]]&lt;&gt; 0, NOT(ISBLANK(SamplingData[[#This Row],[Losing Candidate]]))),(SamplingData[[#This Row],[Total]]+SamplingData[[#This Row],[Winning Candidate]]-SamplingData[[#This Row],[Losing Candidate]])/(SamplingData[[#Totals],[Winning Candidate]]-SamplingData[[#Totals],[Losing Candidate]]), 0)</f>
        <v>1.3028348327957903E-2</v>
      </c>
      <c r="R881" s="99">
        <f>IF(AND(SamplingData[[#This Row],[Total]]&lt;&gt; 0, NOT(ISBLANK(SamplingData[[#This Row],[Candidate 3]]))),(SamplingData[[#This Row],[Total]]+SamplingData[[#This Row],[Winning Candidate]]-SamplingData[[#This Row],[Candidate 3]])/(SamplingData[[#Totals],[Winning Candidate]]-SamplingData[[#Totals],[Candidate 3]]), 0)</f>
        <v>0</v>
      </c>
      <c r="S881" s="99">
        <f>IF(AND(SamplingData[[#This Row],[Total]]&lt;&gt; 0, NOT(ISBLANK(SamplingData[[#This Row],[Candidate 4]]))),(SamplingData[[#This Row],[Total]]+SamplingData[[#This Row],[Winning Candidate]]-SamplingData[[#This Row],[Candidate 4]])/(SamplingData[[#Totals],[Winning Candidate]]-SamplingData[[#Totals],[Candidate 4]]), 0)</f>
        <v>0</v>
      </c>
      <c r="T881" s="99">
        <f>IF(AND(SamplingData[[#This Row],[Total]]&lt;&gt; 0, NOT(ISBLANK(SamplingData[[#This Row],[Candidate 5]]))),(SamplingData[[#This Row],[Total]]+SamplingData[[#This Row],[Winning Candidate]]-SamplingData[[#This Row],[Candidate 5]])/(SamplingData[[#Totals],[Winning Candidate]]-SamplingData[[#Totals],[Candidate 5]]), 0)</f>
        <v>0</v>
      </c>
      <c r="U881" s="99">
        <f>IF(AND(SamplingData[[#This Row],[Total]]&lt;&gt; 0, NOT(ISBLANK(SamplingData[[#This Row],[Candidate 6]]))),(SamplingData[[#This Row],[Total]]+SamplingData[[#This Row],[Losing Candidate]]-SamplingData[[#This Row],[Candidate 6]])/(SamplingData[[#Totals],[Winning Candidate]]-SamplingData[[#Totals],[Candidate 6]]), 0)</f>
        <v>0</v>
      </c>
      <c r="V881" s="99">
        <f>IF(AND(SamplingData[[#This Row],[Total]]&lt;&gt; 0, NOT(ISBLANK(SamplingData[[#This Row],[Candidate 7]]))),(SamplingData[[#This Row],[Total]]+SamplingData[[#This Row],[Winning Candidate]]-SamplingData[[#This Row],[Candidate 7]])/(SamplingData[[#Totals],[Winning Candidate]]-SamplingData[[#Totals],[Candidate 7]]), 0)</f>
        <v>0</v>
      </c>
      <c r="W881" s="99">
        <f>IF(AND(SamplingData[[#This Row],[Total]]&lt;&gt; 0, NOT(ISBLANK(SamplingData[[#This Row],[Candidate 8]]))),(SamplingData[[#This Row],[Total]]+SamplingData[[#This Row],[Winning Candidate]]-SamplingData[[#This Row],[Candidate 8]])/(SamplingData[[#Totals],[Winning Candidate]]-SamplingData[[#Totals],[Candidate 8]]), 0)</f>
        <v>0</v>
      </c>
      <c r="X8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1" s="99">
        <f>MAX(SamplingData[[#This Row],[Error Bound (up) - Max. possible relative overstatement - Losing Candidate]:[Error Bound (up) - Max. possible relative overstatement - Candidate 12]])</f>
        <v>1.3028348327957903E-2</v>
      </c>
      <c r="AC881" s="99">
        <f>IF(SamplingData[[#This Row],[Max Error Bound (up)]] = 0,0,SamplingData[[#This Row],[Max Error Bound (up)]]/SamplingData[[#Totals],[Max Error Bound (up)]])</f>
        <v>6.9754971461809809E-4</v>
      </c>
      <c r="AD881" s="103">
        <f>SUM($AC$5:AC881)</f>
        <v>0.79347075289926416</v>
      </c>
      <c r="AE881" s="99" t="str" cm="1">
        <f t="array" ref="AE881">IF(SamplingData[[#This Row],[up/U Selection Probability]] = 0, "Zero", TEXT(SamplingData[[#This Row],[Lower Range]], REPT("0",LEN('General Info'!$B$42))) &amp; " - " &amp; TEXT(SamplingData[[#This Row],[Upper Range]], REPT("0",LEN('General Info'!$B$42))))</f>
        <v>792773 - 793470</v>
      </c>
      <c r="AF881" s="99">
        <f>SamplingData[[#This Row],[Upper Range]]-SamplingData[[#This Row],[Span]]</f>
        <v>792773.20318464609</v>
      </c>
      <c r="AG881" s="99">
        <f>IF(ISNUMBER('General Info'!$B$42), ((SamplingData[[#This Row],[up/U Selection Probability]]) * 'General Info'!$B$44) - 1, 0)</f>
        <v>696.54971461809805</v>
      </c>
      <c r="AH881" s="99">
        <f>IF(ISNUMBER('General Info'!$B$42), (SamplingData[[#This Row],[Running (cumulative) sum]] * ('General Info'!$B$42 -'General Info'!$B$43 + 1)) + 'General Info'!$B$43 - 1, 0)</f>
        <v>793469.75289926422</v>
      </c>
      <c r="AI881" s="99" t="str">
        <f>IF(ISERROR(MATCH(SamplingData[[#This Row],[Batch by Type (p)]],SelectedPrecincts[Batch Name], 0)), "", INDEX(SelectedPrecincts[Draw], MATCH(SamplingData[[#This Row],[Batch by Type (p)]],SelectedPrecincts[Batch Name], 0)))</f>
        <v/>
      </c>
      <c r="AJ881" s="100">
        <f>IF(COUNTIF(SelectedPrecincts[Batch Name],SamplingData[[#This Row],[Batch by Type (p)]]) &lt;&gt; 0, COUNTIF(SelectedPrecincts[Batch Name],SamplingData[[#This Row],[Batch by Type (p)]]), 0)</f>
        <v>0</v>
      </c>
    </row>
    <row r="882" spans="1:36" ht="15" customHeight="1" x14ac:dyDescent="0.35">
      <c r="A882" s="97" t="s">
        <v>1095</v>
      </c>
      <c r="B882" s="97">
        <v>192</v>
      </c>
      <c r="C882" s="97">
        <v>330</v>
      </c>
      <c r="D882" s="92"/>
      <c r="E882" s="92"/>
      <c r="F882" s="92"/>
      <c r="G882" s="96"/>
      <c r="H882" s="96"/>
      <c r="I882" s="92"/>
      <c r="J882" s="92"/>
      <c r="K882" s="92"/>
      <c r="L882" s="92"/>
      <c r="M882" s="92"/>
      <c r="N882" s="97">
        <v>0</v>
      </c>
      <c r="O882" s="97">
        <v>47</v>
      </c>
      <c r="P882" s="98">
        <f>SUM(SamplingData[[#This Row],[Winning Candidate]:[Under Votes]])</f>
        <v>569</v>
      </c>
      <c r="Q882" s="99">
        <f>IF(AND(SamplingData[[#This Row],[Total]]&lt;&gt; 0, NOT(ISBLANK(SamplingData[[#This Row],[Losing Candidate]]))),(SamplingData[[#This Row],[Total]]+SamplingData[[#This Row],[Winning Candidate]]-SamplingData[[#This Row],[Losing Candidate]])/(SamplingData[[#Totals],[Winning Candidate]]-SamplingData[[#Totals],[Losing Candidate]]), 0)</f>
        <v>1.8290612799185198E-2</v>
      </c>
      <c r="R882" s="99">
        <f>IF(AND(SamplingData[[#This Row],[Total]]&lt;&gt; 0, NOT(ISBLANK(SamplingData[[#This Row],[Candidate 3]]))),(SamplingData[[#This Row],[Total]]+SamplingData[[#This Row],[Winning Candidate]]-SamplingData[[#This Row],[Candidate 3]])/(SamplingData[[#Totals],[Winning Candidate]]-SamplingData[[#Totals],[Candidate 3]]), 0)</f>
        <v>0</v>
      </c>
      <c r="S882" s="99">
        <f>IF(AND(SamplingData[[#This Row],[Total]]&lt;&gt; 0, NOT(ISBLANK(SamplingData[[#This Row],[Candidate 4]]))),(SamplingData[[#This Row],[Total]]+SamplingData[[#This Row],[Winning Candidate]]-SamplingData[[#This Row],[Candidate 4]])/(SamplingData[[#Totals],[Winning Candidate]]-SamplingData[[#Totals],[Candidate 4]]), 0)</f>
        <v>0</v>
      </c>
      <c r="T882" s="99">
        <f>IF(AND(SamplingData[[#This Row],[Total]]&lt;&gt; 0, NOT(ISBLANK(SamplingData[[#This Row],[Candidate 5]]))),(SamplingData[[#This Row],[Total]]+SamplingData[[#This Row],[Winning Candidate]]-SamplingData[[#This Row],[Candidate 5]])/(SamplingData[[#Totals],[Winning Candidate]]-SamplingData[[#Totals],[Candidate 5]]), 0)</f>
        <v>0</v>
      </c>
      <c r="U882" s="99">
        <f>IF(AND(SamplingData[[#This Row],[Total]]&lt;&gt; 0, NOT(ISBLANK(SamplingData[[#This Row],[Candidate 6]]))),(SamplingData[[#This Row],[Total]]+SamplingData[[#This Row],[Losing Candidate]]-SamplingData[[#This Row],[Candidate 6]])/(SamplingData[[#Totals],[Winning Candidate]]-SamplingData[[#Totals],[Candidate 6]]), 0)</f>
        <v>0</v>
      </c>
      <c r="V882" s="99">
        <f>IF(AND(SamplingData[[#This Row],[Total]]&lt;&gt; 0, NOT(ISBLANK(SamplingData[[#This Row],[Candidate 7]]))),(SamplingData[[#This Row],[Total]]+SamplingData[[#This Row],[Winning Candidate]]-SamplingData[[#This Row],[Candidate 7]])/(SamplingData[[#Totals],[Winning Candidate]]-SamplingData[[#Totals],[Candidate 7]]), 0)</f>
        <v>0</v>
      </c>
      <c r="W882" s="99">
        <f>IF(AND(SamplingData[[#This Row],[Total]]&lt;&gt; 0, NOT(ISBLANK(SamplingData[[#This Row],[Candidate 8]]))),(SamplingData[[#This Row],[Total]]+SamplingData[[#This Row],[Winning Candidate]]-SamplingData[[#This Row],[Candidate 8]])/(SamplingData[[#Totals],[Winning Candidate]]-SamplingData[[#Totals],[Candidate 8]]), 0)</f>
        <v>0</v>
      </c>
      <c r="X8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2" s="99">
        <f>MAX(SamplingData[[#This Row],[Error Bound (up) - Max. possible relative overstatement - Losing Candidate]:[Error Bound (up) - Max. possible relative overstatement - Candidate 12]])</f>
        <v>1.8290612799185198E-2</v>
      </c>
      <c r="AC882" s="99">
        <f>IF(SamplingData[[#This Row],[Max Error Bound (up)]] = 0,0,SamplingData[[#This Row],[Max Error Bound (up)]]/SamplingData[[#Totals],[Max Error Bound (up)]])</f>
        <v>9.7929617915439829E-4</v>
      </c>
      <c r="AD882" s="103">
        <f>SUM($AC$5:AC882)</f>
        <v>0.79445004907841854</v>
      </c>
      <c r="AE882" s="99" t="str" cm="1">
        <f t="array" ref="AE882">IF(SamplingData[[#This Row],[up/U Selection Probability]] = 0, "Zero", TEXT(SamplingData[[#This Row],[Lower Range]], REPT("0",LEN('General Info'!$B$42))) &amp; " - " &amp; TEXT(SamplingData[[#This Row],[Upper Range]], REPT("0",LEN('General Info'!$B$42))))</f>
        <v>793471 - 794449</v>
      </c>
      <c r="AF882" s="99">
        <f>SamplingData[[#This Row],[Upper Range]]-SamplingData[[#This Row],[Span]]</f>
        <v>793470.7528992641</v>
      </c>
      <c r="AG882" s="99">
        <f>IF(ISNUMBER('General Info'!$B$42), ((SamplingData[[#This Row],[up/U Selection Probability]]) * 'General Info'!$B$44) - 1, 0)</f>
        <v>978.29617915439826</v>
      </c>
      <c r="AH882" s="99">
        <f>IF(ISNUMBER('General Info'!$B$42), (SamplingData[[#This Row],[Running (cumulative) sum]] * ('General Info'!$B$42 -'General Info'!$B$43 + 1)) + 'General Info'!$B$43 - 1, 0)</f>
        <v>794449.04907841852</v>
      </c>
      <c r="AI882" s="99" t="str">
        <f>IF(ISERROR(MATCH(SamplingData[[#This Row],[Batch by Type (p)]],SelectedPrecincts[Batch Name], 0)), "", INDEX(SelectedPrecincts[Draw], MATCH(SamplingData[[#This Row],[Batch by Type (p)]],SelectedPrecincts[Batch Name], 0)))</f>
        <v/>
      </c>
      <c r="AJ882" s="100">
        <f>IF(COUNTIF(SelectedPrecincts[Batch Name],SamplingData[[#This Row],[Batch by Type (p)]]) &lt;&gt; 0, COUNTIF(SelectedPrecincts[Batch Name],SamplingData[[#This Row],[Batch by Type (p)]]), 0)</f>
        <v>0</v>
      </c>
    </row>
    <row r="883" spans="1:36" ht="15" customHeight="1" x14ac:dyDescent="0.35">
      <c r="A883" s="97" t="s">
        <v>1096</v>
      </c>
      <c r="B883" s="97">
        <v>118</v>
      </c>
      <c r="C883" s="97">
        <v>244</v>
      </c>
      <c r="D883" s="92"/>
      <c r="E883" s="92"/>
      <c r="F883" s="92"/>
      <c r="G883" s="96"/>
      <c r="H883" s="96"/>
      <c r="I883" s="92"/>
      <c r="J883" s="92"/>
      <c r="K883" s="92"/>
      <c r="L883" s="92"/>
      <c r="M883" s="92"/>
      <c r="N883" s="97">
        <v>0</v>
      </c>
      <c r="O883" s="97">
        <v>30</v>
      </c>
      <c r="P883" s="98">
        <f>SUM(SamplingData[[#This Row],[Winning Candidate]:[Under Votes]])</f>
        <v>392</v>
      </c>
      <c r="Q883" s="99">
        <f>IF(AND(SamplingData[[#This Row],[Total]]&lt;&gt; 0, NOT(ISBLANK(SamplingData[[#This Row],[Losing Candidate]]))),(SamplingData[[#This Row],[Total]]+SamplingData[[#This Row],[Winning Candidate]]-SamplingData[[#This Row],[Losing Candidate]])/(SamplingData[[#Totals],[Winning Candidate]]-SamplingData[[#Totals],[Losing Candidate]]), 0)</f>
        <v>1.1288406043116619E-2</v>
      </c>
      <c r="R883" s="99">
        <f>IF(AND(SamplingData[[#This Row],[Total]]&lt;&gt; 0, NOT(ISBLANK(SamplingData[[#This Row],[Candidate 3]]))),(SamplingData[[#This Row],[Total]]+SamplingData[[#This Row],[Winning Candidate]]-SamplingData[[#This Row],[Candidate 3]])/(SamplingData[[#Totals],[Winning Candidate]]-SamplingData[[#Totals],[Candidate 3]]), 0)</f>
        <v>0</v>
      </c>
      <c r="S883" s="99">
        <f>IF(AND(SamplingData[[#This Row],[Total]]&lt;&gt; 0, NOT(ISBLANK(SamplingData[[#This Row],[Candidate 4]]))),(SamplingData[[#This Row],[Total]]+SamplingData[[#This Row],[Winning Candidate]]-SamplingData[[#This Row],[Candidate 4]])/(SamplingData[[#Totals],[Winning Candidate]]-SamplingData[[#Totals],[Candidate 4]]), 0)</f>
        <v>0</v>
      </c>
      <c r="T883" s="99">
        <f>IF(AND(SamplingData[[#This Row],[Total]]&lt;&gt; 0, NOT(ISBLANK(SamplingData[[#This Row],[Candidate 5]]))),(SamplingData[[#This Row],[Total]]+SamplingData[[#This Row],[Winning Candidate]]-SamplingData[[#This Row],[Candidate 5]])/(SamplingData[[#Totals],[Winning Candidate]]-SamplingData[[#Totals],[Candidate 5]]), 0)</f>
        <v>0</v>
      </c>
      <c r="U883" s="99">
        <f>IF(AND(SamplingData[[#This Row],[Total]]&lt;&gt; 0, NOT(ISBLANK(SamplingData[[#This Row],[Candidate 6]]))),(SamplingData[[#This Row],[Total]]+SamplingData[[#This Row],[Losing Candidate]]-SamplingData[[#This Row],[Candidate 6]])/(SamplingData[[#Totals],[Winning Candidate]]-SamplingData[[#Totals],[Candidate 6]]), 0)</f>
        <v>0</v>
      </c>
      <c r="V883" s="99">
        <f>IF(AND(SamplingData[[#This Row],[Total]]&lt;&gt; 0, NOT(ISBLANK(SamplingData[[#This Row],[Candidate 7]]))),(SamplingData[[#This Row],[Total]]+SamplingData[[#This Row],[Winning Candidate]]-SamplingData[[#This Row],[Candidate 7]])/(SamplingData[[#Totals],[Winning Candidate]]-SamplingData[[#Totals],[Candidate 7]]), 0)</f>
        <v>0</v>
      </c>
      <c r="W883" s="99">
        <f>IF(AND(SamplingData[[#This Row],[Total]]&lt;&gt; 0, NOT(ISBLANK(SamplingData[[#This Row],[Candidate 8]]))),(SamplingData[[#This Row],[Total]]+SamplingData[[#This Row],[Winning Candidate]]-SamplingData[[#This Row],[Candidate 8]])/(SamplingData[[#Totals],[Winning Candidate]]-SamplingData[[#Totals],[Candidate 8]]), 0)</f>
        <v>0</v>
      </c>
      <c r="X8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3" s="99">
        <f>MAX(SamplingData[[#This Row],[Error Bound (up) - Max. possible relative overstatement - Losing Candidate]:[Error Bound (up) - Max. possible relative overstatement - Candidate 12]])</f>
        <v>1.1288406043116619E-2</v>
      </c>
      <c r="AC883" s="99">
        <f>IF(SamplingData[[#This Row],[Max Error Bound (up)]] = 0,0,SamplingData[[#This Row],[Max Error Bound (up)]]/SamplingData[[#Totals],[Max Error Bound (up)]])</f>
        <v>6.0439160940851499E-4</v>
      </c>
      <c r="AD883" s="103">
        <f>SUM($AC$5:AC883)</f>
        <v>0.79505444068782705</v>
      </c>
      <c r="AE883" s="99" t="str" cm="1">
        <f t="array" ref="AE883">IF(SamplingData[[#This Row],[up/U Selection Probability]] = 0, "Zero", TEXT(SamplingData[[#This Row],[Lower Range]], REPT("0",LEN('General Info'!$B$42))) &amp; " - " &amp; TEXT(SamplingData[[#This Row],[Upper Range]], REPT("0",LEN('General Info'!$B$42))))</f>
        <v>794450 - 795053</v>
      </c>
      <c r="AF883" s="99">
        <f>SamplingData[[#This Row],[Upper Range]]-SamplingData[[#This Row],[Span]]</f>
        <v>794450.04907841852</v>
      </c>
      <c r="AG883" s="99">
        <f>IF(ISNUMBER('General Info'!$B$42), ((SamplingData[[#This Row],[up/U Selection Probability]]) * 'General Info'!$B$44) - 1, 0)</f>
        <v>603.39160940851502</v>
      </c>
      <c r="AH883" s="99">
        <f>IF(ISNUMBER('General Info'!$B$42), (SamplingData[[#This Row],[Running (cumulative) sum]] * ('General Info'!$B$42 -'General Info'!$B$43 + 1)) + 'General Info'!$B$43 - 1, 0)</f>
        <v>795053.44068782707</v>
      </c>
      <c r="AI883" s="99" t="str">
        <f>IF(ISERROR(MATCH(SamplingData[[#This Row],[Batch by Type (p)]],SelectedPrecincts[Batch Name], 0)), "", INDEX(SelectedPrecincts[Draw], MATCH(SamplingData[[#This Row],[Batch by Type (p)]],SelectedPrecincts[Batch Name], 0)))</f>
        <v/>
      </c>
      <c r="AJ883" s="100">
        <f>IF(COUNTIF(SelectedPrecincts[Batch Name],SamplingData[[#This Row],[Batch by Type (p)]]) &lt;&gt; 0, COUNTIF(SelectedPrecincts[Batch Name],SamplingData[[#This Row],[Batch by Type (p)]]), 0)</f>
        <v>0</v>
      </c>
    </row>
    <row r="884" spans="1:36" ht="15" customHeight="1" x14ac:dyDescent="0.35">
      <c r="A884" s="97" t="s">
        <v>1097</v>
      </c>
      <c r="B884" s="97">
        <v>241</v>
      </c>
      <c r="C884" s="97">
        <v>309</v>
      </c>
      <c r="D884" s="92"/>
      <c r="E884" s="92"/>
      <c r="F884" s="92"/>
      <c r="G884" s="96"/>
      <c r="H884" s="96"/>
      <c r="I884" s="92"/>
      <c r="J884" s="92"/>
      <c r="K884" s="92"/>
      <c r="L884" s="92"/>
      <c r="M884" s="92"/>
      <c r="N884" s="97">
        <v>0</v>
      </c>
      <c r="O884" s="97">
        <v>47</v>
      </c>
      <c r="P884" s="98">
        <f>SUM(SamplingData[[#This Row],[Winning Candidate]:[Under Votes]])</f>
        <v>597</v>
      </c>
      <c r="Q884" s="99">
        <f>IF(AND(SamplingData[[#This Row],[Total]]&lt;&gt; 0, NOT(ISBLANK(SamplingData[[#This Row],[Losing Candidate]]))),(SamplingData[[#This Row],[Total]]+SamplingData[[#This Row],[Winning Candidate]]-SamplingData[[#This Row],[Losing Candidate]])/(SamplingData[[#Totals],[Winning Candidate]]-SamplingData[[#Totals],[Losing Candidate]]), 0)</f>
        <v>2.24494992361229E-2</v>
      </c>
      <c r="R884" s="99">
        <f>IF(AND(SamplingData[[#This Row],[Total]]&lt;&gt; 0, NOT(ISBLANK(SamplingData[[#This Row],[Candidate 3]]))),(SamplingData[[#This Row],[Total]]+SamplingData[[#This Row],[Winning Candidate]]-SamplingData[[#This Row],[Candidate 3]])/(SamplingData[[#Totals],[Winning Candidate]]-SamplingData[[#Totals],[Candidate 3]]), 0)</f>
        <v>0</v>
      </c>
      <c r="S884" s="99">
        <f>IF(AND(SamplingData[[#This Row],[Total]]&lt;&gt; 0, NOT(ISBLANK(SamplingData[[#This Row],[Candidate 4]]))),(SamplingData[[#This Row],[Total]]+SamplingData[[#This Row],[Winning Candidate]]-SamplingData[[#This Row],[Candidate 4]])/(SamplingData[[#Totals],[Winning Candidate]]-SamplingData[[#Totals],[Candidate 4]]), 0)</f>
        <v>0</v>
      </c>
      <c r="T884" s="99">
        <f>IF(AND(SamplingData[[#This Row],[Total]]&lt;&gt; 0, NOT(ISBLANK(SamplingData[[#This Row],[Candidate 5]]))),(SamplingData[[#This Row],[Total]]+SamplingData[[#This Row],[Winning Candidate]]-SamplingData[[#This Row],[Candidate 5]])/(SamplingData[[#Totals],[Winning Candidate]]-SamplingData[[#Totals],[Candidate 5]]), 0)</f>
        <v>0</v>
      </c>
      <c r="U884" s="99">
        <f>IF(AND(SamplingData[[#This Row],[Total]]&lt;&gt; 0, NOT(ISBLANK(SamplingData[[#This Row],[Candidate 6]]))),(SamplingData[[#This Row],[Total]]+SamplingData[[#This Row],[Losing Candidate]]-SamplingData[[#This Row],[Candidate 6]])/(SamplingData[[#Totals],[Winning Candidate]]-SamplingData[[#Totals],[Candidate 6]]), 0)</f>
        <v>0</v>
      </c>
      <c r="V884" s="99">
        <f>IF(AND(SamplingData[[#This Row],[Total]]&lt;&gt; 0, NOT(ISBLANK(SamplingData[[#This Row],[Candidate 7]]))),(SamplingData[[#This Row],[Total]]+SamplingData[[#This Row],[Winning Candidate]]-SamplingData[[#This Row],[Candidate 7]])/(SamplingData[[#Totals],[Winning Candidate]]-SamplingData[[#Totals],[Candidate 7]]), 0)</f>
        <v>0</v>
      </c>
      <c r="W884" s="99">
        <f>IF(AND(SamplingData[[#This Row],[Total]]&lt;&gt; 0, NOT(ISBLANK(SamplingData[[#This Row],[Candidate 8]]))),(SamplingData[[#This Row],[Total]]+SamplingData[[#This Row],[Winning Candidate]]-SamplingData[[#This Row],[Candidate 8]])/(SamplingData[[#Totals],[Winning Candidate]]-SamplingData[[#Totals],[Candidate 8]]), 0)</f>
        <v>0</v>
      </c>
      <c r="X8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4" s="99">
        <f>MAX(SamplingData[[#This Row],[Error Bound (up) - Max. possible relative overstatement - Losing Candidate]:[Error Bound (up) - Max. possible relative overstatement - Candidate 12]])</f>
        <v>2.24494992361229E-2</v>
      </c>
      <c r="AC884" s="99">
        <f>IF(SamplingData[[#This Row],[Max Error Bound (up)]] = 0,0,SamplingData[[#This Row],[Max Error Bound (up)]]/SamplingData[[#Totals],[Max Error Bound (up)]])</f>
        <v>1.2019667720943776E-3</v>
      </c>
      <c r="AD884" s="103">
        <f>SUM($AC$5:AC884)</f>
        <v>0.79625640745992143</v>
      </c>
      <c r="AE884" s="99" t="str" cm="1">
        <f t="array" ref="AE884">IF(SamplingData[[#This Row],[up/U Selection Probability]] = 0, "Zero", TEXT(SamplingData[[#This Row],[Lower Range]], REPT("0",LEN('General Info'!$B$42))) &amp; " - " &amp; TEXT(SamplingData[[#This Row],[Upper Range]], REPT("0",LEN('General Info'!$B$42))))</f>
        <v>795054 - 796255</v>
      </c>
      <c r="AF884" s="99">
        <f>SamplingData[[#This Row],[Upper Range]]-SamplingData[[#This Row],[Span]]</f>
        <v>795054.44068782707</v>
      </c>
      <c r="AG884" s="99">
        <f>IF(ISNUMBER('General Info'!$B$42), ((SamplingData[[#This Row],[up/U Selection Probability]]) * 'General Info'!$B$44) - 1, 0)</f>
        <v>1200.9667720943776</v>
      </c>
      <c r="AH884" s="99">
        <f>IF(ISNUMBER('General Info'!$B$42), (SamplingData[[#This Row],[Running (cumulative) sum]] * ('General Info'!$B$42 -'General Info'!$B$43 + 1)) + 'General Info'!$B$43 - 1, 0)</f>
        <v>796255.40745992144</v>
      </c>
      <c r="AI884" s="99" t="str">
        <f>IF(ISERROR(MATCH(SamplingData[[#This Row],[Batch by Type (p)]],SelectedPrecincts[Batch Name], 0)), "", INDEX(SelectedPrecincts[Draw], MATCH(SamplingData[[#This Row],[Batch by Type (p)]],SelectedPrecincts[Batch Name], 0)))</f>
        <v/>
      </c>
      <c r="AJ884" s="100">
        <f>IF(COUNTIF(SelectedPrecincts[Batch Name],SamplingData[[#This Row],[Batch by Type (p)]]) &lt;&gt; 0, COUNTIF(SelectedPrecincts[Batch Name],SamplingData[[#This Row],[Batch by Type (p)]]), 0)</f>
        <v>0</v>
      </c>
    </row>
    <row r="885" spans="1:36" ht="15" customHeight="1" x14ac:dyDescent="0.35">
      <c r="A885" s="97" t="s">
        <v>1098</v>
      </c>
      <c r="B885" s="97">
        <v>185</v>
      </c>
      <c r="C885" s="97">
        <v>447</v>
      </c>
      <c r="D885" s="92"/>
      <c r="E885" s="92"/>
      <c r="F885" s="92"/>
      <c r="G885" s="96"/>
      <c r="H885" s="96"/>
      <c r="I885" s="92"/>
      <c r="J885" s="92"/>
      <c r="K885" s="92"/>
      <c r="L885" s="92"/>
      <c r="M885" s="92"/>
      <c r="N885" s="97">
        <v>0</v>
      </c>
      <c r="O885" s="97">
        <v>50</v>
      </c>
      <c r="P885" s="98">
        <f>SUM(SamplingData[[#This Row],[Winning Candidate]:[Under Votes]])</f>
        <v>682</v>
      </c>
      <c r="Q885" s="99">
        <f>IF(AND(SamplingData[[#This Row],[Total]]&lt;&gt; 0, NOT(ISBLANK(SamplingData[[#This Row],[Losing Candidate]]))),(SamplingData[[#This Row],[Total]]+SamplingData[[#This Row],[Winning Candidate]]-SamplingData[[#This Row],[Losing Candidate]])/(SamplingData[[#Totals],[Winning Candidate]]-SamplingData[[#Totals],[Losing Candidate]]), 0)</f>
        <v>1.7823799015447294E-2</v>
      </c>
      <c r="R885" s="99">
        <f>IF(AND(SamplingData[[#This Row],[Total]]&lt;&gt; 0, NOT(ISBLANK(SamplingData[[#This Row],[Candidate 3]]))),(SamplingData[[#This Row],[Total]]+SamplingData[[#This Row],[Winning Candidate]]-SamplingData[[#This Row],[Candidate 3]])/(SamplingData[[#Totals],[Winning Candidate]]-SamplingData[[#Totals],[Candidate 3]]), 0)</f>
        <v>0</v>
      </c>
      <c r="S885" s="99">
        <f>IF(AND(SamplingData[[#This Row],[Total]]&lt;&gt; 0, NOT(ISBLANK(SamplingData[[#This Row],[Candidate 4]]))),(SamplingData[[#This Row],[Total]]+SamplingData[[#This Row],[Winning Candidate]]-SamplingData[[#This Row],[Candidate 4]])/(SamplingData[[#Totals],[Winning Candidate]]-SamplingData[[#Totals],[Candidate 4]]), 0)</f>
        <v>0</v>
      </c>
      <c r="T885" s="99">
        <f>IF(AND(SamplingData[[#This Row],[Total]]&lt;&gt; 0, NOT(ISBLANK(SamplingData[[#This Row],[Candidate 5]]))),(SamplingData[[#This Row],[Total]]+SamplingData[[#This Row],[Winning Candidate]]-SamplingData[[#This Row],[Candidate 5]])/(SamplingData[[#Totals],[Winning Candidate]]-SamplingData[[#Totals],[Candidate 5]]), 0)</f>
        <v>0</v>
      </c>
      <c r="U885" s="99">
        <f>IF(AND(SamplingData[[#This Row],[Total]]&lt;&gt; 0, NOT(ISBLANK(SamplingData[[#This Row],[Candidate 6]]))),(SamplingData[[#This Row],[Total]]+SamplingData[[#This Row],[Losing Candidate]]-SamplingData[[#This Row],[Candidate 6]])/(SamplingData[[#Totals],[Winning Candidate]]-SamplingData[[#Totals],[Candidate 6]]), 0)</f>
        <v>0</v>
      </c>
      <c r="V885" s="99">
        <f>IF(AND(SamplingData[[#This Row],[Total]]&lt;&gt; 0, NOT(ISBLANK(SamplingData[[#This Row],[Candidate 7]]))),(SamplingData[[#This Row],[Total]]+SamplingData[[#This Row],[Winning Candidate]]-SamplingData[[#This Row],[Candidate 7]])/(SamplingData[[#Totals],[Winning Candidate]]-SamplingData[[#Totals],[Candidate 7]]), 0)</f>
        <v>0</v>
      </c>
      <c r="W885" s="99">
        <f>IF(AND(SamplingData[[#This Row],[Total]]&lt;&gt; 0, NOT(ISBLANK(SamplingData[[#This Row],[Candidate 8]]))),(SamplingData[[#This Row],[Total]]+SamplingData[[#This Row],[Winning Candidate]]-SamplingData[[#This Row],[Candidate 8]])/(SamplingData[[#Totals],[Winning Candidate]]-SamplingData[[#Totals],[Candidate 8]]), 0)</f>
        <v>0</v>
      </c>
      <c r="X8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5" s="99">
        <f>MAX(SamplingData[[#This Row],[Error Bound (up) - Max. possible relative overstatement - Losing Candidate]:[Error Bound (up) - Max. possible relative overstatement - Candidate 12]])</f>
        <v>1.7823799015447294E-2</v>
      </c>
      <c r="AC885" s="99">
        <f>IF(SamplingData[[#This Row],[Max Error Bound (up)]] = 0,0,SamplingData[[#This Row],[Max Error Bound (up)]]/SamplingData[[#Totals],[Max Error Bound (up)]])</f>
        <v>9.5430254117133948E-4</v>
      </c>
      <c r="AD885" s="103">
        <f>SUM($AC$5:AC885)</f>
        <v>0.79721071000109278</v>
      </c>
      <c r="AE885" s="99" t="str" cm="1">
        <f t="array" ref="AE885">IF(SamplingData[[#This Row],[up/U Selection Probability]] = 0, "Zero", TEXT(SamplingData[[#This Row],[Lower Range]], REPT("0",LEN('General Info'!$B$42))) &amp; " - " &amp; TEXT(SamplingData[[#This Row],[Upper Range]], REPT("0",LEN('General Info'!$B$42))))</f>
        <v>796256 - 797210</v>
      </c>
      <c r="AF885" s="99">
        <f>SamplingData[[#This Row],[Upper Range]]-SamplingData[[#This Row],[Span]]</f>
        <v>796256.40745992144</v>
      </c>
      <c r="AG885" s="99">
        <f>IF(ISNUMBER('General Info'!$B$42), ((SamplingData[[#This Row],[up/U Selection Probability]]) * 'General Info'!$B$44) - 1, 0)</f>
        <v>953.3025411713395</v>
      </c>
      <c r="AH885" s="99">
        <f>IF(ISNUMBER('General Info'!$B$42), (SamplingData[[#This Row],[Running (cumulative) sum]] * ('General Info'!$B$42 -'General Info'!$B$43 + 1)) + 'General Info'!$B$43 - 1, 0)</f>
        <v>797209.71000109275</v>
      </c>
      <c r="AI885" s="99" t="str">
        <f>IF(ISERROR(MATCH(SamplingData[[#This Row],[Batch by Type (p)]],SelectedPrecincts[Batch Name], 0)), "", INDEX(SelectedPrecincts[Draw], MATCH(SamplingData[[#This Row],[Batch by Type (p)]],SelectedPrecincts[Batch Name], 0)))</f>
        <v/>
      </c>
      <c r="AJ885" s="100">
        <f>IF(COUNTIF(SelectedPrecincts[Batch Name],SamplingData[[#This Row],[Batch by Type (p)]]) &lt;&gt; 0, COUNTIF(SelectedPrecincts[Batch Name],SamplingData[[#This Row],[Batch by Type (p)]]), 0)</f>
        <v>0</v>
      </c>
    </row>
    <row r="886" spans="1:36" ht="15" customHeight="1" x14ac:dyDescent="0.35">
      <c r="A886" s="97" t="s">
        <v>1099</v>
      </c>
      <c r="B886" s="97">
        <v>161</v>
      </c>
      <c r="C886" s="97">
        <v>384</v>
      </c>
      <c r="D886" s="92"/>
      <c r="E886" s="92"/>
      <c r="F886" s="92"/>
      <c r="G886" s="96"/>
      <c r="H886" s="96"/>
      <c r="I886" s="92"/>
      <c r="J886" s="92"/>
      <c r="K886" s="92"/>
      <c r="L886" s="92"/>
      <c r="M886" s="92"/>
      <c r="N886" s="97">
        <v>0</v>
      </c>
      <c r="O886" s="97">
        <v>39</v>
      </c>
      <c r="P886" s="98">
        <f>SUM(SamplingData[[#This Row],[Winning Candidate]:[Under Votes]])</f>
        <v>584</v>
      </c>
      <c r="Q886" s="99">
        <f>IF(AND(SamplingData[[#This Row],[Total]]&lt;&gt; 0, NOT(ISBLANK(SamplingData[[#This Row],[Losing Candidate]]))),(SamplingData[[#This Row],[Total]]+SamplingData[[#This Row],[Winning Candidate]]-SamplingData[[#This Row],[Losing Candidate]])/(SamplingData[[#Totals],[Winning Candidate]]-SamplingData[[#Totals],[Losing Candidate]]), 0)</f>
        <v>1.5319979629943982E-2</v>
      </c>
      <c r="R886" s="99">
        <f>IF(AND(SamplingData[[#This Row],[Total]]&lt;&gt; 0, NOT(ISBLANK(SamplingData[[#This Row],[Candidate 3]]))),(SamplingData[[#This Row],[Total]]+SamplingData[[#This Row],[Winning Candidate]]-SamplingData[[#This Row],[Candidate 3]])/(SamplingData[[#Totals],[Winning Candidate]]-SamplingData[[#Totals],[Candidate 3]]), 0)</f>
        <v>0</v>
      </c>
      <c r="S886" s="99">
        <f>IF(AND(SamplingData[[#This Row],[Total]]&lt;&gt; 0, NOT(ISBLANK(SamplingData[[#This Row],[Candidate 4]]))),(SamplingData[[#This Row],[Total]]+SamplingData[[#This Row],[Winning Candidate]]-SamplingData[[#This Row],[Candidate 4]])/(SamplingData[[#Totals],[Winning Candidate]]-SamplingData[[#Totals],[Candidate 4]]), 0)</f>
        <v>0</v>
      </c>
      <c r="T886" s="99">
        <f>IF(AND(SamplingData[[#This Row],[Total]]&lt;&gt; 0, NOT(ISBLANK(SamplingData[[#This Row],[Candidate 5]]))),(SamplingData[[#This Row],[Total]]+SamplingData[[#This Row],[Winning Candidate]]-SamplingData[[#This Row],[Candidate 5]])/(SamplingData[[#Totals],[Winning Candidate]]-SamplingData[[#Totals],[Candidate 5]]), 0)</f>
        <v>0</v>
      </c>
      <c r="U886" s="99">
        <f>IF(AND(SamplingData[[#This Row],[Total]]&lt;&gt; 0, NOT(ISBLANK(SamplingData[[#This Row],[Candidate 6]]))),(SamplingData[[#This Row],[Total]]+SamplingData[[#This Row],[Losing Candidate]]-SamplingData[[#This Row],[Candidate 6]])/(SamplingData[[#Totals],[Winning Candidate]]-SamplingData[[#Totals],[Candidate 6]]), 0)</f>
        <v>0</v>
      </c>
      <c r="V886" s="99">
        <f>IF(AND(SamplingData[[#This Row],[Total]]&lt;&gt; 0, NOT(ISBLANK(SamplingData[[#This Row],[Candidate 7]]))),(SamplingData[[#This Row],[Total]]+SamplingData[[#This Row],[Winning Candidate]]-SamplingData[[#This Row],[Candidate 7]])/(SamplingData[[#Totals],[Winning Candidate]]-SamplingData[[#Totals],[Candidate 7]]), 0)</f>
        <v>0</v>
      </c>
      <c r="W886" s="99">
        <f>IF(AND(SamplingData[[#This Row],[Total]]&lt;&gt; 0, NOT(ISBLANK(SamplingData[[#This Row],[Candidate 8]]))),(SamplingData[[#This Row],[Total]]+SamplingData[[#This Row],[Winning Candidate]]-SamplingData[[#This Row],[Candidate 8]])/(SamplingData[[#Totals],[Winning Candidate]]-SamplingData[[#Totals],[Candidate 8]]), 0)</f>
        <v>0</v>
      </c>
      <c r="X8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6" s="99">
        <f>MAX(SamplingData[[#This Row],[Error Bound (up) - Max. possible relative overstatement - Losing Candidate]:[Error Bound (up) - Max. possible relative overstatement - Candidate 12]])</f>
        <v>1.5319979629943982E-2</v>
      </c>
      <c r="AC886" s="99">
        <f>IF(SamplingData[[#This Row],[Max Error Bound (up)]] = 0,0,SamplingData[[#This Row],[Max Error Bound (up)]]/SamplingData[[#Totals],[Max Error Bound (up)]])</f>
        <v>8.2024575562584167E-4</v>
      </c>
      <c r="AD886" s="103">
        <f>SUM($AC$5:AC886)</f>
        <v>0.79803095575671867</v>
      </c>
      <c r="AE886" s="99" t="str" cm="1">
        <f t="array" ref="AE886">IF(SamplingData[[#This Row],[up/U Selection Probability]] = 0, "Zero", TEXT(SamplingData[[#This Row],[Lower Range]], REPT("0",LEN('General Info'!$B$42))) &amp; " - " &amp; TEXT(SamplingData[[#This Row],[Upper Range]], REPT("0",LEN('General Info'!$B$42))))</f>
        <v>797211 - 798030</v>
      </c>
      <c r="AF886" s="99">
        <f>SamplingData[[#This Row],[Upper Range]]-SamplingData[[#This Row],[Span]]</f>
        <v>797210.71000109275</v>
      </c>
      <c r="AG886" s="99">
        <f>IF(ISNUMBER('General Info'!$B$42), ((SamplingData[[#This Row],[up/U Selection Probability]]) * 'General Info'!$B$44) - 1, 0)</f>
        <v>819.24575562584164</v>
      </c>
      <c r="AH886" s="99">
        <f>IF(ISNUMBER('General Info'!$B$42), (SamplingData[[#This Row],[Running (cumulative) sum]] * ('General Info'!$B$42 -'General Info'!$B$43 + 1)) + 'General Info'!$B$43 - 1, 0)</f>
        <v>798029.95575671864</v>
      </c>
      <c r="AI886" s="99" t="str">
        <f>IF(ISERROR(MATCH(SamplingData[[#This Row],[Batch by Type (p)]],SelectedPrecincts[Batch Name], 0)), "", INDEX(SelectedPrecincts[Draw], MATCH(SamplingData[[#This Row],[Batch by Type (p)]],SelectedPrecincts[Batch Name], 0)))</f>
        <v/>
      </c>
      <c r="AJ886" s="100">
        <f>IF(COUNTIF(SelectedPrecincts[Batch Name],SamplingData[[#This Row],[Batch by Type (p)]]) &lt;&gt; 0, COUNTIF(SelectedPrecincts[Batch Name],SamplingData[[#This Row],[Batch by Type (p)]]), 0)</f>
        <v>0</v>
      </c>
    </row>
    <row r="887" spans="1:36" ht="15" customHeight="1" x14ac:dyDescent="0.35">
      <c r="A887" s="97" t="s">
        <v>1100</v>
      </c>
      <c r="B887" s="97">
        <v>197</v>
      </c>
      <c r="C887" s="97">
        <v>343</v>
      </c>
      <c r="D887" s="92"/>
      <c r="E887" s="92"/>
      <c r="F887" s="92"/>
      <c r="G887" s="96"/>
      <c r="H887" s="96"/>
      <c r="I887" s="92"/>
      <c r="J887" s="92"/>
      <c r="K887" s="92"/>
      <c r="L887" s="92"/>
      <c r="M887" s="92"/>
      <c r="N887" s="97">
        <v>0</v>
      </c>
      <c r="O887" s="97">
        <v>50</v>
      </c>
      <c r="P887" s="98">
        <f>SUM(SamplingData[[#This Row],[Winning Candidate]:[Under Votes]])</f>
        <v>590</v>
      </c>
      <c r="Q887" s="99">
        <f>IF(AND(SamplingData[[#This Row],[Total]]&lt;&gt; 0, NOT(ISBLANK(SamplingData[[#This Row],[Losing Candidate]]))),(SamplingData[[#This Row],[Total]]+SamplingData[[#This Row],[Winning Candidate]]-SamplingData[[#This Row],[Losing Candidate]])/(SamplingData[[#Totals],[Winning Candidate]]-SamplingData[[#Totals],[Losing Candidate]]), 0)</f>
        <v>1.8842301816329995E-2</v>
      </c>
      <c r="R887" s="99">
        <f>IF(AND(SamplingData[[#This Row],[Total]]&lt;&gt; 0, NOT(ISBLANK(SamplingData[[#This Row],[Candidate 3]]))),(SamplingData[[#This Row],[Total]]+SamplingData[[#This Row],[Winning Candidate]]-SamplingData[[#This Row],[Candidate 3]])/(SamplingData[[#Totals],[Winning Candidate]]-SamplingData[[#Totals],[Candidate 3]]), 0)</f>
        <v>0</v>
      </c>
      <c r="S887" s="99">
        <f>IF(AND(SamplingData[[#This Row],[Total]]&lt;&gt; 0, NOT(ISBLANK(SamplingData[[#This Row],[Candidate 4]]))),(SamplingData[[#This Row],[Total]]+SamplingData[[#This Row],[Winning Candidate]]-SamplingData[[#This Row],[Candidate 4]])/(SamplingData[[#Totals],[Winning Candidate]]-SamplingData[[#Totals],[Candidate 4]]), 0)</f>
        <v>0</v>
      </c>
      <c r="T887" s="99">
        <f>IF(AND(SamplingData[[#This Row],[Total]]&lt;&gt; 0, NOT(ISBLANK(SamplingData[[#This Row],[Candidate 5]]))),(SamplingData[[#This Row],[Total]]+SamplingData[[#This Row],[Winning Candidate]]-SamplingData[[#This Row],[Candidate 5]])/(SamplingData[[#Totals],[Winning Candidate]]-SamplingData[[#Totals],[Candidate 5]]), 0)</f>
        <v>0</v>
      </c>
      <c r="U887" s="99">
        <f>IF(AND(SamplingData[[#This Row],[Total]]&lt;&gt; 0, NOT(ISBLANK(SamplingData[[#This Row],[Candidate 6]]))),(SamplingData[[#This Row],[Total]]+SamplingData[[#This Row],[Losing Candidate]]-SamplingData[[#This Row],[Candidate 6]])/(SamplingData[[#Totals],[Winning Candidate]]-SamplingData[[#Totals],[Candidate 6]]), 0)</f>
        <v>0</v>
      </c>
      <c r="V887" s="99">
        <f>IF(AND(SamplingData[[#This Row],[Total]]&lt;&gt; 0, NOT(ISBLANK(SamplingData[[#This Row],[Candidate 7]]))),(SamplingData[[#This Row],[Total]]+SamplingData[[#This Row],[Winning Candidate]]-SamplingData[[#This Row],[Candidate 7]])/(SamplingData[[#Totals],[Winning Candidate]]-SamplingData[[#Totals],[Candidate 7]]), 0)</f>
        <v>0</v>
      </c>
      <c r="W887" s="99">
        <f>IF(AND(SamplingData[[#This Row],[Total]]&lt;&gt; 0, NOT(ISBLANK(SamplingData[[#This Row],[Candidate 8]]))),(SamplingData[[#This Row],[Total]]+SamplingData[[#This Row],[Winning Candidate]]-SamplingData[[#This Row],[Candidate 8]])/(SamplingData[[#Totals],[Winning Candidate]]-SamplingData[[#Totals],[Candidate 8]]), 0)</f>
        <v>0</v>
      </c>
      <c r="X8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7" s="99">
        <f>MAX(SamplingData[[#This Row],[Error Bound (up) - Max. possible relative overstatement - Losing Candidate]:[Error Bound (up) - Max. possible relative overstatement - Candidate 12]])</f>
        <v>1.8842301816329995E-2</v>
      </c>
      <c r="AC887" s="99">
        <f>IF(SamplingData[[#This Row],[Max Error Bound (up)]] = 0,0,SamplingData[[#This Row],[Max Error Bound (up)]]/SamplingData[[#Totals],[Max Error Bound (up)]])</f>
        <v>1.0088341149525589E-3</v>
      </c>
      <c r="AD887" s="103">
        <f>SUM($AC$5:AC887)</f>
        <v>0.79903978987167124</v>
      </c>
      <c r="AE887" s="99" t="str" cm="1">
        <f t="array" ref="AE887">IF(SamplingData[[#This Row],[up/U Selection Probability]] = 0, "Zero", TEXT(SamplingData[[#This Row],[Lower Range]], REPT("0",LEN('General Info'!$B$42))) &amp; " - " &amp; TEXT(SamplingData[[#This Row],[Upper Range]], REPT("0",LEN('General Info'!$B$42))))</f>
        <v>798031 - 799039</v>
      </c>
      <c r="AF887" s="99">
        <f>SamplingData[[#This Row],[Upper Range]]-SamplingData[[#This Row],[Span]]</f>
        <v>798030.95575671864</v>
      </c>
      <c r="AG887" s="99">
        <f>IF(ISNUMBER('General Info'!$B$42), ((SamplingData[[#This Row],[up/U Selection Probability]]) * 'General Info'!$B$44) - 1, 0)</f>
        <v>1007.8341149525588</v>
      </c>
      <c r="AH887" s="99">
        <f>IF(ISNUMBER('General Info'!$B$42), (SamplingData[[#This Row],[Running (cumulative) sum]] * ('General Info'!$B$42 -'General Info'!$B$43 + 1)) + 'General Info'!$B$43 - 1, 0)</f>
        <v>799038.78987167124</v>
      </c>
      <c r="AI887" s="99" t="str">
        <f>IF(ISERROR(MATCH(SamplingData[[#This Row],[Batch by Type (p)]],SelectedPrecincts[Batch Name], 0)), "", INDEX(SelectedPrecincts[Draw], MATCH(SamplingData[[#This Row],[Batch by Type (p)]],SelectedPrecincts[Batch Name], 0)))</f>
        <v/>
      </c>
      <c r="AJ887" s="100">
        <f>IF(COUNTIF(SelectedPrecincts[Batch Name],SamplingData[[#This Row],[Batch by Type (p)]]) &lt;&gt; 0, COUNTIF(SelectedPrecincts[Batch Name],SamplingData[[#This Row],[Batch by Type (p)]]), 0)</f>
        <v>0</v>
      </c>
    </row>
    <row r="888" spans="1:36" ht="15" customHeight="1" x14ac:dyDescent="0.35">
      <c r="A888" s="97" t="s">
        <v>1101</v>
      </c>
      <c r="B888" s="97">
        <v>236</v>
      </c>
      <c r="C888" s="97">
        <v>410</v>
      </c>
      <c r="D888" s="92"/>
      <c r="E888" s="92"/>
      <c r="F888" s="92"/>
      <c r="G888" s="96"/>
      <c r="H888" s="96"/>
      <c r="I888" s="92"/>
      <c r="J888" s="92"/>
      <c r="K888" s="92"/>
      <c r="L888" s="92"/>
      <c r="M888" s="92"/>
      <c r="N888" s="97">
        <v>1</v>
      </c>
      <c r="O888" s="97">
        <v>73</v>
      </c>
      <c r="P888" s="98">
        <f>SUM(SamplingData[[#This Row],[Winning Candidate]:[Under Votes]])</f>
        <v>720</v>
      </c>
      <c r="Q888" s="99">
        <f>IF(AND(SamplingData[[#This Row],[Total]]&lt;&gt; 0, NOT(ISBLANK(SamplingData[[#This Row],[Losing Candidate]]))),(SamplingData[[#This Row],[Total]]+SamplingData[[#This Row],[Winning Candidate]]-SamplingData[[#This Row],[Losing Candidate]])/(SamplingData[[#Totals],[Winning Candidate]]-SamplingData[[#Totals],[Losing Candidate]]), 0)</f>
        <v>2.3170938720081479E-2</v>
      </c>
      <c r="R888" s="99">
        <f>IF(AND(SamplingData[[#This Row],[Total]]&lt;&gt; 0, NOT(ISBLANK(SamplingData[[#This Row],[Candidate 3]]))),(SamplingData[[#This Row],[Total]]+SamplingData[[#This Row],[Winning Candidate]]-SamplingData[[#This Row],[Candidate 3]])/(SamplingData[[#Totals],[Winning Candidate]]-SamplingData[[#Totals],[Candidate 3]]), 0)</f>
        <v>0</v>
      </c>
      <c r="S888" s="99">
        <f>IF(AND(SamplingData[[#This Row],[Total]]&lt;&gt; 0, NOT(ISBLANK(SamplingData[[#This Row],[Candidate 4]]))),(SamplingData[[#This Row],[Total]]+SamplingData[[#This Row],[Winning Candidate]]-SamplingData[[#This Row],[Candidate 4]])/(SamplingData[[#Totals],[Winning Candidate]]-SamplingData[[#Totals],[Candidate 4]]), 0)</f>
        <v>0</v>
      </c>
      <c r="T888" s="99">
        <f>IF(AND(SamplingData[[#This Row],[Total]]&lt;&gt; 0, NOT(ISBLANK(SamplingData[[#This Row],[Candidate 5]]))),(SamplingData[[#This Row],[Total]]+SamplingData[[#This Row],[Winning Candidate]]-SamplingData[[#This Row],[Candidate 5]])/(SamplingData[[#Totals],[Winning Candidate]]-SamplingData[[#Totals],[Candidate 5]]), 0)</f>
        <v>0</v>
      </c>
      <c r="U888" s="99">
        <f>IF(AND(SamplingData[[#This Row],[Total]]&lt;&gt; 0, NOT(ISBLANK(SamplingData[[#This Row],[Candidate 6]]))),(SamplingData[[#This Row],[Total]]+SamplingData[[#This Row],[Losing Candidate]]-SamplingData[[#This Row],[Candidate 6]])/(SamplingData[[#Totals],[Winning Candidate]]-SamplingData[[#Totals],[Candidate 6]]), 0)</f>
        <v>0</v>
      </c>
      <c r="V888" s="99">
        <f>IF(AND(SamplingData[[#This Row],[Total]]&lt;&gt; 0, NOT(ISBLANK(SamplingData[[#This Row],[Candidate 7]]))),(SamplingData[[#This Row],[Total]]+SamplingData[[#This Row],[Winning Candidate]]-SamplingData[[#This Row],[Candidate 7]])/(SamplingData[[#Totals],[Winning Candidate]]-SamplingData[[#Totals],[Candidate 7]]), 0)</f>
        <v>0</v>
      </c>
      <c r="W888" s="99">
        <f>IF(AND(SamplingData[[#This Row],[Total]]&lt;&gt; 0, NOT(ISBLANK(SamplingData[[#This Row],[Candidate 8]]))),(SamplingData[[#This Row],[Total]]+SamplingData[[#This Row],[Winning Candidate]]-SamplingData[[#This Row],[Candidate 8]])/(SamplingData[[#Totals],[Winning Candidate]]-SamplingData[[#Totals],[Candidate 8]]), 0)</f>
        <v>0</v>
      </c>
      <c r="X8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8" s="99">
        <f>MAX(SamplingData[[#This Row],[Error Bound (up) - Max. possible relative overstatement - Losing Candidate]:[Error Bound (up) - Max. possible relative overstatement - Candidate 12]])</f>
        <v>2.3170938720081479E-2</v>
      </c>
      <c r="AC888" s="99">
        <f>IF(SamplingData[[#This Row],[Max Error Bound (up)]] = 0,0,SamplingData[[#This Row],[Max Error Bound (up)]]/SamplingData[[#Totals],[Max Error Bound (up)]])</f>
        <v>1.2405933035227411E-3</v>
      </c>
      <c r="AD888" s="103">
        <f>SUM($AC$5:AC888)</f>
        <v>0.80028038317519401</v>
      </c>
      <c r="AE888" s="99" t="str" cm="1">
        <f t="array" ref="AE888">IF(SamplingData[[#This Row],[up/U Selection Probability]] = 0, "Zero", TEXT(SamplingData[[#This Row],[Lower Range]], REPT("0",LEN('General Info'!$B$42))) &amp; " - " &amp; TEXT(SamplingData[[#This Row],[Upper Range]], REPT("0",LEN('General Info'!$B$42))))</f>
        <v>799040 - 800279</v>
      </c>
      <c r="AF888" s="99">
        <f>SamplingData[[#This Row],[Upper Range]]-SamplingData[[#This Row],[Span]]</f>
        <v>799039.78987167124</v>
      </c>
      <c r="AG888" s="99">
        <f>IF(ISNUMBER('General Info'!$B$42), ((SamplingData[[#This Row],[up/U Selection Probability]]) * 'General Info'!$B$44) - 1, 0)</f>
        <v>1239.5933035227411</v>
      </c>
      <c r="AH888" s="99">
        <f>IF(ISNUMBER('General Info'!$B$42), (SamplingData[[#This Row],[Running (cumulative) sum]] * ('General Info'!$B$42 -'General Info'!$B$43 + 1)) + 'General Info'!$B$43 - 1, 0)</f>
        <v>800279.38317519403</v>
      </c>
      <c r="AI888" s="99" t="str">
        <f>IF(ISERROR(MATCH(SamplingData[[#This Row],[Batch by Type (p)]],SelectedPrecincts[Batch Name], 0)), "", INDEX(SelectedPrecincts[Draw], MATCH(SamplingData[[#This Row],[Batch by Type (p)]],SelectedPrecincts[Batch Name], 0)))</f>
        <v/>
      </c>
      <c r="AJ888" s="100">
        <f>IF(COUNTIF(SelectedPrecincts[Batch Name],SamplingData[[#This Row],[Batch by Type (p)]]) &lt;&gt; 0, COUNTIF(SelectedPrecincts[Batch Name],SamplingData[[#This Row],[Batch by Type (p)]]), 0)</f>
        <v>0</v>
      </c>
    </row>
    <row r="889" spans="1:36" ht="15" customHeight="1" x14ac:dyDescent="0.35">
      <c r="A889" s="97" t="s">
        <v>1102</v>
      </c>
      <c r="B889" s="97">
        <v>209</v>
      </c>
      <c r="C889" s="97">
        <v>358</v>
      </c>
      <c r="D889" s="92"/>
      <c r="E889" s="92"/>
      <c r="F889" s="92"/>
      <c r="G889" s="96"/>
      <c r="H889" s="96"/>
      <c r="I889" s="92"/>
      <c r="J889" s="92"/>
      <c r="K889" s="92"/>
      <c r="L889" s="92"/>
      <c r="M889" s="92"/>
      <c r="N889" s="97">
        <v>0</v>
      </c>
      <c r="O889" s="97">
        <v>45</v>
      </c>
      <c r="P889" s="98">
        <f>SUM(SamplingData[[#This Row],[Winning Candidate]:[Under Votes]])</f>
        <v>612</v>
      </c>
      <c r="Q889" s="99">
        <f>IF(AND(SamplingData[[#This Row],[Total]]&lt;&gt; 0, NOT(ISBLANK(SamplingData[[#This Row],[Losing Candidate]]))),(SamplingData[[#This Row],[Total]]+SamplingData[[#This Row],[Winning Candidate]]-SamplingData[[#This Row],[Losing Candidate]])/(SamplingData[[#Totals],[Winning Candidate]]-SamplingData[[#Totals],[Losing Candidate]]), 0)</f>
        <v>1.9648616533695467E-2</v>
      </c>
      <c r="R889" s="99">
        <f>IF(AND(SamplingData[[#This Row],[Total]]&lt;&gt; 0, NOT(ISBLANK(SamplingData[[#This Row],[Candidate 3]]))),(SamplingData[[#This Row],[Total]]+SamplingData[[#This Row],[Winning Candidate]]-SamplingData[[#This Row],[Candidate 3]])/(SamplingData[[#Totals],[Winning Candidate]]-SamplingData[[#Totals],[Candidate 3]]), 0)</f>
        <v>0</v>
      </c>
      <c r="S889" s="99">
        <f>IF(AND(SamplingData[[#This Row],[Total]]&lt;&gt; 0, NOT(ISBLANK(SamplingData[[#This Row],[Candidate 4]]))),(SamplingData[[#This Row],[Total]]+SamplingData[[#This Row],[Winning Candidate]]-SamplingData[[#This Row],[Candidate 4]])/(SamplingData[[#Totals],[Winning Candidate]]-SamplingData[[#Totals],[Candidate 4]]), 0)</f>
        <v>0</v>
      </c>
      <c r="T889" s="99">
        <f>IF(AND(SamplingData[[#This Row],[Total]]&lt;&gt; 0, NOT(ISBLANK(SamplingData[[#This Row],[Candidate 5]]))),(SamplingData[[#This Row],[Total]]+SamplingData[[#This Row],[Winning Candidate]]-SamplingData[[#This Row],[Candidate 5]])/(SamplingData[[#Totals],[Winning Candidate]]-SamplingData[[#Totals],[Candidate 5]]), 0)</f>
        <v>0</v>
      </c>
      <c r="U889" s="99">
        <f>IF(AND(SamplingData[[#This Row],[Total]]&lt;&gt; 0, NOT(ISBLANK(SamplingData[[#This Row],[Candidate 6]]))),(SamplingData[[#This Row],[Total]]+SamplingData[[#This Row],[Losing Candidate]]-SamplingData[[#This Row],[Candidate 6]])/(SamplingData[[#Totals],[Winning Candidate]]-SamplingData[[#Totals],[Candidate 6]]), 0)</f>
        <v>0</v>
      </c>
      <c r="V889" s="99">
        <f>IF(AND(SamplingData[[#This Row],[Total]]&lt;&gt; 0, NOT(ISBLANK(SamplingData[[#This Row],[Candidate 7]]))),(SamplingData[[#This Row],[Total]]+SamplingData[[#This Row],[Winning Candidate]]-SamplingData[[#This Row],[Candidate 7]])/(SamplingData[[#Totals],[Winning Candidate]]-SamplingData[[#Totals],[Candidate 7]]), 0)</f>
        <v>0</v>
      </c>
      <c r="W889" s="99">
        <f>IF(AND(SamplingData[[#This Row],[Total]]&lt;&gt; 0, NOT(ISBLANK(SamplingData[[#This Row],[Candidate 8]]))),(SamplingData[[#This Row],[Total]]+SamplingData[[#This Row],[Winning Candidate]]-SamplingData[[#This Row],[Candidate 8]])/(SamplingData[[#Totals],[Winning Candidate]]-SamplingData[[#Totals],[Candidate 8]]), 0)</f>
        <v>0</v>
      </c>
      <c r="X8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9" s="99">
        <f>MAX(SamplingData[[#This Row],[Error Bound (up) - Max. possible relative overstatement - Losing Candidate]:[Error Bound (up) - Max. possible relative overstatement - Candidate 12]])</f>
        <v>1.9648616533695467E-2</v>
      </c>
      <c r="AC889" s="99">
        <f>IF(SamplingData[[#This Row],[Max Error Bound (up)]] = 0,0,SamplingData[[#This Row],[Max Error Bound (up)]]/SamplingData[[#Totals],[Max Error Bound (up)]])</f>
        <v>1.0520049441960241E-3</v>
      </c>
      <c r="AD889" s="103">
        <f>SUM($AC$5:AC889)</f>
        <v>0.80133238811939</v>
      </c>
      <c r="AE889" s="99" t="str" cm="1">
        <f t="array" ref="AE889">IF(SamplingData[[#This Row],[up/U Selection Probability]] = 0, "Zero", TEXT(SamplingData[[#This Row],[Lower Range]], REPT("0",LEN('General Info'!$B$42))) &amp; " - " &amp; TEXT(SamplingData[[#This Row],[Upper Range]], REPT("0",LEN('General Info'!$B$42))))</f>
        <v>800280 - 801331</v>
      </c>
      <c r="AF889" s="99">
        <f>SamplingData[[#This Row],[Upper Range]]-SamplingData[[#This Row],[Span]]</f>
        <v>800280.38317519403</v>
      </c>
      <c r="AG889" s="99">
        <f>IF(ISNUMBER('General Info'!$B$42), ((SamplingData[[#This Row],[up/U Selection Probability]]) * 'General Info'!$B$44) - 1, 0)</f>
        <v>1051.0049441960241</v>
      </c>
      <c r="AH889" s="99">
        <f>IF(ISNUMBER('General Info'!$B$42), (SamplingData[[#This Row],[Running (cumulative) sum]] * ('General Info'!$B$42 -'General Info'!$B$43 + 1)) + 'General Info'!$B$43 - 1, 0)</f>
        <v>801331.38811939</v>
      </c>
      <c r="AI889" s="99" t="str">
        <f>IF(ISERROR(MATCH(SamplingData[[#This Row],[Batch by Type (p)]],SelectedPrecincts[Batch Name], 0)), "", INDEX(SelectedPrecincts[Draw], MATCH(SamplingData[[#This Row],[Batch by Type (p)]],SelectedPrecincts[Batch Name], 0)))</f>
        <v/>
      </c>
      <c r="AJ889" s="100">
        <f>IF(COUNTIF(SelectedPrecincts[Batch Name],SamplingData[[#This Row],[Batch by Type (p)]]) &lt;&gt; 0, COUNTIF(SelectedPrecincts[Batch Name],SamplingData[[#This Row],[Batch by Type (p)]]), 0)</f>
        <v>0</v>
      </c>
    </row>
    <row r="890" spans="1:36" ht="15" customHeight="1" x14ac:dyDescent="0.35">
      <c r="A890" s="97" t="s">
        <v>1103</v>
      </c>
      <c r="B890" s="97">
        <v>203</v>
      </c>
      <c r="C890" s="97">
        <v>326</v>
      </c>
      <c r="D890" s="92"/>
      <c r="E890" s="92"/>
      <c r="F890" s="92"/>
      <c r="G890" s="96"/>
      <c r="H890" s="96"/>
      <c r="I890" s="92"/>
      <c r="J890" s="92"/>
      <c r="K890" s="92"/>
      <c r="L890" s="92"/>
      <c r="M890" s="92"/>
      <c r="N890" s="97">
        <v>0</v>
      </c>
      <c r="O890" s="97">
        <v>33</v>
      </c>
      <c r="P890" s="98">
        <f>SUM(SamplingData[[#This Row],[Winning Candidate]:[Under Votes]])</f>
        <v>562</v>
      </c>
      <c r="Q890" s="99">
        <f>IF(AND(SamplingData[[#This Row],[Total]]&lt;&gt; 0, NOT(ISBLANK(SamplingData[[#This Row],[Losing Candidate]]))),(SamplingData[[#This Row],[Total]]+SamplingData[[#This Row],[Winning Candidate]]-SamplingData[[#This Row],[Losing Candidate]])/(SamplingData[[#Totals],[Winning Candidate]]-SamplingData[[#Totals],[Losing Candidate]]), 0)</f>
        <v>1.8630113732812766E-2</v>
      </c>
      <c r="R890" s="99">
        <f>IF(AND(SamplingData[[#This Row],[Total]]&lt;&gt; 0, NOT(ISBLANK(SamplingData[[#This Row],[Candidate 3]]))),(SamplingData[[#This Row],[Total]]+SamplingData[[#This Row],[Winning Candidate]]-SamplingData[[#This Row],[Candidate 3]])/(SamplingData[[#Totals],[Winning Candidate]]-SamplingData[[#Totals],[Candidate 3]]), 0)</f>
        <v>0</v>
      </c>
      <c r="S890" s="99">
        <f>IF(AND(SamplingData[[#This Row],[Total]]&lt;&gt; 0, NOT(ISBLANK(SamplingData[[#This Row],[Candidate 4]]))),(SamplingData[[#This Row],[Total]]+SamplingData[[#This Row],[Winning Candidate]]-SamplingData[[#This Row],[Candidate 4]])/(SamplingData[[#Totals],[Winning Candidate]]-SamplingData[[#Totals],[Candidate 4]]), 0)</f>
        <v>0</v>
      </c>
      <c r="T890" s="99">
        <f>IF(AND(SamplingData[[#This Row],[Total]]&lt;&gt; 0, NOT(ISBLANK(SamplingData[[#This Row],[Candidate 5]]))),(SamplingData[[#This Row],[Total]]+SamplingData[[#This Row],[Winning Candidate]]-SamplingData[[#This Row],[Candidate 5]])/(SamplingData[[#Totals],[Winning Candidate]]-SamplingData[[#Totals],[Candidate 5]]), 0)</f>
        <v>0</v>
      </c>
      <c r="U890" s="99">
        <f>IF(AND(SamplingData[[#This Row],[Total]]&lt;&gt; 0, NOT(ISBLANK(SamplingData[[#This Row],[Candidate 6]]))),(SamplingData[[#This Row],[Total]]+SamplingData[[#This Row],[Losing Candidate]]-SamplingData[[#This Row],[Candidate 6]])/(SamplingData[[#Totals],[Winning Candidate]]-SamplingData[[#Totals],[Candidate 6]]), 0)</f>
        <v>0</v>
      </c>
      <c r="V890" s="99">
        <f>IF(AND(SamplingData[[#This Row],[Total]]&lt;&gt; 0, NOT(ISBLANK(SamplingData[[#This Row],[Candidate 7]]))),(SamplingData[[#This Row],[Total]]+SamplingData[[#This Row],[Winning Candidate]]-SamplingData[[#This Row],[Candidate 7]])/(SamplingData[[#Totals],[Winning Candidate]]-SamplingData[[#Totals],[Candidate 7]]), 0)</f>
        <v>0</v>
      </c>
      <c r="W890" s="99">
        <f>IF(AND(SamplingData[[#This Row],[Total]]&lt;&gt; 0, NOT(ISBLANK(SamplingData[[#This Row],[Candidate 8]]))),(SamplingData[[#This Row],[Total]]+SamplingData[[#This Row],[Winning Candidate]]-SamplingData[[#This Row],[Candidate 8]])/(SamplingData[[#Totals],[Winning Candidate]]-SamplingData[[#Totals],[Candidate 8]]), 0)</f>
        <v>0</v>
      </c>
      <c r="X8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0" s="99">
        <f>MAX(SamplingData[[#This Row],[Error Bound (up) - Max. possible relative overstatement - Losing Candidate]:[Error Bound (up) - Max. possible relative overstatement - Candidate 12]])</f>
        <v>1.8630113732812766E-2</v>
      </c>
      <c r="AC890" s="99">
        <f>IF(SamplingData[[#This Row],[Max Error Bound (up)]] = 0,0,SamplingData[[#This Row],[Max Error Bound (up)]]/SamplingData[[#Totals],[Max Error Bound (up)]])</f>
        <v>9.9747337041480475E-4</v>
      </c>
      <c r="AD890" s="103">
        <f>SUM($AC$5:AC890)</f>
        <v>0.80232986148980479</v>
      </c>
      <c r="AE890" s="99" t="str" cm="1">
        <f t="array" ref="AE890">IF(SamplingData[[#This Row],[up/U Selection Probability]] = 0, "Zero", TEXT(SamplingData[[#This Row],[Lower Range]], REPT("0",LEN('General Info'!$B$42))) &amp; " - " &amp; TEXT(SamplingData[[#This Row],[Upper Range]], REPT("0",LEN('General Info'!$B$42))))</f>
        <v>801332 - 802329</v>
      </c>
      <c r="AF890" s="99">
        <f>SamplingData[[#This Row],[Upper Range]]-SamplingData[[#This Row],[Span]]</f>
        <v>801332.38811939</v>
      </c>
      <c r="AG890" s="99">
        <f>IF(ISNUMBER('General Info'!$B$42), ((SamplingData[[#This Row],[up/U Selection Probability]]) * 'General Info'!$B$44) - 1, 0)</f>
        <v>996.47337041480478</v>
      </c>
      <c r="AH890" s="99">
        <f>IF(ISNUMBER('General Info'!$B$42), (SamplingData[[#This Row],[Running (cumulative) sum]] * ('General Info'!$B$42 -'General Info'!$B$43 + 1)) + 'General Info'!$B$43 - 1, 0)</f>
        <v>802328.86148980481</v>
      </c>
      <c r="AI890" s="99" t="str">
        <f>IF(ISERROR(MATCH(SamplingData[[#This Row],[Batch by Type (p)]],SelectedPrecincts[Batch Name], 0)), "", INDEX(SelectedPrecincts[Draw], MATCH(SamplingData[[#This Row],[Batch by Type (p)]],SelectedPrecincts[Batch Name], 0)))</f>
        <v/>
      </c>
      <c r="AJ890" s="100">
        <f>IF(COUNTIF(SelectedPrecincts[Batch Name],SamplingData[[#This Row],[Batch by Type (p)]]) &lt;&gt; 0, COUNTIF(SelectedPrecincts[Batch Name],SamplingData[[#This Row],[Batch by Type (p)]]), 0)</f>
        <v>0</v>
      </c>
    </row>
    <row r="891" spans="1:36" ht="15" customHeight="1" x14ac:dyDescent="0.35">
      <c r="A891" s="97" t="s">
        <v>1104</v>
      </c>
      <c r="B891" s="97">
        <v>150</v>
      </c>
      <c r="C891" s="97">
        <v>315</v>
      </c>
      <c r="D891" s="92"/>
      <c r="E891" s="92"/>
      <c r="F891" s="92"/>
      <c r="G891" s="96"/>
      <c r="H891" s="96"/>
      <c r="I891" s="92"/>
      <c r="J891" s="92"/>
      <c r="K891" s="92"/>
      <c r="L891" s="92"/>
      <c r="M891" s="92"/>
      <c r="N891" s="97">
        <v>0</v>
      </c>
      <c r="O891" s="97">
        <v>40</v>
      </c>
      <c r="P891" s="98">
        <f>SUM(SamplingData[[#This Row],[Winning Candidate]:[Under Votes]])</f>
        <v>505</v>
      </c>
      <c r="Q891" s="99">
        <f>IF(AND(SamplingData[[#This Row],[Total]]&lt;&gt; 0, NOT(ISBLANK(SamplingData[[#This Row],[Losing Candidate]]))),(SamplingData[[#This Row],[Total]]+SamplingData[[#This Row],[Winning Candidate]]-SamplingData[[#This Row],[Losing Candidate]])/(SamplingData[[#Totals],[Winning Candidate]]-SamplingData[[#Totals],[Losing Candidate]]), 0)</f>
        <v>1.4428789679171617E-2</v>
      </c>
      <c r="R891" s="99">
        <f>IF(AND(SamplingData[[#This Row],[Total]]&lt;&gt; 0, NOT(ISBLANK(SamplingData[[#This Row],[Candidate 3]]))),(SamplingData[[#This Row],[Total]]+SamplingData[[#This Row],[Winning Candidate]]-SamplingData[[#This Row],[Candidate 3]])/(SamplingData[[#Totals],[Winning Candidate]]-SamplingData[[#Totals],[Candidate 3]]), 0)</f>
        <v>0</v>
      </c>
      <c r="S891" s="99">
        <f>IF(AND(SamplingData[[#This Row],[Total]]&lt;&gt; 0, NOT(ISBLANK(SamplingData[[#This Row],[Candidate 4]]))),(SamplingData[[#This Row],[Total]]+SamplingData[[#This Row],[Winning Candidate]]-SamplingData[[#This Row],[Candidate 4]])/(SamplingData[[#Totals],[Winning Candidate]]-SamplingData[[#Totals],[Candidate 4]]), 0)</f>
        <v>0</v>
      </c>
      <c r="T891" s="99">
        <f>IF(AND(SamplingData[[#This Row],[Total]]&lt;&gt; 0, NOT(ISBLANK(SamplingData[[#This Row],[Candidate 5]]))),(SamplingData[[#This Row],[Total]]+SamplingData[[#This Row],[Winning Candidate]]-SamplingData[[#This Row],[Candidate 5]])/(SamplingData[[#Totals],[Winning Candidate]]-SamplingData[[#Totals],[Candidate 5]]), 0)</f>
        <v>0</v>
      </c>
      <c r="U891" s="99">
        <f>IF(AND(SamplingData[[#This Row],[Total]]&lt;&gt; 0, NOT(ISBLANK(SamplingData[[#This Row],[Candidate 6]]))),(SamplingData[[#This Row],[Total]]+SamplingData[[#This Row],[Losing Candidate]]-SamplingData[[#This Row],[Candidate 6]])/(SamplingData[[#Totals],[Winning Candidate]]-SamplingData[[#Totals],[Candidate 6]]), 0)</f>
        <v>0</v>
      </c>
      <c r="V891" s="99">
        <f>IF(AND(SamplingData[[#This Row],[Total]]&lt;&gt; 0, NOT(ISBLANK(SamplingData[[#This Row],[Candidate 7]]))),(SamplingData[[#This Row],[Total]]+SamplingData[[#This Row],[Winning Candidate]]-SamplingData[[#This Row],[Candidate 7]])/(SamplingData[[#Totals],[Winning Candidate]]-SamplingData[[#Totals],[Candidate 7]]), 0)</f>
        <v>0</v>
      </c>
      <c r="W891" s="99">
        <f>IF(AND(SamplingData[[#This Row],[Total]]&lt;&gt; 0, NOT(ISBLANK(SamplingData[[#This Row],[Candidate 8]]))),(SamplingData[[#This Row],[Total]]+SamplingData[[#This Row],[Winning Candidate]]-SamplingData[[#This Row],[Candidate 8]])/(SamplingData[[#Totals],[Winning Candidate]]-SamplingData[[#Totals],[Candidate 8]]), 0)</f>
        <v>0</v>
      </c>
      <c r="X8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1" s="99">
        <f>MAX(SamplingData[[#This Row],[Error Bound (up) - Max. possible relative overstatement - Losing Candidate]:[Error Bound (up) - Max. possible relative overstatement - Candidate 12]])</f>
        <v>1.4428789679171617E-2</v>
      </c>
      <c r="AC891" s="99">
        <f>IF(SamplingData[[#This Row],[Max Error Bound (up)]] = 0,0,SamplingData[[#This Row],[Max Error Bound (up)]]/SamplingData[[#Totals],[Max Error Bound (up)]])</f>
        <v>7.7253062856727473E-4</v>
      </c>
      <c r="AD891" s="103">
        <f>SUM($AC$5:AC891)</f>
        <v>0.80310239211837209</v>
      </c>
      <c r="AE891" s="99" t="str" cm="1">
        <f t="array" ref="AE891">IF(SamplingData[[#This Row],[up/U Selection Probability]] = 0, "Zero", TEXT(SamplingData[[#This Row],[Lower Range]], REPT("0",LEN('General Info'!$B$42))) &amp; " - " &amp; TEXT(SamplingData[[#This Row],[Upper Range]], REPT("0",LEN('General Info'!$B$42))))</f>
        <v>802330 - 803101</v>
      </c>
      <c r="AF891" s="99">
        <f>SamplingData[[#This Row],[Upper Range]]-SamplingData[[#This Row],[Span]]</f>
        <v>802329.86148980481</v>
      </c>
      <c r="AG891" s="99">
        <f>IF(ISNUMBER('General Info'!$B$42), ((SamplingData[[#This Row],[up/U Selection Probability]]) * 'General Info'!$B$44) - 1, 0)</f>
        <v>771.53062856727468</v>
      </c>
      <c r="AH891" s="99">
        <f>IF(ISNUMBER('General Info'!$B$42), (SamplingData[[#This Row],[Running (cumulative) sum]] * ('General Info'!$B$42 -'General Info'!$B$43 + 1)) + 'General Info'!$B$43 - 1, 0)</f>
        <v>803101.39211837214</v>
      </c>
      <c r="AI891" s="99" t="str">
        <f>IF(ISERROR(MATCH(SamplingData[[#This Row],[Batch by Type (p)]],SelectedPrecincts[Batch Name], 0)), "", INDEX(SelectedPrecincts[Draw], MATCH(SamplingData[[#This Row],[Batch by Type (p)]],SelectedPrecincts[Batch Name], 0)))</f>
        <v/>
      </c>
      <c r="AJ891" s="100">
        <f>IF(COUNTIF(SelectedPrecincts[Batch Name],SamplingData[[#This Row],[Batch by Type (p)]]) &lt;&gt; 0, COUNTIF(SelectedPrecincts[Batch Name],SamplingData[[#This Row],[Batch by Type (p)]]), 0)</f>
        <v>0</v>
      </c>
    </row>
    <row r="892" spans="1:36" ht="15" customHeight="1" x14ac:dyDescent="0.35">
      <c r="A892" s="97" t="s">
        <v>1105</v>
      </c>
      <c r="B892" s="97">
        <v>289</v>
      </c>
      <c r="C892" s="97">
        <v>416</v>
      </c>
      <c r="D892" s="92"/>
      <c r="E892" s="92"/>
      <c r="F892" s="92"/>
      <c r="G892" s="96"/>
      <c r="H892" s="96"/>
      <c r="I892" s="92"/>
      <c r="J892" s="92"/>
      <c r="K892" s="92"/>
      <c r="L892" s="92"/>
      <c r="M892" s="92"/>
      <c r="N892" s="97">
        <v>0</v>
      </c>
      <c r="O892" s="97">
        <v>55</v>
      </c>
      <c r="P892" s="98">
        <f>SUM(SamplingData[[#This Row],[Winning Candidate]:[Under Votes]])</f>
        <v>760</v>
      </c>
      <c r="Q892" s="99">
        <f>IF(AND(SamplingData[[#This Row],[Total]]&lt;&gt; 0, NOT(ISBLANK(SamplingData[[#This Row],[Losing Candidate]]))),(SamplingData[[#This Row],[Total]]+SamplingData[[#This Row],[Winning Candidate]]-SamplingData[[#This Row],[Losing Candidate]])/(SamplingData[[#Totals],[Winning Candidate]]-SamplingData[[#Totals],[Losing Candidate]]), 0)</f>
        <v>2.6863011373281277E-2</v>
      </c>
      <c r="R892" s="99">
        <f>IF(AND(SamplingData[[#This Row],[Total]]&lt;&gt; 0, NOT(ISBLANK(SamplingData[[#This Row],[Candidate 3]]))),(SamplingData[[#This Row],[Total]]+SamplingData[[#This Row],[Winning Candidate]]-SamplingData[[#This Row],[Candidate 3]])/(SamplingData[[#Totals],[Winning Candidate]]-SamplingData[[#Totals],[Candidate 3]]), 0)</f>
        <v>0</v>
      </c>
      <c r="S892" s="99">
        <f>IF(AND(SamplingData[[#This Row],[Total]]&lt;&gt; 0, NOT(ISBLANK(SamplingData[[#This Row],[Candidate 4]]))),(SamplingData[[#This Row],[Total]]+SamplingData[[#This Row],[Winning Candidate]]-SamplingData[[#This Row],[Candidate 4]])/(SamplingData[[#Totals],[Winning Candidate]]-SamplingData[[#Totals],[Candidate 4]]), 0)</f>
        <v>0</v>
      </c>
      <c r="T892" s="99">
        <f>IF(AND(SamplingData[[#This Row],[Total]]&lt;&gt; 0, NOT(ISBLANK(SamplingData[[#This Row],[Candidate 5]]))),(SamplingData[[#This Row],[Total]]+SamplingData[[#This Row],[Winning Candidate]]-SamplingData[[#This Row],[Candidate 5]])/(SamplingData[[#Totals],[Winning Candidate]]-SamplingData[[#Totals],[Candidate 5]]), 0)</f>
        <v>0</v>
      </c>
      <c r="U892" s="99">
        <f>IF(AND(SamplingData[[#This Row],[Total]]&lt;&gt; 0, NOT(ISBLANK(SamplingData[[#This Row],[Candidate 6]]))),(SamplingData[[#This Row],[Total]]+SamplingData[[#This Row],[Losing Candidate]]-SamplingData[[#This Row],[Candidate 6]])/(SamplingData[[#Totals],[Winning Candidate]]-SamplingData[[#Totals],[Candidate 6]]), 0)</f>
        <v>0</v>
      </c>
      <c r="V892" s="99">
        <f>IF(AND(SamplingData[[#This Row],[Total]]&lt;&gt; 0, NOT(ISBLANK(SamplingData[[#This Row],[Candidate 7]]))),(SamplingData[[#This Row],[Total]]+SamplingData[[#This Row],[Winning Candidate]]-SamplingData[[#This Row],[Candidate 7]])/(SamplingData[[#Totals],[Winning Candidate]]-SamplingData[[#Totals],[Candidate 7]]), 0)</f>
        <v>0</v>
      </c>
      <c r="W892" s="99">
        <f>IF(AND(SamplingData[[#This Row],[Total]]&lt;&gt; 0, NOT(ISBLANK(SamplingData[[#This Row],[Candidate 8]]))),(SamplingData[[#This Row],[Total]]+SamplingData[[#This Row],[Winning Candidate]]-SamplingData[[#This Row],[Candidate 8]])/(SamplingData[[#Totals],[Winning Candidate]]-SamplingData[[#Totals],[Candidate 8]]), 0)</f>
        <v>0</v>
      </c>
      <c r="X8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2" s="99">
        <f>MAX(SamplingData[[#This Row],[Error Bound (up) - Max. possible relative overstatement - Losing Candidate]:[Error Bound (up) - Max. possible relative overstatement - Candidate 12]])</f>
        <v>2.6863011373281277E-2</v>
      </c>
      <c r="AC892" s="99">
        <f>IF(SamplingData[[#This Row],[Max Error Bound (up)]] = 0,0,SamplingData[[#This Row],[Max Error Bound (up)]]/SamplingData[[#Totals],[Max Error Bound (up)]])</f>
        <v>1.4382702584796615E-3</v>
      </c>
      <c r="AD892" s="103">
        <f>SUM($AC$5:AC892)</f>
        <v>0.80454066237685173</v>
      </c>
      <c r="AE892" s="99" t="str" cm="1">
        <f t="array" ref="AE892">IF(SamplingData[[#This Row],[up/U Selection Probability]] = 0, "Zero", TEXT(SamplingData[[#This Row],[Lower Range]], REPT("0",LEN('General Info'!$B$42))) &amp; " - " &amp; TEXT(SamplingData[[#This Row],[Upper Range]], REPT("0",LEN('General Info'!$B$42))))</f>
        <v>803102 - 804540</v>
      </c>
      <c r="AF892" s="99">
        <f>SamplingData[[#This Row],[Upper Range]]-SamplingData[[#This Row],[Span]]</f>
        <v>803102.39211837214</v>
      </c>
      <c r="AG892" s="99">
        <f>IF(ISNUMBER('General Info'!$B$42), ((SamplingData[[#This Row],[up/U Selection Probability]]) * 'General Info'!$B$44) - 1, 0)</f>
        <v>1437.2702584796614</v>
      </c>
      <c r="AH892" s="99">
        <f>IF(ISNUMBER('General Info'!$B$42), (SamplingData[[#This Row],[Running (cumulative) sum]] * ('General Info'!$B$42 -'General Info'!$B$43 + 1)) + 'General Info'!$B$43 - 1, 0)</f>
        <v>804539.66237685177</v>
      </c>
      <c r="AI892" s="99" t="str">
        <f>IF(ISERROR(MATCH(SamplingData[[#This Row],[Batch by Type (p)]],SelectedPrecincts[Batch Name], 0)), "", INDEX(SelectedPrecincts[Draw], MATCH(SamplingData[[#This Row],[Batch by Type (p)]],SelectedPrecincts[Batch Name], 0)))</f>
        <v/>
      </c>
      <c r="AJ892" s="100">
        <f>IF(COUNTIF(SelectedPrecincts[Batch Name],SamplingData[[#This Row],[Batch by Type (p)]]) &lt;&gt; 0, COUNTIF(SelectedPrecincts[Batch Name],SamplingData[[#This Row],[Batch by Type (p)]]), 0)</f>
        <v>0</v>
      </c>
    </row>
    <row r="893" spans="1:36" ht="15" customHeight="1" x14ac:dyDescent="0.35">
      <c r="A893" s="97" t="s">
        <v>1106</v>
      </c>
      <c r="B893" s="97">
        <v>237</v>
      </c>
      <c r="C893" s="97">
        <v>425</v>
      </c>
      <c r="D893" s="92"/>
      <c r="E893" s="92"/>
      <c r="F893" s="92"/>
      <c r="G893" s="96"/>
      <c r="H893" s="96"/>
      <c r="I893" s="92"/>
      <c r="J893" s="92"/>
      <c r="K893" s="92"/>
      <c r="L893" s="92"/>
      <c r="M893" s="92"/>
      <c r="N893" s="97">
        <v>0</v>
      </c>
      <c r="O893" s="97">
        <v>46</v>
      </c>
      <c r="P893" s="98">
        <f>SUM(SamplingData[[#This Row],[Winning Candidate]:[Under Votes]])</f>
        <v>708</v>
      </c>
      <c r="Q893" s="99">
        <f>IF(AND(SamplingData[[#This Row],[Total]]&lt;&gt; 0, NOT(ISBLANK(SamplingData[[#This Row],[Losing Candidate]]))),(SamplingData[[#This Row],[Total]]+SamplingData[[#This Row],[Winning Candidate]]-SamplingData[[#This Row],[Losing Candidate]])/(SamplingData[[#Totals],[Winning Candidate]]-SamplingData[[#Totals],[Losing Candidate]]), 0)</f>
        <v>2.2067560685791885E-2</v>
      </c>
      <c r="R893" s="99">
        <f>IF(AND(SamplingData[[#This Row],[Total]]&lt;&gt; 0, NOT(ISBLANK(SamplingData[[#This Row],[Candidate 3]]))),(SamplingData[[#This Row],[Total]]+SamplingData[[#This Row],[Winning Candidate]]-SamplingData[[#This Row],[Candidate 3]])/(SamplingData[[#Totals],[Winning Candidate]]-SamplingData[[#Totals],[Candidate 3]]), 0)</f>
        <v>0</v>
      </c>
      <c r="S893" s="99">
        <f>IF(AND(SamplingData[[#This Row],[Total]]&lt;&gt; 0, NOT(ISBLANK(SamplingData[[#This Row],[Candidate 4]]))),(SamplingData[[#This Row],[Total]]+SamplingData[[#This Row],[Winning Candidate]]-SamplingData[[#This Row],[Candidate 4]])/(SamplingData[[#Totals],[Winning Candidate]]-SamplingData[[#Totals],[Candidate 4]]), 0)</f>
        <v>0</v>
      </c>
      <c r="T893" s="99">
        <f>IF(AND(SamplingData[[#This Row],[Total]]&lt;&gt; 0, NOT(ISBLANK(SamplingData[[#This Row],[Candidate 5]]))),(SamplingData[[#This Row],[Total]]+SamplingData[[#This Row],[Winning Candidate]]-SamplingData[[#This Row],[Candidate 5]])/(SamplingData[[#Totals],[Winning Candidate]]-SamplingData[[#Totals],[Candidate 5]]), 0)</f>
        <v>0</v>
      </c>
      <c r="U893" s="99">
        <f>IF(AND(SamplingData[[#This Row],[Total]]&lt;&gt; 0, NOT(ISBLANK(SamplingData[[#This Row],[Candidate 6]]))),(SamplingData[[#This Row],[Total]]+SamplingData[[#This Row],[Losing Candidate]]-SamplingData[[#This Row],[Candidate 6]])/(SamplingData[[#Totals],[Winning Candidate]]-SamplingData[[#Totals],[Candidate 6]]), 0)</f>
        <v>0</v>
      </c>
      <c r="V893" s="99">
        <f>IF(AND(SamplingData[[#This Row],[Total]]&lt;&gt; 0, NOT(ISBLANK(SamplingData[[#This Row],[Candidate 7]]))),(SamplingData[[#This Row],[Total]]+SamplingData[[#This Row],[Winning Candidate]]-SamplingData[[#This Row],[Candidate 7]])/(SamplingData[[#Totals],[Winning Candidate]]-SamplingData[[#Totals],[Candidate 7]]), 0)</f>
        <v>0</v>
      </c>
      <c r="W893" s="99">
        <f>IF(AND(SamplingData[[#This Row],[Total]]&lt;&gt; 0, NOT(ISBLANK(SamplingData[[#This Row],[Candidate 8]]))),(SamplingData[[#This Row],[Total]]+SamplingData[[#This Row],[Winning Candidate]]-SamplingData[[#This Row],[Candidate 8]])/(SamplingData[[#Totals],[Winning Candidate]]-SamplingData[[#Totals],[Candidate 8]]), 0)</f>
        <v>0</v>
      </c>
      <c r="X8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3" s="99">
        <f>MAX(SamplingData[[#This Row],[Error Bound (up) - Max. possible relative overstatement - Losing Candidate]:[Error Bound (up) - Max. possible relative overstatement - Candidate 12]])</f>
        <v>2.2067560685791885E-2</v>
      </c>
      <c r="AC893" s="99">
        <f>IF(SamplingData[[#This Row],[Max Error Bound (up)]] = 0,0,SamplingData[[#This Row],[Max Error Bound (up)]]/SamplingData[[#Totals],[Max Error Bound (up)]])</f>
        <v>1.1815174319264202E-3</v>
      </c>
      <c r="AD893" s="103">
        <f>SUM($AC$5:AC893)</f>
        <v>0.80572217980877814</v>
      </c>
      <c r="AE893" s="99" t="str" cm="1">
        <f t="array" ref="AE893">IF(SamplingData[[#This Row],[up/U Selection Probability]] = 0, "Zero", TEXT(SamplingData[[#This Row],[Lower Range]], REPT("0",LEN('General Info'!$B$42))) &amp; " - " &amp; TEXT(SamplingData[[#This Row],[Upper Range]], REPT("0",LEN('General Info'!$B$42))))</f>
        <v>804541 - 805721</v>
      </c>
      <c r="AF893" s="99">
        <f>SamplingData[[#This Row],[Upper Range]]-SamplingData[[#This Row],[Span]]</f>
        <v>804540.66237685166</v>
      </c>
      <c r="AG893" s="99">
        <f>IF(ISNUMBER('General Info'!$B$42), ((SamplingData[[#This Row],[up/U Selection Probability]]) * 'General Info'!$B$44) - 1, 0)</f>
        <v>1180.5174319264202</v>
      </c>
      <c r="AH893" s="99">
        <f>IF(ISNUMBER('General Info'!$B$42), (SamplingData[[#This Row],[Running (cumulative) sum]] * ('General Info'!$B$42 -'General Info'!$B$43 + 1)) + 'General Info'!$B$43 - 1, 0)</f>
        <v>805721.17980877811</v>
      </c>
      <c r="AI893" s="99" t="str">
        <f>IF(ISERROR(MATCH(SamplingData[[#This Row],[Batch by Type (p)]],SelectedPrecincts[Batch Name], 0)), "", INDEX(SelectedPrecincts[Draw], MATCH(SamplingData[[#This Row],[Batch by Type (p)]],SelectedPrecincts[Batch Name], 0)))</f>
        <v/>
      </c>
      <c r="AJ893" s="100">
        <f>IF(COUNTIF(SelectedPrecincts[Batch Name],SamplingData[[#This Row],[Batch by Type (p)]]) &lt;&gt; 0, COUNTIF(SelectedPrecincts[Batch Name],SamplingData[[#This Row],[Batch by Type (p)]]), 0)</f>
        <v>0</v>
      </c>
    </row>
    <row r="894" spans="1:36" ht="15" customHeight="1" x14ac:dyDescent="0.35">
      <c r="A894" s="97" t="s">
        <v>1107</v>
      </c>
      <c r="B894" s="97">
        <v>140</v>
      </c>
      <c r="C894" s="97">
        <v>257</v>
      </c>
      <c r="D894" s="92"/>
      <c r="E894" s="92"/>
      <c r="F894" s="92"/>
      <c r="G894" s="96"/>
      <c r="H894" s="96"/>
      <c r="I894" s="92"/>
      <c r="J894" s="92"/>
      <c r="K894" s="92"/>
      <c r="L894" s="92"/>
      <c r="M894" s="92"/>
      <c r="N894" s="97">
        <v>0</v>
      </c>
      <c r="O894" s="97">
        <v>33</v>
      </c>
      <c r="P894" s="98">
        <f>SUM(SamplingData[[#This Row],[Winning Candidate]:[Under Votes]])</f>
        <v>430</v>
      </c>
      <c r="Q894" s="99">
        <f>IF(AND(SamplingData[[#This Row],[Total]]&lt;&gt; 0, NOT(ISBLANK(SamplingData[[#This Row],[Losing Candidate]]))),(SamplingData[[#This Row],[Total]]+SamplingData[[#This Row],[Winning Candidate]]-SamplingData[[#This Row],[Losing Candidate]])/(SamplingData[[#Totals],[Winning Candidate]]-SamplingData[[#Totals],[Losing Candidate]]), 0)</f>
        <v>1.3282974028178577E-2</v>
      </c>
      <c r="R894" s="99">
        <f>IF(AND(SamplingData[[#This Row],[Total]]&lt;&gt; 0, NOT(ISBLANK(SamplingData[[#This Row],[Candidate 3]]))),(SamplingData[[#This Row],[Total]]+SamplingData[[#This Row],[Winning Candidate]]-SamplingData[[#This Row],[Candidate 3]])/(SamplingData[[#Totals],[Winning Candidate]]-SamplingData[[#Totals],[Candidate 3]]), 0)</f>
        <v>0</v>
      </c>
      <c r="S894" s="99">
        <f>IF(AND(SamplingData[[#This Row],[Total]]&lt;&gt; 0, NOT(ISBLANK(SamplingData[[#This Row],[Candidate 4]]))),(SamplingData[[#This Row],[Total]]+SamplingData[[#This Row],[Winning Candidate]]-SamplingData[[#This Row],[Candidate 4]])/(SamplingData[[#Totals],[Winning Candidate]]-SamplingData[[#Totals],[Candidate 4]]), 0)</f>
        <v>0</v>
      </c>
      <c r="T894" s="99">
        <f>IF(AND(SamplingData[[#This Row],[Total]]&lt;&gt; 0, NOT(ISBLANK(SamplingData[[#This Row],[Candidate 5]]))),(SamplingData[[#This Row],[Total]]+SamplingData[[#This Row],[Winning Candidate]]-SamplingData[[#This Row],[Candidate 5]])/(SamplingData[[#Totals],[Winning Candidate]]-SamplingData[[#Totals],[Candidate 5]]), 0)</f>
        <v>0</v>
      </c>
      <c r="U894" s="99">
        <f>IF(AND(SamplingData[[#This Row],[Total]]&lt;&gt; 0, NOT(ISBLANK(SamplingData[[#This Row],[Candidate 6]]))),(SamplingData[[#This Row],[Total]]+SamplingData[[#This Row],[Losing Candidate]]-SamplingData[[#This Row],[Candidate 6]])/(SamplingData[[#Totals],[Winning Candidate]]-SamplingData[[#Totals],[Candidate 6]]), 0)</f>
        <v>0</v>
      </c>
      <c r="V894" s="99">
        <f>IF(AND(SamplingData[[#This Row],[Total]]&lt;&gt; 0, NOT(ISBLANK(SamplingData[[#This Row],[Candidate 7]]))),(SamplingData[[#This Row],[Total]]+SamplingData[[#This Row],[Winning Candidate]]-SamplingData[[#This Row],[Candidate 7]])/(SamplingData[[#Totals],[Winning Candidate]]-SamplingData[[#Totals],[Candidate 7]]), 0)</f>
        <v>0</v>
      </c>
      <c r="W894" s="99">
        <f>IF(AND(SamplingData[[#This Row],[Total]]&lt;&gt; 0, NOT(ISBLANK(SamplingData[[#This Row],[Candidate 8]]))),(SamplingData[[#This Row],[Total]]+SamplingData[[#This Row],[Winning Candidate]]-SamplingData[[#This Row],[Candidate 8]])/(SamplingData[[#Totals],[Winning Candidate]]-SamplingData[[#Totals],[Candidate 8]]), 0)</f>
        <v>0</v>
      </c>
      <c r="X8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4" s="99">
        <f>MAX(SamplingData[[#This Row],[Error Bound (up) - Max. possible relative overstatement - Losing Candidate]:[Error Bound (up) - Max. possible relative overstatement - Candidate 12]])</f>
        <v>1.3282974028178577E-2</v>
      </c>
      <c r="AC894" s="99">
        <f>IF(SamplingData[[#This Row],[Max Error Bound (up)]] = 0,0,SamplingData[[#This Row],[Max Error Bound (up)]]/SamplingData[[#Totals],[Max Error Bound (up)]])</f>
        <v>7.1118260806340289E-4</v>
      </c>
      <c r="AD894" s="103">
        <f>SUM($AC$5:AC894)</f>
        <v>0.80643336241684149</v>
      </c>
      <c r="AE894" s="99" t="str" cm="1">
        <f t="array" ref="AE894">IF(SamplingData[[#This Row],[up/U Selection Probability]] = 0, "Zero", TEXT(SamplingData[[#This Row],[Lower Range]], REPT("0",LEN('General Info'!$B$42))) &amp; " - " &amp; TEXT(SamplingData[[#This Row],[Upper Range]], REPT("0",LEN('General Info'!$B$42))))</f>
        <v>805722 - 806432</v>
      </c>
      <c r="AF894" s="99">
        <f>SamplingData[[#This Row],[Upper Range]]-SamplingData[[#This Row],[Span]]</f>
        <v>805722.17980877799</v>
      </c>
      <c r="AG894" s="99">
        <f>IF(ISNUMBER('General Info'!$B$42), ((SamplingData[[#This Row],[up/U Selection Probability]]) * 'General Info'!$B$44) - 1, 0)</f>
        <v>710.18260806340288</v>
      </c>
      <c r="AH894" s="99">
        <f>IF(ISNUMBER('General Info'!$B$42), (SamplingData[[#This Row],[Running (cumulative) sum]] * ('General Info'!$B$42 -'General Info'!$B$43 + 1)) + 'General Info'!$B$43 - 1, 0)</f>
        <v>806432.36241684144</v>
      </c>
      <c r="AI894" s="99" t="str">
        <f>IF(ISERROR(MATCH(SamplingData[[#This Row],[Batch by Type (p)]],SelectedPrecincts[Batch Name], 0)), "", INDEX(SelectedPrecincts[Draw], MATCH(SamplingData[[#This Row],[Batch by Type (p)]],SelectedPrecincts[Batch Name], 0)))</f>
        <v/>
      </c>
      <c r="AJ894" s="100">
        <f>IF(COUNTIF(SelectedPrecincts[Batch Name],SamplingData[[#This Row],[Batch by Type (p)]]) &lt;&gt; 0, COUNTIF(SelectedPrecincts[Batch Name],SamplingData[[#This Row],[Batch by Type (p)]]), 0)</f>
        <v>0</v>
      </c>
    </row>
    <row r="895" spans="1:36" ht="15" customHeight="1" x14ac:dyDescent="0.35">
      <c r="A895" s="97" t="s">
        <v>1108</v>
      </c>
      <c r="B895" s="97">
        <v>277</v>
      </c>
      <c r="C895" s="97">
        <v>363</v>
      </c>
      <c r="D895" s="92"/>
      <c r="E895" s="92"/>
      <c r="F895" s="92"/>
      <c r="G895" s="96"/>
      <c r="H895" s="96"/>
      <c r="I895" s="92"/>
      <c r="J895" s="92"/>
      <c r="K895" s="92"/>
      <c r="L895" s="92"/>
      <c r="M895" s="92"/>
      <c r="N895" s="97">
        <v>0</v>
      </c>
      <c r="O895" s="97">
        <v>45</v>
      </c>
      <c r="P895" s="98">
        <f>SUM(SamplingData[[#This Row],[Winning Candidate]:[Under Votes]])</f>
        <v>685</v>
      </c>
      <c r="Q895" s="99">
        <f>IF(AND(SamplingData[[#This Row],[Total]]&lt;&gt; 0, NOT(ISBLANK(SamplingData[[#This Row],[Losing Candidate]]))),(SamplingData[[#This Row],[Total]]+SamplingData[[#This Row],[Winning Candidate]]-SamplingData[[#This Row],[Losing Candidate]])/(SamplingData[[#Totals],[Winning Candidate]]-SamplingData[[#Totals],[Losing Candidate]]), 0)</f>
        <v>2.5420132405364115E-2</v>
      </c>
      <c r="R895" s="99">
        <f>IF(AND(SamplingData[[#This Row],[Total]]&lt;&gt; 0, NOT(ISBLANK(SamplingData[[#This Row],[Candidate 3]]))),(SamplingData[[#This Row],[Total]]+SamplingData[[#This Row],[Winning Candidate]]-SamplingData[[#This Row],[Candidate 3]])/(SamplingData[[#Totals],[Winning Candidate]]-SamplingData[[#Totals],[Candidate 3]]), 0)</f>
        <v>0</v>
      </c>
      <c r="S895" s="99">
        <f>IF(AND(SamplingData[[#This Row],[Total]]&lt;&gt; 0, NOT(ISBLANK(SamplingData[[#This Row],[Candidate 4]]))),(SamplingData[[#This Row],[Total]]+SamplingData[[#This Row],[Winning Candidate]]-SamplingData[[#This Row],[Candidate 4]])/(SamplingData[[#Totals],[Winning Candidate]]-SamplingData[[#Totals],[Candidate 4]]), 0)</f>
        <v>0</v>
      </c>
      <c r="T895" s="99">
        <f>IF(AND(SamplingData[[#This Row],[Total]]&lt;&gt; 0, NOT(ISBLANK(SamplingData[[#This Row],[Candidate 5]]))),(SamplingData[[#This Row],[Total]]+SamplingData[[#This Row],[Winning Candidate]]-SamplingData[[#This Row],[Candidate 5]])/(SamplingData[[#Totals],[Winning Candidate]]-SamplingData[[#Totals],[Candidate 5]]), 0)</f>
        <v>0</v>
      </c>
      <c r="U895" s="99">
        <f>IF(AND(SamplingData[[#This Row],[Total]]&lt;&gt; 0, NOT(ISBLANK(SamplingData[[#This Row],[Candidate 6]]))),(SamplingData[[#This Row],[Total]]+SamplingData[[#This Row],[Losing Candidate]]-SamplingData[[#This Row],[Candidate 6]])/(SamplingData[[#Totals],[Winning Candidate]]-SamplingData[[#Totals],[Candidate 6]]), 0)</f>
        <v>0</v>
      </c>
      <c r="V895" s="99">
        <f>IF(AND(SamplingData[[#This Row],[Total]]&lt;&gt; 0, NOT(ISBLANK(SamplingData[[#This Row],[Candidate 7]]))),(SamplingData[[#This Row],[Total]]+SamplingData[[#This Row],[Winning Candidate]]-SamplingData[[#This Row],[Candidate 7]])/(SamplingData[[#Totals],[Winning Candidate]]-SamplingData[[#Totals],[Candidate 7]]), 0)</f>
        <v>0</v>
      </c>
      <c r="W895" s="99">
        <f>IF(AND(SamplingData[[#This Row],[Total]]&lt;&gt; 0, NOT(ISBLANK(SamplingData[[#This Row],[Candidate 8]]))),(SamplingData[[#This Row],[Total]]+SamplingData[[#This Row],[Winning Candidate]]-SamplingData[[#This Row],[Candidate 8]])/(SamplingData[[#Totals],[Winning Candidate]]-SamplingData[[#Totals],[Candidate 8]]), 0)</f>
        <v>0</v>
      </c>
      <c r="X8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5" s="99">
        <f>MAX(SamplingData[[#This Row],[Error Bound (up) - Max. possible relative overstatement - Losing Candidate]:[Error Bound (up) - Max. possible relative overstatement - Candidate 12]])</f>
        <v>2.5420132405364115E-2</v>
      </c>
      <c r="AC895" s="99">
        <f>IF(SamplingData[[#This Row],[Max Error Bound (up)]] = 0,0,SamplingData[[#This Row],[Max Error Bound (up)]]/SamplingData[[#Totals],[Max Error Bound (up)]])</f>
        <v>1.361017195622934E-3</v>
      </c>
      <c r="AD895" s="103">
        <f>SUM($AC$5:AC895)</f>
        <v>0.80779437961246447</v>
      </c>
      <c r="AE895" s="99" t="str" cm="1">
        <f t="array" ref="AE895">IF(SamplingData[[#This Row],[up/U Selection Probability]] = 0, "Zero", TEXT(SamplingData[[#This Row],[Lower Range]], REPT("0",LEN('General Info'!$B$42))) &amp; " - " &amp; TEXT(SamplingData[[#This Row],[Upper Range]], REPT("0",LEN('General Info'!$B$42))))</f>
        <v>806433 - 807793</v>
      </c>
      <c r="AF895" s="99">
        <f>SamplingData[[#This Row],[Upper Range]]-SamplingData[[#This Row],[Span]]</f>
        <v>806433.36241684156</v>
      </c>
      <c r="AG895" s="99">
        <f>IF(ISNUMBER('General Info'!$B$42), ((SamplingData[[#This Row],[up/U Selection Probability]]) * 'General Info'!$B$44) - 1, 0)</f>
        <v>1360.017195622934</v>
      </c>
      <c r="AH895" s="99">
        <f>IF(ISNUMBER('General Info'!$B$42), (SamplingData[[#This Row],[Running (cumulative) sum]] * ('General Info'!$B$42 -'General Info'!$B$43 + 1)) + 'General Info'!$B$43 - 1, 0)</f>
        <v>807793.37961246446</v>
      </c>
      <c r="AI895" s="99" t="str">
        <f>IF(ISERROR(MATCH(SamplingData[[#This Row],[Batch by Type (p)]],SelectedPrecincts[Batch Name], 0)), "", INDEX(SelectedPrecincts[Draw], MATCH(SamplingData[[#This Row],[Batch by Type (p)]],SelectedPrecincts[Batch Name], 0)))</f>
        <v/>
      </c>
      <c r="AJ895" s="100">
        <f>IF(COUNTIF(SelectedPrecincts[Batch Name],SamplingData[[#This Row],[Batch by Type (p)]]) &lt;&gt; 0, COUNTIF(SelectedPrecincts[Batch Name],SamplingData[[#This Row],[Batch by Type (p)]]), 0)</f>
        <v>0</v>
      </c>
    </row>
    <row r="896" spans="1:36" ht="15" customHeight="1" x14ac:dyDescent="0.35">
      <c r="A896" s="97" t="s">
        <v>1109</v>
      </c>
      <c r="B896" s="97">
        <v>280</v>
      </c>
      <c r="C896" s="97">
        <v>395</v>
      </c>
      <c r="D896" s="92"/>
      <c r="E896" s="92"/>
      <c r="F896" s="92"/>
      <c r="G896" s="96"/>
      <c r="H896" s="96"/>
      <c r="I896" s="92"/>
      <c r="J896" s="92"/>
      <c r="K896" s="92"/>
      <c r="L896" s="92"/>
      <c r="M896" s="92"/>
      <c r="N896" s="97">
        <v>1</v>
      </c>
      <c r="O896" s="97">
        <v>60</v>
      </c>
      <c r="P896" s="98">
        <f>SUM(SamplingData[[#This Row],[Winning Candidate]:[Under Votes]])</f>
        <v>736</v>
      </c>
      <c r="Q896" s="99">
        <f>IF(AND(SamplingData[[#This Row],[Total]]&lt;&gt; 0, NOT(ISBLANK(SamplingData[[#This Row],[Losing Candidate]]))),(SamplingData[[#This Row],[Total]]+SamplingData[[#This Row],[Winning Candidate]]-SamplingData[[#This Row],[Losing Candidate]])/(SamplingData[[#Totals],[Winning Candidate]]-SamplingData[[#Totals],[Losing Candidate]]), 0)</f>
        <v>2.6353759972839924E-2</v>
      </c>
      <c r="R896" s="99">
        <f>IF(AND(SamplingData[[#This Row],[Total]]&lt;&gt; 0, NOT(ISBLANK(SamplingData[[#This Row],[Candidate 3]]))),(SamplingData[[#This Row],[Total]]+SamplingData[[#This Row],[Winning Candidate]]-SamplingData[[#This Row],[Candidate 3]])/(SamplingData[[#Totals],[Winning Candidate]]-SamplingData[[#Totals],[Candidate 3]]), 0)</f>
        <v>0</v>
      </c>
      <c r="S896" s="99">
        <f>IF(AND(SamplingData[[#This Row],[Total]]&lt;&gt; 0, NOT(ISBLANK(SamplingData[[#This Row],[Candidate 4]]))),(SamplingData[[#This Row],[Total]]+SamplingData[[#This Row],[Winning Candidate]]-SamplingData[[#This Row],[Candidate 4]])/(SamplingData[[#Totals],[Winning Candidate]]-SamplingData[[#Totals],[Candidate 4]]), 0)</f>
        <v>0</v>
      </c>
      <c r="T896" s="99">
        <f>IF(AND(SamplingData[[#This Row],[Total]]&lt;&gt; 0, NOT(ISBLANK(SamplingData[[#This Row],[Candidate 5]]))),(SamplingData[[#This Row],[Total]]+SamplingData[[#This Row],[Winning Candidate]]-SamplingData[[#This Row],[Candidate 5]])/(SamplingData[[#Totals],[Winning Candidate]]-SamplingData[[#Totals],[Candidate 5]]), 0)</f>
        <v>0</v>
      </c>
      <c r="U896" s="99">
        <f>IF(AND(SamplingData[[#This Row],[Total]]&lt;&gt; 0, NOT(ISBLANK(SamplingData[[#This Row],[Candidate 6]]))),(SamplingData[[#This Row],[Total]]+SamplingData[[#This Row],[Losing Candidate]]-SamplingData[[#This Row],[Candidate 6]])/(SamplingData[[#Totals],[Winning Candidate]]-SamplingData[[#Totals],[Candidate 6]]), 0)</f>
        <v>0</v>
      </c>
      <c r="V896" s="99">
        <f>IF(AND(SamplingData[[#This Row],[Total]]&lt;&gt; 0, NOT(ISBLANK(SamplingData[[#This Row],[Candidate 7]]))),(SamplingData[[#This Row],[Total]]+SamplingData[[#This Row],[Winning Candidate]]-SamplingData[[#This Row],[Candidate 7]])/(SamplingData[[#Totals],[Winning Candidate]]-SamplingData[[#Totals],[Candidate 7]]), 0)</f>
        <v>0</v>
      </c>
      <c r="W896" s="99">
        <f>IF(AND(SamplingData[[#This Row],[Total]]&lt;&gt; 0, NOT(ISBLANK(SamplingData[[#This Row],[Candidate 8]]))),(SamplingData[[#This Row],[Total]]+SamplingData[[#This Row],[Winning Candidate]]-SamplingData[[#This Row],[Candidate 8]])/(SamplingData[[#Totals],[Winning Candidate]]-SamplingData[[#Totals],[Candidate 8]]), 0)</f>
        <v>0</v>
      </c>
      <c r="X8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6" s="99">
        <f>MAX(SamplingData[[#This Row],[Error Bound (up) - Max. possible relative overstatement - Losing Candidate]:[Error Bound (up) - Max. possible relative overstatement - Candidate 12]])</f>
        <v>2.6353759972839924E-2</v>
      </c>
      <c r="AC896" s="99">
        <f>IF(SamplingData[[#This Row],[Max Error Bound (up)]] = 0,0,SamplingData[[#This Row],[Max Error Bound (up)]]/SamplingData[[#Totals],[Max Error Bound (up)]])</f>
        <v>1.4110044715890519E-3</v>
      </c>
      <c r="AD896" s="103">
        <f>SUM($AC$5:AC896)</f>
        <v>0.80920538408405351</v>
      </c>
      <c r="AE896" s="99" t="str" cm="1">
        <f t="array" ref="AE896">IF(SamplingData[[#This Row],[up/U Selection Probability]] = 0, "Zero", TEXT(SamplingData[[#This Row],[Lower Range]], REPT("0",LEN('General Info'!$B$42))) &amp; " - " &amp; TEXT(SamplingData[[#This Row],[Upper Range]], REPT("0",LEN('General Info'!$B$42))))</f>
        <v>807794 - 809204</v>
      </c>
      <c r="AF896" s="99">
        <f>SamplingData[[#This Row],[Upper Range]]-SamplingData[[#This Row],[Span]]</f>
        <v>807794.37961246457</v>
      </c>
      <c r="AG896" s="99">
        <f>IF(ISNUMBER('General Info'!$B$42), ((SamplingData[[#This Row],[up/U Selection Probability]]) * 'General Info'!$B$44) - 1, 0)</f>
        <v>1410.0044715890519</v>
      </c>
      <c r="AH896" s="99">
        <f>IF(ISNUMBER('General Info'!$B$42), (SamplingData[[#This Row],[Running (cumulative) sum]] * ('General Info'!$B$42 -'General Info'!$B$43 + 1)) + 'General Info'!$B$43 - 1, 0)</f>
        <v>809204.38408405357</v>
      </c>
      <c r="AI896" s="99" t="str">
        <f>IF(ISERROR(MATCH(SamplingData[[#This Row],[Batch by Type (p)]],SelectedPrecincts[Batch Name], 0)), "", INDEX(SelectedPrecincts[Draw], MATCH(SamplingData[[#This Row],[Batch by Type (p)]],SelectedPrecincts[Batch Name], 0)))</f>
        <v/>
      </c>
      <c r="AJ896" s="100">
        <f>IF(COUNTIF(SelectedPrecincts[Batch Name],SamplingData[[#This Row],[Batch by Type (p)]]) &lt;&gt; 0, COUNTIF(SelectedPrecincts[Batch Name],SamplingData[[#This Row],[Batch by Type (p)]]), 0)</f>
        <v>0</v>
      </c>
    </row>
    <row r="897" spans="1:36" ht="15" customHeight="1" x14ac:dyDescent="0.35">
      <c r="A897" s="97" t="s">
        <v>1110</v>
      </c>
      <c r="B897" s="97">
        <v>96</v>
      </c>
      <c r="C897" s="97">
        <v>163</v>
      </c>
      <c r="D897" s="92"/>
      <c r="E897" s="92"/>
      <c r="F897" s="92"/>
      <c r="G897" s="96"/>
      <c r="H897" s="96"/>
      <c r="I897" s="92"/>
      <c r="J897" s="92"/>
      <c r="K897" s="92"/>
      <c r="L897" s="92"/>
      <c r="M897" s="92"/>
      <c r="N897" s="97">
        <v>0</v>
      </c>
      <c r="O897" s="97">
        <v>28</v>
      </c>
      <c r="P897" s="98">
        <f>SUM(SamplingData[[#This Row],[Winning Candidate]:[Under Votes]])</f>
        <v>287</v>
      </c>
      <c r="Q897" s="99">
        <f>IF(AND(SamplingData[[#This Row],[Total]]&lt;&gt; 0, NOT(ISBLANK(SamplingData[[#This Row],[Losing Candidate]]))),(SamplingData[[#This Row],[Total]]+SamplingData[[#This Row],[Winning Candidate]]-SamplingData[[#This Row],[Losing Candidate]])/(SamplingData[[#Totals],[Winning Candidate]]-SamplingData[[#Totals],[Losing Candidate]]), 0)</f>
        <v>9.3362756747581051E-3</v>
      </c>
      <c r="R897" s="99">
        <f>IF(AND(SamplingData[[#This Row],[Total]]&lt;&gt; 0, NOT(ISBLANK(SamplingData[[#This Row],[Candidate 3]]))),(SamplingData[[#This Row],[Total]]+SamplingData[[#This Row],[Winning Candidate]]-SamplingData[[#This Row],[Candidate 3]])/(SamplingData[[#Totals],[Winning Candidate]]-SamplingData[[#Totals],[Candidate 3]]), 0)</f>
        <v>0</v>
      </c>
      <c r="S897" s="99">
        <f>IF(AND(SamplingData[[#This Row],[Total]]&lt;&gt; 0, NOT(ISBLANK(SamplingData[[#This Row],[Candidate 4]]))),(SamplingData[[#This Row],[Total]]+SamplingData[[#This Row],[Winning Candidate]]-SamplingData[[#This Row],[Candidate 4]])/(SamplingData[[#Totals],[Winning Candidate]]-SamplingData[[#Totals],[Candidate 4]]), 0)</f>
        <v>0</v>
      </c>
      <c r="T897" s="99">
        <f>IF(AND(SamplingData[[#This Row],[Total]]&lt;&gt; 0, NOT(ISBLANK(SamplingData[[#This Row],[Candidate 5]]))),(SamplingData[[#This Row],[Total]]+SamplingData[[#This Row],[Winning Candidate]]-SamplingData[[#This Row],[Candidate 5]])/(SamplingData[[#Totals],[Winning Candidate]]-SamplingData[[#Totals],[Candidate 5]]), 0)</f>
        <v>0</v>
      </c>
      <c r="U897" s="99">
        <f>IF(AND(SamplingData[[#This Row],[Total]]&lt;&gt; 0, NOT(ISBLANK(SamplingData[[#This Row],[Candidate 6]]))),(SamplingData[[#This Row],[Total]]+SamplingData[[#This Row],[Losing Candidate]]-SamplingData[[#This Row],[Candidate 6]])/(SamplingData[[#Totals],[Winning Candidate]]-SamplingData[[#Totals],[Candidate 6]]), 0)</f>
        <v>0</v>
      </c>
      <c r="V897" s="99">
        <f>IF(AND(SamplingData[[#This Row],[Total]]&lt;&gt; 0, NOT(ISBLANK(SamplingData[[#This Row],[Candidate 7]]))),(SamplingData[[#This Row],[Total]]+SamplingData[[#This Row],[Winning Candidate]]-SamplingData[[#This Row],[Candidate 7]])/(SamplingData[[#Totals],[Winning Candidate]]-SamplingData[[#Totals],[Candidate 7]]), 0)</f>
        <v>0</v>
      </c>
      <c r="W897" s="99">
        <f>IF(AND(SamplingData[[#This Row],[Total]]&lt;&gt; 0, NOT(ISBLANK(SamplingData[[#This Row],[Candidate 8]]))),(SamplingData[[#This Row],[Total]]+SamplingData[[#This Row],[Winning Candidate]]-SamplingData[[#This Row],[Candidate 8]])/(SamplingData[[#Totals],[Winning Candidate]]-SamplingData[[#Totals],[Candidate 8]]), 0)</f>
        <v>0</v>
      </c>
      <c r="X8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7" s="99">
        <f>MAX(SamplingData[[#This Row],[Error Bound (up) - Max. possible relative overstatement - Losing Candidate]:[Error Bound (up) - Max. possible relative overstatement - Candidate 12]])</f>
        <v>9.3362756747581051E-3</v>
      </c>
      <c r="AC897" s="99">
        <f>IF(SamplingData[[#This Row],[Max Error Bound (up)]] = 0,0,SamplingData[[#This Row],[Max Error Bound (up)]]/SamplingData[[#Totals],[Max Error Bound (up)]])</f>
        <v>4.9987275966117777E-4</v>
      </c>
      <c r="AD897" s="103">
        <f>SUM($AC$5:AC897)</f>
        <v>0.80970525684371464</v>
      </c>
      <c r="AE897" s="99" t="str" cm="1">
        <f t="array" ref="AE897">IF(SamplingData[[#This Row],[up/U Selection Probability]] = 0, "Zero", TEXT(SamplingData[[#This Row],[Lower Range]], REPT("0",LEN('General Info'!$B$42))) &amp; " - " &amp; TEXT(SamplingData[[#This Row],[Upper Range]], REPT("0",LEN('General Info'!$B$42))))</f>
        <v>809205 - 809704</v>
      </c>
      <c r="AF897" s="99">
        <f>SamplingData[[#This Row],[Upper Range]]-SamplingData[[#This Row],[Span]]</f>
        <v>809205.38408405345</v>
      </c>
      <c r="AG897" s="99">
        <f>IF(ISNUMBER('General Info'!$B$42), ((SamplingData[[#This Row],[up/U Selection Probability]]) * 'General Info'!$B$44) - 1, 0)</f>
        <v>498.87275966117778</v>
      </c>
      <c r="AH897" s="99">
        <f>IF(ISNUMBER('General Info'!$B$42), (SamplingData[[#This Row],[Running (cumulative) sum]] * ('General Info'!$B$42 -'General Info'!$B$43 + 1)) + 'General Info'!$B$43 - 1, 0)</f>
        <v>809704.25684371463</v>
      </c>
      <c r="AI897" s="99" t="str">
        <f>IF(ISERROR(MATCH(SamplingData[[#This Row],[Batch by Type (p)]],SelectedPrecincts[Batch Name], 0)), "", INDEX(SelectedPrecincts[Draw], MATCH(SamplingData[[#This Row],[Batch by Type (p)]],SelectedPrecincts[Batch Name], 0)))</f>
        <v/>
      </c>
      <c r="AJ897" s="100">
        <f>IF(COUNTIF(SelectedPrecincts[Batch Name],SamplingData[[#This Row],[Batch by Type (p)]]) &lt;&gt; 0, COUNTIF(SelectedPrecincts[Batch Name],SamplingData[[#This Row],[Batch by Type (p)]]), 0)</f>
        <v>0</v>
      </c>
    </row>
    <row r="898" spans="1:36" ht="15" customHeight="1" x14ac:dyDescent="0.35">
      <c r="A898" s="97" t="s">
        <v>1111</v>
      </c>
      <c r="B898" s="97">
        <v>229</v>
      </c>
      <c r="C898" s="97">
        <v>426</v>
      </c>
      <c r="D898" s="92"/>
      <c r="E898" s="92"/>
      <c r="F898" s="92"/>
      <c r="G898" s="96"/>
      <c r="H898" s="96"/>
      <c r="I898" s="92"/>
      <c r="J898" s="92"/>
      <c r="K898" s="92"/>
      <c r="L898" s="92"/>
      <c r="M898" s="92"/>
      <c r="N898" s="97">
        <v>0</v>
      </c>
      <c r="O898" s="97">
        <v>55</v>
      </c>
      <c r="P898" s="98">
        <f>SUM(SamplingData[[#This Row],[Winning Candidate]:[Under Votes]])</f>
        <v>710</v>
      </c>
      <c r="Q898" s="99">
        <f>IF(AND(SamplingData[[#This Row],[Total]]&lt;&gt; 0, NOT(ISBLANK(SamplingData[[#This Row],[Losing Candidate]]))),(SamplingData[[#This Row],[Total]]+SamplingData[[#This Row],[Winning Candidate]]-SamplingData[[#This Row],[Losing Candidate]])/(SamplingData[[#Totals],[Winning Candidate]]-SamplingData[[#Totals],[Losing Candidate]]), 0)</f>
        <v>2.1770497368867766E-2</v>
      </c>
      <c r="R898" s="99">
        <f>IF(AND(SamplingData[[#This Row],[Total]]&lt;&gt; 0, NOT(ISBLANK(SamplingData[[#This Row],[Candidate 3]]))),(SamplingData[[#This Row],[Total]]+SamplingData[[#This Row],[Winning Candidate]]-SamplingData[[#This Row],[Candidate 3]])/(SamplingData[[#Totals],[Winning Candidate]]-SamplingData[[#Totals],[Candidate 3]]), 0)</f>
        <v>0</v>
      </c>
      <c r="S898" s="99">
        <f>IF(AND(SamplingData[[#This Row],[Total]]&lt;&gt; 0, NOT(ISBLANK(SamplingData[[#This Row],[Candidate 4]]))),(SamplingData[[#This Row],[Total]]+SamplingData[[#This Row],[Winning Candidate]]-SamplingData[[#This Row],[Candidate 4]])/(SamplingData[[#Totals],[Winning Candidate]]-SamplingData[[#Totals],[Candidate 4]]), 0)</f>
        <v>0</v>
      </c>
      <c r="T898" s="99">
        <f>IF(AND(SamplingData[[#This Row],[Total]]&lt;&gt; 0, NOT(ISBLANK(SamplingData[[#This Row],[Candidate 5]]))),(SamplingData[[#This Row],[Total]]+SamplingData[[#This Row],[Winning Candidate]]-SamplingData[[#This Row],[Candidate 5]])/(SamplingData[[#Totals],[Winning Candidate]]-SamplingData[[#Totals],[Candidate 5]]), 0)</f>
        <v>0</v>
      </c>
      <c r="U898" s="99">
        <f>IF(AND(SamplingData[[#This Row],[Total]]&lt;&gt; 0, NOT(ISBLANK(SamplingData[[#This Row],[Candidate 6]]))),(SamplingData[[#This Row],[Total]]+SamplingData[[#This Row],[Losing Candidate]]-SamplingData[[#This Row],[Candidate 6]])/(SamplingData[[#Totals],[Winning Candidate]]-SamplingData[[#Totals],[Candidate 6]]), 0)</f>
        <v>0</v>
      </c>
      <c r="V898" s="99">
        <f>IF(AND(SamplingData[[#This Row],[Total]]&lt;&gt; 0, NOT(ISBLANK(SamplingData[[#This Row],[Candidate 7]]))),(SamplingData[[#This Row],[Total]]+SamplingData[[#This Row],[Winning Candidate]]-SamplingData[[#This Row],[Candidate 7]])/(SamplingData[[#Totals],[Winning Candidate]]-SamplingData[[#Totals],[Candidate 7]]), 0)</f>
        <v>0</v>
      </c>
      <c r="W898" s="99">
        <f>IF(AND(SamplingData[[#This Row],[Total]]&lt;&gt; 0, NOT(ISBLANK(SamplingData[[#This Row],[Candidate 8]]))),(SamplingData[[#This Row],[Total]]+SamplingData[[#This Row],[Winning Candidate]]-SamplingData[[#This Row],[Candidate 8]])/(SamplingData[[#Totals],[Winning Candidate]]-SamplingData[[#Totals],[Candidate 8]]), 0)</f>
        <v>0</v>
      </c>
      <c r="X8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8" s="99">
        <f>MAX(SamplingData[[#This Row],[Error Bound (up) - Max. possible relative overstatement - Losing Candidate]:[Error Bound (up) - Max. possible relative overstatement - Candidate 12]])</f>
        <v>2.1770497368867766E-2</v>
      </c>
      <c r="AC898" s="99">
        <f>IF(SamplingData[[#This Row],[Max Error Bound (up)]] = 0,0,SamplingData[[#This Row],[Max Error Bound (up)]]/SamplingData[[#Totals],[Max Error Bound (up)]])</f>
        <v>1.1656123895735647E-3</v>
      </c>
      <c r="AD898" s="103">
        <f>SUM($AC$5:AC898)</f>
        <v>0.81087086923328822</v>
      </c>
      <c r="AE898" s="99" t="str" cm="1">
        <f t="array" ref="AE898">IF(SamplingData[[#This Row],[up/U Selection Probability]] = 0, "Zero", TEXT(SamplingData[[#This Row],[Lower Range]], REPT("0",LEN('General Info'!$B$42))) &amp; " - " &amp; TEXT(SamplingData[[#This Row],[Upper Range]], REPT("0",LEN('General Info'!$B$42))))</f>
        <v>809705 - 810870</v>
      </c>
      <c r="AF898" s="99">
        <f>SamplingData[[#This Row],[Upper Range]]-SamplingData[[#This Row],[Span]]</f>
        <v>809705.25684371463</v>
      </c>
      <c r="AG898" s="99">
        <f>IF(ISNUMBER('General Info'!$B$42), ((SamplingData[[#This Row],[up/U Selection Probability]]) * 'General Info'!$B$44) - 1, 0)</f>
        <v>1164.6123895735648</v>
      </c>
      <c r="AH898" s="99">
        <f>IF(ISNUMBER('General Info'!$B$42), (SamplingData[[#This Row],[Running (cumulative) sum]] * ('General Info'!$B$42 -'General Info'!$B$43 + 1)) + 'General Info'!$B$43 - 1, 0)</f>
        <v>810869.86923328822</v>
      </c>
      <c r="AI898" s="99" t="str">
        <f>IF(ISERROR(MATCH(SamplingData[[#This Row],[Batch by Type (p)]],SelectedPrecincts[Batch Name], 0)), "", INDEX(SelectedPrecincts[Draw], MATCH(SamplingData[[#This Row],[Batch by Type (p)]],SelectedPrecincts[Batch Name], 0)))</f>
        <v/>
      </c>
      <c r="AJ898" s="100">
        <f>IF(COUNTIF(SelectedPrecincts[Batch Name],SamplingData[[#This Row],[Batch by Type (p)]]) &lt;&gt; 0, COUNTIF(SelectedPrecincts[Batch Name],SamplingData[[#This Row],[Batch by Type (p)]]), 0)</f>
        <v>0</v>
      </c>
    </row>
    <row r="899" spans="1:36" ht="15" customHeight="1" x14ac:dyDescent="0.35">
      <c r="A899" s="97" t="s">
        <v>1112</v>
      </c>
      <c r="B899" s="97">
        <v>192</v>
      </c>
      <c r="C899" s="97">
        <v>326</v>
      </c>
      <c r="D899" s="92"/>
      <c r="E899" s="92"/>
      <c r="F899" s="92"/>
      <c r="G899" s="96"/>
      <c r="H899" s="96"/>
      <c r="I899" s="92"/>
      <c r="J899" s="92"/>
      <c r="K899" s="92"/>
      <c r="L899" s="92"/>
      <c r="M899" s="92"/>
      <c r="N899" s="97">
        <v>0</v>
      </c>
      <c r="O899" s="97">
        <v>49</v>
      </c>
      <c r="P899" s="98">
        <f>SUM(SamplingData[[#This Row],[Winning Candidate]:[Under Votes]])</f>
        <v>567</v>
      </c>
      <c r="Q899" s="99">
        <f>IF(AND(SamplingData[[#This Row],[Total]]&lt;&gt; 0, NOT(ISBLANK(SamplingData[[#This Row],[Losing Candidate]]))),(SamplingData[[#This Row],[Total]]+SamplingData[[#This Row],[Winning Candidate]]-SamplingData[[#This Row],[Losing Candidate]])/(SamplingData[[#Totals],[Winning Candidate]]-SamplingData[[#Totals],[Losing Candidate]]), 0)</f>
        <v>1.8375488032592091E-2</v>
      </c>
      <c r="R899" s="99">
        <f>IF(AND(SamplingData[[#This Row],[Total]]&lt;&gt; 0, NOT(ISBLANK(SamplingData[[#This Row],[Candidate 3]]))),(SamplingData[[#This Row],[Total]]+SamplingData[[#This Row],[Winning Candidate]]-SamplingData[[#This Row],[Candidate 3]])/(SamplingData[[#Totals],[Winning Candidate]]-SamplingData[[#Totals],[Candidate 3]]), 0)</f>
        <v>0</v>
      </c>
      <c r="S899" s="99">
        <f>IF(AND(SamplingData[[#This Row],[Total]]&lt;&gt; 0, NOT(ISBLANK(SamplingData[[#This Row],[Candidate 4]]))),(SamplingData[[#This Row],[Total]]+SamplingData[[#This Row],[Winning Candidate]]-SamplingData[[#This Row],[Candidate 4]])/(SamplingData[[#Totals],[Winning Candidate]]-SamplingData[[#Totals],[Candidate 4]]), 0)</f>
        <v>0</v>
      </c>
      <c r="T899" s="99">
        <f>IF(AND(SamplingData[[#This Row],[Total]]&lt;&gt; 0, NOT(ISBLANK(SamplingData[[#This Row],[Candidate 5]]))),(SamplingData[[#This Row],[Total]]+SamplingData[[#This Row],[Winning Candidate]]-SamplingData[[#This Row],[Candidate 5]])/(SamplingData[[#Totals],[Winning Candidate]]-SamplingData[[#Totals],[Candidate 5]]), 0)</f>
        <v>0</v>
      </c>
      <c r="U899" s="99">
        <f>IF(AND(SamplingData[[#This Row],[Total]]&lt;&gt; 0, NOT(ISBLANK(SamplingData[[#This Row],[Candidate 6]]))),(SamplingData[[#This Row],[Total]]+SamplingData[[#This Row],[Losing Candidate]]-SamplingData[[#This Row],[Candidate 6]])/(SamplingData[[#Totals],[Winning Candidate]]-SamplingData[[#Totals],[Candidate 6]]), 0)</f>
        <v>0</v>
      </c>
      <c r="V899" s="99">
        <f>IF(AND(SamplingData[[#This Row],[Total]]&lt;&gt; 0, NOT(ISBLANK(SamplingData[[#This Row],[Candidate 7]]))),(SamplingData[[#This Row],[Total]]+SamplingData[[#This Row],[Winning Candidate]]-SamplingData[[#This Row],[Candidate 7]])/(SamplingData[[#Totals],[Winning Candidate]]-SamplingData[[#Totals],[Candidate 7]]), 0)</f>
        <v>0</v>
      </c>
      <c r="W899" s="99">
        <f>IF(AND(SamplingData[[#This Row],[Total]]&lt;&gt; 0, NOT(ISBLANK(SamplingData[[#This Row],[Candidate 8]]))),(SamplingData[[#This Row],[Total]]+SamplingData[[#This Row],[Winning Candidate]]-SamplingData[[#This Row],[Candidate 8]])/(SamplingData[[#Totals],[Winning Candidate]]-SamplingData[[#Totals],[Candidate 8]]), 0)</f>
        <v>0</v>
      </c>
      <c r="X8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9" s="99">
        <f>MAX(SamplingData[[#This Row],[Error Bound (up) - Max. possible relative overstatement - Losing Candidate]:[Error Bound (up) - Max. possible relative overstatement - Candidate 12]])</f>
        <v>1.8375488032592091E-2</v>
      </c>
      <c r="AC899" s="99">
        <f>IF(SamplingData[[#This Row],[Max Error Bound (up)]] = 0,0,SamplingData[[#This Row],[Max Error Bound (up)]]/SamplingData[[#Totals],[Max Error Bound (up)]])</f>
        <v>9.8384047696950007E-4</v>
      </c>
      <c r="AD899" s="103">
        <f>SUM($AC$5:AC899)</f>
        <v>0.81185470971025775</v>
      </c>
      <c r="AE899" s="99" t="str" cm="1">
        <f t="array" ref="AE899">IF(SamplingData[[#This Row],[up/U Selection Probability]] = 0, "Zero", TEXT(SamplingData[[#This Row],[Lower Range]], REPT("0",LEN('General Info'!$B$42))) &amp; " - " &amp; TEXT(SamplingData[[#This Row],[Upper Range]], REPT("0",LEN('General Info'!$B$42))))</f>
        <v>810871 - 811854</v>
      </c>
      <c r="AF899" s="99">
        <f>SamplingData[[#This Row],[Upper Range]]-SamplingData[[#This Row],[Span]]</f>
        <v>810870.86923328822</v>
      </c>
      <c r="AG899" s="99">
        <f>IF(ISNUMBER('General Info'!$B$42), ((SamplingData[[#This Row],[up/U Selection Probability]]) * 'General Info'!$B$44) - 1, 0)</f>
        <v>982.84047696950006</v>
      </c>
      <c r="AH899" s="99">
        <f>IF(ISNUMBER('General Info'!$B$42), (SamplingData[[#This Row],[Running (cumulative) sum]] * ('General Info'!$B$42 -'General Info'!$B$43 + 1)) + 'General Info'!$B$43 - 1, 0)</f>
        <v>811853.70971025771</v>
      </c>
      <c r="AI899" s="99">
        <f>IF(ISERROR(MATCH(SamplingData[[#This Row],[Batch by Type (p)]],SelectedPrecincts[Batch Name], 0)), "", INDEX(SelectedPrecincts[Draw], MATCH(SamplingData[[#This Row],[Batch by Type (p)]],SelectedPrecincts[Batch Name], 0)))</f>
        <v>23</v>
      </c>
      <c r="AJ899" s="100">
        <f>IF(COUNTIF(SelectedPrecincts[Batch Name],SamplingData[[#This Row],[Batch by Type (p)]]) &lt;&gt; 0, COUNTIF(SelectedPrecincts[Batch Name],SamplingData[[#This Row],[Batch by Type (p)]]), 0)</f>
        <v>1</v>
      </c>
    </row>
    <row r="900" spans="1:36" ht="15" customHeight="1" x14ac:dyDescent="0.35">
      <c r="A900" s="97" t="s">
        <v>1113</v>
      </c>
      <c r="B900" s="97">
        <v>144</v>
      </c>
      <c r="C900" s="97">
        <v>222</v>
      </c>
      <c r="D900" s="92"/>
      <c r="E900" s="92"/>
      <c r="F900" s="92"/>
      <c r="G900" s="96"/>
      <c r="H900" s="96"/>
      <c r="I900" s="92"/>
      <c r="J900" s="92"/>
      <c r="K900" s="92"/>
      <c r="L900" s="92"/>
      <c r="M900" s="92"/>
      <c r="N900" s="97">
        <v>0</v>
      </c>
      <c r="O900" s="97">
        <v>29</v>
      </c>
      <c r="P900" s="98">
        <f>SUM(SamplingData[[#This Row],[Winning Candidate]:[Under Votes]])</f>
        <v>395</v>
      </c>
      <c r="Q900" s="99">
        <f>IF(AND(SamplingData[[#This Row],[Total]]&lt;&gt; 0, NOT(ISBLANK(SamplingData[[#This Row],[Losing Candidate]]))),(SamplingData[[#This Row],[Total]]+SamplingData[[#This Row],[Winning Candidate]]-SamplingData[[#This Row],[Losing Candidate]])/(SamplingData[[#Totals],[Winning Candidate]]-SamplingData[[#Totals],[Losing Candidate]]), 0)</f>
        <v>1.3452724494992361E-2</v>
      </c>
      <c r="R900" s="99">
        <f>IF(AND(SamplingData[[#This Row],[Total]]&lt;&gt; 0, NOT(ISBLANK(SamplingData[[#This Row],[Candidate 3]]))),(SamplingData[[#This Row],[Total]]+SamplingData[[#This Row],[Winning Candidate]]-SamplingData[[#This Row],[Candidate 3]])/(SamplingData[[#Totals],[Winning Candidate]]-SamplingData[[#Totals],[Candidate 3]]), 0)</f>
        <v>0</v>
      </c>
      <c r="S900" s="99">
        <f>IF(AND(SamplingData[[#This Row],[Total]]&lt;&gt; 0, NOT(ISBLANK(SamplingData[[#This Row],[Candidate 4]]))),(SamplingData[[#This Row],[Total]]+SamplingData[[#This Row],[Winning Candidate]]-SamplingData[[#This Row],[Candidate 4]])/(SamplingData[[#Totals],[Winning Candidate]]-SamplingData[[#Totals],[Candidate 4]]), 0)</f>
        <v>0</v>
      </c>
      <c r="T900" s="99">
        <f>IF(AND(SamplingData[[#This Row],[Total]]&lt;&gt; 0, NOT(ISBLANK(SamplingData[[#This Row],[Candidate 5]]))),(SamplingData[[#This Row],[Total]]+SamplingData[[#This Row],[Winning Candidate]]-SamplingData[[#This Row],[Candidate 5]])/(SamplingData[[#Totals],[Winning Candidate]]-SamplingData[[#Totals],[Candidate 5]]), 0)</f>
        <v>0</v>
      </c>
      <c r="U900" s="99">
        <f>IF(AND(SamplingData[[#This Row],[Total]]&lt;&gt; 0, NOT(ISBLANK(SamplingData[[#This Row],[Candidate 6]]))),(SamplingData[[#This Row],[Total]]+SamplingData[[#This Row],[Losing Candidate]]-SamplingData[[#This Row],[Candidate 6]])/(SamplingData[[#Totals],[Winning Candidate]]-SamplingData[[#Totals],[Candidate 6]]), 0)</f>
        <v>0</v>
      </c>
      <c r="V900" s="99">
        <f>IF(AND(SamplingData[[#This Row],[Total]]&lt;&gt; 0, NOT(ISBLANK(SamplingData[[#This Row],[Candidate 7]]))),(SamplingData[[#This Row],[Total]]+SamplingData[[#This Row],[Winning Candidate]]-SamplingData[[#This Row],[Candidate 7]])/(SamplingData[[#Totals],[Winning Candidate]]-SamplingData[[#Totals],[Candidate 7]]), 0)</f>
        <v>0</v>
      </c>
      <c r="W900" s="99">
        <f>IF(AND(SamplingData[[#This Row],[Total]]&lt;&gt; 0, NOT(ISBLANK(SamplingData[[#This Row],[Candidate 8]]))),(SamplingData[[#This Row],[Total]]+SamplingData[[#This Row],[Winning Candidate]]-SamplingData[[#This Row],[Candidate 8]])/(SamplingData[[#Totals],[Winning Candidate]]-SamplingData[[#Totals],[Candidate 8]]), 0)</f>
        <v>0</v>
      </c>
      <c r="X9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0" s="99">
        <f>MAX(SamplingData[[#This Row],[Error Bound (up) - Max. possible relative overstatement - Losing Candidate]:[Error Bound (up) - Max. possible relative overstatement - Candidate 12]])</f>
        <v>1.3452724494992361E-2</v>
      </c>
      <c r="AC900" s="99">
        <f>IF(SamplingData[[#This Row],[Max Error Bound (up)]] = 0,0,SamplingData[[#This Row],[Max Error Bound (up)]]/SamplingData[[#Totals],[Max Error Bound (up)]])</f>
        <v>7.2027120369360612E-4</v>
      </c>
      <c r="AD900" s="103">
        <f>SUM($AC$5:AC900)</f>
        <v>0.81257498091395131</v>
      </c>
      <c r="AE900" s="99" t="str" cm="1">
        <f t="array" ref="AE900">IF(SamplingData[[#This Row],[up/U Selection Probability]] = 0, "Zero", TEXT(SamplingData[[#This Row],[Lower Range]], REPT("0",LEN('General Info'!$B$42))) &amp; " - " &amp; TEXT(SamplingData[[#This Row],[Upper Range]], REPT("0",LEN('General Info'!$B$42))))</f>
        <v>811855 - 812574</v>
      </c>
      <c r="AF900" s="99">
        <f>SamplingData[[#This Row],[Upper Range]]-SamplingData[[#This Row],[Span]]</f>
        <v>811854.70971025771</v>
      </c>
      <c r="AG900" s="99">
        <f>IF(ISNUMBER('General Info'!$B$42), ((SamplingData[[#This Row],[up/U Selection Probability]]) * 'General Info'!$B$44) - 1, 0)</f>
        <v>719.27120369360614</v>
      </c>
      <c r="AH900" s="99">
        <f>IF(ISNUMBER('General Info'!$B$42), (SamplingData[[#This Row],[Running (cumulative) sum]] * ('General Info'!$B$42 -'General Info'!$B$43 + 1)) + 'General Info'!$B$43 - 1, 0)</f>
        <v>812573.98091395129</v>
      </c>
      <c r="AI900" s="99" t="str">
        <f>IF(ISERROR(MATCH(SamplingData[[#This Row],[Batch by Type (p)]],SelectedPrecincts[Batch Name], 0)), "", INDEX(SelectedPrecincts[Draw], MATCH(SamplingData[[#This Row],[Batch by Type (p)]],SelectedPrecincts[Batch Name], 0)))</f>
        <v/>
      </c>
      <c r="AJ900" s="100">
        <f>IF(COUNTIF(SelectedPrecincts[Batch Name],SamplingData[[#This Row],[Batch by Type (p)]]) &lt;&gt; 0, COUNTIF(SelectedPrecincts[Batch Name],SamplingData[[#This Row],[Batch by Type (p)]]), 0)</f>
        <v>0</v>
      </c>
    </row>
    <row r="901" spans="1:36" ht="15" customHeight="1" x14ac:dyDescent="0.35">
      <c r="A901" s="97" t="s">
        <v>1114</v>
      </c>
      <c r="B901" s="97">
        <v>165</v>
      </c>
      <c r="C901" s="97">
        <v>219</v>
      </c>
      <c r="D901" s="92"/>
      <c r="E901" s="92"/>
      <c r="F901" s="92"/>
      <c r="G901" s="96"/>
      <c r="H901" s="96"/>
      <c r="I901" s="92"/>
      <c r="J901" s="92"/>
      <c r="K901" s="92"/>
      <c r="L901" s="92"/>
      <c r="M901" s="92"/>
      <c r="N901" s="97">
        <v>1</v>
      </c>
      <c r="O901" s="97">
        <v>27</v>
      </c>
      <c r="P901" s="98">
        <f>SUM(SamplingData[[#This Row],[Winning Candidate]:[Under Votes]])</f>
        <v>412</v>
      </c>
      <c r="Q901" s="99">
        <f>IF(AND(SamplingData[[#This Row],[Total]]&lt;&gt; 0, NOT(ISBLANK(SamplingData[[#This Row],[Losing Candidate]]))),(SamplingData[[#This Row],[Total]]+SamplingData[[#This Row],[Winning Candidate]]-SamplingData[[#This Row],[Losing Candidate]])/(SamplingData[[#Totals],[Winning Candidate]]-SamplingData[[#Totals],[Losing Candidate]]), 0)</f>
        <v>1.5192666779833644E-2</v>
      </c>
      <c r="R901" s="99">
        <f>IF(AND(SamplingData[[#This Row],[Total]]&lt;&gt; 0, NOT(ISBLANK(SamplingData[[#This Row],[Candidate 3]]))),(SamplingData[[#This Row],[Total]]+SamplingData[[#This Row],[Winning Candidate]]-SamplingData[[#This Row],[Candidate 3]])/(SamplingData[[#Totals],[Winning Candidate]]-SamplingData[[#Totals],[Candidate 3]]), 0)</f>
        <v>0</v>
      </c>
      <c r="S901" s="99">
        <f>IF(AND(SamplingData[[#This Row],[Total]]&lt;&gt; 0, NOT(ISBLANK(SamplingData[[#This Row],[Candidate 4]]))),(SamplingData[[#This Row],[Total]]+SamplingData[[#This Row],[Winning Candidate]]-SamplingData[[#This Row],[Candidate 4]])/(SamplingData[[#Totals],[Winning Candidate]]-SamplingData[[#Totals],[Candidate 4]]), 0)</f>
        <v>0</v>
      </c>
      <c r="T901" s="99">
        <f>IF(AND(SamplingData[[#This Row],[Total]]&lt;&gt; 0, NOT(ISBLANK(SamplingData[[#This Row],[Candidate 5]]))),(SamplingData[[#This Row],[Total]]+SamplingData[[#This Row],[Winning Candidate]]-SamplingData[[#This Row],[Candidate 5]])/(SamplingData[[#Totals],[Winning Candidate]]-SamplingData[[#Totals],[Candidate 5]]), 0)</f>
        <v>0</v>
      </c>
      <c r="U901" s="99">
        <f>IF(AND(SamplingData[[#This Row],[Total]]&lt;&gt; 0, NOT(ISBLANK(SamplingData[[#This Row],[Candidate 6]]))),(SamplingData[[#This Row],[Total]]+SamplingData[[#This Row],[Losing Candidate]]-SamplingData[[#This Row],[Candidate 6]])/(SamplingData[[#Totals],[Winning Candidate]]-SamplingData[[#Totals],[Candidate 6]]), 0)</f>
        <v>0</v>
      </c>
      <c r="V901" s="99">
        <f>IF(AND(SamplingData[[#This Row],[Total]]&lt;&gt; 0, NOT(ISBLANK(SamplingData[[#This Row],[Candidate 7]]))),(SamplingData[[#This Row],[Total]]+SamplingData[[#This Row],[Winning Candidate]]-SamplingData[[#This Row],[Candidate 7]])/(SamplingData[[#Totals],[Winning Candidate]]-SamplingData[[#Totals],[Candidate 7]]), 0)</f>
        <v>0</v>
      </c>
      <c r="W901" s="99">
        <f>IF(AND(SamplingData[[#This Row],[Total]]&lt;&gt; 0, NOT(ISBLANK(SamplingData[[#This Row],[Candidate 8]]))),(SamplingData[[#This Row],[Total]]+SamplingData[[#This Row],[Winning Candidate]]-SamplingData[[#This Row],[Candidate 8]])/(SamplingData[[#Totals],[Winning Candidate]]-SamplingData[[#Totals],[Candidate 8]]), 0)</f>
        <v>0</v>
      </c>
      <c r="X9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1" s="99">
        <f>MAX(SamplingData[[#This Row],[Error Bound (up) - Max. possible relative overstatement - Losing Candidate]:[Error Bound (up) - Max. possible relative overstatement - Candidate 12]])</f>
        <v>1.5192666779833644E-2</v>
      </c>
      <c r="AC901" s="99">
        <f>IF(SamplingData[[#This Row],[Max Error Bound (up)]] = 0,0,SamplingData[[#This Row],[Max Error Bound (up)]]/SamplingData[[#Totals],[Max Error Bound (up)]])</f>
        <v>8.1342930890318933E-4</v>
      </c>
      <c r="AD901" s="103">
        <f>SUM($AC$5:AC901)</f>
        <v>0.81338841022285446</v>
      </c>
      <c r="AE901" s="99" t="str" cm="1">
        <f t="array" ref="AE901">IF(SamplingData[[#This Row],[up/U Selection Probability]] = 0, "Zero", TEXT(SamplingData[[#This Row],[Lower Range]], REPT("0",LEN('General Info'!$B$42))) &amp; " - " &amp; TEXT(SamplingData[[#This Row],[Upper Range]], REPT("0",LEN('General Info'!$B$42))))</f>
        <v>812575 - 813387</v>
      </c>
      <c r="AF901" s="99">
        <f>SamplingData[[#This Row],[Upper Range]]-SamplingData[[#This Row],[Span]]</f>
        <v>812574.98091395129</v>
      </c>
      <c r="AG901" s="99">
        <f>IF(ISNUMBER('General Info'!$B$42), ((SamplingData[[#This Row],[up/U Selection Probability]]) * 'General Info'!$B$44) - 1, 0)</f>
        <v>812.42930890318928</v>
      </c>
      <c r="AH901" s="99">
        <f>IF(ISNUMBER('General Info'!$B$42), (SamplingData[[#This Row],[Running (cumulative) sum]] * ('General Info'!$B$42 -'General Info'!$B$43 + 1)) + 'General Info'!$B$43 - 1, 0)</f>
        <v>813387.41022285447</v>
      </c>
      <c r="AI901" s="99" t="str">
        <f>IF(ISERROR(MATCH(SamplingData[[#This Row],[Batch by Type (p)]],SelectedPrecincts[Batch Name], 0)), "", INDEX(SelectedPrecincts[Draw], MATCH(SamplingData[[#This Row],[Batch by Type (p)]],SelectedPrecincts[Batch Name], 0)))</f>
        <v/>
      </c>
      <c r="AJ901" s="100">
        <f>IF(COUNTIF(SelectedPrecincts[Batch Name],SamplingData[[#This Row],[Batch by Type (p)]]) &lt;&gt; 0, COUNTIF(SelectedPrecincts[Batch Name],SamplingData[[#This Row],[Batch by Type (p)]]), 0)</f>
        <v>0</v>
      </c>
    </row>
    <row r="902" spans="1:36" ht="15" customHeight="1" x14ac:dyDescent="0.35">
      <c r="A902" s="97" t="s">
        <v>1115</v>
      </c>
      <c r="B902" s="97">
        <v>203</v>
      </c>
      <c r="C902" s="97">
        <v>308</v>
      </c>
      <c r="D902" s="92"/>
      <c r="E902" s="92"/>
      <c r="F902" s="92"/>
      <c r="G902" s="96"/>
      <c r="H902" s="96"/>
      <c r="I902" s="92"/>
      <c r="J902" s="92"/>
      <c r="K902" s="92"/>
      <c r="L902" s="92"/>
      <c r="M902" s="92"/>
      <c r="N902" s="97">
        <v>0</v>
      </c>
      <c r="O902" s="97">
        <v>55</v>
      </c>
      <c r="P902" s="98">
        <f>SUM(SamplingData[[#This Row],[Winning Candidate]:[Under Votes]])</f>
        <v>566</v>
      </c>
      <c r="Q902" s="99">
        <f>IF(AND(SamplingData[[#This Row],[Total]]&lt;&gt; 0, NOT(ISBLANK(SamplingData[[#This Row],[Losing Candidate]]))),(SamplingData[[#This Row],[Total]]+SamplingData[[#This Row],[Winning Candidate]]-SamplingData[[#This Row],[Losing Candidate]])/(SamplingData[[#Totals],[Winning Candidate]]-SamplingData[[#Totals],[Losing Candidate]]), 0)</f>
        <v>1.9563741300288574E-2</v>
      </c>
      <c r="R902" s="99">
        <f>IF(AND(SamplingData[[#This Row],[Total]]&lt;&gt; 0, NOT(ISBLANK(SamplingData[[#This Row],[Candidate 3]]))),(SamplingData[[#This Row],[Total]]+SamplingData[[#This Row],[Winning Candidate]]-SamplingData[[#This Row],[Candidate 3]])/(SamplingData[[#Totals],[Winning Candidate]]-SamplingData[[#Totals],[Candidate 3]]), 0)</f>
        <v>0</v>
      </c>
      <c r="S902" s="99">
        <f>IF(AND(SamplingData[[#This Row],[Total]]&lt;&gt; 0, NOT(ISBLANK(SamplingData[[#This Row],[Candidate 4]]))),(SamplingData[[#This Row],[Total]]+SamplingData[[#This Row],[Winning Candidate]]-SamplingData[[#This Row],[Candidate 4]])/(SamplingData[[#Totals],[Winning Candidate]]-SamplingData[[#Totals],[Candidate 4]]), 0)</f>
        <v>0</v>
      </c>
      <c r="T902" s="99">
        <f>IF(AND(SamplingData[[#This Row],[Total]]&lt;&gt; 0, NOT(ISBLANK(SamplingData[[#This Row],[Candidate 5]]))),(SamplingData[[#This Row],[Total]]+SamplingData[[#This Row],[Winning Candidate]]-SamplingData[[#This Row],[Candidate 5]])/(SamplingData[[#Totals],[Winning Candidate]]-SamplingData[[#Totals],[Candidate 5]]), 0)</f>
        <v>0</v>
      </c>
      <c r="U902" s="99">
        <f>IF(AND(SamplingData[[#This Row],[Total]]&lt;&gt; 0, NOT(ISBLANK(SamplingData[[#This Row],[Candidate 6]]))),(SamplingData[[#This Row],[Total]]+SamplingData[[#This Row],[Losing Candidate]]-SamplingData[[#This Row],[Candidate 6]])/(SamplingData[[#Totals],[Winning Candidate]]-SamplingData[[#Totals],[Candidate 6]]), 0)</f>
        <v>0</v>
      </c>
      <c r="V902" s="99">
        <f>IF(AND(SamplingData[[#This Row],[Total]]&lt;&gt; 0, NOT(ISBLANK(SamplingData[[#This Row],[Candidate 7]]))),(SamplingData[[#This Row],[Total]]+SamplingData[[#This Row],[Winning Candidate]]-SamplingData[[#This Row],[Candidate 7]])/(SamplingData[[#Totals],[Winning Candidate]]-SamplingData[[#Totals],[Candidate 7]]), 0)</f>
        <v>0</v>
      </c>
      <c r="W902" s="99">
        <f>IF(AND(SamplingData[[#This Row],[Total]]&lt;&gt; 0, NOT(ISBLANK(SamplingData[[#This Row],[Candidate 8]]))),(SamplingData[[#This Row],[Total]]+SamplingData[[#This Row],[Winning Candidate]]-SamplingData[[#This Row],[Candidate 8]])/(SamplingData[[#Totals],[Winning Candidate]]-SamplingData[[#Totals],[Candidate 8]]), 0)</f>
        <v>0</v>
      </c>
      <c r="X9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2" s="99">
        <f>MAX(SamplingData[[#This Row],[Error Bound (up) - Max. possible relative overstatement - Losing Candidate]:[Error Bound (up) - Max. possible relative overstatement - Candidate 12]])</f>
        <v>1.9563741300288574E-2</v>
      </c>
      <c r="AC902" s="99">
        <f>IF(SamplingData[[#This Row],[Max Error Bound (up)]] = 0,0,SamplingData[[#This Row],[Max Error Bound (up)]]/SamplingData[[#Totals],[Max Error Bound (up)]])</f>
        <v>1.0474606463809226E-3</v>
      </c>
      <c r="AD902" s="103">
        <f>SUM($AC$5:AC902)</f>
        <v>0.81443587086923541</v>
      </c>
      <c r="AE902" s="99" t="str" cm="1">
        <f t="array" ref="AE902">IF(SamplingData[[#This Row],[up/U Selection Probability]] = 0, "Zero", TEXT(SamplingData[[#This Row],[Lower Range]], REPT("0",LEN('General Info'!$B$42))) &amp; " - " &amp; TEXT(SamplingData[[#This Row],[Upper Range]], REPT("0",LEN('General Info'!$B$42))))</f>
        <v>813388 - 814435</v>
      </c>
      <c r="AF902" s="99">
        <f>SamplingData[[#This Row],[Upper Range]]-SamplingData[[#This Row],[Span]]</f>
        <v>813388.41022285447</v>
      </c>
      <c r="AG902" s="99">
        <f>IF(ISNUMBER('General Info'!$B$42), ((SamplingData[[#This Row],[up/U Selection Probability]]) * 'General Info'!$B$44) - 1, 0)</f>
        <v>1046.4606463809225</v>
      </c>
      <c r="AH902" s="99">
        <f>IF(ISNUMBER('General Info'!$B$42), (SamplingData[[#This Row],[Running (cumulative) sum]] * ('General Info'!$B$42 -'General Info'!$B$43 + 1)) + 'General Info'!$B$43 - 1, 0)</f>
        <v>814434.87086923537</v>
      </c>
      <c r="AI902" s="99" t="str">
        <f>IF(ISERROR(MATCH(SamplingData[[#This Row],[Batch by Type (p)]],SelectedPrecincts[Batch Name], 0)), "", INDEX(SelectedPrecincts[Draw], MATCH(SamplingData[[#This Row],[Batch by Type (p)]],SelectedPrecincts[Batch Name], 0)))</f>
        <v/>
      </c>
      <c r="AJ902" s="100">
        <f>IF(COUNTIF(SelectedPrecincts[Batch Name],SamplingData[[#This Row],[Batch by Type (p)]]) &lt;&gt; 0, COUNTIF(SelectedPrecincts[Batch Name],SamplingData[[#This Row],[Batch by Type (p)]]), 0)</f>
        <v>0</v>
      </c>
    </row>
    <row r="903" spans="1:36" ht="15" customHeight="1" x14ac:dyDescent="0.35">
      <c r="A903" s="97" t="s">
        <v>1116</v>
      </c>
      <c r="B903" s="97">
        <v>121</v>
      </c>
      <c r="C903" s="97">
        <v>174</v>
      </c>
      <c r="D903" s="92"/>
      <c r="E903" s="92"/>
      <c r="F903" s="92"/>
      <c r="G903" s="96"/>
      <c r="H903" s="96"/>
      <c r="I903" s="92"/>
      <c r="J903" s="92"/>
      <c r="K903" s="92"/>
      <c r="L903" s="92"/>
      <c r="M903" s="92"/>
      <c r="N903" s="97">
        <v>0</v>
      </c>
      <c r="O903" s="97">
        <v>24</v>
      </c>
      <c r="P903" s="98">
        <f>SUM(SamplingData[[#This Row],[Winning Candidate]:[Under Votes]])</f>
        <v>319</v>
      </c>
      <c r="Q903" s="99">
        <f>IF(AND(SamplingData[[#This Row],[Total]]&lt;&gt; 0, NOT(ISBLANK(SamplingData[[#This Row],[Losing Candidate]]))),(SamplingData[[#This Row],[Total]]+SamplingData[[#This Row],[Winning Candidate]]-SamplingData[[#This Row],[Losing Candidate]])/(SamplingData[[#Totals],[Winning Candidate]]-SamplingData[[#Totals],[Losing Candidate]]), 0)</f>
        <v>1.1288406043116619E-2</v>
      </c>
      <c r="R903" s="99">
        <f>IF(AND(SamplingData[[#This Row],[Total]]&lt;&gt; 0, NOT(ISBLANK(SamplingData[[#This Row],[Candidate 3]]))),(SamplingData[[#This Row],[Total]]+SamplingData[[#This Row],[Winning Candidate]]-SamplingData[[#This Row],[Candidate 3]])/(SamplingData[[#Totals],[Winning Candidate]]-SamplingData[[#Totals],[Candidate 3]]), 0)</f>
        <v>0</v>
      </c>
      <c r="S903" s="99">
        <f>IF(AND(SamplingData[[#This Row],[Total]]&lt;&gt; 0, NOT(ISBLANK(SamplingData[[#This Row],[Candidate 4]]))),(SamplingData[[#This Row],[Total]]+SamplingData[[#This Row],[Winning Candidate]]-SamplingData[[#This Row],[Candidate 4]])/(SamplingData[[#Totals],[Winning Candidate]]-SamplingData[[#Totals],[Candidate 4]]), 0)</f>
        <v>0</v>
      </c>
      <c r="T903" s="99">
        <f>IF(AND(SamplingData[[#This Row],[Total]]&lt;&gt; 0, NOT(ISBLANK(SamplingData[[#This Row],[Candidate 5]]))),(SamplingData[[#This Row],[Total]]+SamplingData[[#This Row],[Winning Candidate]]-SamplingData[[#This Row],[Candidate 5]])/(SamplingData[[#Totals],[Winning Candidate]]-SamplingData[[#Totals],[Candidate 5]]), 0)</f>
        <v>0</v>
      </c>
      <c r="U903" s="99">
        <f>IF(AND(SamplingData[[#This Row],[Total]]&lt;&gt; 0, NOT(ISBLANK(SamplingData[[#This Row],[Candidate 6]]))),(SamplingData[[#This Row],[Total]]+SamplingData[[#This Row],[Losing Candidate]]-SamplingData[[#This Row],[Candidate 6]])/(SamplingData[[#Totals],[Winning Candidate]]-SamplingData[[#Totals],[Candidate 6]]), 0)</f>
        <v>0</v>
      </c>
      <c r="V903" s="99">
        <f>IF(AND(SamplingData[[#This Row],[Total]]&lt;&gt; 0, NOT(ISBLANK(SamplingData[[#This Row],[Candidate 7]]))),(SamplingData[[#This Row],[Total]]+SamplingData[[#This Row],[Winning Candidate]]-SamplingData[[#This Row],[Candidate 7]])/(SamplingData[[#Totals],[Winning Candidate]]-SamplingData[[#Totals],[Candidate 7]]), 0)</f>
        <v>0</v>
      </c>
      <c r="W903" s="99">
        <f>IF(AND(SamplingData[[#This Row],[Total]]&lt;&gt; 0, NOT(ISBLANK(SamplingData[[#This Row],[Candidate 8]]))),(SamplingData[[#This Row],[Total]]+SamplingData[[#This Row],[Winning Candidate]]-SamplingData[[#This Row],[Candidate 8]])/(SamplingData[[#Totals],[Winning Candidate]]-SamplingData[[#Totals],[Candidate 8]]), 0)</f>
        <v>0</v>
      </c>
      <c r="X9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3" s="99">
        <f>MAX(SamplingData[[#This Row],[Error Bound (up) - Max. possible relative overstatement - Losing Candidate]:[Error Bound (up) - Max. possible relative overstatement - Candidate 12]])</f>
        <v>1.1288406043116619E-2</v>
      </c>
      <c r="AC903" s="99">
        <f>IF(SamplingData[[#This Row],[Max Error Bound (up)]] = 0,0,SamplingData[[#This Row],[Max Error Bound (up)]]/SamplingData[[#Totals],[Max Error Bound (up)]])</f>
        <v>6.0439160940851499E-4</v>
      </c>
      <c r="AD903" s="103">
        <f>SUM($AC$5:AC903)</f>
        <v>0.81504026247864392</v>
      </c>
      <c r="AE903" s="99" t="str" cm="1">
        <f t="array" ref="AE903">IF(SamplingData[[#This Row],[up/U Selection Probability]] = 0, "Zero", TEXT(SamplingData[[#This Row],[Lower Range]], REPT("0",LEN('General Info'!$B$42))) &amp; " - " &amp; TEXT(SamplingData[[#This Row],[Upper Range]], REPT("0",LEN('General Info'!$B$42))))</f>
        <v>814436 - 815039</v>
      </c>
      <c r="AF903" s="99">
        <f>SamplingData[[#This Row],[Upper Range]]-SamplingData[[#This Row],[Span]]</f>
        <v>814435.87086923537</v>
      </c>
      <c r="AG903" s="99">
        <f>IF(ISNUMBER('General Info'!$B$42), ((SamplingData[[#This Row],[up/U Selection Probability]]) * 'General Info'!$B$44) - 1, 0)</f>
        <v>603.39160940851502</v>
      </c>
      <c r="AH903" s="99">
        <f>IF(ISNUMBER('General Info'!$B$42), (SamplingData[[#This Row],[Running (cumulative) sum]] * ('General Info'!$B$42 -'General Info'!$B$43 + 1)) + 'General Info'!$B$43 - 1, 0)</f>
        <v>815039.26247864391</v>
      </c>
      <c r="AI903" s="99" t="str">
        <f>IF(ISERROR(MATCH(SamplingData[[#This Row],[Batch by Type (p)]],SelectedPrecincts[Batch Name], 0)), "", INDEX(SelectedPrecincts[Draw], MATCH(SamplingData[[#This Row],[Batch by Type (p)]],SelectedPrecincts[Batch Name], 0)))</f>
        <v/>
      </c>
      <c r="AJ903" s="100">
        <f>IF(COUNTIF(SelectedPrecincts[Batch Name],SamplingData[[#This Row],[Batch by Type (p)]]) &lt;&gt; 0, COUNTIF(SelectedPrecincts[Batch Name],SamplingData[[#This Row],[Batch by Type (p)]]), 0)</f>
        <v>0</v>
      </c>
    </row>
    <row r="904" spans="1:36" ht="15" customHeight="1" x14ac:dyDescent="0.35">
      <c r="A904" s="97" t="s">
        <v>1117</v>
      </c>
      <c r="B904" s="97">
        <v>110</v>
      </c>
      <c r="C904" s="97">
        <v>193</v>
      </c>
      <c r="D904" s="92"/>
      <c r="E904" s="92"/>
      <c r="F904" s="92"/>
      <c r="G904" s="96"/>
      <c r="H904" s="96"/>
      <c r="I904" s="92"/>
      <c r="J904" s="92"/>
      <c r="K904" s="92"/>
      <c r="L904" s="92"/>
      <c r="M904" s="92"/>
      <c r="N904" s="97">
        <v>0</v>
      </c>
      <c r="O904" s="97">
        <v>25</v>
      </c>
      <c r="P904" s="98">
        <f>SUM(SamplingData[[#This Row],[Winning Candidate]:[Under Votes]])</f>
        <v>328</v>
      </c>
      <c r="Q904" s="99">
        <f>IF(AND(SamplingData[[#This Row],[Total]]&lt;&gt; 0, NOT(ISBLANK(SamplingData[[#This Row],[Losing Candidate]]))),(SamplingData[[#This Row],[Total]]+SamplingData[[#This Row],[Winning Candidate]]-SamplingData[[#This Row],[Losing Candidate]])/(SamplingData[[#Totals],[Winning Candidate]]-SamplingData[[#Totals],[Losing Candidate]]), 0)</f>
        <v>1.0397216092344255E-2</v>
      </c>
      <c r="R904" s="99">
        <f>IF(AND(SamplingData[[#This Row],[Total]]&lt;&gt; 0, NOT(ISBLANK(SamplingData[[#This Row],[Candidate 3]]))),(SamplingData[[#This Row],[Total]]+SamplingData[[#This Row],[Winning Candidate]]-SamplingData[[#This Row],[Candidate 3]])/(SamplingData[[#Totals],[Winning Candidate]]-SamplingData[[#Totals],[Candidate 3]]), 0)</f>
        <v>0</v>
      </c>
      <c r="S904" s="99">
        <f>IF(AND(SamplingData[[#This Row],[Total]]&lt;&gt; 0, NOT(ISBLANK(SamplingData[[#This Row],[Candidate 4]]))),(SamplingData[[#This Row],[Total]]+SamplingData[[#This Row],[Winning Candidate]]-SamplingData[[#This Row],[Candidate 4]])/(SamplingData[[#Totals],[Winning Candidate]]-SamplingData[[#Totals],[Candidate 4]]), 0)</f>
        <v>0</v>
      </c>
      <c r="T904" s="99">
        <f>IF(AND(SamplingData[[#This Row],[Total]]&lt;&gt; 0, NOT(ISBLANK(SamplingData[[#This Row],[Candidate 5]]))),(SamplingData[[#This Row],[Total]]+SamplingData[[#This Row],[Winning Candidate]]-SamplingData[[#This Row],[Candidate 5]])/(SamplingData[[#Totals],[Winning Candidate]]-SamplingData[[#Totals],[Candidate 5]]), 0)</f>
        <v>0</v>
      </c>
      <c r="U904" s="99">
        <f>IF(AND(SamplingData[[#This Row],[Total]]&lt;&gt; 0, NOT(ISBLANK(SamplingData[[#This Row],[Candidate 6]]))),(SamplingData[[#This Row],[Total]]+SamplingData[[#This Row],[Losing Candidate]]-SamplingData[[#This Row],[Candidate 6]])/(SamplingData[[#Totals],[Winning Candidate]]-SamplingData[[#Totals],[Candidate 6]]), 0)</f>
        <v>0</v>
      </c>
      <c r="V904" s="99">
        <f>IF(AND(SamplingData[[#This Row],[Total]]&lt;&gt; 0, NOT(ISBLANK(SamplingData[[#This Row],[Candidate 7]]))),(SamplingData[[#This Row],[Total]]+SamplingData[[#This Row],[Winning Candidate]]-SamplingData[[#This Row],[Candidate 7]])/(SamplingData[[#Totals],[Winning Candidate]]-SamplingData[[#Totals],[Candidate 7]]), 0)</f>
        <v>0</v>
      </c>
      <c r="W904" s="99">
        <f>IF(AND(SamplingData[[#This Row],[Total]]&lt;&gt; 0, NOT(ISBLANK(SamplingData[[#This Row],[Candidate 8]]))),(SamplingData[[#This Row],[Total]]+SamplingData[[#This Row],[Winning Candidate]]-SamplingData[[#This Row],[Candidate 8]])/(SamplingData[[#Totals],[Winning Candidate]]-SamplingData[[#Totals],[Candidate 8]]), 0)</f>
        <v>0</v>
      </c>
      <c r="X9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4" s="99">
        <f>MAX(SamplingData[[#This Row],[Error Bound (up) - Max. possible relative overstatement - Losing Candidate]:[Error Bound (up) - Max. possible relative overstatement - Candidate 12]])</f>
        <v>1.0397216092344255E-2</v>
      </c>
      <c r="AC904" s="99">
        <f>IF(SamplingData[[#This Row],[Max Error Bound (up)]] = 0,0,SamplingData[[#This Row],[Max Error Bound (up)]]/SamplingData[[#Totals],[Max Error Bound (up)]])</f>
        <v>5.5667648234994805E-4</v>
      </c>
      <c r="AD904" s="103">
        <f>SUM($AC$5:AC904)</f>
        <v>0.81559693896099383</v>
      </c>
      <c r="AE904" s="99" t="str" cm="1">
        <f t="array" ref="AE904">IF(SamplingData[[#This Row],[up/U Selection Probability]] = 0, "Zero", TEXT(SamplingData[[#This Row],[Lower Range]], REPT("0",LEN('General Info'!$B$42))) &amp; " - " &amp; TEXT(SamplingData[[#This Row],[Upper Range]], REPT("0",LEN('General Info'!$B$42))))</f>
        <v>815040 - 815596</v>
      </c>
      <c r="AF904" s="99">
        <f>SamplingData[[#This Row],[Upper Range]]-SamplingData[[#This Row],[Span]]</f>
        <v>815040.2624786438</v>
      </c>
      <c r="AG904" s="99">
        <f>IF(ISNUMBER('General Info'!$B$42), ((SamplingData[[#This Row],[up/U Selection Probability]]) * 'General Info'!$B$44) - 1, 0)</f>
        <v>555.67648234994806</v>
      </c>
      <c r="AH904" s="99">
        <f>IF(ISNUMBER('General Info'!$B$42), (SamplingData[[#This Row],[Running (cumulative) sum]] * ('General Info'!$B$42 -'General Info'!$B$43 + 1)) + 'General Info'!$B$43 - 1, 0)</f>
        <v>815595.93896099378</v>
      </c>
      <c r="AI904" s="99" t="str">
        <f>IF(ISERROR(MATCH(SamplingData[[#This Row],[Batch by Type (p)]],SelectedPrecincts[Batch Name], 0)), "", INDEX(SelectedPrecincts[Draw], MATCH(SamplingData[[#This Row],[Batch by Type (p)]],SelectedPrecincts[Batch Name], 0)))</f>
        <v/>
      </c>
      <c r="AJ904" s="100">
        <f>IF(COUNTIF(SelectedPrecincts[Batch Name],SamplingData[[#This Row],[Batch by Type (p)]]) &lt;&gt; 0, COUNTIF(SelectedPrecincts[Batch Name],SamplingData[[#This Row],[Batch by Type (p)]]), 0)</f>
        <v>0</v>
      </c>
    </row>
    <row r="905" spans="1:36" ht="15" customHeight="1" x14ac:dyDescent="0.35">
      <c r="A905" s="97" t="s">
        <v>1118</v>
      </c>
      <c r="B905" s="97">
        <v>141</v>
      </c>
      <c r="C905" s="97">
        <v>211</v>
      </c>
      <c r="D905" s="92"/>
      <c r="E905" s="92"/>
      <c r="F905" s="92"/>
      <c r="G905" s="96"/>
      <c r="H905" s="96"/>
      <c r="I905" s="92"/>
      <c r="J905" s="92"/>
      <c r="K905" s="92"/>
      <c r="L905" s="92"/>
      <c r="M905" s="92"/>
      <c r="N905" s="97">
        <v>0</v>
      </c>
      <c r="O905" s="97">
        <v>34</v>
      </c>
      <c r="P905" s="98">
        <f>SUM(SamplingData[[#This Row],[Winning Candidate]:[Under Votes]])</f>
        <v>386</v>
      </c>
      <c r="Q905" s="99">
        <f>IF(AND(SamplingData[[#This Row],[Total]]&lt;&gt; 0, NOT(ISBLANK(SamplingData[[#This Row],[Losing Candidate]]))),(SamplingData[[#This Row],[Total]]+SamplingData[[#This Row],[Winning Candidate]]-SamplingData[[#This Row],[Losing Candidate]])/(SamplingData[[#Totals],[Winning Candidate]]-SamplingData[[#Totals],[Losing Candidate]]), 0)</f>
        <v>1.3410286878288916E-2</v>
      </c>
      <c r="R905" s="99">
        <f>IF(AND(SamplingData[[#This Row],[Total]]&lt;&gt; 0, NOT(ISBLANK(SamplingData[[#This Row],[Candidate 3]]))),(SamplingData[[#This Row],[Total]]+SamplingData[[#This Row],[Winning Candidate]]-SamplingData[[#This Row],[Candidate 3]])/(SamplingData[[#Totals],[Winning Candidate]]-SamplingData[[#Totals],[Candidate 3]]), 0)</f>
        <v>0</v>
      </c>
      <c r="S905" s="99">
        <f>IF(AND(SamplingData[[#This Row],[Total]]&lt;&gt; 0, NOT(ISBLANK(SamplingData[[#This Row],[Candidate 4]]))),(SamplingData[[#This Row],[Total]]+SamplingData[[#This Row],[Winning Candidate]]-SamplingData[[#This Row],[Candidate 4]])/(SamplingData[[#Totals],[Winning Candidate]]-SamplingData[[#Totals],[Candidate 4]]), 0)</f>
        <v>0</v>
      </c>
      <c r="T905" s="99">
        <f>IF(AND(SamplingData[[#This Row],[Total]]&lt;&gt; 0, NOT(ISBLANK(SamplingData[[#This Row],[Candidate 5]]))),(SamplingData[[#This Row],[Total]]+SamplingData[[#This Row],[Winning Candidate]]-SamplingData[[#This Row],[Candidate 5]])/(SamplingData[[#Totals],[Winning Candidate]]-SamplingData[[#Totals],[Candidate 5]]), 0)</f>
        <v>0</v>
      </c>
      <c r="U905" s="99">
        <f>IF(AND(SamplingData[[#This Row],[Total]]&lt;&gt; 0, NOT(ISBLANK(SamplingData[[#This Row],[Candidate 6]]))),(SamplingData[[#This Row],[Total]]+SamplingData[[#This Row],[Losing Candidate]]-SamplingData[[#This Row],[Candidate 6]])/(SamplingData[[#Totals],[Winning Candidate]]-SamplingData[[#Totals],[Candidate 6]]), 0)</f>
        <v>0</v>
      </c>
      <c r="V905" s="99">
        <f>IF(AND(SamplingData[[#This Row],[Total]]&lt;&gt; 0, NOT(ISBLANK(SamplingData[[#This Row],[Candidate 7]]))),(SamplingData[[#This Row],[Total]]+SamplingData[[#This Row],[Winning Candidate]]-SamplingData[[#This Row],[Candidate 7]])/(SamplingData[[#Totals],[Winning Candidate]]-SamplingData[[#Totals],[Candidate 7]]), 0)</f>
        <v>0</v>
      </c>
      <c r="W905" s="99">
        <f>IF(AND(SamplingData[[#This Row],[Total]]&lt;&gt; 0, NOT(ISBLANK(SamplingData[[#This Row],[Candidate 8]]))),(SamplingData[[#This Row],[Total]]+SamplingData[[#This Row],[Winning Candidate]]-SamplingData[[#This Row],[Candidate 8]])/(SamplingData[[#Totals],[Winning Candidate]]-SamplingData[[#Totals],[Candidate 8]]), 0)</f>
        <v>0</v>
      </c>
      <c r="X9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5" s="99">
        <f>MAX(SamplingData[[#This Row],[Error Bound (up) - Max. possible relative overstatement - Losing Candidate]:[Error Bound (up) - Max. possible relative overstatement - Candidate 12]])</f>
        <v>1.3410286878288916E-2</v>
      </c>
      <c r="AC905" s="99">
        <f>IF(SamplingData[[#This Row],[Max Error Bound (up)]] = 0,0,SamplingData[[#This Row],[Max Error Bound (up)]]/SamplingData[[#Totals],[Max Error Bound (up)]])</f>
        <v>7.1799905478605545E-4</v>
      </c>
      <c r="AD905" s="103">
        <f>SUM($AC$5:AC905)</f>
        <v>0.81631493801577992</v>
      </c>
      <c r="AE905" s="99" t="str" cm="1">
        <f t="array" ref="AE905">IF(SamplingData[[#This Row],[up/U Selection Probability]] = 0, "Zero", TEXT(SamplingData[[#This Row],[Lower Range]], REPT("0",LEN('General Info'!$B$42))) &amp; " - " &amp; TEXT(SamplingData[[#This Row],[Upper Range]], REPT("0",LEN('General Info'!$B$42))))</f>
        <v>815597 - 816314</v>
      </c>
      <c r="AF905" s="99">
        <f>SamplingData[[#This Row],[Upper Range]]-SamplingData[[#This Row],[Span]]</f>
        <v>815596.9389609939</v>
      </c>
      <c r="AG905" s="99">
        <f>IF(ISNUMBER('General Info'!$B$42), ((SamplingData[[#This Row],[up/U Selection Probability]]) * 'General Info'!$B$44) - 1, 0)</f>
        <v>716.99905478605547</v>
      </c>
      <c r="AH905" s="99">
        <f>IF(ISNUMBER('General Info'!$B$42), (SamplingData[[#This Row],[Running (cumulative) sum]] * ('General Info'!$B$42 -'General Info'!$B$43 + 1)) + 'General Info'!$B$43 - 1, 0)</f>
        <v>816313.93801577995</v>
      </c>
      <c r="AI905" s="99" t="str">
        <f>IF(ISERROR(MATCH(SamplingData[[#This Row],[Batch by Type (p)]],SelectedPrecincts[Batch Name], 0)), "", INDEX(SelectedPrecincts[Draw], MATCH(SamplingData[[#This Row],[Batch by Type (p)]],SelectedPrecincts[Batch Name], 0)))</f>
        <v/>
      </c>
      <c r="AJ905" s="100">
        <f>IF(COUNTIF(SelectedPrecincts[Batch Name],SamplingData[[#This Row],[Batch by Type (p)]]) &lt;&gt; 0, COUNTIF(SelectedPrecincts[Batch Name],SamplingData[[#This Row],[Batch by Type (p)]]), 0)</f>
        <v>0</v>
      </c>
    </row>
    <row r="906" spans="1:36" ht="15" customHeight="1" x14ac:dyDescent="0.35">
      <c r="A906" s="97" t="s">
        <v>1119</v>
      </c>
      <c r="B906" s="97">
        <v>88</v>
      </c>
      <c r="C906" s="97">
        <v>209</v>
      </c>
      <c r="D906" s="92"/>
      <c r="E906" s="92"/>
      <c r="F906" s="92"/>
      <c r="G906" s="96"/>
      <c r="H906" s="96"/>
      <c r="I906" s="92"/>
      <c r="J906" s="92"/>
      <c r="K906" s="92"/>
      <c r="L906" s="92"/>
      <c r="M906" s="92"/>
      <c r="N906" s="97">
        <v>0</v>
      </c>
      <c r="O906" s="97">
        <v>11</v>
      </c>
      <c r="P906" s="98">
        <f>SUM(SamplingData[[#This Row],[Winning Candidate]:[Under Votes]])</f>
        <v>308</v>
      </c>
      <c r="Q906" s="99">
        <f>IF(AND(SamplingData[[#This Row],[Total]]&lt;&gt; 0, NOT(ISBLANK(SamplingData[[#This Row],[Losing Candidate]]))),(SamplingData[[#This Row],[Total]]+SamplingData[[#This Row],[Winning Candidate]]-SamplingData[[#This Row],[Losing Candidate]])/(SamplingData[[#Totals],[Winning Candidate]]-SamplingData[[#Totals],[Losing Candidate]]), 0)</f>
        <v>7.9358343235443902E-3</v>
      </c>
      <c r="R906" s="99">
        <f>IF(AND(SamplingData[[#This Row],[Total]]&lt;&gt; 0, NOT(ISBLANK(SamplingData[[#This Row],[Candidate 3]]))),(SamplingData[[#This Row],[Total]]+SamplingData[[#This Row],[Winning Candidate]]-SamplingData[[#This Row],[Candidate 3]])/(SamplingData[[#Totals],[Winning Candidate]]-SamplingData[[#Totals],[Candidate 3]]), 0)</f>
        <v>0</v>
      </c>
      <c r="S906" s="99">
        <f>IF(AND(SamplingData[[#This Row],[Total]]&lt;&gt; 0, NOT(ISBLANK(SamplingData[[#This Row],[Candidate 4]]))),(SamplingData[[#This Row],[Total]]+SamplingData[[#This Row],[Winning Candidate]]-SamplingData[[#This Row],[Candidate 4]])/(SamplingData[[#Totals],[Winning Candidate]]-SamplingData[[#Totals],[Candidate 4]]), 0)</f>
        <v>0</v>
      </c>
      <c r="T906" s="99">
        <f>IF(AND(SamplingData[[#This Row],[Total]]&lt;&gt; 0, NOT(ISBLANK(SamplingData[[#This Row],[Candidate 5]]))),(SamplingData[[#This Row],[Total]]+SamplingData[[#This Row],[Winning Candidate]]-SamplingData[[#This Row],[Candidate 5]])/(SamplingData[[#Totals],[Winning Candidate]]-SamplingData[[#Totals],[Candidate 5]]), 0)</f>
        <v>0</v>
      </c>
      <c r="U906" s="99">
        <f>IF(AND(SamplingData[[#This Row],[Total]]&lt;&gt; 0, NOT(ISBLANK(SamplingData[[#This Row],[Candidate 6]]))),(SamplingData[[#This Row],[Total]]+SamplingData[[#This Row],[Losing Candidate]]-SamplingData[[#This Row],[Candidate 6]])/(SamplingData[[#Totals],[Winning Candidate]]-SamplingData[[#Totals],[Candidate 6]]), 0)</f>
        <v>0</v>
      </c>
      <c r="V906" s="99">
        <f>IF(AND(SamplingData[[#This Row],[Total]]&lt;&gt; 0, NOT(ISBLANK(SamplingData[[#This Row],[Candidate 7]]))),(SamplingData[[#This Row],[Total]]+SamplingData[[#This Row],[Winning Candidate]]-SamplingData[[#This Row],[Candidate 7]])/(SamplingData[[#Totals],[Winning Candidate]]-SamplingData[[#Totals],[Candidate 7]]), 0)</f>
        <v>0</v>
      </c>
      <c r="W906" s="99">
        <f>IF(AND(SamplingData[[#This Row],[Total]]&lt;&gt; 0, NOT(ISBLANK(SamplingData[[#This Row],[Candidate 8]]))),(SamplingData[[#This Row],[Total]]+SamplingData[[#This Row],[Winning Candidate]]-SamplingData[[#This Row],[Candidate 8]])/(SamplingData[[#Totals],[Winning Candidate]]-SamplingData[[#Totals],[Candidate 8]]), 0)</f>
        <v>0</v>
      </c>
      <c r="X9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6" s="99">
        <f>MAX(SamplingData[[#This Row],[Error Bound (up) - Max. possible relative overstatement - Losing Candidate]:[Error Bound (up) - Max. possible relative overstatement - Candidate 12]])</f>
        <v>7.9358343235443902E-3</v>
      </c>
      <c r="AC906" s="99">
        <f>IF(SamplingData[[#This Row],[Max Error Bound (up)]] = 0,0,SamplingData[[#This Row],[Max Error Bound (up)]]/SamplingData[[#Totals],[Max Error Bound (up)]])</f>
        <v>4.2489184571200113E-4</v>
      </c>
      <c r="AD906" s="103">
        <f>SUM($AC$5:AC906)</f>
        <v>0.81673982986149196</v>
      </c>
      <c r="AE906" s="99" t="str" cm="1">
        <f t="array" ref="AE906">IF(SamplingData[[#This Row],[up/U Selection Probability]] = 0, "Zero", TEXT(SamplingData[[#This Row],[Lower Range]], REPT("0",LEN('General Info'!$B$42))) &amp; " - " &amp; TEXT(SamplingData[[#This Row],[Upper Range]], REPT("0",LEN('General Info'!$B$42))))</f>
        <v>816315 - 816739</v>
      </c>
      <c r="AF906" s="99">
        <f>SamplingData[[#This Row],[Upper Range]]-SamplingData[[#This Row],[Span]]</f>
        <v>816314.93801577995</v>
      </c>
      <c r="AG906" s="99">
        <f>IF(ISNUMBER('General Info'!$B$42), ((SamplingData[[#This Row],[up/U Selection Probability]]) * 'General Info'!$B$44) - 1, 0)</f>
        <v>423.89184571200116</v>
      </c>
      <c r="AH906" s="99">
        <f>IF(ISNUMBER('General Info'!$B$42), (SamplingData[[#This Row],[Running (cumulative) sum]] * ('General Info'!$B$42 -'General Info'!$B$43 + 1)) + 'General Info'!$B$43 - 1, 0)</f>
        <v>816738.82986149192</v>
      </c>
      <c r="AI906" s="99" t="str">
        <f>IF(ISERROR(MATCH(SamplingData[[#This Row],[Batch by Type (p)]],SelectedPrecincts[Batch Name], 0)), "", INDEX(SelectedPrecincts[Draw], MATCH(SamplingData[[#This Row],[Batch by Type (p)]],SelectedPrecincts[Batch Name], 0)))</f>
        <v/>
      </c>
      <c r="AJ906" s="100">
        <f>IF(COUNTIF(SelectedPrecincts[Batch Name],SamplingData[[#This Row],[Batch by Type (p)]]) &lt;&gt; 0, COUNTIF(SelectedPrecincts[Batch Name],SamplingData[[#This Row],[Batch by Type (p)]]), 0)</f>
        <v>0</v>
      </c>
    </row>
    <row r="907" spans="1:36" ht="15" customHeight="1" x14ac:dyDescent="0.35">
      <c r="A907" s="97" t="s">
        <v>1120</v>
      </c>
      <c r="B907" s="97">
        <v>176</v>
      </c>
      <c r="C907" s="97">
        <v>340</v>
      </c>
      <c r="D907" s="92"/>
      <c r="E907" s="92"/>
      <c r="F907" s="92"/>
      <c r="G907" s="96"/>
      <c r="H907" s="96"/>
      <c r="I907" s="92"/>
      <c r="J907" s="92"/>
      <c r="K907" s="92"/>
      <c r="L907" s="92"/>
      <c r="M907" s="92"/>
      <c r="N907" s="97">
        <v>0</v>
      </c>
      <c r="O907" s="97">
        <v>34</v>
      </c>
      <c r="P907" s="98">
        <f>SUM(SamplingData[[#This Row],[Winning Candidate]:[Under Votes]])</f>
        <v>550</v>
      </c>
      <c r="Q907" s="99">
        <f>IF(AND(SamplingData[[#This Row],[Total]]&lt;&gt; 0, NOT(ISBLANK(SamplingData[[#This Row],[Losing Candidate]]))),(SamplingData[[#This Row],[Total]]+SamplingData[[#This Row],[Winning Candidate]]-SamplingData[[#This Row],[Losing Candidate]])/(SamplingData[[#Totals],[Winning Candidate]]-SamplingData[[#Totals],[Losing Candidate]]), 0)</f>
        <v>1.6380920047530129E-2</v>
      </c>
      <c r="R907" s="99">
        <f>IF(AND(SamplingData[[#This Row],[Total]]&lt;&gt; 0, NOT(ISBLANK(SamplingData[[#This Row],[Candidate 3]]))),(SamplingData[[#This Row],[Total]]+SamplingData[[#This Row],[Winning Candidate]]-SamplingData[[#This Row],[Candidate 3]])/(SamplingData[[#Totals],[Winning Candidate]]-SamplingData[[#Totals],[Candidate 3]]), 0)</f>
        <v>0</v>
      </c>
      <c r="S907" s="99">
        <f>IF(AND(SamplingData[[#This Row],[Total]]&lt;&gt; 0, NOT(ISBLANK(SamplingData[[#This Row],[Candidate 4]]))),(SamplingData[[#This Row],[Total]]+SamplingData[[#This Row],[Winning Candidate]]-SamplingData[[#This Row],[Candidate 4]])/(SamplingData[[#Totals],[Winning Candidate]]-SamplingData[[#Totals],[Candidate 4]]), 0)</f>
        <v>0</v>
      </c>
      <c r="T907" s="99">
        <f>IF(AND(SamplingData[[#This Row],[Total]]&lt;&gt; 0, NOT(ISBLANK(SamplingData[[#This Row],[Candidate 5]]))),(SamplingData[[#This Row],[Total]]+SamplingData[[#This Row],[Winning Candidate]]-SamplingData[[#This Row],[Candidate 5]])/(SamplingData[[#Totals],[Winning Candidate]]-SamplingData[[#Totals],[Candidate 5]]), 0)</f>
        <v>0</v>
      </c>
      <c r="U907" s="99">
        <f>IF(AND(SamplingData[[#This Row],[Total]]&lt;&gt; 0, NOT(ISBLANK(SamplingData[[#This Row],[Candidate 6]]))),(SamplingData[[#This Row],[Total]]+SamplingData[[#This Row],[Losing Candidate]]-SamplingData[[#This Row],[Candidate 6]])/(SamplingData[[#Totals],[Winning Candidate]]-SamplingData[[#Totals],[Candidate 6]]), 0)</f>
        <v>0</v>
      </c>
      <c r="V907" s="99">
        <f>IF(AND(SamplingData[[#This Row],[Total]]&lt;&gt; 0, NOT(ISBLANK(SamplingData[[#This Row],[Candidate 7]]))),(SamplingData[[#This Row],[Total]]+SamplingData[[#This Row],[Winning Candidate]]-SamplingData[[#This Row],[Candidate 7]])/(SamplingData[[#Totals],[Winning Candidate]]-SamplingData[[#Totals],[Candidate 7]]), 0)</f>
        <v>0</v>
      </c>
      <c r="W907" s="99">
        <f>IF(AND(SamplingData[[#This Row],[Total]]&lt;&gt; 0, NOT(ISBLANK(SamplingData[[#This Row],[Candidate 8]]))),(SamplingData[[#This Row],[Total]]+SamplingData[[#This Row],[Winning Candidate]]-SamplingData[[#This Row],[Candidate 8]])/(SamplingData[[#Totals],[Winning Candidate]]-SamplingData[[#Totals],[Candidate 8]]), 0)</f>
        <v>0</v>
      </c>
      <c r="X9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7" s="99">
        <f>MAX(SamplingData[[#This Row],[Error Bound (up) - Max. possible relative overstatement - Losing Candidate]:[Error Bound (up) - Max. possible relative overstatement - Candidate 12]])</f>
        <v>1.6380920047530129E-2</v>
      </c>
      <c r="AC907" s="99">
        <f>IF(SamplingData[[#This Row],[Max Error Bound (up)]] = 0,0,SamplingData[[#This Row],[Max Error Bound (up)]]/SamplingData[[#Totals],[Max Error Bound (up)]])</f>
        <v>8.7704947831461185E-4</v>
      </c>
      <c r="AD907" s="103">
        <f>SUM($AC$5:AC907)</f>
        <v>0.81761687933980653</v>
      </c>
      <c r="AE907" s="99" t="str" cm="1">
        <f t="array" ref="AE907">IF(SamplingData[[#This Row],[up/U Selection Probability]] = 0, "Zero", TEXT(SamplingData[[#This Row],[Lower Range]], REPT("0",LEN('General Info'!$B$42))) &amp; " - " &amp; TEXT(SamplingData[[#This Row],[Upper Range]], REPT("0",LEN('General Info'!$B$42))))</f>
        <v>816740 - 817616</v>
      </c>
      <c r="AF907" s="99">
        <f>SamplingData[[#This Row],[Upper Range]]-SamplingData[[#This Row],[Span]]</f>
        <v>816739.82986149192</v>
      </c>
      <c r="AG907" s="99">
        <f>IF(ISNUMBER('General Info'!$B$42), ((SamplingData[[#This Row],[up/U Selection Probability]]) * 'General Info'!$B$44) - 1, 0)</f>
        <v>876.04947831461186</v>
      </c>
      <c r="AH907" s="99">
        <f>IF(ISNUMBER('General Info'!$B$42), (SamplingData[[#This Row],[Running (cumulative) sum]] * ('General Info'!$B$42 -'General Info'!$B$43 + 1)) + 'General Info'!$B$43 - 1, 0)</f>
        <v>817615.8793398065</v>
      </c>
      <c r="AI907" s="99" t="str">
        <f>IF(ISERROR(MATCH(SamplingData[[#This Row],[Batch by Type (p)]],SelectedPrecincts[Batch Name], 0)), "", INDEX(SelectedPrecincts[Draw], MATCH(SamplingData[[#This Row],[Batch by Type (p)]],SelectedPrecincts[Batch Name], 0)))</f>
        <v/>
      </c>
      <c r="AJ907" s="100">
        <f>IF(COUNTIF(SelectedPrecincts[Batch Name],SamplingData[[#This Row],[Batch by Type (p)]]) &lt;&gt; 0, COUNTIF(SelectedPrecincts[Batch Name],SamplingData[[#This Row],[Batch by Type (p)]]), 0)</f>
        <v>0</v>
      </c>
    </row>
    <row r="908" spans="1:36" ht="15" customHeight="1" x14ac:dyDescent="0.35">
      <c r="A908" s="97" t="s">
        <v>1121</v>
      </c>
      <c r="B908" s="97">
        <v>248</v>
      </c>
      <c r="C908" s="97">
        <v>341</v>
      </c>
      <c r="D908" s="92"/>
      <c r="E908" s="92"/>
      <c r="F908" s="92"/>
      <c r="G908" s="96"/>
      <c r="H908" s="96"/>
      <c r="I908" s="92"/>
      <c r="J908" s="92"/>
      <c r="K908" s="92"/>
      <c r="L908" s="92"/>
      <c r="M908" s="92"/>
      <c r="N908" s="97">
        <v>0</v>
      </c>
      <c r="O908" s="97">
        <v>38</v>
      </c>
      <c r="P908" s="98">
        <f>SUM(SamplingData[[#This Row],[Winning Candidate]:[Under Votes]])</f>
        <v>627</v>
      </c>
      <c r="Q908" s="99">
        <f>IF(AND(SamplingData[[#This Row],[Total]]&lt;&gt; 0, NOT(ISBLANK(SamplingData[[#This Row],[Losing Candidate]]))),(SamplingData[[#This Row],[Total]]+SamplingData[[#This Row],[Winning Candidate]]-SamplingData[[#This Row],[Losing Candidate]])/(SamplingData[[#Totals],[Winning Candidate]]-SamplingData[[#Totals],[Losing Candidate]]), 0)</f>
        <v>2.266168731964013E-2</v>
      </c>
      <c r="R908" s="99">
        <f>IF(AND(SamplingData[[#This Row],[Total]]&lt;&gt; 0, NOT(ISBLANK(SamplingData[[#This Row],[Candidate 3]]))),(SamplingData[[#This Row],[Total]]+SamplingData[[#This Row],[Winning Candidate]]-SamplingData[[#This Row],[Candidate 3]])/(SamplingData[[#Totals],[Winning Candidate]]-SamplingData[[#Totals],[Candidate 3]]), 0)</f>
        <v>0</v>
      </c>
      <c r="S908" s="99">
        <f>IF(AND(SamplingData[[#This Row],[Total]]&lt;&gt; 0, NOT(ISBLANK(SamplingData[[#This Row],[Candidate 4]]))),(SamplingData[[#This Row],[Total]]+SamplingData[[#This Row],[Winning Candidate]]-SamplingData[[#This Row],[Candidate 4]])/(SamplingData[[#Totals],[Winning Candidate]]-SamplingData[[#Totals],[Candidate 4]]), 0)</f>
        <v>0</v>
      </c>
      <c r="T908" s="99">
        <f>IF(AND(SamplingData[[#This Row],[Total]]&lt;&gt; 0, NOT(ISBLANK(SamplingData[[#This Row],[Candidate 5]]))),(SamplingData[[#This Row],[Total]]+SamplingData[[#This Row],[Winning Candidate]]-SamplingData[[#This Row],[Candidate 5]])/(SamplingData[[#Totals],[Winning Candidate]]-SamplingData[[#Totals],[Candidate 5]]), 0)</f>
        <v>0</v>
      </c>
      <c r="U908" s="99">
        <f>IF(AND(SamplingData[[#This Row],[Total]]&lt;&gt; 0, NOT(ISBLANK(SamplingData[[#This Row],[Candidate 6]]))),(SamplingData[[#This Row],[Total]]+SamplingData[[#This Row],[Losing Candidate]]-SamplingData[[#This Row],[Candidate 6]])/(SamplingData[[#Totals],[Winning Candidate]]-SamplingData[[#Totals],[Candidate 6]]), 0)</f>
        <v>0</v>
      </c>
      <c r="V908" s="99">
        <f>IF(AND(SamplingData[[#This Row],[Total]]&lt;&gt; 0, NOT(ISBLANK(SamplingData[[#This Row],[Candidate 7]]))),(SamplingData[[#This Row],[Total]]+SamplingData[[#This Row],[Winning Candidate]]-SamplingData[[#This Row],[Candidate 7]])/(SamplingData[[#Totals],[Winning Candidate]]-SamplingData[[#Totals],[Candidate 7]]), 0)</f>
        <v>0</v>
      </c>
      <c r="W908" s="99">
        <f>IF(AND(SamplingData[[#This Row],[Total]]&lt;&gt; 0, NOT(ISBLANK(SamplingData[[#This Row],[Candidate 8]]))),(SamplingData[[#This Row],[Total]]+SamplingData[[#This Row],[Winning Candidate]]-SamplingData[[#This Row],[Candidate 8]])/(SamplingData[[#Totals],[Winning Candidate]]-SamplingData[[#Totals],[Candidate 8]]), 0)</f>
        <v>0</v>
      </c>
      <c r="X9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8" s="99">
        <f>MAX(SamplingData[[#This Row],[Error Bound (up) - Max. possible relative overstatement - Losing Candidate]:[Error Bound (up) - Max. possible relative overstatement - Candidate 12]])</f>
        <v>2.266168731964013E-2</v>
      </c>
      <c r="AC908" s="99">
        <f>IF(SamplingData[[#This Row],[Max Error Bound (up)]] = 0,0,SamplingData[[#This Row],[Max Error Bound (up)]]/SamplingData[[#Totals],[Max Error Bound (up)]])</f>
        <v>1.2133275166321315E-3</v>
      </c>
      <c r="AD908" s="103">
        <f>SUM($AC$5:AC908)</f>
        <v>0.8188302068564387</v>
      </c>
      <c r="AE908" s="99" t="str" cm="1">
        <f t="array" ref="AE908">IF(SamplingData[[#This Row],[up/U Selection Probability]] = 0, "Zero", TEXT(SamplingData[[#This Row],[Lower Range]], REPT("0",LEN('General Info'!$B$42))) &amp; " - " &amp; TEXT(SamplingData[[#This Row],[Upper Range]], REPT("0",LEN('General Info'!$B$42))))</f>
        <v>817617 - 818829</v>
      </c>
      <c r="AF908" s="99">
        <f>SamplingData[[#This Row],[Upper Range]]-SamplingData[[#This Row],[Span]]</f>
        <v>817616.8793398065</v>
      </c>
      <c r="AG908" s="99">
        <f>IF(ISNUMBER('General Info'!$B$42), ((SamplingData[[#This Row],[up/U Selection Probability]]) * 'General Info'!$B$44) - 1, 0)</f>
        <v>1212.3275166321316</v>
      </c>
      <c r="AH908" s="99">
        <f>IF(ISNUMBER('General Info'!$B$42), (SamplingData[[#This Row],[Running (cumulative) sum]] * ('General Info'!$B$42 -'General Info'!$B$43 + 1)) + 'General Info'!$B$43 - 1, 0)</f>
        <v>818829.20685643866</v>
      </c>
      <c r="AI908" s="99" t="str">
        <f>IF(ISERROR(MATCH(SamplingData[[#This Row],[Batch by Type (p)]],SelectedPrecincts[Batch Name], 0)), "", INDEX(SelectedPrecincts[Draw], MATCH(SamplingData[[#This Row],[Batch by Type (p)]],SelectedPrecincts[Batch Name], 0)))</f>
        <v/>
      </c>
      <c r="AJ908" s="100">
        <f>IF(COUNTIF(SelectedPrecincts[Batch Name],SamplingData[[#This Row],[Batch by Type (p)]]) &lt;&gt; 0, COUNTIF(SelectedPrecincts[Batch Name],SamplingData[[#This Row],[Batch by Type (p)]]), 0)</f>
        <v>0</v>
      </c>
    </row>
    <row r="909" spans="1:36" ht="15" customHeight="1" x14ac:dyDescent="0.35">
      <c r="A909" s="97" t="s">
        <v>1122</v>
      </c>
      <c r="B909" s="97">
        <v>215</v>
      </c>
      <c r="C909" s="97">
        <v>293</v>
      </c>
      <c r="D909" s="92"/>
      <c r="E909" s="92"/>
      <c r="F909" s="92"/>
      <c r="G909" s="96"/>
      <c r="H909" s="96"/>
      <c r="I909" s="92"/>
      <c r="J909" s="92"/>
      <c r="K909" s="92"/>
      <c r="L909" s="92"/>
      <c r="M909" s="92"/>
      <c r="N909" s="97">
        <v>1</v>
      </c>
      <c r="O909" s="97">
        <v>51</v>
      </c>
      <c r="P909" s="98">
        <f>SUM(SamplingData[[#This Row],[Winning Candidate]:[Under Votes]])</f>
        <v>560</v>
      </c>
      <c r="Q909" s="99">
        <f>IF(AND(SamplingData[[#This Row],[Total]]&lt;&gt; 0, NOT(ISBLANK(SamplingData[[#This Row],[Losing Candidate]]))),(SamplingData[[#This Row],[Total]]+SamplingData[[#This Row],[Winning Candidate]]-SamplingData[[#This Row],[Losing Candidate]])/(SamplingData[[#Totals],[Winning Candidate]]-SamplingData[[#Totals],[Losing Candidate]]), 0)</f>
        <v>2.0454931251060942E-2</v>
      </c>
      <c r="R909" s="99">
        <f>IF(AND(SamplingData[[#This Row],[Total]]&lt;&gt; 0, NOT(ISBLANK(SamplingData[[#This Row],[Candidate 3]]))),(SamplingData[[#This Row],[Total]]+SamplingData[[#This Row],[Winning Candidate]]-SamplingData[[#This Row],[Candidate 3]])/(SamplingData[[#Totals],[Winning Candidate]]-SamplingData[[#Totals],[Candidate 3]]), 0)</f>
        <v>0</v>
      </c>
      <c r="S909" s="99">
        <f>IF(AND(SamplingData[[#This Row],[Total]]&lt;&gt; 0, NOT(ISBLANK(SamplingData[[#This Row],[Candidate 4]]))),(SamplingData[[#This Row],[Total]]+SamplingData[[#This Row],[Winning Candidate]]-SamplingData[[#This Row],[Candidate 4]])/(SamplingData[[#Totals],[Winning Candidate]]-SamplingData[[#Totals],[Candidate 4]]), 0)</f>
        <v>0</v>
      </c>
      <c r="T909" s="99">
        <f>IF(AND(SamplingData[[#This Row],[Total]]&lt;&gt; 0, NOT(ISBLANK(SamplingData[[#This Row],[Candidate 5]]))),(SamplingData[[#This Row],[Total]]+SamplingData[[#This Row],[Winning Candidate]]-SamplingData[[#This Row],[Candidate 5]])/(SamplingData[[#Totals],[Winning Candidate]]-SamplingData[[#Totals],[Candidate 5]]), 0)</f>
        <v>0</v>
      </c>
      <c r="U909" s="99">
        <f>IF(AND(SamplingData[[#This Row],[Total]]&lt;&gt; 0, NOT(ISBLANK(SamplingData[[#This Row],[Candidate 6]]))),(SamplingData[[#This Row],[Total]]+SamplingData[[#This Row],[Losing Candidate]]-SamplingData[[#This Row],[Candidate 6]])/(SamplingData[[#Totals],[Winning Candidate]]-SamplingData[[#Totals],[Candidate 6]]), 0)</f>
        <v>0</v>
      </c>
      <c r="V909" s="99">
        <f>IF(AND(SamplingData[[#This Row],[Total]]&lt;&gt; 0, NOT(ISBLANK(SamplingData[[#This Row],[Candidate 7]]))),(SamplingData[[#This Row],[Total]]+SamplingData[[#This Row],[Winning Candidate]]-SamplingData[[#This Row],[Candidate 7]])/(SamplingData[[#Totals],[Winning Candidate]]-SamplingData[[#Totals],[Candidate 7]]), 0)</f>
        <v>0</v>
      </c>
      <c r="W909" s="99">
        <f>IF(AND(SamplingData[[#This Row],[Total]]&lt;&gt; 0, NOT(ISBLANK(SamplingData[[#This Row],[Candidate 8]]))),(SamplingData[[#This Row],[Total]]+SamplingData[[#This Row],[Winning Candidate]]-SamplingData[[#This Row],[Candidate 8]])/(SamplingData[[#Totals],[Winning Candidate]]-SamplingData[[#Totals],[Candidate 8]]), 0)</f>
        <v>0</v>
      </c>
      <c r="X9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9" s="99">
        <f>MAX(SamplingData[[#This Row],[Error Bound (up) - Max. possible relative overstatement - Losing Candidate]:[Error Bound (up) - Max. possible relative overstatement - Candidate 12]])</f>
        <v>2.0454931251060942E-2</v>
      </c>
      <c r="AC909" s="99">
        <f>IF(SamplingData[[#This Row],[Max Error Bound (up)]] = 0,0,SamplingData[[#This Row],[Max Error Bound (up)]]/SamplingData[[#Totals],[Max Error Bound (up)]])</f>
        <v>1.0951757734394896E-3</v>
      </c>
      <c r="AD909" s="103">
        <f>SUM($AC$5:AC909)</f>
        <v>0.81992538262987824</v>
      </c>
      <c r="AE909" s="99" t="str" cm="1">
        <f t="array" ref="AE909">IF(SamplingData[[#This Row],[up/U Selection Probability]] = 0, "Zero", TEXT(SamplingData[[#This Row],[Lower Range]], REPT("0",LEN('General Info'!$B$42))) &amp; " - " &amp; TEXT(SamplingData[[#This Row],[Upper Range]], REPT("0",LEN('General Info'!$B$42))))</f>
        <v>818830 - 819924</v>
      </c>
      <c r="AF909" s="99">
        <f>SamplingData[[#This Row],[Upper Range]]-SamplingData[[#This Row],[Span]]</f>
        <v>818830.20685643877</v>
      </c>
      <c r="AG909" s="99">
        <f>IF(ISNUMBER('General Info'!$B$42), ((SamplingData[[#This Row],[up/U Selection Probability]]) * 'General Info'!$B$44) - 1, 0)</f>
        <v>1094.1757734394896</v>
      </c>
      <c r="AH909" s="99">
        <f>IF(ISNUMBER('General Info'!$B$42), (SamplingData[[#This Row],[Running (cumulative) sum]] * ('General Info'!$B$42 -'General Info'!$B$43 + 1)) + 'General Info'!$B$43 - 1, 0)</f>
        <v>819924.38262987824</v>
      </c>
      <c r="AI909" s="99" t="str">
        <f>IF(ISERROR(MATCH(SamplingData[[#This Row],[Batch by Type (p)]],SelectedPrecincts[Batch Name], 0)), "", INDEX(SelectedPrecincts[Draw], MATCH(SamplingData[[#This Row],[Batch by Type (p)]],SelectedPrecincts[Batch Name], 0)))</f>
        <v/>
      </c>
      <c r="AJ909" s="100">
        <f>IF(COUNTIF(SelectedPrecincts[Batch Name],SamplingData[[#This Row],[Batch by Type (p)]]) &lt;&gt; 0, COUNTIF(SelectedPrecincts[Batch Name],SamplingData[[#This Row],[Batch by Type (p)]]), 0)</f>
        <v>0</v>
      </c>
    </row>
    <row r="910" spans="1:36" ht="15" customHeight="1" x14ac:dyDescent="0.35">
      <c r="A910" s="97" t="s">
        <v>1123</v>
      </c>
      <c r="B910" s="97">
        <v>125</v>
      </c>
      <c r="C910" s="97">
        <v>203</v>
      </c>
      <c r="D910" s="92"/>
      <c r="E910" s="92"/>
      <c r="F910" s="92"/>
      <c r="G910" s="96"/>
      <c r="H910" s="96"/>
      <c r="I910" s="92"/>
      <c r="J910" s="92"/>
      <c r="K910" s="92"/>
      <c r="L910" s="92"/>
      <c r="M910" s="92"/>
      <c r="N910" s="97">
        <v>0</v>
      </c>
      <c r="O910" s="97">
        <v>22</v>
      </c>
      <c r="P910" s="98">
        <f>SUM(SamplingData[[#This Row],[Winning Candidate]:[Under Votes]])</f>
        <v>350</v>
      </c>
      <c r="Q910" s="99">
        <f>IF(AND(SamplingData[[#This Row],[Total]]&lt;&gt; 0, NOT(ISBLANK(SamplingData[[#This Row],[Losing Candidate]]))),(SamplingData[[#This Row],[Total]]+SamplingData[[#This Row],[Winning Candidate]]-SamplingData[[#This Row],[Losing Candidate]])/(SamplingData[[#Totals],[Winning Candidate]]-SamplingData[[#Totals],[Losing Candidate]]), 0)</f>
        <v>1.1543031743337295E-2</v>
      </c>
      <c r="R910" s="99">
        <f>IF(AND(SamplingData[[#This Row],[Total]]&lt;&gt; 0, NOT(ISBLANK(SamplingData[[#This Row],[Candidate 3]]))),(SamplingData[[#This Row],[Total]]+SamplingData[[#This Row],[Winning Candidate]]-SamplingData[[#This Row],[Candidate 3]])/(SamplingData[[#Totals],[Winning Candidate]]-SamplingData[[#Totals],[Candidate 3]]), 0)</f>
        <v>0</v>
      </c>
      <c r="S910" s="99">
        <f>IF(AND(SamplingData[[#This Row],[Total]]&lt;&gt; 0, NOT(ISBLANK(SamplingData[[#This Row],[Candidate 4]]))),(SamplingData[[#This Row],[Total]]+SamplingData[[#This Row],[Winning Candidate]]-SamplingData[[#This Row],[Candidate 4]])/(SamplingData[[#Totals],[Winning Candidate]]-SamplingData[[#Totals],[Candidate 4]]), 0)</f>
        <v>0</v>
      </c>
      <c r="T910" s="99">
        <f>IF(AND(SamplingData[[#This Row],[Total]]&lt;&gt; 0, NOT(ISBLANK(SamplingData[[#This Row],[Candidate 5]]))),(SamplingData[[#This Row],[Total]]+SamplingData[[#This Row],[Winning Candidate]]-SamplingData[[#This Row],[Candidate 5]])/(SamplingData[[#Totals],[Winning Candidate]]-SamplingData[[#Totals],[Candidate 5]]), 0)</f>
        <v>0</v>
      </c>
      <c r="U910" s="99">
        <f>IF(AND(SamplingData[[#This Row],[Total]]&lt;&gt; 0, NOT(ISBLANK(SamplingData[[#This Row],[Candidate 6]]))),(SamplingData[[#This Row],[Total]]+SamplingData[[#This Row],[Losing Candidate]]-SamplingData[[#This Row],[Candidate 6]])/(SamplingData[[#Totals],[Winning Candidate]]-SamplingData[[#Totals],[Candidate 6]]), 0)</f>
        <v>0</v>
      </c>
      <c r="V910" s="99">
        <f>IF(AND(SamplingData[[#This Row],[Total]]&lt;&gt; 0, NOT(ISBLANK(SamplingData[[#This Row],[Candidate 7]]))),(SamplingData[[#This Row],[Total]]+SamplingData[[#This Row],[Winning Candidate]]-SamplingData[[#This Row],[Candidate 7]])/(SamplingData[[#Totals],[Winning Candidate]]-SamplingData[[#Totals],[Candidate 7]]), 0)</f>
        <v>0</v>
      </c>
      <c r="W910" s="99">
        <f>IF(AND(SamplingData[[#This Row],[Total]]&lt;&gt; 0, NOT(ISBLANK(SamplingData[[#This Row],[Candidate 8]]))),(SamplingData[[#This Row],[Total]]+SamplingData[[#This Row],[Winning Candidate]]-SamplingData[[#This Row],[Candidate 8]])/(SamplingData[[#Totals],[Winning Candidate]]-SamplingData[[#Totals],[Candidate 8]]), 0)</f>
        <v>0</v>
      </c>
      <c r="X9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0" s="99">
        <f>MAX(SamplingData[[#This Row],[Error Bound (up) - Max. possible relative overstatement - Losing Candidate]:[Error Bound (up) - Max. possible relative overstatement - Candidate 12]])</f>
        <v>1.1543031743337295E-2</v>
      </c>
      <c r="AC910" s="99">
        <f>IF(SamplingData[[#This Row],[Max Error Bound (up)]] = 0,0,SamplingData[[#This Row],[Max Error Bound (up)]]/SamplingData[[#Totals],[Max Error Bound (up)]])</f>
        <v>6.1802450285381989E-4</v>
      </c>
      <c r="AD910" s="103">
        <f>SUM($AC$5:AC910)</f>
        <v>0.82054340713273211</v>
      </c>
      <c r="AE910" s="99" t="str" cm="1">
        <f t="array" ref="AE910">IF(SamplingData[[#This Row],[up/U Selection Probability]] = 0, "Zero", TEXT(SamplingData[[#This Row],[Lower Range]], REPT("0",LEN('General Info'!$B$42))) &amp; " - " &amp; TEXT(SamplingData[[#This Row],[Upper Range]], REPT("0",LEN('General Info'!$B$42))))</f>
        <v>819925 - 820542</v>
      </c>
      <c r="AF910" s="99">
        <f>SamplingData[[#This Row],[Upper Range]]-SamplingData[[#This Row],[Span]]</f>
        <v>819925.38262987824</v>
      </c>
      <c r="AG910" s="99">
        <f>IF(ISNUMBER('General Info'!$B$42), ((SamplingData[[#This Row],[up/U Selection Probability]]) * 'General Info'!$B$44) - 1, 0)</f>
        <v>617.02450285381985</v>
      </c>
      <c r="AH910" s="99">
        <f>IF(ISNUMBER('General Info'!$B$42), (SamplingData[[#This Row],[Running (cumulative) sum]] * ('General Info'!$B$42 -'General Info'!$B$43 + 1)) + 'General Info'!$B$43 - 1, 0)</f>
        <v>820542.4071327321</v>
      </c>
      <c r="AI910" s="99" t="str">
        <f>IF(ISERROR(MATCH(SamplingData[[#This Row],[Batch by Type (p)]],SelectedPrecincts[Batch Name], 0)), "", INDEX(SelectedPrecincts[Draw], MATCH(SamplingData[[#This Row],[Batch by Type (p)]],SelectedPrecincts[Batch Name], 0)))</f>
        <v/>
      </c>
      <c r="AJ910" s="100">
        <f>IF(COUNTIF(SelectedPrecincts[Batch Name],SamplingData[[#This Row],[Batch by Type (p)]]) &lt;&gt; 0, COUNTIF(SelectedPrecincts[Batch Name],SamplingData[[#This Row],[Batch by Type (p)]]), 0)</f>
        <v>0</v>
      </c>
    </row>
    <row r="911" spans="1:36" ht="15" customHeight="1" x14ac:dyDescent="0.35">
      <c r="A911" s="97" t="s">
        <v>1124</v>
      </c>
      <c r="B911" s="97">
        <v>254</v>
      </c>
      <c r="C911" s="97">
        <v>388</v>
      </c>
      <c r="D911" s="92"/>
      <c r="E911" s="92"/>
      <c r="F911" s="92"/>
      <c r="G911" s="96"/>
      <c r="H911" s="96"/>
      <c r="I911" s="92"/>
      <c r="J911" s="92"/>
      <c r="K911" s="92"/>
      <c r="L911" s="92"/>
      <c r="M911" s="92"/>
      <c r="N911" s="97">
        <v>0</v>
      </c>
      <c r="O911" s="97">
        <v>67</v>
      </c>
      <c r="P911" s="98">
        <f>SUM(SamplingData[[#This Row],[Winning Candidate]:[Under Votes]])</f>
        <v>709</v>
      </c>
      <c r="Q911" s="99">
        <f>IF(AND(SamplingData[[#This Row],[Total]]&lt;&gt; 0, NOT(ISBLANK(SamplingData[[#This Row],[Losing Candidate]]))),(SamplingData[[#This Row],[Total]]+SamplingData[[#This Row],[Winning Candidate]]-SamplingData[[#This Row],[Losing Candidate]])/(SamplingData[[#Totals],[Winning Candidate]]-SamplingData[[#Totals],[Losing Candidate]]), 0)</f>
        <v>2.4401629604481414E-2</v>
      </c>
      <c r="R911" s="99">
        <f>IF(AND(SamplingData[[#This Row],[Total]]&lt;&gt; 0, NOT(ISBLANK(SamplingData[[#This Row],[Candidate 3]]))),(SamplingData[[#This Row],[Total]]+SamplingData[[#This Row],[Winning Candidate]]-SamplingData[[#This Row],[Candidate 3]])/(SamplingData[[#Totals],[Winning Candidate]]-SamplingData[[#Totals],[Candidate 3]]), 0)</f>
        <v>0</v>
      </c>
      <c r="S911" s="99">
        <f>IF(AND(SamplingData[[#This Row],[Total]]&lt;&gt; 0, NOT(ISBLANK(SamplingData[[#This Row],[Candidate 4]]))),(SamplingData[[#This Row],[Total]]+SamplingData[[#This Row],[Winning Candidate]]-SamplingData[[#This Row],[Candidate 4]])/(SamplingData[[#Totals],[Winning Candidate]]-SamplingData[[#Totals],[Candidate 4]]), 0)</f>
        <v>0</v>
      </c>
      <c r="T911" s="99">
        <f>IF(AND(SamplingData[[#This Row],[Total]]&lt;&gt; 0, NOT(ISBLANK(SamplingData[[#This Row],[Candidate 5]]))),(SamplingData[[#This Row],[Total]]+SamplingData[[#This Row],[Winning Candidate]]-SamplingData[[#This Row],[Candidate 5]])/(SamplingData[[#Totals],[Winning Candidate]]-SamplingData[[#Totals],[Candidate 5]]), 0)</f>
        <v>0</v>
      </c>
      <c r="U911" s="99">
        <f>IF(AND(SamplingData[[#This Row],[Total]]&lt;&gt; 0, NOT(ISBLANK(SamplingData[[#This Row],[Candidate 6]]))),(SamplingData[[#This Row],[Total]]+SamplingData[[#This Row],[Losing Candidate]]-SamplingData[[#This Row],[Candidate 6]])/(SamplingData[[#Totals],[Winning Candidate]]-SamplingData[[#Totals],[Candidate 6]]), 0)</f>
        <v>0</v>
      </c>
      <c r="V911" s="99">
        <f>IF(AND(SamplingData[[#This Row],[Total]]&lt;&gt; 0, NOT(ISBLANK(SamplingData[[#This Row],[Candidate 7]]))),(SamplingData[[#This Row],[Total]]+SamplingData[[#This Row],[Winning Candidate]]-SamplingData[[#This Row],[Candidate 7]])/(SamplingData[[#Totals],[Winning Candidate]]-SamplingData[[#Totals],[Candidate 7]]), 0)</f>
        <v>0</v>
      </c>
      <c r="W911" s="99">
        <f>IF(AND(SamplingData[[#This Row],[Total]]&lt;&gt; 0, NOT(ISBLANK(SamplingData[[#This Row],[Candidate 8]]))),(SamplingData[[#This Row],[Total]]+SamplingData[[#This Row],[Winning Candidate]]-SamplingData[[#This Row],[Candidate 8]])/(SamplingData[[#Totals],[Winning Candidate]]-SamplingData[[#Totals],[Candidate 8]]), 0)</f>
        <v>0</v>
      </c>
      <c r="X9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1" s="99">
        <f>MAX(SamplingData[[#This Row],[Error Bound (up) - Max. possible relative overstatement - Losing Candidate]:[Error Bound (up) - Max. possible relative overstatement - Candidate 12]])</f>
        <v>2.4401629604481414E-2</v>
      </c>
      <c r="AC911" s="99">
        <f>IF(SamplingData[[#This Row],[Max Error Bound (up)]] = 0,0,SamplingData[[#This Row],[Max Error Bound (up)]]/SamplingData[[#Totals],[Max Error Bound (up)]])</f>
        <v>1.3064856218417149E-3</v>
      </c>
      <c r="AD911" s="103">
        <f>SUM($AC$5:AC911)</f>
        <v>0.82184989275457387</v>
      </c>
      <c r="AE911" s="99" t="str" cm="1">
        <f t="array" ref="AE911">IF(SamplingData[[#This Row],[up/U Selection Probability]] = 0, "Zero", TEXT(SamplingData[[#This Row],[Lower Range]], REPT("0",LEN('General Info'!$B$42))) &amp; " - " &amp; TEXT(SamplingData[[#This Row],[Upper Range]], REPT("0",LEN('General Info'!$B$42))))</f>
        <v>820543 - 821849</v>
      </c>
      <c r="AF911" s="99">
        <f>SamplingData[[#This Row],[Upper Range]]-SamplingData[[#This Row],[Span]]</f>
        <v>820543.4071327321</v>
      </c>
      <c r="AG911" s="99">
        <f>IF(ISNUMBER('General Info'!$B$42), ((SamplingData[[#This Row],[up/U Selection Probability]]) * 'General Info'!$B$44) - 1, 0)</f>
        <v>1305.4856218417149</v>
      </c>
      <c r="AH911" s="99">
        <f>IF(ISNUMBER('General Info'!$B$42), (SamplingData[[#This Row],[Running (cumulative) sum]] * ('General Info'!$B$42 -'General Info'!$B$43 + 1)) + 'General Info'!$B$43 - 1, 0)</f>
        <v>821848.89275457384</v>
      </c>
      <c r="AI911" s="99" t="str">
        <f>IF(ISERROR(MATCH(SamplingData[[#This Row],[Batch by Type (p)]],SelectedPrecincts[Batch Name], 0)), "", INDEX(SelectedPrecincts[Draw], MATCH(SamplingData[[#This Row],[Batch by Type (p)]],SelectedPrecincts[Batch Name], 0)))</f>
        <v/>
      </c>
      <c r="AJ911" s="100">
        <f>IF(COUNTIF(SelectedPrecincts[Batch Name],SamplingData[[#This Row],[Batch by Type (p)]]) &lt;&gt; 0, COUNTIF(SelectedPrecincts[Batch Name],SamplingData[[#This Row],[Batch by Type (p)]]), 0)</f>
        <v>0</v>
      </c>
    </row>
    <row r="912" spans="1:36" ht="15" customHeight="1" x14ac:dyDescent="0.35">
      <c r="A912" s="97" t="s">
        <v>1125</v>
      </c>
      <c r="B912" s="97">
        <v>164</v>
      </c>
      <c r="C912" s="97">
        <v>229</v>
      </c>
      <c r="D912" s="92"/>
      <c r="E912" s="92"/>
      <c r="F912" s="92"/>
      <c r="G912" s="96"/>
      <c r="H912" s="96"/>
      <c r="I912" s="92"/>
      <c r="J912" s="92"/>
      <c r="K912" s="92"/>
      <c r="L912" s="92"/>
      <c r="M912" s="92"/>
      <c r="N912" s="97">
        <v>0</v>
      </c>
      <c r="O912" s="97">
        <v>24</v>
      </c>
      <c r="P912" s="98">
        <f>SUM(SamplingData[[#This Row],[Winning Candidate]:[Under Votes]])</f>
        <v>417</v>
      </c>
      <c r="Q912" s="99">
        <f>IF(AND(SamplingData[[#This Row],[Total]]&lt;&gt; 0, NOT(ISBLANK(SamplingData[[#This Row],[Losing Candidate]]))),(SamplingData[[#This Row],[Total]]+SamplingData[[#This Row],[Winning Candidate]]-SamplingData[[#This Row],[Losing Candidate]])/(SamplingData[[#Totals],[Winning Candidate]]-SamplingData[[#Totals],[Losing Candidate]]), 0)</f>
        <v>1.4938041079612968E-2</v>
      </c>
      <c r="R912" s="99">
        <f>IF(AND(SamplingData[[#This Row],[Total]]&lt;&gt; 0, NOT(ISBLANK(SamplingData[[#This Row],[Candidate 3]]))),(SamplingData[[#This Row],[Total]]+SamplingData[[#This Row],[Winning Candidate]]-SamplingData[[#This Row],[Candidate 3]])/(SamplingData[[#Totals],[Winning Candidate]]-SamplingData[[#Totals],[Candidate 3]]), 0)</f>
        <v>0</v>
      </c>
      <c r="S912" s="99">
        <f>IF(AND(SamplingData[[#This Row],[Total]]&lt;&gt; 0, NOT(ISBLANK(SamplingData[[#This Row],[Candidate 4]]))),(SamplingData[[#This Row],[Total]]+SamplingData[[#This Row],[Winning Candidate]]-SamplingData[[#This Row],[Candidate 4]])/(SamplingData[[#Totals],[Winning Candidate]]-SamplingData[[#Totals],[Candidate 4]]), 0)</f>
        <v>0</v>
      </c>
      <c r="T912" s="99">
        <f>IF(AND(SamplingData[[#This Row],[Total]]&lt;&gt; 0, NOT(ISBLANK(SamplingData[[#This Row],[Candidate 5]]))),(SamplingData[[#This Row],[Total]]+SamplingData[[#This Row],[Winning Candidate]]-SamplingData[[#This Row],[Candidate 5]])/(SamplingData[[#Totals],[Winning Candidate]]-SamplingData[[#Totals],[Candidate 5]]), 0)</f>
        <v>0</v>
      </c>
      <c r="U912" s="99">
        <f>IF(AND(SamplingData[[#This Row],[Total]]&lt;&gt; 0, NOT(ISBLANK(SamplingData[[#This Row],[Candidate 6]]))),(SamplingData[[#This Row],[Total]]+SamplingData[[#This Row],[Losing Candidate]]-SamplingData[[#This Row],[Candidate 6]])/(SamplingData[[#Totals],[Winning Candidate]]-SamplingData[[#Totals],[Candidate 6]]), 0)</f>
        <v>0</v>
      </c>
      <c r="V912" s="99">
        <f>IF(AND(SamplingData[[#This Row],[Total]]&lt;&gt; 0, NOT(ISBLANK(SamplingData[[#This Row],[Candidate 7]]))),(SamplingData[[#This Row],[Total]]+SamplingData[[#This Row],[Winning Candidate]]-SamplingData[[#This Row],[Candidate 7]])/(SamplingData[[#Totals],[Winning Candidate]]-SamplingData[[#Totals],[Candidate 7]]), 0)</f>
        <v>0</v>
      </c>
      <c r="W912" s="99">
        <f>IF(AND(SamplingData[[#This Row],[Total]]&lt;&gt; 0, NOT(ISBLANK(SamplingData[[#This Row],[Candidate 8]]))),(SamplingData[[#This Row],[Total]]+SamplingData[[#This Row],[Winning Candidate]]-SamplingData[[#This Row],[Candidate 8]])/(SamplingData[[#Totals],[Winning Candidate]]-SamplingData[[#Totals],[Candidate 8]]), 0)</f>
        <v>0</v>
      </c>
      <c r="X9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2" s="99">
        <f>MAX(SamplingData[[#This Row],[Error Bound (up) - Max. possible relative overstatement - Losing Candidate]:[Error Bound (up) - Max. possible relative overstatement - Candidate 12]])</f>
        <v>1.4938041079612968E-2</v>
      </c>
      <c r="AC912" s="99">
        <f>IF(SamplingData[[#This Row],[Max Error Bound (up)]] = 0,0,SamplingData[[#This Row],[Max Error Bound (up)]]/SamplingData[[#Totals],[Max Error Bound (up)]])</f>
        <v>7.9979641545788443E-4</v>
      </c>
      <c r="AD912" s="103">
        <f>SUM($AC$5:AC912)</f>
        <v>0.82264968917003178</v>
      </c>
      <c r="AE912" s="99" t="str" cm="1">
        <f t="array" ref="AE912">IF(SamplingData[[#This Row],[up/U Selection Probability]] = 0, "Zero", TEXT(SamplingData[[#This Row],[Lower Range]], REPT("0",LEN('General Info'!$B$42))) &amp; " - " &amp; TEXT(SamplingData[[#This Row],[Upper Range]], REPT("0",LEN('General Info'!$B$42))))</f>
        <v>821850 - 822649</v>
      </c>
      <c r="AF912" s="99">
        <f>SamplingData[[#This Row],[Upper Range]]-SamplingData[[#This Row],[Span]]</f>
        <v>821849.89275457396</v>
      </c>
      <c r="AG912" s="99">
        <f>IF(ISNUMBER('General Info'!$B$42), ((SamplingData[[#This Row],[up/U Selection Probability]]) * 'General Info'!$B$44) - 1, 0)</f>
        <v>798.79641545788445</v>
      </c>
      <c r="AH912" s="99">
        <f>IF(ISNUMBER('General Info'!$B$42), (SamplingData[[#This Row],[Running (cumulative) sum]] * ('General Info'!$B$42 -'General Info'!$B$43 + 1)) + 'General Info'!$B$43 - 1, 0)</f>
        <v>822648.68917003181</v>
      </c>
      <c r="AI912" s="99" t="str">
        <f>IF(ISERROR(MATCH(SamplingData[[#This Row],[Batch by Type (p)]],SelectedPrecincts[Batch Name], 0)), "", INDEX(SelectedPrecincts[Draw], MATCH(SamplingData[[#This Row],[Batch by Type (p)]],SelectedPrecincts[Batch Name], 0)))</f>
        <v/>
      </c>
      <c r="AJ912" s="100">
        <f>IF(COUNTIF(SelectedPrecincts[Batch Name],SamplingData[[#This Row],[Batch by Type (p)]]) &lt;&gt; 0, COUNTIF(SelectedPrecincts[Batch Name],SamplingData[[#This Row],[Batch by Type (p)]]), 0)</f>
        <v>0</v>
      </c>
    </row>
    <row r="913" spans="1:36" ht="15" customHeight="1" x14ac:dyDescent="0.35">
      <c r="A913" s="97" t="s">
        <v>1126</v>
      </c>
      <c r="B913" s="97">
        <v>220</v>
      </c>
      <c r="C913" s="97">
        <v>330</v>
      </c>
      <c r="D913" s="92"/>
      <c r="E913" s="92"/>
      <c r="F913" s="92"/>
      <c r="G913" s="96"/>
      <c r="H913" s="96"/>
      <c r="I913" s="92"/>
      <c r="J913" s="92"/>
      <c r="K913" s="92"/>
      <c r="L913" s="92"/>
      <c r="M913" s="92"/>
      <c r="N913" s="97">
        <v>0</v>
      </c>
      <c r="O913" s="97">
        <v>38</v>
      </c>
      <c r="P913" s="98">
        <f>SUM(SamplingData[[#This Row],[Winning Candidate]:[Under Votes]])</f>
        <v>588</v>
      </c>
      <c r="Q913" s="99">
        <f>IF(AND(SamplingData[[#This Row],[Total]]&lt;&gt; 0, NOT(ISBLANK(SamplingData[[#This Row],[Losing Candidate]]))),(SamplingData[[#This Row],[Total]]+SamplingData[[#This Row],[Winning Candidate]]-SamplingData[[#This Row],[Losing Candidate]])/(SamplingData[[#Totals],[Winning Candidate]]-SamplingData[[#Totals],[Losing Candidate]]), 0)</f>
        <v>2.0285180784247157E-2</v>
      </c>
      <c r="R913" s="99">
        <f>IF(AND(SamplingData[[#This Row],[Total]]&lt;&gt; 0, NOT(ISBLANK(SamplingData[[#This Row],[Candidate 3]]))),(SamplingData[[#This Row],[Total]]+SamplingData[[#This Row],[Winning Candidate]]-SamplingData[[#This Row],[Candidate 3]])/(SamplingData[[#Totals],[Winning Candidate]]-SamplingData[[#Totals],[Candidate 3]]), 0)</f>
        <v>0</v>
      </c>
      <c r="S913" s="99">
        <f>IF(AND(SamplingData[[#This Row],[Total]]&lt;&gt; 0, NOT(ISBLANK(SamplingData[[#This Row],[Candidate 4]]))),(SamplingData[[#This Row],[Total]]+SamplingData[[#This Row],[Winning Candidate]]-SamplingData[[#This Row],[Candidate 4]])/(SamplingData[[#Totals],[Winning Candidate]]-SamplingData[[#Totals],[Candidate 4]]), 0)</f>
        <v>0</v>
      </c>
      <c r="T913" s="99">
        <f>IF(AND(SamplingData[[#This Row],[Total]]&lt;&gt; 0, NOT(ISBLANK(SamplingData[[#This Row],[Candidate 5]]))),(SamplingData[[#This Row],[Total]]+SamplingData[[#This Row],[Winning Candidate]]-SamplingData[[#This Row],[Candidate 5]])/(SamplingData[[#Totals],[Winning Candidate]]-SamplingData[[#Totals],[Candidate 5]]), 0)</f>
        <v>0</v>
      </c>
      <c r="U913" s="99">
        <f>IF(AND(SamplingData[[#This Row],[Total]]&lt;&gt; 0, NOT(ISBLANK(SamplingData[[#This Row],[Candidate 6]]))),(SamplingData[[#This Row],[Total]]+SamplingData[[#This Row],[Losing Candidate]]-SamplingData[[#This Row],[Candidate 6]])/(SamplingData[[#Totals],[Winning Candidate]]-SamplingData[[#Totals],[Candidate 6]]), 0)</f>
        <v>0</v>
      </c>
      <c r="V913" s="99">
        <f>IF(AND(SamplingData[[#This Row],[Total]]&lt;&gt; 0, NOT(ISBLANK(SamplingData[[#This Row],[Candidate 7]]))),(SamplingData[[#This Row],[Total]]+SamplingData[[#This Row],[Winning Candidate]]-SamplingData[[#This Row],[Candidate 7]])/(SamplingData[[#Totals],[Winning Candidate]]-SamplingData[[#Totals],[Candidate 7]]), 0)</f>
        <v>0</v>
      </c>
      <c r="W913" s="99">
        <f>IF(AND(SamplingData[[#This Row],[Total]]&lt;&gt; 0, NOT(ISBLANK(SamplingData[[#This Row],[Candidate 8]]))),(SamplingData[[#This Row],[Total]]+SamplingData[[#This Row],[Winning Candidate]]-SamplingData[[#This Row],[Candidate 8]])/(SamplingData[[#Totals],[Winning Candidate]]-SamplingData[[#Totals],[Candidate 8]]), 0)</f>
        <v>0</v>
      </c>
      <c r="X9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3" s="99">
        <f>MAX(SamplingData[[#This Row],[Error Bound (up) - Max. possible relative overstatement - Losing Candidate]:[Error Bound (up) - Max. possible relative overstatement - Candidate 12]])</f>
        <v>2.0285180784247157E-2</v>
      </c>
      <c r="AC913" s="99">
        <f>IF(SamplingData[[#This Row],[Max Error Bound (up)]] = 0,0,SamplingData[[#This Row],[Max Error Bound (up)]]/SamplingData[[#Totals],[Max Error Bound (up)]])</f>
        <v>1.0860871778092863E-3</v>
      </c>
      <c r="AD913" s="103">
        <f>SUM($AC$5:AC913)</f>
        <v>0.82373577634784112</v>
      </c>
      <c r="AE913" s="99" t="str" cm="1">
        <f t="array" ref="AE913">IF(SamplingData[[#This Row],[up/U Selection Probability]] = 0, "Zero", TEXT(SamplingData[[#This Row],[Lower Range]], REPT("0",LEN('General Info'!$B$42))) &amp; " - " &amp; TEXT(SamplingData[[#This Row],[Upper Range]], REPT("0",LEN('General Info'!$B$42))))</f>
        <v>822650 - 823735</v>
      </c>
      <c r="AF913" s="99">
        <f>SamplingData[[#This Row],[Upper Range]]-SamplingData[[#This Row],[Span]]</f>
        <v>822649.68917003181</v>
      </c>
      <c r="AG913" s="99">
        <f>IF(ISNUMBER('General Info'!$B$42), ((SamplingData[[#This Row],[up/U Selection Probability]]) * 'General Info'!$B$44) - 1, 0)</f>
        <v>1085.0871778092862</v>
      </c>
      <c r="AH913" s="99">
        <f>IF(ISNUMBER('General Info'!$B$42), (SamplingData[[#This Row],[Running (cumulative) sum]] * ('General Info'!$B$42 -'General Info'!$B$43 + 1)) + 'General Info'!$B$43 - 1, 0)</f>
        <v>823734.77634784114</v>
      </c>
      <c r="AI913" s="99" t="str">
        <f>IF(ISERROR(MATCH(SamplingData[[#This Row],[Batch by Type (p)]],SelectedPrecincts[Batch Name], 0)), "", INDEX(SelectedPrecincts[Draw], MATCH(SamplingData[[#This Row],[Batch by Type (p)]],SelectedPrecincts[Batch Name], 0)))</f>
        <v/>
      </c>
      <c r="AJ913" s="100">
        <f>IF(COUNTIF(SelectedPrecincts[Batch Name],SamplingData[[#This Row],[Batch by Type (p)]]) &lt;&gt; 0, COUNTIF(SelectedPrecincts[Batch Name],SamplingData[[#This Row],[Batch by Type (p)]]), 0)</f>
        <v>0</v>
      </c>
    </row>
    <row r="914" spans="1:36" ht="15" customHeight="1" x14ac:dyDescent="0.35">
      <c r="A914" s="97" t="s">
        <v>1127</v>
      </c>
      <c r="B914" s="97">
        <v>100</v>
      </c>
      <c r="C914" s="97">
        <v>121</v>
      </c>
      <c r="D914" s="92"/>
      <c r="E914" s="92"/>
      <c r="F914" s="92"/>
      <c r="G914" s="96"/>
      <c r="H914" s="96"/>
      <c r="I914" s="92"/>
      <c r="J914" s="92"/>
      <c r="K914" s="92"/>
      <c r="L914" s="92"/>
      <c r="M914" s="92"/>
      <c r="N914" s="97">
        <v>0</v>
      </c>
      <c r="O914" s="97">
        <v>19</v>
      </c>
      <c r="P914" s="98">
        <f>SUM(SamplingData[[#This Row],[Winning Candidate]:[Under Votes]])</f>
        <v>240</v>
      </c>
      <c r="Q914" s="99">
        <f>IF(AND(SamplingData[[#This Row],[Total]]&lt;&gt; 0, NOT(ISBLANK(SamplingData[[#This Row],[Losing Candidate]]))),(SamplingData[[#This Row],[Total]]+SamplingData[[#This Row],[Winning Candidate]]-SamplingData[[#This Row],[Losing Candidate]])/(SamplingData[[#Totals],[Winning Candidate]]-SamplingData[[#Totals],[Losing Candidate]]), 0)</f>
        <v>9.2938380580546605E-3</v>
      </c>
      <c r="R914" s="99">
        <f>IF(AND(SamplingData[[#This Row],[Total]]&lt;&gt; 0, NOT(ISBLANK(SamplingData[[#This Row],[Candidate 3]]))),(SamplingData[[#This Row],[Total]]+SamplingData[[#This Row],[Winning Candidate]]-SamplingData[[#This Row],[Candidate 3]])/(SamplingData[[#Totals],[Winning Candidate]]-SamplingData[[#Totals],[Candidate 3]]), 0)</f>
        <v>0</v>
      </c>
      <c r="S914" s="99">
        <f>IF(AND(SamplingData[[#This Row],[Total]]&lt;&gt; 0, NOT(ISBLANK(SamplingData[[#This Row],[Candidate 4]]))),(SamplingData[[#This Row],[Total]]+SamplingData[[#This Row],[Winning Candidate]]-SamplingData[[#This Row],[Candidate 4]])/(SamplingData[[#Totals],[Winning Candidate]]-SamplingData[[#Totals],[Candidate 4]]), 0)</f>
        <v>0</v>
      </c>
      <c r="T914" s="99">
        <f>IF(AND(SamplingData[[#This Row],[Total]]&lt;&gt; 0, NOT(ISBLANK(SamplingData[[#This Row],[Candidate 5]]))),(SamplingData[[#This Row],[Total]]+SamplingData[[#This Row],[Winning Candidate]]-SamplingData[[#This Row],[Candidate 5]])/(SamplingData[[#Totals],[Winning Candidate]]-SamplingData[[#Totals],[Candidate 5]]), 0)</f>
        <v>0</v>
      </c>
      <c r="U914" s="99">
        <f>IF(AND(SamplingData[[#This Row],[Total]]&lt;&gt; 0, NOT(ISBLANK(SamplingData[[#This Row],[Candidate 6]]))),(SamplingData[[#This Row],[Total]]+SamplingData[[#This Row],[Losing Candidate]]-SamplingData[[#This Row],[Candidate 6]])/(SamplingData[[#Totals],[Winning Candidate]]-SamplingData[[#Totals],[Candidate 6]]), 0)</f>
        <v>0</v>
      </c>
      <c r="V914" s="99">
        <f>IF(AND(SamplingData[[#This Row],[Total]]&lt;&gt; 0, NOT(ISBLANK(SamplingData[[#This Row],[Candidate 7]]))),(SamplingData[[#This Row],[Total]]+SamplingData[[#This Row],[Winning Candidate]]-SamplingData[[#This Row],[Candidate 7]])/(SamplingData[[#Totals],[Winning Candidate]]-SamplingData[[#Totals],[Candidate 7]]), 0)</f>
        <v>0</v>
      </c>
      <c r="W914" s="99">
        <f>IF(AND(SamplingData[[#This Row],[Total]]&lt;&gt; 0, NOT(ISBLANK(SamplingData[[#This Row],[Candidate 8]]))),(SamplingData[[#This Row],[Total]]+SamplingData[[#This Row],[Winning Candidate]]-SamplingData[[#This Row],[Candidate 8]])/(SamplingData[[#Totals],[Winning Candidate]]-SamplingData[[#Totals],[Candidate 8]]), 0)</f>
        <v>0</v>
      </c>
      <c r="X9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4" s="99">
        <f>MAX(SamplingData[[#This Row],[Error Bound (up) - Max. possible relative overstatement - Losing Candidate]:[Error Bound (up) - Max. possible relative overstatement - Candidate 12]])</f>
        <v>9.2938380580546605E-3</v>
      </c>
      <c r="AC914" s="99">
        <f>IF(SamplingData[[#This Row],[Max Error Bound (up)]] = 0,0,SamplingData[[#This Row],[Max Error Bound (up)]]/SamplingData[[#Totals],[Max Error Bound (up)]])</f>
        <v>4.9760061075362699E-4</v>
      </c>
      <c r="AD914" s="103">
        <f>SUM($AC$5:AC914)</f>
        <v>0.82423337695859478</v>
      </c>
      <c r="AE914" s="99" t="str" cm="1">
        <f t="array" ref="AE914">IF(SamplingData[[#This Row],[up/U Selection Probability]] = 0, "Zero", TEXT(SamplingData[[#This Row],[Lower Range]], REPT("0",LEN('General Info'!$B$42))) &amp; " - " &amp; TEXT(SamplingData[[#This Row],[Upper Range]], REPT("0",LEN('General Info'!$B$42))))</f>
        <v>823736 - 824232</v>
      </c>
      <c r="AF914" s="99">
        <f>SamplingData[[#This Row],[Upper Range]]-SamplingData[[#This Row],[Span]]</f>
        <v>823735.77634784114</v>
      </c>
      <c r="AG914" s="99">
        <f>IF(ISNUMBER('General Info'!$B$42), ((SamplingData[[#This Row],[up/U Selection Probability]]) * 'General Info'!$B$44) - 1, 0)</f>
        <v>496.600610753627</v>
      </c>
      <c r="AH914" s="99">
        <f>IF(ISNUMBER('General Info'!$B$42), (SamplingData[[#This Row],[Running (cumulative) sum]] * ('General Info'!$B$42 -'General Info'!$B$43 + 1)) + 'General Info'!$B$43 - 1, 0)</f>
        <v>824232.37695859477</v>
      </c>
      <c r="AI914" s="99" t="str">
        <f>IF(ISERROR(MATCH(SamplingData[[#This Row],[Batch by Type (p)]],SelectedPrecincts[Batch Name], 0)), "", INDEX(SelectedPrecincts[Draw], MATCH(SamplingData[[#This Row],[Batch by Type (p)]],SelectedPrecincts[Batch Name], 0)))</f>
        <v/>
      </c>
      <c r="AJ914" s="100">
        <f>IF(COUNTIF(SelectedPrecincts[Batch Name],SamplingData[[#This Row],[Batch by Type (p)]]) &lt;&gt; 0, COUNTIF(SelectedPrecincts[Batch Name],SamplingData[[#This Row],[Batch by Type (p)]]), 0)</f>
        <v>0</v>
      </c>
    </row>
    <row r="915" spans="1:36" ht="15" customHeight="1" x14ac:dyDescent="0.35">
      <c r="A915" s="97" t="s">
        <v>1128</v>
      </c>
      <c r="B915" s="97">
        <v>86</v>
      </c>
      <c r="C915" s="97">
        <v>488</v>
      </c>
      <c r="D915" s="92"/>
      <c r="E915" s="92"/>
      <c r="F915" s="92"/>
      <c r="G915" s="96"/>
      <c r="H915" s="96"/>
      <c r="I915" s="92"/>
      <c r="J915" s="92"/>
      <c r="K915" s="92"/>
      <c r="L915" s="92"/>
      <c r="M915" s="92"/>
      <c r="N915" s="97">
        <v>0</v>
      </c>
      <c r="O915" s="97">
        <v>29</v>
      </c>
      <c r="P915" s="98">
        <f>SUM(SamplingData[[#This Row],[Winning Candidate]:[Under Votes]])</f>
        <v>603</v>
      </c>
      <c r="Q915" s="99">
        <f>IF(AND(SamplingData[[#This Row],[Total]]&lt;&gt; 0, NOT(ISBLANK(SamplingData[[#This Row],[Losing Candidate]]))),(SamplingData[[#This Row],[Total]]+SamplingData[[#This Row],[Winning Candidate]]-SamplingData[[#This Row],[Losing Candidate]])/(SamplingData[[#Totals],[Winning Candidate]]-SamplingData[[#Totals],[Losing Candidate]]), 0)</f>
        <v>8.5299609573926335E-3</v>
      </c>
      <c r="R915" s="99">
        <f>IF(AND(SamplingData[[#This Row],[Total]]&lt;&gt; 0, NOT(ISBLANK(SamplingData[[#This Row],[Candidate 3]]))),(SamplingData[[#This Row],[Total]]+SamplingData[[#This Row],[Winning Candidate]]-SamplingData[[#This Row],[Candidate 3]])/(SamplingData[[#Totals],[Winning Candidate]]-SamplingData[[#Totals],[Candidate 3]]), 0)</f>
        <v>0</v>
      </c>
      <c r="S915" s="99">
        <f>IF(AND(SamplingData[[#This Row],[Total]]&lt;&gt; 0, NOT(ISBLANK(SamplingData[[#This Row],[Candidate 4]]))),(SamplingData[[#This Row],[Total]]+SamplingData[[#This Row],[Winning Candidate]]-SamplingData[[#This Row],[Candidate 4]])/(SamplingData[[#Totals],[Winning Candidate]]-SamplingData[[#Totals],[Candidate 4]]), 0)</f>
        <v>0</v>
      </c>
      <c r="T915" s="99">
        <f>IF(AND(SamplingData[[#This Row],[Total]]&lt;&gt; 0, NOT(ISBLANK(SamplingData[[#This Row],[Candidate 5]]))),(SamplingData[[#This Row],[Total]]+SamplingData[[#This Row],[Winning Candidate]]-SamplingData[[#This Row],[Candidate 5]])/(SamplingData[[#Totals],[Winning Candidate]]-SamplingData[[#Totals],[Candidate 5]]), 0)</f>
        <v>0</v>
      </c>
      <c r="U915" s="99">
        <f>IF(AND(SamplingData[[#This Row],[Total]]&lt;&gt; 0, NOT(ISBLANK(SamplingData[[#This Row],[Candidate 6]]))),(SamplingData[[#This Row],[Total]]+SamplingData[[#This Row],[Losing Candidate]]-SamplingData[[#This Row],[Candidate 6]])/(SamplingData[[#Totals],[Winning Candidate]]-SamplingData[[#Totals],[Candidate 6]]), 0)</f>
        <v>0</v>
      </c>
      <c r="V915" s="99">
        <f>IF(AND(SamplingData[[#This Row],[Total]]&lt;&gt; 0, NOT(ISBLANK(SamplingData[[#This Row],[Candidate 7]]))),(SamplingData[[#This Row],[Total]]+SamplingData[[#This Row],[Winning Candidate]]-SamplingData[[#This Row],[Candidate 7]])/(SamplingData[[#Totals],[Winning Candidate]]-SamplingData[[#Totals],[Candidate 7]]), 0)</f>
        <v>0</v>
      </c>
      <c r="W915" s="99">
        <f>IF(AND(SamplingData[[#This Row],[Total]]&lt;&gt; 0, NOT(ISBLANK(SamplingData[[#This Row],[Candidate 8]]))),(SamplingData[[#This Row],[Total]]+SamplingData[[#This Row],[Winning Candidate]]-SamplingData[[#This Row],[Candidate 8]])/(SamplingData[[#Totals],[Winning Candidate]]-SamplingData[[#Totals],[Candidate 8]]), 0)</f>
        <v>0</v>
      </c>
      <c r="X9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5" s="99">
        <f>MAX(SamplingData[[#This Row],[Error Bound (up) - Max. possible relative overstatement - Losing Candidate]:[Error Bound (up) - Max. possible relative overstatement - Candidate 12]])</f>
        <v>8.5299609573926335E-3</v>
      </c>
      <c r="AC915" s="99">
        <f>IF(SamplingData[[#This Row],[Max Error Bound (up)]] = 0,0,SamplingData[[#This Row],[Max Error Bound (up)]]/SamplingData[[#Totals],[Max Error Bound (up)]])</f>
        <v>4.567019304177125E-4</v>
      </c>
      <c r="AD915" s="103">
        <f>SUM($AC$5:AC915)</f>
        <v>0.82469007888901247</v>
      </c>
      <c r="AE915" s="99" t="str" cm="1">
        <f t="array" ref="AE915">IF(SamplingData[[#This Row],[up/U Selection Probability]] = 0, "Zero", TEXT(SamplingData[[#This Row],[Lower Range]], REPT("0",LEN('General Info'!$B$42))) &amp; " - " &amp; TEXT(SamplingData[[#This Row],[Upper Range]], REPT("0",LEN('General Info'!$B$42))))</f>
        <v>824233 - 824689</v>
      </c>
      <c r="AF915" s="99">
        <f>SamplingData[[#This Row],[Upper Range]]-SamplingData[[#This Row],[Span]]</f>
        <v>824233.37695859477</v>
      </c>
      <c r="AG915" s="99">
        <f>IF(ISNUMBER('General Info'!$B$42), ((SamplingData[[#This Row],[up/U Selection Probability]]) * 'General Info'!$B$44) - 1, 0)</f>
        <v>455.7019304177125</v>
      </c>
      <c r="AH915" s="99">
        <f>IF(ISNUMBER('General Info'!$B$42), (SamplingData[[#This Row],[Running (cumulative) sum]] * ('General Info'!$B$42 -'General Info'!$B$43 + 1)) + 'General Info'!$B$43 - 1, 0)</f>
        <v>824689.07888901245</v>
      </c>
      <c r="AI915" s="99" t="str">
        <f>IF(ISERROR(MATCH(SamplingData[[#This Row],[Batch by Type (p)]],SelectedPrecincts[Batch Name], 0)), "", INDEX(SelectedPrecincts[Draw], MATCH(SamplingData[[#This Row],[Batch by Type (p)]],SelectedPrecincts[Batch Name], 0)))</f>
        <v/>
      </c>
      <c r="AJ915" s="100">
        <f>IF(COUNTIF(SelectedPrecincts[Batch Name],SamplingData[[#This Row],[Batch by Type (p)]]) &lt;&gt; 0, COUNTIF(SelectedPrecincts[Batch Name],SamplingData[[#This Row],[Batch by Type (p)]]), 0)</f>
        <v>0</v>
      </c>
    </row>
    <row r="916" spans="1:36" ht="15" customHeight="1" x14ac:dyDescent="0.35">
      <c r="A916" s="97" t="s">
        <v>1129</v>
      </c>
      <c r="B916" s="97">
        <v>224</v>
      </c>
      <c r="C916" s="97">
        <v>274</v>
      </c>
      <c r="D916" s="92"/>
      <c r="E916" s="92"/>
      <c r="F916" s="92"/>
      <c r="G916" s="96"/>
      <c r="H916" s="96"/>
      <c r="I916" s="92"/>
      <c r="J916" s="92"/>
      <c r="K916" s="92"/>
      <c r="L916" s="92"/>
      <c r="M916" s="92"/>
      <c r="N916" s="97">
        <v>0</v>
      </c>
      <c r="O916" s="97">
        <v>38</v>
      </c>
      <c r="P916" s="98">
        <f>SUM(SamplingData[[#This Row],[Winning Candidate]:[Under Votes]])</f>
        <v>536</v>
      </c>
      <c r="Q916" s="99">
        <f>IF(AND(SamplingData[[#This Row],[Total]]&lt;&gt; 0, NOT(ISBLANK(SamplingData[[#This Row],[Losing Candidate]]))),(SamplingData[[#This Row],[Total]]+SamplingData[[#This Row],[Winning Candidate]]-SamplingData[[#This Row],[Losing Candidate]])/(SamplingData[[#Totals],[Winning Candidate]]-SamplingData[[#Totals],[Losing Candidate]]), 0)</f>
        <v>2.0624681717874724E-2</v>
      </c>
      <c r="R916" s="99">
        <f>IF(AND(SamplingData[[#This Row],[Total]]&lt;&gt; 0, NOT(ISBLANK(SamplingData[[#This Row],[Candidate 3]]))),(SamplingData[[#This Row],[Total]]+SamplingData[[#This Row],[Winning Candidate]]-SamplingData[[#This Row],[Candidate 3]])/(SamplingData[[#Totals],[Winning Candidate]]-SamplingData[[#Totals],[Candidate 3]]), 0)</f>
        <v>0</v>
      </c>
      <c r="S916" s="99">
        <f>IF(AND(SamplingData[[#This Row],[Total]]&lt;&gt; 0, NOT(ISBLANK(SamplingData[[#This Row],[Candidate 4]]))),(SamplingData[[#This Row],[Total]]+SamplingData[[#This Row],[Winning Candidate]]-SamplingData[[#This Row],[Candidate 4]])/(SamplingData[[#Totals],[Winning Candidate]]-SamplingData[[#Totals],[Candidate 4]]), 0)</f>
        <v>0</v>
      </c>
      <c r="T916" s="99">
        <f>IF(AND(SamplingData[[#This Row],[Total]]&lt;&gt; 0, NOT(ISBLANK(SamplingData[[#This Row],[Candidate 5]]))),(SamplingData[[#This Row],[Total]]+SamplingData[[#This Row],[Winning Candidate]]-SamplingData[[#This Row],[Candidate 5]])/(SamplingData[[#Totals],[Winning Candidate]]-SamplingData[[#Totals],[Candidate 5]]), 0)</f>
        <v>0</v>
      </c>
      <c r="U916" s="99">
        <f>IF(AND(SamplingData[[#This Row],[Total]]&lt;&gt; 0, NOT(ISBLANK(SamplingData[[#This Row],[Candidate 6]]))),(SamplingData[[#This Row],[Total]]+SamplingData[[#This Row],[Losing Candidate]]-SamplingData[[#This Row],[Candidate 6]])/(SamplingData[[#Totals],[Winning Candidate]]-SamplingData[[#Totals],[Candidate 6]]), 0)</f>
        <v>0</v>
      </c>
      <c r="V916" s="99">
        <f>IF(AND(SamplingData[[#This Row],[Total]]&lt;&gt; 0, NOT(ISBLANK(SamplingData[[#This Row],[Candidate 7]]))),(SamplingData[[#This Row],[Total]]+SamplingData[[#This Row],[Winning Candidate]]-SamplingData[[#This Row],[Candidate 7]])/(SamplingData[[#Totals],[Winning Candidate]]-SamplingData[[#Totals],[Candidate 7]]), 0)</f>
        <v>0</v>
      </c>
      <c r="W916" s="99">
        <f>IF(AND(SamplingData[[#This Row],[Total]]&lt;&gt; 0, NOT(ISBLANK(SamplingData[[#This Row],[Candidate 8]]))),(SamplingData[[#This Row],[Total]]+SamplingData[[#This Row],[Winning Candidate]]-SamplingData[[#This Row],[Candidate 8]])/(SamplingData[[#Totals],[Winning Candidate]]-SamplingData[[#Totals],[Candidate 8]]), 0)</f>
        <v>0</v>
      </c>
      <c r="X9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6" s="99">
        <f>MAX(SamplingData[[#This Row],[Error Bound (up) - Max. possible relative overstatement - Losing Candidate]:[Error Bound (up) - Max. possible relative overstatement - Candidate 12]])</f>
        <v>2.0624681717874724E-2</v>
      </c>
      <c r="AC916" s="99">
        <f>IF(SamplingData[[#This Row],[Max Error Bound (up)]] = 0,0,SamplingData[[#This Row],[Max Error Bound (up)]]/SamplingData[[#Totals],[Max Error Bound (up)]])</f>
        <v>1.1042643690696928E-3</v>
      </c>
      <c r="AD916" s="103">
        <f>SUM($AC$5:AC916)</f>
        <v>0.82579434325808221</v>
      </c>
      <c r="AE916" s="99" t="str" cm="1">
        <f t="array" ref="AE916">IF(SamplingData[[#This Row],[up/U Selection Probability]] = 0, "Zero", TEXT(SamplingData[[#This Row],[Lower Range]], REPT("0",LEN('General Info'!$B$42))) &amp; " - " &amp; TEXT(SamplingData[[#This Row],[Upper Range]], REPT("0",LEN('General Info'!$B$42))))</f>
        <v>824690 - 825793</v>
      </c>
      <c r="AF916" s="99">
        <f>SamplingData[[#This Row],[Upper Range]]-SamplingData[[#This Row],[Span]]</f>
        <v>824690.07888901245</v>
      </c>
      <c r="AG916" s="99">
        <f>IF(ISNUMBER('General Info'!$B$42), ((SamplingData[[#This Row],[up/U Selection Probability]]) * 'General Info'!$B$44) - 1, 0)</f>
        <v>1103.2643690696927</v>
      </c>
      <c r="AH916" s="99">
        <f>IF(ISNUMBER('General Info'!$B$42), (SamplingData[[#This Row],[Running (cumulative) sum]] * ('General Info'!$B$42 -'General Info'!$B$43 + 1)) + 'General Info'!$B$43 - 1, 0)</f>
        <v>825793.34325808217</v>
      </c>
      <c r="AI916" s="99" t="str">
        <f>IF(ISERROR(MATCH(SamplingData[[#This Row],[Batch by Type (p)]],SelectedPrecincts[Batch Name], 0)), "", INDEX(SelectedPrecincts[Draw], MATCH(SamplingData[[#This Row],[Batch by Type (p)]],SelectedPrecincts[Batch Name], 0)))</f>
        <v/>
      </c>
      <c r="AJ916" s="100">
        <f>IF(COUNTIF(SelectedPrecincts[Batch Name],SamplingData[[#This Row],[Batch by Type (p)]]) &lt;&gt; 0, COUNTIF(SelectedPrecincts[Batch Name],SamplingData[[#This Row],[Batch by Type (p)]]), 0)</f>
        <v>0</v>
      </c>
    </row>
    <row r="917" spans="1:36" ht="15" customHeight="1" x14ac:dyDescent="0.35">
      <c r="A917" s="97" t="s">
        <v>1130</v>
      </c>
      <c r="B917" s="97">
        <v>215</v>
      </c>
      <c r="C917" s="97">
        <v>269</v>
      </c>
      <c r="D917" s="92"/>
      <c r="E917" s="92"/>
      <c r="F917" s="92"/>
      <c r="G917" s="96"/>
      <c r="H917" s="96"/>
      <c r="I917" s="92"/>
      <c r="J917" s="92"/>
      <c r="K917" s="92"/>
      <c r="L917" s="92"/>
      <c r="M917" s="92"/>
      <c r="N917" s="97">
        <v>1</v>
      </c>
      <c r="O917" s="97">
        <v>44</v>
      </c>
      <c r="P917" s="98">
        <f>SUM(SamplingData[[#This Row],[Winning Candidate]:[Under Votes]])</f>
        <v>529</v>
      </c>
      <c r="Q917" s="99">
        <f>IF(AND(SamplingData[[#This Row],[Total]]&lt;&gt; 0, NOT(ISBLANK(SamplingData[[#This Row],[Losing Candidate]]))),(SamplingData[[#This Row],[Total]]+SamplingData[[#This Row],[Winning Candidate]]-SamplingData[[#This Row],[Losing Candidate]])/(SamplingData[[#Totals],[Winning Candidate]]-SamplingData[[#Totals],[Losing Candidate]]), 0)</f>
        <v>2.0157867934136819E-2</v>
      </c>
      <c r="R917" s="99">
        <f>IF(AND(SamplingData[[#This Row],[Total]]&lt;&gt; 0, NOT(ISBLANK(SamplingData[[#This Row],[Candidate 3]]))),(SamplingData[[#This Row],[Total]]+SamplingData[[#This Row],[Winning Candidate]]-SamplingData[[#This Row],[Candidate 3]])/(SamplingData[[#Totals],[Winning Candidate]]-SamplingData[[#Totals],[Candidate 3]]), 0)</f>
        <v>0</v>
      </c>
      <c r="S917" s="99">
        <f>IF(AND(SamplingData[[#This Row],[Total]]&lt;&gt; 0, NOT(ISBLANK(SamplingData[[#This Row],[Candidate 4]]))),(SamplingData[[#This Row],[Total]]+SamplingData[[#This Row],[Winning Candidate]]-SamplingData[[#This Row],[Candidate 4]])/(SamplingData[[#Totals],[Winning Candidate]]-SamplingData[[#Totals],[Candidate 4]]), 0)</f>
        <v>0</v>
      </c>
      <c r="T917" s="99">
        <f>IF(AND(SamplingData[[#This Row],[Total]]&lt;&gt; 0, NOT(ISBLANK(SamplingData[[#This Row],[Candidate 5]]))),(SamplingData[[#This Row],[Total]]+SamplingData[[#This Row],[Winning Candidate]]-SamplingData[[#This Row],[Candidate 5]])/(SamplingData[[#Totals],[Winning Candidate]]-SamplingData[[#Totals],[Candidate 5]]), 0)</f>
        <v>0</v>
      </c>
      <c r="U917" s="99">
        <f>IF(AND(SamplingData[[#This Row],[Total]]&lt;&gt; 0, NOT(ISBLANK(SamplingData[[#This Row],[Candidate 6]]))),(SamplingData[[#This Row],[Total]]+SamplingData[[#This Row],[Losing Candidate]]-SamplingData[[#This Row],[Candidate 6]])/(SamplingData[[#Totals],[Winning Candidate]]-SamplingData[[#Totals],[Candidate 6]]), 0)</f>
        <v>0</v>
      </c>
      <c r="V917" s="99">
        <f>IF(AND(SamplingData[[#This Row],[Total]]&lt;&gt; 0, NOT(ISBLANK(SamplingData[[#This Row],[Candidate 7]]))),(SamplingData[[#This Row],[Total]]+SamplingData[[#This Row],[Winning Candidate]]-SamplingData[[#This Row],[Candidate 7]])/(SamplingData[[#Totals],[Winning Candidate]]-SamplingData[[#Totals],[Candidate 7]]), 0)</f>
        <v>0</v>
      </c>
      <c r="W917" s="99">
        <f>IF(AND(SamplingData[[#This Row],[Total]]&lt;&gt; 0, NOT(ISBLANK(SamplingData[[#This Row],[Candidate 8]]))),(SamplingData[[#This Row],[Total]]+SamplingData[[#This Row],[Winning Candidate]]-SamplingData[[#This Row],[Candidate 8]])/(SamplingData[[#Totals],[Winning Candidate]]-SamplingData[[#Totals],[Candidate 8]]), 0)</f>
        <v>0</v>
      </c>
      <c r="X9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7" s="99">
        <f>MAX(SamplingData[[#This Row],[Error Bound (up) - Max. possible relative overstatement - Losing Candidate]:[Error Bound (up) - Max. possible relative overstatement - Candidate 12]])</f>
        <v>2.0157867934136819E-2</v>
      </c>
      <c r="AC917" s="99">
        <f>IF(SamplingData[[#This Row],[Max Error Bound (up)]] = 0,0,SamplingData[[#This Row],[Max Error Bound (up)]]/SamplingData[[#Totals],[Max Error Bound (up)]])</f>
        <v>1.079270731086634E-3</v>
      </c>
      <c r="AD917" s="103">
        <f>SUM($AC$5:AC917)</f>
        <v>0.82687361398916881</v>
      </c>
      <c r="AE917" s="99" t="str" cm="1">
        <f t="array" ref="AE917">IF(SamplingData[[#This Row],[up/U Selection Probability]] = 0, "Zero", TEXT(SamplingData[[#This Row],[Lower Range]], REPT("0",LEN('General Info'!$B$42))) &amp; " - " &amp; TEXT(SamplingData[[#This Row],[Upper Range]], REPT("0",LEN('General Info'!$B$42))))</f>
        <v>825794 - 826873</v>
      </c>
      <c r="AF917" s="99">
        <f>SamplingData[[#This Row],[Upper Range]]-SamplingData[[#This Row],[Span]]</f>
        <v>825794.34325808217</v>
      </c>
      <c r="AG917" s="99">
        <f>IF(ISNUMBER('General Info'!$B$42), ((SamplingData[[#This Row],[up/U Selection Probability]]) * 'General Info'!$B$44) - 1, 0)</f>
        <v>1078.270731086634</v>
      </c>
      <c r="AH917" s="99">
        <f>IF(ISNUMBER('General Info'!$B$42), (SamplingData[[#This Row],[Running (cumulative) sum]] * ('General Info'!$B$42 -'General Info'!$B$43 + 1)) + 'General Info'!$B$43 - 1, 0)</f>
        <v>826872.61398916878</v>
      </c>
      <c r="AI917" s="99" t="str">
        <f>IF(ISERROR(MATCH(SamplingData[[#This Row],[Batch by Type (p)]],SelectedPrecincts[Batch Name], 0)), "", INDEX(SelectedPrecincts[Draw], MATCH(SamplingData[[#This Row],[Batch by Type (p)]],SelectedPrecincts[Batch Name], 0)))</f>
        <v/>
      </c>
      <c r="AJ917" s="100">
        <f>IF(COUNTIF(SelectedPrecincts[Batch Name],SamplingData[[#This Row],[Batch by Type (p)]]) &lt;&gt; 0, COUNTIF(SelectedPrecincts[Batch Name],SamplingData[[#This Row],[Batch by Type (p)]]), 0)</f>
        <v>0</v>
      </c>
    </row>
    <row r="918" spans="1:36" ht="15" customHeight="1" x14ac:dyDescent="0.35">
      <c r="A918" s="97" t="s">
        <v>1131</v>
      </c>
      <c r="B918" s="97">
        <v>225</v>
      </c>
      <c r="C918" s="97">
        <v>219</v>
      </c>
      <c r="D918" s="92"/>
      <c r="E918" s="92"/>
      <c r="F918" s="92"/>
      <c r="G918" s="96"/>
      <c r="H918" s="96"/>
      <c r="I918" s="92"/>
      <c r="J918" s="92"/>
      <c r="K918" s="92"/>
      <c r="L918" s="92"/>
      <c r="M918" s="92"/>
      <c r="N918" s="97">
        <v>0</v>
      </c>
      <c r="O918" s="97">
        <v>23</v>
      </c>
      <c r="P918" s="98">
        <f>SUM(SamplingData[[#This Row],[Winning Candidate]:[Under Votes]])</f>
        <v>467</v>
      </c>
      <c r="Q918" s="99">
        <f>IF(AND(SamplingData[[#This Row],[Total]]&lt;&gt; 0, NOT(ISBLANK(SamplingData[[#This Row],[Losing Candidate]]))),(SamplingData[[#This Row],[Total]]+SamplingData[[#This Row],[Winning Candidate]]-SamplingData[[#This Row],[Losing Candidate]])/(SamplingData[[#Totals],[Winning Candidate]]-SamplingData[[#Totals],[Losing Candidate]]), 0)</f>
        <v>2.0072992700729927E-2</v>
      </c>
      <c r="R918" s="99">
        <f>IF(AND(SamplingData[[#This Row],[Total]]&lt;&gt; 0, NOT(ISBLANK(SamplingData[[#This Row],[Candidate 3]]))),(SamplingData[[#This Row],[Total]]+SamplingData[[#This Row],[Winning Candidate]]-SamplingData[[#This Row],[Candidate 3]])/(SamplingData[[#Totals],[Winning Candidate]]-SamplingData[[#Totals],[Candidate 3]]), 0)</f>
        <v>0</v>
      </c>
      <c r="S918" s="99">
        <f>IF(AND(SamplingData[[#This Row],[Total]]&lt;&gt; 0, NOT(ISBLANK(SamplingData[[#This Row],[Candidate 4]]))),(SamplingData[[#This Row],[Total]]+SamplingData[[#This Row],[Winning Candidate]]-SamplingData[[#This Row],[Candidate 4]])/(SamplingData[[#Totals],[Winning Candidate]]-SamplingData[[#Totals],[Candidate 4]]), 0)</f>
        <v>0</v>
      </c>
      <c r="T918" s="99">
        <f>IF(AND(SamplingData[[#This Row],[Total]]&lt;&gt; 0, NOT(ISBLANK(SamplingData[[#This Row],[Candidate 5]]))),(SamplingData[[#This Row],[Total]]+SamplingData[[#This Row],[Winning Candidate]]-SamplingData[[#This Row],[Candidate 5]])/(SamplingData[[#Totals],[Winning Candidate]]-SamplingData[[#Totals],[Candidate 5]]), 0)</f>
        <v>0</v>
      </c>
      <c r="U918" s="99">
        <f>IF(AND(SamplingData[[#This Row],[Total]]&lt;&gt; 0, NOT(ISBLANK(SamplingData[[#This Row],[Candidate 6]]))),(SamplingData[[#This Row],[Total]]+SamplingData[[#This Row],[Losing Candidate]]-SamplingData[[#This Row],[Candidate 6]])/(SamplingData[[#Totals],[Winning Candidate]]-SamplingData[[#Totals],[Candidate 6]]), 0)</f>
        <v>0</v>
      </c>
      <c r="V918" s="99">
        <f>IF(AND(SamplingData[[#This Row],[Total]]&lt;&gt; 0, NOT(ISBLANK(SamplingData[[#This Row],[Candidate 7]]))),(SamplingData[[#This Row],[Total]]+SamplingData[[#This Row],[Winning Candidate]]-SamplingData[[#This Row],[Candidate 7]])/(SamplingData[[#Totals],[Winning Candidate]]-SamplingData[[#Totals],[Candidate 7]]), 0)</f>
        <v>0</v>
      </c>
      <c r="W918" s="99">
        <f>IF(AND(SamplingData[[#This Row],[Total]]&lt;&gt; 0, NOT(ISBLANK(SamplingData[[#This Row],[Candidate 8]]))),(SamplingData[[#This Row],[Total]]+SamplingData[[#This Row],[Winning Candidate]]-SamplingData[[#This Row],[Candidate 8]])/(SamplingData[[#Totals],[Winning Candidate]]-SamplingData[[#Totals],[Candidate 8]]), 0)</f>
        <v>0</v>
      </c>
      <c r="X9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8" s="99">
        <f>MAX(SamplingData[[#This Row],[Error Bound (up) - Max. possible relative overstatement - Losing Candidate]:[Error Bound (up) - Max. possible relative overstatement - Candidate 12]])</f>
        <v>2.0072992700729927E-2</v>
      </c>
      <c r="AC918" s="99">
        <f>IF(SamplingData[[#This Row],[Max Error Bound (up)]] = 0,0,SamplingData[[#This Row],[Max Error Bound (up)]]/SamplingData[[#Totals],[Max Error Bound (up)]])</f>
        <v>1.0747264332715322E-3</v>
      </c>
      <c r="AD918" s="103">
        <f>SUM($AC$5:AC918)</f>
        <v>0.82794834042244037</v>
      </c>
      <c r="AE918" s="99" t="str" cm="1">
        <f t="array" ref="AE918">IF(SamplingData[[#This Row],[up/U Selection Probability]] = 0, "Zero", TEXT(SamplingData[[#This Row],[Lower Range]], REPT("0",LEN('General Info'!$B$42))) &amp; " - " &amp; TEXT(SamplingData[[#This Row],[Upper Range]], REPT("0",LEN('General Info'!$B$42))))</f>
        <v>826874 - 827947</v>
      </c>
      <c r="AF918" s="99">
        <f>SamplingData[[#This Row],[Upper Range]]-SamplingData[[#This Row],[Span]]</f>
        <v>826873.61398916878</v>
      </c>
      <c r="AG918" s="99">
        <f>IF(ISNUMBER('General Info'!$B$42), ((SamplingData[[#This Row],[up/U Selection Probability]]) * 'General Info'!$B$44) - 1, 0)</f>
        <v>1073.7264332715322</v>
      </c>
      <c r="AH918" s="99">
        <f>IF(ISNUMBER('General Info'!$B$42), (SamplingData[[#This Row],[Running (cumulative) sum]] * ('General Info'!$B$42 -'General Info'!$B$43 + 1)) + 'General Info'!$B$43 - 1, 0)</f>
        <v>827947.34042244032</v>
      </c>
      <c r="AI918" s="99" t="str">
        <f>IF(ISERROR(MATCH(SamplingData[[#This Row],[Batch by Type (p)]],SelectedPrecincts[Batch Name], 0)), "", INDEX(SelectedPrecincts[Draw], MATCH(SamplingData[[#This Row],[Batch by Type (p)]],SelectedPrecincts[Batch Name], 0)))</f>
        <v/>
      </c>
      <c r="AJ918" s="100">
        <f>IF(COUNTIF(SelectedPrecincts[Batch Name],SamplingData[[#This Row],[Batch by Type (p)]]) &lt;&gt; 0, COUNTIF(SelectedPrecincts[Batch Name],SamplingData[[#This Row],[Batch by Type (p)]]), 0)</f>
        <v>0</v>
      </c>
    </row>
    <row r="919" spans="1:36" ht="15" customHeight="1" x14ac:dyDescent="0.35">
      <c r="A919" s="97" t="s">
        <v>1132</v>
      </c>
      <c r="B919" s="97">
        <v>127</v>
      </c>
      <c r="C919" s="97">
        <v>386</v>
      </c>
      <c r="D919" s="92"/>
      <c r="E919" s="92"/>
      <c r="F919" s="92"/>
      <c r="G919" s="96"/>
      <c r="H919" s="96"/>
      <c r="I919" s="92"/>
      <c r="J919" s="92"/>
      <c r="K919" s="92"/>
      <c r="L919" s="92"/>
      <c r="M919" s="92"/>
      <c r="N919" s="97">
        <v>0</v>
      </c>
      <c r="O919" s="97">
        <v>44</v>
      </c>
      <c r="P919" s="98">
        <f>SUM(SamplingData[[#This Row],[Winning Candidate]:[Under Votes]])</f>
        <v>557</v>
      </c>
      <c r="Q919" s="99">
        <f>IF(AND(SamplingData[[#This Row],[Total]]&lt;&gt; 0, NOT(ISBLANK(SamplingData[[#This Row],[Losing Candidate]]))),(SamplingData[[#This Row],[Total]]+SamplingData[[#This Row],[Winning Candidate]]-SamplingData[[#This Row],[Losing Candidate]])/(SamplingData[[#Totals],[Winning Candidate]]-SamplingData[[#Totals],[Losing Candidate]]), 0)</f>
        <v>1.2646409777626889E-2</v>
      </c>
      <c r="R919" s="99">
        <f>IF(AND(SamplingData[[#This Row],[Total]]&lt;&gt; 0, NOT(ISBLANK(SamplingData[[#This Row],[Candidate 3]]))),(SamplingData[[#This Row],[Total]]+SamplingData[[#This Row],[Winning Candidate]]-SamplingData[[#This Row],[Candidate 3]])/(SamplingData[[#Totals],[Winning Candidate]]-SamplingData[[#Totals],[Candidate 3]]), 0)</f>
        <v>0</v>
      </c>
      <c r="S919" s="99">
        <f>IF(AND(SamplingData[[#This Row],[Total]]&lt;&gt; 0, NOT(ISBLANK(SamplingData[[#This Row],[Candidate 4]]))),(SamplingData[[#This Row],[Total]]+SamplingData[[#This Row],[Winning Candidate]]-SamplingData[[#This Row],[Candidate 4]])/(SamplingData[[#Totals],[Winning Candidate]]-SamplingData[[#Totals],[Candidate 4]]), 0)</f>
        <v>0</v>
      </c>
      <c r="T919" s="99">
        <f>IF(AND(SamplingData[[#This Row],[Total]]&lt;&gt; 0, NOT(ISBLANK(SamplingData[[#This Row],[Candidate 5]]))),(SamplingData[[#This Row],[Total]]+SamplingData[[#This Row],[Winning Candidate]]-SamplingData[[#This Row],[Candidate 5]])/(SamplingData[[#Totals],[Winning Candidate]]-SamplingData[[#Totals],[Candidate 5]]), 0)</f>
        <v>0</v>
      </c>
      <c r="U919" s="99">
        <f>IF(AND(SamplingData[[#This Row],[Total]]&lt;&gt; 0, NOT(ISBLANK(SamplingData[[#This Row],[Candidate 6]]))),(SamplingData[[#This Row],[Total]]+SamplingData[[#This Row],[Losing Candidate]]-SamplingData[[#This Row],[Candidate 6]])/(SamplingData[[#Totals],[Winning Candidate]]-SamplingData[[#Totals],[Candidate 6]]), 0)</f>
        <v>0</v>
      </c>
      <c r="V919" s="99">
        <f>IF(AND(SamplingData[[#This Row],[Total]]&lt;&gt; 0, NOT(ISBLANK(SamplingData[[#This Row],[Candidate 7]]))),(SamplingData[[#This Row],[Total]]+SamplingData[[#This Row],[Winning Candidate]]-SamplingData[[#This Row],[Candidate 7]])/(SamplingData[[#Totals],[Winning Candidate]]-SamplingData[[#Totals],[Candidate 7]]), 0)</f>
        <v>0</v>
      </c>
      <c r="W919" s="99">
        <f>IF(AND(SamplingData[[#This Row],[Total]]&lt;&gt; 0, NOT(ISBLANK(SamplingData[[#This Row],[Candidate 8]]))),(SamplingData[[#This Row],[Total]]+SamplingData[[#This Row],[Winning Candidate]]-SamplingData[[#This Row],[Candidate 8]])/(SamplingData[[#Totals],[Winning Candidate]]-SamplingData[[#Totals],[Candidate 8]]), 0)</f>
        <v>0</v>
      </c>
      <c r="X9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9" s="99">
        <f>MAX(SamplingData[[#This Row],[Error Bound (up) - Max. possible relative overstatement - Losing Candidate]:[Error Bound (up) - Max. possible relative overstatement - Candidate 12]])</f>
        <v>1.2646409777626889E-2</v>
      </c>
      <c r="AC919" s="99">
        <f>IF(SamplingData[[#This Row],[Max Error Bound (up)]] = 0,0,SamplingData[[#This Row],[Max Error Bound (up)]]/SamplingData[[#Totals],[Max Error Bound (up)]])</f>
        <v>6.7710037445014085E-4</v>
      </c>
      <c r="AD919" s="103">
        <f>SUM($AC$5:AC919)</f>
        <v>0.82862544079689049</v>
      </c>
      <c r="AE919" s="99" t="str" cm="1">
        <f t="array" ref="AE919">IF(SamplingData[[#This Row],[up/U Selection Probability]] = 0, "Zero", TEXT(SamplingData[[#This Row],[Lower Range]], REPT("0",LEN('General Info'!$B$42))) &amp; " - " &amp; TEXT(SamplingData[[#This Row],[Upper Range]], REPT("0",LEN('General Info'!$B$42))))</f>
        <v>827948 - 828624</v>
      </c>
      <c r="AF919" s="99">
        <f>SamplingData[[#This Row],[Upper Range]]-SamplingData[[#This Row],[Span]]</f>
        <v>827948.34042244044</v>
      </c>
      <c r="AG919" s="99">
        <f>IF(ISNUMBER('General Info'!$B$42), ((SamplingData[[#This Row],[up/U Selection Probability]]) * 'General Info'!$B$44) - 1, 0)</f>
        <v>676.10037445014086</v>
      </c>
      <c r="AH919" s="99">
        <f>IF(ISNUMBER('General Info'!$B$42), (SamplingData[[#This Row],[Running (cumulative) sum]] * ('General Info'!$B$42 -'General Info'!$B$43 + 1)) + 'General Info'!$B$43 - 1, 0)</f>
        <v>828624.44079689053</v>
      </c>
      <c r="AI919" s="99" t="str">
        <f>IF(ISERROR(MATCH(SamplingData[[#This Row],[Batch by Type (p)]],SelectedPrecincts[Batch Name], 0)), "", INDEX(SelectedPrecincts[Draw], MATCH(SamplingData[[#This Row],[Batch by Type (p)]],SelectedPrecincts[Batch Name], 0)))</f>
        <v/>
      </c>
      <c r="AJ919" s="100">
        <f>IF(COUNTIF(SelectedPrecincts[Batch Name],SamplingData[[#This Row],[Batch by Type (p)]]) &lt;&gt; 0, COUNTIF(SelectedPrecincts[Batch Name],SamplingData[[#This Row],[Batch by Type (p)]]), 0)</f>
        <v>0</v>
      </c>
    </row>
    <row r="920" spans="1:36" ht="15" customHeight="1" x14ac:dyDescent="0.35">
      <c r="A920" s="97" t="s">
        <v>1133</v>
      </c>
      <c r="B920" s="97">
        <v>129</v>
      </c>
      <c r="C920" s="97">
        <v>541</v>
      </c>
      <c r="D920" s="92"/>
      <c r="E920" s="92"/>
      <c r="F920" s="92"/>
      <c r="G920" s="96"/>
      <c r="H920" s="96"/>
      <c r="I920" s="92"/>
      <c r="J920" s="92"/>
      <c r="K920" s="92"/>
      <c r="L920" s="92"/>
      <c r="M920" s="92"/>
      <c r="N920" s="97">
        <v>0</v>
      </c>
      <c r="O920" s="97">
        <v>30</v>
      </c>
      <c r="P920" s="98">
        <f>SUM(SamplingData[[#This Row],[Winning Candidate]:[Under Votes]])</f>
        <v>700</v>
      </c>
      <c r="Q920" s="99">
        <f>IF(AND(SamplingData[[#This Row],[Total]]&lt;&gt; 0, NOT(ISBLANK(SamplingData[[#This Row],[Losing Candidate]]))),(SamplingData[[#This Row],[Total]]+SamplingData[[#This Row],[Winning Candidate]]-SamplingData[[#This Row],[Losing Candidate]])/(SamplingData[[#Totals],[Winning Candidate]]-SamplingData[[#Totals],[Losing Candidate]]), 0)</f>
        <v>1.2222033610592429E-2</v>
      </c>
      <c r="R920" s="99">
        <f>IF(AND(SamplingData[[#This Row],[Total]]&lt;&gt; 0, NOT(ISBLANK(SamplingData[[#This Row],[Candidate 3]]))),(SamplingData[[#This Row],[Total]]+SamplingData[[#This Row],[Winning Candidate]]-SamplingData[[#This Row],[Candidate 3]])/(SamplingData[[#Totals],[Winning Candidate]]-SamplingData[[#Totals],[Candidate 3]]), 0)</f>
        <v>0</v>
      </c>
      <c r="S920" s="99">
        <f>IF(AND(SamplingData[[#This Row],[Total]]&lt;&gt; 0, NOT(ISBLANK(SamplingData[[#This Row],[Candidate 4]]))),(SamplingData[[#This Row],[Total]]+SamplingData[[#This Row],[Winning Candidate]]-SamplingData[[#This Row],[Candidate 4]])/(SamplingData[[#Totals],[Winning Candidate]]-SamplingData[[#Totals],[Candidate 4]]), 0)</f>
        <v>0</v>
      </c>
      <c r="T920" s="99">
        <f>IF(AND(SamplingData[[#This Row],[Total]]&lt;&gt; 0, NOT(ISBLANK(SamplingData[[#This Row],[Candidate 5]]))),(SamplingData[[#This Row],[Total]]+SamplingData[[#This Row],[Winning Candidate]]-SamplingData[[#This Row],[Candidate 5]])/(SamplingData[[#Totals],[Winning Candidate]]-SamplingData[[#Totals],[Candidate 5]]), 0)</f>
        <v>0</v>
      </c>
      <c r="U920" s="99">
        <f>IF(AND(SamplingData[[#This Row],[Total]]&lt;&gt; 0, NOT(ISBLANK(SamplingData[[#This Row],[Candidate 6]]))),(SamplingData[[#This Row],[Total]]+SamplingData[[#This Row],[Losing Candidate]]-SamplingData[[#This Row],[Candidate 6]])/(SamplingData[[#Totals],[Winning Candidate]]-SamplingData[[#Totals],[Candidate 6]]), 0)</f>
        <v>0</v>
      </c>
      <c r="V920" s="99">
        <f>IF(AND(SamplingData[[#This Row],[Total]]&lt;&gt; 0, NOT(ISBLANK(SamplingData[[#This Row],[Candidate 7]]))),(SamplingData[[#This Row],[Total]]+SamplingData[[#This Row],[Winning Candidate]]-SamplingData[[#This Row],[Candidate 7]])/(SamplingData[[#Totals],[Winning Candidate]]-SamplingData[[#Totals],[Candidate 7]]), 0)</f>
        <v>0</v>
      </c>
      <c r="W920" s="99">
        <f>IF(AND(SamplingData[[#This Row],[Total]]&lt;&gt; 0, NOT(ISBLANK(SamplingData[[#This Row],[Candidate 8]]))),(SamplingData[[#This Row],[Total]]+SamplingData[[#This Row],[Winning Candidate]]-SamplingData[[#This Row],[Candidate 8]])/(SamplingData[[#Totals],[Winning Candidate]]-SamplingData[[#Totals],[Candidate 8]]), 0)</f>
        <v>0</v>
      </c>
      <c r="X9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0" s="99">
        <f>MAX(SamplingData[[#This Row],[Error Bound (up) - Max. possible relative overstatement - Losing Candidate]:[Error Bound (up) - Max. possible relative overstatement - Candidate 12]])</f>
        <v>1.2222033610592429E-2</v>
      </c>
      <c r="AC920" s="99">
        <f>IF(SamplingData[[#This Row],[Max Error Bound (up)]] = 0,0,SamplingData[[#This Row],[Max Error Bound (up)]]/SamplingData[[#Totals],[Max Error Bound (up)]])</f>
        <v>6.5437888537463271E-4</v>
      </c>
      <c r="AD920" s="103">
        <f>SUM($AC$5:AC920)</f>
        <v>0.82927981968226516</v>
      </c>
      <c r="AE920" s="99" t="str" cm="1">
        <f t="array" ref="AE920">IF(SamplingData[[#This Row],[up/U Selection Probability]] = 0, "Zero", TEXT(SamplingData[[#This Row],[Lower Range]], REPT("0",LEN('General Info'!$B$42))) &amp; " - " &amp; TEXT(SamplingData[[#This Row],[Upper Range]], REPT("0",LEN('General Info'!$B$42))))</f>
        <v>828625 - 829279</v>
      </c>
      <c r="AF920" s="99">
        <f>SamplingData[[#This Row],[Upper Range]]-SamplingData[[#This Row],[Span]]</f>
        <v>828625.44079689053</v>
      </c>
      <c r="AG920" s="99">
        <f>IF(ISNUMBER('General Info'!$B$42), ((SamplingData[[#This Row],[up/U Selection Probability]]) * 'General Info'!$B$44) - 1, 0)</f>
        <v>653.37888537463266</v>
      </c>
      <c r="AH920" s="99">
        <f>IF(ISNUMBER('General Info'!$B$42), (SamplingData[[#This Row],[Running (cumulative) sum]] * ('General Info'!$B$42 -'General Info'!$B$43 + 1)) + 'General Info'!$B$43 - 1, 0)</f>
        <v>829278.81968226517</v>
      </c>
      <c r="AI920" s="99" t="str">
        <f>IF(ISERROR(MATCH(SamplingData[[#This Row],[Batch by Type (p)]],SelectedPrecincts[Batch Name], 0)), "", INDEX(SelectedPrecincts[Draw], MATCH(SamplingData[[#This Row],[Batch by Type (p)]],SelectedPrecincts[Batch Name], 0)))</f>
        <v/>
      </c>
      <c r="AJ920" s="100">
        <f>IF(COUNTIF(SelectedPrecincts[Batch Name],SamplingData[[#This Row],[Batch by Type (p)]]) &lt;&gt; 0, COUNTIF(SelectedPrecincts[Batch Name],SamplingData[[#This Row],[Batch by Type (p)]]), 0)</f>
        <v>0</v>
      </c>
    </row>
    <row r="921" spans="1:36" ht="15" customHeight="1" x14ac:dyDescent="0.35">
      <c r="A921" s="97" t="s">
        <v>1134</v>
      </c>
      <c r="B921" s="97">
        <v>128</v>
      </c>
      <c r="C921" s="97">
        <v>450</v>
      </c>
      <c r="D921" s="92"/>
      <c r="E921" s="92"/>
      <c r="F921" s="92"/>
      <c r="G921" s="96"/>
      <c r="H921" s="96"/>
      <c r="I921" s="92"/>
      <c r="J921" s="92"/>
      <c r="K921" s="92"/>
      <c r="L921" s="92"/>
      <c r="M921" s="92"/>
      <c r="N921" s="97">
        <v>0</v>
      </c>
      <c r="O921" s="97">
        <v>48</v>
      </c>
      <c r="P921" s="98">
        <f>SUM(SamplingData[[#This Row],[Winning Candidate]:[Under Votes]])</f>
        <v>626</v>
      </c>
      <c r="Q921" s="99">
        <f>IF(AND(SamplingData[[#This Row],[Total]]&lt;&gt; 0, NOT(ISBLANK(SamplingData[[#This Row],[Losing Candidate]]))),(SamplingData[[#This Row],[Total]]+SamplingData[[#This Row],[Winning Candidate]]-SamplingData[[#This Row],[Losing Candidate]])/(SamplingData[[#Totals],[Winning Candidate]]-SamplingData[[#Totals],[Losing Candidate]]), 0)</f>
        <v>1.2901035477847564E-2</v>
      </c>
      <c r="R921" s="99">
        <f>IF(AND(SamplingData[[#This Row],[Total]]&lt;&gt; 0, NOT(ISBLANK(SamplingData[[#This Row],[Candidate 3]]))),(SamplingData[[#This Row],[Total]]+SamplingData[[#This Row],[Winning Candidate]]-SamplingData[[#This Row],[Candidate 3]])/(SamplingData[[#Totals],[Winning Candidate]]-SamplingData[[#Totals],[Candidate 3]]), 0)</f>
        <v>0</v>
      </c>
      <c r="S921" s="99">
        <f>IF(AND(SamplingData[[#This Row],[Total]]&lt;&gt; 0, NOT(ISBLANK(SamplingData[[#This Row],[Candidate 4]]))),(SamplingData[[#This Row],[Total]]+SamplingData[[#This Row],[Winning Candidate]]-SamplingData[[#This Row],[Candidate 4]])/(SamplingData[[#Totals],[Winning Candidate]]-SamplingData[[#Totals],[Candidate 4]]), 0)</f>
        <v>0</v>
      </c>
      <c r="T921" s="99">
        <f>IF(AND(SamplingData[[#This Row],[Total]]&lt;&gt; 0, NOT(ISBLANK(SamplingData[[#This Row],[Candidate 5]]))),(SamplingData[[#This Row],[Total]]+SamplingData[[#This Row],[Winning Candidate]]-SamplingData[[#This Row],[Candidate 5]])/(SamplingData[[#Totals],[Winning Candidate]]-SamplingData[[#Totals],[Candidate 5]]), 0)</f>
        <v>0</v>
      </c>
      <c r="U921" s="99">
        <f>IF(AND(SamplingData[[#This Row],[Total]]&lt;&gt; 0, NOT(ISBLANK(SamplingData[[#This Row],[Candidate 6]]))),(SamplingData[[#This Row],[Total]]+SamplingData[[#This Row],[Losing Candidate]]-SamplingData[[#This Row],[Candidate 6]])/(SamplingData[[#Totals],[Winning Candidate]]-SamplingData[[#Totals],[Candidate 6]]), 0)</f>
        <v>0</v>
      </c>
      <c r="V921" s="99">
        <f>IF(AND(SamplingData[[#This Row],[Total]]&lt;&gt; 0, NOT(ISBLANK(SamplingData[[#This Row],[Candidate 7]]))),(SamplingData[[#This Row],[Total]]+SamplingData[[#This Row],[Winning Candidate]]-SamplingData[[#This Row],[Candidate 7]])/(SamplingData[[#Totals],[Winning Candidate]]-SamplingData[[#Totals],[Candidate 7]]), 0)</f>
        <v>0</v>
      </c>
      <c r="W921" s="99">
        <f>IF(AND(SamplingData[[#This Row],[Total]]&lt;&gt; 0, NOT(ISBLANK(SamplingData[[#This Row],[Candidate 8]]))),(SamplingData[[#This Row],[Total]]+SamplingData[[#This Row],[Winning Candidate]]-SamplingData[[#This Row],[Candidate 8]])/(SamplingData[[#Totals],[Winning Candidate]]-SamplingData[[#Totals],[Candidate 8]]), 0)</f>
        <v>0</v>
      </c>
      <c r="X9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1" s="99">
        <f>MAX(SamplingData[[#This Row],[Error Bound (up) - Max. possible relative overstatement - Losing Candidate]:[Error Bound (up) - Max. possible relative overstatement - Candidate 12]])</f>
        <v>1.2901035477847564E-2</v>
      </c>
      <c r="AC921" s="99">
        <f>IF(SamplingData[[#This Row],[Max Error Bound (up)]] = 0,0,SamplingData[[#This Row],[Max Error Bound (up)]]/SamplingData[[#Totals],[Max Error Bound (up)]])</f>
        <v>6.9073326789544564E-4</v>
      </c>
      <c r="AD921" s="103">
        <f>SUM($AC$5:AC921)</f>
        <v>0.82997055295016064</v>
      </c>
      <c r="AE921" s="99" t="str" cm="1">
        <f t="array" ref="AE921">IF(SamplingData[[#This Row],[up/U Selection Probability]] = 0, "Zero", TEXT(SamplingData[[#This Row],[Lower Range]], REPT("0",LEN('General Info'!$B$42))) &amp; " - " &amp; TEXT(SamplingData[[#This Row],[Upper Range]], REPT("0",LEN('General Info'!$B$42))))</f>
        <v>829280 - 829970</v>
      </c>
      <c r="AF921" s="99">
        <f>SamplingData[[#This Row],[Upper Range]]-SamplingData[[#This Row],[Span]]</f>
        <v>829279.81968226528</v>
      </c>
      <c r="AG921" s="99">
        <f>IF(ISNUMBER('General Info'!$B$42), ((SamplingData[[#This Row],[up/U Selection Probability]]) * 'General Info'!$B$44) - 1, 0)</f>
        <v>689.73326789544569</v>
      </c>
      <c r="AH921" s="99">
        <f>IF(ISNUMBER('General Info'!$B$42), (SamplingData[[#This Row],[Running (cumulative) sum]] * ('General Info'!$B$42 -'General Info'!$B$43 + 1)) + 'General Info'!$B$43 - 1, 0)</f>
        <v>829969.55295016069</v>
      </c>
      <c r="AI921" s="99" t="str">
        <f>IF(ISERROR(MATCH(SamplingData[[#This Row],[Batch by Type (p)]],SelectedPrecincts[Batch Name], 0)), "", INDEX(SelectedPrecincts[Draw], MATCH(SamplingData[[#This Row],[Batch by Type (p)]],SelectedPrecincts[Batch Name], 0)))</f>
        <v/>
      </c>
      <c r="AJ921" s="100">
        <f>IF(COUNTIF(SelectedPrecincts[Batch Name],SamplingData[[#This Row],[Batch by Type (p)]]) &lt;&gt; 0, COUNTIF(SelectedPrecincts[Batch Name],SamplingData[[#This Row],[Batch by Type (p)]]), 0)</f>
        <v>0</v>
      </c>
    </row>
    <row r="922" spans="1:36" ht="15" customHeight="1" x14ac:dyDescent="0.35">
      <c r="A922" s="97" t="s">
        <v>1135</v>
      </c>
      <c r="B922" s="97">
        <v>258</v>
      </c>
      <c r="C922" s="97">
        <v>409</v>
      </c>
      <c r="D922" s="92"/>
      <c r="E922" s="92"/>
      <c r="F922" s="92"/>
      <c r="G922" s="96"/>
      <c r="H922" s="96"/>
      <c r="I922" s="92"/>
      <c r="J922" s="92"/>
      <c r="K922" s="92"/>
      <c r="L922" s="92"/>
      <c r="M922" s="92"/>
      <c r="N922" s="97">
        <v>1</v>
      </c>
      <c r="O922" s="97">
        <v>59</v>
      </c>
      <c r="P922" s="98">
        <f>SUM(SamplingData[[#This Row],[Winning Candidate]:[Under Votes]])</f>
        <v>727</v>
      </c>
      <c r="Q922" s="99">
        <f>IF(AND(SamplingData[[#This Row],[Total]]&lt;&gt; 0, NOT(ISBLANK(SamplingData[[#This Row],[Losing Candidate]]))),(SamplingData[[#This Row],[Total]]+SamplingData[[#This Row],[Winning Candidate]]-SamplingData[[#This Row],[Losing Candidate]])/(SamplingData[[#Totals],[Winning Candidate]]-SamplingData[[#Totals],[Losing Candidate]]), 0)</f>
        <v>2.4444067221184859E-2</v>
      </c>
      <c r="R922" s="99">
        <f>IF(AND(SamplingData[[#This Row],[Total]]&lt;&gt; 0, NOT(ISBLANK(SamplingData[[#This Row],[Candidate 3]]))),(SamplingData[[#This Row],[Total]]+SamplingData[[#This Row],[Winning Candidate]]-SamplingData[[#This Row],[Candidate 3]])/(SamplingData[[#Totals],[Winning Candidate]]-SamplingData[[#Totals],[Candidate 3]]), 0)</f>
        <v>0</v>
      </c>
      <c r="S922" s="99">
        <f>IF(AND(SamplingData[[#This Row],[Total]]&lt;&gt; 0, NOT(ISBLANK(SamplingData[[#This Row],[Candidate 4]]))),(SamplingData[[#This Row],[Total]]+SamplingData[[#This Row],[Winning Candidate]]-SamplingData[[#This Row],[Candidate 4]])/(SamplingData[[#Totals],[Winning Candidate]]-SamplingData[[#Totals],[Candidate 4]]), 0)</f>
        <v>0</v>
      </c>
      <c r="T922" s="99">
        <f>IF(AND(SamplingData[[#This Row],[Total]]&lt;&gt; 0, NOT(ISBLANK(SamplingData[[#This Row],[Candidate 5]]))),(SamplingData[[#This Row],[Total]]+SamplingData[[#This Row],[Winning Candidate]]-SamplingData[[#This Row],[Candidate 5]])/(SamplingData[[#Totals],[Winning Candidate]]-SamplingData[[#Totals],[Candidate 5]]), 0)</f>
        <v>0</v>
      </c>
      <c r="U922" s="99">
        <f>IF(AND(SamplingData[[#This Row],[Total]]&lt;&gt; 0, NOT(ISBLANK(SamplingData[[#This Row],[Candidate 6]]))),(SamplingData[[#This Row],[Total]]+SamplingData[[#This Row],[Losing Candidate]]-SamplingData[[#This Row],[Candidate 6]])/(SamplingData[[#Totals],[Winning Candidate]]-SamplingData[[#Totals],[Candidate 6]]), 0)</f>
        <v>0</v>
      </c>
      <c r="V922" s="99">
        <f>IF(AND(SamplingData[[#This Row],[Total]]&lt;&gt; 0, NOT(ISBLANK(SamplingData[[#This Row],[Candidate 7]]))),(SamplingData[[#This Row],[Total]]+SamplingData[[#This Row],[Winning Candidate]]-SamplingData[[#This Row],[Candidate 7]])/(SamplingData[[#Totals],[Winning Candidate]]-SamplingData[[#Totals],[Candidate 7]]), 0)</f>
        <v>0</v>
      </c>
      <c r="W922" s="99">
        <f>IF(AND(SamplingData[[#This Row],[Total]]&lt;&gt; 0, NOT(ISBLANK(SamplingData[[#This Row],[Candidate 8]]))),(SamplingData[[#This Row],[Total]]+SamplingData[[#This Row],[Winning Candidate]]-SamplingData[[#This Row],[Candidate 8]])/(SamplingData[[#Totals],[Winning Candidate]]-SamplingData[[#Totals],[Candidate 8]]), 0)</f>
        <v>0</v>
      </c>
      <c r="X9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2" s="99">
        <f>MAX(SamplingData[[#This Row],[Error Bound (up) - Max. possible relative overstatement - Losing Candidate]:[Error Bound (up) - Max. possible relative overstatement - Candidate 12]])</f>
        <v>2.4444067221184859E-2</v>
      </c>
      <c r="AC922" s="99">
        <f>IF(SamplingData[[#This Row],[Max Error Bound (up)]] = 0,0,SamplingData[[#This Row],[Max Error Bound (up)]]/SamplingData[[#Totals],[Max Error Bound (up)]])</f>
        <v>1.3087577707492654E-3</v>
      </c>
      <c r="AD922" s="103">
        <f>SUM($AC$5:AC922)</f>
        <v>0.83127931072090988</v>
      </c>
      <c r="AE922" s="99" t="str" cm="1">
        <f t="array" ref="AE922">IF(SamplingData[[#This Row],[up/U Selection Probability]] = 0, "Zero", TEXT(SamplingData[[#This Row],[Lower Range]], REPT("0",LEN('General Info'!$B$42))) &amp; " - " &amp; TEXT(SamplingData[[#This Row],[Upper Range]], REPT("0",LEN('General Info'!$B$42))))</f>
        <v>829971 - 831278</v>
      </c>
      <c r="AF922" s="99">
        <f>SamplingData[[#This Row],[Upper Range]]-SamplingData[[#This Row],[Span]]</f>
        <v>829970.55295016058</v>
      </c>
      <c r="AG922" s="99">
        <f>IF(ISNUMBER('General Info'!$B$42), ((SamplingData[[#This Row],[up/U Selection Probability]]) * 'General Info'!$B$44) - 1, 0)</f>
        <v>1307.7577707492653</v>
      </c>
      <c r="AH922" s="99">
        <f>IF(ISNUMBER('General Info'!$B$42), (SamplingData[[#This Row],[Running (cumulative) sum]] * ('General Info'!$B$42 -'General Info'!$B$43 + 1)) + 'General Info'!$B$43 - 1, 0)</f>
        <v>831278.31072090985</v>
      </c>
      <c r="AI922" s="99" t="str">
        <f>IF(ISERROR(MATCH(SamplingData[[#This Row],[Batch by Type (p)]],SelectedPrecincts[Batch Name], 0)), "", INDEX(SelectedPrecincts[Draw], MATCH(SamplingData[[#This Row],[Batch by Type (p)]],SelectedPrecincts[Batch Name], 0)))</f>
        <v/>
      </c>
      <c r="AJ922" s="100">
        <f>IF(COUNTIF(SelectedPrecincts[Batch Name],SamplingData[[#This Row],[Batch by Type (p)]]) &lt;&gt; 0, COUNTIF(SelectedPrecincts[Batch Name],SamplingData[[#This Row],[Batch by Type (p)]]), 0)</f>
        <v>0</v>
      </c>
    </row>
    <row r="923" spans="1:36" ht="15" customHeight="1" x14ac:dyDescent="0.35">
      <c r="A923" s="97" t="s">
        <v>1136</v>
      </c>
      <c r="B923" s="97">
        <v>67</v>
      </c>
      <c r="C923" s="97">
        <v>362</v>
      </c>
      <c r="D923" s="92"/>
      <c r="E923" s="92"/>
      <c r="F923" s="92"/>
      <c r="G923" s="96"/>
      <c r="H923" s="96"/>
      <c r="I923" s="92"/>
      <c r="J923" s="92"/>
      <c r="K923" s="92"/>
      <c r="L923" s="92"/>
      <c r="M923" s="92"/>
      <c r="N923" s="97">
        <v>0</v>
      </c>
      <c r="O923" s="97">
        <v>29</v>
      </c>
      <c r="P923" s="98">
        <f>SUM(SamplingData[[#This Row],[Winning Candidate]:[Under Votes]])</f>
        <v>458</v>
      </c>
      <c r="Q923" s="99">
        <f>IF(AND(SamplingData[[#This Row],[Total]]&lt;&gt; 0, NOT(ISBLANK(SamplingData[[#This Row],[Losing Candidate]]))),(SamplingData[[#This Row],[Total]]+SamplingData[[#This Row],[Winning Candidate]]-SamplingData[[#This Row],[Losing Candidate]])/(SamplingData[[#Totals],[Winning Candidate]]-SamplingData[[#Totals],[Losing Candidate]]), 0)</f>
        <v>6.917331522661687E-3</v>
      </c>
      <c r="R923" s="99">
        <f>IF(AND(SamplingData[[#This Row],[Total]]&lt;&gt; 0, NOT(ISBLANK(SamplingData[[#This Row],[Candidate 3]]))),(SamplingData[[#This Row],[Total]]+SamplingData[[#This Row],[Winning Candidate]]-SamplingData[[#This Row],[Candidate 3]])/(SamplingData[[#Totals],[Winning Candidate]]-SamplingData[[#Totals],[Candidate 3]]), 0)</f>
        <v>0</v>
      </c>
      <c r="S923" s="99">
        <f>IF(AND(SamplingData[[#This Row],[Total]]&lt;&gt; 0, NOT(ISBLANK(SamplingData[[#This Row],[Candidate 4]]))),(SamplingData[[#This Row],[Total]]+SamplingData[[#This Row],[Winning Candidate]]-SamplingData[[#This Row],[Candidate 4]])/(SamplingData[[#Totals],[Winning Candidate]]-SamplingData[[#Totals],[Candidate 4]]), 0)</f>
        <v>0</v>
      </c>
      <c r="T923" s="99">
        <f>IF(AND(SamplingData[[#This Row],[Total]]&lt;&gt; 0, NOT(ISBLANK(SamplingData[[#This Row],[Candidate 5]]))),(SamplingData[[#This Row],[Total]]+SamplingData[[#This Row],[Winning Candidate]]-SamplingData[[#This Row],[Candidate 5]])/(SamplingData[[#Totals],[Winning Candidate]]-SamplingData[[#Totals],[Candidate 5]]), 0)</f>
        <v>0</v>
      </c>
      <c r="U923" s="99">
        <f>IF(AND(SamplingData[[#This Row],[Total]]&lt;&gt; 0, NOT(ISBLANK(SamplingData[[#This Row],[Candidate 6]]))),(SamplingData[[#This Row],[Total]]+SamplingData[[#This Row],[Losing Candidate]]-SamplingData[[#This Row],[Candidate 6]])/(SamplingData[[#Totals],[Winning Candidate]]-SamplingData[[#Totals],[Candidate 6]]), 0)</f>
        <v>0</v>
      </c>
      <c r="V923" s="99">
        <f>IF(AND(SamplingData[[#This Row],[Total]]&lt;&gt; 0, NOT(ISBLANK(SamplingData[[#This Row],[Candidate 7]]))),(SamplingData[[#This Row],[Total]]+SamplingData[[#This Row],[Winning Candidate]]-SamplingData[[#This Row],[Candidate 7]])/(SamplingData[[#Totals],[Winning Candidate]]-SamplingData[[#Totals],[Candidate 7]]), 0)</f>
        <v>0</v>
      </c>
      <c r="W923" s="99">
        <f>IF(AND(SamplingData[[#This Row],[Total]]&lt;&gt; 0, NOT(ISBLANK(SamplingData[[#This Row],[Candidate 8]]))),(SamplingData[[#This Row],[Total]]+SamplingData[[#This Row],[Winning Candidate]]-SamplingData[[#This Row],[Candidate 8]])/(SamplingData[[#Totals],[Winning Candidate]]-SamplingData[[#Totals],[Candidate 8]]), 0)</f>
        <v>0</v>
      </c>
      <c r="X9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3" s="99">
        <f>MAX(SamplingData[[#This Row],[Error Bound (up) - Max. possible relative overstatement - Losing Candidate]:[Error Bound (up) - Max. possible relative overstatement - Candidate 12]])</f>
        <v>6.917331522661687E-3</v>
      </c>
      <c r="AC923" s="99">
        <f>IF(SamplingData[[#This Row],[Max Error Bound (up)]] = 0,0,SamplingData[[#This Row],[Max Error Bound (up)]]/SamplingData[[#Totals],[Max Error Bound (up)]])</f>
        <v>3.7036027193078174E-4</v>
      </c>
      <c r="AD923" s="103">
        <f>SUM($AC$5:AC923)</f>
        <v>0.83164967099284071</v>
      </c>
      <c r="AE923" s="99" t="str" cm="1">
        <f t="array" ref="AE923">IF(SamplingData[[#This Row],[up/U Selection Probability]] = 0, "Zero", TEXT(SamplingData[[#This Row],[Lower Range]], REPT("0",LEN('General Info'!$B$42))) &amp; " - " &amp; TEXT(SamplingData[[#This Row],[Upper Range]], REPT("0",LEN('General Info'!$B$42))))</f>
        <v>831279 - 831649</v>
      </c>
      <c r="AF923" s="99">
        <f>SamplingData[[#This Row],[Upper Range]]-SamplingData[[#This Row],[Span]]</f>
        <v>831279.31072090985</v>
      </c>
      <c r="AG923" s="99">
        <f>IF(ISNUMBER('General Info'!$B$42), ((SamplingData[[#This Row],[up/U Selection Probability]]) * 'General Info'!$B$44) - 1, 0)</f>
        <v>369.36027193078172</v>
      </c>
      <c r="AH923" s="99">
        <f>IF(ISNUMBER('General Info'!$B$42), (SamplingData[[#This Row],[Running (cumulative) sum]] * ('General Info'!$B$42 -'General Info'!$B$43 + 1)) + 'General Info'!$B$43 - 1, 0)</f>
        <v>831648.67099284066</v>
      </c>
      <c r="AI923" s="99" t="str">
        <f>IF(ISERROR(MATCH(SamplingData[[#This Row],[Batch by Type (p)]],SelectedPrecincts[Batch Name], 0)), "", INDEX(SelectedPrecincts[Draw], MATCH(SamplingData[[#This Row],[Batch by Type (p)]],SelectedPrecincts[Batch Name], 0)))</f>
        <v/>
      </c>
      <c r="AJ923" s="100">
        <f>IF(COUNTIF(SelectedPrecincts[Batch Name],SamplingData[[#This Row],[Batch by Type (p)]]) &lt;&gt; 0, COUNTIF(SelectedPrecincts[Batch Name],SamplingData[[#This Row],[Batch by Type (p)]]), 0)</f>
        <v>0</v>
      </c>
    </row>
    <row r="924" spans="1:36" ht="15" customHeight="1" x14ac:dyDescent="0.35">
      <c r="A924" s="97" t="s">
        <v>1137</v>
      </c>
      <c r="B924" s="97">
        <v>226</v>
      </c>
      <c r="C924" s="97">
        <v>335</v>
      </c>
      <c r="D924" s="92"/>
      <c r="E924" s="92"/>
      <c r="F924" s="92"/>
      <c r="G924" s="96"/>
      <c r="H924" s="96"/>
      <c r="I924" s="92"/>
      <c r="J924" s="92"/>
      <c r="K924" s="92"/>
      <c r="L924" s="92"/>
      <c r="M924" s="92"/>
      <c r="N924" s="97">
        <v>0</v>
      </c>
      <c r="O924" s="97">
        <v>34</v>
      </c>
      <c r="P924" s="98">
        <f>SUM(SamplingData[[#This Row],[Winning Candidate]:[Under Votes]])</f>
        <v>595</v>
      </c>
      <c r="Q924" s="99">
        <f>IF(AND(SamplingData[[#This Row],[Total]]&lt;&gt; 0, NOT(ISBLANK(SamplingData[[#This Row],[Losing Candidate]]))),(SamplingData[[#This Row],[Total]]+SamplingData[[#This Row],[Winning Candidate]]-SamplingData[[#This Row],[Losing Candidate]])/(SamplingData[[#Totals],[Winning Candidate]]-SamplingData[[#Totals],[Losing Candidate]]), 0)</f>
        <v>2.0624681717874724E-2</v>
      </c>
      <c r="R924" s="99">
        <f>IF(AND(SamplingData[[#This Row],[Total]]&lt;&gt; 0, NOT(ISBLANK(SamplingData[[#This Row],[Candidate 3]]))),(SamplingData[[#This Row],[Total]]+SamplingData[[#This Row],[Winning Candidate]]-SamplingData[[#This Row],[Candidate 3]])/(SamplingData[[#Totals],[Winning Candidate]]-SamplingData[[#Totals],[Candidate 3]]), 0)</f>
        <v>0</v>
      </c>
      <c r="S924" s="99">
        <f>IF(AND(SamplingData[[#This Row],[Total]]&lt;&gt; 0, NOT(ISBLANK(SamplingData[[#This Row],[Candidate 4]]))),(SamplingData[[#This Row],[Total]]+SamplingData[[#This Row],[Winning Candidate]]-SamplingData[[#This Row],[Candidate 4]])/(SamplingData[[#Totals],[Winning Candidate]]-SamplingData[[#Totals],[Candidate 4]]), 0)</f>
        <v>0</v>
      </c>
      <c r="T924" s="99">
        <f>IF(AND(SamplingData[[#This Row],[Total]]&lt;&gt; 0, NOT(ISBLANK(SamplingData[[#This Row],[Candidate 5]]))),(SamplingData[[#This Row],[Total]]+SamplingData[[#This Row],[Winning Candidate]]-SamplingData[[#This Row],[Candidate 5]])/(SamplingData[[#Totals],[Winning Candidate]]-SamplingData[[#Totals],[Candidate 5]]), 0)</f>
        <v>0</v>
      </c>
      <c r="U924" s="99">
        <f>IF(AND(SamplingData[[#This Row],[Total]]&lt;&gt; 0, NOT(ISBLANK(SamplingData[[#This Row],[Candidate 6]]))),(SamplingData[[#This Row],[Total]]+SamplingData[[#This Row],[Losing Candidate]]-SamplingData[[#This Row],[Candidate 6]])/(SamplingData[[#Totals],[Winning Candidate]]-SamplingData[[#Totals],[Candidate 6]]), 0)</f>
        <v>0</v>
      </c>
      <c r="V924" s="99">
        <f>IF(AND(SamplingData[[#This Row],[Total]]&lt;&gt; 0, NOT(ISBLANK(SamplingData[[#This Row],[Candidate 7]]))),(SamplingData[[#This Row],[Total]]+SamplingData[[#This Row],[Winning Candidate]]-SamplingData[[#This Row],[Candidate 7]])/(SamplingData[[#Totals],[Winning Candidate]]-SamplingData[[#Totals],[Candidate 7]]), 0)</f>
        <v>0</v>
      </c>
      <c r="W924" s="99">
        <f>IF(AND(SamplingData[[#This Row],[Total]]&lt;&gt; 0, NOT(ISBLANK(SamplingData[[#This Row],[Candidate 8]]))),(SamplingData[[#This Row],[Total]]+SamplingData[[#This Row],[Winning Candidate]]-SamplingData[[#This Row],[Candidate 8]])/(SamplingData[[#Totals],[Winning Candidate]]-SamplingData[[#Totals],[Candidate 8]]), 0)</f>
        <v>0</v>
      </c>
      <c r="X9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4" s="99">
        <f>MAX(SamplingData[[#This Row],[Error Bound (up) - Max. possible relative overstatement - Losing Candidate]:[Error Bound (up) - Max. possible relative overstatement - Candidate 12]])</f>
        <v>2.0624681717874724E-2</v>
      </c>
      <c r="AC924" s="99">
        <f>IF(SamplingData[[#This Row],[Max Error Bound (up)]] = 0,0,SamplingData[[#This Row],[Max Error Bound (up)]]/SamplingData[[#Totals],[Max Error Bound (up)]])</f>
        <v>1.1042643690696928E-3</v>
      </c>
      <c r="AD924" s="103">
        <f>SUM($AC$5:AC924)</f>
        <v>0.83275393536191045</v>
      </c>
      <c r="AE924" s="99" t="str" cm="1">
        <f t="array" ref="AE924">IF(SamplingData[[#This Row],[up/U Selection Probability]] = 0, "Zero", TEXT(SamplingData[[#This Row],[Lower Range]], REPT("0",LEN('General Info'!$B$42))) &amp; " - " &amp; TEXT(SamplingData[[#This Row],[Upper Range]], REPT("0",LEN('General Info'!$B$42))))</f>
        <v>831650 - 832753</v>
      </c>
      <c r="AF924" s="99">
        <f>SamplingData[[#This Row],[Upper Range]]-SamplingData[[#This Row],[Span]]</f>
        <v>831649.67099284078</v>
      </c>
      <c r="AG924" s="99">
        <f>IF(ISNUMBER('General Info'!$B$42), ((SamplingData[[#This Row],[up/U Selection Probability]]) * 'General Info'!$B$44) - 1, 0)</f>
        <v>1103.2643690696927</v>
      </c>
      <c r="AH924" s="99">
        <f>IF(ISNUMBER('General Info'!$B$42), (SamplingData[[#This Row],[Running (cumulative) sum]] * ('General Info'!$B$42 -'General Info'!$B$43 + 1)) + 'General Info'!$B$43 - 1, 0)</f>
        <v>832752.93536191049</v>
      </c>
      <c r="AI924" s="99" t="str">
        <f>IF(ISERROR(MATCH(SamplingData[[#This Row],[Batch by Type (p)]],SelectedPrecincts[Batch Name], 0)), "", INDEX(SelectedPrecincts[Draw], MATCH(SamplingData[[#This Row],[Batch by Type (p)]],SelectedPrecincts[Batch Name], 0)))</f>
        <v/>
      </c>
      <c r="AJ924" s="100">
        <f>IF(COUNTIF(SelectedPrecincts[Batch Name],SamplingData[[#This Row],[Batch by Type (p)]]) &lt;&gt; 0, COUNTIF(SelectedPrecincts[Batch Name],SamplingData[[#This Row],[Batch by Type (p)]]), 0)</f>
        <v>0</v>
      </c>
    </row>
    <row r="925" spans="1:36" ht="15" customHeight="1" x14ac:dyDescent="0.35">
      <c r="A925" s="97" t="s">
        <v>1138</v>
      </c>
      <c r="B925" s="97">
        <v>125</v>
      </c>
      <c r="C925" s="97">
        <v>237</v>
      </c>
      <c r="D925" s="92"/>
      <c r="E925" s="92"/>
      <c r="F925" s="92"/>
      <c r="G925" s="96"/>
      <c r="H925" s="96"/>
      <c r="I925" s="92"/>
      <c r="J925" s="92"/>
      <c r="K925" s="92"/>
      <c r="L925" s="92"/>
      <c r="M925" s="92"/>
      <c r="N925" s="97">
        <v>0</v>
      </c>
      <c r="O925" s="97">
        <v>26</v>
      </c>
      <c r="P925" s="98">
        <f>SUM(SamplingData[[#This Row],[Winning Candidate]:[Under Votes]])</f>
        <v>388</v>
      </c>
      <c r="Q925" s="99">
        <f>IF(AND(SamplingData[[#This Row],[Total]]&lt;&gt; 0, NOT(ISBLANK(SamplingData[[#This Row],[Losing Candidate]]))),(SamplingData[[#This Row],[Total]]+SamplingData[[#This Row],[Winning Candidate]]-SamplingData[[#This Row],[Losing Candidate]])/(SamplingData[[#Totals],[Winning Candidate]]-SamplingData[[#Totals],[Losing Candidate]]), 0)</f>
        <v>1.1712782210151079E-2</v>
      </c>
      <c r="R925" s="99">
        <f>IF(AND(SamplingData[[#This Row],[Total]]&lt;&gt; 0, NOT(ISBLANK(SamplingData[[#This Row],[Candidate 3]]))),(SamplingData[[#This Row],[Total]]+SamplingData[[#This Row],[Winning Candidate]]-SamplingData[[#This Row],[Candidate 3]])/(SamplingData[[#Totals],[Winning Candidate]]-SamplingData[[#Totals],[Candidate 3]]), 0)</f>
        <v>0</v>
      </c>
      <c r="S925" s="99">
        <f>IF(AND(SamplingData[[#This Row],[Total]]&lt;&gt; 0, NOT(ISBLANK(SamplingData[[#This Row],[Candidate 4]]))),(SamplingData[[#This Row],[Total]]+SamplingData[[#This Row],[Winning Candidate]]-SamplingData[[#This Row],[Candidate 4]])/(SamplingData[[#Totals],[Winning Candidate]]-SamplingData[[#Totals],[Candidate 4]]), 0)</f>
        <v>0</v>
      </c>
      <c r="T925" s="99">
        <f>IF(AND(SamplingData[[#This Row],[Total]]&lt;&gt; 0, NOT(ISBLANK(SamplingData[[#This Row],[Candidate 5]]))),(SamplingData[[#This Row],[Total]]+SamplingData[[#This Row],[Winning Candidate]]-SamplingData[[#This Row],[Candidate 5]])/(SamplingData[[#Totals],[Winning Candidate]]-SamplingData[[#Totals],[Candidate 5]]), 0)</f>
        <v>0</v>
      </c>
      <c r="U925" s="99">
        <f>IF(AND(SamplingData[[#This Row],[Total]]&lt;&gt; 0, NOT(ISBLANK(SamplingData[[#This Row],[Candidate 6]]))),(SamplingData[[#This Row],[Total]]+SamplingData[[#This Row],[Losing Candidate]]-SamplingData[[#This Row],[Candidate 6]])/(SamplingData[[#Totals],[Winning Candidate]]-SamplingData[[#Totals],[Candidate 6]]), 0)</f>
        <v>0</v>
      </c>
      <c r="V925" s="99">
        <f>IF(AND(SamplingData[[#This Row],[Total]]&lt;&gt; 0, NOT(ISBLANK(SamplingData[[#This Row],[Candidate 7]]))),(SamplingData[[#This Row],[Total]]+SamplingData[[#This Row],[Winning Candidate]]-SamplingData[[#This Row],[Candidate 7]])/(SamplingData[[#Totals],[Winning Candidate]]-SamplingData[[#Totals],[Candidate 7]]), 0)</f>
        <v>0</v>
      </c>
      <c r="W925" s="99">
        <f>IF(AND(SamplingData[[#This Row],[Total]]&lt;&gt; 0, NOT(ISBLANK(SamplingData[[#This Row],[Candidate 8]]))),(SamplingData[[#This Row],[Total]]+SamplingData[[#This Row],[Winning Candidate]]-SamplingData[[#This Row],[Candidate 8]])/(SamplingData[[#Totals],[Winning Candidate]]-SamplingData[[#Totals],[Candidate 8]]), 0)</f>
        <v>0</v>
      </c>
      <c r="X9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5" s="99">
        <f>MAX(SamplingData[[#This Row],[Error Bound (up) - Max. possible relative overstatement - Losing Candidate]:[Error Bound (up) - Max. possible relative overstatement - Candidate 12]])</f>
        <v>1.1712782210151079E-2</v>
      </c>
      <c r="AC925" s="99">
        <f>IF(SamplingData[[#This Row],[Max Error Bound (up)]] = 0,0,SamplingData[[#This Row],[Max Error Bound (up)]]/SamplingData[[#Totals],[Max Error Bound (up)]])</f>
        <v>6.2711309848402313E-4</v>
      </c>
      <c r="AD925" s="103">
        <f>SUM($AC$5:AC925)</f>
        <v>0.83338104846039451</v>
      </c>
      <c r="AE925" s="99" t="str" cm="1">
        <f t="array" ref="AE925">IF(SamplingData[[#This Row],[up/U Selection Probability]] = 0, "Zero", TEXT(SamplingData[[#This Row],[Lower Range]], REPT("0",LEN('General Info'!$B$42))) &amp; " - " &amp; TEXT(SamplingData[[#This Row],[Upper Range]], REPT("0",LEN('General Info'!$B$42))))</f>
        <v>832754 - 833380</v>
      </c>
      <c r="AF925" s="99">
        <f>SamplingData[[#This Row],[Upper Range]]-SamplingData[[#This Row],[Span]]</f>
        <v>832753.93536191049</v>
      </c>
      <c r="AG925" s="99">
        <f>IF(ISNUMBER('General Info'!$B$42), ((SamplingData[[#This Row],[up/U Selection Probability]]) * 'General Info'!$B$44) - 1, 0)</f>
        <v>626.11309848402311</v>
      </c>
      <c r="AH925" s="99">
        <f>IF(ISNUMBER('General Info'!$B$42), (SamplingData[[#This Row],[Running (cumulative) sum]] * ('General Info'!$B$42 -'General Info'!$B$43 + 1)) + 'General Info'!$B$43 - 1, 0)</f>
        <v>833380.04846039449</v>
      </c>
      <c r="AI925" s="99" t="str">
        <f>IF(ISERROR(MATCH(SamplingData[[#This Row],[Batch by Type (p)]],SelectedPrecincts[Batch Name], 0)), "", INDEX(SelectedPrecincts[Draw], MATCH(SamplingData[[#This Row],[Batch by Type (p)]],SelectedPrecincts[Batch Name], 0)))</f>
        <v/>
      </c>
      <c r="AJ925" s="100">
        <f>IF(COUNTIF(SelectedPrecincts[Batch Name],SamplingData[[#This Row],[Batch by Type (p)]]) &lt;&gt; 0, COUNTIF(SelectedPrecincts[Batch Name],SamplingData[[#This Row],[Batch by Type (p)]]), 0)</f>
        <v>0</v>
      </c>
    </row>
    <row r="926" spans="1:36" ht="15" customHeight="1" x14ac:dyDescent="0.35">
      <c r="A926" s="97" t="s">
        <v>1139</v>
      </c>
      <c r="B926" s="97">
        <v>95</v>
      </c>
      <c r="C926" s="97">
        <v>410</v>
      </c>
      <c r="D926" s="92"/>
      <c r="E926" s="92"/>
      <c r="F926" s="92"/>
      <c r="G926" s="96"/>
      <c r="H926" s="96"/>
      <c r="I926" s="92"/>
      <c r="J926" s="92"/>
      <c r="K926" s="92"/>
      <c r="L926" s="92"/>
      <c r="M926" s="92"/>
      <c r="N926" s="97">
        <v>0</v>
      </c>
      <c r="O926" s="97">
        <v>38</v>
      </c>
      <c r="P926" s="98">
        <f>SUM(SamplingData[[#This Row],[Winning Candidate]:[Under Votes]])</f>
        <v>543</v>
      </c>
      <c r="Q926" s="99">
        <f>IF(AND(SamplingData[[#This Row],[Total]]&lt;&gt; 0, NOT(ISBLANK(SamplingData[[#This Row],[Losing Candidate]]))),(SamplingData[[#This Row],[Total]]+SamplingData[[#This Row],[Winning Candidate]]-SamplingData[[#This Row],[Losing Candidate]])/(SamplingData[[#Totals],[Winning Candidate]]-SamplingData[[#Totals],[Losing Candidate]]), 0)</f>
        <v>9.6757766083856722E-3</v>
      </c>
      <c r="R926" s="99">
        <f>IF(AND(SamplingData[[#This Row],[Total]]&lt;&gt; 0, NOT(ISBLANK(SamplingData[[#This Row],[Candidate 3]]))),(SamplingData[[#This Row],[Total]]+SamplingData[[#This Row],[Winning Candidate]]-SamplingData[[#This Row],[Candidate 3]])/(SamplingData[[#Totals],[Winning Candidate]]-SamplingData[[#Totals],[Candidate 3]]), 0)</f>
        <v>0</v>
      </c>
      <c r="S926" s="99">
        <f>IF(AND(SamplingData[[#This Row],[Total]]&lt;&gt; 0, NOT(ISBLANK(SamplingData[[#This Row],[Candidate 4]]))),(SamplingData[[#This Row],[Total]]+SamplingData[[#This Row],[Winning Candidate]]-SamplingData[[#This Row],[Candidate 4]])/(SamplingData[[#Totals],[Winning Candidate]]-SamplingData[[#Totals],[Candidate 4]]), 0)</f>
        <v>0</v>
      </c>
      <c r="T926" s="99">
        <f>IF(AND(SamplingData[[#This Row],[Total]]&lt;&gt; 0, NOT(ISBLANK(SamplingData[[#This Row],[Candidate 5]]))),(SamplingData[[#This Row],[Total]]+SamplingData[[#This Row],[Winning Candidate]]-SamplingData[[#This Row],[Candidate 5]])/(SamplingData[[#Totals],[Winning Candidate]]-SamplingData[[#Totals],[Candidate 5]]), 0)</f>
        <v>0</v>
      </c>
      <c r="U926" s="99">
        <f>IF(AND(SamplingData[[#This Row],[Total]]&lt;&gt; 0, NOT(ISBLANK(SamplingData[[#This Row],[Candidate 6]]))),(SamplingData[[#This Row],[Total]]+SamplingData[[#This Row],[Losing Candidate]]-SamplingData[[#This Row],[Candidate 6]])/(SamplingData[[#Totals],[Winning Candidate]]-SamplingData[[#Totals],[Candidate 6]]), 0)</f>
        <v>0</v>
      </c>
      <c r="V926" s="99">
        <f>IF(AND(SamplingData[[#This Row],[Total]]&lt;&gt; 0, NOT(ISBLANK(SamplingData[[#This Row],[Candidate 7]]))),(SamplingData[[#This Row],[Total]]+SamplingData[[#This Row],[Winning Candidate]]-SamplingData[[#This Row],[Candidate 7]])/(SamplingData[[#Totals],[Winning Candidate]]-SamplingData[[#Totals],[Candidate 7]]), 0)</f>
        <v>0</v>
      </c>
      <c r="W926" s="99">
        <f>IF(AND(SamplingData[[#This Row],[Total]]&lt;&gt; 0, NOT(ISBLANK(SamplingData[[#This Row],[Candidate 8]]))),(SamplingData[[#This Row],[Total]]+SamplingData[[#This Row],[Winning Candidate]]-SamplingData[[#This Row],[Candidate 8]])/(SamplingData[[#Totals],[Winning Candidate]]-SamplingData[[#Totals],[Candidate 8]]), 0)</f>
        <v>0</v>
      </c>
      <c r="X9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6" s="99">
        <f>MAX(SamplingData[[#This Row],[Error Bound (up) - Max. possible relative overstatement - Losing Candidate]:[Error Bound (up) - Max. possible relative overstatement - Candidate 12]])</f>
        <v>9.6757766083856722E-3</v>
      </c>
      <c r="AC926" s="99">
        <f>IF(SamplingData[[#This Row],[Max Error Bound (up)]] = 0,0,SamplingData[[#This Row],[Max Error Bound (up)]]/SamplingData[[#Totals],[Max Error Bound (up)]])</f>
        <v>5.1804995092158423E-4</v>
      </c>
      <c r="AD926" s="103">
        <f>SUM($AC$5:AC926)</f>
        <v>0.83389909841131615</v>
      </c>
      <c r="AE926" s="99" t="str" cm="1">
        <f t="array" ref="AE926">IF(SamplingData[[#This Row],[up/U Selection Probability]] = 0, "Zero", TEXT(SamplingData[[#This Row],[Lower Range]], REPT("0",LEN('General Info'!$B$42))) &amp; " - " &amp; TEXT(SamplingData[[#This Row],[Upper Range]], REPT("0",LEN('General Info'!$B$42))))</f>
        <v>833381 - 833898</v>
      </c>
      <c r="AF926" s="99">
        <f>SamplingData[[#This Row],[Upper Range]]-SamplingData[[#This Row],[Span]]</f>
        <v>833381.04846039461</v>
      </c>
      <c r="AG926" s="99">
        <f>IF(ISNUMBER('General Info'!$B$42), ((SamplingData[[#This Row],[up/U Selection Probability]]) * 'General Info'!$B$44) - 1, 0)</f>
        <v>517.04995092158424</v>
      </c>
      <c r="AH926" s="99">
        <f>IF(ISNUMBER('General Info'!$B$42), (SamplingData[[#This Row],[Running (cumulative) sum]] * ('General Info'!$B$42 -'General Info'!$B$43 + 1)) + 'General Info'!$B$43 - 1, 0)</f>
        <v>833898.09841131617</v>
      </c>
      <c r="AI926" s="99" t="str">
        <f>IF(ISERROR(MATCH(SamplingData[[#This Row],[Batch by Type (p)]],SelectedPrecincts[Batch Name], 0)), "", INDEX(SelectedPrecincts[Draw], MATCH(SamplingData[[#This Row],[Batch by Type (p)]],SelectedPrecincts[Batch Name], 0)))</f>
        <v/>
      </c>
      <c r="AJ926" s="100">
        <f>IF(COUNTIF(SelectedPrecincts[Batch Name],SamplingData[[#This Row],[Batch by Type (p)]]) &lt;&gt; 0, COUNTIF(SelectedPrecincts[Batch Name],SamplingData[[#This Row],[Batch by Type (p)]]), 0)</f>
        <v>0</v>
      </c>
    </row>
    <row r="927" spans="1:36" ht="15" customHeight="1" x14ac:dyDescent="0.35">
      <c r="A927" s="97" t="s">
        <v>1140</v>
      </c>
      <c r="B927" s="97">
        <v>198</v>
      </c>
      <c r="C927" s="97">
        <v>228</v>
      </c>
      <c r="D927" s="92"/>
      <c r="E927" s="92"/>
      <c r="F927" s="92"/>
      <c r="G927" s="96"/>
      <c r="H927" s="96"/>
      <c r="I927" s="92"/>
      <c r="J927" s="92"/>
      <c r="K927" s="92"/>
      <c r="L927" s="92"/>
      <c r="M927" s="92"/>
      <c r="N927" s="97">
        <v>0</v>
      </c>
      <c r="O927" s="97">
        <v>31</v>
      </c>
      <c r="P927" s="98">
        <f>SUM(SamplingData[[#This Row],[Winning Candidate]:[Under Votes]])</f>
        <v>457</v>
      </c>
      <c r="Q927" s="99">
        <f>IF(AND(SamplingData[[#This Row],[Total]]&lt;&gt; 0, NOT(ISBLANK(SamplingData[[#This Row],[Losing Candidate]]))),(SamplingData[[#This Row],[Total]]+SamplingData[[#This Row],[Winning Candidate]]-SamplingData[[#This Row],[Losing Candidate]])/(SamplingData[[#Totals],[Winning Candidate]]-SamplingData[[#Totals],[Losing Candidate]]), 0)</f>
        <v>1.8120862332371413E-2</v>
      </c>
      <c r="R927" s="99">
        <f>IF(AND(SamplingData[[#This Row],[Total]]&lt;&gt; 0, NOT(ISBLANK(SamplingData[[#This Row],[Candidate 3]]))),(SamplingData[[#This Row],[Total]]+SamplingData[[#This Row],[Winning Candidate]]-SamplingData[[#This Row],[Candidate 3]])/(SamplingData[[#Totals],[Winning Candidate]]-SamplingData[[#Totals],[Candidate 3]]), 0)</f>
        <v>0</v>
      </c>
      <c r="S927" s="99">
        <f>IF(AND(SamplingData[[#This Row],[Total]]&lt;&gt; 0, NOT(ISBLANK(SamplingData[[#This Row],[Candidate 4]]))),(SamplingData[[#This Row],[Total]]+SamplingData[[#This Row],[Winning Candidate]]-SamplingData[[#This Row],[Candidate 4]])/(SamplingData[[#Totals],[Winning Candidate]]-SamplingData[[#Totals],[Candidate 4]]), 0)</f>
        <v>0</v>
      </c>
      <c r="T927" s="99">
        <f>IF(AND(SamplingData[[#This Row],[Total]]&lt;&gt; 0, NOT(ISBLANK(SamplingData[[#This Row],[Candidate 5]]))),(SamplingData[[#This Row],[Total]]+SamplingData[[#This Row],[Winning Candidate]]-SamplingData[[#This Row],[Candidate 5]])/(SamplingData[[#Totals],[Winning Candidate]]-SamplingData[[#Totals],[Candidate 5]]), 0)</f>
        <v>0</v>
      </c>
      <c r="U927" s="99">
        <f>IF(AND(SamplingData[[#This Row],[Total]]&lt;&gt; 0, NOT(ISBLANK(SamplingData[[#This Row],[Candidate 6]]))),(SamplingData[[#This Row],[Total]]+SamplingData[[#This Row],[Losing Candidate]]-SamplingData[[#This Row],[Candidate 6]])/(SamplingData[[#Totals],[Winning Candidate]]-SamplingData[[#Totals],[Candidate 6]]), 0)</f>
        <v>0</v>
      </c>
      <c r="V927" s="99">
        <f>IF(AND(SamplingData[[#This Row],[Total]]&lt;&gt; 0, NOT(ISBLANK(SamplingData[[#This Row],[Candidate 7]]))),(SamplingData[[#This Row],[Total]]+SamplingData[[#This Row],[Winning Candidate]]-SamplingData[[#This Row],[Candidate 7]])/(SamplingData[[#Totals],[Winning Candidate]]-SamplingData[[#Totals],[Candidate 7]]), 0)</f>
        <v>0</v>
      </c>
      <c r="W927" s="99">
        <f>IF(AND(SamplingData[[#This Row],[Total]]&lt;&gt; 0, NOT(ISBLANK(SamplingData[[#This Row],[Candidate 8]]))),(SamplingData[[#This Row],[Total]]+SamplingData[[#This Row],[Winning Candidate]]-SamplingData[[#This Row],[Candidate 8]])/(SamplingData[[#Totals],[Winning Candidate]]-SamplingData[[#Totals],[Candidate 8]]), 0)</f>
        <v>0</v>
      </c>
      <c r="X9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7" s="99">
        <f>MAX(SamplingData[[#This Row],[Error Bound (up) - Max. possible relative overstatement - Losing Candidate]:[Error Bound (up) - Max. possible relative overstatement - Candidate 12]])</f>
        <v>1.8120862332371413E-2</v>
      </c>
      <c r="AC927" s="99">
        <f>IF(SamplingData[[#This Row],[Max Error Bound (up)]] = 0,0,SamplingData[[#This Row],[Max Error Bound (up)]]/SamplingData[[#Totals],[Max Error Bound (up)]])</f>
        <v>9.7020758352419506E-4</v>
      </c>
      <c r="AD927" s="103">
        <f>SUM($AC$5:AC927)</f>
        <v>0.83486930599484033</v>
      </c>
      <c r="AE927" s="99" t="str" cm="1">
        <f t="array" ref="AE927">IF(SamplingData[[#This Row],[up/U Selection Probability]] = 0, "Zero", TEXT(SamplingData[[#This Row],[Lower Range]], REPT("0",LEN('General Info'!$B$42))) &amp; " - " &amp; TEXT(SamplingData[[#This Row],[Upper Range]], REPT("0",LEN('General Info'!$B$42))))</f>
        <v>833899 - 834868</v>
      </c>
      <c r="AF927" s="99">
        <f>SamplingData[[#This Row],[Upper Range]]-SamplingData[[#This Row],[Span]]</f>
        <v>833899.09841131617</v>
      </c>
      <c r="AG927" s="99">
        <f>IF(ISNUMBER('General Info'!$B$42), ((SamplingData[[#This Row],[up/U Selection Probability]]) * 'General Info'!$B$44) - 1, 0)</f>
        <v>969.207583524195</v>
      </c>
      <c r="AH927" s="99">
        <f>IF(ISNUMBER('General Info'!$B$42), (SamplingData[[#This Row],[Running (cumulative) sum]] * ('General Info'!$B$42 -'General Info'!$B$43 + 1)) + 'General Info'!$B$43 - 1, 0)</f>
        <v>834868.30599484034</v>
      </c>
      <c r="AI927" s="99" t="str">
        <f>IF(ISERROR(MATCH(SamplingData[[#This Row],[Batch by Type (p)]],SelectedPrecincts[Batch Name], 0)), "", INDEX(SelectedPrecincts[Draw], MATCH(SamplingData[[#This Row],[Batch by Type (p)]],SelectedPrecincts[Batch Name], 0)))</f>
        <v/>
      </c>
      <c r="AJ927" s="100">
        <f>IF(COUNTIF(SelectedPrecincts[Batch Name],SamplingData[[#This Row],[Batch by Type (p)]]) &lt;&gt; 0, COUNTIF(SelectedPrecincts[Batch Name],SamplingData[[#This Row],[Batch by Type (p)]]), 0)</f>
        <v>0</v>
      </c>
    </row>
    <row r="928" spans="1:36" ht="15" customHeight="1" x14ac:dyDescent="0.35">
      <c r="A928" s="97" t="s">
        <v>1141</v>
      </c>
      <c r="B928" s="97">
        <v>157</v>
      </c>
      <c r="C928" s="97">
        <v>446</v>
      </c>
      <c r="D928" s="92"/>
      <c r="E928" s="92"/>
      <c r="F928" s="92"/>
      <c r="G928" s="96"/>
      <c r="H928" s="96"/>
      <c r="I928" s="92"/>
      <c r="J928" s="92"/>
      <c r="K928" s="92"/>
      <c r="L928" s="92"/>
      <c r="M928" s="92"/>
      <c r="N928" s="97">
        <v>0</v>
      </c>
      <c r="O928" s="97">
        <v>43</v>
      </c>
      <c r="P928" s="98">
        <f>SUM(SamplingData[[#This Row],[Winning Candidate]:[Under Votes]])</f>
        <v>646</v>
      </c>
      <c r="Q928" s="99">
        <f>IF(AND(SamplingData[[#This Row],[Total]]&lt;&gt; 0, NOT(ISBLANK(SamplingData[[#This Row],[Losing Candidate]]))),(SamplingData[[#This Row],[Total]]+SamplingData[[#This Row],[Winning Candidate]]-SamplingData[[#This Row],[Losing Candidate]])/(SamplingData[[#Totals],[Winning Candidate]]-SamplingData[[#Totals],[Losing Candidate]]), 0)</f>
        <v>1.5150229163130198E-2</v>
      </c>
      <c r="R928" s="99">
        <f>IF(AND(SamplingData[[#This Row],[Total]]&lt;&gt; 0, NOT(ISBLANK(SamplingData[[#This Row],[Candidate 3]]))),(SamplingData[[#This Row],[Total]]+SamplingData[[#This Row],[Winning Candidate]]-SamplingData[[#This Row],[Candidate 3]])/(SamplingData[[#Totals],[Winning Candidate]]-SamplingData[[#Totals],[Candidate 3]]), 0)</f>
        <v>0</v>
      </c>
      <c r="S928" s="99">
        <f>IF(AND(SamplingData[[#This Row],[Total]]&lt;&gt; 0, NOT(ISBLANK(SamplingData[[#This Row],[Candidate 4]]))),(SamplingData[[#This Row],[Total]]+SamplingData[[#This Row],[Winning Candidate]]-SamplingData[[#This Row],[Candidate 4]])/(SamplingData[[#Totals],[Winning Candidate]]-SamplingData[[#Totals],[Candidate 4]]), 0)</f>
        <v>0</v>
      </c>
      <c r="T928" s="99">
        <f>IF(AND(SamplingData[[#This Row],[Total]]&lt;&gt; 0, NOT(ISBLANK(SamplingData[[#This Row],[Candidate 5]]))),(SamplingData[[#This Row],[Total]]+SamplingData[[#This Row],[Winning Candidate]]-SamplingData[[#This Row],[Candidate 5]])/(SamplingData[[#Totals],[Winning Candidate]]-SamplingData[[#Totals],[Candidate 5]]), 0)</f>
        <v>0</v>
      </c>
      <c r="U928" s="99">
        <f>IF(AND(SamplingData[[#This Row],[Total]]&lt;&gt; 0, NOT(ISBLANK(SamplingData[[#This Row],[Candidate 6]]))),(SamplingData[[#This Row],[Total]]+SamplingData[[#This Row],[Losing Candidate]]-SamplingData[[#This Row],[Candidate 6]])/(SamplingData[[#Totals],[Winning Candidate]]-SamplingData[[#Totals],[Candidate 6]]), 0)</f>
        <v>0</v>
      </c>
      <c r="V928" s="99">
        <f>IF(AND(SamplingData[[#This Row],[Total]]&lt;&gt; 0, NOT(ISBLANK(SamplingData[[#This Row],[Candidate 7]]))),(SamplingData[[#This Row],[Total]]+SamplingData[[#This Row],[Winning Candidate]]-SamplingData[[#This Row],[Candidate 7]])/(SamplingData[[#Totals],[Winning Candidate]]-SamplingData[[#Totals],[Candidate 7]]), 0)</f>
        <v>0</v>
      </c>
      <c r="W928" s="99">
        <f>IF(AND(SamplingData[[#This Row],[Total]]&lt;&gt; 0, NOT(ISBLANK(SamplingData[[#This Row],[Candidate 8]]))),(SamplingData[[#This Row],[Total]]+SamplingData[[#This Row],[Winning Candidate]]-SamplingData[[#This Row],[Candidate 8]])/(SamplingData[[#Totals],[Winning Candidate]]-SamplingData[[#Totals],[Candidate 8]]), 0)</f>
        <v>0</v>
      </c>
      <c r="X9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8" s="99">
        <f>MAX(SamplingData[[#This Row],[Error Bound (up) - Max. possible relative overstatement - Losing Candidate]:[Error Bound (up) - Max. possible relative overstatement - Candidate 12]])</f>
        <v>1.5150229163130198E-2</v>
      </c>
      <c r="AC928" s="99">
        <f>IF(SamplingData[[#This Row],[Max Error Bound (up)]] = 0,0,SamplingData[[#This Row],[Max Error Bound (up)]]/SamplingData[[#Totals],[Max Error Bound (up)]])</f>
        <v>8.1115715999563844E-4</v>
      </c>
      <c r="AD928" s="103">
        <f>SUM($AC$5:AC928)</f>
        <v>0.83568046315483602</v>
      </c>
      <c r="AE928" s="99" t="str" cm="1">
        <f t="array" ref="AE928">IF(SamplingData[[#This Row],[up/U Selection Probability]] = 0, "Zero", TEXT(SamplingData[[#This Row],[Lower Range]], REPT("0",LEN('General Info'!$B$42))) &amp; " - " &amp; TEXT(SamplingData[[#This Row],[Upper Range]], REPT("0",LEN('General Info'!$B$42))))</f>
        <v>834869 - 835679</v>
      </c>
      <c r="AF928" s="99">
        <f>SamplingData[[#This Row],[Upper Range]]-SamplingData[[#This Row],[Span]]</f>
        <v>834869.30599484034</v>
      </c>
      <c r="AG928" s="99">
        <f>IF(ISNUMBER('General Info'!$B$42), ((SamplingData[[#This Row],[up/U Selection Probability]]) * 'General Info'!$B$44) - 1, 0)</f>
        <v>810.15715999563849</v>
      </c>
      <c r="AH928" s="99">
        <f>IF(ISNUMBER('General Info'!$B$42), (SamplingData[[#This Row],[Running (cumulative) sum]] * ('General Info'!$B$42 -'General Info'!$B$43 + 1)) + 'General Info'!$B$43 - 1, 0)</f>
        <v>835679.46315483598</v>
      </c>
      <c r="AI928" s="99" t="str">
        <f>IF(ISERROR(MATCH(SamplingData[[#This Row],[Batch by Type (p)]],SelectedPrecincts[Batch Name], 0)), "", INDEX(SelectedPrecincts[Draw], MATCH(SamplingData[[#This Row],[Batch by Type (p)]],SelectedPrecincts[Batch Name], 0)))</f>
        <v/>
      </c>
      <c r="AJ928" s="100">
        <f>IF(COUNTIF(SelectedPrecincts[Batch Name],SamplingData[[#This Row],[Batch by Type (p)]]) &lt;&gt; 0, COUNTIF(SelectedPrecincts[Batch Name],SamplingData[[#This Row],[Batch by Type (p)]]), 0)</f>
        <v>0</v>
      </c>
    </row>
    <row r="929" spans="1:36" ht="15" customHeight="1" x14ac:dyDescent="0.35">
      <c r="A929" s="97" t="s">
        <v>1142</v>
      </c>
      <c r="B929" s="97">
        <v>72</v>
      </c>
      <c r="C929" s="97">
        <v>181</v>
      </c>
      <c r="D929" s="92"/>
      <c r="E929" s="92"/>
      <c r="F929" s="92"/>
      <c r="G929" s="96"/>
      <c r="H929" s="96"/>
      <c r="I929" s="92"/>
      <c r="J929" s="92"/>
      <c r="K929" s="92"/>
      <c r="L929" s="92"/>
      <c r="M929" s="92"/>
      <c r="N929" s="97">
        <v>0</v>
      </c>
      <c r="O929" s="97">
        <v>18</v>
      </c>
      <c r="P929" s="98">
        <f>SUM(SamplingData[[#This Row],[Winning Candidate]:[Under Votes]])</f>
        <v>271</v>
      </c>
      <c r="Q929" s="99">
        <f>IF(AND(SamplingData[[#This Row],[Total]]&lt;&gt; 0, NOT(ISBLANK(SamplingData[[#This Row],[Losing Candidate]]))),(SamplingData[[#This Row],[Total]]+SamplingData[[#This Row],[Winning Candidate]]-SamplingData[[#This Row],[Losing Candidate]])/(SamplingData[[#Totals],[Winning Candidate]]-SamplingData[[#Totals],[Losing Candidate]]), 0)</f>
        <v>6.8748939059582416E-3</v>
      </c>
      <c r="R929" s="99">
        <f>IF(AND(SamplingData[[#This Row],[Total]]&lt;&gt; 0, NOT(ISBLANK(SamplingData[[#This Row],[Candidate 3]]))),(SamplingData[[#This Row],[Total]]+SamplingData[[#This Row],[Winning Candidate]]-SamplingData[[#This Row],[Candidate 3]])/(SamplingData[[#Totals],[Winning Candidate]]-SamplingData[[#Totals],[Candidate 3]]), 0)</f>
        <v>0</v>
      </c>
      <c r="S929" s="99">
        <f>IF(AND(SamplingData[[#This Row],[Total]]&lt;&gt; 0, NOT(ISBLANK(SamplingData[[#This Row],[Candidate 4]]))),(SamplingData[[#This Row],[Total]]+SamplingData[[#This Row],[Winning Candidate]]-SamplingData[[#This Row],[Candidate 4]])/(SamplingData[[#Totals],[Winning Candidate]]-SamplingData[[#Totals],[Candidate 4]]), 0)</f>
        <v>0</v>
      </c>
      <c r="T929" s="99">
        <f>IF(AND(SamplingData[[#This Row],[Total]]&lt;&gt; 0, NOT(ISBLANK(SamplingData[[#This Row],[Candidate 5]]))),(SamplingData[[#This Row],[Total]]+SamplingData[[#This Row],[Winning Candidate]]-SamplingData[[#This Row],[Candidate 5]])/(SamplingData[[#Totals],[Winning Candidate]]-SamplingData[[#Totals],[Candidate 5]]), 0)</f>
        <v>0</v>
      </c>
      <c r="U929" s="99">
        <f>IF(AND(SamplingData[[#This Row],[Total]]&lt;&gt; 0, NOT(ISBLANK(SamplingData[[#This Row],[Candidate 6]]))),(SamplingData[[#This Row],[Total]]+SamplingData[[#This Row],[Losing Candidate]]-SamplingData[[#This Row],[Candidate 6]])/(SamplingData[[#Totals],[Winning Candidate]]-SamplingData[[#Totals],[Candidate 6]]), 0)</f>
        <v>0</v>
      </c>
      <c r="V929" s="99">
        <f>IF(AND(SamplingData[[#This Row],[Total]]&lt;&gt; 0, NOT(ISBLANK(SamplingData[[#This Row],[Candidate 7]]))),(SamplingData[[#This Row],[Total]]+SamplingData[[#This Row],[Winning Candidate]]-SamplingData[[#This Row],[Candidate 7]])/(SamplingData[[#Totals],[Winning Candidate]]-SamplingData[[#Totals],[Candidate 7]]), 0)</f>
        <v>0</v>
      </c>
      <c r="W929" s="99">
        <f>IF(AND(SamplingData[[#This Row],[Total]]&lt;&gt; 0, NOT(ISBLANK(SamplingData[[#This Row],[Candidate 8]]))),(SamplingData[[#This Row],[Total]]+SamplingData[[#This Row],[Winning Candidate]]-SamplingData[[#This Row],[Candidate 8]])/(SamplingData[[#Totals],[Winning Candidate]]-SamplingData[[#Totals],[Candidate 8]]), 0)</f>
        <v>0</v>
      </c>
      <c r="X9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9" s="99">
        <f>MAX(SamplingData[[#This Row],[Error Bound (up) - Max. possible relative overstatement - Losing Candidate]:[Error Bound (up) - Max. possible relative overstatement - Candidate 12]])</f>
        <v>6.8748939059582416E-3</v>
      </c>
      <c r="AC929" s="99">
        <f>IF(SamplingData[[#This Row],[Max Error Bound (up)]] = 0,0,SamplingData[[#This Row],[Max Error Bound (up)]]/SamplingData[[#Totals],[Max Error Bound (up)]])</f>
        <v>3.6808812302323096E-4</v>
      </c>
      <c r="AD929" s="103">
        <f>SUM($AC$5:AC929)</f>
        <v>0.83604855127785926</v>
      </c>
      <c r="AE929" s="99" t="str" cm="1">
        <f t="array" ref="AE929">IF(SamplingData[[#This Row],[up/U Selection Probability]] = 0, "Zero", TEXT(SamplingData[[#This Row],[Lower Range]], REPT("0",LEN('General Info'!$B$42))) &amp; " - " &amp; TEXT(SamplingData[[#This Row],[Upper Range]], REPT("0",LEN('General Info'!$B$42))))</f>
        <v>835680 - 836048</v>
      </c>
      <c r="AF929" s="99">
        <f>SamplingData[[#This Row],[Upper Range]]-SamplingData[[#This Row],[Span]]</f>
        <v>835680.46315483598</v>
      </c>
      <c r="AG929" s="99">
        <f>IF(ISNUMBER('General Info'!$B$42), ((SamplingData[[#This Row],[up/U Selection Probability]]) * 'General Info'!$B$44) - 1, 0)</f>
        <v>367.08812302323093</v>
      </c>
      <c r="AH929" s="99">
        <f>IF(ISNUMBER('General Info'!$B$42), (SamplingData[[#This Row],[Running (cumulative) sum]] * ('General Info'!$B$42 -'General Info'!$B$43 + 1)) + 'General Info'!$B$43 - 1, 0)</f>
        <v>836047.55127785925</v>
      </c>
      <c r="AI929" s="99" t="str">
        <f>IF(ISERROR(MATCH(SamplingData[[#This Row],[Batch by Type (p)]],SelectedPrecincts[Batch Name], 0)), "", INDEX(SelectedPrecincts[Draw], MATCH(SamplingData[[#This Row],[Batch by Type (p)]],SelectedPrecincts[Batch Name], 0)))</f>
        <v/>
      </c>
      <c r="AJ929" s="100">
        <f>IF(COUNTIF(SelectedPrecincts[Batch Name],SamplingData[[#This Row],[Batch by Type (p)]]) &lt;&gt; 0, COUNTIF(SelectedPrecincts[Batch Name],SamplingData[[#This Row],[Batch by Type (p)]]), 0)</f>
        <v>0</v>
      </c>
    </row>
    <row r="930" spans="1:36" ht="15" customHeight="1" x14ac:dyDescent="0.35">
      <c r="A930" s="97" t="s">
        <v>1143</v>
      </c>
      <c r="B930" s="97">
        <v>133</v>
      </c>
      <c r="C930" s="97">
        <v>110</v>
      </c>
      <c r="D930" s="92"/>
      <c r="E930" s="92"/>
      <c r="F930" s="92"/>
      <c r="G930" s="96"/>
      <c r="H930" s="96"/>
      <c r="I930" s="92"/>
      <c r="J930" s="92"/>
      <c r="K930" s="92"/>
      <c r="L930" s="92"/>
      <c r="M930" s="92"/>
      <c r="N930" s="97">
        <v>0</v>
      </c>
      <c r="O930" s="97">
        <v>22</v>
      </c>
      <c r="P930" s="98">
        <f>SUM(SamplingData[[#This Row],[Winning Candidate]:[Under Votes]])</f>
        <v>265</v>
      </c>
      <c r="Q930" s="99">
        <f>IF(AND(SamplingData[[#This Row],[Total]]&lt;&gt; 0, NOT(ISBLANK(SamplingData[[#This Row],[Losing Candidate]]))),(SamplingData[[#This Row],[Total]]+SamplingData[[#This Row],[Winning Candidate]]-SamplingData[[#This Row],[Losing Candidate]])/(SamplingData[[#Totals],[Winning Candidate]]-SamplingData[[#Totals],[Losing Candidate]]), 0)</f>
        <v>1.2222033610592429E-2</v>
      </c>
      <c r="R930" s="99">
        <f>IF(AND(SamplingData[[#This Row],[Total]]&lt;&gt; 0, NOT(ISBLANK(SamplingData[[#This Row],[Candidate 3]]))),(SamplingData[[#This Row],[Total]]+SamplingData[[#This Row],[Winning Candidate]]-SamplingData[[#This Row],[Candidate 3]])/(SamplingData[[#Totals],[Winning Candidate]]-SamplingData[[#Totals],[Candidate 3]]), 0)</f>
        <v>0</v>
      </c>
      <c r="S930" s="99">
        <f>IF(AND(SamplingData[[#This Row],[Total]]&lt;&gt; 0, NOT(ISBLANK(SamplingData[[#This Row],[Candidate 4]]))),(SamplingData[[#This Row],[Total]]+SamplingData[[#This Row],[Winning Candidate]]-SamplingData[[#This Row],[Candidate 4]])/(SamplingData[[#Totals],[Winning Candidate]]-SamplingData[[#Totals],[Candidate 4]]), 0)</f>
        <v>0</v>
      </c>
      <c r="T930" s="99">
        <f>IF(AND(SamplingData[[#This Row],[Total]]&lt;&gt; 0, NOT(ISBLANK(SamplingData[[#This Row],[Candidate 5]]))),(SamplingData[[#This Row],[Total]]+SamplingData[[#This Row],[Winning Candidate]]-SamplingData[[#This Row],[Candidate 5]])/(SamplingData[[#Totals],[Winning Candidate]]-SamplingData[[#Totals],[Candidate 5]]), 0)</f>
        <v>0</v>
      </c>
      <c r="U930" s="99">
        <f>IF(AND(SamplingData[[#This Row],[Total]]&lt;&gt; 0, NOT(ISBLANK(SamplingData[[#This Row],[Candidate 6]]))),(SamplingData[[#This Row],[Total]]+SamplingData[[#This Row],[Losing Candidate]]-SamplingData[[#This Row],[Candidate 6]])/(SamplingData[[#Totals],[Winning Candidate]]-SamplingData[[#Totals],[Candidate 6]]), 0)</f>
        <v>0</v>
      </c>
      <c r="V930" s="99">
        <f>IF(AND(SamplingData[[#This Row],[Total]]&lt;&gt; 0, NOT(ISBLANK(SamplingData[[#This Row],[Candidate 7]]))),(SamplingData[[#This Row],[Total]]+SamplingData[[#This Row],[Winning Candidate]]-SamplingData[[#This Row],[Candidate 7]])/(SamplingData[[#Totals],[Winning Candidate]]-SamplingData[[#Totals],[Candidate 7]]), 0)</f>
        <v>0</v>
      </c>
      <c r="W930" s="99">
        <f>IF(AND(SamplingData[[#This Row],[Total]]&lt;&gt; 0, NOT(ISBLANK(SamplingData[[#This Row],[Candidate 8]]))),(SamplingData[[#This Row],[Total]]+SamplingData[[#This Row],[Winning Candidate]]-SamplingData[[#This Row],[Candidate 8]])/(SamplingData[[#Totals],[Winning Candidate]]-SamplingData[[#Totals],[Candidate 8]]), 0)</f>
        <v>0</v>
      </c>
      <c r="X9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0" s="99">
        <f>MAX(SamplingData[[#This Row],[Error Bound (up) - Max. possible relative overstatement - Losing Candidate]:[Error Bound (up) - Max. possible relative overstatement - Candidate 12]])</f>
        <v>1.2222033610592429E-2</v>
      </c>
      <c r="AC930" s="99">
        <f>IF(SamplingData[[#This Row],[Max Error Bound (up)]] = 0,0,SamplingData[[#This Row],[Max Error Bound (up)]]/SamplingData[[#Totals],[Max Error Bound (up)]])</f>
        <v>6.5437888537463271E-4</v>
      </c>
      <c r="AD930" s="103">
        <f>SUM($AC$5:AC930)</f>
        <v>0.83670293016323394</v>
      </c>
      <c r="AE930" s="99" t="str" cm="1">
        <f t="array" ref="AE930">IF(SamplingData[[#This Row],[up/U Selection Probability]] = 0, "Zero", TEXT(SamplingData[[#This Row],[Lower Range]], REPT("0",LEN('General Info'!$B$42))) &amp; " - " &amp; TEXT(SamplingData[[#This Row],[Upper Range]], REPT("0",LEN('General Info'!$B$42))))</f>
        <v>836049 - 836702</v>
      </c>
      <c r="AF930" s="99">
        <f>SamplingData[[#This Row],[Upper Range]]-SamplingData[[#This Row],[Span]]</f>
        <v>836048.55127785925</v>
      </c>
      <c r="AG930" s="99">
        <f>IF(ISNUMBER('General Info'!$B$42), ((SamplingData[[#This Row],[up/U Selection Probability]]) * 'General Info'!$B$44) - 1, 0)</f>
        <v>653.37888537463266</v>
      </c>
      <c r="AH930" s="99">
        <f>IF(ISNUMBER('General Info'!$B$42), (SamplingData[[#This Row],[Running (cumulative) sum]] * ('General Info'!$B$42 -'General Info'!$B$43 + 1)) + 'General Info'!$B$43 - 1, 0)</f>
        <v>836701.93016323389</v>
      </c>
      <c r="AI930" s="99" t="str">
        <f>IF(ISERROR(MATCH(SamplingData[[#This Row],[Batch by Type (p)]],SelectedPrecincts[Batch Name], 0)), "", INDEX(SelectedPrecincts[Draw], MATCH(SamplingData[[#This Row],[Batch by Type (p)]],SelectedPrecincts[Batch Name], 0)))</f>
        <v/>
      </c>
      <c r="AJ930" s="100">
        <f>IF(COUNTIF(SelectedPrecincts[Batch Name],SamplingData[[#This Row],[Batch by Type (p)]]) &lt;&gt; 0, COUNTIF(SelectedPrecincts[Batch Name],SamplingData[[#This Row],[Batch by Type (p)]]), 0)</f>
        <v>0</v>
      </c>
    </row>
    <row r="931" spans="1:36" ht="15" customHeight="1" x14ac:dyDescent="0.35">
      <c r="A931" s="97" t="s">
        <v>1144</v>
      </c>
      <c r="B931" s="97">
        <v>126</v>
      </c>
      <c r="C931" s="97">
        <v>420</v>
      </c>
      <c r="D931" s="92"/>
      <c r="E931" s="92"/>
      <c r="F931" s="92"/>
      <c r="G931" s="96"/>
      <c r="H931" s="96"/>
      <c r="I931" s="92"/>
      <c r="J931" s="92"/>
      <c r="K931" s="92"/>
      <c r="L931" s="92"/>
      <c r="M931" s="92"/>
      <c r="N931" s="97">
        <v>0</v>
      </c>
      <c r="O931" s="97">
        <v>40</v>
      </c>
      <c r="P931" s="98">
        <f>SUM(SamplingData[[#This Row],[Winning Candidate]:[Under Votes]])</f>
        <v>586</v>
      </c>
      <c r="Q931" s="99">
        <f>IF(AND(SamplingData[[#This Row],[Total]]&lt;&gt; 0, NOT(ISBLANK(SamplingData[[#This Row],[Losing Candidate]]))),(SamplingData[[#This Row],[Total]]+SamplingData[[#This Row],[Winning Candidate]]-SamplingData[[#This Row],[Losing Candidate]])/(SamplingData[[#Totals],[Winning Candidate]]-SamplingData[[#Totals],[Losing Candidate]]), 0)</f>
        <v>1.2391784077406213E-2</v>
      </c>
      <c r="R931" s="99">
        <f>IF(AND(SamplingData[[#This Row],[Total]]&lt;&gt; 0, NOT(ISBLANK(SamplingData[[#This Row],[Candidate 3]]))),(SamplingData[[#This Row],[Total]]+SamplingData[[#This Row],[Winning Candidate]]-SamplingData[[#This Row],[Candidate 3]])/(SamplingData[[#Totals],[Winning Candidate]]-SamplingData[[#Totals],[Candidate 3]]), 0)</f>
        <v>0</v>
      </c>
      <c r="S931" s="99">
        <f>IF(AND(SamplingData[[#This Row],[Total]]&lt;&gt; 0, NOT(ISBLANK(SamplingData[[#This Row],[Candidate 4]]))),(SamplingData[[#This Row],[Total]]+SamplingData[[#This Row],[Winning Candidate]]-SamplingData[[#This Row],[Candidate 4]])/(SamplingData[[#Totals],[Winning Candidate]]-SamplingData[[#Totals],[Candidate 4]]), 0)</f>
        <v>0</v>
      </c>
      <c r="T931" s="99">
        <f>IF(AND(SamplingData[[#This Row],[Total]]&lt;&gt; 0, NOT(ISBLANK(SamplingData[[#This Row],[Candidate 5]]))),(SamplingData[[#This Row],[Total]]+SamplingData[[#This Row],[Winning Candidate]]-SamplingData[[#This Row],[Candidate 5]])/(SamplingData[[#Totals],[Winning Candidate]]-SamplingData[[#Totals],[Candidate 5]]), 0)</f>
        <v>0</v>
      </c>
      <c r="U931" s="99">
        <f>IF(AND(SamplingData[[#This Row],[Total]]&lt;&gt; 0, NOT(ISBLANK(SamplingData[[#This Row],[Candidate 6]]))),(SamplingData[[#This Row],[Total]]+SamplingData[[#This Row],[Losing Candidate]]-SamplingData[[#This Row],[Candidate 6]])/(SamplingData[[#Totals],[Winning Candidate]]-SamplingData[[#Totals],[Candidate 6]]), 0)</f>
        <v>0</v>
      </c>
      <c r="V931" s="99">
        <f>IF(AND(SamplingData[[#This Row],[Total]]&lt;&gt; 0, NOT(ISBLANK(SamplingData[[#This Row],[Candidate 7]]))),(SamplingData[[#This Row],[Total]]+SamplingData[[#This Row],[Winning Candidate]]-SamplingData[[#This Row],[Candidate 7]])/(SamplingData[[#Totals],[Winning Candidate]]-SamplingData[[#Totals],[Candidate 7]]), 0)</f>
        <v>0</v>
      </c>
      <c r="W931" s="99">
        <f>IF(AND(SamplingData[[#This Row],[Total]]&lt;&gt; 0, NOT(ISBLANK(SamplingData[[#This Row],[Candidate 8]]))),(SamplingData[[#This Row],[Total]]+SamplingData[[#This Row],[Winning Candidate]]-SamplingData[[#This Row],[Candidate 8]])/(SamplingData[[#Totals],[Winning Candidate]]-SamplingData[[#Totals],[Candidate 8]]), 0)</f>
        <v>0</v>
      </c>
      <c r="X9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1" s="99">
        <f>MAX(SamplingData[[#This Row],[Error Bound (up) - Max. possible relative overstatement - Losing Candidate]:[Error Bound (up) - Max. possible relative overstatement - Candidate 12]])</f>
        <v>1.2391784077406213E-2</v>
      </c>
      <c r="AC931" s="99">
        <f>IF(SamplingData[[#This Row],[Max Error Bound (up)]] = 0,0,SamplingData[[#This Row],[Max Error Bound (up)]]/SamplingData[[#Totals],[Max Error Bound (up)]])</f>
        <v>6.6346748100483595E-4</v>
      </c>
      <c r="AD931" s="103">
        <f>SUM($AC$5:AC931)</f>
        <v>0.83736639764423881</v>
      </c>
      <c r="AE931" s="99" t="str" cm="1">
        <f t="array" ref="AE931">IF(SamplingData[[#This Row],[up/U Selection Probability]] = 0, "Zero", TEXT(SamplingData[[#This Row],[Lower Range]], REPT("0",LEN('General Info'!$B$42))) &amp; " - " &amp; TEXT(SamplingData[[#This Row],[Upper Range]], REPT("0",LEN('General Info'!$B$42))))</f>
        <v>836703 - 837365</v>
      </c>
      <c r="AF931" s="99">
        <f>SamplingData[[#This Row],[Upper Range]]-SamplingData[[#This Row],[Span]]</f>
        <v>836702.93016323389</v>
      </c>
      <c r="AG931" s="99">
        <f>IF(ISNUMBER('General Info'!$B$42), ((SamplingData[[#This Row],[up/U Selection Probability]]) * 'General Info'!$B$44) - 1, 0)</f>
        <v>662.46748100483592</v>
      </c>
      <c r="AH931" s="99">
        <f>IF(ISNUMBER('General Info'!$B$42), (SamplingData[[#This Row],[Running (cumulative) sum]] * ('General Info'!$B$42 -'General Info'!$B$43 + 1)) + 'General Info'!$B$43 - 1, 0)</f>
        <v>837365.39764423878</v>
      </c>
      <c r="AI931" s="99" t="str">
        <f>IF(ISERROR(MATCH(SamplingData[[#This Row],[Batch by Type (p)]],SelectedPrecincts[Batch Name], 0)), "", INDEX(SelectedPrecincts[Draw], MATCH(SamplingData[[#This Row],[Batch by Type (p)]],SelectedPrecincts[Batch Name], 0)))</f>
        <v/>
      </c>
      <c r="AJ931" s="100">
        <f>IF(COUNTIF(SelectedPrecincts[Batch Name],SamplingData[[#This Row],[Batch by Type (p)]]) &lt;&gt; 0, COUNTIF(SelectedPrecincts[Batch Name],SamplingData[[#This Row],[Batch by Type (p)]]), 0)</f>
        <v>0</v>
      </c>
    </row>
    <row r="932" spans="1:36" ht="15" customHeight="1" x14ac:dyDescent="0.35">
      <c r="A932" s="97" t="s">
        <v>1145</v>
      </c>
      <c r="B932" s="97">
        <v>222</v>
      </c>
      <c r="C932" s="97">
        <v>241</v>
      </c>
      <c r="D932" s="92"/>
      <c r="E932" s="92"/>
      <c r="F932" s="92"/>
      <c r="G932" s="96"/>
      <c r="H932" s="96"/>
      <c r="I932" s="92"/>
      <c r="J932" s="92"/>
      <c r="K932" s="92"/>
      <c r="L932" s="92"/>
      <c r="M932" s="92"/>
      <c r="N932" s="97">
        <v>0</v>
      </c>
      <c r="O932" s="97">
        <v>32</v>
      </c>
      <c r="P932" s="98">
        <f>SUM(SamplingData[[#This Row],[Winning Candidate]:[Under Votes]])</f>
        <v>495</v>
      </c>
      <c r="Q932" s="99">
        <f>IF(AND(SamplingData[[#This Row],[Total]]&lt;&gt; 0, NOT(ISBLANK(SamplingData[[#This Row],[Losing Candidate]]))),(SamplingData[[#This Row],[Total]]+SamplingData[[#This Row],[Winning Candidate]]-SamplingData[[#This Row],[Losing Candidate]])/(SamplingData[[#Totals],[Winning Candidate]]-SamplingData[[#Totals],[Losing Candidate]]), 0)</f>
        <v>2.0200305550840264E-2</v>
      </c>
      <c r="R932" s="99">
        <f>IF(AND(SamplingData[[#This Row],[Total]]&lt;&gt; 0, NOT(ISBLANK(SamplingData[[#This Row],[Candidate 3]]))),(SamplingData[[#This Row],[Total]]+SamplingData[[#This Row],[Winning Candidate]]-SamplingData[[#This Row],[Candidate 3]])/(SamplingData[[#Totals],[Winning Candidate]]-SamplingData[[#Totals],[Candidate 3]]), 0)</f>
        <v>0</v>
      </c>
      <c r="S932" s="99">
        <f>IF(AND(SamplingData[[#This Row],[Total]]&lt;&gt; 0, NOT(ISBLANK(SamplingData[[#This Row],[Candidate 4]]))),(SamplingData[[#This Row],[Total]]+SamplingData[[#This Row],[Winning Candidate]]-SamplingData[[#This Row],[Candidate 4]])/(SamplingData[[#Totals],[Winning Candidate]]-SamplingData[[#Totals],[Candidate 4]]), 0)</f>
        <v>0</v>
      </c>
      <c r="T932" s="99">
        <f>IF(AND(SamplingData[[#This Row],[Total]]&lt;&gt; 0, NOT(ISBLANK(SamplingData[[#This Row],[Candidate 5]]))),(SamplingData[[#This Row],[Total]]+SamplingData[[#This Row],[Winning Candidate]]-SamplingData[[#This Row],[Candidate 5]])/(SamplingData[[#Totals],[Winning Candidate]]-SamplingData[[#Totals],[Candidate 5]]), 0)</f>
        <v>0</v>
      </c>
      <c r="U932" s="99">
        <f>IF(AND(SamplingData[[#This Row],[Total]]&lt;&gt; 0, NOT(ISBLANK(SamplingData[[#This Row],[Candidate 6]]))),(SamplingData[[#This Row],[Total]]+SamplingData[[#This Row],[Losing Candidate]]-SamplingData[[#This Row],[Candidate 6]])/(SamplingData[[#Totals],[Winning Candidate]]-SamplingData[[#Totals],[Candidate 6]]), 0)</f>
        <v>0</v>
      </c>
      <c r="V932" s="99">
        <f>IF(AND(SamplingData[[#This Row],[Total]]&lt;&gt; 0, NOT(ISBLANK(SamplingData[[#This Row],[Candidate 7]]))),(SamplingData[[#This Row],[Total]]+SamplingData[[#This Row],[Winning Candidate]]-SamplingData[[#This Row],[Candidate 7]])/(SamplingData[[#Totals],[Winning Candidate]]-SamplingData[[#Totals],[Candidate 7]]), 0)</f>
        <v>0</v>
      </c>
      <c r="W932" s="99">
        <f>IF(AND(SamplingData[[#This Row],[Total]]&lt;&gt; 0, NOT(ISBLANK(SamplingData[[#This Row],[Candidate 8]]))),(SamplingData[[#This Row],[Total]]+SamplingData[[#This Row],[Winning Candidate]]-SamplingData[[#This Row],[Candidate 8]])/(SamplingData[[#Totals],[Winning Candidate]]-SamplingData[[#Totals],[Candidate 8]]), 0)</f>
        <v>0</v>
      </c>
      <c r="X9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2" s="99">
        <f>MAX(SamplingData[[#This Row],[Error Bound (up) - Max. possible relative overstatement - Losing Candidate]:[Error Bound (up) - Max. possible relative overstatement - Candidate 12]])</f>
        <v>2.0200305550840264E-2</v>
      </c>
      <c r="AC932" s="99">
        <f>IF(SamplingData[[#This Row],[Max Error Bound (up)]] = 0,0,SamplingData[[#This Row],[Max Error Bound (up)]]/SamplingData[[#Totals],[Max Error Bound (up)]])</f>
        <v>1.0815428799941847E-3</v>
      </c>
      <c r="AD932" s="103">
        <f>SUM($AC$5:AC932)</f>
        <v>0.83844794052423299</v>
      </c>
      <c r="AE932" s="99" t="str" cm="1">
        <f t="array" ref="AE932">IF(SamplingData[[#This Row],[up/U Selection Probability]] = 0, "Zero", TEXT(SamplingData[[#This Row],[Lower Range]], REPT("0",LEN('General Info'!$B$42))) &amp; " - " &amp; TEXT(SamplingData[[#This Row],[Upper Range]], REPT("0",LEN('General Info'!$B$42))))</f>
        <v>837366 - 838447</v>
      </c>
      <c r="AF932" s="99">
        <f>SamplingData[[#This Row],[Upper Range]]-SamplingData[[#This Row],[Span]]</f>
        <v>837366.3976442389</v>
      </c>
      <c r="AG932" s="99">
        <f>IF(ISNUMBER('General Info'!$B$42), ((SamplingData[[#This Row],[up/U Selection Probability]]) * 'General Info'!$B$44) - 1, 0)</f>
        <v>1080.5428799941847</v>
      </c>
      <c r="AH932" s="99">
        <f>IF(ISNUMBER('General Info'!$B$42), (SamplingData[[#This Row],[Running (cumulative) sum]] * ('General Info'!$B$42 -'General Info'!$B$43 + 1)) + 'General Info'!$B$43 - 1, 0)</f>
        <v>838446.94052423304</v>
      </c>
      <c r="AI932" s="99" t="str">
        <f>IF(ISERROR(MATCH(SamplingData[[#This Row],[Batch by Type (p)]],SelectedPrecincts[Batch Name], 0)), "", INDEX(SelectedPrecincts[Draw], MATCH(SamplingData[[#This Row],[Batch by Type (p)]],SelectedPrecincts[Batch Name], 0)))</f>
        <v/>
      </c>
      <c r="AJ932" s="100">
        <f>IF(COUNTIF(SelectedPrecincts[Batch Name],SamplingData[[#This Row],[Batch by Type (p)]]) &lt;&gt; 0, COUNTIF(SelectedPrecincts[Batch Name],SamplingData[[#This Row],[Batch by Type (p)]]), 0)</f>
        <v>0</v>
      </c>
    </row>
    <row r="933" spans="1:36" ht="15" customHeight="1" x14ac:dyDescent="0.35">
      <c r="A933" s="97" t="s">
        <v>1146</v>
      </c>
      <c r="B933" s="97">
        <v>158</v>
      </c>
      <c r="C933" s="97">
        <v>432</v>
      </c>
      <c r="D933" s="92"/>
      <c r="E933" s="92"/>
      <c r="F933" s="92"/>
      <c r="G933" s="96"/>
      <c r="H933" s="96"/>
      <c r="I933" s="92"/>
      <c r="J933" s="92"/>
      <c r="K933" s="92"/>
      <c r="L933" s="92"/>
      <c r="M933" s="92"/>
      <c r="N933" s="97">
        <v>0</v>
      </c>
      <c r="O933" s="97">
        <v>44</v>
      </c>
      <c r="P933" s="98">
        <f>SUM(SamplingData[[#This Row],[Winning Candidate]:[Under Votes]])</f>
        <v>634</v>
      </c>
      <c r="Q933" s="99">
        <f>IF(AND(SamplingData[[#This Row],[Total]]&lt;&gt; 0, NOT(ISBLANK(SamplingData[[#This Row],[Losing Candidate]]))),(SamplingData[[#This Row],[Total]]+SamplingData[[#This Row],[Winning Candidate]]-SamplingData[[#This Row],[Losing Candidate]])/(SamplingData[[#Totals],[Winning Candidate]]-SamplingData[[#Totals],[Losing Candidate]]), 0)</f>
        <v>1.5277542013240537E-2</v>
      </c>
      <c r="R933" s="99">
        <f>IF(AND(SamplingData[[#This Row],[Total]]&lt;&gt; 0, NOT(ISBLANK(SamplingData[[#This Row],[Candidate 3]]))),(SamplingData[[#This Row],[Total]]+SamplingData[[#This Row],[Winning Candidate]]-SamplingData[[#This Row],[Candidate 3]])/(SamplingData[[#Totals],[Winning Candidate]]-SamplingData[[#Totals],[Candidate 3]]), 0)</f>
        <v>0</v>
      </c>
      <c r="S933" s="99">
        <f>IF(AND(SamplingData[[#This Row],[Total]]&lt;&gt; 0, NOT(ISBLANK(SamplingData[[#This Row],[Candidate 4]]))),(SamplingData[[#This Row],[Total]]+SamplingData[[#This Row],[Winning Candidate]]-SamplingData[[#This Row],[Candidate 4]])/(SamplingData[[#Totals],[Winning Candidate]]-SamplingData[[#Totals],[Candidate 4]]), 0)</f>
        <v>0</v>
      </c>
      <c r="T933" s="99">
        <f>IF(AND(SamplingData[[#This Row],[Total]]&lt;&gt; 0, NOT(ISBLANK(SamplingData[[#This Row],[Candidate 5]]))),(SamplingData[[#This Row],[Total]]+SamplingData[[#This Row],[Winning Candidate]]-SamplingData[[#This Row],[Candidate 5]])/(SamplingData[[#Totals],[Winning Candidate]]-SamplingData[[#Totals],[Candidate 5]]), 0)</f>
        <v>0</v>
      </c>
      <c r="U933" s="99">
        <f>IF(AND(SamplingData[[#This Row],[Total]]&lt;&gt; 0, NOT(ISBLANK(SamplingData[[#This Row],[Candidate 6]]))),(SamplingData[[#This Row],[Total]]+SamplingData[[#This Row],[Losing Candidate]]-SamplingData[[#This Row],[Candidate 6]])/(SamplingData[[#Totals],[Winning Candidate]]-SamplingData[[#Totals],[Candidate 6]]), 0)</f>
        <v>0</v>
      </c>
      <c r="V933" s="99">
        <f>IF(AND(SamplingData[[#This Row],[Total]]&lt;&gt; 0, NOT(ISBLANK(SamplingData[[#This Row],[Candidate 7]]))),(SamplingData[[#This Row],[Total]]+SamplingData[[#This Row],[Winning Candidate]]-SamplingData[[#This Row],[Candidate 7]])/(SamplingData[[#Totals],[Winning Candidate]]-SamplingData[[#Totals],[Candidate 7]]), 0)</f>
        <v>0</v>
      </c>
      <c r="W933" s="99">
        <f>IF(AND(SamplingData[[#This Row],[Total]]&lt;&gt; 0, NOT(ISBLANK(SamplingData[[#This Row],[Candidate 8]]))),(SamplingData[[#This Row],[Total]]+SamplingData[[#This Row],[Winning Candidate]]-SamplingData[[#This Row],[Candidate 8]])/(SamplingData[[#Totals],[Winning Candidate]]-SamplingData[[#Totals],[Candidate 8]]), 0)</f>
        <v>0</v>
      </c>
      <c r="X9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3" s="99">
        <f>MAX(SamplingData[[#This Row],[Error Bound (up) - Max. possible relative overstatement - Losing Candidate]:[Error Bound (up) - Max. possible relative overstatement - Candidate 12]])</f>
        <v>1.5277542013240537E-2</v>
      </c>
      <c r="AC933" s="99">
        <f>IF(SamplingData[[#This Row],[Max Error Bound (up)]] = 0,0,SamplingData[[#This Row],[Max Error Bound (up)]]/SamplingData[[#Totals],[Max Error Bound (up)]])</f>
        <v>8.17973606718291E-4</v>
      </c>
      <c r="AD933" s="103">
        <f>SUM($AC$5:AC933)</f>
        <v>0.83926591413095131</v>
      </c>
      <c r="AE933" s="99" t="str" cm="1">
        <f t="array" ref="AE933">IF(SamplingData[[#This Row],[up/U Selection Probability]] = 0, "Zero", TEXT(SamplingData[[#This Row],[Lower Range]], REPT("0",LEN('General Info'!$B$42))) &amp; " - " &amp; TEXT(SamplingData[[#This Row],[Upper Range]], REPT("0",LEN('General Info'!$B$42))))</f>
        <v>838448 - 839265</v>
      </c>
      <c r="AF933" s="99">
        <f>SamplingData[[#This Row],[Upper Range]]-SamplingData[[#This Row],[Span]]</f>
        <v>838447.94052423304</v>
      </c>
      <c r="AG933" s="99">
        <f>IF(ISNUMBER('General Info'!$B$42), ((SamplingData[[#This Row],[up/U Selection Probability]]) * 'General Info'!$B$44) - 1, 0)</f>
        <v>816.97360671829097</v>
      </c>
      <c r="AH933" s="99">
        <f>IF(ISNUMBER('General Info'!$B$42), (SamplingData[[#This Row],[Running (cumulative) sum]] * ('General Info'!$B$42 -'General Info'!$B$43 + 1)) + 'General Info'!$B$43 - 1, 0)</f>
        <v>839264.91413095128</v>
      </c>
      <c r="AI933" s="99" t="str">
        <f>IF(ISERROR(MATCH(SamplingData[[#This Row],[Batch by Type (p)]],SelectedPrecincts[Batch Name], 0)), "", INDEX(SelectedPrecincts[Draw], MATCH(SamplingData[[#This Row],[Batch by Type (p)]],SelectedPrecincts[Batch Name], 0)))</f>
        <v/>
      </c>
      <c r="AJ933" s="100">
        <f>IF(COUNTIF(SelectedPrecincts[Batch Name],SamplingData[[#This Row],[Batch by Type (p)]]) &lt;&gt; 0, COUNTIF(SelectedPrecincts[Batch Name],SamplingData[[#This Row],[Batch by Type (p)]]), 0)</f>
        <v>0</v>
      </c>
    </row>
    <row r="934" spans="1:36" ht="15" customHeight="1" x14ac:dyDescent="0.35">
      <c r="A934" s="97" t="s">
        <v>1147</v>
      </c>
      <c r="B934" s="97">
        <v>266</v>
      </c>
      <c r="C934" s="97">
        <v>227</v>
      </c>
      <c r="D934" s="92"/>
      <c r="E934" s="92"/>
      <c r="F934" s="92"/>
      <c r="G934" s="96"/>
      <c r="H934" s="96"/>
      <c r="I934" s="92"/>
      <c r="J934" s="92"/>
      <c r="K934" s="92"/>
      <c r="L934" s="92"/>
      <c r="M934" s="92"/>
      <c r="N934" s="97">
        <v>1</v>
      </c>
      <c r="O934" s="97">
        <v>30</v>
      </c>
      <c r="P934" s="98">
        <f>SUM(SamplingData[[#This Row],[Winning Candidate]:[Under Votes]])</f>
        <v>524</v>
      </c>
      <c r="Q934" s="99">
        <f>IF(AND(SamplingData[[#This Row],[Total]]&lt;&gt; 0, NOT(ISBLANK(SamplingData[[#This Row],[Losing Candidate]]))),(SamplingData[[#This Row],[Total]]+SamplingData[[#This Row],[Winning Candidate]]-SamplingData[[#This Row],[Losing Candidate]])/(SamplingData[[#Totals],[Winning Candidate]]-SamplingData[[#Totals],[Losing Candidate]]), 0)</f>
        <v>2.3892378204040061E-2</v>
      </c>
      <c r="R934" s="99">
        <f>IF(AND(SamplingData[[#This Row],[Total]]&lt;&gt; 0, NOT(ISBLANK(SamplingData[[#This Row],[Candidate 3]]))),(SamplingData[[#This Row],[Total]]+SamplingData[[#This Row],[Winning Candidate]]-SamplingData[[#This Row],[Candidate 3]])/(SamplingData[[#Totals],[Winning Candidate]]-SamplingData[[#Totals],[Candidate 3]]), 0)</f>
        <v>0</v>
      </c>
      <c r="S934" s="99">
        <f>IF(AND(SamplingData[[#This Row],[Total]]&lt;&gt; 0, NOT(ISBLANK(SamplingData[[#This Row],[Candidate 4]]))),(SamplingData[[#This Row],[Total]]+SamplingData[[#This Row],[Winning Candidate]]-SamplingData[[#This Row],[Candidate 4]])/(SamplingData[[#Totals],[Winning Candidate]]-SamplingData[[#Totals],[Candidate 4]]), 0)</f>
        <v>0</v>
      </c>
      <c r="T934" s="99">
        <f>IF(AND(SamplingData[[#This Row],[Total]]&lt;&gt; 0, NOT(ISBLANK(SamplingData[[#This Row],[Candidate 5]]))),(SamplingData[[#This Row],[Total]]+SamplingData[[#This Row],[Winning Candidate]]-SamplingData[[#This Row],[Candidate 5]])/(SamplingData[[#Totals],[Winning Candidate]]-SamplingData[[#Totals],[Candidate 5]]), 0)</f>
        <v>0</v>
      </c>
      <c r="U934" s="99">
        <f>IF(AND(SamplingData[[#This Row],[Total]]&lt;&gt; 0, NOT(ISBLANK(SamplingData[[#This Row],[Candidate 6]]))),(SamplingData[[#This Row],[Total]]+SamplingData[[#This Row],[Losing Candidate]]-SamplingData[[#This Row],[Candidate 6]])/(SamplingData[[#Totals],[Winning Candidate]]-SamplingData[[#Totals],[Candidate 6]]), 0)</f>
        <v>0</v>
      </c>
      <c r="V934" s="99">
        <f>IF(AND(SamplingData[[#This Row],[Total]]&lt;&gt; 0, NOT(ISBLANK(SamplingData[[#This Row],[Candidate 7]]))),(SamplingData[[#This Row],[Total]]+SamplingData[[#This Row],[Winning Candidate]]-SamplingData[[#This Row],[Candidate 7]])/(SamplingData[[#Totals],[Winning Candidate]]-SamplingData[[#Totals],[Candidate 7]]), 0)</f>
        <v>0</v>
      </c>
      <c r="W934" s="99">
        <f>IF(AND(SamplingData[[#This Row],[Total]]&lt;&gt; 0, NOT(ISBLANK(SamplingData[[#This Row],[Candidate 8]]))),(SamplingData[[#This Row],[Total]]+SamplingData[[#This Row],[Winning Candidate]]-SamplingData[[#This Row],[Candidate 8]])/(SamplingData[[#Totals],[Winning Candidate]]-SamplingData[[#Totals],[Candidate 8]]), 0)</f>
        <v>0</v>
      </c>
      <c r="X9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4" s="99">
        <f>MAX(SamplingData[[#This Row],[Error Bound (up) - Max. possible relative overstatement - Losing Candidate]:[Error Bound (up) - Max. possible relative overstatement - Candidate 12]])</f>
        <v>2.3892378204040061E-2</v>
      </c>
      <c r="AC934" s="99">
        <f>IF(SamplingData[[#This Row],[Max Error Bound (up)]] = 0,0,SamplingData[[#This Row],[Max Error Bound (up)]]/SamplingData[[#Totals],[Max Error Bound (up)]])</f>
        <v>1.2792198349511051E-3</v>
      </c>
      <c r="AD934" s="103">
        <f>SUM($AC$5:AC934)</f>
        <v>0.84054513396590236</v>
      </c>
      <c r="AE934" s="99" t="str" cm="1">
        <f t="array" ref="AE934">IF(SamplingData[[#This Row],[up/U Selection Probability]] = 0, "Zero", TEXT(SamplingData[[#This Row],[Lower Range]], REPT("0",LEN('General Info'!$B$42))) &amp; " - " &amp; TEXT(SamplingData[[#This Row],[Upper Range]], REPT("0",LEN('General Info'!$B$42))))</f>
        <v>839266 - 840544</v>
      </c>
      <c r="AF934" s="99">
        <f>SamplingData[[#This Row],[Upper Range]]-SamplingData[[#This Row],[Span]]</f>
        <v>839265.91413095128</v>
      </c>
      <c r="AG934" s="99">
        <f>IF(ISNUMBER('General Info'!$B$42), ((SamplingData[[#This Row],[up/U Selection Probability]]) * 'General Info'!$B$44) - 1, 0)</f>
        <v>1278.219834951105</v>
      </c>
      <c r="AH934" s="99">
        <f>IF(ISNUMBER('General Info'!$B$42), (SamplingData[[#This Row],[Running (cumulative) sum]] * ('General Info'!$B$42 -'General Info'!$B$43 + 1)) + 'General Info'!$B$43 - 1, 0)</f>
        <v>840544.13396590238</v>
      </c>
      <c r="AI934" s="99" t="str">
        <f>IF(ISERROR(MATCH(SamplingData[[#This Row],[Batch by Type (p)]],SelectedPrecincts[Batch Name], 0)), "", INDEX(SelectedPrecincts[Draw], MATCH(SamplingData[[#This Row],[Batch by Type (p)]],SelectedPrecincts[Batch Name], 0)))</f>
        <v/>
      </c>
      <c r="AJ934" s="100">
        <f>IF(COUNTIF(SelectedPrecincts[Batch Name],SamplingData[[#This Row],[Batch by Type (p)]]) &lt;&gt; 0, COUNTIF(SelectedPrecincts[Batch Name],SamplingData[[#This Row],[Batch by Type (p)]]), 0)</f>
        <v>0</v>
      </c>
    </row>
    <row r="935" spans="1:36" ht="15" customHeight="1" x14ac:dyDescent="0.35">
      <c r="A935" s="97" t="s">
        <v>1148</v>
      </c>
      <c r="B935" s="97">
        <v>178</v>
      </c>
      <c r="C935" s="97">
        <v>253</v>
      </c>
      <c r="D935" s="92"/>
      <c r="E935" s="92"/>
      <c r="F935" s="92"/>
      <c r="G935" s="96"/>
      <c r="H935" s="96"/>
      <c r="I935" s="92"/>
      <c r="J935" s="92"/>
      <c r="K935" s="92"/>
      <c r="L935" s="92"/>
      <c r="M935" s="92"/>
      <c r="N935" s="97">
        <v>0</v>
      </c>
      <c r="O935" s="97">
        <v>40</v>
      </c>
      <c r="P935" s="98">
        <f>SUM(SamplingData[[#This Row],[Winning Candidate]:[Under Votes]])</f>
        <v>471</v>
      </c>
      <c r="Q935" s="99">
        <f>IF(AND(SamplingData[[#This Row],[Total]]&lt;&gt; 0, NOT(ISBLANK(SamplingData[[#This Row],[Losing Candidate]]))),(SamplingData[[#This Row],[Total]]+SamplingData[[#This Row],[Winning Candidate]]-SamplingData[[#This Row],[Losing Candidate]])/(SamplingData[[#Totals],[Winning Candidate]]-SamplingData[[#Totals],[Losing Candidate]]), 0)</f>
        <v>1.6805296214564589E-2</v>
      </c>
      <c r="R935" s="99">
        <f>IF(AND(SamplingData[[#This Row],[Total]]&lt;&gt; 0, NOT(ISBLANK(SamplingData[[#This Row],[Candidate 3]]))),(SamplingData[[#This Row],[Total]]+SamplingData[[#This Row],[Winning Candidate]]-SamplingData[[#This Row],[Candidate 3]])/(SamplingData[[#Totals],[Winning Candidate]]-SamplingData[[#Totals],[Candidate 3]]), 0)</f>
        <v>0</v>
      </c>
      <c r="S935" s="99">
        <f>IF(AND(SamplingData[[#This Row],[Total]]&lt;&gt; 0, NOT(ISBLANK(SamplingData[[#This Row],[Candidate 4]]))),(SamplingData[[#This Row],[Total]]+SamplingData[[#This Row],[Winning Candidate]]-SamplingData[[#This Row],[Candidate 4]])/(SamplingData[[#Totals],[Winning Candidate]]-SamplingData[[#Totals],[Candidate 4]]), 0)</f>
        <v>0</v>
      </c>
      <c r="T935" s="99">
        <f>IF(AND(SamplingData[[#This Row],[Total]]&lt;&gt; 0, NOT(ISBLANK(SamplingData[[#This Row],[Candidate 5]]))),(SamplingData[[#This Row],[Total]]+SamplingData[[#This Row],[Winning Candidate]]-SamplingData[[#This Row],[Candidate 5]])/(SamplingData[[#Totals],[Winning Candidate]]-SamplingData[[#Totals],[Candidate 5]]), 0)</f>
        <v>0</v>
      </c>
      <c r="U935" s="99">
        <f>IF(AND(SamplingData[[#This Row],[Total]]&lt;&gt; 0, NOT(ISBLANK(SamplingData[[#This Row],[Candidate 6]]))),(SamplingData[[#This Row],[Total]]+SamplingData[[#This Row],[Losing Candidate]]-SamplingData[[#This Row],[Candidate 6]])/(SamplingData[[#Totals],[Winning Candidate]]-SamplingData[[#Totals],[Candidate 6]]), 0)</f>
        <v>0</v>
      </c>
      <c r="V935" s="99">
        <f>IF(AND(SamplingData[[#This Row],[Total]]&lt;&gt; 0, NOT(ISBLANK(SamplingData[[#This Row],[Candidate 7]]))),(SamplingData[[#This Row],[Total]]+SamplingData[[#This Row],[Winning Candidate]]-SamplingData[[#This Row],[Candidate 7]])/(SamplingData[[#Totals],[Winning Candidate]]-SamplingData[[#Totals],[Candidate 7]]), 0)</f>
        <v>0</v>
      </c>
      <c r="W935" s="99">
        <f>IF(AND(SamplingData[[#This Row],[Total]]&lt;&gt; 0, NOT(ISBLANK(SamplingData[[#This Row],[Candidate 8]]))),(SamplingData[[#This Row],[Total]]+SamplingData[[#This Row],[Winning Candidate]]-SamplingData[[#This Row],[Candidate 8]])/(SamplingData[[#Totals],[Winning Candidate]]-SamplingData[[#Totals],[Candidate 8]]), 0)</f>
        <v>0</v>
      </c>
      <c r="X9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5" s="99">
        <f>MAX(SamplingData[[#This Row],[Error Bound (up) - Max. possible relative overstatement - Losing Candidate]:[Error Bound (up) - Max. possible relative overstatement - Candidate 12]])</f>
        <v>1.6805296214564589E-2</v>
      </c>
      <c r="AC935" s="99">
        <f>IF(SamplingData[[#This Row],[Max Error Bound (up)]] = 0,0,SamplingData[[#This Row],[Max Error Bound (up)]]/SamplingData[[#Totals],[Max Error Bound (up)]])</f>
        <v>8.9977096739011998E-4</v>
      </c>
      <c r="AD935" s="103">
        <f>SUM($AC$5:AC935)</f>
        <v>0.84144490493329249</v>
      </c>
      <c r="AE935" s="99" t="str" cm="1">
        <f t="array" ref="AE935">IF(SamplingData[[#This Row],[up/U Selection Probability]] = 0, "Zero", TEXT(SamplingData[[#This Row],[Lower Range]], REPT("0",LEN('General Info'!$B$42))) &amp; " - " &amp; TEXT(SamplingData[[#This Row],[Upper Range]], REPT("0",LEN('General Info'!$B$42))))</f>
        <v>840545 - 841444</v>
      </c>
      <c r="AF935" s="99">
        <f>SamplingData[[#This Row],[Upper Range]]-SamplingData[[#This Row],[Span]]</f>
        <v>840545.13396590238</v>
      </c>
      <c r="AG935" s="99">
        <f>IF(ISNUMBER('General Info'!$B$42), ((SamplingData[[#This Row],[up/U Selection Probability]]) * 'General Info'!$B$44) - 1, 0)</f>
        <v>898.77096739011995</v>
      </c>
      <c r="AH935" s="99">
        <f>IF(ISNUMBER('General Info'!$B$42), (SamplingData[[#This Row],[Running (cumulative) sum]] * ('General Info'!$B$42 -'General Info'!$B$43 + 1)) + 'General Info'!$B$43 - 1, 0)</f>
        <v>841443.90493329254</v>
      </c>
      <c r="AI935" s="99" t="str">
        <f>IF(ISERROR(MATCH(SamplingData[[#This Row],[Batch by Type (p)]],SelectedPrecincts[Batch Name], 0)), "", INDEX(SelectedPrecincts[Draw], MATCH(SamplingData[[#This Row],[Batch by Type (p)]],SelectedPrecincts[Batch Name], 0)))</f>
        <v/>
      </c>
      <c r="AJ935" s="100">
        <f>IF(COUNTIF(SelectedPrecincts[Batch Name],SamplingData[[#This Row],[Batch by Type (p)]]) &lt;&gt; 0, COUNTIF(SelectedPrecincts[Batch Name],SamplingData[[#This Row],[Batch by Type (p)]]), 0)</f>
        <v>0</v>
      </c>
    </row>
    <row r="936" spans="1:36" ht="15" customHeight="1" x14ac:dyDescent="0.35">
      <c r="A936" s="97" t="s">
        <v>1149</v>
      </c>
      <c r="B936" s="97">
        <v>186</v>
      </c>
      <c r="C936" s="97">
        <v>342</v>
      </c>
      <c r="D936" s="92"/>
      <c r="E936" s="92"/>
      <c r="F936" s="92"/>
      <c r="G936" s="96"/>
      <c r="H936" s="96"/>
      <c r="I936" s="92"/>
      <c r="J936" s="92"/>
      <c r="K936" s="92"/>
      <c r="L936" s="92"/>
      <c r="M936" s="92"/>
      <c r="N936" s="97">
        <v>0</v>
      </c>
      <c r="O936" s="97">
        <v>44</v>
      </c>
      <c r="P936" s="98">
        <f>SUM(SamplingData[[#This Row],[Winning Candidate]:[Under Votes]])</f>
        <v>572</v>
      </c>
      <c r="Q936" s="99">
        <f>IF(AND(SamplingData[[#This Row],[Total]]&lt;&gt; 0, NOT(ISBLANK(SamplingData[[#This Row],[Losing Candidate]]))),(SamplingData[[#This Row],[Total]]+SamplingData[[#This Row],[Winning Candidate]]-SamplingData[[#This Row],[Losing Candidate]])/(SamplingData[[#Totals],[Winning Candidate]]-SamplingData[[#Totals],[Losing Candidate]]), 0)</f>
        <v>1.7654048548633509E-2</v>
      </c>
      <c r="R936" s="99">
        <f>IF(AND(SamplingData[[#This Row],[Total]]&lt;&gt; 0, NOT(ISBLANK(SamplingData[[#This Row],[Candidate 3]]))),(SamplingData[[#This Row],[Total]]+SamplingData[[#This Row],[Winning Candidate]]-SamplingData[[#This Row],[Candidate 3]])/(SamplingData[[#Totals],[Winning Candidate]]-SamplingData[[#Totals],[Candidate 3]]), 0)</f>
        <v>0</v>
      </c>
      <c r="S936" s="99">
        <f>IF(AND(SamplingData[[#This Row],[Total]]&lt;&gt; 0, NOT(ISBLANK(SamplingData[[#This Row],[Candidate 4]]))),(SamplingData[[#This Row],[Total]]+SamplingData[[#This Row],[Winning Candidate]]-SamplingData[[#This Row],[Candidate 4]])/(SamplingData[[#Totals],[Winning Candidate]]-SamplingData[[#Totals],[Candidate 4]]), 0)</f>
        <v>0</v>
      </c>
      <c r="T936" s="99">
        <f>IF(AND(SamplingData[[#This Row],[Total]]&lt;&gt; 0, NOT(ISBLANK(SamplingData[[#This Row],[Candidate 5]]))),(SamplingData[[#This Row],[Total]]+SamplingData[[#This Row],[Winning Candidate]]-SamplingData[[#This Row],[Candidate 5]])/(SamplingData[[#Totals],[Winning Candidate]]-SamplingData[[#Totals],[Candidate 5]]), 0)</f>
        <v>0</v>
      </c>
      <c r="U936" s="99">
        <f>IF(AND(SamplingData[[#This Row],[Total]]&lt;&gt; 0, NOT(ISBLANK(SamplingData[[#This Row],[Candidate 6]]))),(SamplingData[[#This Row],[Total]]+SamplingData[[#This Row],[Losing Candidate]]-SamplingData[[#This Row],[Candidate 6]])/(SamplingData[[#Totals],[Winning Candidate]]-SamplingData[[#Totals],[Candidate 6]]), 0)</f>
        <v>0</v>
      </c>
      <c r="V936" s="99">
        <f>IF(AND(SamplingData[[#This Row],[Total]]&lt;&gt; 0, NOT(ISBLANK(SamplingData[[#This Row],[Candidate 7]]))),(SamplingData[[#This Row],[Total]]+SamplingData[[#This Row],[Winning Candidate]]-SamplingData[[#This Row],[Candidate 7]])/(SamplingData[[#Totals],[Winning Candidate]]-SamplingData[[#Totals],[Candidate 7]]), 0)</f>
        <v>0</v>
      </c>
      <c r="W936" s="99">
        <f>IF(AND(SamplingData[[#This Row],[Total]]&lt;&gt; 0, NOT(ISBLANK(SamplingData[[#This Row],[Candidate 8]]))),(SamplingData[[#This Row],[Total]]+SamplingData[[#This Row],[Winning Candidate]]-SamplingData[[#This Row],[Candidate 8]])/(SamplingData[[#Totals],[Winning Candidate]]-SamplingData[[#Totals],[Candidate 8]]), 0)</f>
        <v>0</v>
      </c>
      <c r="X9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6" s="99">
        <f>MAX(SamplingData[[#This Row],[Error Bound (up) - Max. possible relative overstatement - Losing Candidate]:[Error Bound (up) - Max. possible relative overstatement - Candidate 12]])</f>
        <v>1.7654048548633509E-2</v>
      </c>
      <c r="AC936" s="99">
        <f>IF(SamplingData[[#This Row],[Max Error Bound (up)]] = 0,0,SamplingData[[#This Row],[Max Error Bound (up)]]/SamplingData[[#Totals],[Max Error Bound (up)]])</f>
        <v>9.4521394554113614E-4</v>
      </c>
      <c r="AD936" s="103">
        <f>SUM($AC$5:AC936)</f>
        <v>0.84239011887883364</v>
      </c>
      <c r="AE936" s="99" t="str" cm="1">
        <f t="array" ref="AE936">IF(SamplingData[[#This Row],[up/U Selection Probability]] = 0, "Zero", TEXT(SamplingData[[#This Row],[Lower Range]], REPT("0",LEN('General Info'!$B$42))) &amp; " - " &amp; TEXT(SamplingData[[#This Row],[Upper Range]], REPT("0",LEN('General Info'!$B$42))))</f>
        <v>841445 - 842389</v>
      </c>
      <c r="AF936" s="99">
        <f>SamplingData[[#This Row],[Upper Range]]-SamplingData[[#This Row],[Span]]</f>
        <v>841444.90493329242</v>
      </c>
      <c r="AG936" s="99">
        <f>IF(ISNUMBER('General Info'!$B$42), ((SamplingData[[#This Row],[up/U Selection Probability]]) * 'General Info'!$B$44) - 1, 0)</f>
        <v>944.21394554113613</v>
      </c>
      <c r="AH936" s="99">
        <f>IF(ISNUMBER('General Info'!$B$42), (SamplingData[[#This Row],[Running (cumulative) sum]] * ('General Info'!$B$42 -'General Info'!$B$43 + 1)) + 'General Info'!$B$43 - 1, 0)</f>
        <v>842389.1188788336</v>
      </c>
      <c r="AI936" s="99" t="str">
        <f>IF(ISERROR(MATCH(SamplingData[[#This Row],[Batch by Type (p)]],SelectedPrecincts[Batch Name], 0)), "", INDEX(SelectedPrecincts[Draw], MATCH(SamplingData[[#This Row],[Batch by Type (p)]],SelectedPrecincts[Batch Name], 0)))</f>
        <v/>
      </c>
      <c r="AJ936" s="100">
        <f>IF(COUNTIF(SelectedPrecincts[Batch Name],SamplingData[[#This Row],[Batch by Type (p)]]) &lt;&gt; 0, COUNTIF(SelectedPrecincts[Batch Name],SamplingData[[#This Row],[Batch by Type (p)]]), 0)</f>
        <v>0</v>
      </c>
    </row>
    <row r="937" spans="1:36" ht="15" customHeight="1" x14ac:dyDescent="0.35">
      <c r="A937" s="97" t="s">
        <v>1150</v>
      </c>
      <c r="B937" s="97">
        <v>162</v>
      </c>
      <c r="C937" s="97">
        <v>123</v>
      </c>
      <c r="D937" s="92"/>
      <c r="E937" s="92"/>
      <c r="F937" s="92"/>
      <c r="G937" s="96"/>
      <c r="H937" s="96"/>
      <c r="I937" s="92"/>
      <c r="J937" s="92"/>
      <c r="K937" s="92"/>
      <c r="L937" s="92"/>
      <c r="M937" s="92"/>
      <c r="N937" s="97">
        <v>0</v>
      </c>
      <c r="O937" s="97">
        <v>25</v>
      </c>
      <c r="P937" s="98">
        <f>SUM(SamplingData[[#This Row],[Winning Candidate]:[Under Votes]])</f>
        <v>310</v>
      </c>
      <c r="Q937" s="99">
        <f>IF(AND(SamplingData[[#This Row],[Total]]&lt;&gt; 0, NOT(ISBLANK(SamplingData[[#This Row],[Losing Candidate]]))),(SamplingData[[#This Row],[Total]]+SamplingData[[#This Row],[Winning Candidate]]-SamplingData[[#This Row],[Losing Candidate]])/(SamplingData[[#Totals],[Winning Candidate]]-SamplingData[[#Totals],[Losing Candidate]]), 0)</f>
        <v>1.4810728229502631E-2</v>
      </c>
      <c r="R937" s="99">
        <f>IF(AND(SamplingData[[#This Row],[Total]]&lt;&gt; 0, NOT(ISBLANK(SamplingData[[#This Row],[Candidate 3]]))),(SamplingData[[#This Row],[Total]]+SamplingData[[#This Row],[Winning Candidate]]-SamplingData[[#This Row],[Candidate 3]])/(SamplingData[[#Totals],[Winning Candidate]]-SamplingData[[#Totals],[Candidate 3]]), 0)</f>
        <v>0</v>
      </c>
      <c r="S937" s="99">
        <f>IF(AND(SamplingData[[#This Row],[Total]]&lt;&gt; 0, NOT(ISBLANK(SamplingData[[#This Row],[Candidate 4]]))),(SamplingData[[#This Row],[Total]]+SamplingData[[#This Row],[Winning Candidate]]-SamplingData[[#This Row],[Candidate 4]])/(SamplingData[[#Totals],[Winning Candidate]]-SamplingData[[#Totals],[Candidate 4]]), 0)</f>
        <v>0</v>
      </c>
      <c r="T937" s="99">
        <f>IF(AND(SamplingData[[#This Row],[Total]]&lt;&gt; 0, NOT(ISBLANK(SamplingData[[#This Row],[Candidate 5]]))),(SamplingData[[#This Row],[Total]]+SamplingData[[#This Row],[Winning Candidate]]-SamplingData[[#This Row],[Candidate 5]])/(SamplingData[[#Totals],[Winning Candidate]]-SamplingData[[#Totals],[Candidate 5]]), 0)</f>
        <v>0</v>
      </c>
      <c r="U937" s="99">
        <f>IF(AND(SamplingData[[#This Row],[Total]]&lt;&gt; 0, NOT(ISBLANK(SamplingData[[#This Row],[Candidate 6]]))),(SamplingData[[#This Row],[Total]]+SamplingData[[#This Row],[Losing Candidate]]-SamplingData[[#This Row],[Candidate 6]])/(SamplingData[[#Totals],[Winning Candidate]]-SamplingData[[#Totals],[Candidate 6]]), 0)</f>
        <v>0</v>
      </c>
      <c r="V937" s="99">
        <f>IF(AND(SamplingData[[#This Row],[Total]]&lt;&gt; 0, NOT(ISBLANK(SamplingData[[#This Row],[Candidate 7]]))),(SamplingData[[#This Row],[Total]]+SamplingData[[#This Row],[Winning Candidate]]-SamplingData[[#This Row],[Candidate 7]])/(SamplingData[[#Totals],[Winning Candidate]]-SamplingData[[#Totals],[Candidate 7]]), 0)</f>
        <v>0</v>
      </c>
      <c r="W937" s="99">
        <f>IF(AND(SamplingData[[#This Row],[Total]]&lt;&gt; 0, NOT(ISBLANK(SamplingData[[#This Row],[Candidate 8]]))),(SamplingData[[#This Row],[Total]]+SamplingData[[#This Row],[Winning Candidate]]-SamplingData[[#This Row],[Candidate 8]])/(SamplingData[[#Totals],[Winning Candidate]]-SamplingData[[#Totals],[Candidate 8]]), 0)</f>
        <v>0</v>
      </c>
      <c r="X9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7" s="99">
        <f>MAX(SamplingData[[#This Row],[Error Bound (up) - Max. possible relative overstatement - Losing Candidate]:[Error Bound (up) - Max. possible relative overstatement - Candidate 12]])</f>
        <v>1.4810728229502631E-2</v>
      </c>
      <c r="AC937" s="99">
        <f>IF(SamplingData[[#This Row],[Max Error Bound (up)]] = 0,0,SamplingData[[#This Row],[Max Error Bound (up)]]/SamplingData[[#Totals],[Max Error Bound (up)]])</f>
        <v>7.9297996873523209E-4</v>
      </c>
      <c r="AD937" s="103">
        <f>SUM($AC$5:AC937)</f>
        <v>0.84318309884756892</v>
      </c>
      <c r="AE937" s="99" t="str" cm="1">
        <f t="array" ref="AE937">IF(SamplingData[[#This Row],[up/U Selection Probability]] = 0, "Zero", TEXT(SamplingData[[#This Row],[Lower Range]], REPT("0",LEN('General Info'!$B$42))) &amp; " - " &amp; TEXT(SamplingData[[#This Row],[Upper Range]], REPT("0",LEN('General Info'!$B$42))))</f>
        <v>842390 - 843182</v>
      </c>
      <c r="AF937" s="99">
        <f>SamplingData[[#This Row],[Upper Range]]-SamplingData[[#This Row],[Span]]</f>
        <v>842390.11887883372</v>
      </c>
      <c r="AG937" s="99">
        <f>IF(ISNUMBER('General Info'!$B$42), ((SamplingData[[#This Row],[up/U Selection Probability]]) * 'General Info'!$B$44) - 1, 0)</f>
        <v>791.97996873523209</v>
      </c>
      <c r="AH937" s="99">
        <f>IF(ISNUMBER('General Info'!$B$42), (SamplingData[[#This Row],[Running (cumulative) sum]] * ('General Info'!$B$42 -'General Info'!$B$43 + 1)) + 'General Info'!$B$43 - 1, 0)</f>
        <v>843182.09884756897</v>
      </c>
      <c r="AI937" s="99" t="str">
        <f>IF(ISERROR(MATCH(SamplingData[[#This Row],[Batch by Type (p)]],SelectedPrecincts[Batch Name], 0)), "", INDEX(SelectedPrecincts[Draw], MATCH(SamplingData[[#This Row],[Batch by Type (p)]],SelectedPrecincts[Batch Name], 0)))</f>
        <v/>
      </c>
      <c r="AJ937" s="100">
        <f>IF(COUNTIF(SelectedPrecincts[Batch Name],SamplingData[[#This Row],[Batch by Type (p)]]) &lt;&gt; 0, COUNTIF(SelectedPrecincts[Batch Name],SamplingData[[#This Row],[Batch by Type (p)]]), 0)</f>
        <v>0</v>
      </c>
    </row>
    <row r="938" spans="1:36" ht="15" customHeight="1" x14ac:dyDescent="0.35">
      <c r="A938" s="97" t="s">
        <v>1151</v>
      </c>
      <c r="B938" s="97">
        <v>284</v>
      </c>
      <c r="C938" s="97">
        <v>259</v>
      </c>
      <c r="D938" s="92"/>
      <c r="E938" s="92"/>
      <c r="F938" s="92"/>
      <c r="G938" s="96"/>
      <c r="H938" s="96"/>
      <c r="I938" s="92"/>
      <c r="J938" s="92"/>
      <c r="K938" s="92"/>
      <c r="L938" s="92"/>
      <c r="M938" s="92"/>
      <c r="N938" s="97">
        <v>0</v>
      </c>
      <c r="O938" s="97">
        <v>43</v>
      </c>
      <c r="P938" s="98">
        <f>SUM(SamplingData[[#This Row],[Winning Candidate]:[Under Votes]])</f>
        <v>586</v>
      </c>
      <c r="Q938" s="99">
        <f>IF(AND(SamplingData[[#This Row],[Total]]&lt;&gt; 0, NOT(ISBLANK(SamplingData[[#This Row],[Losing Candidate]]))),(SamplingData[[#This Row],[Total]]+SamplingData[[#This Row],[Winning Candidate]]-SamplingData[[#This Row],[Losing Candidate]])/(SamplingData[[#Totals],[Winning Candidate]]-SamplingData[[#Totals],[Losing Candidate]]), 0)</f>
        <v>2.5929383805805464E-2</v>
      </c>
      <c r="R938" s="99">
        <f>IF(AND(SamplingData[[#This Row],[Total]]&lt;&gt; 0, NOT(ISBLANK(SamplingData[[#This Row],[Candidate 3]]))),(SamplingData[[#This Row],[Total]]+SamplingData[[#This Row],[Winning Candidate]]-SamplingData[[#This Row],[Candidate 3]])/(SamplingData[[#Totals],[Winning Candidate]]-SamplingData[[#Totals],[Candidate 3]]), 0)</f>
        <v>0</v>
      </c>
      <c r="S938" s="99">
        <f>IF(AND(SamplingData[[#This Row],[Total]]&lt;&gt; 0, NOT(ISBLANK(SamplingData[[#This Row],[Candidate 4]]))),(SamplingData[[#This Row],[Total]]+SamplingData[[#This Row],[Winning Candidate]]-SamplingData[[#This Row],[Candidate 4]])/(SamplingData[[#Totals],[Winning Candidate]]-SamplingData[[#Totals],[Candidate 4]]), 0)</f>
        <v>0</v>
      </c>
      <c r="T938" s="99">
        <f>IF(AND(SamplingData[[#This Row],[Total]]&lt;&gt; 0, NOT(ISBLANK(SamplingData[[#This Row],[Candidate 5]]))),(SamplingData[[#This Row],[Total]]+SamplingData[[#This Row],[Winning Candidate]]-SamplingData[[#This Row],[Candidate 5]])/(SamplingData[[#Totals],[Winning Candidate]]-SamplingData[[#Totals],[Candidate 5]]), 0)</f>
        <v>0</v>
      </c>
      <c r="U938" s="99">
        <f>IF(AND(SamplingData[[#This Row],[Total]]&lt;&gt; 0, NOT(ISBLANK(SamplingData[[#This Row],[Candidate 6]]))),(SamplingData[[#This Row],[Total]]+SamplingData[[#This Row],[Losing Candidate]]-SamplingData[[#This Row],[Candidate 6]])/(SamplingData[[#Totals],[Winning Candidate]]-SamplingData[[#Totals],[Candidate 6]]), 0)</f>
        <v>0</v>
      </c>
      <c r="V938" s="99">
        <f>IF(AND(SamplingData[[#This Row],[Total]]&lt;&gt; 0, NOT(ISBLANK(SamplingData[[#This Row],[Candidate 7]]))),(SamplingData[[#This Row],[Total]]+SamplingData[[#This Row],[Winning Candidate]]-SamplingData[[#This Row],[Candidate 7]])/(SamplingData[[#Totals],[Winning Candidate]]-SamplingData[[#Totals],[Candidate 7]]), 0)</f>
        <v>0</v>
      </c>
      <c r="W938" s="99">
        <f>IF(AND(SamplingData[[#This Row],[Total]]&lt;&gt; 0, NOT(ISBLANK(SamplingData[[#This Row],[Candidate 8]]))),(SamplingData[[#This Row],[Total]]+SamplingData[[#This Row],[Winning Candidate]]-SamplingData[[#This Row],[Candidate 8]])/(SamplingData[[#Totals],[Winning Candidate]]-SamplingData[[#Totals],[Candidate 8]]), 0)</f>
        <v>0</v>
      </c>
      <c r="X9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8" s="99">
        <f>MAX(SamplingData[[#This Row],[Error Bound (up) - Max. possible relative overstatement - Losing Candidate]:[Error Bound (up) - Max. possible relative overstatement - Candidate 12]])</f>
        <v>2.5929383805805464E-2</v>
      </c>
      <c r="AC938" s="99">
        <f>IF(SamplingData[[#This Row],[Max Error Bound (up)]] = 0,0,SamplingData[[#This Row],[Max Error Bound (up)]]/SamplingData[[#Totals],[Max Error Bound (up)]])</f>
        <v>1.3882829825135436E-3</v>
      </c>
      <c r="AD938" s="103">
        <f>SUM($AC$5:AC938)</f>
        <v>0.84457138183008251</v>
      </c>
      <c r="AE938" s="99" t="str" cm="1">
        <f t="array" ref="AE938">IF(SamplingData[[#This Row],[up/U Selection Probability]] = 0, "Zero", TEXT(SamplingData[[#This Row],[Lower Range]], REPT("0",LEN('General Info'!$B$42))) &amp; " - " &amp; TEXT(SamplingData[[#This Row],[Upper Range]], REPT("0",LEN('General Info'!$B$42))))</f>
        <v>843183 - 844570</v>
      </c>
      <c r="AF938" s="99">
        <f>SamplingData[[#This Row],[Upper Range]]-SamplingData[[#This Row],[Span]]</f>
        <v>843183.09884756897</v>
      </c>
      <c r="AG938" s="99">
        <f>IF(ISNUMBER('General Info'!$B$42), ((SamplingData[[#This Row],[up/U Selection Probability]]) * 'General Info'!$B$44) - 1, 0)</f>
        <v>1387.2829825135436</v>
      </c>
      <c r="AH938" s="99">
        <f>IF(ISNUMBER('General Info'!$B$42), (SamplingData[[#This Row],[Running (cumulative) sum]] * ('General Info'!$B$42 -'General Info'!$B$43 + 1)) + 'General Info'!$B$43 - 1, 0)</f>
        <v>844570.38183008251</v>
      </c>
      <c r="AI938" s="99" t="str">
        <f>IF(ISERROR(MATCH(SamplingData[[#This Row],[Batch by Type (p)]],SelectedPrecincts[Batch Name], 0)), "", INDEX(SelectedPrecincts[Draw], MATCH(SamplingData[[#This Row],[Batch by Type (p)]],SelectedPrecincts[Batch Name], 0)))</f>
        <v/>
      </c>
      <c r="AJ938" s="100">
        <f>IF(COUNTIF(SelectedPrecincts[Batch Name],SamplingData[[#This Row],[Batch by Type (p)]]) &lt;&gt; 0, COUNTIF(SelectedPrecincts[Batch Name],SamplingData[[#This Row],[Batch by Type (p)]]), 0)</f>
        <v>0</v>
      </c>
    </row>
    <row r="939" spans="1:36" ht="15" customHeight="1" x14ac:dyDescent="0.35">
      <c r="A939" s="97" t="s">
        <v>1152</v>
      </c>
      <c r="B939" s="97">
        <v>308</v>
      </c>
      <c r="C939" s="97">
        <v>242</v>
      </c>
      <c r="D939" s="92"/>
      <c r="E939" s="92"/>
      <c r="F939" s="92"/>
      <c r="G939" s="96"/>
      <c r="H939" s="96"/>
      <c r="I939" s="92"/>
      <c r="J939" s="92"/>
      <c r="K939" s="92"/>
      <c r="L939" s="92"/>
      <c r="M939" s="92"/>
      <c r="N939" s="97">
        <v>0</v>
      </c>
      <c r="O939" s="97">
        <v>38</v>
      </c>
      <c r="P939" s="98">
        <f>SUM(SamplingData[[#This Row],[Winning Candidate]:[Under Votes]])</f>
        <v>588</v>
      </c>
      <c r="Q939" s="99">
        <f>IF(AND(SamplingData[[#This Row],[Total]]&lt;&gt; 0, NOT(ISBLANK(SamplingData[[#This Row],[Losing Candidate]]))),(SamplingData[[#This Row],[Total]]+SamplingData[[#This Row],[Winning Candidate]]-SamplingData[[#This Row],[Losing Candidate]])/(SamplingData[[#Totals],[Winning Candidate]]-SamplingData[[#Totals],[Losing Candidate]]), 0)</f>
        <v>2.7754201324053641E-2</v>
      </c>
      <c r="R939" s="99">
        <f>IF(AND(SamplingData[[#This Row],[Total]]&lt;&gt; 0, NOT(ISBLANK(SamplingData[[#This Row],[Candidate 3]]))),(SamplingData[[#This Row],[Total]]+SamplingData[[#This Row],[Winning Candidate]]-SamplingData[[#This Row],[Candidate 3]])/(SamplingData[[#Totals],[Winning Candidate]]-SamplingData[[#Totals],[Candidate 3]]), 0)</f>
        <v>0</v>
      </c>
      <c r="S939" s="99">
        <f>IF(AND(SamplingData[[#This Row],[Total]]&lt;&gt; 0, NOT(ISBLANK(SamplingData[[#This Row],[Candidate 4]]))),(SamplingData[[#This Row],[Total]]+SamplingData[[#This Row],[Winning Candidate]]-SamplingData[[#This Row],[Candidate 4]])/(SamplingData[[#Totals],[Winning Candidate]]-SamplingData[[#Totals],[Candidate 4]]), 0)</f>
        <v>0</v>
      </c>
      <c r="T939" s="99">
        <f>IF(AND(SamplingData[[#This Row],[Total]]&lt;&gt; 0, NOT(ISBLANK(SamplingData[[#This Row],[Candidate 5]]))),(SamplingData[[#This Row],[Total]]+SamplingData[[#This Row],[Winning Candidate]]-SamplingData[[#This Row],[Candidate 5]])/(SamplingData[[#Totals],[Winning Candidate]]-SamplingData[[#Totals],[Candidate 5]]), 0)</f>
        <v>0</v>
      </c>
      <c r="U939" s="99">
        <f>IF(AND(SamplingData[[#This Row],[Total]]&lt;&gt; 0, NOT(ISBLANK(SamplingData[[#This Row],[Candidate 6]]))),(SamplingData[[#This Row],[Total]]+SamplingData[[#This Row],[Losing Candidate]]-SamplingData[[#This Row],[Candidate 6]])/(SamplingData[[#Totals],[Winning Candidate]]-SamplingData[[#Totals],[Candidate 6]]), 0)</f>
        <v>0</v>
      </c>
      <c r="V939" s="99">
        <f>IF(AND(SamplingData[[#This Row],[Total]]&lt;&gt; 0, NOT(ISBLANK(SamplingData[[#This Row],[Candidate 7]]))),(SamplingData[[#This Row],[Total]]+SamplingData[[#This Row],[Winning Candidate]]-SamplingData[[#This Row],[Candidate 7]])/(SamplingData[[#Totals],[Winning Candidate]]-SamplingData[[#Totals],[Candidate 7]]), 0)</f>
        <v>0</v>
      </c>
      <c r="W939" s="99">
        <f>IF(AND(SamplingData[[#This Row],[Total]]&lt;&gt; 0, NOT(ISBLANK(SamplingData[[#This Row],[Candidate 8]]))),(SamplingData[[#This Row],[Total]]+SamplingData[[#This Row],[Winning Candidate]]-SamplingData[[#This Row],[Candidate 8]])/(SamplingData[[#Totals],[Winning Candidate]]-SamplingData[[#Totals],[Candidate 8]]), 0)</f>
        <v>0</v>
      </c>
      <c r="X9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9" s="99">
        <f>MAX(SamplingData[[#This Row],[Error Bound (up) - Max. possible relative overstatement - Losing Candidate]:[Error Bound (up) - Max. possible relative overstatement - Candidate 12]])</f>
        <v>2.7754201324053641E-2</v>
      </c>
      <c r="AC939" s="99">
        <f>IF(SamplingData[[#This Row],[Max Error Bound (up)]] = 0,0,SamplingData[[#This Row],[Max Error Bound (up)]]/SamplingData[[#Totals],[Max Error Bound (up)]])</f>
        <v>1.4859853855382285E-3</v>
      </c>
      <c r="AD939" s="103">
        <f>SUM($AC$5:AC939)</f>
        <v>0.84605736721562075</v>
      </c>
      <c r="AE939" s="99" t="str" cm="1">
        <f t="array" ref="AE939">IF(SamplingData[[#This Row],[up/U Selection Probability]] = 0, "Zero", TEXT(SamplingData[[#This Row],[Lower Range]], REPT("0",LEN('General Info'!$B$42))) &amp; " - " &amp; TEXT(SamplingData[[#This Row],[Upper Range]], REPT("0",LEN('General Info'!$B$42))))</f>
        <v>844571 - 846056</v>
      </c>
      <c r="AF939" s="99">
        <f>SamplingData[[#This Row],[Upper Range]]-SamplingData[[#This Row],[Span]]</f>
        <v>844571.38183008251</v>
      </c>
      <c r="AG939" s="99">
        <f>IF(ISNUMBER('General Info'!$B$42), ((SamplingData[[#This Row],[up/U Selection Probability]]) * 'General Info'!$B$44) - 1, 0)</f>
        <v>1484.9853855382285</v>
      </c>
      <c r="AH939" s="99">
        <f>IF(ISNUMBER('General Info'!$B$42), (SamplingData[[#This Row],[Running (cumulative) sum]] * ('General Info'!$B$42 -'General Info'!$B$43 + 1)) + 'General Info'!$B$43 - 1, 0)</f>
        <v>846056.3672156207</v>
      </c>
      <c r="AI939" s="99" t="str">
        <f>IF(ISERROR(MATCH(SamplingData[[#This Row],[Batch by Type (p)]],SelectedPrecincts[Batch Name], 0)), "", INDEX(SelectedPrecincts[Draw], MATCH(SamplingData[[#This Row],[Batch by Type (p)]],SelectedPrecincts[Batch Name], 0)))</f>
        <v/>
      </c>
      <c r="AJ939" s="100">
        <f>IF(COUNTIF(SelectedPrecincts[Batch Name],SamplingData[[#This Row],[Batch by Type (p)]]) &lt;&gt; 0, COUNTIF(SelectedPrecincts[Batch Name],SamplingData[[#This Row],[Batch by Type (p)]]), 0)</f>
        <v>0</v>
      </c>
    </row>
    <row r="940" spans="1:36" ht="15" customHeight="1" x14ac:dyDescent="0.35">
      <c r="A940" s="97" t="s">
        <v>1153</v>
      </c>
      <c r="B940" s="97">
        <v>325</v>
      </c>
      <c r="C940" s="97">
        <v>257</v>
      </c>
      <c r="D940" s="92"/>
      <c r="E940" s="92"/>
      <c r="F940" s="92"/>
      <c r="G940" s="96"/>
      <c r="H940" s="96"/>
      <c r="I940" s="92"/>
      <c r="J940" s="92"/>
      <c r="K940" s="92"/>
      <c r="L940" s="92"/>
      <c r="M940" s="92"/>
      <c r="N940" s="97">
        <v>0</v>
      </c>
      <c r="O940" s="97">
        <v>40</v>
      </c>
      <c r="P940" s="98">
        <f>SUM(SamplingData[[#This Row],[Winning Candidate]:[Under Votes]])</f>
        <v>622</v>
      </c>
      <c r="Q940" s="99">
        <f>IF(AND(SamplingData[[#This Row],[Total]]&lt;&gt; 0, NOT(ISBLANK(SamplingData[[#This Row],[Losing Candidate]]))),(SamplingData[[#This Row],[Total]]+SamplingData[[#This Row],[Winning Candidate]]-SamplingData[[#This Row],[Losing Candidate]])/(SamplingData[[#Totals],[Winning Candidate]]-SamplingData[[#Totals],[Losing Candidate]]), 0)</f>
        <v>2.9281955525377695E-2</v>
      </c>
      <c r="R940" s="99">
        <f>IF(AND(SamplingData[[#This Row],[Total]]&lt;&gt; 0, NOT(ISBLANK(SamplingData[[#This Row],[Candidate 3]]))),(SamplingData[[#This Row],[Total]]+SamplingData[[#This Row],[Winning Candidate]]-SamplingData[[#This Row],[Candidate 3]])/(SamplingData[[#Totals],[Winning Candidate]]-SamplingData[[#Totals],[Candidate 3]]), 0)</f>
        <v>0</v>
      </c>
      <c r="S940" s="99">
        <f>IF(AND(SamplingData[[#This Row],[Total]]&lt;&gt; 0, NOT(ISBLANK(SamplingData[[#This Row],[Candidate 4]]))),(SamplingData[[#This Row],[Total]]+SamplingData[[#This Row],[Winning Candidate]]-SamplingData[[#This Row],[Candidate 4]])/(SamplingData[[#Totals],[Winning Candidate]]-SamplingData[[#Totals],[Candidate 4]]), 0)</f>
        <v>0</v>
      </c>
      <c r="T940" s="99">
        <f>IF(AND(SamplingData[[#This Row],[Total]]&lt;&gt; 0, NOT(ISBLANK(SamplingData[[#This Row],[Candidate 5]]))),(SamplingData[[#This Row],[Total]]+SamplingData[[#This Row],[Winning Candidate]]-SamplingData[[#This Row],[Candidate 5]])/(SamplingData[[#Totals],[Winning Candidate]]-SamplingData[[#Totals],[Candidate 5]]), 0)</f>
        <v>0</v>
      </c>
      <c r="U940" s="99">
        <f>IF(AND(SamplingData[[#This Row],[Total]]&lt;&gt; 0, NOT(ISBLANK(SamplingData[[#This Row],[Candidate 6]]))),(SamplingData[[#This Row],[Total]]+SamplingData[[#This Row],[Losing Candidate]]-SamplingData[[#This Row],[Candidate 6]])/(SamplingData[[#Totals],[Winning Candidate]]-SamplingData[[#Totals],[Candidate 6]]), 0)</f>
        <v>0</v>
      </c>
      <c r="V940" s="99">
        <f>IF(AND(SamplingData[[#This Row],[Total]]&lt;&gt; 0, NOT(ISBLANK(SamplingData[[#This Row],[Candidate 7]]))),(SamplingData[[#This Row],[Total]]+SamplingData[[#This Row],[Winning Candidate]]-SamplingData[[#This Row],[Candidate 7]])/(SamplingData[[#Totals],[Winning Candidate]]-SamplingData[[#Totals],[Candidate 7]]), 0)</f>
        <v>0</v>
      </c>
      <c r="W940" s="99">
        <f>IF(AND(SamplingData[[#This Row],[Total]]&lt;&gt; 0, NOT(ISBLANK(SamplingData[[#This Row],[Candidate 8]]))),(SamplingData[[#This Row],[Total]]+SamplingData[[#This Row],[Winning Candidate]]-SamplingData[[#This Row],[Candidate 8]])/(SamplingData[[#Totals],[Winning Candidate]]-SamplingData[[#Totals],[Candidate 8]]), 0)</f>
        <v>0</v>
      </c>
      <c r="X9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0" s="99">
        <f>MAX(SamplingData[[#This Row],[Error Bound (up) - Max. possible relative overstatement - Losing Candidate]:[Error Bound (up) - Max. possible relative overstatement - Candidate 12]])</f>
        <v>2.9281955525377695E-2</v>
      </c>
      <c r="AC940" s="99">
        <f>IF(SamplingData[[#This Row],[Max Error Bound (up)]] = 0,0,SamplingData[[#This Row],[Max Error Bound (up)]]/SamplingData[[#Totals],[Max Error Bound (up)]])</f>
        <v>1.5677827462100577E-3</v>
      </c>
      <c r="AD940" s="103">
        <f>SUM($AC$5:AC940)</f>
        <v>0.8476251499618308</v>
      </c>
      <c r="AE940" s="99" t="str" cm="1">
        <f t="array" ref="AE940">IF(SamplingData[[#This Row],[up/U Selection Probability]] = 0, "Zero", TEXT(SamplingData[[#This Row],[Lower Range]], REPT("0",LEN('General Info'!$B$42))) &amp; " - " &amp; TEXT(SamplingData[[#This Row],[Upper Range]], REPT("0",LEN('General Info'!$B$42))))</f>
        <v>846057 - 847624</v>
      </c>
      <c r="AF940" s="99">
        <f>SamplingData[[#This Row],[Upper Range]]-SamplingData[[#This Row],[Span]]</f>
        <v>846057.3672156207</v>
      </c>
      <c r="AG940" s="99">
        <f>IF(ISNUMBER('General Info'!$B$42), ((SamplingData[[#This Row],[up/U Selection Probability]]) * 'General Info'!$B$44) - 1, 0)</f>
        <v>1566.7827462100577</v>
      </c>
      <c r="AH940" s="99">
        <f>IF(ISNUMBER('General Info'!$B$42), (SamplingData[[#This Row],[Running (cumulative) sum]] * ('General Info'!$B$42 -'General Info'!$B$43 + 1)) + 'General Info'!$B$43 - 1, 0)</f>
        <v>847624.14996183082</v>
      </c>
      <c r="AI940" s="99" t="str">
        <f>IF(ISERROR(MATCH(SamplingData[[#This Row],[Batch by Type (p)]],SelectedPrecincts[Batch Name], 0)), "", INDEX(SelectedPrecincts[Draw], MATCH(SamplingData[[#This Row],[Batch by Type (p)]],SelectedPrecincts[Batch Name], 0)))</f>
        <v/>
      </c>
      <c r="AJ940" s="100">
        <f>IF(COUNTIF(SelectedPrecincts[Batch Name],SamplingData[[#This Row],[Batch by Type (p)]]) &lt;&gt; 0, COUNTIF(SelectedPrecincts[Batch Name],SamplingData[[#This Row],[Batch by Type (p)]]), 0)</f>
        <v>0</v>
      </c>
    </row>
    <row r="941" spans="1:36" ht="15" customHeight="1" x14ac:dyDescent="0.35">
      <c r="A941" s="97" t="s">
        <v>1154</v>
      </c>
      <c r="B941" s="97">
        <v>58</v>
      </c>
      <c r="C941" s="97">
        <v>362</v>
      </c>
      <c r="D941" s="92"/>
      <c r="E941" s="92"/>
      <c r="F941" s="92"/>
      <c r="G941" s="96"/>
      <c r="H941" s="96"/>
      <c r="I941" s="92"/>
      <c r="J941" s="92"/>
      <c r="K941" s="92"/>
      <c r="L941" s="92"/>
      <c r="M941" s="92"/>
      <c r="N941" s="97">
        <v>0</v>
      </c>
      <c r="O941" s="97">
        <v>37</v>
      </c>
      <c r="P941" s="98">
        <f>SUM(SamplingData[[#This Row],[Winning Candidate]:[Under Votes]])</f>
        <v>457</v>
      </c>
      <c r="Q941" s="99">
        <f>IF(AND(SamplingData[[#This Row],[Total]]&lt;&gt; 0, NOT(ISBLANK(SamplingData[[#This Row],[Losing Candidate]]))),(SamplingData[[#This Row],[Total]]+SamplingData[[#This Row],[Winning Candidate]]-SamplingData[[#This Row],[Losing Candidate]])/(SamplingData[[#Totals],[Winning Candidate]]-SamplingData[[#Totals],[Losing Candidate]]), 0)</f>
        <v>6.4929553556272281E-3</v>
      </c>
      <c r="R941" s="99">
        <f>IF(AND(SamplingData[[#This Row],[Total]]&lt;&gt; 0, NOT(ISBLANK(SamplingData[[#This Row],[Candidate 3]]))),(SamplingData[[#This Row],[Total]]+SamplingData[[#This Row],[Winning Candidate]]-SamplingData[[#This Row],[Candidate 3]])/(SamplingData[[#Totals],[Winning Candidate]]-SamplingData[[#Totals],[Candidate 3]]), 0)</f>
        <v>0</v>
      </c>
      <c r="S941" s="99">
        <f>IF(AND(SamplingData[[#This Row],[Total]]&lt;&gt; 0, NOT(ISBLANK(SamplingData[[#This Row],[Candidate 4]]))),(SamplingData[[#This Row],[Total]]+SamplingData[[#This Row],[Winning Candidate]]-SamplingData[[#This Row],[Candidate 4]])/(SamplingData[[#Totals],[Winning Candidate]]-SamplingData[[#Totals],[Candidate 4]]), 0)</f>
        <v>0</v>
      </c>
      <c r="T941" s="99">
        <f>IF(AND(SamplingData[[#This Row],[Total]]&lt;&gt; 0, NOT(ISBLANK(SamplingData[[#This Row],[Candidate 5]]))),(SamplingData[[#This Row],[Total]]+SamplingData[[#This Row],[Winning Candidate]]-SamplingData[[#This Row],[Candidate 5]])/(SamplingData[[#Totals],[Winning Candidate]]-SamplingData[[#Totals],[Candidate 5]]), 0)</f>
        <v>0</v>
      </c>
      <c r="U941" s="99">
        <f>IF(AND(SamplingData[[#This Row],[Total]]&lt;&gt; 0, NOT(ISBLANK(SamplingData[[#This Row],[Candidate 6]]))),(SamplingData[[#This Row],[Total]]+SamplingData[[#This Row],[Losing Candidate]]-SamplingData[[#This Row],[Candidate 6]])/(SamplingData[[#Totals],[Winning Candidate]]-SamplingData[[#Totals],[Candidate 6]]), 0)</f>
        <v>0</v>
      </c>
      <c r="V941" s="99">
        <f>IF(AND(SamplingData[[#This Row],[Total]]&lt;&gt; 0, NOT(ISBLANK(SamplingData[[#This Row],[Candidate 7]]))),(SamplingData[[#This Row],[Total]]+SamplingData[[#This Row],[Winning Candidate]]-SamplingData[[#This Row],[Candidate 7]])/(SamplingData[[#Totals],[Winning Candidate]]-SamplingData[[#Totals],[Candidate 7]]), 0)</f>
        <v>0</v>
      </c>
      <c r="W941" s="99">
        <f>IF(AND(SamplingData[[#This Row],[Total]]&lt;&gt; 0, NOT(ISBLANK(SamplingData[[#This Row],[Candidate 8]]))),(SamplingData[[#This Row],[Total]]+SamplingData[[#This Row],[Winning Candidate]]-SamplingData[[#This Row],[Candidate 8]])/(SamplingData[[#Totals],[Winning Candidate]]-SamplingData[[#Totals],[Candidate 8]]), 0)</f>
        <v>0</v>
      </c>
      <c r="X9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1" s="99">
        <f>MAX(SamplingData[[#This Row],[Error Bound (up) - Max. possible relative overstatement - Losing Candidate]:[Error Bound (up) - Max. possible relative overstatement - Candidate 12]])</f>
        <v>6.4929553556272281E-3</v>
      </c>
      <c r="AC941" s="99">
        <f>IF(SamplingData[[#This Row],[Max Error Bound (up)]] = 0,0,SamplingData[[#This Row],[Max Error Bound (up)]]/SamplingData[[#Totals],[Max Error Bound (up)]])</f>
        <v>3.4763878285527366E-4</v>
      </c>
      <c r="AD941" s="103">
        <f>SUM($AC$5:AC941)</f>
        <v>0.84797278874468607</v>
      </c>
      <c r="AE941" s="99" t="str" cm="1">
        <f t="array" ref="AE941">IF(SamplingData[[#This Row],[up/U Selection Probability]] = 0, "Zero", TEXT(SamplingData[[#This Row],[Lower Range]], REPT("0",LEN('General Info'!$B$42))) &amp; " - " &amp; TEXT(SamplingData[[#This Row],[Upper Range]], REPT("0",LEN('General Info'!$B$42))))</f>
        <v>847625 - 847972</v>
      </c>
      <c r="AF941" s="99">
        <f>SamplingData[[#This Row],[Upper Range]]-SamplingData[[#This Row],[Span]]</f>
        <v>847625.14996183082</v>
      </c>
      <c r="AG941" s="99">
        <f>IF(ISNUMBER('General Info'!$B$42), ((SamplingData[[#This Row],[up/U Selection Probability]]) * 'General Info'!$B$44) - 1, 0)</f>
        <v>346.63878285527363</v>
      </c>
      <c r="AH941" s="99">
        <f>IF(ISNUMBER('General Info'!$B$42), (SamplingData[[#This Row],[Running (cumulative) sum]] * ('General Info'!$B$42 -'General Info'!$B$43 + 1)) + 'General Info'!$B$43 - 1, 0)</f>
        <v>847971.78874468605</v>
      </c>
      <c r="AI941" s="99" t="str">
        <f>IF(ISERROR(MATCH(SamplingData[[#This Row],[Batch by Type (p)]],SelectedPrecincts[Batch Name], 0)), "", INDEX(SelectedPrecincts[Draw], MATCH(SamplingData[[#This Row],[Batch by Type (p)]],SelectedPrecincts[Batch Name], 0)))</f>
        <v/>
      </c>
      <c r="AJ941" s="100">
        <f>IF(COUNTIF(SelectedPrecincts[Batch Name],SamplingData[[#This Row],[Batch by Type (p)]]) &lt;&gt; 0, COUNTIF(SelectedPrecincts[Batch Name],SamplingData[[#This Row],[Batch by Type (p)]]), 0)</f>
        <v>0</v>
      </c>
    </row>
    <row r="942" spans="1:36" ht="15" customHeight="1" x14ac:dyDescent="0.35">
      <c r="A942" s="97" t="s">
        <v>1155</v>
      </c>
      <c r="B942" s="97">
        <v>116</v>
      </c>
      <c r="C942" s="97">
        <v>527</v>
      </c>
      <c r="D942" s="92"/>
      <c r="E942" s="92"/>
      <c r="F942" s="92"/>
      <c r="G942" s="96"/>
      <c r="H942" s="96"/>
      <c r="I942" s="92"/>
      <c r="J942" s="92"/>
      <c r="K942" s="92"/>
      <c r="L942" s="92"/>
      <c r="M942" s="92"/>
      <c r="N942" s="97">
        <v>0</v>
      </c>
      <c r="O942" s="97">
        <v>51</v>
      </c>
      <c r="P942" s="98">
        <f>SUM(SamplingData[[#This Row],[Winning Candidate]:[Under Votes]])</f>
        <v>694</v>
      </c>
      <c r="Q942" s="99">
        <f>IF(AND(SamplingData[[#This Row],[Total]]&lt;&gt; 0, NOT(ISBLANK(SamplingData[[#This Row],[Losing Candidate]]))),(SamplingData[[#This Row],[Total]]+SamplingData[[#This Row],[Winning Candidate]]-SamplingData[[#This Row],[Losing Candidate]])/(SamplingData[[#Totals],[Winning Candidate]]-SamplingData[[#Totals],[Losing Candidate]]), 0)</f>
        <v>1.2009845527075199E-2</v>
      </c>
      <c r="R942" s="99">
        <f>IF(AND(SamplingData[[#This Row],[Total]]&lt;&gt; 0, NOT(ISBLANK(SamplingData[[#This Row],[Candidate 3]]))),(SamplingData[[#This Row],[Total]]+SamplingData[[#This Row],[Winning Candidate]]-SamplingData[[#This Row],[Candidate 3]])/(SamplingData[[#Totals],[Winning Candidate]]-SamplingData[[#Totals],[Candidate 3]]), 0)</f>
        <v>0</v>
      </c>
      <c r="S942" s="99">
        <f>IF(AND(SamplingData[[#This Row],[Total]]&lt;&gt; 0, NOT(ISBLANK(SamplingData[[#This Row],[Candidate 4]]))),(SamplingData[[#This Row],[Total]]+SamplingData[[#This Row],[Winning Candidate]]-SamplingData[[#This Row],[Candidate 4]])/(SamplingData[[#Totals],[Winning Candidate]]-SamplingData[[#Totals],[Candidate 4]]), 0)</f>
        <v>0</v>
      </c>
      <c r="T942" s="99">
        <f>IF(AND(SamplingData[[#This Row],[Total]]&lt;&gt; 0, NOT(ISBLANK(SamplingData[[#This Row],[Candidate 5]]))),(SamplingData[[#This Row],[Total]]+SamplingData[[#This Row],[Winning Candidate]]-SamplingData[[#This Row],[Candidate 5]])/(SamplingData[[#Totals],[Winning Candidate]]-SamplingData[[#Totals],[Candidate 5]]), 0)</f>
        <v>0</v>
      </c>
      <c r="U942" s="99">
        <f>IF(AND(SamplingData[[#This Row],[Total]]&lt;&gt; 0, NOT(ISBLANK(SamplingData[[#This Row],[Candidate 6]]))),(SamplingData[[#This Row],[Total]]+SamplingData[[#This Row],[Losing Candidate]]-SamplingData[[#This Row],[Candidate 6]])/(SamplingData[[#Totals],[Winning Candidate]]-SamplingData[[#Totals],[Candidate 6]]), 0)</f>
        <v>0</v>
      </c>
      <c r="V942" s="99">
        <f>IF(AND(SamplingData[[#This Row],[Total]]&lt;&gt; 0, NOT(ISBLANK(SamplingData[[#This Row],[Candidate 7]]))),(SamplingData[[#This Row],[Total]]+SamplingData[[#This Row],[Winning Candidate]]-SamplingData[[#This Row],[Candidate 7]])/(SamplingData[[#Totals],[Winning Candidate]]-SamplingData[[#Totals],[Candidate 7]]), 0)</f>
        <v>0</v>
      </c>
      <c r="W942" s="99">
        <f>IF(AND(SamplingData[[#This Row],[Total]]&lt;&gt; 0, NOT(ISBLANK(SamplingData[[#This Row],[Candidate 8]]))),(SamplingData[[#This Row],[Total]]+SamplingData[[#This Row],[Winning Candidate]]-SamplingData[[#This Row],[Candidate 8]])/(SamplingData[[#Totals],[Winning Candidate]]-SamplingData[[#Totals],[Candidate 8]]), 0)</f>
        <v>0</v>
      </c>
      <c r="X9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2" s="99">
        <f>MAX(SamplingData[[#This Row],[Error Bound (up) - Max. possible relative overstatement - Losing Candidate]:[Error Bound (up) - Max. possible relative overstatement - Candidate 12]])</f>
        <v>1.2009845527075199E-2</v>
      </c>
      <c r="AC942" s="99">
        <f>IF(SamplingData[[#This Row],[Max Error Bound (up)]] = 0,0,SamplingData[[#This Row],[Max Error Bound (up)]]/SamplingData[[#Totals],[Max Error Bound (up)]])</f>
        <v>6.430181408368787E-4</v>
      </c>
      <c r="AD942" s="103">
        <f>SUM($AC$5:AC942)</f>
        <v>0.84861580688552296</v>
      </c>
      <c r="AE942" s="99" t="str" cm="1">
        <f t="array" ref="AE942">IF(SamplingData[[#This Row],[up/U Selection Probability]] = 0, "Zero", TEXT(SamplingData[[#This Row],[Lower Range]], REPT("0",LEN('General Info'!$B$42))) &amp; " - " &amp; TEXT(SamplingData[[#This Row],[Upper Range]], REPT("0",LEN('General Info'!$B$42))))</f>
        <v>847973 - 848615</v>
      </c>
      <c r="AF942" s="99">
        <f>SamplingData[[#This Row],[Upper Range]]-SamplingData[[#This Row],[Span]]</f>
        <v>847972.78874468605</v>
      </c>
      <c r="AG942" s="99">
        <f>IF(ISNUMBER('General Info'!$B$42), ((SamplingData[[#This Row],[up/U Selection Probability]]) * 'General Info'!$B$44) - 1, 0)</f>
        <v>642.01814083687873</v>
      </c>
      <c r="AH942" s="99">
        <f>IF(ISNUMBER('General Info'!$B$42), (SamplingData[[#This Row],[Running (cumulative) sum]] * ('General Info'!$B$42 -'General Info'!$B$43 + 1)) + 'General Info'!$B$43 - 1, 0)</f>
        <v>848614.80688552291</v>
      </c>
      <c r="AI942" s="99" t="str">
        <f>IF(ISERROR(MATCH(SamplingData[[#This Row],[Batch by Type (p)]],SelectedPrecincts[Batch Name], 0)), "", INDEX(SelectedPrecincts[Draw], MATCH(SamplingData[[#This Row],[Batch by Type (p)]],SelectedPrecincts[Batch Name], 0)))</f>
        <v/>
      </c>
      <c r="AJ942" s="100">
        <f>IF(COUNTIF(SelectedPrecincts[Batch Name],SamplingData[[#This Row],[Batch by Type (p)]]) &lt;&gt; 0, COUNTIF(SelectedPrecincts[Batch Name],SamplingData[[#This Row],[Batch by Type (p)]]), 0)</f>
        <v>0</v>
      </c>
    </row>
    <row r="943" spans="1:36" ht="15" customHeight="1" x14ac:dyDescent="0.35">
      <c r="A943" s="97" t="s">
        <v>1156</v>
      </c>
      <c r="B943" s="97">
        <v>231</v>
      </c>
      <c r="C943" s="97">
        <v>187</v>
      </c>
      <c r="D943" s="92"/>
      <c r="E943" s="92"/>
      <c r="F943" s="92"/>
      <c r="G943" s="96"/>
      <c r="H943" s="96"/>
      <c r="I943" s="92"/>
      <c r="J943" s="92"/>
      <c r="K943" s="92"/>
      <c r="L943" s="92"/>
      <c r="M943" s="92"/>
      <c r="N943" s="97">
        <v>0</v>
      </c>
      <c r="O943" s="97">
        <v>37</v>
      </c>
      <c r="P943" s="98">
        <f>SUM(SamplingData[[#This Row],[Winning Candidate]:[Under Votes]])</f>
        <v>455</v>
      </c>
      <c r="Q943" s="99">
        <f>IF(AND(SamplingData[[#This Row],[Total]]&lt;&gt; 0, NOT(ISBLANK(SamplingData[[#This Row],[Losing Candidate]]))),(SamplingData[[#This Row],[Total]]+SamplingData[[#This Row],[Winning Candidate]]-SamplingData[[#This Row],[Losing Candidate]])/(SamplingData[[#Totals],[Winning Candidate]]-SamplingData[[#Totals],[Losing Candidate]]), 0)</f>
        <v>2.1176370735019521E-2</v>
      </c>
      <c r="R943" s="99">
        <f>IF(AND(SamplingData[[#This Row],[Total]]&lt;&gt; 0, NOT(ISBLANK(SamplingData[[#This Row],[Candidate 3]]))),(SamplingData[[#This Row],[Total]]+SamplingData[[#This Row],[Winning Candidate]]-SamplingData[[#This Row],[Candidate 3]])/(SamplingData[[#Totals],[Winning Candidate]]-SamplingData[[#Totals],[Candidate 3]]), 0)</f>
        <v>0</v>
      </c>
      <c r="S943" s="99">
        <f>IF(AND(SamplingData[[#This Row],[Total]]&lt;&gt; 0, NOT(ISBLANK(SamplingData[[#This Row],[Candidate 4]]))),(SamplingData[[#This Row],[Total]]+SamplingData[[#This Row],[Winning Candidate]]-SamplingData[[#This Row],[Candidate 4]])/(SamplingData[[#Totals],[Winning Candidate]]-SamplingData[[#Totals],[Candidate 4]]), 0)</f>
        <v>0</v>
      </c>
      <c r="T943" s="99">
        <f>IF(AND(SamplingData[[#This Row],[Total]]&lt;&gt; 0, NOT(ISBLANK(SamplingData[[#This Row],[Candidate 5]]))),(SamplingData[[#This Row],[Total]]+SamplingData[[#This Row],[Winning Candidate]]-SamplingData[[#This Row],[Candidate 5]])/(SamplingData[[#Totals],[Winning Candidate]]-SamplingData[[#Totals],[Candidate 5]]), 0)</f>
        <v>0</v>
      </c>
      <c r="U943" s="99">
        <f>IF(AND(SamplingData[[#This Row],[Total]]&lt;&gt; 0, NOT(ISBLANK(SamplingData[[#This Row],[Candidate 6]]))),(SamplingData[[#This Row],[Total]]+SamplingData[[#This Row],[Losing Candidate]]-SamplingData[[#This Row],[Candidate 6]])/(SamplingData[[#Totals],[Winning Candidate]]-SamplingData[[#Totals],[Candidate 6]]), 0)</f>
        <v>0</v>
      </c>
      <c r="V943" s="99">
        <f>IF(AND(SamplingData[[#This Row],[Total]]&lt;&gt; 0, NOT(ISBLANK(SamplingData[[#This Row],[Candidate 7]]))),(SamplingData[[#This Row],[Total]]+SamplingData[[#This Row],[Winning Candidate]]-SamplingData[[#This Row],[Candidate 7]])/(SamplingData[[#Totals],[Winning Candidate]]-SamplingData[[#Totals],[Candidate 7]]), 0)</f>
        <v>0</v>
      </c>
      <c r="W943" s="99">
        <f>IF(AND(SamplingData[[#This Row],[Total]]&lt;&gt; 0, NOT(ISBLANK(SamplingData[[#This Row],[Candidate 8]]))),(SamplingData[[#This Row],[Total]]+SamplingData[[#This Row],[Winning Candidate]]-SamplingData[[#This Row],[Candidate 8]])/(SamplingData[[#Totals],[Winning Candidate]]-SamplingData[[#Totals],[Candidate 8]]), 0)</f>
        <v>0</v>
      </c>
      <c r="X9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3" s="99">
        <f>MAX(SamplingData[[#This Row],[Error Bound (up) - Max. possible relative overstatement - Losing Candidate]:[Error Bound (up) - Max. possible relative overstatement - Candidate 12]])</f>
        <v>2.1176370735019521E-2</v>
      </c>
      <c r="AC943" s="99">
        <f>IF(SamplingData[[#This Row],[Max Error Bound (up)]] = 0,0,SamplingData[[#This Row],[Max Error Bound (up)]]/SamplingData[[#Totals],[Max Error Bound (up)]])</f>
        <v>1.1338023048678533E-3</v>
      </c>
      <c r="AD943" s="103">
        <f>SUM($AC$5:AC943)</f>
        <v>0.84974960919039078</v>
      </c>
      <c r="AE943" s="99" t="str" cm="1">
        <f t="array" ref="AE943">IF(SamplingData[[#This Row],[up/U Selection Probability]] = 0, "Zero", TEXT(SamplingData[[#This Row],[Lower Range]], REPT("0",LEN('General Info'!$B$42))) &amp; " - " &amp; TEXT(SamplingData[[#This Row],[Upper Range]], REPT("0",LEN('General Info'!$B$42))))</f>
        <v>848616 - 849749</v>
      </c>
      <c r="AF943" s="99">
        <f>SamplingData[[#This Row],[Upper Range]]-SamplingData[[#This Row],[Span]]</f>
        <v>848615.80688552291</v>
      </c>
      <c r="AG943" s="99">
        <f>IF(ISNUMBER('General Info'!$B$42), ((SamplingData[[#This Row],[up/U Selection Probability]]) * 'General Info'!$B$44) - 1, 0)</f>
        <v>1132.8023048678533</v>
      </c>
      <c r="AH943" s="99">
        <f>IF(ISNUMBER('General Info'!$B$42), (SamplingData[[#This Row],[Running (cumulative) sum]] * ('General Info'!$B$42 -'General Info'!$B$43 + 1)) + 'General Info'!$B$43 - 1, 0)</f>
        <v>849748.60919039079</v>
      </c>
      <c r="AI943" s="99" t="str">
        <f>IF(ISERROR(MATCH(SamplingData[[#This Row],[Batch by Type (p)]],SelectedPrecincts[Batch Name], 0)), "", INDEX(SelectedPrecincts[Draw], MATCH(SamplingData[[#This Row],[Batch by Type (p)]],SelectedPrecincts[Batch Name], 0)))</f>
        <v/>
      </c>
      <c r="AJ943" s="100">
        <f>IF(COUNTIF(SelectedPrecincts[Batch Name],SamplingData[[#This Row],[Batch by Type (p)]]) &lt;&gt; 0, COUNTIF(SelectedPrecincts[Batch Name],SamplingData[[#This Row],[Batch by Type (p)]]), 0)</f>
        <v>0</v>
      </c>
    </row>
    <row r="944" spans="1:36" ht="15" customHeight="1" x14ac:dyDescent="0.35">
      <c r="A944" s="97" t="s">
        <v>1157</v>
      </c>
      <c r="B944" s="97">
        <v>278</v>
      </c>
      <c r="C944" s="97">
        <v>70</v>
      </c>
      <c r="D944" s="92"/>
      <c r="E944" s="92"/>
      <c r="F944" s="92"/>
      <c r="G944" s="96"/>
      <c r="H944" s="96"/>
      <c r="I944" s="92"/>
      <c r="J944" s="92"/>
      <c r="K944" s="92"/>
      <c r="L944" s="92"/>
      <c r="M944" s="92"/>
      <c r="N944" s="97">
        <v>0</v>
      </c>
      <c r="O944" s="97">
        <v>22</v>
      </c>
      <c r="P944" s="98">
        <f>SUM(SamplingData[[#This Row],[Winning Candidate]:[Under Votes]])</f>
        <v>370</v>
      </c>
      <c r="Q944" s="99">
        <f>IF(AND(SamplingData[[#This Row],[Total]]&lt;&gt; 0, NOT(ISBLANK(SamplingData[[#This Row],[Losing Candidate]]))),(SamplingData[[#This Row],[Total]]+SamplingData[[#This Row],[Winning Candidate]]-SamplingData[[#This Row],[Losing Candidate]])/(SamplingData[[#Totals],[Winning Candidate]]-SamplingData[[#Totals],[Losing Candidate]]), 0)</f>
        <v>2.4528942454591751E-2</v>
      </c>
      <c r="R944" s="99">
        <f>IF(AND(SamplingData[[#This Row],[Total]]&lt;&gt; 0, NOT(ISBLANK(SamplingData[[#This Row],[Candidate 3]]))),(SamplingData[[#This Row],[Total]]+SamplingData[[#This Row],[Winning Candidate]]-SamplingData[[#This Row],[Candidate 3]])/(SamplingData[[#Totals],[Winning Candidate]]-SamplingData[[#Totals],[Candidate 3]]), 0)</f>
        <v>0</v>
      </c>
      <c r="S944" s="99">
        <f>IF(AND(SamplingData[[#This Row],[Total]]&lt;&gt; 0, NOT(ISBLANK(SamplingData[[#This Row],[Candidate 4]]))),(SamplingData[[#This Row],[Total]]+SamplingData[[#This Row],[Winning Candidate]]-SamplingData[[#This Row],[Candidate 4]])/(SamplingData[[#Totals],[Winning Candidate]]-SamplingData[[#Totals],[Candidate 4]]), 0)</f>
        <v>0</v>
      </c>
      <c r="T944" s="99">
        <f>IF(AND(SamplingData[[#This Row],[Total]]&lt;&gt; 0, NOT(ISBLANK(SamplingData[[#This Row],[Candidate 5]]))),(SamplingData[[#This Row],[Total]]+SamplingData[[#This Row],[Winning Candidate]]-SamplingData[[#This Row],[Candidate 5]])/(SamplingData[[#Totals],[Winning Candidate]]-SamplingData[[#Totals],[Candidate 5]]), 0)</f>
        <v>0</v>
      </c>
      <c r="U944" s="99">
        <f>IF(AND(SamplingData[[#This Row],[Total]]&lt;&gt; 0, NOT(ISBLANK(SamplingData[[#This Row],[Candidate 6]]))),(SamplingData[[#This Row],[Total]]+SamplingData[[#This Row],[Losing Candidate]]-SamplingData[[#This Row],[Candidate 6]])/(SamplingData[[#Totals],[Winning Candidate]]-SamplingData[[#Totals],[Candidate 6]]), 0)</f>
        <v>0</v>
      </c>
      <c r="V944" s="99">
        <f>IF(AND(SamplingData[[#This Row],[Total]]&lt;&gt; 0, NOT(ISBLANK(SamplingData[[#This Row],[Candidate 7]]))),(SamplingData[[#This Row],[Total]]+SamplingData[[#This Row],[Winning Candidate]]-SamplingData[[#This Row],[Candidate 7]])/(SamplingData[[#Totals],[Winning Candidate]]-SamplingData[[#Totals],[Candidate 7]]), 0)</f>
        <v>0</v>
      </c>
      <c r="W944" s="99">
        <f>IF(AND(SamplingData[[#This Row],[Total]]&lt;&gt; 0, NOT(ISBLANK(SamplingData[[#This Row],[Candidate 8]]))),(SamplingData[[#This Row],[Total]]+SamplingData[[#This Row],[Winning Candidate]]-SamplingData[[#This Row],[Candidate 8]])/(SamplingData[[#Totals],[Winning Candidate]]-SamplingData[[#Totals],[Candidate 8]]), 0)</f>
        <v>0</v>
      </c>
      <c r="X9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4" s="99">
        <f>MAX(SamplingData[[#This Row],[Error Bound (up) - Max. possible relative overstatement - Losing Candidate]:[Error Bound (up) - Max. possible relative overstatement - Candidate 12]])</f>
        <v>2.4528942454591751E-2</v>
      </c>
      <c r="AC944" s="99">
        <f>IF(SamplingData[[#This Row],[Max Error Bound (up)]] = 0,0,SamplingData[[#This Row],[Max Error Bound (up)]]/SamplingData[[#Totals],[Max Error Bound (up)]])</f>
        <v>1.3133020685643672E-3</v>
      </c>
      <c r="AD944" s="103">
        <f>SUM($AC$5:AC944)</f>
        <v>0.85106291125895517</v>
      </c>
      <c r="AE944" s="99" t="str" cm="1">
        <f t="array" ref="AE944">IF(SamplingData[[#This Row],[up/U Selection Probability]] = 0, "Zero", TEXT(SamplingData[[#This Row],[Lower Range]], REPT("0",LEN('General Info'!$B$42))) &amp; " - " &amp; TEXT(SamplingData[[#This Row],[Upper Range]], REPT("0",LEN('General Info'!$B$42))))</f>
        <v>849750 - 851062</v>
      </c>
      <c r="AF944" s="99">
        <f>SamplingData[[#This Row],[Upper Range]]-SamplingData[[#This Row],[Span]]</f>
        <v>849749.60919039079</v>
      </c>
      <c r="AG944" s="99">
        <f>IF(ISNUMBER('General Info'!$B$42), ((SamplingData[[#This Row],[up/U Selection Probability]]) * 'General Info'!$B$44) - 1, 0)</f>
        <v>1312.3020685643671</v>
      </c>
      <c r="AH944" s="99">
        <f>IF(ISNUMBER('General Info'!$B$42), (SamplingData[[#This Row],[Running (cumulative) sum]] * ('General Info'!$B$42 -'General Info'!$B$43 + 1)) + 'General Info'!$B$43 - 1, 0)</f>
        <v>851061.91125895514</v>
      </c>
      <c r="AI944" s="99">
        <f>IF(ISERROR(MATCH(SamplingData[[#This Row],[Batch by Type (p)]],SelectedPrecincts[Batch Name], 0)), "", INDEX(SelectedPrecincts[Draw], MATCH(SamplingData[[#This Row],[Batch by Type (p)]],SelectedPrecincts[Batch Name], 0)))</f>
        <v>26</v>
      </c>
      <c r="AJ944" s="100">
        <f>IF(COUNTIF(SelectedPrecincts[Batch Name],SamplingData[[#This Row],[Batch by Type (p)]]) &lt;&gt; 0, COUNTIF(SelectedPrecincts[Batch Name],SamplingData[[#This Row],[Batch by Type (p)]]), 0)</f>
        <v>1</v>
      </c>
    </row>
    <row r="945" spans="1:36" ht="15" customHeight="1" x14ac:dyDescent="0.35">
      <c r="A945" s="97" t="s">
        <v>1158</v>
      </c>
      <c r="B945" s="97">
        <v>215</v>
      </c>
      <c r="C945" s="97">
        <v>319</v>
      </c>
      <c r="D945" s="92"/>
      <c r="E945" s="92"/>
      <c r="F945" s="92"/>
      <c r="G945" s="96"/>
      <c r="H945" s="96"/>
      <c r="I945" s="92"/>
      <c r="J945" s="92"/>
      <c r="K945" s="92"/>
      <c r="L945" s="92"/>
      <c r="M945" s="92"/>
      <c r="N945" s="97">
        <v>0</v>
      </c>
      <c r="O945" s="97">
        <v>33</v>
      </c>
      <c r="P945" s="98">
        <f>SUM(SamplingData[[#This Row],[Winning Candidate]:[Under Votes]])</f>
        <v>567</v>
      </c>
      <c r="Q945" s="99">
        <f>IF(AND(SamplingData[[#This Row],[Total]]&lt;&gt; 0, NOT(ISBLANK(SamplingData[[#This Row],[Losing Candidate]]))),(SamplingData[[#This Row],[Total]]+SamplingData[[#This Row],[Winning Candidate]]-SamplingData[[#This Row],[Losing Candidate]])/(SamplingData[[#Totals],[Winning Candidate]]-SamplingData[[#Totals],[Losing Candidate]]), 0)</f>
        <v>1.9648616533695467E-2</v>
      </c>
      <c r="R945" s="99">
        <f>IF(AND(SamplingData[[#This Row],[Total]]&lt;&gt; 0, NOT(ISBLANK(SamplingData[[#This Row],[Candidate 3]]))),(SamplingData[[#This Row],[Total]]+SamplingData[[#This Row],[Winning Candidate]]-SamplingData[[#This Row],[Candidate 3]])/(SamplingData[[#Totals],[Winning Candidate]]-SamplingData[[#Totals],[Candidate 3]]), 0)</f>
        <v>0</v>
      </c>
      <c r="S945" s="99">
        <f>IF(AND(SamplingData[[#This Row],[Total]]&lt;&gt; 0, NOT(ISBLANK(SamplingData[[#This Row],[Candidate 4]]))),(SamplingData[[#This Row],[Total]]+SamplingData[[#This Row],[Winning Candidate]]-SamplingData[[#This Row],[Candidate 4]])/(SamplingData[[#Totals],[Winning Candidate]]-SamplingData[[#Totals],[Candidate 4]]), 0)</f>
        <v>0</v>
      </c>
      <c r="T945" s="99">
        <f>IF(AND(SamplingData[[#This Row],[Total]]&lt;&gt; 0, NOT(ISBLANK(SamplingData[[#This Row],[Candidate 5]]))),(SamplingData[[#This Row],[Total]]+SamplingData[[#This Row],[Winning Candidate]]-SamplingData[[#This Row],[Candidate 5]])/(SamplingData[[#Totals],[Winning Candidate]]-SamplingData[[#Totals],[Candidate 5]]), 0)</f>
        <v>0</v>
      </c>
      <c r="U945" s="99">
        <f>IF(AND(SamplingData[[#This Row],[Total]]&lt;&gt; 0, NOT(ISBLANK(SamplingData[[#This Row],[Candidate 6]]))),(SamplingData[[#This Row],[Total]]+SamplingData[[#This Row],[Losing Candidate]]-SamplingData[[#This Row],[Candidate 6]])/(SamplingData[[#Totals],[Winning Candidate]]-SamplingData[[#Totals],[Candidate 6]]), 0)</f>
        <v>0</v>
      </c>
      <c r="V945" s="99">
        <f>IF(AND(SamplingData[[#This Row],[Total]]&lt;&gt; 0, NOT(ISBLANK(SamplingData[[#This Row],[Candidate 7]]))),(SamplingData[[#This Row],[Total]]+SamplingData[[#This Row],[Winning Candidate]]-SamplingData[[#This Row],[Candidate 7]])/(SamplingData[[#Totals],[Winning Candidate]]-SamplingData[[#Totals],[Candidate 7]]), 0)</f>
        <v>0</v>
      </c>
      <c r="W945" s="99">
        <f>IF(AND(SamplingData[[#This Row],[Total]]&lt;&gt; 0, NOT(ISBLANK(SamplingData[[#This Row],[Candidate 8]]))),(SamplingData[[#This Row],[Total]]+SamplingData[[#This Row],[Winning Candidate]]-SamplingData[[#This Row],[Candidate 8]])/(SamplingData[[#Totals],[Winning Candidate]]-SamplingData[[#Totals],[Candidate 8]]), 0)</f>
        <v>0</v>
      </c>
      <c r="X9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5" s="99">
        <f>MAX(SamplingData[[#This Row],[Error Bound (up) - Max. possible relative overstatement - Losing Candidate]:[Error Bound (up) - Max. possible relative overstatement - Candidate 12]])</f>
        <v>1.9648616533695467E-2</v>
      </c>
      <c r="AC945" s="99">
        <f>IF(SamplingData[[#This Row],[Max Error Bound (up)]] = 0,0,SamplingData[[#This Row],[Max Error Bound (up)]]/SamplingData[[#Totals],[Max Error Bound (up)]])</f>
        <v>1.0520049441960241E-3</v>
      </c>
      <c r="AD945" s="103">
        <f>SUM($AC$5:AC945)</f>
        <v>0.85211491620315116</v>
      </c>
      <c r="AE945" s="99" t="str" cm="1">
        <f t="array" ref="AE945">IF(SamplingData[[#This Row],[up/U Selection Probability]] = 0, "Zero", TEXT(SamplingData[[#This Row],[Lower Range]], REPT("0",LEN('General Info'!$B$42))) &amp; " - " &amp; TEXT(SamplingData[[#This Row],[Upper Range]], REPT("0",LEN('General Info'!$B$42))))</f>
        <v>851063 - 852114</v>
      </c>
      <c r="AF945" s="99">
        <f>SamplingData[[#This Row],[Upper Range]]-SamplingData[[#This Row],[Span]]</f>
        <v>851062.91125895514</v>
      </c>
      <c r="AG945" s="99">
        <f>IF(ISNUMBER('General Info'!$B$42), ((SamplingData[[#This Row],[up/U Selection Probability]]) * 'General Info'!$B$44) - 1, 0)</f>
        <v>1051.0049441960241</v>
      </c>
      <c r="AH945" s="99">
        <f>IF(ISNUMBER('General Info'!$B$42), (SamplingData[[#This Row],[Running (cumulative) sum]] * ('General Info'!$B$42 -'General Info'!$B$43 + 1)) + 'General Info'!$B$43 - 1, 0)</f>
        <v>852113.91620315111</v>
      </c>
      <c r="AI945" s="99" t="str">
        <f>IF(ISERROR(MATCH(SamplingData[[#This Row],[Batch by Type (p)]],SelectedPrecincts[Batch Name], 0)), "", INDEX(SelectedPrecincts[Draw], MATCH(SamplingData[[#This Row],[Batch by Type (p)]],SelectedPrecincts[Batch Name], 0)))</f>
        <v/>
      </c>
      <c r="AJ945" s="100">
        <f>IF(COUNTIF(SelectedPrecincts[Batch Name],SamplingData[[#This Row],[Batch by Type (p)]]) &lt;&gt; 0, COUNTIF(SelectedPrecincts[Batch Name],SamplingData[[#This Row],[Batch by Type (p)]]), 0)</f>
        <v>0</v>
      </c>
    </row>
    <row r="946" spans="1:36" ht="15" customHeight="1" x14ac:dyDescent="0.35">
      <c r="A946" s="97" t="s">
        <v>1159</v>
      </c>
      <c r="B946" s="97">
        <v>96</v>
      </c>
      <c r="C946" s="97">
        <v>100</v>
      </c>
      <c r="D946" s="92"/>
      <c r="E946" s="92"/>
      <c r="F946" s="92"/>
      <c r="G946" s="96"/>
      <c r="H946" s="96"/>
      <c r="I946" s="92"/>
      <c r="J946" s="92"/>
      <c r="K946" s="92"/>
      <c r="L946" s="92"/>
      <c r="M946" s="92"/>
      <c r="N946" s="97">
        <v>0</v>
      </c>
      <c r="O946" s="97">
        <v>20</v>
      </c>
      <c r="P946" s="98">
        <f>SUM(SamplingData[[#This Row],[Winning Candidate]:[Under Votes]])</f>
        <v>216</v>
      </c>
      <c r="Q946" s="99">
        <f>IF(AND(SamplingData[[#This Row],[Total]]&lt;&gt; 0, NOT(ISBLANK(SamplingData[[#This Row],[Losing Candidate]]))),(SamplingData[[#This Row],[Total]]+SamplingData[[#This Row],[Winning Candidate]]-SamplingData[[#This Row],[Losing Candidate]])/(SamplingData[[#Totals],[Winning Candidate]]-SamplingData[[#Totals],[Losing Candidate]]), 0)</f>
        <v>8.9967747411305379E-3</v>
      </c>
      <c r="R946" s="99">
        <f>IF(AND(SamplingData[[#This Row],[Total]]&lt;&gt; 0, NOT(ISBLANK(SamplingData[[#This Row],[Candidate 3]]))),(SamplingData[[#This Row],[Total]]+SamplingData[[#This Row],[Winning Candidate]]-SamplingData[[#This Row],[Candidate 3]])/(SamplingData[[#Totals],[Winning Candidate]]-SamplingData[[#Totals],[Candidate 3]]), 0)</f>
        <v>0</v>
      </c>
      <c r="S946" s="99">
        <f>IF(AND(SamplingData[[#This Row],[Total]]&lt;&gt; 0, NOT(ISBLANK(SamplingData[[#This Row],[Candidate 4]]))),(SamplingData[[#This Row],[Total]]+SamplingData[[#This Row],[Winning Candidate]]-SamplingData[[#This Row],[Candidate 4]])/(SamplingData[[#Totals],[Winning Candidate]]-SamplingData[[#Totals],[Candidate 4]]), 0)</f>
        <v>0</v>
      </c>
      <c r="T946" s="99">
        <f>IF(AND(SamplingData[[#This Row],[Total]]&lt;&gt; 0, NOT(ISBLANK(SamplingData[[#This Row],[Candidate 5]]))),(SamplingData[[#This Row],[Total]]+SamplingData[[#This Row],[Winning Candidate]]-SamplingData[[#This Row],[Candidate 5]])/(SamplingData[[#Totals],[Winning Candidate]]-SamplingData[[#Totals],[Candidate 5]]), 0)</f>
        <v>0</v>
      </c>
      <c r="U946" s="99">
        <f>IF(AND(SamplingData[[#This Row],[Total]]&lt;&gt; 0, NOT(ISBLANK(SamplingData[[#This Row],[Candidate 6]]))),(SamplingData[[#This Row],[Total]]+SamplingData[[#This Row],[Losing Candidate]]-SamplingData[[#This Row],[Candidate 6]])/(SamplingData[[#Totals],[Winning Candidate]]-SamplingData[[#Totals],[Candidate 6]]), 0)</f>
        <v>0</v>
      </c>
      <c r="V946" s="99">
        <f>IF(AND(SamplingData[[#This Row],[Total]]&lt;&gt; 0, NOT(ISBLANK(SamplingData[[#This Row],[Candidate 7]]))),(SamplingData[[#This Row],[Total]]+SamplingData[[#This Row],[Winning Candidate]]-SamplingData[[#This Row],[Candidate 7]])/(SamplingData[[#Totals],[Winning Candidate]]-SamplingData[[#Totals],[Candidate 7]]), 0)</f>
        <v>0</v>
      </c>
      <c r="W946" s="99">
        <f>IF(AND(SamplingData[[#This Row],[Total]]&lt;&gt; 0, NOT(ISBLANK(SamplingData[[#This Row],[Candidate 8]]))),(SamplingData[[#This Row],[Total]]+SamplingData[[#This Row],[Winning Candidate]]-SamplingData[[#This Row],[Candidate 8]])/(SamplingData[[#Totals],[Winning Candidate]]-SamplingData[[#Totals],[Candidate 8]]), 0)</f>
        <v>0</v>
      </c>
      <c r="X9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6" s="99">
        <f>MAX(SamplingData[[#This Row],[Error Bound (up) - Max. possible relative overstatement - Losing Candidate]:[Error Bound (up) - Max. possible relative overstatement - Candidate 12]])</f>
        <v>8.9967747411305379E-3</v>
      </c>
      <c r="AC946" s="99">
        <f>IF(SamplingData[[#This Row],[Max Error Bound (up)]] = 0,0,SamplingData[[#This Row],[Max Error Bound (up)]]/SamplingData[[#Totals],[Max Error Bound (up)]])</f>
        <v>4.816955684007713E-4</v>
      </c>
      <c r="AD946" s="103">
        <f>SUM($AC$5:AC946)</f>
        <v>0.85259661177155188</v>
      </c>
      <c r="AE946" s="99" t="str" cm="1">
        <f t="array" ref="AE946">IF(SamplingData[[#This Row],[up/U Selection Probability]] = 0, "Zero", TEXT(SamplingData[[#This Row],[Lower Range]], REPT("0",LEN('General Info'!$B$42))) &amp; " - " &amp; TEXT(SamplingData[[#This Row],[Upper Range]], REPT("0",LEN('General Info'!$B$42))))</f>
        <v>852115 - 852596</v>
      </c>
      <c r="AF946" s="99">
        <f>SamplingData[[#This Row],[Upper Range]]-SamplingData[[#This Row],[Span]]</f>
        <v>852114.91620315111</v>
      </c>
      <c r="AG946" s="99">
        <f>IF(ISNUMBER('General Info'!$B$42), ((SamplingData[[#This Row],[up/U Selection Probability]]) * 'General Info'!$B$44) - 1, 0)</f>
        <v>480.69556840077132</v>
      </c>
      <c r="AH946" s="99">
        <f>IF(ISNUMBER('General Info'!$B$42), (SamplingData[[#This Row],[Running (cumulative) sum]] * ('General Info'!$B$42 -'General Info'!$B$43 + 1)) + 'General Info'!$B$43 - 1, 0)</f>
        <v>852595.61177155189</v>
      </c>
      <c r="AI946" s="99" t="str">
        <f>IF(ISERROR(MATCH(SamplingData[[#This Row],[Batch by Type (p)]],SelectedPrecincts[Batch Name], 0)), "", INDEX(SelectedPrecincts[Draw], MATCH(SamplingData[[#This Row],[Batch by Type (p)]],SelectedPrecincts[Batch Name], 0)))</f>
        <v/>
      </c>
      <c r="AJ946" s="100">
        <f>IF(COUNTIF(SelectedPrecincts[Batch Name],SamplingData[[#This Row],[Batch by Type (p)]]) &lt;&gt; 0, COUNTIF(SelectedPrecincts[Batch Name],SamplingData[[#This Row],[Batch by Type (p)]]), 0)</f>
        <v>0</v>
      </c>
    </row>
    <row r="947" spans="1:36" ht="15" customHeight="1" x14ac:dyDescent="0.35">
      <c r="A947" s="97" t="s">
        <v>1160</v>
      </c>
      <c r="B947" s="97">
        <v>247</v>
      </c>
      <c r="C947" s="97">
        <v>256</v>
      </c>
      <c r="D947" s="92"/>
      <c r="E947" s="92"/>
      <c r="F947" s="92"/>
      <c r="G947" s="96"/>
      <c r="H947" s="96"/>
      <c r="I947" s="92"/>
      <c r="J947" s="92"/>
      <c r="K947" s="92"/>
      <c r="L947" s="92"/>
      <c r="M947" s="92"/>
      <c r="N947" s="97">
        <v>0</v>
      </c>
      <c r="O947" s="97">
        <v>32</v>
      </c>
      <c r="P947" s="98">
        <f>SUM(SamplingData[[#This Row],[Winning Candidate]:[Under Votes]])</f>
        <v>535</v>
      </c>
      <c r="Q947" s="99">
        <f>IF(AND(SamplingData[[#This Row],[Total]]&lt;&gt; 0, NOT(ISBLANK(SamplingData[[#This Row],[Losing Candidate]]))),(SamplingData[[#This Row],[Total]]+SamplingData[[#This Row],[Winning Candidate]]-SamplingData[[#This Row],[Losing Candidate]])/(SamplingData[[#Totals],[Winning Candidate]]-SamplingData[[#Totals],[Losing Candidate]]), 0)</f>
        <v>2.2322186386012563E-2</v>
      </c>
      <c r="R947" s="99">
        <f>IF(AND(SamplingData[[#This Row],[Total]]&lt;&gt; 0, NOT(ISBLANK(SamplingData[[#This Row],[Candidate 3]]))),(SamplingData[[#This Row],[Total]]+SamplingData[[#This Row],[Winning Candidate]]-SamplingData[[#This Row],[Candidate 3]])/(SamplingData[[#Totals],[Winning Candidate]]-SamplingData[[#Totals],[Candidate 3]]), 0)</f>
        <v>0</v>
      </c>
      <c r="S947" s="99">
        <f>IF(AND(SamplingData[[#This Row],[Total]]&lt;&gt; 0, NOT(ISBLANK(SamplingData[[#This Row],[Candidate 4]]))),(SamplingData[[#This Row],[Total]]+SamplingData[[#This Row],[Winning Candidate]]-SamplingData[[#This Row],[Candidate 4]])/(SamplingData[[#Totals],[Winning Candidate]]-SamplingData[[#Totals],[Candidate 4]]), 0)</f>
        <v>0</v>
      </c>
      <c r="T947" s="99">
        <f>IF(AND(SamplingData[[#This Row],[Total]]&lt;&gt; 0, NOT(ISBLANK(SamplingData[[#This Row],[Candidate 5]]))),(SamplingData[[#This Row],[Total]]+SamplingData[[#This Row],[Winning Candidate]]-SamplingData[[#This Row],[Candidate 5]])/(SamplingData[[#Totals],[Winning Candidate]]-SamplingData[[#Totals],[Candidate 5]]), 0)</f>
        <v>0</v>
      </c>
      <c r="U947" s="99">
        <f>IF(AND(SamplingData[[#This Row],[Total]]&lt;&gt; 0, NOT(ISBLANK(SamplingData[[#This Row],[Candidate 6]]))),(SamplingData[[#This Row],[Total]]+SamplingData[[#This Row],[Losing Candidate]]-SamplingData[[#This Row],[Candidate 6]])/(SamplingData[[#Totals],[Winning Candidate]]-SamplingData[[#Totals],[Candidate 6]]), 0)</f>
        <v>0</v>
      </c>
      <c r="V947" s="99">
        <f>IF(AND(SamplingData[[#This Row],[Total]]&lt;&gt; 0, NOT(ISBLANK(SamplingData[[#This Row],[Candidate 7]]))),(SamplingData[[#This Row],[Total]]+SamplingData[[#This Row],[Winning Candidate]]-SamplingData[[#This Row],[Candidate 7]])/(SamplingData[[#Totals],[Winning Candidate]]-SamplingData[[#Totals],[Candidate 7]]), 0)</f>
        <v>0</v>
      </c>
      <c r="W947" s="99">
        <f>IF(AND(SamplingData[[#This Row],[Total]]&lt;&gt; 0, NOT(ISBLANK(SamplingData[[#This Row],[Candidate 8]]))),(SamplingData[[#This Row],[Total]]+SamplingData[[#This Row],[Winning Candidate]]-SamplingData[[#This Row],[Candidate 8]])/(SamplingData[[#Totals],[Winning Candidate]]-SamplingData[[#Totals],[Candidate 8]]), 0)</f>
        <v>0</v>
      </c>
      <c r="X9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7" s="99">
        <f>MAX(SamplingData[[#This Row],[Error Bound (up) - Max. possible relative overstatement - Losing Candidate]:[Error Bound (up) - Max. possible relative overstatement - Candidate 12]])</f>
        <v>2.2322186386012563E-2</v>
      </c>
      <c r="AC947" s="99">
        <f>IF(SamplingData[[#This Row],[Max Error Bound (up)]] = 0,0,SamplingData[[#This Row],[Max Error Bound (up)]]/SamplingData[[#Totals],[Max Error Bound (up)]])</f>
        <v>1.1951503253717251E-3</v>
      </c>
      <c r="AD947" s="103">
        <f>SUM($AC$5:AC947)</f>
        <v>0.85379176209692365</v>
      </c>
      <c r="AE947" s="99" t="str" cm="1">
        <f t="array" ref="AE947">IF(SamplingData[[#This Row],[up/U Selection Probability]] = 0, "Zero", TEXT(SamplingData[[#This Row],[Lower Range]], REPT("0",LEN('General Info'!$B$42))) &amp; " - " &amp; TEXT(SamplingData[[#This Row],[Upper Range]], REPT("0",LEN('General Info'!$B$42))))</f>
        <v>852597 - 853791</v>
      </c>
      <c r="AF947" s="99">
        <f>SamplingData[[#This Row],[Upper Range]]-SamplingData[[#This Row],[Span]]</f>
        <v>852596.61177155189</v>
      </c>
      <c r="AG947" s="99">
        <f>IF(ISNUMBER('General Info'!$B$42), ((SamplingData[[#This Row],[up/U Selection Probability]]) * 'General Info'!$B$44) - 1, 0)</f>
        <v>1194.1503253717251</v>
      </c>
      <c r="AH947" s="99">
        <f>IF(ISNUMBER('General Info'!$B$42), (SamplingData[[#This Row],[Running (cumulative) sum]] * ('General Info'!$B$42 -'General Info'!$B$43 + 1)) + 'General Info'!$B$43 - 1, 0)</f>
        <v>853790.76209692366</v>
      </c>
      <c r="AI947" s="99" t="str">
        <f>IF(ISERROR(MATCH(SamplingData[[#This Row],[Batch by Type (p)]],SelectedPrecincts[Batch Name], 0)), "", INDEX(SelectedPrecincts[Draw], MATCH(SamplingData[[#This Row],[Batch by Type (p)]],SelectedPrecincts[Batch Name], 0)))</f>
        <v/>
      </c>
      <c r="AJ947" s="100">
        <f>IF(COUNTIF(SelectedPrecincts[Batch Name],SamplingData[[#This Row],[Batch by Type (p)]]) &lt;&gt; 0, COUNTIF(SelectedPrecincts[Batch Name],SamplingData[[#This Row],[Batch by Type (p)]]), 0)</f>
        <v>0</v>
      </c>
    </row>
    <row r="948" spans="1:36" ht="15" customHeight="1" x14ac:dyDescent="0.35">
      <c r="A948" s="97" t="s">
        <v>1161</v>
      </c>
      <c r="B948" s="97">
        <v>217</v>
      </c>
      <c r="C948" s="97">
        <v>173</v>
      </c>
      <c r="D948" s="92"/>
      <c r="E948" s="92"/>
      <c r="F948" s="92"/>
      <c r="G948" s="96"/>
      <c r="H948" s="96"/>
      <c r="I948" s="92"/>
      <c r="J948" s="92"/>
      <c r="K948" s="92"/>
      <c r="L948" s="92"/>
      <c r="M948" s="92"/>
      <c r="N948" s="97">
        <v>0</v>
      </c>
      <c r="O948" s="97">
        <v>30</v>
      </c>
      <c r="P948" s="98">
        <f>SUM(SamplingData[[#This Row],[Winning Candidate]:[Under Votes]])</f>
        <v>420</v>
      </c>
      <c r="Q948" s="99">
        <f>IF(AND(SamplingData[[#This Row],[Total]]&lt;&gt; 0, NOT(ISBLANK(SamplingData[[#This Row],[Losing Candidate]]))),(SamplingData[[#This Row],[Total]]+SamplingData[[#This Row],[Winning Candidate]]-SamplingData[[#This Row],[Losing Candidate]])/(SamplingData[[#Totals],[Winning Candidate]]-SamplingData[[#Totals],[Losing Candidate]]), 0)</f>
        <v>1.9691054150398915E-2</v>
      </c>
      <c r="R948" s="99">
        <f>IF(AND(SamplingData[[#This Row],[Total]]&lt;&gt; 0, NOT(ISBLANK(SamplingData[[#This Row],[Candidate 3]]))),(SamplingData[[#This Row],[Total]]+SamplingData[[#This Row],[Winning Candidate]]-SamplingData[[#This Row],[Candidate 3]])/(SamplingData[[#Totals],[Winning Candidate]]-SamplingData[[#Totals],[Candidate 3]]), 0)</f>
        <v>0</v>
      </c>
      <c r="S948" s="99">
        <f>IF(AND(SamplingData[[#This Row],[Total]]&lt;&gt; 0, NOT(ISBLANK(SamplingData[[#This Row],[Candidate 4]]))),(SamplingData[[#This Row],[Total]]+SamplingData[[#This Row],[Winning Candidate]]-SamplingData[[#This Row],[Candidate 4]])/(SamplingData[[#Totals],[Winning Candidate]]-SamplingData[[#Totals],[Candidate 4]]), 0)</f>
        <v>0</v>
      </c>
      <c r="T948" s="99">
        <f>IF(AND(SamplingData[[#This Row],[Total]]&lt;&gt; 0, NOT(ISBLANK(SamplingData[[#This Row],[Candidate 5]]))),(SamplingData[[#This Row],[Total]]+SamplingData[[#This Row],[Winning Candidate]]-SamplingData[[#This Row],[Candidate 5]])/(SamplingData[[#Totals],[Winning Candidate]]-SamplingData[[#Totals],[Candidate 5]]), 0)</f>
        <v>0</v>
      </c>
      <c r="U948" s="99">
        <f>IF(AND(SamplingData[[#This Row],[Total]]&lt;&gt; 0, NOT(ISBLANK(SamplingData[[#This Row],[Candidate 6]]))),(SamplingData[[#This Row],[Total]]+SamplingData[[#This Row],[Losing Candidate]]-SamplingData[[#This Row],[Candidate 6]])/(SamplingData[[#Totals],[Winning Candidate]]-SamplingData[[#Totals],[Candidate 6]]), 0)</f>
        <v>0</v>
      </c>
      <c r="V948" s="99">
        <f>IF(AND(SamplingData[[#This Row],[Total]]&lt;&gt; 0, NOT(ISBLANK(SamplingData[[#This Row],[Candidate 7]]))),(SamplingData[[#This Row],[Total]]+SamplingData[[#This Row],[Winning Candidate]]-SamplingData[[#This Row],[Candidate 7]])/(SamplingData[[#Totals],[Winning Candidate]]-SamplingData[[#Totals],[Candidate 7]]), 0)</f>
        <v>0</v>
      </c>
      <c r="W948" s="99">
        <f>IF(AND(SamplingData[[#This Row],[Total]]&lt;&gt; 0, NOT(ISBLANK(SamplingData[[#This Row],[Candidate 8]]))),(SamplingData[[#This Row],[Total]]+SamplingData[[#This Row],[Winning Candidate]]-SamplingData[[#This Row],[Candidate 8]])/(SamplingData[[#Totals],[Winning Candidate]]-SamplingData[[#Totals],[Candidate 8]]), 0)</f>
        <v>0</v>
      </c>
      <c r="X9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8" s="99">
        <f>MAX(SamplingData[[#This Row],[Error Bound (up) - Max. possible relative overstatement - Losing Candidate]:[Error Bound (up) - Max. possible relative overstatement - Candidate 12]])</f>
        <v>1.9691054150398915E-2</v>
      </c>
      <c r="AC948" s="99">
        <f>IF(SamplingData[[#This Row],[Max Error Bound (up)]] = 0,0,SamplingData[[#This Row],[Max Error Bound (up)]]/SamplingData[[#Totals],[Max Error Bound (up)]])</f>
        <v>1.0542770931035751E-3</v>
      </c>
      <c r="AD948" s="103">
        <f>SUM($AC$5:AC948)</f>
        <v>0.85484603919002722</v>
      </c>
      <c r="AE948" s="99" t="str" cm="1">
        <f t="array" ref="AE948">IF(SamplingData[[#This Row],[up/U Selection Probability]] = 0, "Zero", TEXT(SamplingData[[#This Row],[Lower Range]], REPT("0",LEN('General Info'!$B$42))) &amp; " - " &amp; TEXT(SamplingData[[#This Row],[Upper Range]], REPT("0",LEN('General Info'!$B$42))))</f>
        <v>853792 - 854845</v>
      </c>
      <c r="AF948" s="99">
        <f>SamplingData[[#This Row],[Upper Range]]-SamplingData[[#This Row],[Span]]</f>
        <v>853791.76209692354</v>
      </c>
      <c r="AG948" s="99">
        <f>IF(ISNUMBER('General Info'!$B$42), ((SamplingData[[#This Row],[up/U Selection Probability]]) * 'General Info'!$B$44) - 1, 0)</f>
        <v>1053.2770931035752</v>
      </c>
      <c r="AH948" s="99">
        <f>IF(ISNUMBER('General Info'!$B$42), (SamplingData[[#This Row],[Running (cumulative) sum]] * ('General Info'!$B$42 -'General Info'!$B$43 + 1)) + 'General Info'!$B$43 - 1, 0)</f>
        <v>854845.03919002716</v>
      </c>
      <c r="AI948" s="99" t="str">
        <f>IF(ISERROR(MATCH(SamplingData[[#This Row],[Batch by Type (p)]],SelectedPrecincts[Batch Name], 0)), "", INDEX(SelectedPrecincts[Draw], MATCH(SamplingData[[#This Row],[Batch by Type (p)]],SelectedPrecincts[Batch Name], 0)))</f>
        <v/>
      </c>
      <c r="AJ948" s="100">
        <f>IF(COUNTIF(SelectedPrecincts[Batch Name],SamplingData[[#This Row],[Batch by Type (p)]]) &lt;&gt; 0, COUNTIF(SelectedPrecincts[Batch Name],SamplingData[[#This Row],[Batch by Type (p)]]), 0)</f>
        <v>0</v>
      </c>
    </row>
    <row r="949" spans="1:36" ht="15" customHeight="1" x14ac:dyDescent="0.35">
      <c r="A949" s="97" t="s">
        <v>1162</v>
      </c>
      <c r="B949" s="97">
        <v>97</v>
      </c>
      <c r="C949" s="97">
        <v>190</v>
      </c>
      <c r="D949" s="92"/>
      <c r="E949" s="92"/>
      <c r="F949" s="92"/>
      <c r="G949" s="96"/>
      <c r="H949" s="96"/>
      <c r="I949" s="92"/>
      <c r="J949" s="92"/>
      <c r="K949" s="92"/>
      <c r="L949" s="92"/>
      <c r="M949" s="92"/>
      <c r="N949" s="97">
        <v>0</v>
      </c>
      <c r="O949" s="97">
        <v>20</v>
      </c>
      <c r="P949" s="98">
        <f>SUM(SamplingData[[#This Row],[Winning Candidate]:[Under Votes]])</f>
        <v>307</v>
      </c>
      <c r="Q949" s="99">
        <f>IF(AND(SamplingData[[#This Row],[Total]]&lt;&gt; 0, NOT(ISBLANK(SamplingData[[#This Row],[Losing Candidate]]))),(SamplingData[[#This Row],[Total]]+SamplingData[[#This Row],[Winning Candidate]]-SamplingData[[#This Row],[Losing Candidate]])/(SamplingData[[#Totals],[Winning Candidate]]-SamplingData[[#Totals],[Losing Candidate]]), 0)</f>
        <v>9.0816499745374306E-3</v>
      </c>
      <c r="R949" s="99">
        <f>IF(AND(SamplingData[[#This Row],[Total]]&lt;&gt; 0, NOT(ISBLANK(SamplingData[[#This Row],[Candidate 3]]))),(SamplingData[[#This Row],[Total]]+SamplingData[[#This Row],[Winning Candidate]]-SamplingData[[#This Row],[Candidate 3]])/(SamplingData[[#Totals],[Winning Candidate]]-SamplingData[[#Totals],[Candidate 3]]), 0)</f>
        <v>0</v>
      </c>
      <c r="S949" s="99">
        <f>IF(AND(SamplingData[[#This Row],[Total]]&lt;&gt; 0, NOT(ISBLANK(SamplingData[[#This Row],[Candidate 4]]))),(SamplingData[[#This Row],[Total]]+SamplingData[[#This Row],[Winning Candidate]]-SamplingData[[#This Row],[Candidate 4]])/(SamplingData[[#Totals],[Winning Candidate]]-SamplingData[[#Totals],[Candidate 4]]), 0)</f>
        <v>0</v>
      </c>
      <c r="T949" s="99">
        <f>IF(AND(SamplingData[[#This Row],[Total]]&lt;&gt; 0, NOT(ISBLANK(SamplingData[[#This Row],[Candidate 5]]))),(SamplingData[[#This Row],[Total]]+SamplingData[[#This Row],[Winning Candidate]]-SamplingData[[#This Row],[Candidate 5]])/(SamplingData[[#Totals],[Winning Candidate]]-SamplingData[[#Totals],[Candidate 5]]), 0)</f>
        <v>0</v>
      </c>
      <c r="U949" s="99">
        <f>IF(AND(SamplingData[[#This Row],[Total]]&lt;&gt; 0, NOT(ISBLANK(SamplingData[[#This Row],[Candidate 6]]))),(SamplingData[[#This Row],[Total]]+SamplingData[[#This Row],[Losing Candidate]]-SamplingData[[#This Row],[Candidate 6]])/(SamplingData[[#Totals],[Winning Candidate]]-SamplingData[[#Totals],[Candidate 6]]), 0)</f>
        <v>0</v>
      </c>
      <c r="V949" s="99">
        <f>IF(AND(SamplingData[[#This Row],[Total]]&lt;&gt; 0, NOT(ISBLANK(SamplingData[[#This Row],[Candidate 7]]))),(SamplingData[[#This Row],[Total]]+SamplingData[[#This Row],[Winning Candidate]]-SamplingData[[#This Row],[Candidate 7]])/(SamplingData[[#Totals],[Winning Candidate]]-SamplingData[[#Totals],[Candidate 7]]), 0)</f>
        <v>0</v>
      </c>
      <c r="W949" s="99">
        <f>IF(AND(SamplingData[[#This Row],[Total]]&lt;&gt; 0, NOT(ISBLANK(SamplingData[[#This Row],[Candidate 8]]))),(SamplingData[[#This Row],[Total]]+SamplingData[[#This Row],[Winning Candidate]]-SamplingData[[#This Row],[Candidate 8]])/(SamplingData[[#Totals],[Winning Candidate]]-SamplingData[[#Totals],[Candidate 8]]), 0)</f>
        <v>0</v>
      </c>
      <c r="X9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9" s="99">
        <f>MAX(SamplingData[[#This Row],[Error Bound (up) - Max. possible relative overstatement - Losing Candidate]:[Error Bound (up) - Max. possible relative overstatement - Candidate 12]])</f>
        <v>9.0816499745374306E-3</v>
      </c>
      <c r="AC949" s="99">
        <f>IF(SamplingData[[#This Row],[Max Error Bound (up)]] = 0,0,SamplingData[[#This Row],[Max Error Bound (up)]]/SamplingData[[#Totals],[Max Error Bound (up)]])</f>
        <v>4.8623986621587297E-4</v>
      </c>
      <c r="AD949" s="103">
        <f>SUM($AC$5:AC949)</f>
        <v>0.85533227905624309</v>
      </c>
      <c r="AE949" s="99" t="str" cm="1">
        <f t="array" ref="AE949">IF(SamplingData[[#This Row],[up/U Selection Probability]] = 0, "Zero", TEXT(SamplingData[[#This Row],[Lower Range]], REPT("0",LEN('General Info'!$B$42))) &amp; " - " &amp; TEXT(SamplingData[[#This Row],[Upper Range]], REPT("0",LEN('General Info'!$B$42))))</f>
        <v>854846 - 855331</v>
      </c>
      <c r="AF949" s="99">
        <f>SamplingData[[#This Row],[Upper Range]]-SamplingData[[#This Row],[Span]]</f>
        <v>854846.03919002728</v>
      </c>
      <c r="AG949" s="99">
        <f>IF(ISNUMBER('General Info'!$B$42), ((SamplingData[[#This Row],[up/U Selection Probability]]) * 'General Info'!$B$44) - 1, 0)</f>
        <v>485.23986621587295</v>
      </c>
      <c r="AH949" s="99">
        <f>IF(ISNUMBER('General Info'!$B$42), (SamplingData[[#This Row],[Running (cumulative) sum]] * ('General Info'!$B$42 -'General Info'!$B$43 + 1)) + 'General Info'!$B$43 - 1, 0)</f>
        <v>855331.27905624313</v>
      </c>
      <c r="AI949" s="99" t="str">
        <f>IF(ISERROR(MATCH(SamplingData[[#This Row],[Batch by Type (p)]],SelectedPrecincts[Batch Name], 0)), "", INDEX(SelectedPrecincts[Draw], MATCH(SamplingData[[#This Row],[Batch by Type (p)]],SelectedPrecincts[Batch Name], 0)))</f>
        <v/>
      </c>
      <c r="AJ949" s="100">
        <f>IF(COUNTIF(SelectedPrecincts[Batch Name],SamplingData[[#This Row],[Batch by Type (p)]]) &lt;&gt; 0, COUNTIF(SelectedPrecincts[Batch Name],SamplingData[[#This Row],[Batch by Type (p)]]), 0)</f>
        <v>0</v>
      </c>
    </row>
    <row r="950" spans="1:36" ht="15" customHeight="1" x14ac:dyDescent="0.35">
      <c r="A950" s="97" t="s">
        <v>1163</v>
      </c>
      <c r="B950" s="97">
        <v>274</v>
      </c>
      <c r="C950" s="97">
        <v>348</v>
      </c>
      <c r="D950" s="92"/>
      <c r="E950" s="92"/>
      <c r="F950" s="92"/>
      <c r="G950" s="96"/>
      <c r="H950" s="96"/>
      <c r="I950" s="92"/>
      <c r="J950" s="92"/>
      <c r="K950" s="92"/>
      <c r="L950" s="92"/>
      <c r="M950" s="92"/>
      <c r="N950" s="97">
        <v>0</v>
      </c>
      <c r="O950" s="97">
        <v>45</v>
      </c>
      <c r="P950" s="98">
        <f>SUM(SamplingData[[#This Row],[Winning Candidate]:[Under Votes]])</f>
        <v>667</v>
      </c>
      <c r="Q950" s="99">
        <f>IF(AND(SamplingData[[#This Row],[Total]]&lt;&gt; 0, NOT(ISBLANK(SamplingData[[#This Row],[Losing Candidate]]))),(SamplingData[[#This Row],[Total]]+SamplingData[[#This Row],[Winning Candidate]]-SamplingData[[#This Row],[Losing Candidate]])/(SamplingData[[#Totals],[Winning Candidate]]-SamplingData[[#Totals],[Losing Candidate]]), 0)</f>
        <v>2.5165506705143441E-2</v>
      </c>
      <c r="R950" s="99">
        <f>IF(AND(SamplingData[[#This Row],[Total]]&lt;&gt; 0, NOT(ISBLANK(SamplingData[[#This Row],[Candidate 3]]))),(SamplingData[[#This Row],[Total]]+SamplingData[[#This Row],[Winning Candidate]]-SamplingData[[#This Row],[Candidate 3]])/(SamplingData[[#Totals],[Winning Candidate]]-SamplingData[[#Totals],[Candidate 3]]), 0)</f>
        <v>0</v>
      </c>
      <c r="S950" s="99">
        <f>IF(AND(SamplingData[[#This Row],[Total]]&lt;&gt; 0, NOT(ISBLANK(SamplingData[[#This Row],[Candidate 4]]))),(SamplingData[[#This Row],[Total]]+SamplingData[[#This Row],[Winning Candidate]]-SamplingData[[#This Row],[Candidate 4]])/(SamplingData[[#Totals],[Winning Candidate]]-SamplingData[[#Totals],[Candidate 4]]), 0)</f>
        <v>0</v>
      </c>
      <c r="T950" s="99">
        <f>IF(AND(SamplingData[[#This Row],[Total]]&lt;&gt; 0, NOT(ISBLANK(SamplingData[[#This Row],[Candidate 5]]))),(SamplingData[[#This Row],[Total]]+SamplingData[[#This Row],[Winning Candidate]]-SamplingData[[#This Row],[Candidate 5]])/(SamplingData[[#Totals],[Winning Candidate]]-SamplingData[[#Totals],[Candidate 5]]), 0)</f>
        <v>0</v>
      </c>
      <c r="U950" s="99">
        <f>IF(AND(SamplingData[[#This Row],[Total]]&lt;&gt; 0, NOT(ISBLANK(SamplingData[[#This Row],[Candidate 6]]))),(SamplingData[[#This Row],[Total]]+SamplingData[[#This Row],[Losing Candidate]]-SamplingData[[#This Row],[Candidate 6]])/(SamplingData[[#Totals],[Winning Candidate]]-SamplingData[[#Totals],[Candidate 6]]), 0)</f>
        <v>0</v>
      </c>
      <c r="V950" s="99">
        <f>IF(AND(SamplingData[[#This Row],[Total]]&lt;&gt; 0, NOT(ISBLANK(SamplingData[[#This Row],[Candidate 7]]))),(SamplingData[[#This Row],[Total]]+SamplingData[[#This Row],[Winning Candidate]]-SamplingData[[#This Row],[Candidate 7]])/(SamplingData[[#Totals],[Winning Candidate]]-SamplingData[[#Totals],[Candidate 7]]), 0)</f>
        <v>0</v>
      </c>
      <c r="W950" s="99">
        <f>IF(AND(SamplingData[[#This Row],[Total]]&lt;&gt; 0, NOT(ISBLANK(SamplingData[[#This Row],[Candidate 8]]))),(SamplingData[[#This Row],[Total]]+SamplingData[[#This Row],[Winning Candidate]]-SamplingData[[#This Row],[Candidate 8]])/(SamplingData[[#Totals],[Winning Candidate]]-SamplingData[[#Totals],[Candidate 8]]), 0)</f>
        <v>0</v>
      </c>
      <c r="X9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0" s="99">
        <f>MAX(SamplingData[[#This Row],[Error Bound (up) - Max. possible relative overstatement - Losing Candidate]:[Error Bound (up) - Max. possible relative overstatement - Candidate 12]])</f>
        <v>2.5165506705143441E-2</v>
      </c>
      <c r="AC950" s="99">
        <f>IF(SamplingData[[#This Row],[Max Error Bound (up)]] = 0,0,SamplingData[[#This Row],[Max Error Bound (up)]]/SamplingData[[#Totals],[Max Error Bound (up)]])</f>
        <v>1.3473843021776294E-3</v>
      </c>
      <c r="AD950" s="103">
        <f>SUM($AC$5:AC950)</f>
        <v>0.85667966335842072</v>
      </c>
      <c r="AE950" s="99" t="str" cm="1">
        <f t="array" ref="AE950">IF(SamplingData[[#This Row],[up/U Selection Probability]] = 0, "Zero", TEXT(SamplingData[[#This Row],[Lower Range]], REPT("0",LEN('General Info'!$B$42))) &amp; " - " &amp; TEXT(SamplingData[[#This Row],[Upper Range]], REPT("0",LEN('General Info'!$B$42))))</f>
        <v>855332 - 856679</v>
      </c>
      <c r="AF950" s="99">
        <f>SamplingData[[#This Row],[Upper Range]]-SamplingData[[#This Row],[Span]]</f>
        <v>855332.27905624313</v>
      </c>
      <c r="AG950" s="99">
        <f>IF(ISNUMBER('General Info'!$B$42), ((SamplingData[[#This Row],[up/U Selection Probability]]) * 'General Info'!$B$44) - 1, 0)</f>
        <v>1346.3843021776293</v>
      </c>
      <c r="AH950" s="99">
        <f>IF(ISNUMBER('General Info'!$B$42), (SamplingData[[#This Row],[Running (cumulative) sum]] * ('General Info'!$B$42 -'General Info'!$B$43 + 1)) + 'General Info'!$B$43 - 1, 0)</f>
        <v>856678.66335842072</v>
      </c>
      <c r="AI950" s="99" t="str">
        <f>IF(ISERROR(MATCH(SamplingData[[#This Row],[Batch by Type (p)]],SelectedPrecincts[Batch Name], 0)), "", INDEX(SelectedPrecincts[Draw], MATCH(SamplingData[[#This Row],[Batch by Type (p)]],SelectedPrecincts[Batch Name], 0)))</f>
        <v/>
      </c>
      <c r="AJ950" s="100">
        <f>IF(COUNTIF(SelectedPrecincts[Batch Name],SamplingData[[#This Row],[Batch by Type (p)]]) &lt;&gt; 0, COUNTIF(SelectedPrecincts[Batch Name],SamplingData[[#This Row],[Batch by Type (p)]]), 0)</f>
        <v>0</v>
      </c>
    </row>
    <row r="951" spans="1:36" ht="15" customHeight="1" x14ac:dyDescent="0.35">
      <c r="A951" s="97" t="s">
        <v>1164</v>
      </c>
      <c r="B951" s="97">
        <v>333</v>
      </c>
      <c r="C951" s="97">
        <v>161</v>
      </c>
      <c r="D951" s="92"/>
      <c r="E951" s="92"/>
      <c r="F951" s="92"/>
      <c r="G951" s="96"/>
      <c r="H951" s="96"/>
      <c r="I951" s="92"/>
      <c r="J951" s="92"/>
      <c r="K951" s="92"/>
      <c r="L951" s="92"/>
      <c r="M951" s="92"/>
      <c r="N951" s="97">
        <v>0</v>
      </c>
      <c r="O951" s="97">
        <v>39</v>
      </c>
      <c r="P951" s="98">
        <f>SUM(SamplingData[[#This Row],[Winning Candidate]:[Under Votes]])</f>
        <v>533</v>
      </c>
      <c r="Q951" s="99">
        <f>IF(AND(SamplingData[[#This Row],[Total]]&lt;&gt; 0, NOT(ISBLANK(SamplingData[[#This Row],[Losing Candidate]]))),(SamplingData[[#This Row],[Total]]+SamplingData[[#This Row],[Winning Candidate]]-SamplingData[[#This Row],[Losing Candidate]])/(SamplingData[[#Totals],[Winning Candidate]]-SamplingData[[#Totals],[Losing Candidate]]), 0)</f>
        <v>2.9918519775929384E-2</v>
      </c>
      <c r="R951" s="99">
        <f>IF(AND(SamplingData[[#This Row],[Total]]&lt;&gt; 0, NOT(ISBLANK(SamplingData[[#This Row],[Candidate 3]]))),(SamplingData[[#This Row],[Total]]+SamplingData[[#This Row],[Winning Candidate]]-SamplingData[[#This Row],[Candidate 3]])/(SamplingData[[#Totals],[Winning Candidate]]-SamplingData[[#Totals],[Candidate 3]]), 0)</f>
        <v>0</v>
      </c>
      <c r="S951" s="99">
        <f>IF(AND(SamplingData[[#This Row],[Total]]&lt;&gt; 0, NOT(ISBLANK(SamplingData[[#This Row],[Candidate 4]]))),(SamplingData[[#This Row],[Total]]+SamplingData[[#This Row],[Winning Candidate]]-SamplingData[[#This Row],[Candidate 4]])/(SamplingData[[#Totals],[Winning Candidate]]-SamplingData[[#Totals],[Candidate 4]]), 0)</f>
        <v>0</v>
      </c>
      <c r="T951" s="99">
        <f>IF(AND(SamplingData[[#This Row],[Total]]&lt;&gt; 0, NOT(ISBLANK(SamplingData[[#This Row],[Candidate 5]]))),(SamplingData[[#This Row],[Total]]+SamplingData[[#This Row],[Winning Candidate]]-SamplingData[[#This Row],[Candidate 5]])/(SamplingData[[#Totals],[Winning Candidate]]-SamplingData[[#Totals],[Candidate 5]]), 0)</f>
        <v>0</v>
      </c>
      <c r="U951" s="99">
        <f>IF(AND(SamplingData[[#This Row],[Total]]&lt;&gt; 0, NOT(ISBLANK(SamplingData[[#This Row],[Candidate 6]]))),(SamplingData[[#This Row],[Total]]+SamplingData[[#This Row],[Losing Candidate]]-SamplingData[[#This Row],[Candidate 6]])/(SamplingData[[#Totals],[Winning Candidate]]-SamplingData[[#Totals],[Candidate 6]]), 0)</f>
        <v>0</v>
      </c>
      <c r="V951" s="99">
        <f>IF(AND(SamplingData[[#This Row],[Total]]&lt;&gt; 0, NOT(ISBLANK(SamplingData[[#This Row],[Candidate 7]]))),(SamplingData[[#This Row],[Total]]+SamplingData[[#This Row],[Winning Candidate]]-SamplingData[[#This Row],[Candidate 7]])/(SamplingData[[#Totals],[Winning Candidate]]-SamplingData[[#Totals],[Candidate 7]]), 0)</f>
        <v>0</v>
      </c>
      <c r="W951" s="99">
        <f>IF(AND(SamplingData[[#This Row],[Total]]&lt;&gt; 0, NOT(ISBLANK(SamplingData[[#This Row],[Candidate 8]]))),(SamplingData[[#This Row],[Total]]+SamplingData[[#This Row],[Winning Candidate]]-SamplingData[[#This Row],[Candidate 8]])/(SamplingData[[#Totals],[Winning Candidate]]-SamplingData[[#Totals],[Candidate 8]]), 0)</f>
        <v>0</v>
      </c>
      <c r="X9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1" s="99">
        <f>MAX(SamplingData[[#This Row],[Error Bound (up) - Max. possible relative overstatement - Losing Candidate]:[Error Bound (up) - Max. possible relative overstatement - Candidate 12]])</f>
        <v>2.9918519775929384E-2</v>
      </c>
      <c r="AC951" s="99">
        <f>IF(SamplingData[[#This Row],[Max Error Bound (up)]] = 0,0,SamplingData[[#This Row],[Max Error Bound (up)]]/SamplingData[[#Totals],[Max Error Bound (up)]])</f>
        <v>1.6018649798233199E-3</v>
      </c>
      <c r="AD951" s="103">
        <f>SUM($AC$5:AC951)</f>
        <v>0.858281528338244</v>
      </c>
      <c r="AE951" s="99" t="str" cm="1">
        <f t="array" ref="AE951">IF(SamplingData[[#This Row],[up/U Selection Probability]] = 0, "Zero", TEXT(SamplingData[[#This Row],[Lower Range]], REPT("0",LEN('General Info'!$B$42))) &amp; " - " &amp; TEXT(SamplingData[[#This Row],[Upper Range]], REPT("0",LEN('General Info'!$B$42))))</f>
        <v>856680 - 858281</v>
      </c>
      <c r="AF951" s="99">
        <f>SamplingData[[#This Row],[Upper Range]]-SamplingData[[#This Row],[Span]]</f>
        <v>856679.6633584206</v>
      </c>
      <c r="AG951" s="99">
        <f>IF(ISNUMBER('General Info'!$B$42), ((SamplingData[[#This Row],[up/U Selection Probability]]) * 'General Info'!$B$44) - 1, 0)</f>
        <v>1600.8649798233198</v>
      </c>
      <c r="AH951" s="99">
        <f>IF(ISNUMBER('General Info'!$B$42), (SamplingData[[#This Row],[Running (cumulative) sum]] * ('General Info'!$B$42 -'General Info'!$B$43 + 1)) + 'General Info'!$B$43 - 1, 0)</f>
        <v>858280.52833824395</v>
      </c>
      <c r="AI951" s="99" t="str">
        <f>IF(ISERROR(MATCH(SamplingData[[#This Row],[Batch by Type (p)]],SelectedPrecincts[Batch Name], 0)), "", INDEX(SelectedPrecincts[Draw], MATCH(SamplingData[[#This Row],[Batch by Type (p)]],SelectedPrecincts[Batch Name], 0)))</f>
        <v/>
      </c>
      <c r="AJ951" s="100">
        <f>IF(COUNTIF(SelectedPrecincts[Batch Name],SamplingData[[#This Row],[Batch by Type (p)]]) &lt;&gt; 0, COUNTIF(SelectedPrecincts[Batch Name],SamplingData[[#This Row],[Batch by Type (p)]]), 0)</f>
        <v>0</v>
      </c>
    </row>
    <row r="952" spans="1:36" ht="15" customHeight="1" x14ac:dyDescent="0.35">
      <c r="A952" s="97" t="s">
        <v>1165</v>
      </c>
      <c r="B952" s="97">
        <v>199</v>
      </c>
      <c r="C952" s="97">
        <v>143</v>
      </c>
      <c r="D952" s="92"/>
      <c r="E952" s="92"/>
      <c r="F952" s="92"/>
      <c r="G952" s="96"/>
      <c r="H952" s="96"/>
      <c r="I952" s="92"/>
      <c r="J952" s="92"/>
      <c r="K952" s="92"/>
      <c r="L952" s="92"/>
      <c r="M952" s="92"/>
      <c r="N952" s="97">
        <v>0</v>
      </c>
      <c r="O952" s="97">
        <v>31</v>
      </c>
      <c r="P952" s="98">
        <f>SUM(SamplingData[[#This Row],[Winning Candidate]:[Under Votes]])</f>
        <v>373</v>
      </c>
      <c r="Q952" s="99">
        <f>IF(AND(SamplingData[[#This Row],[Total]]&lt;&gt; 0, NOT(ISBLANK(SamplingData[[#This Row],[Losing Candidate]]))),(SamplingData[[#This Row],[Total]]+SamplingData[[#This Row],[Winning Candidate]]-SamplingData[[#This Row],[Losing Candidate]])/(SamplingData[[#Totals],[Winning Candidate]]-SamplingData[[#Totals],[Losing Candidate]]), 0)</f>
        <v>1.8205737565778306E-2</v>
      </c>
      <c r="R952" s="99">
        <f>IF(AND(SamplingData[[#This Row],[Total]]&lt;&gt; 0, NOT(ISBLANK(SamplingData[[#This Row],[Candidate 3]]))),(SamplingData[[#This Row],[Total]]+SamplingData[[#This Row],[Winning Candidate]]-SamplingData[[#This Row],[Candidate 3]])/(SamplingData[[#Totals],[Winning Candidate]]-SamplingData[[#Totals],[Candidate 3]]), 0)</f>
        <v>0</v>
      </c>
      <c r="S952" s="99">
        <f>IF(AND(SamplingData[[#This Row],[Total]]&lt;&gt; 0, NOT(ISBLANK(SamplingData[[#This Row],[Candidate 4]]))),(SamplingData[[#This Row],[Total]]+SamplingData[[#This Row],[Winning Candidate]]-SamplingData[[#This Row],[Candidate 4]])/(SamplingData[[#Totals],[Winning Candidate]]-SamplingData[[#Totals],[Candidate 4]]), 0)</f>
        <v>0</v>
      </c>
      <c r="T952" s="99">
        <f>IF(AND(SamplingData[[#This Row],[Total]]&lt;&gt; 0, NOT(ISBLANK(SamplingData[[#This Row],[Candidate 5]]))),(SamplingData[[#This Row],[Total]]+SamplingData[[#This Row],[Winning Candidate]]-SamplingData[[#This Row],[Candidate 5]])/(SamplingData[[#Totals],[Winning Candidate]]-SamplingData[[#Totals],[Candidate 5]]), 0)</f>
        <v>0</v>
      </c>
      <c r="U952" s="99">
        <f>IF(AND(SamplingData[[#This Row],[Total]]&lt;&gt; 0, NOT(ISBLANK(SamplingData[[#This Row],[Candidate 6]]))),(SamplingData[[#This Row],[Total]]+SamplingData[[#This Row],[Losing Candidate]]-SamplingData[[#This Row],[Candidate 6]])/(SamplingData[[#Totals],[Winning Candidate]]-SamplingData[[#Totals],[Candidate 6]]), 0)</f>
        <v>0</v>
      </c>
      <c r="V952" s="99">
        <f>IF(AND(SamplingData[[#This Row],[Total]]&lt;&gt; 0, NOT(ISBLANK(SamplingData[[#This Row],[Candidate 7]]))),(SamplingData[[#This Row],[Total]]+SamplingData[[#This Row],[Winning Candidate]]-SamplingData[[#This Row],[Candidate 7]])/(SamplingData[[#Totals],[Winning Candidate]]-SamplingData[[#Totals],[Candidate 7]]), 0)</f>
        <v>0</v>
      </c>
      <c r="W952" s="99">
        <f>IF(AND(SamplingData[[#This Row],[Total]]&lt;&gt; 0, NOT(ISBLANK(SamplingData[[#This Row],[Candidate 8]]))),(SamplingData[[#This Row],[Total]]+SamplingData[[#This Row],[Winning Candidate]]-SamplingData[[#This Row],[Candidate 8]])/(SamplingData[[#Totals],[Winning Candidate]]-SamplingData[[#Totals],[Candidate 8]]), 0)</f>
        <v>0</v>
      </c>
      <c r="X9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2" s="99">
        <f>MAX(SamplingData[[#This Row],[Error Bound (up) - Max. possible relative overstatement - Losing Candidate]:[Error Bound (up) - Max. possible relative overstatement - Candidate 12]])</f>
        <v>1.8205737565778306E-2</v>
      </c>
      <c r="AC952" s="99">
        <f>IF(SamplingData[[#This Row],[Max Error Bound (up)]] = 0,0,SamplingData[[#This Row],[Max Error Bound (up)]]/SamplingData[[#Totals],[Max Error Bound (up)]])</f>
        <v>9.7475188133929673E-4</v>
      </c>
      <c r="AD952" s="103">
        <f>SUM($AC$5:AC952)</f>
        <v>0.85925628021958333</v>
      </c>
      <c r="AE952" s="99" t="str" cm="1">
        <f t="array" ref="AE952">IF(SamplingData[[#This Row],[up/U Selection Probability]] = 0, "Zero", TEXT(SamplingData[[#This Row],[Lower Range]], REPT("0",LEN('General Info'!$B$42))) &amp; " - " &amp; TEXT(SamplingData[[#This Row],[Upper Range]], REPT("0",LEN('General Info'!$B$42))))</f>
        <v>858282 - 859255</v>
      </c>
      <c r="AF952" s="99">
        <f>SamplingData[[#This Row],[Upper Range]]-SamplingData[[#This Row],[Span]]</f>
        <v>858281.52833824395</v>
      </c>
      <c r="AG952" s="99">
        <f>IF(ISNUMBER('General Info'!$B$42), ((SamplingData[[#This Row],[up/U Selection Probability]]) * 'General Info'!$B$44) - 1, 0)</f>
        <v>973.75188133929669</v>
      </c>
      <c r="AH952" s="99">
        <f>IF(ISNUMBER('General Info'!$B$42), (SamplingData[[#This Row],[Running (cumulative) sum]] * ('General Info'!$B$42 -'General Info'!$B$43 + 1)) + 'General Info'!$B$43 - 1, 0)</f>
        <v>859255.28021958331</v>
      </c>
      <c r="AI952" s="99" t="str">
        <f>IF(ISERROR(MATCH(SamplingData[[#This Row],[Batch by Type (p)]],SelectedPrecincts[Batch Name], 0)), "", INDEX(SelectedPrecincts[Draw], MATCH(SamplingData[[#This Row],[Batch by Type (p)]],SelectedPrecincts[Batch Name], 0)))</f>
        <v/>
      </c>
      <c r="AJ952" s="100">
        <f>IF(COUNTIF(SelectedPrecincts[Batch Name],SamplingData[[#This Row],[Batch by Type (p)]]) &lt;&gt; 0, COUNTIF(SelectedPrecincts[Batch Name],SamplingData[[#This Row],[Batch by Type (p)]]), 0)</f>
        <v>0</v>
      </c>
    </row>
    <row r="953" spans="1:36" ht="15" customHeight="1" x14ac:dyDescent="0.35">
      <c r="A953" s="97" t="s">
        <v>1166</v>
      </c>
      <c r="B953" s="97">
        <v>35</v>
      </c>
      <c r="C953" s="97">
        <v>28</v>
      </c>
      <c r="D953" s="92"/>
      <c r="E953" s="92"/>
      <c r="F953" s="92"/>
      <c r="G953" s="96"/>
      <c r="H953" s="96"/>
      <c r="I953" s="92"/>
      <c r="J953" s="92"/>
      <c r="K953" s="92"/>
      <c r="L953" s="92"/>
      <c r="M953" s="92"/>
      <c r="N953" s="97">
        <v>0</v>
      </c>
      <c r="O953" s="97">
        <v>1</v>
      </c>
      <c r="P953" s="98">
        <f>SUM(SamplingData[[#This Row],[Winning Candidate]:[Under Votes]])</f>
        <v>64</v>
      </c>
      <c r="Q953" s="99">
        <f>IF(AND(SamplingData[[#This Row],[Total]]&lt;&gt; 0, NOT(ISBLANK(SamplingData[[#This Row],[Losing Candidate]]))),(SamplingData[[#This Row],[Total]]+SamplingData[[#This Row],[Winning Candidate]]-SamplingData[[#This Row],[Losing Candidate]])/(SamplingData[[#Totals],[Winning Candidate]]-SamplingData[[#Totals],[Losing Candidate]]), 0)</f>
        <v>3.0130707859446614E-3</v>
      </c>
      <c r="R953" s="99">
        <f>IF(AND(SamplingData[[#This Row],[Total]]&lt;&gt; 0, NOT(ISBLANK(SamplingData[[#This Row],[Candidate 3]]))),(SamplingData[[#This Row],[Total]]+SamplingData[[#This Row],[Winning Candidate]]-SamplingData[[#This Row],[Candidate 3]])/(SamplingData[[#Totals],[Winning Candidate]]-SamplingData[[#Totals],[Candidate 3]]), 0)</f>
        <v>0</v>
      </c>
      <c r="S953" s="99">
        <f>IF(AND(SamplingData[[#This Row],[Total]]&lt;&gt; 0, NOT(ISBLANK(SamplingData[[#This Row],[Candidate 4]]))),(SamplingData[[#This Row],[Total]]+SamplingData[[#This Row],[Winning Candidate]]-SamplingData[[#This Row],[Candidate 4]])/(SamplingData[[#Totals],[Winning Candidate]]-SamplingData[[#Totals],[Candidate 4]]), 0)</f>
        <v>0</v>
      </c>
      <c r="T953" s="99">
        <f>IF(AND(SamplingData[[#This Row],[Total]]&lt;&gt; 0, NOT(ISBLANK(SamplingData[[#This Row],[Candidate 5]]))),(SamplingData[[#This Row],[Total]]+SamplingData[[#This Row],[Winning Candidate]]-SamplingData[[#This Row],[Candidate 5]])/(SamplingData[[#Totals],[Winning Candidate]]-SamplingData[[#Totals],[Candidate 5]]), 0)</f>
        <v>0</v>
      </c>
      <c r="U953" s="99">
        <f>IF(AND(SamplingData[[#This Row],[Total]]&lt;&gt; 0, NOT(ISBLANK(SamplingData[[#This Row],[Candidate 6]]))),(SamplingData[[#This Row],[Total]]+SamplingData[[#This Row],[Losing Candidate]]-SamplingData[[#This Row],[Candidate 6]])/(SamplingData[[#Totals],[Winning Candidate]]-SamplingData[[#Totals],[Candidate 6]]), 0)</f>
        <v>0</v>
      </c>
      <c r="V953" s="99">
        <f>IF(AND(SamplingData[[#This Row],[Total]]&lt;&gt; 0, NOT(ISBLANK(SamplingData[[#This Row],[Candidate 7]]))),(SamplingData[[#This Row],[Total]]+SamplingData[[#This Row],[Winning Candidate]]-SamplingData[[#This Row],[Candidate 7]])/(SamplingData[[#Totals],[Winning Candidate]]-SamplingData[[#Totals],[Candidate 7]]), 0)</f>
        <v>0</v>
      </c>
      <c r="W953" s="99">
        <f>IF(AND(SamplingData[[#This Row],[Total]]&lt;&gt; 0, NOT(ISBLANK(SamplingData[[#This Row],[Candidate 8]]))),(SamplingData[[#This Row],[Total]]+SamplingData[[#This Row],[Winning Candidate]]-SamplingData[[#This Row],[Candidate 8]])/(SamplingData[[#Totals],[Winning Candidate]]-SamplingData[[#Totals],[Candidate 8]]), 0)</f>
        <v>0</v>
      </c>
      <c r="X9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3" s="99">
        <f>MAX(SamplingData[[#This Row],[Error Bound (up) - Max. possible relative overstatement - Losing Candidate]:[Error Bound (up) - Max. possible relative overstatement - Candidate 12]])</f>
        <v>3.0130707859446614E-3</v>
      </c>
      <c r="AC953" s="99">
        <f>IF(SamplingData[[#This Row],[Max Error Bound (up)]] = 0,0,SamplingData[[#This Row],[Max Error Bound (up)]]/SamplingData[[#Totals],[Max Error Bound (up)]])</f>
        <v>1.6132257243610737E-4</v>
      </c>
      <c r="AD953" s="103">
        <f>SUM($AC$5:AC953)</f>
        <v>0.8594176027920194</v>
      </c>
      <c r="AE953" s="99" t="str" cm="1">
        <f t="array" ref="AE953">IF(SamplingData[[#This Row],[up/U Selection Probability]] = 0, "Zero", TEXT(SamplingData[[#This Row],[Lower Range]], REPT("0",LEN('General Info'!$B$42))) &amp; " - " &amp; TEXT(SamplingData[[#This Row],[Upper Range]], REPT("0",LEN('General Info'!$B$42))))</f>
        <v>859256 - 859417</v>
      </c>
      <c r="AF953" s="99">
        <f>SamplingData[[#This Row],[Upper Range]]-SamplingData[[#This Row],[Span]]</f>
        <v>859256.28021958331</v>
      </c>
      <c r="AG953" s="99">
        <f>IF(ISNUMBER('General Info'!$B$42), ((SamplingData[[#This Row],[up/U Selection Probability]]) * 'General Info'!$B$44) - 1, 0)</f>
        <v>160.32257243610738</v>
      </c>
      <c r="AH953" s="99">
        <f>IF(ISNUMBER('General Info'!$B$42), (SamplingData[[#This Row],[Running (cumulative) sum]] * ('General Info'!$B$42 -'General Info'!$B$43 + 1)) + 'General Info'!$B$43 - 1, 0)</f>
        <v>859416.60279201937</v>
      </c>
      <c r="AI953" s="99" t="str">
        <f>IF(ISERROR(MATCH(SamplingData[[#This Row],[Batch by Type (p)]],SelectedPrecincts[Batch Name], 0)), "", INDEX(SelectedPrecincts[Draw], MATCH(SamplingData[[#This Row],[Batch by Type (p)]],SelectedPrecincts[Batch Name], 0)))</f>
        <v/>
      </c>
      <c r="AJ953" s="100">
        <f>IF(COUNTIF(SelectedPrecincts[Batch Name],SamplingData[[#This Row],[Batch by Type (p)]]) &lt;&gt; 0, COUNTIF(SelectedPrecincts[Batch Name],SamplingData[[#This Row],[Batch by Type (p)]]), 0)</f>
        <v>0</v>
      </c>
    </row>
    <row r="954" spans="1:36" ht="15" customHeight="1" x14ac:dyDescent="0.35">
      <c r="A954" s="97" t="s">
        <v>1167</v>
      </c>
      <c r="B954" s="97">
        <v>69</v>
      </c>
      <c r="C954" s="97">
        <v>62</v>
      </c>
      <c r="D954" s="92"/>
      <c r="E954" s="92"/>
      <c r="F954" s="92"/>
      <c r="G954" s="96"/>
      <c r="H954" s="96"/>
      <c r="I954" s="92"/>
      <c r="J954" s="92"/>
      <c r="K954" s="92"/>
      <c r="L954" s="92"/>
      <c r="M954" s="92"/>
      <c r="N954" s="97">
        <v>0</v>
      </c>
      <c r="O954" s="97">
        <v>10</v>
      </c>
      <c r="P954" s="98">
        <f>SUM(SamplingData[[#This Row],[Winning Candidate]:[Under Votes]])</f>
        <v>141</v>
      </c>
      <c r="Q954" s="99">
        <f>IF(AND(SamplingData[[#This Row],[Total]]&lt;&gt; 0, NOT(ISBLANK(SamplingData[[#This Row],[Losing Candidate]]))),(SamplingData[[#This Row],[Total]]+SamplingData[[#This Row],[Winning Candidate]]-SamplingData[[#This Row],[Losing Candidate]])/(SamplingData[[#Totals],[Winning Candidate]]-SamplingData[[#Totals],[Losing Candidate]]), 0)</f>
        <v>6.2807672721099982E-3</v>
      </c>
      <c r="R954" s="99">
        <f>IF(AND(SamplingData[[#This Row],[Total]]&lt;&gt; 0, NOT(ISBLANK(SamplingData[[#This Row],[Candidate 3]]))),(SamplingData[[#This Row],[Total]]+SamplingData[[#This Row],[Winning Candidate]]-SamplingData[[#This Row],[Candidate 3]])/(SamplingData[[#Totals],[Winning Candidate]]-SamplingData[[#Totals],[Candidate 3]]), 0)</f>
        <v>0</v>
      </c>
      <c r="S954" s="99">
        <f>IF(AND(SamplingData[[#This Row],[Total]]&lt;&gt; 0, NOT(ISBLANK(SamplingData[[#This Row],[Candidate 4]]))),(SamplingData[[#This Row],[Total]]+SamplingData[[#This Row],[Winning Candidate]]-SamplingData[[#This Row],[Candidate 4]])/(SamplingData[[#Totals],[Winning Candidate]]-SamplingData[[#Totals],[Candidate 4]]), 0)</f>
        <v>0</v>
      </c>
      <c r="T954" s="99">
        <f>IF(AND(SamplingData[[#This Row],[Total]]&lt;&gt; 0, NOT(ISBLANK(SamplingData[[#This Row],[Candidate 5]]))),(SamplingData[[#This Row],[Total]]+SamplingData[[#This Row],[Winning Candidate]]-SamplingData[[#This Row],[Candidate 5]])/(SamplingData[[#Totals],[Winning Candidate]]-SamplingData[[#Totals],[Candidate 5]]), 0)</f>
        <v>0</v>
      </c>
      <c r="U954" s="99">
        <f>IF(AND(SamplingData[[#This Row],[Total]]&lt;&gt; 0, NOT(ISBLANK(SamplingData[[#This Row],[Candidate 6]]))),(SamplingData[[#This Row],[Total]]+SamplingData[[#This Row],[Losing Candidate]]-SamplingData[[#This Row],[Candidate 6]])/(SamplingData[[#Totals],[Winning Candidate]]-SamplingData[[#Totals],[Candidate 6]]), 0)</f>
        <v>0</v>
      </c>
      <c r="V954" s="99">
        <f>IF(AND(SamplingData[[#This Row],[Total]]&lt;&gt; 0, NOT(ISBLANK(SamplingData[[#This Row],[Candidate 7]]))),(SamplingData[[#This Row],[Total]]+SamplingData[[#This Row],[Winning Candidate]]-SamplingData[[#This Row],[Candidate 7]])/(SamplingData[[#Totals],[Winning Candidate]]-SamplingData[[#Totals],[Candidate 7]]), 0)</f>
        <v>0</v>
      </c>
      <c r="W954" s="99">
        <f>IF(AND(SamplingData[[#This Row],[Total]]&lt;&gt; 0, NOT(ISBLANK(SamplingData[[#This Row],[Candidate 8]]))),(SamplingData[[#This Row],[Total]]+SamplingData[[#This Row],[Winning Candidate]]-SamplingData[[#This Row],[Candidate 8]])/(SamplingData[[#Totals],[Winning Candidate]]-SamplingData[[#Totals],[Candidate 8]]), 0)</f>
        <v>0</v>
      </c>
      <c r="X9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4" s="99">
        <f>MAX(SamplingData[[#This Row],[Error Bound (up) - Max. possible relative overstatement - Losing Candidate]:[Error Bound (up) - Max. possible relative overstatement - Candidate 12]])</f>
        <v>6.2807672721099982E-3</v>
      </c>
      <c r="AC954" s="99">
        <f>IF(SamplingData[[#This Row],[Max Error Bound (up)]] = 0,0,SamplingData[[#This Row],[Max Error Bound (up)]]/SamplingData[[#Totals],[Max Error Bound (up)]])</f>
        <v>3.3627803831751959E-4</v>
      </c>
      <c r="AD954" s="103">
        <f>SUM($AC$5:AC954)</f>
        <v>0.85975388083033688</v>
      </c>
      <c r="AE954" s="99" t="str" cm="1">
        <f t="array" ref="AE954">IF(SamplingData[[#This Row],[up/U Selection Probability]] = 0, "Zero", TEXT(SamplingData[[#This Row],[Lower Range]], REPT("0",LEN('General Info'!$B$42))) &amp; " - " &amp; TEXT(SamplingData[[#This Row],[Upper Range]], REPT("0",LEN('General Info'!$B$42))))</f>
        <v>859418 - 859753</v>
      </c>
      <c r="AF954" s="99">
        <f>SamplingData[[#This Row],[Upper Range]]-SamplingData[[#This Row],[Span]]</f>
        <v>859417.60279201926</v>
      </c>
      <c r="AG954" s="99">
        <f>IF(ISNUMBER('General Info'!$B$42), ((SamplingData[[#This Row],[up/U Selection Probability]]) * 'General Info'!$B$44) - 1, 0)</f>
        <v>335.27803831751959</v>
      </c>
      <c r="AH954" s="99">
        <f>IF(ISNUMBER('General Info'!$B$42), (SamplingData[[#This Row],[Running (cumulative) sum]] * ('General Info'!$B$42 -'General Info'!$B$43 + 1)) + 'General Info'!$B$43 - 1, 0)</f>
        <v>859752.88083033683</v>
      </c>
      <c r="AI954" s="99" t="str">
        <f>IF(ISERROR(MATCH(SamplingData[[#This Row],[Batch by Type (p)]],SelectedPrecincts[Batch Name], 0)), "", INDEX(SelectedPrecincts[Draw], MATCH(SamplingData[[#This Row],[Batch by Type (p)]],SelectedPrecincts[Batch Name], 0)))</f>
        <v/>
      </c>
      <c r="AJ954" s="100">
        <f>IF(COUNTIF(SelectedPrecincts[Batch Name],SamplingData[[#This Row],[Batch by Type (p)]]) &lt;&gt; 0, COUNTIF(SelectedPrecincts[Batch Name],SamplingData[[#This Row],[Batch by Type (p)]]), 0)</f>
        <v>0</v>
      </c>
    </row>
    <row r="955" spans="1:36" ht="15" customHeight="1" x14ac:dyDescent="0.35">
      <c r="A955" s="97" t="s">
        <v>1168</v>
      </c>
      <c r="B955" s="97">
        <v>94</v>
      </c>
      <c r="C955" s="97">
        <v>53</v>
      </c>
      <c r="D955" s="92"/>
      <c r="E955" s="92"/>
      <c r="F955" s="92"/>
      <c r="G955" s="96"/>
      <c r="H955" s="96"/>
      <c r="I955" s="92"/>
      <c r="J955" s="92"/>
      <c r="K955" s="92"/>
      <c r="L955" s="92"/>
      <c r="M955" s="92"/>
      <c r="N955" s="97">
        <v>0</v>
      </c>
      <c r="O955" s="97">
        <v>7</v>
      </c>
      <c r="P955" s="98">
        <f>SUM(SamplingData[[#This Row],[Winning Candidate]:[Under Votes]])</f>
        <v>154</v>
      </c>
      <c r="Q955" s="99">
        <f>IF(AND(SamplingData[[#This Row],[Total]]&lt;&gt; 0, NOT(ISBLANK(SamplingData[[#This Row],[Losing Candidate]]))),(SamplingData[[#This Row],[Total]]+SamplingData[[#This Row],[Winning Candidate]]-SamplingData[[#This Row],[Losing Candidate]])/(SamplingData[[#Totals],[Winning Candidate]]-SamplingData[[#Totals],[Losing Candidate]]), 0)</f>
        <v>8.2753352571719573E-3</v>
      </c>
      <c r="R955" s="99">
        <f>IF(AND(SamplingData[[#This Row],[Total]]&lt;&gt; 0, NOT(ISBLANK(SamplingData[[#This Row],[Candidate 3]]))),(SamplingData[[#This Row],[Total]]+SamplingData[[#This Row],[Winning Candidate]]-SamplingData[[#This Row],[Candidate 3]])/(SamplingData[[#Totals],[Winning Candidate]]-SamplingData[[#Totals],[Candidate 3]]), 0)</f>
        <v>0</v>
      </c>
      <c r="S955" s="99">
        <f>IF(AND(SamplingData[[#This Row],[Total]]&lt;&gt; 0, NOT(ISBLANK(SamplingData[[#This Row],[Candidate 4]]))),(SamplingData[[#This Row],[Total]]+SamplingData[[#This Row],[Winning Candidate]]-SamplingData[[#This Row],[Candidate 4]])/(SamplingData[[#Totals],[Winning Candidate]]-SamplingData[[#Totals],[Candidate 4]]), 0)</f>
        <v>0</v>
      </c>
      <c r="T955" s="99">
        <f>IF(AND(SamplingData[[#This Row],[Total]]&lt;&gt; 0, NOT(ISBLANK(SamplingData[[#This Row],[Candidate 5]]))),(SamplingData[[#This Row],[Total]]+SamplingData[[#This Row],[Winning Candidate]]-SamplingData[[#This Row],[Candidate 5]])/(SamplingData[[#Totals],[Winning Candidate]]-SamplingData[[#Totals],[Candidate 5]]), 0)</f>
        <v>0</v>
      </c>
      <c r="U955" s="99">
        <f>IF(AND(SamplingData[[#This Row],[Total]]&lt;&gt; 0, NOT(ISBLANK(SamplingData[[#This Row],[Candidate 6]]))),(SamplingData[[#This Row],[Total]]+SamplingData[[#This Row],[Losing Candidate]]-SamplingData[[#This Row],[Candidate 6]])/(SamplingData[[#Totals],[Winning Candidate]]-SamplingData[[#Totals],[Candidate 6]]), 0)</f>
        <v>0</v>
      </c>
      <c r="V955" s="99">
        <f>IF(AND(SamplingData[[#This Row],[Total]]&lt;&gt; 0, NOT(ISBLANK(SamplingData[[#This Row],[Candidate 7]]))),(SamplingData[[#This Row],[Total]]+SamplingData[[#This Row],[Winning Candidate]]-SamplingData[[#This Row],[Candidate 7]])/(SamplingData[[#Totals],[Winning Candidate]]-SamplingData[[#Totals],[Candidate 7]]), 0)</f>
        <v>0</v>
      </c>
      <c r="W955" s="99">
        <f>IF(AND(SamplingData[[#This Row],[Total]]&lt;&gt; 0, NOT(ISBLANK(SamplingData[[#This Row],[Candidate 8]]))),(SamplingData[[#This Row],[Total]]+SamplingData[[#This Row],[Winning Candidate]]-SamplingData[[#This Row],[Candidate 8]])/(SamplingData[[#Totals],[Winning Candidate]]-SamplingData[[#Totals],[Candidate 8]]), 0)</f>
        <v>0</v>
      </c>
      <c r="X9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5" s="99">
        <f>MAX(SamplingData[[#This Row],[Error Bound (up) - Max. possible relative overstatement - Losing Candidate]:[Error Bound (up) - Max. possible relative overstatement - Candidate 12]])</f>
        <v>8.2753352571719573E-3</v>
      </c>
      <c r="AC955" s="99">
        <f>IF(SamplingData[[#This Row],[Max Error Bound (up)]] = 0,0,SamplingData[[#This Row],[Max Error Bound (up)]]/SamplingData[[#Totals],[Max Error Bound (up)]])</f>
        <v>4.4306903697240759E-4</v>
      </c>
      <c r="AD955" s="103">
        <f>SUM($AC$5:AC955)</f>
        <v>0.86019694986730932</v>
      </c>
      <c r="AE955" s="99" t="str" cm="1">
        <f t="array" ref="AE955">IF(SamplingData[[#This Row],[up/U Selection Probability]] = 0, "Zero", TEXT(SamplingData[[#This Row],[Lower Range]], REPT("0",LEN('General Info'!$B$42))) &amp; " - " &amp; TEXT(SamplingData[[#This Row],[Upper Range]], REPT("0",LEN('General Info'!$B$42))))</f>
        <v>859754 - 860196</v>
      </c>
      <c r="AF955" s="99">
        <f>SamplingData[[#This Row],[Upper Range]]-SamplingData[[#This Row],[Span]]</f>
        <v>859753.88083033694</v>
      </c>
      <c r="AG955" s="99">
        <f>IF(ISNUMBER('General Info'!$B$42), ((SamplingData[[#This Row],[up/U Selection Probability]]) * 'General Info'!$B$44) - 1, 0)</f>
        <v>442.06903697240762</v>
      </c>
      <c r="AH955" s="99">
        <f>IF(ISNUMBER('General Info'!$B$42), (SamplingData[[#This Row],[Running (cumulative) sum]] * ('General Info'!$B$42 -'General Info'!$B$43 + 1)) + 'General Info'!$B$43 - 1, 0)</f>
        <v>860195.9498673093</v>
      </c>
      <c r="AI955" s="99" t="str">
        <f>IF(ISERROR(MATCH(SamplingData[[#This Row],[Batch by Type (p)]],SelectedPrecincts[Batch Name], 0)), "", INDEX(SelectedPrecincts[Draw], MATCH(SamplingData[[#This Row],[Batch by Type (p)]],SelectedPrecincts[Batch Name], 0)))</f>
        <v/>
      </c>
      <c r="AJ955" s="100">
        <f>IF(COUNTIF(SelectedPrecincts[Batch Name],SamplingData[[#This Row],[Batch by Type (p)]]) &lt;&gt; 0, COUNTIF(SelectedPrecincts[Batch Name],SamplingData[[#This Row],[Batch by Type (p)]]), 0)</f>
        <v>0</v>
      </c>
    </row>
    <row r="956" spans="1:36" ht="15" customHeight="1" x14ac:dyDescent="0.35">
      <c r="A956" s="97" t="s">
        <v>1169</v>
      </c>
      <c r="B956" s="97">
        <v>146</v>
      </c>
      <c r="C956" s="97">
        <v>34</v>
      </c>
      <c r="D956" s="92"/>
      <c r="E956" s="92"/>
      <c r="F956" s="92"/>
      <c r="G956" s="96"/>
      <c r="H956" s="96"/>
      <c r="I956" s="92"/>
      <c r="J956" s="92"/>
      <c r="K956" s="92"/>
      <c r="L956" s="92"/>
      <c r="M956" s="92"/>
      <c r="N956" s="97">
        <v>0</v>
      </c>
      <c r="O956" s="97">
        <v>10</v>
      </c>
      <c r="P956" s="98">
        <f>SUM(SamplingData[[#This Row],[Winning Candidate]:[Under Votes]])</f>
        <v>190</v>
      </c>
      <c r="Q956" s="99">
        <f>IF(AND(SamplingData[[#This Row],[Total]]&lt;&gt; 0, NOT(ISBLANK(SamplingData[[#This Row],[Losing Candidate]]))),(SamplingData[[#This Row],[Total]]+SamplingData[[#This Row],[Winning Candidate]]-SamplingData[[#This Row],[Losing Candidate]])/(SamplingData[[#Totals],[Winning Candidate]]-SamplingData[[#Totals],[Losing Candidate]]), 0)</f>
        <v>1.2816160244440673E-2</v>
      </c>
      <c r="R956" s="99">
        <f>IF(AND(SamplingData[[#This Row],[Total]]&lt;&gt; 0, NOT(ISBLANK(SamplingData[[#This Row],[Candidate 3]]))),(SamplingData[[#This Row],[Total]]+SamplingData[[#This Row],[Winning Candidate]]-SamplingData[[#This Row],[Candidate 3]])/(SamplingData[[#Totals],[Winning Candidate]]-SamplingData[[#Totals],[Candidate 3]]), 0)</f>
        <v>0</v>
      </c>
      <c r="S956" s="99">
        <f>IF(AND(SamplingData[[#This Row],[Total]]&lt;&gt; 0, NOT(ISBLANK(SamplingData[[#This Row],[Candidate 4]]))),(SamplingData[[#This Row],[Total]]+SamplingData[[#This Row],[Winning Candidate]]-SamplingData[[#This Row],[Candidate 4]])/(SamplingData[[#Totals],[Winning Candidate]]-SamplingData[[#Totals],[Candidate 4]]), 0)</f>
        <v>0</v>
      </c>
      <c r="T956" s="99">
        <f>IF(AND(SamplingData[[#This Row],[Total]]&lt;&gt; 0, NOT(ISBLANK(SamplingData[[#This Row],[Candidate 5]]))),(SamplingData[[#This Row],[Total]]+SamplingData[[#This Row],[Winning Candidate]]-SamplingData[[#This Row],[Candidate 5]])/(SamplingData[[#Totals],[Winning Candidate]]-SamplingData[[#Totals],[Candidate 5]]), 0)</f>
        <v>0</v>
      </c>
      <c r="U956" s="99">
        <f>IF(AND(SamplingData[[#This Row],[Total]]&lt;&gt; 0, NOT(ISBLANK(SamplingData[[#This Row],[Candidate 6]]))),(SamplingData[[#This Row],[Total]]+SamplingData[[#This Row],[Losing Candidate]]-SamplingData[[#This Row],[Candidate 6]])/(SamplingData[[#Totals],[Winning Candidate]]-SamplingData[[#Totals],[Candidate 6]]), 0)</f>
        <v>0</v>
      </c>
      <c r="V956" s="99">
        <f>IF(AND(SamplingData[[#This Row],[Total]]&lt;&gt; 0, NOT(ISBLANK(SamplingData[[#This Row],[Candidate 7]]))),(SamplingData[[#This Row],[Total]]+SamplingData[[#This Row],[Winning Candidate]]-SamplingData[[#This Row],[Candidate 7]])/(SamplingData[[#Totals],[Winning Candidate]]-SamplingData[[#Totals],[Candidate 7]]), 0)</f>
        <v>0</v>
      </c>
      <c r="W956" s="99">
        <f>IF(AND(SamplingData[[#This Row],[Total]]&lt;&gt; 0, NOT(ISBLANK(SamplingData[[#This Row],[Candidate 8]]))),(SamplingData[[#This Row],[Total]]+SamplingData[[#This Row],[Winning Candidate]]-SamplingData[[#This Row],[Candidate 8]])/(SamplingData[[#Totals],[Winning Candidate]]-SamplingData[[#Totals],[Candidate 8]]), 0)</f>
        <v>0</v>
      </c>
      <c r="X9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6" s="99">
        <f>MAX(SamplingData[[#This Row],[Error Bound (up) - Max. possible relative overstatement - Losing Candidate]:[Error Bound (up) - Max. possible relative overstatement - Candidate 12]])</f>
        <v>1.2816160244440673E-2</v>
      </c>
      <c r="AC956" s="99">
        <f>IF(SamplingData[[#This Row],[Max Error Bound (up)]] = 0,0,SamplingData[[#This Row],[Max Error Bound (up)]]/SamplingData[[#Totals],[Max Error Bound (up)]])</f>
        <v>6.8618897008034408E-4</v>
      </c>
      <c r="AD956" s="103">
        <f>SUM($AC$5:AC956)</f>
        <v>0.86088313883738965</v>
      </c>
      <c r="AE956" s="99" t="str" cm="1">
        <f t="array" ref="AE956">IF(SamplingData[[#This Row],[up/U Selection Probability]] = 0, "Zero", TEXT(SamplingData[[#This Row],[Lower Range]], REPT("0",LEN('General Info'!$B$42))) &amp; " - " &amp; TEXT(SamplingData[[#This Row],[Upper Range]], REPT("0",LEN('General Info'!$B$42))))</f>
        <v>860197 - 860882</v>
      </c>
      <c r="AF956" s="99">
        <f>SamplingData[[#This Row],[Upper Range]]-SamplingData[[#This Row],[Span]]</f>
        <v>860196.9498673093</v>
      </c>
      <c r="AG956" s="99">
        <f>IF(ISNUMBER('General Info'!$B$42), ((SamplingData[[#This Row],[up/U Selection Probability]]) * 'General Info'!$B$44) - 1, 0)</f>
        <v>685.18897008034412</v>
      </c>
      <c r="AH956" s="99">
        <f>IF(ISNUMBER('General Info'!$B$42), (SamplingData[[#This Row],[Running (cumulative) sum]] * ('General Info'!$B$42 -'General Info'!$B$43 + 1)) + 'General Info'!$B$43 - 1, 0)</f>
        <v>860882.13883738965</v>
      </c>
      <c r="AI956" s="99" t="str">
        <f>IF(ISERROR(MATCH(SamplingData[[#This Row],[Batch by Type (p)]],SelectedPrecincts[Batch Name], 0)), "", INDEX(SelectedPrecincts[Draw], MATCH(SamplingData[[#This Row],[Batch by Type (p)]],SelectedPrecincts[Batch Name], 0)))</f>
        <v/>
      </c>
      <c r="AJ956" s="100">
        <f>IF(COUNTIF(SelectedPrecincts[Batch Name],SamplingData[[#This Row],[Batch by Type (p)]]) &lt;&gt; 0, COUNTIF(SelectedPrecincts[Batch Name],SamplingData[[#This Row],[Batch by Type (p)]]), 0)</f>
        <v>0</v>
      </c>
    </row>
    <row r="957" spans="1:36" ht="15" customHeight="1" x14ac:dyDescent="0.35">
      <c r="A957" s="97" t="s">
        <v>1170</v>
      </c>
      <c r="B957" s="97">
        <v>65</v>
      </c>
      <c r="C957" s="97">
        <v>29</v>
      </c>
      <c r="D957" s="92"/>
      <c r="E957" s="92"/>
      <c r="F957" s="92"/>
      <c r="G957" s="96"/>
      <c r="H957" s="96"/>
      <c r="I957" s="92"/>
      <c r="J957" s="92"/>
      <c r="K957" s="92"/>
      <c r="L957" s="92"/>
      <c r="M957" s="92"/>
      <c r="N957" s="97">
        <v>0</v>
      </c>
      <c r="O957" s="97">
        <v>3</v>
      </c>
      <c r="P957" s="98">
        <f>SUM(SamplingData[[#This Row],[Winning Candidate]:[Under Votes]])</f>
        <v>97</v>
      </c>
      <c r="Q957" s="99">
        <f>IF(AND(SamplingData[[#This Row],[Total]]&lt;&gt; 0, NOT(ISBLANK(SamplingData[[#This Row],[Losing Candidate]]))),(SamplingData[[#This Row],[Total]]+SamplingData[[#This Row],[Winning Candidate]]-SamplingData[[#This Row],[Losing Candidate]])/(SamplingData[[#Totals],[Winning Candidate]]-SamplingData[[#Totals],[Losing Candidate]]), 0)</f>
        <v>5.6442030215583094E-3</v>
      </c>
      <c r="R957" s="99">
        <f>IF(AND(SamplingData[[#This Row],[Total]]&lt;&gt; 0, NOT(ISBLANK(SamplingData[[#This Row],[Candidate 3]]))),(SamplingData[[#This Row],[Total]]+SamplingData[[#This Row],[Winning Candidate]]-SamplingData[[#This Row],[Candidate 3]])/(SamplingData[[#Totals],[Winning Candidate]]-SamplingData[[#Totals],[Candidate 3]]), 0)</f>
        <v>0</v>
      </c>
      <c r="S957" s="99">
        <f>IF(AND(SamplingData[[#This Row],[Total]]&lt;&gt; 0, NOT(ISBLANK(SamplingData[[#This Row],[Candidate 4]]))),(SamplingData[[#This Row],[Total]]+SamplingData[[#This Row],[Winning Candidate]]-SamplingData[[#This Row],[Candidate 4]])/(SamplingData[[#Totals],[Winning Candidate]]-SamplingData[[#Totals],[Candidate 4]]), 0)</f>
        <v>0</v>
      </c>
      <c r="T957" s="99">
        <f>IF(AND(SamplingData[[#This Row],[Total]]&lt;&gt; 0, NOT(ISBLANK(SamplingData[[#This Row],[Candidate 5]]))),(SamplingData[[#This Row],[Total]]+SamplingData[[#This Row],[Winning Candidate]]-SamplingData[[#This Row],[Candidate 5]])/(SamplingData[[#Totals],[Winning Candidate]]-SamplingData[[#Totals],[Candidate 5]]), 0)</f>
        <v>0</v>
      </c>
      <c r="U957" s="99">
        <f>IF(AND(SamplingData[[#This Row],[Total]]&lt;&gt; 0, NOT(ISBLANK(SamplingData[[#This Row],[Candidate 6]]))),(SamplingData[[#This Row],[Total]]+SamplingData[[#This Row],[Losing Candidate]]-SamplingData[[#This Row],[Candidate 6]])/(SamplingData[[#Totals],[Winning Candidate]]-SamplingData[[#Totals],[Candidate 6]]), 0)</f>
        <v>0</v>
      </c>
      <c r="V957" s="99">
        <f>IF(AND(SamplingData[[#This Row],[Total]]&lt;&gt; 0, NOT(ISBLANK(SamplingData[[#This Row],[Candidate 7]]))),(SamplingData[[#This Row],[Total]]+SamplingData[[#This Row],[Winning Candidate]]-SamplingData[[#This Row],[Candidate 7]])/(SamplingData[[#Totals],[Winning Candidate]]-SamplingData[[#Totals],[Candidate 7]]), 0)</f>
        <v>0</v>
      </c>
      <c r="W957" s="99">
        <f>IF(AND(SamplingData[[#This Row],[Total]]&lt;&gt; 0, NOT(ISBLANK(SamplingData[[#This Row],[Candidate 8]]))),(SamplingData[[#This Row],[Total]]+SamplingData[[#This Row],[Winning Candidate]]-SamplingData[[#This Row],[Candidate 8]])/(SamplingData[[#Totals],[Winning Candidate]]-SamplingData[[#Totals],[Candidate 8]]), 0)</f>
        <v>0</v>
      </c>
      <c r="X9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7" s="99">
        <f>MAX(SamplingData[[#This Row],[Error Bound (up) - Max. possible relative overstatement - Losing Candidate]:[Error Bound (up) - Max. possible relative overstatement - Candidate 12]])</f>
        <v>5.6442030215583094E-3</v>
      </c>
      <c r="AC957" s="99">
        <f>IF(SamplingData[[#This Row],[Max Error Bound (up)]] = 0,0,SamplingData[[#This Row],[Max Error Bound (up)]]/SamplingData[[#Totals],[Max Error Bound (up)]])</f>
        <v>3.021958047042575E-4</v>
      </c>
      <c r="AD957" s="103">
        <f>SUM($AC$5:AC957)</f>
        <v>0.8611853346420939</v>
      </c>
      <c r="AE957" s="99" t="str" cm="1">
        <f t="array" ref="AE957">IF(SamplingData[[#This Row],[up/U Selection Probability]] = 0, "Zero", TEXT(SamplingData[[#This Row],[Lower Range]], REPT("0",LEN('General Info'!$B$42))) &amp; " - " &amp; TEXT(SamplingData[[#This Row],[Upper Range]], REPT("0",LEN('General Info'!$B$42))))</f>
        <v>860883 - 861184</v>
      </c>
      <c r="AF957" s="99">
        <f>SamplingData[[#This Row],[Upper Range]]-SamplingData[[#This Row],[Span]]</f>
        <v>860883.13883738965</v>
      </c>
      <c r="AG957" s="99">
        <f>IF(ISNUMBER('General Info'!$B$42), ((SamplingData[[#This Row],[up/U Selection Probability]]) * 'General Info'!$B$44) - 1, 0)</f>
        <v>301.19580470425751</v>
      </c>
      <c r="AH957" s="99">
        <f>IF(ISNUMBER('General Info'!$B$42), (SamplingData[[#This Row],[Running (cumulative) sum]] * ('General Info'!$B$42 -'General Info'!$B$43 + 1)) + 'General Info'!$B$43 - 1, 0)</f>
        <v>861184.33464209386</v>
      </c>
      <c r="AI957" s="99" t="str">
        <f>IF(ISERROR(MATCH(SamplingData[[#This Row],[Batch by Type (p)]],SelectedPrecincts[Batch Name], 0)), "", INDEX(SelectedPrecincts[Draw], MATCH(SamplingData[[#This Row],[Batch by Type (p)]],SelectedPrecincts[Batch Name], 0)))</f>
        <v/>
      </c>
      <c r="AJ957" s="100">
        <f>IF(COUNTIF(SelectedPrecincts[Batch Name],SamplingData[[#This Row],[Batch by Type (p)]]) &lt;&gt; 0, COUNTIF(SelectedPrecincts[Batch Name],SamplingData[[#This Row],[Batch by Type (p)]]), 0)</f>
        <v>0</v>
      </c>
    </row>
    <row r="958" spans="1:36" ht="15" customHeight="1" x14ac:dyDescent="0.35">
      <c r="A958" s="97" t="s">
        <v>1171</v>
      </c>
      <c r="B958" s="97">
        <v>116</v>
      </c>
      <c r="C958" s="97">
        <v>113</v>
      </c>
      <c r="D958" s="92"/>
      <c r="E958" s="92"/>
      <c r="F958" s="92"/>
      <c r="G958" s="96"/>
      <c r="H958" s="96"/>
      <c r="I958" s="92"/>
      <c r="J958" s="92"/>
      <c r="K958" s="92"/>
      <c r="L958" s="92"/>
      <c r="M958" s="92"/>
      <c r="N958" s="97">
        <v>0</v>
      </c>
      <c r="O958" s="97">
        <v>14</v>
      </c>
      <c r="P958" s="98">
        <f>SUM(SamplingData[[#This Row],[Winning Candidate]:[Under Votes]])</f>
        <v>243</v>
      </c>
      <c r="Q958" s="99">
        <f>IF(AND(SamplingData[[#This Row],[Total]]&lt;&gt; 0, NOT(ISBLANK(SamplingData[[#This Row],[Losing Candidate]]))),(SamplingData[[#This Row],[Total]]+SamplingData[[#This Row],[Winning Candidate]]-SamplingData[[#This Row],[Losing Candidate]])/(SamplingData[[#Totals],[Winning Candidate]]-SamplingData[[#Totals],[Losing Candidate]]), 0)</f>
        <v>1.0439653709047699E-2</v>
      </c>
      <c r="R958" s="99">
        <f>IF(AND(SamplingData[[#This Row],[Total]]&lt;&gt; 0, NOT(ISBLANK(SamplingData[[#This Row],[Candidate 3]]))),(SamplingData[[#This Row],[Total]]+SamplingData[[#This Row],[Winning Candidate]]-SamplingData[[#This Row],[Candidate 3]])/(SamplingData[[#Totals],[Winning Candidate]]-SamplingData[[#Totals],[Candidate 3]]), 0)</f>
        <v>0</v>
      </c>
      <c r="S958" s="99">
        <f>IF(AND(SamplingData[[#This Row],[Total]]&lt;&gt; 0, NOT(ISBLANK(SamplingData[[#This Row],[Candidate 4]]))),(SamplingData[[#This Row],[Total]]+SamplingData[[#This Row],[Winning Candidate]]-SamplingData[[#This Row],[Candidate 4]])/(SamplingData[[#Totals],[Winning Candidate]]-SamplingData[[#Totals],[Candidate 4]]), 0)</f>
        <v>0</v>
      </c>
      <c r="T958" s="99">
        <f>IF(AND(SamplingData[[#This Row],[Total]]&lt;&gt; 0, NOT(ISBLANK(SamplingData[[#This Row],[Candidate 5]]))),(SamplingData[[#This Row],[Total]]+SamplingData[[#This Row],[Winning Candidate]]-SamplingData[[#This Row],[Candidate 5]])/(SamplingData[[#Totals],[Winning Candidate]]-SamplingData[[#Totals],[Candidate 5]]), 0)</f>
        <v>0</v>
      </c>
      <c r="U958" s="99">
        <f>IF(AND(SamplingData[[#This Row],[Total]]&lt;&gt; 0, NOT(ISBLANK(SamplingData[[#This Row],[Candidate 6]]))),(SamplingData[[#This Row],[Total]]+SamplingData[[#This Row],[Losing Candidate]]-SamplingData[[#This Row],[Candidate 6]])/(SamplingData[[#Totals],[Winning Candidate]]-SamplingData[[#Totals],[Candidate 6]]), 0)</f>
        <v>0</v>
      </c>
      <c r="V958" s="99">
        <f>IF(AND(SamplingData[[#This Row],[Total]]&lt;&gt; 0, NOT(ISBLANK(SamplingData[[#This Row],[Candidate 7]]))),(SamplingData[[#This Row],[Total]]+SamplingData[[#This Row],[Winning Candidate]]-SamplingData[[#This Row],[Candidate 7]])/(SamplingData[[#Totals],[Winning Candidate]]-SamplingData[[#Totals],[Candidate 7]]), 0)</f>
        <v>0</v>
      </c>
      <c r="W958" s="99">
        <f>IF(AND(SamplingData[[#This Row],[Total]]&lt;&gt; 0, NOT(ISBLANK(SamplingData[[#This Row],[Candidate 8]]))),(SamplingData[[#This Row],[Total]]+SamplingData[[#This Row],[Winning Candidate]]-SamplingData[[#This Row],[Candidate 8]])/(SamplingData[[#Totals],[Winning Candidate]]-SamplingData[[#Totals],[Candidate 8]]), 0)</f>
        <v>0</v>
      </c>
      <c r="X9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8" s="99">
        <f>MAX(SamplingData[[#This Row],[Error Bound (up) - Max. possible relative overstatement - Losing Candidate]:[Error Bound (up) - Max. possible relative overstatement - Candidate 12]])</f>
        <v>1.0439653709047699E-2</v>
      </c>
      <c r="AC958" s="99">
        <f>IF(SamplingData[[#This Row],[Max Error Bound (up)]] = 0,0,SamplingData[[#This Row],[Max Error Bound (up)]]/SamplingData[[#Totals],[Max Error Bound (up)]])</f>
        <v>5.5894863125749872E-4</v>
      </c>
      <c r="AD958" s="103">
        <f>SUM($AC$5:AC958)</f>
        <v>0.8617442832733514</v>
      </c>
      <c r="AE958" s="99" t="str" cm="1">
        <f t="array" ref="AE958">IF(SamplingData[[#This Row],[up/U Selection Probability]] = 0, "Zero", TEXT(SamplingData[[#This Row],[Lower Range]], REPT("0",LEN('General Info'!$B$42))) &amp; " - " &amp; TEXT(SamplingData[[#This Row],[Upper Range]], REPT("0",LEN('General Info'!$B$42))))</f>
        <v>861185 - 861743</v>
      </c>
      <c r="AF958" s="99">
        <f>SamplingData[[#This Row],[Upper Range]]-SamplingData[[#This Row],[Span]]</f>
        <v>861185.33464209386</v>
      </c>
      <c r="AG958" s="99">
        <f>IF(ISNUMBER('General Info'!$B$42), ((SamplingData[[#This Row],[up/U Selection Probability]]) * 'General Info'!$B$44) - 1, 0)</f>
        <v>557.94863125749873</v>
      </c>
      <c r="AH958" s="99">
        <f>IF(ISNUMBER('General Info'!$B$42), (SamplingData[[#This Row],[Running (cumulative) sum]] * ('General Info'!$B$42 -'General Info'!$B$43 + 1)) + 'General Info'!$B$43 - 1, 0)</f>
        <v>861743.28327335138</v>
      </c>
      <c r="AI958" s="99" t="str">
        <f>IF(ISERROR(MATCH(SamplingData[[#This Row],[Batch by Type (p)]],SelectedPrecincts[Batch Name], 0)), "", INDEX(SelectedPrecincts[Draw], MATCH(SamplingData[[#This Row],[Batch by Type (p)]],SelectedPrecincts[Batch Name], 0)))</f>
        <v/>
      </c>
      <c r="AJ958" s="100">
        <f>IF(COUNTIF(SelectedPrecincts[Batch Name],SamplingData[[#This Row],[Batch by Type (p)]]) &lt;&gt; 0, COUNTIF(SelectedPrecincts[Batch Name],SamplingData[[#This Row],[Batch by Type (p)]]), 0)</f>
        <v>0</v>
      </c>
    </row>
    <row r="959" spans="1:36" ht="15" customHeight="1" x14ac:dyDescent="0.35">
      <c r="A959" s="97" t="s">
        <v>1172</v>
      </c>
      <c r="B959" s="97">
        <v>151</v>
      </c>
      <c r="C959" s="97">
        <v>142</v>
      </c>
      <c r="D959" s="92"/>
      <c r="E959" s="92"/>
      <c r="F959" s="92"/>
      <c r="G959" s="96"/>
      <c r="H959" s="96"/>
      <c r="I959" s="92"/>
      <c r="J959" s="92"/>
      <c r="K959" s="92"/>
      <c r="L959" s="92"/>
      <c r="M959" s="92"/>
      <c r="N959" s="97">
        <v>0</v>
      </c>
      <c r="O959" s="97">
        <v>26</v>
      </c>
      <c r="P959" s="98">
        <f>SUM(SamplingData[[#This Row],[Winning Candidate]:[Under Votes]])</f>
        <v>319</v>
      </c>
      <c r="Q959" s="99">
        <f>IF(AND(SamplingData[[#This Row],[Total]]&lt;&gt; 0, NOT(ISBLANK(SamplingData[[#This Row],[Losing Candidate]]))),(SamplingData[[#This Row],[Total]]+SamplingData[[#This Row],[Winning Candidate]]-SamplingData[[#This Row],[Losing Candidate]])/(SamplingData[[#Totals],[Winning Candidate]]-SamplingData[[#Totals],[Losing Candidate]]), 0)</f>
        <v>1.3919538278730267E-2</v>
      </c>
      <c r="R959" s="99">
        <f>IF(AND(SamplingData[[#This Row],[Total]]&lt;&gt; 0, NOT(ISBLANK(SamplingData[[#This Row],[Candidate 3]]))),(SamplingData[[#This Row],[Total]]+SamplingData[[#This Row],[Winning Candidate]]-SamplingData[[#This Row],[Candidate 3]])/(SamplingData[[#Totals],[Winning Candidate]]-SamplingData[[#Totals],[Candidate 3]]), 0)</f>
        <v>0</v>
      </c>
      <c r="S959" s="99">
        <f>IF(AND(SamplingData[[#This Row],[Total]]&lt;&gt; 0, NOT(ISBLANK(SamplingData[[#This Row],[Candidate 4]]))),(SamplingData[[#This Row],[Total]]+SamplingData[[#This Row],[Winning Candidate]]-SamplingData[[#This Row],[Candidate 4]])/(SamplingData[[#Totals],[Winning Candidate]]-SamplingData[[#Totals],[Candidate 4]]), 0)</f>
        <v>0</v>
      </c>
      <c r="T959" s="99">
        <f>IF(AND(SamplingData[[#This Row],[Total]]&lt;&gt; 0, NOT(ISBLANK(SamplingData[[#This Row],[Candidate 5]]))),(SamplingData[[#This Row],[Total]]+SamplingData[[#This Row],[Winning Candidate]]-SamplingData[[#This Row],[Candidate 5]])/(SamplingData[[#Totals],[Winning Candidate]]-SamplingData[[#Totals],[Candidate 5]]), 0)</f>
        <v>0</v>
      </c>
      <c r="U959" s="99">
        <f>IF(AND(SamplingData[[#This Row],[Total]]&lt;&gt; 0, NOT(ISBLANK(SamplingData[[#This Row],[Candidate 6]]))),(SamplingData[[#This Row],[Total]]+SamplingData[[#This Row],[Losing Candidate]]-SamplingData[[#This Row],[Candidate 6]])/(SamplingData[[#Totals],[Winning Candidate]]-SamplingData[[#Totals],[Candidate 6]]), 0)</f>
        <v>0</v>
      </c>
      <c r="V959" s="99">
        <f>IF(AND(SamplingData[[#This Row],[Total]]&lt;&gt; 0, NOT(ISBLANK(SamplingData[[#This Row],[Candidate 7]]))),(SamplingData[[#This Row],[Total]]+SamplingData[[#This Row],[Winning Candidate]]-SamplingData[[#This Row],[Candidate 7]])/(SamplingData[[#Totals],[Winning Candidate]]-SamplingData[[#Totals],[Candidate 7]]), 0)</f>
        <v>0</v>
      </c>
      <c r="W959" s="99">
        <f>IF(AND(SamplingData[[#This Row],[Total]]&lt;&gt; 0, NOT(ISBLANK(SamplingData[[#This Row],[Candidate 8]]))),(SamplingData[[#This Row],[Total]]+SamplingData[[#This Row],[Winning Candidate]]-SamplingData[[#This Row],[Candidate 8]])/(SamplingData[[#Totals],[Winning Candidate]]-SamplingData[[#Totals],[Candidate 8]]), 0)</f>
        <v>0</v>
      </c>
      <c r="X9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9" s="99">
        <f>MAX(SamplingData[[#This Row],[Error Bound (up) - Max. possible relative overstatement - Losing Candidate]:[Error Bound (up) - Max. possible relative overstatement - Candidate 12]])</f>
        <v>1.3919538278730267E-2</v>
      </c>
      <c r="AC959" s="99">
        <f>IF(SamplingData[[#This Row],[Max Error Bound (up)]] = 0,0,SamplingData[[#This Row],[Max Error Bound (up)]]/SamplingData[[#Totals],[Max Error Bound (up)]])</f>
        <v>7.4526484167666504E-4</v>
      </c>
      <c r="AD959" s="103">
        <f>SUM($AC$5:AC959)</f>
        <v>0.86248954811502809</v>
      </c>
      <c r="AE959" s="99" t="str" cm="1">
        <f t="array" ref="AE959">IF(SamplingData[[#This Row],[up/U Selection Probability]] = 0, "Zero", TEXT(SamplingData[[#This Row],[Lower Range]], REPT("0",LEN('General Info'!$B$42))) &amp; " - " &amp; TEXT(SamplingData[[#This Row],[Upper Range]], REPT("0",LEN('General Info'!$B$42))))</f>
        <v>861744 - 862489</v>
      </c>
      <c r="AF959" s="99">
        <f>SamplingData[[#This Row],[Upper Range]]-SamplingData[[#This Row],[Span]]</f>
        <v>861744.28327335138</v>
      </c>
      <c r="AG959" s="99">
        <f>IF(ISNUMBER('General Info'!$B$42), ((SamplingData[[#This Row],[up/U Selection Probability]]) * 'General Info'!$B$44) - 1, 0)</f>
        <v>744.26484167666501</v>
      </c>
      <c r="AH959" s="99">
        <f>IF(ISNUMBER('General Info'!$B$42), (SamplingData[[#This Row],[Running (cumulative) sum]] * ('General Info'!$B$42 -'General Info'!$B$43 + 1)) + 'General Info'!$B$43 - 1, 0)</f>
        <v>862488.54811502807</v>
      </c>
      <c r="AI959" s="99" t="str">
        <f>IF(ISERROR(MATCH(SamplingData[[#This Row],[Batch by Type (p)]],SelectedPrecincts[Batch Name], 0)), "", INDEX(SelectedPrecincts[Draw], MATCH(SamplingData[[#This Row],[Batch by Type (p)]],SelectedPrecincts[Batch Name], 0)))</f>
        <v/>
      </c>
      <c r="AJ959" s="100">
        <f>IF(COUNTIF(SelectedPrecincts[Batch Name],SamplingData[[#This Row],[Batch by Type (p)]]) &lt;&gt; 0, COUNTIF(SelectedPrecincts[Batch Name],SamplingData[[#This Row],[Batch by Type (p)]]), 0)</f>
        <v>0</v>
      </c>
    </row>
    <row r="960" spans="1:36" ht="15" customHeight="1" x14ac:dyDescent="0.35">
      <c r="A960" s="97" t="s">
        <v>1173</v>
      </c>
      <c r="B960" s="97">
        <v>1</v>
      </c>
      <c r="C960" s="97">
        <v>0</v>
      </c>
      <c r="D960" s="92"/>
      <c r="E960" s="92"/>
      <c r="F960" s="92"/>
      <c r="G960" s="96"/>
      <c r="H960" s="96"/>
      <c r="I960" s="92"/>
      <c r="J960" s="92"/>
      <c r="K960" s="92"/>
      <c r="L960" s="92"/>
      <c r="M960" s="92"/>
      <c r="N960" s="97">
        <v>0</v>
      </c>
      <c r="O960" s="97">
        <v>0</v>
      </c>
      <c r="P960" s="98">
        <f>SUM(SamplingData[[#This Row],[Winning Candidate]:[Under Votes]])</f>
        <v>1</v>
      </c>
      <c r="Q960" s="99">
        <f>IF(AND(SamplingData[[#This Row],[Total]]&lt;&gt; 0, NOT(ISBLANK(SamplingData[[#This Row],[Losing Candidate]]))),(SamplingData[[#This Row],[Total]]+SamplingData[[#This Row],[Winning Candidate]]-SamplingData[[#This Row],[Losing Candidate]])/(SamplingData[[#Totals],[Winning Candidate]]-SamplingData[[#Totals],[Losing Candidate]]), 0)</f>
        <v>8.4875233406891867E-5</v>
      </c>
      <c r="R960" s="99">
        <f>IF(AND(SamplingData[[#This Row],[Total]]&lt;&gt; 0, NOT(ISBLANK(SamplingData[[#This Row],[Candidate 3]]))),(SamplingData[[#This Row],[Total]]+SamplingData[[#This Row],[Winning Candidate]]-SamplingData[[#This Row],[Candidate 3]])/(SamplingData[[#Totals],[Winning Candidate]]-SamplingData[[#Totals],[Candidate 3]]), 0)</f>
        <v>0</v>
      </c>
      <c r="S960" s="99">
        <f>IF(AND(SamplingData[[#This Row],[Total]]&lt;&gt; 0, NOT(ISBLANK(SamplingData[[#This Row],[Candidate 4]]))),(SamplingData[[#This Row],[Total]]+SamplingData[[#This Row],[Winning Candidate]]-SamplingData[[#This Row],[Candidate 4]])/(SamplingData[[#Totals],[Winning Candidate]]-SamplingData[[#Totals],[Candidate 4]]), 0)</f>
        <v>0</v>
      </c>
      <c r="T960" s="99">
        <f>IF(AND(SamplingData[[#This Row],[Total]]&lt;&gt; 0, NOT(ISBLANK(SamplingData[[#This Row],[Candidate 5]]))),(SamplingData[[#This Row],[Total]]+SamplingData[[#This Row],[Winning Candidate]]-SamplingData[[#This Row],[Candidate 5]])/(SamplingData[[#Totals],[Winning Candidate]]-SamplingData[[#Totals],[Candidate 5]]), 0)</f>
        <v>0</v>
      </c>
      <c r="U960" s="99">
        <f>IF(AND(SamplingData[[#This Row],[Total]]&lt;&gt; 0, NOT(ISBLANK(SamplingData[[#This Row],[Candidate 6]]))),(SamplingData[[#This Row],[Total]]+SamplingData[[#This Row],[Losing Candidate]]-SamplingData[[#This Row],[Candidate 6]])/(SamplingData[[#Totals],[Winning Candidate]]-SamplingData[[#Totals],[Candidate 6]]), 0)</f>
        <v>0</v>
      </c>
      <c r="V960" s="99">
        <f>IF(AND(SamplingData[[#This Row],[Total]]&lt;&gt; 0, NOT(ISBLANK(SamplingData[[#This Row],[Candidate 7]]))),(SamplingData[[#This Row],[Total]]+SamplingData[[#This Row],[Winning Candidate]]-SamplingData[[#This Row],[Candidate 7]])/(SamplingData[[#Totals],[Winning Candidate]]-SamplingData[[#Totals],[Candidate 7]]), 0)</f>
        <v>0</v>
      </c>
      <c r="W960" s="99">
        <f>IF(AND(SamplingData[[#This Row],[Total]]&lt;&gt; 0, NOT(ISBLANK(SamplingData[[#This Row],[Candidate 8]]))),(SamplingData[[#This Row],[Total]]+SamplingData[[#This Row],[Winning Candidate]]-SamplingData[[#This Row],[Candidate 8]])/(SamplingData[[#Totals],[Winning Candidate]]-SamplingData[[#Totals],[Candidate 8]]), 0)</f>
        <v>0</v>
      </c>
      <c r="X9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0" s="99">
        <f>MAX(SamplingData[[#This Row],[Error Bound (up) - Max. possible relative overstatement - Losing Candidate]:[Error Bound (up) - Max. possible relative overstatement - Candidate 12]])</f>
        <v>8.4875233406891867E-5</v>
      </c>
      <c r="AC960" s="99">
        <f>IF(SamplingData[[#This Row],[Max Error Bound (up)]] = 0,0,SamplingData[[#This Row],[Max Error Bound (up)]]/SamplingData[[#Totals],[Max Error Bound (up)]])</f>
        <v>4.5442978151016161E-6</v>
      </c>
      <c r="AD960" s="103">
        <f>SUM($AC$5:AC960)</f>
        <v>0.86249409241284325</v>
      </c>
      <c r="AE960" s="99" t="str" cm="1">
        <f t="array" ref="AE960">IF(SamplingData[[#This Row],[up/U Selection Probability]] = 0, "Zero", TEXT(SamplingData[[#This Row],[Lower Range]], REPT("0",LEN('General Info'!$B$42))) &amp; " - " &amp; TEXT(SamplingData[[#This Row],[Upper Range]], REPT("0",LEN('General Info'!$B$42))))</f>
        <v>862490 - 862493</v>
      </c>
      <c r="AF960" s="99">
        <f>SamplingData[[#This Row],[Upper Range]]-SamplingData[[#This Row],[Span]]</f>
        <v>862489.54811502818</v>
      </c>
      <c r="AG960" s="99">
        <f>IF(ISNUMBER('General Info'!$B$42), ((SamplingData[[#This Row],[up/U Selection Probability]]) * 'General Info'!$B$44) - 1, 0)</f>
        <v>3.5442978151016158</v>
      </c>
      <c r="AH960" s="99">
        <f>IF(ISNUMBER('General Info'!$B$42), (SamplingData[[#This Row],[Running (cumulative) sum]] * ('General Info'!$B$42 -'General Info'!$B$43 + 1)) + 'General Info'!$B$43 - 1, 0)</f>
        <v>862493.09241284325</v>
      </c>
      <c r="AI960" s="99" t="str">
        <f>IF(ISERROR(MATCH(SamplingData[[#This Row],[Batch by Type (p)]],SelectedPrecincts[Batch Name], 0)), "", INDEX(SelectedPrecincts[Draw], MATCH(SamplingData[[#This Row],[Batch by Type (p)]],SelectedPrecincts[Batch Name], 0)))</f>
        <v/>
      </c>
      <c r="AJ960" s="100">
        <f>IF(COUNTIF(SelectedPrecincts[Batch Name],SamplingData[[#This Row],[Batch by Type (p)]]) &lt;&gt; 0, COUNTIF(SelectedPrecincts[Batch Name],SamplingData[[#This Row],[Batch by Type (p)]]), 0)</f>
        <v>0</v>
      </c>
    </row>
    <row r="961" spans="1:36" ht="15" customHeight="1" x14ac:dyDescent="0.35">
      <c r="A961" s="97" t="s">
        <v>1174</v>
      </c>
      <c r="B961" s="97">
        <v>16</v>
      </c>
      <c r="C961" s="97">
        <v>17</v>
      </c>
      <c r="D961" s="92"/>
      <c r="E961" s="92"/>
      <c r="F961" s="92"/>
      <c r="G961" s="96"/>
      <c r="H961" s="96"/>
      <c r="I961" s="92"/>
      <c r="J961" s="92"/>
      <c r="K961" s="92"/>
      <c r="L961" s="92"/>
      <c r="M961" s="92"/>
      <c r="N961" s="97">
        <v>0</v>
      </c>
      <c r="O961" s="97">
        <v>3</v>
      </c>
      <c r="P961" s="98">
        <f>SUM(SamplingData[[#This Row],[Winning Candidate]:[Under Votes]])</f>
        <v>36</v>
      </c>
      <c r="Q961" s="99">
        <f>IF(AND(SamplingData[[#This Row],[Total]]&lt;&gt; 0, NOT(ISBLANK(SamplingData[[#This Row],[Losing Candidate]]))),(SamplingData[[#This Row],[Total]]+SamplingData[[#This Row],[Winning Candidate]]-SamplingData[[#This Row],[Losing Candidate]])/(SamplingData[[#Totals],[Winning Candidate]]-SamplingData[[#Totals],[Losing Candidate]]), 0)</f>
        <v>1.4853165846206078E-3</v>
      </c>
      <c r="R961" s="99">
        <f>IF(AND(SamplingData[[#This Row],[Total]]&lt;&gt; 0, NOT(ISBLANK(SamplingData[[#This Row],[Candidate 3]]))),(SamplingData[[#This Row],[Total]]+SamplingData[[#This Row],[Winning Candidate]]-SamplingData[[#This Row],[Candidate 3]])/(SamplingData[[#Totals],[Winning Candidate]]-SamplingData[[#Totals],[Candidate 3]]), 0)</f>
        <v>0</v>
      </c>
      <c r="S961" s="99">
        <f>IF(AND(SamplingData[[#This Row],[Total]]&lt;&gt; 0, NOT(ISBLANK(SamplingData[[#This Row],[Candidate 4]]))),(SamplingData[[#This Row],[Total]]+SamplingData[[#This Row],[Winning Candidate]]-SamplingData[[#This Row],[Candidate 4]])/(SamplingData[[#Totals],[Winning Candidate]]-SamplingData[[#Totals],[Candidate 4]]), 0)</f>
        <v>0</v>
      </c>
      <c r="T961" s="99">
        <f>IF(AND(SamplingData[[#This Row],[Total]]&lt;&gt; 0, NOT(ISBLANK(SamplingData[[#This Row],[Candidate 5]]))),(SamplingData[[#This Row],[Total]]+SamplingData[[#This Row],[Winning Candidate]]-SamplingData[[#This Row],[Candidate 5]])/(SamplingData[[#Totals],[Winning Candidate]]-SamplingData[[#Totals],[Candidate 5]]), 0)</f>
        <v>0</v>
      </c>
      <c r="U961" s="99">
        <f>IF(AND(SamplingData[[#This Row],[Total]]&lt;&gt; 0, NOT(ISBLANK(SamplingData[[#This Row],[Candidate 6]]))),(SamplingData[[#This Row],[Total]]+SamplingData[[#This Row],[Losing Candidate]]-SamplingData[[#This Row],[Candidate 6]])/(SamplingData[[#Totals],[Winning Candidate]]-SamplingData[[#Totals],[Candidate 6]]), 0)</f>
        <v>0</v>
      </c>
      <c r="V961" s="99">
        <f>IF(AND(SamplingData[[#This Row],[Total]]&lt;&gt; 0, NOT(ISBLANK(SamplingData[[#This Row],[Candidate 7]]))),(SamplingData[[#This Row],[Total]]+SamplingData[[#This Row],[Winning Candidate]]-SamplingData[[#This Row],[Candidate 7]])/(SamplingData[[#Totals],[Winning Candidate]]-SamplingData[[#Totals],[Candidate 7]]), 0)</f>
        <v>0</v>
      </c>
      <c r="W961" s="99">
        <f>IF(AND(SamplingData[[#This Row],[Total]]&lt;&gt; 0, NOT(ISBLANK(SamplingData[[#This Row],[Candidate 8]]))),(SamplingData[[#This Row],[Total]]+SamplingData[[#This Row],[Winning Candidate]]-SamplingData[[#This Row],[Candidate 8]])/(SamplingData[[#Totals],[Winning Candidate]]-SamplingData[[#Totals],[Candidate 8]]), 0)</f>
        <v>0</v>
      </c>
      <c r="X9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1" s="99">
        <f>MAX(SamplingData[[#This Row],[Error Bound (up) - Max. possible relative overstatement - Losing Candidate]:[Error Bound (up) - Max. possible relative overstatement - Candidate 12]])</f>
        <v>1.4853165846206078E-3</v>
      </c>
      <c r="AC961" s="99">
        <f>IF(SamplingData[[#This Row],[Max Error Bound (up)]] = 0,0,SamplingData[[#This Row],[Max Error Bound (up)]]/SamplingData[[#Totals],[Max Error Bound (up)]])</f>
        <v>7.9525211764278295E-5</v>
      </c>
      <c r="AD961" s="103">
        <f>SUM($AC$5:AC961)</f>
        <v>0.86257361762460749</v>
      </c>
      <c r="AE961" s="99" t="str" cm="1">
        <f t="array" ref="AE961">IF(SamplingData[[#This Row],[up/U Selection Probability]] = 0, "Zero", TEXT(SamplingData[[#This Row],[Lower Range]], REPT("0",LEN('General Info'!$B$42))) &amp; " - " &amp; TEXT(SamplingData[[#This Row],[Upper Range]], REPT("0",LEN('General Info'!$B$42))))</f>
        <v>862494 - 862573</v>
      </c>
      <c r="AF961" s="99">
        <f>SamplingData[[#This Row],[Upper Range]]-SamplingData[[#This Row],[Span]]</f>
        <v>862494.09241284325</v>
      </c>
      <c r="AG961" s="99">
        <f>IF(ISNUMBER('General Info'!$B$42), ((SamplingData[[#This Row],[up/U Selection Probability]]) * 'General Info'!$B$44) - 1, 0)</f>
        <v>78.525211764278296</v>
      </c>
      <c r="AH961" s="99">
        <f>IF(ISNUMBER('General Info'!$B$42), (SamplingData[[#This Row],[Running (cumulative) sum]] * ('General Info'!$B$42 -'General Info'!$B$43 + 1)) + 'General Info'!$B$43 - 1, 0)</f>
        <v>862572.61762460752</v>
      </c>
      <c r="AI961" s="99" t="str">
        <f>IF(ISERROR(MATCH(SamplingData[[#This Row],[Batch by Type (p)]],SelectedPrecincts[Batch Name], 0)), "", INDEX(SelectedPrecincts[Draw], MATCH(SamplingData[[#This Row],[Batch by Type (p)]],SelectedPrecincts[Batch Name], 0)))</f>
        <v/>
      </c>
      <c r="AJ961" s="100">
        <f>IF(COUNTIF(SelectedPrecincts[Batch Name],SamplingData[[#This Row],[Batch by Type (p)]]) &lt;&gt; 0, COUNTIF(SelectedPrecincts[Batch Name],SamplingData[[#This Row],[Batch by Type (p)]]), 0)</f>
        <v>0</v>
      </c>
    </row>
    <row r="962" spans="1:36" ht="15" customHeight="1" x14ac:dyDescent="0.35">
      <c r="A962" s="97" t="s">
        <v>1175</v>
      </c>
      <c r="B962" s="97">
        <v>133</v>
      </c>
      <c r="C962" s="97">
        <v>685</v>
      </c>
      <c r="D962" s="92"/>
      <c r="E962" s="92"/>
      <c r="F962" s="92"/>
      <c r="G962" s="96"/>
      <c r="H962" s="96"/>
      <c r="I962" s="92"/>
      <c r="J962" s="92"/>
      <c r="K962" s="92"/>
      <c r="L962" s="92"/>
      <c r="M962" s="92"/>
      <c r="N962" s="97">
        <v>0</v>
      </c>
      <c r="O962" s="97">
        <v>69</v>
      </c>
      <c r="P962" s="98">
        <f>SUM(SamplingData[[#This Row],[Winning Candidate]:[Under Votes]])</f>
        <v>887</v>
      </c>
      <c r="Q962" s="99">
        <f>IF(AND(SamplingData[[#This Row],[Total]]&lt;&gt; 0, NOT(ISBLANK(SamplingData[[#This Row],[Losing Candidate]]))),(SamplingData[[#This Row],[Total]]+SamplingData[[#This Row],[Winning Candidate]]-SamplingData[[#This Row],[Losing Candidate]])/(SamplingData[[#Totals],[Winning Candidate]]-SamplingData[[#Totals],[Losing Candidate]]), 0)</f>
        <v>1.4216601595654388E-2</v>
      </c>
      <c r="R962" s="99">
        <f>IF(AND(SamplingData[[#This Row],[Total]]&lt;&gt; 0, NOT(ISBLANK(SamplingData[[#This Row],[Candidate 3]]))),(SamplingData[[#This Row],[Total]]+SamplingData[[#This Row],[Winning Candidate]]-SamplingData[[#This Row],[Candidate 3]])/(SamplingData[[#Totals],[Winning Candidate]]-SamplingData[[#Totals],[Candidate 3]]), 0)</f>
        <v>0</v>
      </c>
      <c r="S962" s="99">
        <f>IF(AND(SamplingData[[#This Row],[Total]]&lt;&gt; 0, NOT(ISBLANK(SamplingData[[#This Row],[Candidate 4]]))),(SamplingData[[#This Row],[Total]]+SamplingData[[#This Row],[Winning Candidate]]-SamplingData[[#This Row],[Candidate 4]])/(SamplingData[[#Totals],[Winning Candidate]]-SamplingData[[#Totals],[Candidate 4]]), 0)</f>
        <v>0</v>
      </c>
      <c r="T962" s="99">
        <f>IF(AND(SamplingData[[#This Row],[Total]]&lt;&gt; 0, NOT(ISBLANK(SamplingData[[#This Row],[Candidate 5]]))),(SamplingData[[#This Row],[Total]]+SamplingData[[#This Row],[Winning Candidate]]-SamplingData[[#This Row],[Candidate 5]])/(SamplingData[[#Totals],[Winning Candidate]]-SamplingData[[#Totals],[Candidate 5]]), 0)</f>
        <v>0</v>
      </c>
      <c r="U962" s="99">
        <f>IF(AND(SamplingData[[#This Row],[Total]]&lt;&gt; 0, NOT(ISBLANK(SamplingData[[#This Row],[Candidate 6]]))),(SamplingData[[#This Row],[Total]]+SamplingData[[#This Row],[Losing Candidate]]-SamplingData[[#This Row],[Candidate 6]])/(SamplingData[[#Totals],[Winning Candidate]]-SamplingData[[#Totals],[Candidate 6]]), 0)</f>
        <v>0</v>
      </c>
      <c r="V962" s="99">
        <f>IF(AND(SamplingData[[#This Row],[Total]]&lt;&gt; 0, NOT(ISBLANK(SamplingData[[#This Row],[Candidate 7]]))),(SamplingData[[#This Row],[Total]]+SamplingData[[#This Row],[Winning Candidate]]-SamplingData[[#This Row],[Candidate 7]])/(SamplingData[[#Totals],[Winning Candidate]]-SamplingData[[#Totals],[Candidate 7]]), 0)</f>
        <v>0</v>
      </c>
      <c r="W962" s="99">
        <f>IF(AND(SamplingData[[#This Row],[Total]]&lt;&gt; 0, NOT(ISBLANK(SamplingData[[#This Row],[Candidate 8]]))),(SamplingData[[#This Row],[Total]]+SamplingData[[#This Row],[Winning Candidate]]-SamplingData[[#This Row],[Candidate 8]])/(SamplingData[[#Totals],[Winning Candidate]]-SamplingData[[#Totals],[Candidate 8]]), 0)</f>
        <v>0</v>
      </c>
      <c r="X9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2" s="99">
        <f>MAX(SamplingData[[#This Row],[Error Bound (up) - Max. possible relative overstatement - Losing Candidate]:[Error Bound (up) - Max. possible relative overstatement - Candidate 12]])</f>
        <v>1.4216601595654388E-2</v>
      </c>
      <c r="AC962" s="99">
        <f>IF(SamplingData[[#This Row],[Max Error Bound (up)]] = 0,0,SamplingData[[#This Row],[Max Error Bound (up)]]/SamplingData[[#Totals],[Max Error Bound (up)]])</f>
        <v>7.6116988402952072E-4</v>
      </c>
      <c r="AD962" s="103">
        <f>SUM($AC$5:AC962)</f>
        <v>0.86333478750863701</v>
      </c>
      <c r="AE962" s="99" t="str" cm="1">
        <f t="array" ref="AE962">IF(SamplingData[[#This Row],[up/U Selection Probability]] = 0, "Zero", TEXT(SamplingData[[#This Row],[Lower Range]], REPT("0",LEN('General Info'!$B$42))) &amp; " - " &amp; TEXT(SamplingData[[#This Row],[Upper Range]], REPT("0",LEN('General Info'!$B$42))))</f>
        <v>862574 - 863334</v>
      </c>
      <c r="AF962" s="99">
        <f>SamplingData[[#This Row],[Upper Range]]-SamplingData[[#This Row],[Span]]</f>
        <v>862573.61762460752</v>
      </c>
      <c r="AG962" s="99">
        <f>IF(ISNUMBER('General Info'!$B$42), ((SamplingData[[#This Row],[up/U Selection Probability]]) * 'General Info'!$B$44) - 1, 0)</f>
        <v>760.16988402952074</v>
      </c>
      <c r="AH962" s="99">
        <f>IF(ISNUMBER('General Info'!$B$42), (SamplingData[[#This Row],[Running (cumulative) sum]] * ('General Info'!$B$42 -'General Info'!$B$43 + 1)) + 'General Info'!$B$43 - 1, 0)</f>
        <v>863333.78750863706</v>
      </c>
      <c r="AI962" s="99" t="str">
        <f>IF(ISERROR(MATCH(SamplingData[[#This Row],[Batch by Type (p)]],SelectedPrecincts[Batch Name], 0)), "", INDEX(SelectedPrecincts[Draw], MATCH(SamplingData[[#This Row],[Batch by Type (p)]],SelectedPrecincts[Batch Name], 0)))</f>
        <v/>
      </c>
      <c r="AJ962" s="100">
        <f>IF(COUNTIF(SelectedPrecincts[Batch Name],SamplingData[[#This Row],[Batch by Type (p)]]) &lt;&gt; 0, COUNTIF(SelectedPrecincts[Batch Name],SamplingData[[#This Row],[Batch by Type (p)]]), 0)</f>
        <v>0</v>
      </c>
    </row>
    <row r="963" spans="1:36" ht="15" customHeight="1" x14ac:dyDescent="0.35">
      <c r="A963" s="97" t="s">
        <v>1176</v>
      </c>
      <c r="B963" s="97">
        <v>77</v>
      </c>
      <c r="C963" s="97">
        <v>651</v>
      </c>
      <c r="D963" s="92"/>
      <c r="E963" s="92"/>
      <c r="F963" s="92"/>
      <c r="G963" s="96"/>
      <c r="H963" s="96"/>
      <c r="I963" s="92"/>
      <c r="J963" s="92"/>
      <c r="K963" s="92"/>
      <c r="L963" s="92"/>
      <c r="M963" s="92"/>
      <c r="N963" s="97">
        <v>0</v>
      </c>
      <c r="O963" s="97">
        <v>54</v>
      </c>
      <c r="P963" s="98">
        <f>SUM(SamplingData[[#This Row],[Winning Candidate]:[Under Votes]])</f>
        <v>782</v>
      </c>
      <c r="Q963" s="99">
        <f>IF(AND(SamplingData[[#This Row],[Total]]&lt;&gt; 0, NOT(ISBLANK(SamplingData[[#This Row],[Losing Candidate]]))),(SamplingData[[#This Row],[Total]]+SamplingData[[#This Row],[Winning Candidate]]-SamplingData[[#This Row],[Losing Candidate]])/(SamplingData[[#Totals],[Winning Candidate]]-SamplingData[[#Totals],[Losing Candidate]]), 0)</f>
        <v>8.8270242743167544E-3</v>
      </c>
      <c r="R963" s="99">
        <f>IF(AND(SamplingData[[#This Row],[Total]]&lt;&gt; 0, NOT(ISBLANK(SamplingData[[#This Row],[Candidate 3]]))),(SamplingData[[#This Row],[Total]]+SamplingData[[#This Row],[Winning Candidate]]-SamplingData[[#This Row],[Candidate 3]])/(SamplingData[[#Totals],[Winning Candidate]]-SamplingData[[#Totals],[Candidate 3]]), 0)</f>
        <v>0</v>
      </c>
      <c r="S963" s="99">
        <f>IF(AND(SamplingData[[#This Row],[Total]]&lt;&gt; 0, NOT(ISBLANK(SamplingData[[#This Row],[Candidate 4]]))),(SamplingData[[#This Row],[Total]]+SamplingData[[#This Row],[Winning Candidate]]-SamplingData[[#This Row],[Candidate 4]])/(SamplingData[[#Totals],[Winning Candidate]]-SamplingData[[#Totals],[Candidate 4]]), 0)</f>
        <v>0</v>
      </c>
      <c r="T963" s="99">
        <f>IF(AND(SamplingData[[#This Row],[Total]]&lt;&gt; 0, NOT(ISBLANK(SamplingData[[#This Row],[Candidate 5]]))),(SamplingData[[#This Row],[Total]]+SamplingData[[#This Row],[Winning Candidate]]-SamplingData[[#This Row],[Candidate 5]])/(SamplingData[[#Totals],[Winning Candidate]]-SamplingData[[#Totals],[Candidate 5]]), 0)</f>
        <v>0</v>
      </c>
      <c r="U963" s="99">
        <f>IF(AND(SamplingData[[#This Row],[Total]]&lt;&gt; 0, NOT(ISBLANK(SamplingData[[#This Row],[Candidate 6]]))),(SamplingData[[#This Row],[Total]]+SamplingData[[#This Row],[Losing Candidate]]-SamplingData[[#This Row],[Candidate 6]])/(SamplingData[[#Totals],[Winning Candidate]]-SamplingData[[#Totals],[Candidate 6]]), 0)</f>
        <v>0</v>
      </c>
      <c r="V963" s="99">
        <f>IF(AND(SamplingData[[#This Row],[Total]]&lt;&gt; 0, NOT(ISBLANK(SamplingData[[#This Row],[Candidate 7]]))),(SamplingData[[#This Row],[Total]]+SamplingData[[#This Row],[Winning Candidate]]-SamplingData[[#This Row],[Candidate 7]])/(SamplingData[[#Totals],[Winning Candidate]]-SamplingData[[#Totals],[Candidate 7]]), 0)</f>
        <v>0</v>
      </c>
      <c r="W963" s="99">
        <f>IF(AND(SamplingData[[#This Row],[Total]]&lt;&gt; 0, NOT(ISBLANK(SamplingData[[#This Row],[Candidate 8]]))),(SamplingData[[#This Row],[Total]]+SamplingData[[#This Row],[Winning Candidate]]-SamplingData[[#This Row],[Candidate 8]])/(SamplingData[[#Totals],[Winning Candidate]]-SamplingData[[#Totals],[Candidate 8]]), 0)</f>
        <v>0</v>
      </c>
      <c r="X9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3" s="99">
        <f>MAX(SamplingData[[#This Row],[Error Bound (up) - Max. possible relative overstatement - Losing Candidate]:[Error Bound (up) - Max. possible relative overstatement - Candidate 12]])</f>
        <v>8.8270242743167544E-3</v>
      </c>
      <c r="AC963" s="99">
        <f>IF(SamplingData[[#This Row],[Max Error Bound (up)]] = 0,0,SamplingData[[#This Row],[Max Error Bound (up)]]/SamplingData[[#Totals],[Max Error Bound (up)]])</f>
        <v>4.7260697277056807E-4</v>
      </c>
      <c r="AD963" s="103">
        <f>SUM($AC$5:AC963)</f>
        <v>0.86380739448140753</v>
      </c>
      <c r="AE963" s="99" t="str" cm="1">
        <f t="array" ref="AE963">IF(SamplingData[[#This Row],[up/U Selection Probability]] = 0, "Zero", TEXT(SamplingData[[#This Row],[Lower Range]], REPT("0",LEN('General Info'!$B$42))) &amp; " - " &amp; TEXT(SamplingData[[#This Row],[Upper Range]], REPT("0",LEN('General Info'!$B$42))))</f>
        <v>863335 - 863806</v>
      </c>
      <c r="AF963" s="99">
        <f>SamplingData[[#This Row],[Upper Range]]-SamplingData[[#This Row],[Span]]</f>
        <v>863334.78750863695</v>
      </c>
      <c r="AG963" s="99">
        <f>IF(ISNUMBER('General Info'!$B$42), ((SamplingData[[#This Row],[up/U Selection Probability]]) * 'General Info'!$B$44) - 1, 0)</f>
        <v>471.60697277056806</v>
      </c>
      <c r="AH963" s="99">
        <f>IF(ISNUMBER('General Info'!$B$42), (SamplingData[[#This Row],[Running (cumulative) sum]] * ('General Info'!$B$42 -'General Info'!$B$43 + 1)) + 'General Info'!$B$43 - 1, 0)</f>
        <v>863806.39448140748</v>
      </c>
      <c r="AI963" s="99" t="str">
        <f>IF(ISERROR(MATCH(SamplingData[[#This Row],[Batch by Type (p)]],SelectedPrecincts[Batch Name], 0)), "", INDEX(SelectedPrecincts[Draw], MATCH(SamplingData[[#This Row],[Batch by Type (p)]],SelectedPrecincts[Batch Name], 0)))</f>
        <v/>
      </c>
      <c r="AJ963" s="100">
        <f>IF(COUNTIF(SelectedPrecincts[Batch Name],SamplingData[[#This Row],[Batch by Type (p)]]) &lt;&gt; 0, COUNTIF(SelectedPrecincts[Batch Name],SamplingData[[#This Row],[Batch by Type (p)]]), 0)</f>
        <v>0</v>
      </c>
    </row>
    <row r="964" spans="1:36" ht="15" customHeight="1" x14ac:dyDescent="0.35">
      <c r="A964" s="97" t="s">
        <v>1177</v>
      </c>
      <c r="B964" s="97">
        <v>209</v>
      </c>
      <c r="C964" s="97">
        <v>386</v>
      </c>
      <c r="D964" s="92"/>
      <c r="E964" s="92"/>
      <c r="F964" s="92"/>
      <c r="G964" s="96"/>
      <c r="H964" s="96"/>
      <c r="I964" s="92"/>
      <c r="J964" s="92"/>
      <c r="K964" s="92"/>
      <c r="L964" s="92"/>
      <c r="M964" s="92"/>
      <c r="N964" s="97">
        <v>0</v>
      </c>
      <c r="O964" s="97">
        <v>47</v>
      </c>
      <c r="P964" s="98">
        <f>SUM(SamplingData[[#This Row],[Winning Candidate]:[Under Votes]])</f>
        <v>642</v>
      </c>
      <c r="Q964" s="99">
        <f>IF(AND(SamplingData[[#This Row],[Total]]&lt;&gt; 0, NOT(ISBLANK(SamplingData[[#This Row],[Losing Candidate]]))),(SamplingData[[#This Row],[Total]]+SamplingData[[#This Row],[Winning Candidate]]-SamplingData[[#This Row],[Losing Candidate]])/(SamplingData[[#Totals],[Winning Candidate]]-SamplingData[[#Totals],[Losing Candidate]]), 0)</f>
        <v>1.973349176710236E-2</v>
      </c>
      <c r="R964" s="99">
        <f>IF(AND(SamplingData[[#This Row],[Total]]&lt;&gt; 0, NOT(ISBLANK(SamplingData[[#This Row],[Candidate 3]]))),(SamplingData[[#This Row],[Total]]+SamplingData[[#This Row],[Winning Candidate]]-SamplingData[[#This Row],[Candidate 3]])/(SamplingData[[#Totals],[Winning Candidate]]-SamplingData[[#Totals],[Candidate 3]]), 0)</f>
        <v>0</v>
      </c>
      <c r="S964" s="99">
        <f>IF(AND(SamplingData[[#This Row],[Total]]&lt;&gt; 0, NOT(ISBLANK(SamplingData[[#This Row],[Candidate 4]]))),(SamplingData[[#This Row],[Total]]+SamplingData[[#This Row],[Winning Candidate]]-SamplingData[[#This Row],[Candidate 4]])/(SamplingData[[#Totals],[Winning Candidate]]-SamplingData[[#Totals],[Candidate 4]]), 0)</f>
        <v>0</v>
      </c>
      <c r="T964" s="99">
        <f>IF(AND(SamplingData[[#This Row],[Total]]&lt;&gt; 0, NOT(ISBLANK(SamplingData[[#This Row],[Candidate 5]]))),(SamplingData[[#This Row],[Total]]+SamplingData[[#This Row],[Winning Candidate]]-SamplingData[[#This Row],[Candidate 5]])/(SamplingData[[#Totals],[Winning Candidate]]-SamplingData[[#Totals],[Candidate 5]]), 0)</f>
        <v>0</v>
      </c>
      <c r="U964" s="99">
        <f>IF(AND(SamplingData[[#This Row],[Total]]&lt;&gt; 0, NOT(ISBLANK(SamplingData[[#This Row],[Candidate 6]]))),(SamplingData[[#This Row],[Total]]+SamplingData[[#This Row],[Losing Candidate]]-SamplingData[[#This Row],[Candidate 6]])/(SamplingData[[#Totals],[Winning Candidate]]-SamplingData[[#Totals],[Candidate 6]]), 0)</f>
        <v>0</v>
      </c>
      <c r="V964" s="99">
        <f>IF(AND(SamplingData[[#This Row],[Total]]&lt;&gt; 0, NOT(ISBLANK(SamplingData[[#This Row],[Candidate 7]]))),(SamplingData[[#This Row],[Total]]+SamplingData[[#This Row],[Winning Candidate]]-SamplingData[[#This Row],[Candidate 7]])/(SamplingData[[#Totals],[Winning Candidate]]-SamplingData[[#Totals],[Candidate 7]]), 0)</f>
        <v>0</v>
      </c>
      <c r="W964" s="99">
        <f>IF(AND(SamplingData[[#This Row],[Total]]&lt;&gt; 0, NOT(ISBLANK(SamplingData[[#This Row],[Candidate 8]]))),(SamplingData[[#This Row],[Total]]+SamplingData[[#This Row],[Winning Candidate]]-SamplingData[[#This Row],[Candidate 8]])/(SamplingData[[#Totals],[Winning Candidate]]-SamplingData[[#Totals],[Candidate 8]]), 0)</f>
        <v>0</v>
      </c>
      <c r="X9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4" s="99">
        <f>MAX(SamplingData[[#This Row],[Error Bound (up) - Max. possible relative overstatement - Losing Candidate]:[Error Bound (up) - Max. possible relative overstatement - Candidate 12]])</f>
        <v>1.973349176710236E-2</v>
      </c>
      <c r="AC964" s="99">
        <f>IF(SamplingData[[#This Row],[Max Error Bound (up)]] = 0,0,SamplingData[[#This Row],[Max Error Bound (up)]]/SamplingData[[#Totals],[Max Error Bound (up)]])</f>
        <v>1.0565492420111257E-3</v>
      </c>
      <c r="AD964" s="103">
        <f>SUM($AC$5:AC964)</f>
        <v>0.86486394372341868</v>
      </c>
      <c r="AE964" s="99" t="str" cm="1">
        <f t="array" ref="AE964">IF(SamplingData[[#This Row],[up/U Selection Probability]] = 0, "Zero", TEXT(SamplingData[[#This Row],[Lower Range]], REPT("0",LEN('General Info'!$B$42))) &amp; " - " &amp; TEXT(SamplingData[[#This Row],[Upper Range]], REPT("0",LEN('General Info'!$B$42))))</f>
        <v>863807 - 864863</v>
      </c>
      <c r="AF964" s="99">
        <f>SamplingData[[#This Row],[Upper Range]]-SamplingData[[#This Row],[Span]]</f>
        <v>863807.39448140748</v>
      </c>
      <c r="AG964" s="99">
        <f>IF(ISNUMBER('General Info'!$B$42), ((SamplingData[[#This Row],[up/U Selection Probability]]) * 'General Info'!$B$44) - 1, 0)</f>
        <v>1055.5492420111257</v>
      </c>
      <c r="AH964" s="99">
        <f>IF(ISNUMBER('General Info'!$B$42), (SamplingData[[#This Row],[Running (cumulative) sum]] * ('General Info'!$B$42 -'General Info'!$B$43 + 1)) + 'General Info'!$B$43 - 1, 0)</f>
        <v>864862.94372341863</v>
      </c>
      <c r="AI964" s="99" t="str">
        <f>IF(ISERROR(MATCH(SamplingData[[#This Row],[Batch by Type (p)]],SelectedPrecincts[Batch Name], 0)), "", INDEX(SelectedPrecincts[Draw], MATCH(SamplingData[[#This Row],[Batch by Type (p)]],SelectedPrecincts[Batch Name], 0)))</f>
        <v/>
      </c>
      <c r="AJ964" s="100">
        <f>IF(COUNTIF(SelectedPrecincts[Batch Name],SamplingData[[#This Row],[Batch by Type (p)]]) &lt;&gt; 0, COUNTIF(SelectedPrecincts[Batch Name],SamplingData[[#This Row],[Batch by Type (p)]]), 0)</f>
        <v>0</v>
      </c>
    </row>
    <row r="965" spans="1:36" ht="15" customHeight="1" x14ac:dyDescent="0.35">
      <c r="A965" s="97" t="s">
        <v>1178</v>
      </c>
      <c r="B965" s="97">
        <v>179</v>
      </c>
      <c r="C965" s="97">
        <v>345</v>
      </c>
      <c r="D965" s="92"/>
      <c r="E965" s="92"/>
      <c r="F965" s="92"/>
      <c r="G965" s="96"/>
      <c r="H965" s="96"/>
      <c r="I965" s="92"/>
      <c r="J965" s="92"/>
      <c r="K965" s="92"/>
      <c r="L965" s="92"/>
      <c r="M965" s="92"/>
      <c r="N965" s="97">
        <v>0</v>
      </c>
      <c r="O965" s="97">
        <v>38</v>
      </c>
      <c r="P965" s="98">
        <f>SUM(SamplingData[[#This Row],[Winning Candidate]:[Under Votes]])</f>
        <v>562</v>
      </c>
      <c r="Q965" s="99">
        <f>IF(AND(SamplingData[[#This Row],[Total]]&lt;&gt; 0, NOT(ISBLANK(SamplingData[[#This Row],[Losing Candidate]]))),(SamplingData[[#This Row],[Total]]+SamplingData[[#This Row],[Winning Candidate]]-SamplingData[[#This Row],[Losing Candidate]])/(SamplingData[[#Totals],[Winning Candidate]]-SamplingData[[#Totals],[Losing Candidate]]), 0)</f>
        <v>1.6805296214564589E-2</v>
      </c>
      <c r="R965" s="99">
        <f>IF(AND(SamplingData[[#This Row],[Total]]&lt;&gt; 0, NOT(ISBLANK(SamplingData[[#This Row],[Candidate 3]]))),(SamplingData[[#This Row],[Total]]+SamplingData[[#This Row],[Winning Candidate]]-SamplingData[[#This Row],[Candidate 3]])/(SamplingData[[#Totals],[Winning Candidate]]-SamplingData[[#Totals],[Candidate 3]]), 0)</f>
        <v>0</v>
      </c>
      <c r="S965" s="99">
        <f>IF(AND(SamplingData[[#This Row],[Total]]&lt;&gt; 0, NOT(ISBLANK(SamplingData[[#This Row],[Candidate 4]]))),(SamplingData[[#This Row],[Total]]+SamplingData[[#This Row],[Winning Candidate]]-SamplingData[[#This Row],[Candidate 4]])/(SamplingData[[#Totals],[Winning Candidate]]-SamplingData[[#Totals],[Candidate 4]]), 0)</f>
        <v>0</v>
      </c>
      <c r="T965" s="99">
        <f>IF(AND(SamplingData[[#This Row],[Total]]&lt;&gt; 0, NOT(ISBLANK(SamplingData[[#This Row],[Candidate 5]]))),(SamplingData[[#This Row],[Total]]+SamplingData[[#This Row],[Winning Candidate]]-SamplingData[[#This Row],[Candidate 5]])/(SamplingData[[#Totals],[Winning Candidate]]-SamplingData[[#Totals],[Candidate 5]]), 0)</f>
        <v>0</v>
      </c>
      <c r="U965" s="99">
        <f>IF(AND(SamplingData[[#This Row],[Total]]&lt;&gt; 0, NOT(ISBLANK(SamplingData[[#This Row],[Candidate 6]]))),(SamplingData[[#This Row],[Total]]+SamplingData[[#This Row],[Losing Candidate]]-SamplingData[[#This Row],[Candidate 6]])/(SamplingData[[#Totals],[Winning Candidate]]-SamplingData[[#Totals],[Candidate 6]]), 0)</f>
        <v>0</v>
      </c>
      <c r="V965" s="99">
        <f>IF(AND(SamplingData[[#This Row],[Total]]&lt;&gt; 0, NOT(ISBLANK(SamplingData[[#This Row],[Candidate 7]]))),(SamplingData[[#This Row],[Total]]+SamplingData[[#This Row],[Winning Candidate]]-SamplingData[[#This Row],[Candidate 7]])/(SamplingData[[#Totals],[Winning Candidate]]-SamplingData[[#Totals],[Candidate 7]]), 0)</f>
        <v>0</v>
      </c>
      <c r="W965" s="99">
        <f>IF(AND(SamplingData[[#This Row],[Total]]&lt;&gt; 0, NOT(ISBLANK(SamplingData[[#This Row],[Candidate 8]]))),(SamplingData[[#This Row],[Total]]+SamplingData[[#This Row],[Winning Candidate]]-SamplingData[[#This Row],[Candidate 8]])/(SamplingData[[#Totals],[Winning Candidate]]-SamplingData[[#Totals],[Candidate 8]]), 0)</f>
        <v>0</v>
      </c>
      <c r="X9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5" s="99">
        <f>MAX(SamplingData[[#This Row],[Error Bound (up) - Max. possible relative overstatement - Losing Candidate]:[Error Bound (up) - Max. possible relative overstatement - Candidate 12]])</f>
        <v>1.6805296214564589E-2</v>
      </c>
      <c r="AC965" s="99">
        <f>IF(SamplingData[[#This Row],[Max Error Bound (up)]] = 0,0,SamplingData[[#This Row],[Max Error Bound (up)]]/SamplingData[[#Totals],[Max Error Bound (up)]])</f>
        <v>8.9977096739011998E-4</v>
      </c>
      <c r="AD965" s="103">
        <f>SUM($AC$5:AC965)</f>
        <v>0.86576371469080882</v>
      </c>
      <c r="AE965" s="99" t="str" cm="1">
        <f t="array" ref="AE965">IF(SamplingData[[#This Row],[up/U Selection Probability]] = 0, "Zero", TEXT(SamplingData[[#This Row],[Lower Range]], REPT("0",LEN('General Info'!$B$42))) &amp; " - " &amp; TEXT(SamplingData[[#This Row],[Upper Range]], REPT("0",LEN('General Info'!$B$42))))</f>
        <v>864864 - 865763</v>
      </c>
      <c r="AF965" s="99">
        <f>SamplingData[[#This Row],[Upper Range]]-SamplingData[[#This Row],[Span]]</f>
        <v>864863.94372341863</v>
      </c>
      <c r="AG965" s="99">
        <f>IF(ISNUMBER('General Info'!$B$42), ((SamplingData[[#This Row],[up/U Selection Probability]]) * 'General Info'!$B$44) - 1, 0)</f>
        <v>898.77096739011995</v>
      </c>
      <c r="AH965" s="99">
        <f>IF(ISNUMBER('General Info'!$B$42), (SamplingData[[#This Row],[Running (cumulative) sum]] * ('General Info'!$B$42 -'General Info'!$B$43 + 1)) + 'General Info'!$B$43 - 1, 0)</f>
        <v>865762.71469080879</v>
      </c>
      <c r="AI965" s="99" t="str">
        <f>IF(ISERROR(MATCH(SamplingData[[#This Row],[Batch by Type (p)]],SelectedPrecincts[Batch Name], 0)), "", INDEX(SelectedPrecincts[Draw], MATCH(SamplingData[[#This Row],[Batch by Type (p)]],SelectedPrecincts[Batch Name], 0)))</f>
        <v/>
      </c>
      <c r="AJ965" s="100">
        <f>IF(COUNTIF(SelectedPrecincts[Batch Name],SamplingData[[#This Row],[Batch by Type (p)]]) &lt;&gt; 0, COUNTIF(SelectedPrecincts[Batch Name],SamplingData[[#This Row],[Batch by Type (p)]]), 0)</f>
        <v>0</v>
      </c>
    </row>
    <row r="966" spans="1:36" ht="15" customHeight="1" x14ac:dyDescent="0.35">
      <c r="A966" s="97" t="s">
        <v>1179</v>
      </c>
      <c r="B966" s="97">
        <v>146</v>
      </c>
      <c r="C966" s="97">
        <v>470</v>
      </c>
      <c r="D966" s="92"/>
      <c r="E966" s="92"/>
      <c r="F966" s="92"/>
      <c r="G966" s="96"/>
      <c r="H966" s="96"/>
      <c r="I966" s="92"/>
      <c r="J966" s="92"/>
      <c r="K966" s="92"/>
      <c r="L966" s="92"/>
      <c r="M966" s="92"/>
      <c r="N966" s="97">
        <v>2</v>
      </c>
      <c r="O966" s="97">
        <v>56</v>
      </c>
      <c r="P966" s="98">
        <f>SUM(SamplingData[[#This Row],[Winning Candidate]:[Under Votes]])</f>
        <v>674</v>
      </c>
      <c r="Q966" s="99">
        <f>IF(AND(SamplingData[[#This Row],[Total]]&lt;&gt; 0, NOT(ISBLANK(SamplingData[[#This Row],[Losing Candidate]]))),(SamplingData[[#This Row],[Total]]+SamplingData[[#This Row],[Winning Candidate]]-SamplingData[[#This Row],[Losing Candidate]])/(SamplingData[[#Totals],[Winning Candidate]]-SamplingData[[#Totals],[Losing Candidate]]), 0)</f>
        <v>1.4853165846206077E-2</v>
      </c>
      <c r="R966" s="99">
        <f>IF(AND(SamplingData[[#This Row],[Total]]&lt;&gt; 0, NOT(ISBLANK(SamplingData[[#This Row],[Candidate 3]]))),(SamplingData[[#This Row],[Total]]+SamplingData[[#This Row],[Winning Candidate]]-SamplingData[[#This Row],[Candidate 3]])/(SamplingData[[#Totals],[Winning Candidate]]-SamplingData[[#Totals],[Candidate 3]]), 0)</f>
        <v>0</v>
      </c>
      <c r="S966" s="99">
        <f>IF(AND(SamplingData[[#This Row],[Total]]&lt;&gt; 0, NOT(ISBLANK(SamplingData[[#This Row],[Candidate 4]]))),(SamplingData[[#This Row],[Total]]+SamplingData[[#This Row],[Winning Candidate]]-SamplingData[[#This Row],[Candidate 4]])/(SamplingData[[#Totals],[Winning Candidate]]-SamplingData[[#Totals],[Candidate 4]]), 0)</f>
        <v>0</v>
      </c>
      <c r="T966" s="99">
        <f>IF(AND(SamplingData[[#This Row],[Total]]&lt;&gt; 0, NOT(ISBLANK(SamplingData[[#This Row],[Candidate 5]]))),(SamplingData[[#This Row],[Total]]+SamplingData[[#This Row],[Winning Candidate]]-SamplingData[[#This Row],[Candidate 5]])/(SamplingData[[#Totals],[Winning Candidate]]-SamplingData[[#Totals],[Candidate 5]]), 0)</f>
        <v>0</v>
      </c>
      <c r="U966" s="99">
        <f>IF(AND(SamplingData[[#This Row],[Total]]&lt;&gt; 0, NOT(ISBLANK(SamplingData[[#This Row],[Candidate 6]]))),(SamplingData[[#This Row],[Total]]+SamplingData[[#This Row],[Losing Candidate]]-SamplingData[[#This Row],[Candidate 6]])/(SamplingData[[#Totals],[Winning Candidate]]-SamplingData[[#Totals],[Candidate 6]]), 0)</f>
        <v>0</v>
      </c>
      <c r="V966" s="99">
        <f>IF(AND(SamplingData[[#This Row],[Total]]&lt;&gt; 0, NOT(ISBLANK(SamplingData[[#This Row],[Candidate 7]]))),(SamplingData[[#This Row],[Total]]+SamplingData[[#This Row],[Winning Candidate]]-SamplingData[[#This Row],[Candidate 7]])/(SamplingData[[#Totals],[Winning Candidate]]-SamplingData[[#Totals],[Candidate 7]]), 0)</f>
        <v>0</v>
      </c>
      <c r="W966" s="99">
        <f>IF(AND(SamplingData[[#This Row],[Total]]&lt;&gt; 0, NOT(ISBLANK(SamplingData[[#This Row],[Candidate 8]]))),(SamplingData[[#This Row],[Total]]+SamplingData[[#This Row],[Winning Candidate]]-SamplingData[[#This Row],[Candidate 8]])/(SamplingData[[#Totals],[Winning Candidate]]-SamplingData[[#Totals],[Candidate 8]]), 0)</f>
        <v>0</v>
      </c>
      <c r="X9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6" s="99">
        <f>MAX(SamplingData[[#This Row],[Error Bound (up) - Max. possible relative overstatement - Losing Candidate]:[Error Bound (up) - Max. possible relative overstatement - Candidate 12]])</f>
        <v>1.4853165846206077E-2</v>
      </c>
      <c r="AC966" s="99">
        <f>IF(SamplingData[[#This Row],[Max Error Bound (up)]] = 0,0,SamplingData[[#This Row],[Max Error Bound (up)]]/SamplingData[[#Totals],[Max Error Bound (up)]])</f>
        <v>7.9525211764278287E-4</v>
      </c>
      <c r="AD966" s="103">
        <f>SUM($AC$5:AC966)</f>
        <v>0.86655896680845157</v>
      </c>
      <c r="AE966" s="99" t="str" cm="1">
        <f t="array" ref="AE966">IF(SamplingData[[#This Row],[up/U Selection Probability]] = 0, "Zero", TEXT(SamplingData[[#This Row],[Lower Range]], REPT("0",LEN('General Info'!$B$42))) &amp; " - " &amp; TEXT(SamplingData[[#This Row],[Upper Range]], REPT("0",LEN('General Info'!$B$42))))</f>
        <v>865764 - 866558</v>
      </c>
      <c r="AF966" s="99">
        <f>SamplingData[[#This Row],[Upper Range]]-SamplingData[[#This Row],[Span]]</f>
        <v>865763.71469080879</v>
      </c>
      <c r="AG966" s="99">
        <f>IF(ISNUMBER('General Info'!$B$42), ((SamplingData[[#This Row],[up/U Selection Probability]]) * 'General Info'!$B$44) - 1, 0)</f>
        <v>794.25211764278288</v>
      </c>
      <c r="AH966" s="99">
        <f>IF(ISNUMBER('General Info'!$B$42), (SamplingData[[#This Row],[Running (cumulative) sum]] * ('General Info'!$B$42 -'General Info'!$B$43 + 1)) + 'General Info'!$B$43 - 1, 0)</f>
        <v>866557.96680845157</v>
      </c>
      <c r="AI966" s="99" t="str">
        <f>IF(ISERROR(MATCH(SamplingData[[#This Row],[Batch by Type (p)]],SelectedPrecincts[Batch Name], 0)), "", INDEX(SelectedPrecincts[Draw], MATCH(SamplingData[[#This Row],[Batch by Type (p)]],SelectedPrecincts[Batch Name], 0)))</f>
        <v/>
      </c>
      <c r="AJ966" s="100">
        <f>IF(COUNTIF(SelectedPrecincts[Batch Name],SamplingData[[#This Row],[Batch by Type (p)]]) &lt;&gt; 0, COUNTIF(SelectedPrecincts[Batch Name],SamplingData[[#This Row],[Batch by Type (p)]]), 0)</f>
        <v>0</v>
      </c>
    </row>
    <row r="967" spans="1:36" ht="15" customHeight="1" x14ac:dyDescent="0.35">
      <c r="A967" s="97" t="s">
        <v>1180</v>
      </c>
      <c r="B967" s="97">
        <v>133</v>
      </c>
      <c r="C967" s="97">
        <v>332</v>
      </c>
      <c r="D967" s="92"/>
      <c r="E967" s="92"/>
      <c r="F967" s="92"/>
      <c r="G967" s="96"/>
      <c r="H967" s="96"/>
      <c r="I967" s="92"/>
      <c r="J967" s="92"/>
      <c r="K967" s="92"/>
      <c r="L967" s="92"/>
      <c r="M967" s="92"/>
      <c r="N967" s="97">
        <v>0</v>
      </c>
      <c r="O967" s="97">
        <v>38</v>
      </c>
      <c r="P967" s="98">
        <f>SUM(SamplingData[[#This Row],[Winning Candidate]:[Under Votes]])</f>
        <v>503</v>
      </c>
      <c r="Q967" s="99">
        <f>IF(AND(SamplingData[[#This Row],[Total]]&lt;&gt; 0, NOT(ISBLANK(SamplingData[[#This Row],[Losing Candidate]]))),(SamplingData[[#This Row],[Total]]+SamplingData[[#This Row],[Winning Candidate]]-SamplingData[[#This Row],[Losing Candidate]])/(SamplingData[[#Totals],[Winning Candidate]]-SamplingData[[#Totals],[Losing Candidate]]), 0)</f>
        <v>1.2901035477847564E-2</v>
      </c>
      <c r="R967" s="99">
        <f>IF(AND(SamplingData[[#This Row],[Total]]&lt;&gt; 0, NOT(ISBLANK(SamplingData[[#This Row],[Candidate 3]]))),(SamplingData[[#This Row],[Total]]+SamplingData[[#This Row],[Winning Candidate]]-SamplingData[[#This Row],[Candidate 3]])/(SamplingData[[#Totals],[Winning Candidate]]-SamplingData[[#Totals],[Candidate 3]]), 0)</f>
        <v>0</v>
      </c>
      <c r="S967" s="99">
        <f>IF(AND(SamplingData[[#This Row],[Total]]&lt;&gt; 0, NOT(ISBLANK(SamplingData[[#This Row],[Candidate 4]]))),(SamplingData[[#This Row],[Total]]+SamplingData[[#This Row],[Winning Candidate]]-SamplingData[[#This Row],[Candidate 4]])/(SamplingData[[#Totals],[Winning Candidate]]-SamplingData[[#Totals],[Candidate 4]]), 0)</f>
        <v>0</v>
      </c>
      <c r="T967" s="99">
        <f>IF(AND(SamplingData[[#This Row],[Total]]&lt;&gt; 0, NOT(ISBLANK(SamplingData[[#This Row],[Candidate 5]]))),(SamplingData[[#This Row],[Total]]+SamplingData[[#This Row],[Winning Candidate]]-SamplingData[[#This Row],[Candidate 5]])/(SamplingData[[#Totals],[Winning Candidate]]-SamplingData[[#Totals],[Candidate 5]]), 0)</f>
        <v>0</v>
      </c>
      <c r="U967" s="99">
        <f>IF(AND(SamplingData[[#This Row],[Total]]&lt;&gt; 0, NOT(ISBLANK(SamplingData[[#This Row],[Candidate 6]]))),(SamplingData[[#This Row],[Total]]+SamplingData[[#This Row],[Losing Candidate]]-SamplingData[[#This Row],[Candidate 6]])/(SamplingData[[#Totals],[Winning Candidate]]-SamplingData[[#Totals],[Candidate 6]]), 0)</f>
        <v>0</v>
      </c>
      <c r="V967" s="99">
        <f>IF(AND(SamplingData[[#This Row],[Total]]&lt;&gt; 0, NOT(ISBLANK(SamplingData[[#This Row],[Candidate 7]]))),(SamplingData[[#This Row],[Total]]+SamplingData[[#This Row],[Winning Candidate]]-SamplingData[[#This Row],[Candidate 7]])/(SamplingData[[#Totals],[Winning Candidate]]-SamplingData[[#Totals],[Candidate 7]]), 0)</f>
        <v>0</v>
      </c>
      <c r="W967" s="99">
        <f>IF(AND(SamplingData[[#This Row],[Total]]&lt;&gt; 0, NOT(ISBLANK(SamplingData[[#This Row],[Candidate 8]]))),(SamplingData[[#This Row],[Total]]+SamplingData[[#This Row],[Winning Candidate]]-SamplingData[[#This Row],[Candidate 8]])/(SamplingData[[#Totals],[Winning Candidate]]-SamplingData[[#Totals],[Candidate 8]]), 0)</f>
        <v>0</v>
      </c>
      <c r="X9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7" s="99">
        <f>MAX(SamplingData[[#This Row],[Error Bound (up) - Max. possible relative overstatement - Losing Candidate]:[Error Bound (up) - Max. possible relative overstatement - Candidate 12]])</f>
        <v>1.2901035477847564E-2</v>
      </c>
      <c r="AC967" s="99">
        <f>IF(SamplingData[[#This Row],[Max Error Bound (up)]] = 0,0,SamplingData[[#This Row],[Max Error Bound (up)]]/SamplingData[[#Totals],[Max Error Bound (up)]])</f>
        <v>6.9073326789544564E-4</v>
      </c>
      <c r="AD967" s="103">
        <f>SUM($AC$5:AC967)</f>
        <v>0.86724970007634705</v>
      </c>
      <c r="AE967" s="99" t="str" cm="1">
        <f t="array" ref="AE967">IF(SamplingData[[#This Row],[up/U Selection Probability]] = 0, "Zero", TEXT(SamplingData[[#This Row],[Lower Range]], REPT("0",LEN('General Info'!$B$42))) &amp; " - " &amp; TEXT(SamplingData[[#This Row],[Upper Range]], REPT("0",LEN('General Info'!$B$42))))</f>
        <v>866559 - 867249</v>
      </c>
      <c r="AF967" s="99">
        <f>SamplingData[[#This Row],[Upper Range]]-SamplingData[[#This Row],[Span]]</f>
        <v>866558.96680845169</v>
      </c>
      <c r="AG967" s="99">
        <f>IF(ISNUMBER('General Info'!$B$42), ((SamplingData[[#This Row],[up/U Selection Probability]]) * 'General Info'!$B$44) - 1, 0)</f>
        <v>689.73326789544569</v>
      </c>
      <c r="AH967" s="99">
        <f>IF(ISNUMBER('General Info'!$B$42), (SamplingData[[#This Row],[Running (cumulative) sum]] * ('General Info'!$B$42 -'General Info'!$B$43 + 1)) + 'General Info'!$B$43 - 1, 0)</f>
        <v>867248.7000763471</v>
      </c>
      <c r="AI967" s="99" t="str">
        <f>IF(ISERROR(MATCH(SamplingData[[#This Row],[Batch by Type (p)]],SelectedPrecincts[Batch Name], 0)), "", INDEX(SelectedPrecincts[Draw], MATCH(SamplingData[[#This Row],[Batch by Type (p)]],SelectedPrecincts[Batch Name], 0)))</f>
        <v/>
      </c>
      <c r="AJ967" s="100">
        <f>IF(COUNTIF(SelectedPrecincts[Batch Name],SamplingData[[#This Row],[Batch by Type (p)]]) &lt;&gt; 0, COUNTIF(SelectedPrecincts[Batch Name],SamplingData[[#This Row],[Batch by Type (p)]]), 0)</f>
        <v>0</v>
      </c>
    </row>
    <row r="968" spans="1:36" ht="15" customHeight="1" x14ac:dyDescent="0.35">
      <c r="A968" s="97" t="s">
        <v>1181</v>
      </c>
      <c r="B968" s="97">
        <v>113</v>
      </c>
      <c r="C968" s="97">
        <v>475</v>
      </c>
      <c r="D968" s="92"/>
      <c r="E968" s="92"/>
      <c r="F968" s="92"/>
      <c r="G968" s="96"/>
      <c r="H968" s="96"/>
      <c r="I968" s="92"/>
      <c r="J968" s="92"/>
      <c r="K968" s="92"/>
      <c r="L968" s="92"/>
      <c r="M968" s="92"/>
      <c r="N968" s="97">
        <v>1</v>
      </c>
      <c r="O968" s="97">
        <v>37</v>
      </c>
      <c r="P968" s="98">
        <f>SUM(SamplingData[[#This Row],[Winning Candidate]:[Under Votes]])</f>
        <v>626</v>
      </c>
      <c r="Q968" s="99">
        <f>IF(AND(SamplingData[[#This Row],[Total]]&lt;&gt; 0, NOT(ISBLANK(SamplingData[[#This Row],[Losing Candidate]]))),(SamplingData[[#This Row],[Total]]+SamplingData[[#This Row],[Winning Candidate]]-SamplingData[[#This Row],[Losing Candidate]])/(SamplingData[[#Totals],[Winning Candidate]]-SamplingData[[#Totals],[Losing Candidate]]), 0)</f>
        <v>1.1203530809709726E-2</v>
      </c>
      <c r="R968" s="99">
        <f>IF(AND(SamplingData[[#This Row],[Total]]&lt;&gt; 0, NOT(ISBLANK(SamplingData[[#This Row],[Candidate 3]]))),(SamplingData[[#This Row],[Total]]+SamplingData[[#This Row],[Winning Candidate]]-SamplingData[[#This Row],[Candidate 3]])/(SamplingData[[#Totals],[Winning Candidate]]-SamplingData[[#Totals],[Candidate 3]]), 0)</f>
        <v>0</v>
      </c>
      <c r="S968" s="99">
        <f>IF(AND(SamplingData[[#This Row],[Total]]&lt;&gt; 0, NOT(ISBLANK(SamplingData[[#This Row],[Candidate 4]]))),(SamplingData[[#This Row],[Total]]+SamplingData[[#This Row],[Winning Candidate]]-SamplingData[[#This Row],[Candidate 4]])/(SamplingData[[#Totals],[Winning Candidate]]-SamplingData[[#Totals],[Candidate 4]]), 0)</f>
        <v>0</v>
      </c>
      <c r="T968" s="99">
        <f>IF(AND(SamplingData[[#This Row],[Total]]&lt;&gt; 0, NOT(ISBLANK(SamplingData[[#This Row],[Candidate 5]]))),(SamplingData[[#This Row],[Total]]+SamplingData[[#This Row],[Winning Candidate]]-SamplingData[[#This Row],[Candidate 5]])/(SamplingData[[#Totals],[Winning Candidate]]-SamplingData[[#Totals],[Candidate 5]]), 0)</f>
        <v>0</v>
      </c>
      <c r="U968" s="99">
        <f>IF(AND(SamplingData[[#This Row],[Total]]&lt;&gt; 0, NOT(ISBLANK(SamplingData[[#This Row],[Candidate 6]]))),(SamplingData[[#This Row],[Total]]+SamplingData[[#This Row],[Losing Candidate]]-SamplingData[[#This Row],[Candidate 6]])/(SamplingData[[#Totals],[Winning Candidate]]-SamplingData[[#Totals],[Candidate 6]]), 0)</f>
        <v>0</v>
      </c>
      <c r="V968" s="99">
        <f>IF(AND(SamplingData[[#This Row],[Total]]&lt;&gt; 0, NOT(ISBLANK(SamplingData[[#This Row],[Candidate 7]]))),(SamplingData[[#This Row],[Total]]+SamplingData[[#This Row],[Winning Candidate]]-SamplingData[[#This Row],[Candidate 7]])/(SamplingData[[#Totals],[Winning Candidate]]-SamplingData[[#Totals],[Candidate 7]]), 0)</f>
        <v>0</v>
      </c>
      <c r="W968" s="99">
        <f>IF(AND(SamplingData[[#This Row],[Total]]&lt;&gt; 0, NOT(ISBLANK(SamplingData[[#This Row],[Candidate 8]]))),(SamplingData[[#This Row],[Total]]+SamplingData[[#This Row],[Winning Candidate]]-SamplingData[[#This Row],[Candidate 8]])/(SamplingData[[#Totals],[Winning Candidate]]-SamplingData[[#Totals],[Candidate 8]]), 0)</f>
        <v>0</v>
      </c>
      <c r="X9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8" s="99">
        <f>MAX(SamplingData[[#This Row],[Error Bound (up) - Max. possible relative overstatement - Losing Candidate]:[Error Bound (up) - Max. possible relative overstatement - Candidate 12]])</f>
        <v>1.1203530809709726E-2</v>
      </c>
      <c r="AC968" s="99">
        <f>IF(SamplingData[[#This Row],[Max Error Bound (up)]] = 0,0,SamplingData[[#This Row],[Max Error Bound (up)]]/SamplingData[[#Totals],[Max Error Bound (up)]])</f>
        <v>5.9984731159341332E-4</v>
      </c>
      <c r="AD968" s="103">
        <f>SUM($AC$5:AC968)</f>
        <v>0.86784954738794051</v>
      </c>
      <c r="AE968" s="99" t="str" cm="1">
        <f t="array" ref="AE968">IF(SamplingData[[#This Row],[up/U Selection Probability]] = 0, "Zero", TEXT(SamplingData[[#This Row],[Lower Range]], REPT("0",LEN('General Info'!$B$42))) &amp; " - " &amp; TEXT(SamplingData[[#This Row],[Upper Range]], REPT("0",LEN('General Info'!$B$42))))</f>
        <v>867250 - 867849</v>
      </c>
      <c r="AF968" s="99">
        <f>SamplingData[[#This Row],[Upper Range]]-SamplingData[[#This Row],[Span]]</f>
        <v>867249.7000763471</v>
      </c>
      <c r="AG968" s="99">
        <f>IF(ISNUMBER('General Info'!$B$42), ((SamplingData[[#This Row],[up/U Selection Probability]]) * 'General Info'!$B$44) - 1, 0)</f>
        <v>598.84731159341334</v>
      </c>
      <c r="AH968" s="99">
        <f>IF(ISNUMBER('General Info'!$B$42), (SamplingData[[#This Row],[Running (cumulative) sum]] * ('General Info'!$B$42 -'General Info'!$B$43 + 1)) + 'General Info'!$B$43 - 1, 0)</f>
        <v>867848.54738794046</v>
      </c>
      <c r="AI968" s="99" t="str">
        <f>IF(ISERROR(MATCH(SamplingData[[#This Row],[Batch by Type (p)]],SelectedPrecincts[Batch Name], 0)), "", INDEX(SelectedPrecincts[Draw], MATCH(SamplingData[[#This Row],[Batch by Type (p)]],SelectedPrecincts[Batch Name], 0)))</f>
        <v/>
      </c>
      <c r="AJ968" s="100">
        <f>IF(COUNTIF(SelectedPrecincts[Batch Name],SamplingData[[#This Row],[Batch by Type (p)]]) &lt;&gt; 0, COUNTIF(SelectedPrecincts[Batch Name],SamplingData[[#This Row],[Batch by Type (p)]]), 0)</f>
        <v>0</v>
      </c>
    </row>
    <row r="969" spans="1:36" ht="15" customHeight="1" x14ac:dyDescent="0.35">
      <c r="A969" s="97" t="s">
        <v>1182</v>
      </c>
      <c r="B969" s="97">
        <v>175</v>
      </c>
      <c r="C969" s="97">
        <v>450</v>
      </c>
      <c r="D969" s="92"/>
      <c r="E969" s="92"/>
      <c r="F969" s="92"/>
      <c r="G969" s="96"/>
      <c r="H969" s="96"/>
      <c r="I969" s="92"/>
      <c r="J969" s="92"/>
      <c r="K969" s="92"/>
      <c r="L969" s="92"/>
      <c r="M969" s="92"/>
      <c r="N969" s="97">
        <v>0</v>
      </c>
      <c r="O969" s="97">
        <v>43</v>
      </c>
      <c r="P969" s="98">
        <f>SUM(SamplingData[[#This Row],[Winning Candidate]:[Under Votes]])</f>
        <v>668</v>
      </c>
      <c r="Q969" s="99">
        <f>IF(AND(SamplingData[[#This Row],[Total]]&lt;&gt; 0, NOT(ISBLANK(SamplingData[[#This Row],[Losing Candidate]]))),(SamplingData[[#This Row],[Total]]+SamplingData[[#This Row],[Winning Candidate]]-SamplingData[[#This Row],[Losing Candidate]])/(SamplingData[[#Totals],[Winning Candidate]]-SamplingData[[#Totals],[Losing Candidate]]), 0)</f>
        <v>1.6677983364454252E-2</v>
      </c>
      <c r="R969" s="99">
        <f>IF(AND(SamplingData[[#This Row],[Total]]&lt;&gt; 0, NOT(ISBLANK(SamplingData[[#This Row],[Candidate 3]]))),(SamplingData[[#This Row],[Total]]+SamplingData[[#This Row],[Winning Candidate]]-SamplingData[[#This Row],[Candidate 3]])/(SamplingData[[#Totals],[Winning Candidate]]-SamplingData[[#Totals],[Candidate 3]]), 0)</f>
        <v>0</v>
      </c>
      <c r="S969" s="99">
        <f>IF(AND(SamplingData[[#This Row],[Total]]&lt;&gt; 0, NOT(ISBLANK(SamplingData[[#This Row],[Candidate 4]]))),(SamplingData[[#This Row],[Total]]+SamplingData[[#This Row],[Winning Candidate]]-SamplingData[[#This Row],[Candidate 4]])/(SamplingData[[#Totals],[Winning Candidate]]-SamplingData[[#Totals],[Candidate 4]]), 0)</f>
        <v>0</v>
      </c>
      <c r="T969" s="99">
        <f>IF(AND(SamplingData[[#This Row],[Total]]&lt;&gt; 0, NOT(ISBLANK(SamplingData[[#This Row],[Candidate 5]]))),(SamplingData[[#This Row],[Total]]+SamplingData[[#This Row],[Winning Candidate]]-SamplingData[[#This Row],[Candidate 5]])/(SamplingData[[#Totals],[Winning Candidate]]-SamplingData[[#Totals],[Candidate 5]]), 0)</f>
        <v>0</v>
      </c>
      <c r="U969" s="99">
        <f>IF(AND(SamplingData[[#This Row],[Total]]&lt;&gt; 0, NOT(ISBLANK(SamplingData[[#This Row],[Candidate 6]]))),(SamplingData[[#This Row],[Total]]+SamplingData[[#This Row],[Losing Candidate]]-SamplingData[[#This Row],[Candidate 6]])/(SamplingData[[#Totals],[Winning Candidate]]-SamplingData[[#Totals],[Candidate 6]]), 0)</f>
        <v>0</v>
      </c>
      <c r="V969" s="99">
        <f>IF(AND(SamplingData[[#This Row],[Total]]&lt;&gt; 0, NOT(ISBLANK(SamplingData[[#This Row],[Candidate 7]]))),(SamplingData[[#This Row],[Total]]+SamplingData[[#This Row],[Winning Candidate]]-SamplingData[[#This Row],[Candidate 7]])/(SamplingData[[#Totals],[Winning Candidate]]-SamplingData[[#Totals],[Candidate 7]]), 0)</f>
        <v>0</v>
      </c>
      <c r="W969" s="99">
        <f>IF(AND(SamplingData[[#This Row],[Total]]&lt;&gt; 0, NOT(ISBLANK(SamplingData[[#This Row],[Candidate 8]]))),(SamplingData[[#This Row],[Total]]+SamplingData[[#This Row],[Winning Candidate]]-SamplingData[[#This Row],[Candidate 8]])/(SamplingData[[#Totals],[Winning Candidate]]-SamplingData[[#Totals],[Candidate 8]]), 0)</f>
        <v>0</v>
      </c>
      <c r="X9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9" s="99">
        <f>MAX(SamplingData[[#This Row],[Error Bound (up) - Max. possible relative overstatement - Losing Candidate]:[Error Bound (up) - Max. possible relative overstatement - Candidate 12]])</f>
        <v>1.6677983364454252E-2</v>
      </c>
      <c r="AC969" s="99">
        <f>IF(SamplingData[[#This Row],[Max Error Bound (up)]] = 0,0,SamplingData[[#This Row],[Max Error Bound (up)]]/SamplingData[[#Totals],[Max Error Bound (up)]])</f>
        <v>8.9295452066746764E-4</v>
      </c>
      <c r="AD969" s="103">
        <f>SUM($AC$5:AC969)</f>
        <v>0.86874250190860802</v>
      </c>
      <c r="AE969" s="99" t="str" cm="1">
        <f t="array" ref="AE969">IF(SamplingData[[#This Row],[up/U Selection Probability]] = 0, "Zero", TEXT(SamplingData[[#This Row],[Lower Range]], REPT("0",LEN('General Info'!$B$42))) &amp; " - " &amp; TEXT(SamplingData[[#This Row],[Upper Range]], REPT("0",LEN('General Info'!$B$42))))</f>
        <v>867850 - 868742</v>
      </c>
      <c r="AF969" s="99">
        <f>SamplingData[[#This Row],[Upper Range]]-SamplingData[[#This Row],[Span]]</f>
        <v>867849.54738794058</v>
      </c>
      <c r="AG969" s="99">
        <f>IF(ISNUMBER('General Info'!$B$42), ((SamplingData[[#This Row],[up/U Selection Probability]]) * 'General Info'!$B$44) - 1, 0)</f>
        <v>891.95452066746759</v>
      </c>
      <c r="AH969" s="99">
        <f>IF(ISNUMBER('General Info'!$B$42), (SamplingData[[#This Row],[Running (cumulative) sum]] * ('General Info'!$B$42 -'General Info'!$B$43 + 1)) + 'General Info'!$B$43 - 1, 0)</f>
        <v>868741.50190860801</v>
      </c>
      <c r="AI969" s="99" t="str">
        <f>IF(ISERROR(MATCH(SamplingData[[#This Row],[Batch by Type (p)]],SelectedPrecincts[Batch Name], 0)), "", INDEX(SelectedPrecincts[Draw], MATCH(SamplingData[[#This Row],[Batch by Type (p)]],SelectedPrecincts[Batch Name], 0)))</f>
        <v/>
      </c>
      <c r="AJ969" s="100">
        <f>IF(COUNTIF(SelectedPrecincts[Batch Name],SamplingData[[#This Row],[Batch by Type (p)]]) &lt;&gt; 0, COUNTIF(SelectedPrecincts[Batch Name],SamplingData[[#This Row],[Batch by Type (p)]]), 0)</f>
        <v>0</v>
      </c>
    </row>
    <row r="970" spans="1:36" ht="15" customHeight="1" x14ac:dyDescent="0.35">
      <c r="A970" s="97" t="s">
        <v>1183</v>
      </c>
      <c r="B970" s="97">
        <v>147</v>
      </c>
      <c r="C970" s="97">
        <v>517</v>
      </c>
      <c r="D970" s="92"/>
      <c r="E970" s="92"/>
      <c r="F970" s="92"/>
      <c r="G970" s="96"/>
      <c r="H970" s="96"/>
      <c r="I970" s="92"/>
      <c r="J970" s="92"/>
      <c r="K970" s="92"/>
      <c r="L970" s="92"/>
      <c r="M970" s="92"/>
      <c r="N970" s="97">
        <v>0</v>
      </c>
      <c r="O970" s="97">
        <v>52</v>
      </c>
      <c r="P970" s="98">
        <f>SUM(SamplingData[[#This Row],[Winning Candidate]:[Under Votes]])</f>
        <v>716</v>
      </c>
      <c r="Q970" s="99">
        <f>IF(AND(SamplingData[[#This Row],[Total]]&lt;&gt; 0, NOT(ISBLANK(SamplingData[[#This Row],[Losing Candidate]]))),(SamplingData[[#This Row],[Total]]+SamplingData[[#This Row],[Winning Candidate]]-SamplingData[[#This Row],[Losing Candidate]])/(SamplingData[[#Totals],[Winning Candidate]]-SamplingData[[#Totals],[Losing Candidate]]), 0)</f>
        <v>1.4683415379392294E-2</v>
      </c>
      <c r="R970" s="99">
        <f>IF(AND(SamplingData[[#This Row],[Total]]&lt;&gt; 0, NOT(ISBLANK(SamplingData[[#This Row],[Candidate 3]]))),(SamplingData[[#This Row],[Total]]+SamplingData[[#This Row],[Winning Candidate]]-SamplingData[[#This Row],[Candidate 3]])/(SamplingData[[#Totals],[Winning Candidate]]-SamplingData[[#Totals],[Candidate 3]]), 0)</f>
        <v>0</v>
      </c>
      <c r="S970" s="99">
        <f>IF(AND(SamplingData[[#This Row],[Total]]&lt;&gt; 0, NOT(ISBLANK(SamplingData[[#This Row],[Candidate 4]]))),(SamplingData[[#This Row],[Total]]+SamplingData[[#This Row],[Winning Candidate]]-SamplingData[[#This Row],[Candidate 4]])/(SamplingData[[#Totals],[Winning Candidate]]-SamplingData[[#Totals],[Candidate 4]]), 0)</f>
        <v>0</v>
      </c>
      <c r="T970" s="99">
        <f>IF(AND(SamplingData[[#This Row],[Total]]&lt;&gt; 0, NOT(ISBLANK(SamplingData[[#This Row],[Candidate 5]]))),(SamplingData[[#This Row],[Total]]+SamplingData[[#This Row],[Winning Candidate]]-SamplingData[[#This Row],[Candidate 5]])/(SamplingData[[#Totals],[Winning Candidate]]-SamplingData[[#Totals],[Candidate 5]]), 0)</f>
        <v>0</v>
      </c>
      <c r="U970" s="99">
        <f>IF(AND(SamplingData[[#This Row],[Total]]&lt;&gt; 0, NOT(ISBLANK(SamplingData[[#This Row],[Candidate 6]]))),(SamplingData[[#This Row],[Total]]+SamplingData[[#This Row],[Losing Candidate]]-SamplingData[[#This Row],[Candidate 6]])/(SamplingData[[#Totals],[Winning Candidate]]-SamplingData[[#Totals],[Candidate 6]]), 0)</f>
        <v>0</v>
      </c>
      <c r="V970" s="99">
        <f>IF(AND(SamplingData[[#This Row],[Total]]&lt;&gt; 0, NOT(ISBLANK(SamplingData[[#This Row],[Candidate 7]]))),(SamplingData[[#This Row],[Total]]+SamplingData[[#This Row],[Winning Candidate]]-SamplingData[[#This Row],[Candidate 7]])/(SamplingData[[#Totals],[Winning Candidate]]-SamplingData[[#Totals],[Candidate 7]]), 0)</f>
        <v>0</v>
      </c>
      <c r="W970" s="99">
        <f>IF(AND(SamplingData[[#This Row],[Total]]&lt;&gt; 0, NOT(ISBLANK(SamplingData[[#This Row],[Candidate 8]]))),(SamplingData[[#This Row],[Total]]+SamplingData[[#This Row],[Winning Candidate]]-SamplingData[[#This Row],[Candidate 8]])/(SamplingData[[#Totals],[Winning Candidate]]-SamplingData[[#Totals],[Candidate 8]]), 0)</f>
        <v>0</v>
      </c>
      <c r="X9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0" s="99">
        <f>MAX(SamplingData[[#This Row],[Error Bound (up) - Max. possible relative overstatement - Losing Candidate]:[Error Bound (up) - Max. possible relative overstatement - Candidate 12]])</f>
        <v>1.4683415379392294E-2</v>
      </c>
      <c r="AC970" s="99">
        <f>IF(SamplingData[[#This Row],[Max Error Bound (up)]] = 0,0,SamplingData[[#This Row],[Max Error Bound (up)]]/SamplingData[[#Totals],[Max Error Bound (up)]])</f>
        <v>7.8616352201257963E-4</v>
      </c>
      <c r="AD970" s="103">
        <f>SUM($AC$5:AC970)</f>
        <v>0.86952866543062057</v>
      </c>
      <c r="AE970" s="99" t="str" cm="1">
        <f t="array" ref="AE970">IF(SamplingData[[#This Row],[up/U Selection Probability]] = 0, "Zero", TEXT(SamplingData[[#This Row],[Lower Range]], REPT("0",LEN('General Info'!$B$42))) &amp; " - " &amp; TEXT(SamplingData[[#This Row],[Upper Range]], REPT("0",LEN('General Info'!$B$42))))</f>
        <v>868743 - 869528</v>
      </c>
      <c r="AF970" s="99">
        <f>SamplingData[[#This Row],[Upper Range]]-SamplingData[[#This Row],[Span]]</f>
        <v>868742.50190860801</v>
      </c>
      <c r="AG970" s="99">
        <f>IF(ISNUMBER('General Info'!$B$42), ((SamplingData[[#This Row],[up/U Selection Probability]]) * 'General Info'!$B$44) - 1, 0)</f>
        <v>785.16352201257962</v>
      </c>
      <c r="AH970" s="99">
        <f>IF(ISNUMBER('General Info'!$B$42), (SamplingData[[#This Row],[Running (cumulative) sum]] * ('General Info'!$B$42 -'General Info'!$B$43 + 1)) + 'General Info'!$B$43 - 1, 0)</f>
        <v>869527.66543062055</v>
      </c>
      <c r="AI970" s="99" t="str">
        <f>IF(ISERROR(MATCH(SamplingData[[#This Row],[Batch by Type (p)]],SelectedPrecincts[Batch Name], 0)), "", INDEX(SelectedPrecincts[Draw], MATCH(SamplingData[[#This Row],[Batch by Type (p)]],SelectedPrecincts[Batch Name], 0)))</f>
        <v/>
      </c>
      <c r="AJ970" s="100">
        <f>IF(COUNTIF(SelectedPrecincts[Batch Name],SamplingData[[#This Row],[Batch by Type (p)]]) &lt;&gt; 0, COUNTIF(SelectedPrecincts[Batch Name],SamplingData[[#This Row],[Batch by Type (p)]]), 0)</f>
        <v>0</v>
      </c>
    </row>
    <row r="971" spans="1:36" ht="15" customHeight="1" x14ac:dyDescent="0.35">
      <c r="A971" s="97" t="s">
        <v>1184</v>
      </c>
      <c r="B971" s="97">
        <v>181</v>
      </c>
      <c r="C971" s="97">
        <v>554</v>
      </c>
      <c r="D971" s="92"/>
      <c r="E971" s="92"/>
      <c r="F971" s="92"/>
      <c r="G971" s="96"/>
      <c r="H971" s="96"/>
      <c r="I971" s="92"/>
      <c r="J971" s="92"/>
      <c r="K971" s="92"/>
      <c r="L971" s="92"/>
      <c r="M971" s="92"/>
      <c r="N971" s="97">
        <v>0</v>
      </c>
      <c r="O971" s="97">
        <v>54</v>
      </c>
      <c r="P971" s="98">
        <f>SUM(SamplingData[[#This Row],[Winning Candidate]:[Under Votes]])</f>
        <v>789</v>
      </c>
      <c r="Q971" s="99">
        <f>IF(AND(SamplingData[[#This Row],[Total]]&lt;&gt; 0, NOT(ISBLANK(SamplingData[[#This Row],[Losing Candidate]]))),(SamplingData[[#This Row],[Total]]+SamplingData[[#This Row],[Winning Candidate]]-SamplingData[[#This Row],[Losing Candidate]])/(SamplingData[[#Totals],[Winning Candidate]]-SamplingData[[#Totals],[Losing Candidate]]), 0)</f>
        <v>1.7654048548633509E-2</v>
      </c>
      <c r="R971" s="99">
        <f>IF(AND(SamplingData[[#This Row],[Total]]&lt;&gt; 0, NOT(ISBLANK(SamplingData[[#This Row],[Candidate 3]]))),(SamplingData[[#This Row],[Total]]+SamplingData[[#This Row],[Winning Candidate]]-SamplingData[[#This Row],[Candidate 3]])/(SamplingData[[#Totals],[Winning Candidate]]-SamplingData[[#Totals],[Candidate 3]]), 0)</f>
        <v>0</v>
      </c>
      <c r="S971" s="99">
        <f>IF(AND(SamplingData[[#This Row],[Total]]&lt;&gt; 0, NOT(ISBLANK(SamplingData[[#This Row],[Candidate 4]]))),(SamplingData[[#This Row],[Total]]+SamplingData[[#This Row],[Winning Candidate]]-SamplingData[[#This Row],[Candidate 4]])/(SamplingData[[#Totals],[Winning Candidate]]-SamplingData[[#Totals],[Candidate 4]]), 0)</f>
        <v>0</v>
      </c>
      <c r="T971" s="99">
        <f>IF(AND(SamplingData[[#This Row],[Total]]&lt;&gt; 0, NOT(ISBLANK(SamplingData[[#This Row],[Candidate 5]]))),(SamplingData[[#This Row],[Total]]+SamplingData[[#This Row],[Winning Candidate]]-SamplingData[[#This Row],[Candidate 5]])/(SamplingData[[#Totals],[Winning Candidate]]-SamplingData[[#Totals],[Candidate 5]]), 0)</f>
        <v>0</v>
      </c>
      <c r="U971" s="99">
        <f>IF(AND(SamplingData[[#This Row],[Total]]&lt;&gt; 0, NOT(ISBLANK(SamplingData[[#This Row],[Candidate 6]]))),(SamplingData[[#This Row],[Total]]+SamplingData[[#This Row],[Losing Candidate]]-SamplingData[[#This Row],[Candidate 6]])/(SamplingData[[#Totals],[Winning Candidate]]-SamplingData[[#Totals],[Candidate 6]]), 0)</f>
        <v>0</v>
      </c>
      <c r="V971" s="99">
        <f>IF(AND(SamplingData[[#This Row],[Total]]&lt;&gt; 0, NOT(ISBLANK(SamplingData[[#This Row],[Candidate 7]]))),(SamplingData[[#This Row],[Total]]+SamplingData[[#This Row],[Winning Candidate]]-SamplingData[[#This Row],[Candidate 7]])/(SamplingData[[#Totals],[Winning Candidate]]-SamplingData[[#Totals],[Candidate 7]]), 0)</f>
        <v>0</v>
      </c>
      <c r="W971" s="99">
        <f>IF(AND(SamplingData[[#This Row],[Total]]&lt;&gt; 0, NOT(ISBLANK(SamplingData[[#This Row],[Candidate 8]]))),(SamplingData[[#This Row],[Total]]+SamplingData[[#This Row],[Winning Candidate]]-SamplingData[[#This Row],[Candidate 8]])/(SamplingData[[#Totals],[Winning Candidate]]-SamplingData[[#Totals],[Candidate 8]]), 0)</f>
        <v>0</v>
      </c>
      <c r="X9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1" s="99">
        <f>MAX(SamplingData[[#This Row],[Error Bound (up) - Max. possible relative overstatement - Losing Candidate]:[Error Bound (up) - Max. possible relative overstatement - Candidate 12]])</f>
        <v>1.7654048548633509E-2</v>
      </c>
      <c r="AC971" s="99">
        <f>IF(SamplingData[[#This Row],[Max Error Bound (up)]] = 0,0,SamplingData[[#This Row],[Max Error Bound (up)]]/SamplingData[[#Totals],[Max Error Bound (up)]])</f>
        <v>9.4521394554113614E-4</v>
      </c>
      <c r="AD971" s="103">
        <f>SUM($AC$5:AC971)</f>
        <v>0.87047387937616172</v>
      </c>
      <c r="AE971" s="99" t="str" cm="1">
        <f t="array" ref="AE971">IF(SamplingData[[#This Row],[up/U Selection Probability]] = 0, "Zero", TEXT(SamplingData[[#This Row],[Lower Range]], REPT("0",LEN('General Info'!$B$42))) &amp; " - " &amp; TEXT(SamplingData[[#This Row],[Upper Range]], REPT("0",LEN('General Info'!$B$42))))</f>
        <v>869529 - 870473</v>
      </c>
      <c r="AF971" s="99">
        <f>SamplingData[[#This Row],[Upper Range]]-SamplingData[[#This Row],[Span]]</f>
        <v>869528.66543062055</v>
      </c>
      <c r="AG971" s="99">
        <f>IF(ISNUMBER('General Info'!$B$42), ((SamplingData[[#This Row],[up/U Selection Probability]]) * 'General Info'!$B$44) - 1, 0)</f>
        <v>944.21394554113613</v>
      </c>
      <c r="AH971" s="99">
        <f>IF(ISNUMBER('General Info'!$B$42), (SamplingData[[#This Row],[Running (cumulative) sum]] * ('General Info'!$B$42 -'General Info'!$B$43 + 1)) + 'General Info'!$B$43 - 1, 0)</f>
        <v>870472.87937616173</v>
      </c>
      <c r="AI971" s="99" t="str">
        <f>IF(ISERROR(MATCH(SamplingData[[#This Row],[Batch by Type (p)]],SelectedPrecincts[Batch Name], 0)), "", INDEX(SelectedPrecincts[Draw], MATCH(SamplingData[[#This Row],[Batch by Type (p)]],SelectedPrecincts[Batch Name], 0)))</f>
        <v/>
      </c>
      <c r="AJ971" s="100">
        <f>IF(COUNTIF(SelectedPrecincts[Batch Name],SamplingData[[#This Row],[Batch by Type (p)]]) &lt;&gt; 0, COUNTIF(SelectedPrecincts[Batch Name],SamplingData[[#This Row],[Batch by Type (p)]]), 0)</f>
        <v>0</v>
      </c>
    </row>
    <row r="972" spans="1:36" ht="15" customHeight="1" x14ac:dyDescent="0.35">
      <c r="A972" s="97" t="s">
        <v>1185</v>
      </c>
      <c r="B972" s="97">
        <v>86</v>
      </c>
      <c r="C972" s="97">
        <v>242</v>
      </c>
      <c r="D972" s="92"/>
      <c r="E972" s="92"/>
      <c r="F972" s="92"/>
      <c r="G972" s="96"/>
      <c r="H972" s="96"/>
      <c r="I972" s="92"/>
      <c r="J972" s="92"/>
      <c r="K972" s="92"/>
      <c r="L972" s="92"/>
      <c r="M972" s="92"/>
      <c r="N972" s="97">
        <v>0</v>
      </c>
      <c r="O972" s="97">
        <v>40</v>
      </c>
      <c r="P972" s="98">
        <f>SUM(SamplingData[[#This Row],[Winning Candidate]:[Under Votes]])</f>
        <v>368</v>
      </c>
      <c r="Q972" s="99">
        <f>IF(AND(SamplingData[[#This Row],[Total]]&lt;&gt; 0, NOT(ISBLANK(SamplingData[[#This Row],[Losing Candidate]]))),(SamplingData[[#This Row],[Total]]+SamplingData[[#This Row],[Winning Candidate]]-SamplingData[[#This Row],[Losing Candidate]])/(SamplingData[[#Totals],[Winning Candidate]]-SamplingData[[#Totals],[Losing Candidate]]), 0)</f>
        <v>8.9967747411305379E-3</v>
      </c>
      <c r="R972" s="99">
        <f>IF(AND(SamplingData[[#This Row],[Total]]&lt;&gt; 0, NOT(ISBLANK(SamplingData[[#This Row],[Candidate 3]]))),(SamplingData[[#This Row],[Total]]+SamplingData[[#This Row],[Winning Candidate]]-SamplingData[[#This Row],[Candidate 3]])/(SamplingData[[#Totals],[Winning Candidate]]-SamplingData[[#Totals],[Candidate 3]]), 0)</f>
        <v>0</v>
      </c>
      <c r="S972" s="99">
        <f>IF(AND(SamplingData[[#This Row],[Total]]&lt;&gt; 0, NOT(ISBLANK(SamplingData[[#This Row],[Candidate 4]]))),(SamplingData[[#This Row],[Total]]+SamplingData[[#This Row],[Winning Candidate]]-SamplingData[[#This Row],[Candidate 4]])/(SamplingData[[#Totals],[Winning Candidate]]-SamplingData[[#Totals],[Candidate 4]]), 0)</f>
        <v>0</v>
      </c>
      <c r="T972" s="99">
        <f>IF(AND(SamplingData[[#This Row],[Total]]&lt;&gt; 0, NOT(ISBLANK(SamplingData[[#This Row],[Candidate 5]]))),(SamplingData[[#This Row],[Total]]+SamplingData[[#This Row],[Winning Candidate]]-SamplingData[[#This Row],[Candidate 5]])/(SamplingData[[#Totals],[Winning Candidate]]-SamplingData[[#Totals],[Candidate 5]]), 0)</f>
        <v>0</v>
      </c>
      <c r="U972" s="99">
        <f>IF(AND(SamplingData[[#This Row],[Total]]&lt;&gt; 0, NOT(ISBLANK(SamplingData[[#This Row],[Candidate 6]]))),(SamplingData[[#This Row],[Total]]+SamplingData[[#This Row],[Losing Candidate]]-SamplingData[[#This Row],[Candidate 6]])/(SamplingData[[#Totals],[Winning Candidate]]-SamplingData[[#Totals],[Candidate 6]]), 0)</f>
        <v>0</v>
      </c>
      <c r="V972" s="99">
        <f>IF(AND(SamplingData[[#This Row],[Total]]&lt;&gt; 0, NOT(ISBLANK(SamplingData[[#This Row],[Candidate 7]]))),(SamplingData[[#This Row],[Total]]+SamplingData[[#This Row],[Winning Candidate]]-SamplingData[[#This Row],[Candidate 7]])/(SamplingData[[#Totals],[Winning Candidate]]-SamplingData[[#Totals],[Candidate 7]]), 0)</f>
        <v>0</v>
      </c>
      <c r="W972" s="99">
        <f>IF(AND(SamplingData[[#This Row],[Total]]&lt;&gt; 0, NOT(ISBLANK(SamplingData[[#This Row],[Candidate 8]]))),(SamplingData[[#This Row],[Total]]+SamplingData[[#This Row],[Winning Candidate]]-SamplingData[[#This Row],[Candidate 8]])/(SamplingData[[#Totals],[Winning Candidate]]-SamplingData[[#Totals],[Candidate 8]]), 0)</f>
        <v>0</v>
      </c>
      <c r="X9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2" s="99">
        <f>MAX(SamplingData[[#This Row],[Error Bound (up) - Max. possible relative overstatement - Losing Candidate]:[Error Bound (up) - Max. possible relative overstatement - Candidate 12]])</f>
        <v>8.9967747411305379E-3</v>
      </c>
      <c r="AC972" s="99">
        <f>IF(SamplingData[[#This Row],[Max Error Bound (up)]] = 0,0,SamplingData[[#This Row],[Max Error Bound (up)]]/SamplingData[[#Totals],[Max Error Bound (up)]])</f>
        <v>4.816955684007713E-4</v>
      </c>
      <c r="AD972" s="103">
        <f>SUM($AC$5:AC972)</f>
        <v>0.87095557494456244</v>
      </c>
      <c r="AE972" s="99" t="str" cm="1">
        <f t="array" ref="AE972">IF(SamplingData[[#This Row],[up/U Selection Probability]] = 0, "Zero", TEXT(SamplingData[[#This Row],[Lower Range]], REPT("0",LEN('General Info'!$B$42))) &amp; " - " &amp; TEXT(SamplingData[[#This Row],[Upper Range]], REPT("0",LEN('General Info'!$B$42))))</f>
        <v>870474 - 870955</v>
      </c>
      <c r="AF972" s="99">
        <f>SamplingData[[#This Row],[Upper Range]]-SamplingData[[#This Row],[Span]]</f>
        <v>870473.87937616161</v>
      </c>
      <c r="AG972" s="99">
        <f>IF(ISNUMBER('General Info'!$B$42), ((SamplingData[[#This Row],[up/U Selection Probability]]) * 'General Info'!$B$44) - 1, 0)</f>
        <v>480.69556840077132</v>
      </c>
      <c r="AH972" s="99">
        <f>IF(ISNUMBER('General Info'!$B$42), (SamplingData[[#This Row],[Running (cumulative) sum]] * ('General Info'!$B$42 -'General Info'!$B$43 + 1)) + 'General Info'!$B$43 - 1, 0)</f>
        <v>870954.5749445624</v>
      </c>
      <c r="AI972" s="99" t="str">
        <f>IF(ISERROR(MATCH(SamplingData[[#This Row],[Batch by Type (p)]],SelectedPrecincts[Batch Name], 0)), "", INDEX(SelectedPrecincts[Draw], MATCH(SamplingData[[#This Row],[Batch by Type (p)]],SelectedPrecincts[Batch Name], 0)))</f>
        <v/>
      </c>
      <c r="AJ972" s="100">
        <f>IF(COUNTIF(SelectedPrecincts[Batch Name],SamplingData[[#This Row],[Batch by Type (p)]]) &lt;&gt; 0, COUNTIF(SelectedPrecincts[Batch Name],SamplingData[[#This Row],[Batch by Type (p)]]), 0)</f>
        <v>0</v>
      </c>
    </row>
    <row r="973" spans="1:36" ht="15" customHeight="1" x14ac:dyDescent="0.35">
      <c r="A973" s="97" t="s">
        <v>1186</v>
      </c>
      <c r="B973" s="97">
        <v>207</v>
      </c>
      <c r="C973" s="97">
        <v>445</v>
      </c>
      <c r="D973" s="92"/>
      <c r="E973" s="92"/>
      <c r="F973" s="92"/>
      <c r="G973" s="96"/>
      <c r="H973" s="96"/>
      <c r="I973" s="92"/>
      <c r="J973" s="92"/>
      <c r="K973" s="92"/>
      <c r="L973" s="92"/>
      <c r="M973" s="92"/>
      <c r="N973" s="97">
        <v>1</v>
      </c>
      <c r="O973" s="97">
        <v>57</v>
      </c>
      <c r="P973" s="98">
        <f>SUM(SamplingData[[#This Row],[Winning Candidate]:[Under Votes]])</f>
        <v>710</v>
      </c>
      <c r="Q973" s="99">
        <f>IF(AND(SamplingData[[#This Row],[Total]]&lt;&gt; 0, NOT(ISBLANK(SamplingData[[#This Row],[Losing Candidate]]))),(SamplingData[[#This Row],[Total]]+SamplingData[[#This Row],[Winning Candidate]]-SamplingData[[#This Row],[Losing Candidate]])/(SamplingData[[#Totals],[Winning Candidate]]-SamplingData[[#Totals],[Losing Candidate]]), 0)</f>
        <v>2.0030555084026482E-2</v>
      </c>
      <c r="R973" s="99">
        <f>IF(AND(SamplingData[[#This Row],[Total]]&lt;&gt; 0, NOT(ISBLANK(SamplingData[[#This Row],[Candidate 3]]))),(SamplingData[[#This Row],[Total]]+SamplingData[[#This Row],[Winning Candidate]]-SamplingData[[#This Row],[Candidate 3]])/(SamplingData[[#Totals],[Winning Candidate]]-SamplingData[[#Totals],[Candidate 3]]), 0)</f>
        <v>0</v>
      </c>
      <c r="S973" s="99">
        <f>IF(AND(SamplingData[[#This Row],[Total]]&lt;&gt; 0, NOT(ISBLANK(SamplingData[[#This Row],[Candidate 4]]))),(SamplingData[[#This Row],[Total]]+SamplingData[[#This Row],[Winning Candidate]]-SamplingData[[#This Row],[Candidate 4]])/(SamplingData[[#Totals],[Winning Candidate]]-SamplingData[[#Totals],[Candidate 4]]), 0)</f>
        <v>0</v>
      </c>
      <c r="T973" s="99">
        <f>IF(AND(SamplingData[[#This Row],[Total]]&lt;&gt; 0, NOT(ISBLANK(SamplingData[[#This Row],[Candidate 5]]))),(SamplingData[[#This Row],[Total]]+SamplingData[[#This Row],[Winning Candidate]]-SamplingData[[#This Row],[Candidate 5]])/(SamplingData[[#Totals],[Winning Candidate]]-SamplingData[[#Totals],[Candidate 5]]), 0)</f>
        <v>0</v>
      </c>
      <c r="U973" s="99">
        <f>IF(AND(SamplingData[[#This Row],[Total]]&lt;&gt; 0, NOT(ISBLANK(SamplingData[[#This Row],[Candidate 6]]))),(SamplingData[[#This Row],[Total]]+SamplingData[[#This Row],[Losing Candidate]]-SamplingData[[#This Row],[Candidate 6]])/(SamplingData[[#Totals],[Winning Candidate]]-SamplingData[[#Totals],[Candidate 6]]), 0)</f>
        <v>0</v>
      </c>
      <c r="V973" s="99">
        <f>IF(AND(SamplingData[[#This Row],[Total]]&lt;&gt; 0, NOT(ISBLANK(SamplingData[[#This Row],[Candidate 7]]))),(SamplingData[[#This Row],[Total]]+SamplingData[[#This Row],[Winning Candidate]]-SamplingData[[#This Row],[Candidate 7]])/(SamplingData[[#Totals],[Winning Candidate]]-SamplingData[[#Totals],[Candidate 7]]), 0)</f>
        <v>0</v>
      </c>
      <c r="W973" s="99">
        <f>IF(AND(SamplingData[[#This Row],[Total]]&lt;&gt; 0, NOT(ISBLANK(SamplingData[[#This Row],[Candidate 8]]))),(SamplingData[[#This Row],[Total]]+SamplingData[[#This Row],[Winning Candidate]]-SamplingData[[#This Row],[Candidate 8]])/(SamplingData[[#Totals],[Winning Candidate]]-SamplingData[[#Totals],[Candidate 8]]), 0)</f>
        <v>0</v>
      </c>
      <c r="X9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3" s="99">
        <f>MAX(SamplingData[[#This Row],[Error Bound (up) - Max. possible relative overstatement - Losing Candidate]:[Error Bound (up) - Max. possible relative overstatement - Candidate 12]])</f>
        <v>2.0030555084026482E-2</v>
      </c>
      <c r="AC973" s="99">
        <f>IF(SamplingData[[#This Row],[Max Error Bound (up)]] = 0,0,SamplingData[[#This Row],[Max Error Bound (up)]]/SamplingData[[#Totals],[Max Error Bound (up)]])</f>
        <v>1.0724542843639816E-3</v>
      </c>
      <c r="AD973" s="103">
        <f>SUM($AC$5:AC973)</f>
        <v>0.87202802922892642</v>
      </c>
      <c r="AE973" s="99" t="str" cm="1">
        <f t="array" ref="AE973">IF(SamplingData[[#This Row],[up/U Selection Probability]] = 0, "Zero", TEXT(SamplingData[[#This Row],[Lower Range]], REPT("0",LEN('General Info'!$B$42))) &amp; " - " &amp; TEXT(SamplingData[[#This Row],[Upper Range]], REPT("0",LEN('General Info'!$B$42))))</f>
        <v>870956 - 872027</v>
      </c>
      <c r="AF973" s="99">
        <f>SamplingData[[#This Row],[Upper Range]]-SamplingData[[#This Row],[Span]]</f>
        <v>870955.5749445624</v>
      </c>
      <c r="AG973" s="99">
        <f>IF(ISNUMBER('General Info'!$B$42), ((SamplingData[[#This Row],[up/U Selection Probability]]) * 'General Info'!$B$44) - 1, 0)</f>
        <v>1071.4542843639815</v>
      </c>
      <c r="AH973" s="99">
        <f>IF(ISNUMBER('General Info'!$B$42), (SamplingData[[#This Row],[Running (cumulative) sum]] * ('General Info'!$B$42 -'General Info'!$B$43 + 1)) + 'General Info'!$B$43 - 1, 0)</f>
        <v>872027.0292289264</v>
      </c>
      <c r="AI973" s="99" t="str">
        <f>IF(ISERROR(MATCH(SamplingData[[#This Row],[Batch by Type (p)]],SelectedPrecincts[Batch Name], 0)), "", INDEX(SelectedPrecincts[Draw], MATCH(SamplingData[[#This Row],[Batch by Type (p)]],SelectedPrecincts[Batch Name], 0)))</f>
        <v/>
      </c>
      <c r="AJ973" s="100">
        <f>IF(COUNTIF(SelectedPrecincts[Batch Name],SamplingData[[#This Row],[Batch by Type (p)]]) &lt;&gt; 0, COUNTIF(SelectedPrecincts[Batch Name],SamplingData[[#This Row],[Batch by Type (p)]]), 0)</f>
        <v>0</v>
      </c>
    </row>
    <row r="974" spans="1:36" ht="15" customHeight="1" x14ac:dyDescent="0.35">
      <c r="A974" s="97" t="s">
        <v>1187</v>
      </c>
      <c r="B974" s="97">
        <v>113</v>
      </c>
      <c r="C974" s="97">
        <v>366</v>
      </c>
      <c r="D974" s="92"/>
      <c r="E974" s="92"/>
      <c r="F974" s="92"/>
      <c r="G974" s="96"/>
      <c r="H974" s="96"/>
      <c r="I974" s="92"/>
      <c r="J974" s="92"/>
      <c r="K974" s="92"/>
      <c r="L974" s="92"/>
      <c r="M974" s="92"/>
      <c r="N974" s="97">
        <v>0</v>
      </c>
      <c r="O974" s="97">
        <v>27</v>
      </c>
      <c r="P974" s="98">
        <f>SUM(SamplingData[[#This Row],[Winning Candidate]:[Under Votes]])</f>
        <v>506</v>
      </c>
      <c r="Q974" s="99">
        <f>IF(AND(SamplingData[[#This Row],[Total]]&lt;&gt; 0, NOT(ISBLANK(SamplingData[[#This Row],[Losing Candidate]]))),(SamplingData[[#This Row],[Total]]+SamplingData[[#This Row],[Winning Candidate]]-SamplingData[[#This Row],[Losing Candidate]])/(SamplingData[[#Totals],[Winning Candidate]]-SamplingData[[#Totals],[Losing Candidate]]), 0)</f>
        <v>1.0736717025971822E-2</v>
      </c>
      <c r="R974" s="99">
        <f>IF(AND(SamplingData[[#This Row],[Total]]&lt;&gt; 0, NOT(ISBLANK(SamplingData[[#This Row],[Candidate 3]]))),(SamplingData[[#This Row],[Total]]+SamplingData[[#This Row],[Winning Candidate]]-SamplingData[[#This Row],[Candidate 3]])/(SamplingData[[#Totals],[Winning Candidate]]-SamplingData[[#Totals],[Candidate 3]]), 0)</f>
        <v>0</v>
      </c>
      <c r="S974" s="99">
        <f>IF(AND(SamplingData[[#This Row],[Total]]&lt;&gt; 0, NOT(ISBLANK(SamplingData[[#This Row],[Candidate 4]]))),(SamplingData[[#This Row],[Total]]+SamplingData[[#This Row],[Winning Candidate]]-SamplingData[[#This Row],[Candidate 4]])/(SamplingData[[#Totals],[Winning Candidate]]-SamplingData[[#Totals],[Candidate 4]]), 0)</f>
        <v>0</v>
      </c>
      <c r="T974" s="99">
        <f>IF(AND(SamplingData[[#This Row],[Total]]&lt;&gt; 0, NOT(ISBLANK(SamplingData[[#This Row],[Candidate 5]]))),(SamplingData[[#This Row],[Total]]+SamplingData[[#This Row],[Winning Candidate]]-SamplingData[[#This Row],[Candidate 5]])/(SamplingData[[#Totals],[Winning Candidate]]-SamplingData[[#Totals],[Candidate 5]]), 0)</f>
        <v>0</v>
      </c>
      <c r="U974" s="99">
        <f>IF(AND(SamplingData[[#This Row],[Total]]&lt;&gt; 0, NOT(ISBLANK(SamplingData[[#This Row],[Candidate 6]]))),(SamplingData[[#This Row],[Total]]+SamplingData[[#This Row],[Losing Candidate]]-SamplingData[[#This Row],[Candidate 6]])/(SamplingData[[#Totals],[Winning Candidate]]-SamplingData[[#Totals],[Candidate 6]]), 0)</f>
        <v>0</v>
      </c>
      <c r="V974" s="99">
        <f>IF(AND(SamplingData[[#This Row],[Total]]&lt;&gt; 0, NOT(ISBLANK(SamplingData[[#This Row],[Candidate 7]]))),(SamplingData[[#This Row],[Total]]+SamplingData[[#This Row],[Winning Candidate]]-SamplingData[[#This Row],[Candidate 7]])/(SamplingData[[#Totals],[Winning Candidate]]-SamplingData[[#Totals],[Candidate 7]]), 0)</f>
        <v>0</v>
      </c>
      <c r="W974" s="99">
        <f>IF(AND(SamplingData[[#This Row],[Total]]&lt;&gt; 0, NOT(ISBLANK(SamplingData[[#This Row],[Candidate 8]]))),(SamplingData[[#This Row],[Total]]+SamplingData[[#This Row],[Winning Candidate]]-SamplingData[[#This Row],[Candidate 8]])/(SamplingData[[#Totals],[Winning Candidate]]-SamplingData[[#Totals],[Candidate 8]]), 0)</f>
        <v>0</v>
      </c>
      <c r="X9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4" s="99">
        <f>MAX(SamplingData[[#This Row],[Error Bound (up) - Max. possible relative overstatement - Losing Candidate]:[Error Bound (up) - Max. possible relative overstatement - Candidate 12]])</f>
        <v>1.0736717025971822E-2</v>
      </c>
      <c r="AC974" s="99">
        <f>IF(SamplingData[[#This Row],[Max Error Bound (up)]] = 0,0,SamplingData[[#This Row],[Max Error Bound (up)]]/SamplingData[[#Totals],[Max Error Bound (up)]])</f>
        <v>5.7485367361035451E-4</v>
      </c>
      <c r="AD974" s="103">
        <f>SUM($AC$5:AC974)</f>
        <v>0.87260288290253674</v>
      </c>
      <c r="AE974" s="99" t="str" cm="1">
        <f t="array" ref="AE974">IF(SamplingData[[#This Row],[up/U Selection Probability]] = 0, "Zero", TEXT(SamplingData[[#This Row],[Lower Range]], REPT("0",LEN('General Info'!$B$42))) &amp; " - " &amp; TEXT(SamplingData[[#This Row],[Upper Range]], REPT("0",LEN('General Info'!$B$42))))</f>
        <v>872028 - 872602</v>
      </c>
      <c r="AF974" s="99">
        <f>SamplingData[[#This Row],[Upper Range]]-SamplingData[[#This Row],[Span]]</f>
        <v>872028.0292289264</v>
      </c>
      <c r="AG974" s="99">
        <f>IF(ISNUMBER('General Info'!$B$42), ((SamplingData[[#This Row],[up/U Selection Probability]]) * 'General Info'!$B$44) - 1, 0)</f>
        <v>573.85367361035446</v>
      </c>
      <c r="AH974" s="99">
        <f>IF(ISNUMBER('General Info'!$B$42), (SamplingData[[#This Row],[Running (cumulative) sum]] * ('General Info'!$B$42 -'General Info'!$B$43 + 1)) + 'General Info'!$B$43 - 1, 0)</f>
        <v>872601.88290253677</v>
      </c>
      <c r="AI974" s="99" t="str">
        <f>IF(ISERROR(MATCH(SamplingData[[#This Row],[Batch by Type (p)]],SelectedPrecincts[Batch Name], 0)), "", INDEX(SelectedPrecincts[Draw], MATCH(SamplingData[[#This Row],[Batch by Type (p)]],SelectedPrecincts[Batch Name], 0)))</f>
        <v/>
      </c>
      <c r="AJ974" s="100">
        <f>IF(COUNTIF(SelectedPrecincts[Batch Name],SamplingData[[#This Row],[Batch by Type (p)]]) &lt;&gt; 0, COUNTIF(SelectedPrecincts[Batch Name],SamplingData[[#This Row],[Batch by Type (p)]]), 0)</f>
        <v>0</v>
      </c>
    </row>
    <row r="975" spans="1:36" ht="15" customHeight="1" x14ac:dyDescent="0.35">
      <c r="A975" s="97" t="s">
        <v>1188</v>
      </c>
      <c r="B975" s="97">
        <v>121</v>
      </c>
      <c r="C975" s="97">
        <v>408</v>
      </c>
      <c r="D975" s="92"/>
      <c r="E975" s="92"/>
      <c r="F975" s="92"/>
      <c r="G975" s="96"/>
      <c r="H975" s="96"/>
      <c r="I975" s="92"/>
      <c r="J975" s="92"/>
      <c r="K975" s="92"/>
      <c r="L975" s="92"/>
      <c r="M975" s="92"/>
      <c r="N975" s="97">
        <v>0</v>
      </c>
      <c r="O975" s="97">
        <v>55</v>
      </c>
      <c r="P975" s="98">
        <f>SUM(SamplingData[[#This Row],[Winning Candidate]:[Under Votes]])</f>
        <v>584</v>
      </c>
      <c r="Q975" s="99">
        <f>IF(AND(SamplingData[[#This Row],[Total]]&lt;&gt; 0, NOT(ISBLANK(SamplingData[[#This Row],[Losing Candidate]]))),(SamplingData[[#This Row],[Total]]+SamplingData[[#This Row],[Winning Candidate]]-SamplingData[[#This Row],[Losing Candidate]])/(SamplingData[[#Totals],[Winning Candidate]]-SamplingData[[#Totals],[Losing Candidate]]), 0)</f>
        <v>1.2603972160923443E-2</v>
      </c>
      <c r="R975" s="99">
        <f>IF(AND(SamplingData[[#This Row],[Total]]&lt;&gt; 0, NOT(ISBLANK(SamplingData[[#This Row],[Candidate 3]]))),(SamplingData[[#This Row],[Total]]+SamplingData[[#This Row],[Winning Candidate]]-SamplingData[[#This Row],[Candidate 3]])/(SamplingData[[#Totals],[Winning Candidate]]-SamplingData[[#Totals],[Candidate 3]]), 0)</f>
        <v>0</v>
      </c>
      <c r="S975" s="99">
        <f>IF(AND(SamplingData[[#This Row],[Total]]&lt;&gt; 0, NOT(ISBLANK(SamplingData[[#This Row],[Candidate 4]]))),(SamplingData[[#This Row],[Total]]+SamplingData[[#This Row],[Winning Candidate]]-SamplingData[[#This Row],[Candidate 4]])/(SamplingData[[#Totals],[Winning Candidate]]-SamplingData[[#Totals],[Candidate 4]]), 0)</f>
        <v>0</v>
      </c>
      <c r="T975" s="99">
        <f>IF(AND(SamplingData[[#This Row],[Total]]&lt;&gt; 0, NOT(ISBLANK(SamplingData[[#This Row],[Candidate 5]]))),(SamplingData[[#This Row],[Total]]+SamplingData[[#This Row],[Winning Candidate]]-SamplingData[[#This Row],[Candidate 5]])/(SamplingData[[#Totals],[Winning Candidate]]-SamplingData[[#Totals],[Candidate 5]]), 0)</f>
        <v>0</v>
      </c>
      <c r="U975" s="99">
        <f>IF(AND(SamplingData[[#This Row],[Total]]&lt;&gt; 0, NOT(ISBLANK(SamplingData[[#This Row],[Candidate 6]]))),(SamplingData[[#This Row],[Total]]+SamplingData[[#This Row],[Losing Candidate]]-SamplingData[[#This Row],[Candidate 6]])/(SamplingData[[#Totals],[Winning Candidate]]-SamplingData[[#Totals],[Candidate 6]]), 0)</f>
        <v>0</v>
      </c>
      <c r="V975" s="99">
        <f>IF(AND(SamplingData[[#This Row],[Total]]&lt;&gt; 0, NOT(ISBLANK(SamplingData[[#This Row],[Candidate 7]]))),(SamplingData[[#This Row],[Total]]+SamplingData[[#This Row],[Winning Candidate]]-SamplingData[[#This Row],[Candidate 7]])/(SamplingData[[#Totals],[Winning Candidate]]-SamplingData[[#Totals],[Candidate 7]]), 0)</f>
        <v>0</v>
      </c>
      <c r="W975" s="99">
        <f>IF(AND(SamplingData[[#This Row],[Total]]&lt;&gt; 0, NOT(ISBLANK(SamplingData[[#This Row],[Candidate 8]]))),(SamplingData[[#This Row],[Total]]+SamplingData[[#This Row],[Winning Candidate]]-SamplingData[[#This Row],[Candidate 8]])/(SamplingData[[#Totals],[Winning Candidate]]-SamplingData[[#Totals],[Candidate 8]]), 0)</f>
        <v>0</v>
      </c>
      <c r="X9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5" s="99">
        <f>MAX(SamplingData[[#This Row],[Error Bound (up) - Max. possible relative overstatement - Losing Candidate]:[Error Bound (up) - Max. possible relative overstatement - Candidate 12]])</f>
        <v>1.2603972160923443E-2</v>
      </c>
      <c r="AC975" s="99">
        <f>IF(SamplingData[[#This Row],[Max Error Bound (up)]] = 0,0,SamplingData[[#This Row],[Max Error Bound (up)]]/SamplingData[[#Totals],[Max Error Bound (up)]])</f>
        <v>6.7482822554259007E-4</v>
      </c>
      <c r="AD975" s="103">
        <f>SUM($AC$5:AC975)</f>
        <v>0.87327771112807928</v>
      </c>
      <c r="AE975" s="99" t="str" cm="1">
        <f t="array" ref="AE975">IF(SamplingData[[#This Row],[up/U Selection Probability]] = 0, "Zero", TEXT(SamplingData[[#This Row],[Lower Range]], REPT("0",LEN('General Info'!$B$42))) &amp; " - " &amp; TEXT(SamplingData[[#This Row],[Upper Range]], REPT("0",LEN('General Info'!$B$42))))</f>
        <v>872603 - 873277</v>
      </c>
      <c r="AF975" s="99">
        <f>SamplingData[[#This Row],[Upper Range]]-SamplingData[[#This Row],[Span]]</f>
        <v>872602.88290253677</v>
      </c>
      <c r="AG975" s="99">
        <f>IF(ISNUMBER('General Info'!$B$42), ((SamplingData[[#This Row],[up/U Selection Probability]]) * 'General Info'!$B$44) - 1, 0)</f>
        <v>673.82822554259008</v>
      </c>
      <c r="AH975" s="99">
        <f>IF(ISNUMBER('General Info'!$B$42), (SamplingData[[#This Row],[Running (cumulative) sum]] * ('General Info'!$B$42 -'General Info'!$B$43 + 1)) + 'General Info'!$B$43 - 1, 0)</f>
        <v>873276.71112807933</v>
      </c>
      <c r="AI975" s="99" t="str">
        <f>IF(ISERROR(MATCH(SamplingData[[#This Row],[Batch by Type (p)]],SelectedPrecincts[Batch Name], 0)), "", INDEX(SelectedPrecincts[Draw], MATCH(SamplingData[[#This Row],[Batch by Type (p)]],SelectedPrecincts[Batch Name], 0)))</f>
        <v/>
      </c>
      <c r="AJ975" s="100">
        <f>IF(COUNTIF(SelectedPrecincts[Batch Name],SamplingData[[#This Row],[Batch by Type (p)]]) &lt;&gt; 0, COUNTIF(SelectedPrecincts[Batch Name],SamplingData[[#This Row],[Batch by Type (p)]]), 0)</f>
        <v>0</v>
      </c>
    </row>
    <row r="976" spans="1:36" ht="15" customHeight="1" x14ac:dyDescent="0.35">
      <c r="A976" s="97" t="s">
        <v>1189</v>
      </c>
      <c r="B976" s="97">
        <v>149</v>
      </c>
      <c r="C976" s="97">
        <v>427</v>
      </c>
      <c r="D976" s="92"/>
      <c r="E976" s="92"/>
      <c r="F976" s="92"/>
      <c r="G976" s="96"/>
      <c r="H976" s="96"/>
      <c r="I976" s="92"/>
      <c r="J976" s="92"/>
      <c r="K976" s="92"/>
      <c r="L976" s="92"/>
      <c r="M976" s="92"/>
      <c r="N976" s="97">
        <v>0</v>
      </c>
      <c r="O976" s="97">
        <v>32</v>
      </c>
      <c r="P976" s="98">
        <f>SUM(SamplingData[[#This Row],[Winning Candidate]:[Under Votes]])</f>
        <v>608</v>
      </c>
      <c r="Q976" s="99">
        <f>IF(AND(SamplingData[[#This Row],[Total]]&lt;&gt; 0, NOT(ISBLANK(SamplingData[[#This Row],[Losing Candidate]]))),(SamplingData[[#This Row],[Total]]+SamplingData[[#This Row],[Winning Candidate]]-SamplingData[[#This Row],[Losing Candidate]])/(SamplingData[[#Totals],[Winning Candidate]]-SamplingData[[#Totals],[Losing Candidate]]), 0)</f>
        <v>1.4004413512137158E-2</v>
      </c>
      <c r="R976" s="99">
        <f>IF(AND(SamplingData[[#This Row],[Total]]&lt;&gt; 0, NOT(ISBLANK(SamplingData[[#This Row],[Candidate 3]]))),(SamplingData[[#This Row],[Total]]+SamplingData[[#This Row],[Winning Candidate]]-SamplingData[[#This Row],[Candidate 3]])/(SamplingData[[#Totals],[Winning Candidate]]-SamplingData[[#Totals],[Candidate 3]]), 0)</f>
        <v>0</v>
      </c>
      <c r="S976" s="99">
        <f>IF(AND(SamplingData[[#This Row],[Total]]&lt;&gt; 0, NOT(ISBLANK(SamplingData[[#This Row],[Candidate 4]]))),(SamplingData[[#This Row],[Total]]+SamplingData[[#This Row],[Winning Candidate]]-SamplingData[[#This Row],[Candidate 4]])/(SamplingData[[#Totals],[Winning Candidate]]-SamplingData[[#Totals],[Candidate 4]]), 0)</f>
        <v>0</v>
      </c>
      <c r="T976" s="99">
        <f>IF(AND(SamplingData[[#This Row],[Total]]&lt;&gt; 0, NOT(ISBLANK(SamplingData[[#This Row],[Candidate 5]]))),(SamplingData[[#This Row],[Total]]+SamplingData[[#This Row],[Winning Candidate]]-SamplingData[[#This Row],[Candidate 5]])/(SamplingData[[#Totals],[Winning Candidate]]-SamplingData[[#Totals],[Candidate 5]]), 0)</f>
        <v>0</v>
      </c>
      <c r="U976" s="99">
        <f>IF(AND(SamplingData[[#This Row],[Total]]&lt;&gt; 0, NOT(ISBLANK(SamplingData[[#This Row],[Candidate 6]]))),(SamplingData[[#This Row],[Total]]+SamplingData[[#This Row],[Losing Candidate]]-SamplingData[[#This Row],[Candidate 6]])/(SamplingData[[#Totals],[Winning Candidate]]-SamplingData[[#Totals],[Candidate 6]]), 0)</f>
        <v>0</v>
      </c>
      <c r="V976" s="99">
        <f>IF(AND(SamplingData[[#This Row],[Total]]&lt;&gt; 0, NOT(ISBLANK(SamplingData[[#This Row],[Candidate 7]]))),(SamplingData[[#This Row],[Total]]+SamplingData[[#This Row],[Winning Candidate]]-SamplingData[[#This Row],[Candidate 7]])/(SamplingData[[#Totals],[Winning Candidate]]-SamplingData[[#Totals],[Candidate 7]]), 0)</f>
        <v>0</v>
      </c>
      <c r="W976" s="99">
        <f>IF(AND(SamplingData[[#This Row],[Total]]&lt;&gt; 0, NOT(ISBLANK(SamplingData[[#This Row],[Candidate 8]]))),(SamplingData[[#This Row],[Total]]+SamplingData[[#This Row],[Winning Candidate]]-SamplingData[[#This Row],[Candidate 8]])/(SamplingData[[#Totals],[Winning Candidate]]-SamplingData[[#Totals],[Candidate 8]]), 0)</f>
        <v>0</v>
      </c>
      <c r="X9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6" s="99">
        <f>MAX(SamplingData[[#This Row],[Error Bound (up) - Max. possible relative overstatement - Losing Candidate]:[Error Bound (up) - Max. possible relative overstatement - Candidate 12]])</f>
        <v>1.4004413512137158E-2</v>
      </c>
      <c r="AC976" s="99">
        <f>IF(SamplingData[[#This Row],[Max Error Bound (up)]] = 0,0,SamplingData[[#This Row],[Max Error Bound (up)]]/SamplingData[[#Totals],[Max Error Bound (up)]])</f>
        <v>7.498091394917666E-4</v>
      </c>
      <c r="AD976" s="103">
        <f>SUM($AC$5:AC976)</f>
        <v>0.87402752026757102</v>
      </c>
      <c r="AE976" s="99" t="str" cm="1">
        <f t="array" ref="AE976">IF(SamplingData[[#This Row],[up/U Selection Probability]] = 0, "Zero", TEXT(SamplingData[[#This Row],[Lower Range]], REPT("0",LEN('General Info'!$B$42))) &amp; " - " &amp; TEXT(SamplingData[[#This Row],[Upper Range]], REPT("0",LEN('General Info'!$B$42))))</f>
        <v>873278 - 874027</v>
      </c>
      <c r="AF976" s="99">
        <f>SamplingData[[#This Row],[Upper Range]]-SamplingData[[#This Row],[Span]]</f>
        <v>873277.71112807922</v>
      </c>
      <c r="AG976" s="99">
        <f>IF(ISNUMBER('General Info'!$B$42), ((SamplingData[[#This Row],[up/U Selection Probability]]) * 'General Info'!$B$44) - 1, 0)</f>
        <v>748.80913949176659</v>
      </c>
      <c r="AH976" s="99">
        <f>IF(ISNUMBER('General Info'!$B$42), (SamplingData[[#This Row],[Running (cumulative) sum]] * ('General Info'!$B$42 -'General Info'!$B$43 + 1)) + 'General Info'!$B$43 - 1, 0)</f>
        <v>874026.52026757097</v>
      </c>
      <c r="AI976" s="99" t="str">
        <f>IF(ISERROR(MATCH(SamplingData[[#This Row],[Batch by Type (p)]],SelectedPrecincts[Batch Name], 0)), "", INDEX(SelectedPrecincts[Draw], MATCH(SamplingData[[#This Row],[Batch by Type (p)]],SelectedPrecincts[Batch Name], 0)))</f>
        <v/>
      </c>
      <c r="AJ976" s="100">
        <f>IF(COUNTIF(SelectedPrecincts[Batch Name],SamplingData[[#This Row],[Batch by Type (p)]]) &lt;&gt; 0, COUNTIF(SelectedPrecincts[Batch Name],SamplingData[[#This Row],[Batch by Type (p)]]), 0)</f>
        <v>0</v>
      </c>
    </row>
    <row r="977" spans="1:36" ht="15" customHeight="1" x14ac:dyDescent="0.35">
      <c r="A977" s="97" t="s">
        <v>1190</v>
      </c>
      <c r="B977" s="97">
        <v>104</v>
      </c>
      <c r="C977" s="97">
        <v>230</v>
      </c>
      <c r="D977" s="92"/>
      <c r="E977" s="92"/>
      <c r="F977" s="92"/>
      <c r="G977" s="96"/>
      <c r="H977" s="96"/>
      <c r="I977" s="92"/>
      <c r="J977" s="92"/>
      <c r="K977" s="92"/>
      <c r="L977" s="92"/>
      <c r="M977" s="92"/>
      <c r="N977" s="97">
        <v>0</v>
      </c>
      <c r="O977" s="97">
        <v>33</v>
      </c>
      <c r="P977" s="98">
        <f>SUM(SamplingData[[#This Row],[Winning Candidate]:[Under Votes]])</f>
        <v>367</v>
      </c>
      <c r="Q977" s="99">
        <f>IF(AND(SamplingData[[#This Row],[Total]]&lt;&gt; 0, NOT(ISBLANK(SamplingData[[#This Row],[Losing Candidate]]))),(SamplingData[[#This Row],[Total]]+SamplingData[[#This Row],[Winning Candidate]]-SamplingData[[#This Row],[Losing Candidate]])/(SamplingData[[#Totals],[Winning Candidate]]-SamplingData[[#Totals],[Losing Candidate]]), 0)</f>
        <v>1.0227465625530471E-2</v>
      </c>
      <c r="R977" s="99">
        <f>IF(AND(SamplingData[[#This Row],[Total]]&lt;&gt; 0, NOT(ISBLANK(SamplingData[[#This Row],[Candidate 3]]))),(SamplingData[[#This Row],[Total]]+SamplingData[[#This Row],[Winning Candidate]]-SamplingData[[#This Row],[Candidate 3]])/(SamplingData[[#Totals],[Winning Candidate]]-SamplingData[[#Totals],[Candidate 3]]), 0)</f>
        <v>0</v>
      </c>
      <c r="S977" s="99">
        <f>IF(AND(SamplingData[[#This Row],[Total]]&lt;&gt; 0, NOT(ISBLANK(SamplingData[[#This Row],[Candidate 4]]))),(SamplingData[[#This Row],[Total]]+SamplingData[[#This Row],[Winning Candidate]]-SamplingData[[#This Row],[Candidate 4]])/(SamplingData[[#Totals],[Winning Candidate]]-SamplingData[[#Totals],[Candidate 4]]), 0)</f>
        <v>0</v>
      </c>
      <c r="T977" s="99">
        <f>IF(AND(SamplingData[[#This Row],[Total]]&lt;&gt; 0, NOT(ISBLANK(SamplingData[[#This Row],[Candidate 5]]))),(SamplingData[[#This Row],[Total]]+SamplingData[[#This Row],[Winning Candidate]]-SamplingData[[#This Row],[Candidate 5]])/(SamplingData[[#Totals],[Winning Candidate]]-SamplingData[[#Totals],[Candidate 5]]), 0)</f>
        <v>0</v>
      </c>
      <c r="U977" s="99">
        <f>IF(AND(SamplingData[[#This Row],[Total]]&lt;&gt; 0, NOT(ISBLANK(SamplingData[[#This Row],[Candidate 6]]))),(SamplingData[[#This Row],[Total]]+SamplingData[[#This Row],[Losing Candidate]]-SamplingData[[#This Row],[Candidate 6]])/(SamplingData[[#Totals],[Winning Candidate]]-SamplingData[[#Totals],[Candidate 6]]), 0)</f>
        <v>0</v>
      </c>
      <c r="V977" s="99">
        <f>IF(AND(SamplingData[[#This Row],[Total]]&lt;&gt; 0, NOT(ISBLANK(SamplingData[[#This Row],[Candidate 7]]))),(SamplingData[[#This Row],[Total]]+SamplingData[[#This Row],[Winning Candidate]]-SamplingData[[#This Row],[Candidate 7]])/(SamplingData[[#Totals],[Winning Candidate]]-SamplingData[[#Totals],[Candidate 7]]), 0)</f>
        <v>0</v>
      </c>
      <c r="W977" s="99">
        <f>IF(AND(SamplingData[[#This Row],[Total]]&lt;&gt; 0, NOT(ISBLANK(SamplingData[[#This Row],[Candidate 8]]))),(SamplingData[[#This Row],[Total]]+SamplingData[[#This Row],[Winning Candidate]]-SamplingData[[#This Row],[Candidate 8]])/(SamplingData[[#Totals],[Winning Candidate]]-SamplingData[[#Totals],[Candidate 8]]), 0)</f>
        <v>0</v>
      </c>
      <c r="X9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7" s="99">
        <f>MAX(SamplingData[[#This Row],[Error Bound (up) - Max. possible relative overstatement - Losing Candidate]:[Error Bound (up) - Max. possible relative overstatement - Candidate 12]])</f>
        <v>1.0227465625530471E-2</v>
      </c>
      <c r="AC977" s="99">
        <f>IF(SamplingData[[#This Row],[Max Error Bound (up)]] = 0,0,SamplingData[[#This Row],[Max Error Bound (up)]]/SamplingData[[#Totals],[Max Error Bound (up)]])</f>
        <v>5.4758788671974482E-4</v>
      </c>
      <c r="AD977" s="103">
        <f>SUM($AC$5:AC977)</f>
        <v>0.87457510815429074</v>
      </c>
      <c r="AE977" s="99" t="str" cm="1">
        <f t="array" ref="AE977">IF(SamplingData[[#This Row],[up/U Selection Probability]] = 0, "Zero", TEXT(SamplingData[[#This Row],[Lower Range]], REPT("0",LEN('General Info'!$B$42))) &amp; " - " &amp; TEXT(SamplingData[[#This Row],[Upper Range]], REPT("0",LEN('General Info'!$B$42))))</f>
        <v>874028 - 874574</v>
      </c>
      <c r="AF977" s="99">
        <f>SamplingData[[#This Row],[Upper Range]]-SamplingData[[#This Row],[Span]]</f>
        <v>874027.52026757097</v>
      </c>
      <c r="AG977" s="99">
        <f>IF(ISNUMBER('General Info'!$B$42), ((SamplingData[[#This Row],[up/U Selection Probability]]) * 'General Info'!$B$44) - 1, 0)</f>
        <v>546.5878867197448</v>
      </c>
      <c r="AH977" s="99">
        <f>IF(ISNUMBER('General Info'!$B$42), (SamplingData[[#This Row],[Running (cumulative) sum]] * ('General Info'!$B$42 -'General Info'!$B$43 + 1)) + 'General Info'!$B$43 - 1, 0)</f>
        <v>874574.1081542907</v>
      </c>
      <c r="AI977" s="99" t="str">
        <f>IF(ISERROR(MATCH(SamplingData[[#This Row],[Batch by Type (p)]],SelectedPrecincts[Batch Name], 0)), "", INDEX(SelectedPrecincts[Draw], MATCH(SamplingData[[#This Row],[Batch by Type (p)]],SelectedPrecincts[Batch Name], 0)))</f>
        <v/>
      </c>
      <c r="AJ977" s="100">
        <f>IF(COUNTIF(SelectedPrecincts[Batch Name],SamplingData[[#This Row],[Batch by Type (p)]]) &lt;&gt; 0, COUNTIF(SelectedPrecincts[Batch Name],SamplingData[[#This Row],[Batch by Type (p)]]), 0)</f>
        <v>0</v>
      </c>
    </row>
    <row r="978" spans="1:36" ht="15" customHeight="1" x14ac:dyDescent="0.35">
      <c r="A978" s="97" t="s">
        <v>1191</v>
      </c>
      <c r="B978" s="97">
        <v>144</v>
      </c>
      <c r="C978" s="97">
        <v>518</v>
      </c>
      <c r="D978" s="92"/>
      <c r="E978" s="92"/>
      <c r="F978" s="92"/>
      <c r="G978" s="96"/>
      <c r="H978" s="96"/>
      <c r="I978" s="92"/>
      <c r="J978" s="92"/>
      <c r="K978" s="92"/>
      <c r="L978" s="92"/>
      <c r="M978" s="92"/>
      <c r="N978" s="97">
        <v>0</v>
      </c>
      <c r="O978" s="97">
        <v>65</v>
      </c>
      <c r="P978" s="98">
        <f>SUM(SamplingData[[#This Row],[Winning Candidate]:[Under Votes]])</f>
        <v>727</v>
      </c>
      <c r="Q978" s="99">
        <f>IF(AND(SamplingData[[#This Row],[Total]]&lt;&gt; 0, NOT(ISBLANK(SamplingData[[#This Row],[Losing Candidate]]))),(SamplingData[[#This Row],[Total]]+SamplingData[[#This Row],[Winning Candidate]]-SamplingData[[#This Row],[Losing Candidate]])/(SamplingData[[#Totals],[Winning Candidate]]-SamplingData[[#Totals],[Losing Candidate]]), 0)</f>
        <v>1.4980478696316414E-2</v>
      </c>
      <c r="R978" s="99">
        <f>IF(AND(SamplingData[[#This Row],[Total]]&lt;&gt; 0, NOT(ISBLANK(SamplingData[[#This Row],[Candidate 3]]))),(SamplingData[[#This Row],[Total]]+SamplingData[[#This Row],[Winning Candidate]]-SamplingData[[#This Row],[Candidate 3]])/(SamplingData[[#Totals],[Winning Candidate]]-SamplingData[[#Totals],[Candidate 3]]), 0)</f>
        <v>0</v>
      </c>
      <c r="S978" s="99">
        <f>IF(AND(SamplingData[[#This Row],[Total]]&lt;&gt; 0, NOT(ISBLANK(SamplingData[[#This Row],[Candidate 4]]))),(SamplingData[[#This Row],[Total]]+SamplingData[[#This Row],[Winning Candidate]]-SamplingData[[#This Row],[Candidate 4]])/(SamplingData[[#Totals],[Winning Candidate]]-SamplingData[[#Totals],[Candidate 4]]), 0)</f>
        <v>0</v>
      </c>
      <c r="T978" s="99">
        <f>IF(AND(SamplingData[[#This Row],[Total]]&lt;&gt; 0, NOT(ISBLANK(SamplingData[[#This Row],[Candidate 5]]))),(SamplingData[[#This Row],[Total]]+SamplingData[[#This Row],[Winning Candidate]]-SamplingData[[#This Row],[Candidate 5]])/(SamplingData[[#Totals],[Winning Candidate]]-SamplingData[[#Totals],[Candidate 5]]), 0)</f>
        <v>0</v>
      </c>
      <c r="U978" s="99">
        <f>IF(AND(SamplingData[[#This Row],[Total]]&lt;&gt; 0, NOT(ISBLANK(SamplingData[[#This Row],[Candidate 6]]))),(SamplingData[[#This Row],[Total]]+SamplingData[[#This Row],[Losing Candidate]]-SamplingData[[#This Row],[Candidate 6]])/(SamplingData[[#Totals],[Winning Candidate]]-SamplingData[[#Totals],[Candidate 6]]), 0)</f>
        <v>0</v>
      </c>
      <c r="V978" s="99">
        <f>IF(AND(SamplingData[[#This Row],[Total]]&lt;&gt; 0, NOT(ISBLANK(SamplingData[[#This Row],[Candidate 7]]))),(SamplingData[[#This Row],[Total]]+SamplingData[[#This Row],[Winning Candidate]]-SamplingData[[#This Row],[Candidate 7]])/(SamplingData[[#Totals],[Winning Candidate]]-SamplingData[[#Totals],[Candidate 7]]), 0)</f>
        <v>0</v>
      </c>
      <c r="W978" s="99">
        <f>IF(AND(SamplingData[[#This Row],[Total]]&lt;&gt; 0, NOT(ISBLANK(SamplingData[[#This Row],[Candidate 8]]))),(SamplingData[[#This Row],[Total]]+SamplingData[[#This Row],[Winning Candidate]]-SamplingData[[#This Row],[Candidate 8]])/(SamplingData[[#Totals],[Winning Candidate]]-SamplingData[[#Totals],[Candidate 8]]), 0)</f>
        <v>0</v>
      </c>
      <c r="X9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8" s="99">
        <f>MAX(SamplingData[[#This Row],[Error Bound (up) - Max. possible relative overstatement - Losing Candidate]:[Error Bound (up) - Max. possible relative overstatement - Candidate 12]])</f>
        <v>1.4980478696316414E-2</v>
      </c>
      <c r="AC978" s="99">
        <f>IF(SamplingData[[#This Row],[Max Error Bound (up)]] = 0,0,SamplingData[[#This Row],[Max Error Bound (up)]]/SamplingData[[#Totals],[Max Error Bound (up)]])</f>
        <v>8.0206856436543521E-4</v>
      </c>
      <c r="AD978" s="103">
        <f>SUM($AC$5:AC978)</f>
        <v>0.87537717671865622</v>
      </c>
      <c r="AE978" s="99" t="str" cm="1">
        <f t="array" ref="AE978">IF(SamplingData[[#This Row],[up/U Selection Probability]] = 0, "Zero", TEXT(SamplingData[[#This Row],[Lower Range]], REPT("0",LEN('General Info'!$B$42))) &amp; " - " &amp; TEXT(SamplingData[[#This Row],[Upper Range]], REPT("0",LEN('General Info'!$B$42))))</f>
        <v>874575 - 875376</v>
      </c>
      <c r="AF978" s="99">
        <f>SamplingData[[#This Row],[Upper Range]]-SamplingData[[#This Row],[Span]]</f>
        <v>874575.10815429082</v>
      </c>
      <c r="AG978" s="99">
        <f>IF(ISNUMBER('General Info'!$B$42), ((SamplingData[[#This Row],[up/U Selection Probability]]) * 'General Info'!$B$44) - 1, 0)</f>
        <v>801.06856436543524</v>
      </c>
      <c r="AH978" s="99">
        <f>IF(ISNUMBER('General Info'!$B$42), (SamplingData[[#This Row],[Running (cumulative) sum]] * ('General Info'!$B$42 -'General Info'!$B$43 + 1)) + 'General Info'!$B$43 - 1, 0)</f>
        <v>875376.17671865621</v>
      </c>
      <c r="AI978" s="99" t="str">
        <f>IF(ISERROR(MATCH(SamplingData[[#This Row],[Batch by Type (p)]],SelectedPrecincts[Batch Name], 0)), "", INDEX(SelectedPrecincts[Draw], MATCH(SamplingData[[#This Row],[Batch by Type (p)]],SelectedPrecincts[Batch Name], 0)))</f>
        <v/>
      </c>
      <c r="AJ978" s="100">
        <f>IF(COUNTIF(SelectedPrecincts[Batch Name],SamplingData[[#This Row],[Batch by Type (p)]]) &lt;&gt; 0, COUNTIF(SelectedPrecincts[Batch Name],SamplingData[[#This Row],[Batch by Type (p)]]), 0)</f>
        <v>0</v>
      </c>
    </row>
    <row r="979" spans="1:36" ht="15" customHeight="1" x14ac:dyDescent="0.35">
      <c r="A979" s="97" t="s">
        <v>1192</v>
      </c>
      <c r="B979" s="97">
        <v>114</v>
      </c>
      <c r="C979" s="97">
        <v>407</v>
      </c>
      <c r="D979" s="92"/>
      <c r="E979" s="92"/>
      <c r="F979" s="92"/>
      <c r="G979" s="96"/>
      <c r="H979" s="96"/>
      <c r="I979" s="92"/>
      <c r="J979" s="92"/>
      <c r="K979" s="92"/>
      <c r="L979" s="92"/>
      <c r="M979" s="92"/>
      <c r="N979" s="97">
        <v>0</v>
      </c>
      <c r="O979" s="97">
        <v>41</v>
      </c>
      <c r="P979" s="98">
        <f>SUM(SamplingData[[#This Row],[Winning Candidate]:[Under Votes]])</f>
        <v>562</v>
      </c>
      <c r="Q979" s="99">
        <f>IF(AND(SamplingData[[#This Row],[Total]]&lt;&gt; 0, NOT(ISBLANK(SamplingData[[#This Row],[Losing Candidate]]))),(SamplingData[[#This Row],[Total]]+SamplingData[[#This Row],[Winning Candidate]]-SamplingData[[#This Row],[Losing Candidate]])/(SamplingData[[#Totals],[Winning Candidate]]-SamplingData[[#Totals],[Losing Candidate]]), 0)</f>
        <v>1.1415718893226956E-2</v>
      </c>
      <c r="R979" s="99">
        <f>IF(AND(SamplingData[[#This Row],[Total]]&lt;&gt; 0, NOT(ISBLANK(SamplingData[[#This Row],[Candidate 3]]))),(SamplingData[[#This Row],[Total]]+SamplingData[[#This Row],[Winning Candidate]]-SamplingData[[#This Row],[Candidate 3]])/(SamplingData[[#Totals],[Winning Candidate]]-SamplingData[[#Totals],[Candidate 3]]), 0)</f>
        <v>0</v>
      </c>
      <c r="S979" s="99">
        <f>IF(AND(SamplingData[[#This Row],[Total]]&lt;&gt; 0, NOT(ISBLANK(SamplingData[[#This Row],[Candidate 4]]))),(SamplingData[[#This Row],[Total]]+SamplingData[[#This Row],[Winning Candidate]]-SamplingData[[#This Row],[Candidate 4]])/(SamplingData[[#Totals],[Winning Candidate]]-SamplingData[[#Totals],[Candidate 4]]), 0)</f>
        <v>0</v>
      </c>
      <c r="T979" s="99">
        <f>IF(AND(SamplingData[[#This Row],[Total]]&lt;&gt; 0, NOT(ISBLANK(SamplingData[[#This Row],[Candidate 5]]))),(SamplingData[[#This Row],[Total]]+SamplingData[[#This Row],[Winning Candidate]]-SamplingData[[#This Row],[Candidate 5]])/(SamplingData[[#Totals],[Winning Candidate]]-SamplingData[[#Totals],[Candidate 5]]), 0)</f>
        <v>0</v>
      </c>
      <c r="U979" s="99">
        <f>IF(AND(SamplingData[[#This Row],[Total]]&lt;&gt; 0, NOT(ISBLANK(SamplingData[[#This Row],[Candidate 6]]))),(SamplingData[[#This Row],[Total]]+SamplingData[[#This Row],[Losing Candidate]]-SamplingData[[#This Row],[Candidate 6]])/(SamplingData[[#Totals],[Winning Candidate]]-SamplingData[[#Totals],[Candidate 6]]), 0)</f>
        <v>0</v>
      </c>
      <c r="V979" s="99">
        <f>IF(AND(SamplingData[[#This Row],[Total]]&lt;&gt; 0, NOT(ISBLANK(SamplingData[[#This Row],[Candidate 7]]))),(SamplingData[[#This Row],[Total]]+SamplingData[[#This Row],[Winning Candidate]]-SamplingData[[#This Row],[Candidate 7]])/(SamplingData[[#Totals],[Winning Candidate]]-SamplingData[[#Totals],[Candidate 7]]), 0)</f>
        <v>0</v>
      </c>
      <c r="W979" s="99">
        <f>IF(AND(SamplingData[[#This Row],[Total]]&lt;&gt; 0, NOT(ISBLANK(SamplingData[[#This Row],[Candidate 8]]))),(SamplingData[[#This Row],[Total]]+SamplingData[[#This Row],[Winning Candidate]]-SamplingData[[#This Row],[Candidate 8]])/(SamplingData[[#Totals],[Winning Candidate]]-SamplingData[[#Totals],[Candidate 8]]), 0)</f>
        <v>0</v>
      </c>
      <c r="X9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9" s="99">
        <f>MAX(SamplingData[[#This Row],[Error Bound (up) - Max. possible relative overstatement - Losing Candidate]:[Error Bound (up) - Max. possible relative overstatement - Candidate 12]])</f>
        <v>1.1415718893226956E-2</v>
      </c>
      <c r="AC979" s="99">
        <f>IF(SamplingData[[#This Row],[Max Error Bound (up)]] = 0,0,SamplingData[[#This Row],[Max Error Bound (up)]]/SamplingData[[#Totals],[Max Error Bound (up)]])</f>
        <v>6.1120805613116733E-4</v>
      </c>
      <c r="AD979" s="103">
        <f>SUM($AC$5:AC979)</f>
        <v>0.87598838477478735</v>
      </c>
      <c r="AE979" s="99" t="str" cm="1">
        <f t="array" ref="AE979">IF(SamplingData[[#This Row],[up/U Selection Probability]] = 0, "Zero", TEXT(SamplingData[[#This Row],[Lower Range]], REPT("0",LEN('General Info'!$B$42))) &amp; " - " &amp; TEXT(SamplingData[[#This Row],[Upper Range]], REPT("0",LEN('General Info'!$B$42))))</f>
        <v>875377 - 875987</v>
      </c>
      <c r="AF979" s="99">
        <f>SamplingData[[#This Row],[Upper Range]]-SamplingData[[#This Row],[Span]]</f>
        <v>875377.17671865621</v>
      </c>
      <c r="AG979" s="99">
        <f>IF(ISNUMBER('General Info'!$B$42), ((SamplingData[[#This Row],[up/U Selection Probability]]) * 'General Info'!$B$44) - 1, 0)</f>
        <v>610.20805613116738</v>
      </c>
      <c r="AH979" s="99">
        <f>IF(ISNUMBER('General Info'!$B$42), (SamplingData[[#This Row],[Running (cumulative) sum]] * ('General Info'!$B$42 -'General Info'!$B$43 + 1)) + 'General Info'!$B$43 - 1, 0)</f>
        <v>875987.38477478735</v>
      </c>
      <c r="AI979" s="99" t="str">
        <f>IF(ISERROR(MATCH(SamplingData[[#This Row],[Batch by Type (p)]],SelectedPrecincts[Batch Name], 0)), "", INDEX(SelectedPrecincts[Draw], MATCH(SamplingData[[#This Row],[Batch by Type (p)]],SelectedPrecincts[Batch Name], 0)))</f>
        <v/>
      </c>
      <c r="AJ979" s="100">
        <f>IF(COUNTIF(SelectedPrecincts[Batch Name],SamplingData[[#This Row],[Batch by Type (p)]]) &lt;&gt; 0, COUNTIF(SelectedPrecincts[Batch Name],SamplingData[[#This Row],[Batch by Type (p)]]), 0)</f>
        <v>0</v>
      </c>
    </row>
    <row r="980" spans="1:36" ht="15" customHeight="1" x14ac:dyDescent="0.35">
      <c r="A980" s="97" t="s">
        <v>1193</v>
      </c>
      <c r="B980" s="97">
        <v>107</v>
      </c>
      <c r="C980" s="97">
        <v>534</v>
      </c>
      <c r="D980" s="92"/>
      <c r="E980" s="92"/>
      <c r="F980" s="92"/>
      <c r="G980" s="96"/>
      <c r="H980" s="96"/>
      <c r="I980" s="92"/>
      <c r="J980" s="92"/>
      <c r="K980" s="92"/>
      <c r="L980" s="92"/>
      <c r="M980" s="92"/>
      <c r="N980" s="97">
        <v>0</v>
      </c>
      <c r="O980" s="97">
        <v>37</v>
      </c>
      <c r="P980" s="98">
        <f>SUM(SamplingData[[#This Row],[Winning Candidate]:[Under Votes]])</f>
        <v>678</v>
      </c>
      <c r="Q980" s="99">
        <f>IF(AND(SamplingData[[#This Row],[Total]]&lt;&gt; 0, NOT(ISBLANK(SamplingData[[#This Row],[Losing Candidate]]))),(SamplingData[[#This Row],[Total]]+SamplingData[[#This Row],[Winning Candidate]]-SamplingData[[#This Row],[Losing Candidate]])/(SamplingData[[#Totals],[Winning Candidate]]-SamplingData[[#Totals],[Losing Candidate]]), 0)</f>
        <v>1.0651841792564929E-2</v>
      </c>
      <c r="R980" s="99">
        <f>IF(AND(SamplingData[[#This Row],[Total]]&lt;&gt; 0, NOT(ISBLANK(SamplingData[[#This Row],[Candidate 3]]))),(SamplingData[[#This Row],[Total]]+SamplingData[[#This Row],[Winning Candidate]]-SamplingData[[#This Row],[Candidate 3]])/(SamplingData[[#Totals],[Winning Candidate]]-SamplingData[[#Totals],[Candidate 3]]), 0)</f>
        <v>0</v>
      </c>
      <c r="S980" s="99">
        <f>IF(AND(SamplingData[[#This Row],[Total]]&lt;&gt; 0, NOT(ISBLANK(SamplingData[[#This Row],[Candidate 4]]))),(SamplingData[[#This Row],[Total]]+SamplingData[[#This Row],[Winning Candidate]]-SamplingData[[#This Row],[Candidate 4]])/(SamplingData[[#Totals],[Winning Candidate]]-SamplingData[[#Totals],[Candidate 4]]), 0)</f>
        <v>0</v>
      </c>
      <c r="T980" s="99">
        <f>IF(AND(SamplingData[[#This Row],[Total]]&lt;&gt; 0, NOT(ISBLANK(SamplingData[[#This Row],[Candidate 5]]))),(SamplingData[[#This Row],[Total]]+SamplingData[[#This Row],[Winning Candidate]]-SamplingData[[#This Row],[Candidate 5]])/(SamplingData[[#Totals],[Winning Candidate]]-SamplingData[[#Totals],[Candidate 5]]), 0)</f>
        <v>0</v>
      </c>
      <c r="U980" s="99">
        <f>IF(AND(SamplingData[[#This Row],[Total]]&lt;&gt; 0, NOT(ISBLANK(SamplingData[[#This Row],[Candidate 6]]))),(SamplingData[[#This Row],[Total]]+SamplingData[[#This Row],[Losing Candidate]]-SamplingData[[#This Row],[Candidate 6]])/(SamplingData[[#Totals],[Winning Candidate]]-SamplingData[[#Totals],[Candidate 6]]), 0)</f>
        <v>0</v>
      </c>
      <c r="V980" s="99">
        <f>IF(AND(SamplingData[[#This Row],[Total]]&lt;&gt; 0, NOT(ISBLANK(SamplingData[[#This Row],[Candidate 7]]))),(SamplingData[[#This Row],[Total]]+SamplingData[[#This Row],[Winning Candidate]]-SamplingData[[#This Row],[Candidate 7]])/(SamplingData[[#Totals],[Winning Candidate]]-SamplingData[[#Totals],[Candidate 7]]), 0)</f>
        <v>0</v>
      </c>
      <c r="W980" s="99">
        <f>IF(AND(SamplingData[[#This Row],[Total]]&lt;&gt; 0, NOT(ISBLANK(SamplingData[[#This Row],[Candidate 8]]))),(SamplingData[[#This Row],[Total]]+SamplingData[[#This Row],[Winning Candidate]]-SamplingData[[#This Row],[Candidate 8]])/(SamplingData[[#Totals],[Winning Candidate]]-SamplingData[[#Totals],[Candidate 8]]), 0)</f>
        <v>0</v>
      </c>
      <c r="X9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0" s="99">
        <f>MAX(SamplingData[[#This Row],[Error Bound (up) - Max. possible relative overstatement - Losing Candidate]:[Error Bound (up) - Max. possible relative overstatement - Candidate 12]])</f>
        <v>1.0651841792564929E-2</v>
      </c>
      <c r="AC980" s="99">
        <f>IF(SamplingData[[#This Row],[Max Error Bound (up)]] = 0,0,SamplingData[[#This Row],[Max Error Bound (up)]]/SamplingData[[#Totals],[Max Error Bound (up)]])</f>
        <v>5.7030937579525284E-4</v>
      </c>
      <c r="AD980" s="103">
        <f>SUM($AC$5:AC980)</f>
        <v>0.87655869415058263</v>
      </c>
      <c r="AE980" s="99" t="str" cm="1">
        <f t="array" ref="AE980">IF(SamplingData[[#This Row],[up/U Selection Probability]] = 0, "Zero", TEXT(SamplingData[[#This Row],[Lower Range]], REPT("0",LEN('General Info'!$B$42))) &amp; " - " &amp; TEXT(SamplingData[[#This Row],[Upper Range]], REPT("0",LEN('General Info'!$B$42))))</f>
        <v>875988 - 876558</v>
      </c>
      <c r="AF980" s="99">
        <f>SamplingData[[#This Row],[Upper Range]]-SamplingData[[#This Row],[Span]]</f>
        <v>875988.38477478735</v>
      </c>
      <c r="AG980" s="99">
        <f>IF(ISNUMBER('General Info'!$B$42), ((SamplingData[[#This Row],[up/U Selection Probability]]) * 'General Info'!$B$44) - 1, 0)</f>
        <v>569.30937579525289</v>
      </c>
      <c r="AH980" s="99">
        <f>IF(ISNUMBER('General Info'!$B$42), (SamplingData[[#This Row],[Running (cumulative) sum]] * ('General Info'!$B$42 -'General Info'!$B$43 + 1)) + 'General Info'!$B$43 - 1, 0)</f>
        <v>876557.69415058265</v>
      </c>
      <c r="AI980" s="99" t="str">
        <f>IF(ISERROR(MATCH(SamplingData[[#This Row],[Batch by Type (p)]],SelectedPrecincts[Batch Name], 0)), "", INDEX(SelectedPrecincts[Draw], MATCH(SamplingData[[#This Row],[Batch by Type (p)]],SelectedPrecincts[Batch Name], 0)))</f>
        <v/>
      </c>
      <c r="AJ980" s="100">
        <f>IF(COUNTIF(SelectedPrecincts[Batch Name],SamplingData[[#This Row],[Batch by Type (p)]]) &lt;&gt; 0, COUNTIF(SelectedPrecincts[Batch Name],SamplingData[[#This Row],[Batch by Type (p)]]), 0)</f>
        <v>0</v>
      </c>
    </row>
    <row r="981" spans="1:36" ht="15" customHeight="1" x14ac:dyDescent="0.35">
      <c r="A981" s="97" t="s">
        <v>1194</v>
      </c>
      <c r="B981" s="97">
        <v>68</v>
      </c>
      <c r="C981" s="97">
        <v>217</v>
      </c>
      <c r="D981" s="92"/>
      <c r="E981" s="92"/>
      <c r="F981" s="92"/>
      <c r="G981" s="96"/>
      <c r="H981" s="96"/>
      <c r="I981" s="92"/>
      <c r="J981" s="92"/>
      <c r="K981" s="92"/>
      <c r="L981" s="92"/>
      <c r="M981" s="92"/>
      <c r="N981" s="97">
        <v>0</v>
      </c>
      <c r="O981" s="97">
        <v>24</v>
      </c>
      <c r="P981" s="98">
        <f>SUM(SamplingData[[#This Row],[Winning Candidate]:[Under Votes]])</f>
        <v>309</v>
      </c>
      <c r="Q981" s="99">
        <f>IF(AND(SamplingData[[#This Row],[Total]]&lt;&gt; 0, NOT(ISBLANK(SamplingData[[#This Row],[Losing Candidate]]))),(SamplingData[[#This Row],[Total]]+SamplingData[[#This Row],[Winning Candidate]]-SamplingData[[#This Row],[Losing Candidate]])/(SamplingData[[#Totals],[Winning Candidate]]-SamplingData[[#Totals],[Losing Candidate]]), 0)</f>
        <v>6.7900186725513498E-3</v>
      </c>
      <c r="R981" s="99">
        <f>IF(AND(SamplingData[[#This Row],[Total]]&lt;&gt; 0, NOT(ISBLANK(SamplingData[[#This Row],[Candidate 3]]))),(SamplingData[[#This Row],[Total]]+SamplingData[[#This Row],[Winning Candidate]]-SamplingData[[#This Row],[Candidate 3]])/(SamplingData[[#Totals],[Winning Candidate]]-SamplingData[[#Totals],[Candidate 3]]), 0)</f>
        <v>0</v>
      </c>
      <c r="S981" s="99">
        <f>IF(AND(SamplingData[[#This Row],[Total]]&lt;&gt; 0, NOT(ISBLANK(SamplingData[[#This Row],[Candidate 4]]))),(SamplingData[[#This Row],[Total]]+SamplingData[[#This Row],[Winning Candidate]]-SamplingData[[#This Row],[Candidate 4]])/(SamplingData[[#Totals],[Winning Candidate]]-SamplingData[[#Totals],[Candidate 4]]), 0)</f>
        <v>0</v>
      </c>
      <c r="T981" s="99">
        <f>IF(AND(SamplingData[[#This Row],[Total]]&lt;&gt; 0, NOT(ISBLANK(SamplingData[[#This Row],[Candidate 5]]))),(SamplingData[[#This Row],[Total]]+SamplingData[[#This Row],[Winning Candidate]]-SamplingData[[#This Row],[Candidate 5]])/(SamplingData[[#Totals],[Winning Candidate]]-SamplingData[[#Totals],[Candidate 5]]), 0)</f>
        <v>0</v>
      </c>
      <c r="U981" s="99">
        <f>IF(AND(SamplingData[[#This Row],[Total]]&lt;&gt; 0, NOT(ISBLANK(SamplingData[[#This Row],[Candidate 6]]))),(SamplingData[[#This Row],[Total]]+SamplingData[[#This Row],[Losing Candidate]]-SamplingData[[#This Row],[Candidate 6]])/(SamplingData[[#Totals],[Winning Candidate]]-SamplingData[[#Totals],[Candidate 6]]), 0)</f>
        <v>0</v>
      </c>
      <c r="V981" s="99">
        <f>IF(AND(SamplingData[[#This Row],[Total]]&lt;&gt; 0, NOT(ISBLANK(SamplingData[[#This Row],[Candidate 7]]))),(SamplingData[[#This Row],[Total]]+SamplingData[[#This Row],[Winning Candidate]]-SamplingData[[#This Row],[Candidate 7]])/(SamplingData[[#Totals],[Winning Candidate]]-SamplingData[[#Totals],[Candidate 7]]), 0)</f>
        <v>0</v>
      </c>
      <c r="W981" s="99">
        <f>IF(AND(SamplingData[[#This Row],[Total]]&lt;&gt; 0, NOT(ISBLANK(SamplingData[[#This Row],[Candidate 8]]))),(SamplingData[[#This Row],[Total]]+SamplingData[[#This Row],[Winning Candidate]]-SamplingData[[#This Row],[Candidate 8]])/(SamplingData[[#Totals],[Winning Candidate]]-SamplingData[[#Totals],[Candidate 8]]), 0)</f>
        <v>0</v>
      </c>
      <c r="X9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1" s="99">
        <f>MAX(SamplingData[[#This Row],[Error Bound (up) - Max. possible relative overstatement - Losing Candidate]:[Error Bound (up) - Max. possible relative overstatement - Candidate 12]])</f>
        <v>6.7900186725513498E-3</v>
      </c>
      <c r="AC981" s="99">
        <f>IF(SamplingData[[#This Row],[Max Error Bound (up)]] = 0,0,SamplingData[[#This Row],[Max Error Bound (up)]]/SamplingData[[#Totals],[Max Error Bound (up)]])</f>
        <v>3.6354382520812934E-4</v>
      </c>
      <c r="AD981" s="103">
        <f>SUM($AC$5:AC981)</f>
        <v>0.87692223797579072</v>
      </c>
      <c r="AE981" s="99" t="str" cm="1">
        <f t="array" ref="AE981">IF(SamplingData[[#This Row],[up/U Selection Probability]] = 0, "Zero", TEXT(SamplingData[[#This Row],[Lower Range]], REPT("0",LEN('General Info'!$B$42))) &amp; " - " &amp; TEXT(SamplingData[[#This Row],[Upper Range]], REPT("0",LEN('General Info'!$B$42))))</f>
        <v>876559 - 876921</v>
      </c>
      <c r="AF981" s="99">
        <f>SamplingData[[#This Row],[Upper Range]]-SamplingData[[#This Row],[Span]]</f>
        <v>876558.69415058265</v>
      </c>
      <c r="AG981" s="99">
        <f>IF(ISNUMBER('General Info'!$B$42), ((SamplingData[[#This Row],[up/U Selection Probability]]) * 'General Info'!$B$44) - 1, 0)</f>
        <v>362.54382520812936</v>
      </c>
      <c r="AH981" s="99">
        <f>IF(ISNUMBER('General Info'!$B$42), (SamplingData[[#This Row],[Running (cumulative) sum]] * ('General Info'!$B$42 -'General Info'!$B$43 + 1)) + 'General Info'!$B$43 - 1, 0)</f>
        <v>876921.23797579075</v>
      </c>
      <c r="AI981" s="99" t="str">
        <f>IF(ISERROR(MATCH(SamplingData[[#This Row],[Batch by Type (p)]],SelectedPrecincts[Batch Name], 0)), "", INDEX(SelectedPrecincts[Draw], MATCH(SamplingData[[#This Row],[Batch by Type (p)]],SelectedPrecincts[Batch Name], 0)))</f>
        <v/>
      </c>
      <c r="AJ981" s="100">
        <f>IF(COUNTIF(SelectedPrecincts[Batch Name],SamplingData[[#This Row],[Batch by Type (p)]]) &lt;&gt; 0, COUNTIF(SelectedPrecincts[Batch Name],SamplingData[[#This Row],[Batch by Type (p)]]), 0)</f>
        <v>0</v>
      </c>
    </row>
    <row r="982" spans="1:36" ht="15" customHeight="1" x14ac:dyDescent="0.35">
      <c r="A982" s="97" t="s">
        <v>1195</v>
      </c>
      <c r="B982" s="97">
        <v>131</v>
      </c>
      <c r="C982" s="97">
        <v>408</v>
      </c>
      <c r="D982" s="92"/>
      <c r="E982" s="92"/>
      <c r="F982" s="92"/>
      <c r="G982" s="96"/>
      <c r="H982" s="96"/>
      <c r="I982" s="92"/>
      <c r="J982" s="92"/>
      <c r="K982" s="92"/>
      <c r="L982" s="92"/>
      <c r="M982" s="92"/>
      <c r="N982" s="97">
        <v>0</v>
      </c>
      <c r="O982" s="97">
        <v>45</v>
      </c>
      <c r="P982" s="98">
        <f>SUM(SamplingData[[#This Row],[Winning Candidate]:[Under Votes]])</f>
        <v>584</v>
      </c>
      <c r="Q982" s="99">
        <f>IF(AND(SamplingData[[#This Row],[Total]]&lt;&gt; 0, NOT(ISBLANK(SamplingData[[#This Row],[Losing Candidate]]))),(SamplingData[[#This Row],[Total]]+SamplingData[[#This Row],[Winning Candidate]]-SamplingData[[#This Row],[Losing Candidate]])/(SamplingData[[#Totals],[Winning Candidate]]-SamplingData[[#Totals],[Losing Candidate]]), 0)</f>
        <v>1.3028348327957903E-2</v>
      </c>
      <c r="R982" s="99">
        <f>IF(AND(SamplingData[[#This Row],[Total]]&lt;&gt; 0, NOT(ISBLANK(SamplingData[[#This Row],[Candidate 3]]))),(SamplingData[[#This Row],[Total]]+SamplingData[[#This Row],[Winning Candidate]]-SamplingData[[#This Row],[Candidate 3]])/(SamplingData[[#Totals],[Winning Candidate]]-SamplingData[[#Totals],[Candidate 3]]), 0)</f>
        <v>0</v>
      </c>
      <c r="S982" s="99">
        <f>IF(AND(SamplingData[[#This Row],[Total]]&lt;&gt; 0, NOT(ISBLANK(SamplingData[[#This Row],[Candidate 4]]))),(SamplingData[[#This Row],[Total]]+SamplingData[[#This Row],[Winning Candidate]]-SamplingData[[#This Row],[Candidate 4]])/(SamplingData[[#Totals],[Winning Candidate]]-SamplingData[[#Totals],[Candidate 4]]), 0)</f>
        <v>0</v>
      </c>
      <c r="T982" s="99">
        <f>IF(AND(SamplingData[[#This Row],[Total]]&lt;&gt; 0, NOT(ISBLANK(SamplingData[[#This Row],[Candidate 5]]))),(SamplingData[[#This Row],[Total]]+SamplingData[[#This Row],[Winning Candidate]]-SamplingData[[#This Row],[Candidate 5]])/(SamplingData[[#Totals],[Winning Candidate]]-SamplingData[[#Totals],[Candidate 5]]), 0)</f>
        <v>0</v>
      </c>
      <c r="U982" s="99">
        <f>IF(AND(SamplingData[[#This Row],[Total]]&lt;&gt; 0, NOT(ISBLANK(SamplingData[[#This Row],[Candidate 6]]))),(SamplingData[[#This Row],[Total]]+SamplingData[[#This Row],[Losing Candidate]]-SamplingData[[#This Row],[Candidate 6]])/(SamplingData[[#Totals],[Winning Candidate]]-SamplingData[[#Totals],[Candidate 6]]), 0)</f>
        <v>0</v>
      </c>
      <c r="V982" s="99">
        <f>IF(AND(SamplingData[[#This Row],[Total]]&lt;&gt; 0, NOT(ISBLANK(SamplingData[[#This Row],[Candidate 7]]))),(SamplingData[[#This Row],[Total]]+SamplingData[[#This Row],[Winning Candidate]]-SamplingData[[#This Row],[Candidate 7]])/(SamplingData[[#Totals],[Winning Candidate]]-SamplingData[[#Totals],[Candidate 7]]), 0)</f>
        <v>0</v>
      </c>
      <c r="W982" s="99">
        <f>IF(AND(SamplingData[[#This Row],[Total]]&lt;&gt; 0, NOT(ISBLANK(SamplingData[[#This Row],[Candidate 8]]))),(SamplingData[[#This Row],[Total]]+SamplingData[[#This Row],[Winning Candidate]]-SamplingData[[#This Row],[Candidate 8]])/(SamplingData[[#Totals],[Winning Candidate]]-SamplingData[[#Totals],[Candidate 8]]), 0)</f>
        <v>0</v>
      </c>
      <c r="X9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2" s="99">
        <f>MAX(SamplingData[[#This Row],[Error Bound (up) - Max. possible relative overstatement - Losing Candidate]:[Error Bound (up) - Max. possible relative overstatement - Candidate 12]])</f>
        <v>1.3028348327957903E-2</v>
      </c>
      <c r="AC982" s="99">
        <f>IF(SamplingData[[#This Row],[Max Error Bound (up)]] = 0,0,SamplingData[[#This Row],[Max Error Bound (up)]]/SamplingData[[#Totals],[Max Error Bound (up)]])</f>
        <v>6.9754971461809809E-4</v>
      </c>
      <c r="AD982" s="103">
        <f>SUM($AC$5:AC982)</f>
        <v>0.87761978769040883</v>
      </c>
      <c r="AE982" s="99" t="str" cm="1">
        <f t="array" ref="AE982">IF(SamplingData[[#This Row],[up/U Selection Probability]] = 0, "Zero", TEXT(SamplingData[[#This Row],[Lower Range]], REPT("0",LEN('General Info'!$B$42))) &amp; " - " &amp; TEXT(SamplingData[[#This Row],[Upper Range]], REPT("0",LEN('General Info'!$B$42))))</f>
        <v>876922 - 877619</v>
      </c>
      <c r="AF982" s="99">
        <f>SamplingData[[#This Row],[Upper Range]]-SamplingData[[#This Row],[Span]]</f>
        <v>876922.23797579075</v>
      </c>
      <c r="AG982" s="99">
        <f>IF(ISNUMBER('General Info'!$B$42), ((SamplingData[[#This Row],[up/U Selection Probability]]) * 'General Info'!$B$44) - 1, 0)</f>
        <v>696.54971461809805</v>
      </c>
      <c r="AH982" s="99">
        <f>IF(ISNUMBER('General Info'!$B$42), (SamplingData[[#This Row],[Running (cumulative) sum]] * ('General Info'!$B$42 -'General Info'!$B$43 + 1)) + 'General Info'!$B$43 - 1, 0)</f>
        <v>877618.78769040888</v>
      </c>
      <c r="AI982" s="99" t="str">
        <f>IF(ISERROR(MATCH(SamplingData[[#This Row],[Batch by Type (p)]],SelectedPrecincts[Batch Name], 0)), "", INDEX(SelectedPrecincts[Draw], MATCH(SamplingData[[#This Row],[Batch by Type (p)]],SelectedPrecincts[Batch Name], 0)))</f>
        <v/>
      </c>
      <c r="AJ982" s="100">
        <f>IF(COUNTIF(SelectedPrecincts[Batch Name],SamplingData[[#This Row],[Batch by Type (p)]]) &lt;&gt; 0, COUNTIF(SelectedPrecincts[Batch Name],SamplingData[[#This Row],[Batch by Type (p)]]), 0)</f>
        <v>0</v>
      </c>
    </row>
    <row r="983" spans="1:36" ht="15" customHeight="1" x14ac:dyDescent="0.35">
      <c r="A983" s="97" t="s">
        <v>1196</v>
      </c>
      <c r="B983" s="97">
        <v>143</v>
      </c>
      <c r="C983" s="97">
        <v>196</v>
      </c>
      <c r="D983" s="92"/>
      <c r="E983" s="92"/>
      <c r="F983" s="92"/>
      <c r="G983" s="96"/>
      <c r="H983" s="96"/>
      <c r="I983" s="92"/>
      <c r="J983" s="92"/>
      <c r="K983" s="92"/>
      <c r="L983" s="92"/>
      <c r="M983" s="92"/>
      <c r="N983" s="97">
        <v>2</v>
      </c>
      <c r="O983" s="97">
        <v>36</v>
      </c>
      <c r="P983" s="98">
        <f>SUM(SamplingData[[#This Row],[Winning Candidate]:[Under Votes]])</f>
        <v>377</v>
      </c>
      <c r="Q983" s="99">
        <f>IF(AND(SamplingData[[#This Row],[Total]]&lt;&gt; 0, NOT(ISBLANK(SamplingData[[#This Row],[Losing Candidate]]))),(SamplingData[[#This Row],[Total]]+SamplingData[[#This Row],[Winning Candidate]]-SamplingData[[#This Row],[Losing Candidate]])/(SamplingData[[#Totals],[Winning Candidate]]-SamplingData[[#Totals],[Losing Candidate]]), 0)</f>
        <v>1.3749787811916483E-2</v>
      </c>
      <c r="R983" s="99">
        <f>IF(AND(SamplingData[[#This Row],[Total]]&lt;&gt; 0, NOT(ISBLANK(SamplingData[[#This Row],[Candidate 3]]))),(SamplingData[[#This Row],[Total]]+SamplingData[[#This Row],[Winning Candidate]]-SamplingData[[#This Row],[Candidate 3]])/(SamplingData[[#Totals],[Winning Candidate]]-SamplingData[[#Totals],[Candidate 3]]), 0)</f>
        <v>0</v>
      </c>
      <c r="S983" s="99">
        <f>IF(AND(SamplingData[[#This Row],[Total]]&lt;&gt; 0, NOT(ISBLANK(SamplingData[[#This Row],[Candidate 4]]))),(SamplingData[[#This Row],[Total]]+SamplingData[[#This Row],[Winning Candidate]]-SamplingData[[#This Row],[Candidate 4]])/(SamplingData[[#Totals],[Winning Candidate]]-SamplingData[[#Totals],[Candidate 4]]), 0)</f>
        <v>0</v>
      </c>
      <c r="T983" s="99">
        <f>IF(AND(SamplingData[[#This Row],[Total]]&lt;&gt; 0, NOT(ISBLANK(SamplingData[[#This Row],[Candidate 5]]))),(SamplingData[[#This Row],[Total]]+SamplingData[[#This Row],[Winning Candidate]]-SamplingData[[#This Row],[Candidate 5]])/(SamplingData[[#Totals],[Winning Candidate]]-SamplingData[[#Totals],[Candidate 5]]), 0)</f>
        <v>0</v>
      </c>
      <c r="U983" s="99">
        <f>IF(AND(SamplingData[[#This Row],[Total]]&lt;&gt; 0, NOT(ISBLANK(SamplingData[[#This Row],[Candidate 6]]))),(SamplingData[[#This Row],[Total]]+SamplingData[[#This Row],[Losing Candidate]]-SamplingData[[#This Row],[Candidate 6]])/(SamplingData[[#Totals],[Winning Candidate]]-SamplingData[[#Totals],[Candidate 6]]), 0)</f>
        <v>0</v>
      </c>
      <c r="V983" s="99">
        <f>IF(AND(SamplingData[[#This Row],[Total]]&lt;&gt; 0, NOT(ISBLANK(SamplingData[[#This Row],[Candidate 7]]))),(SamplingData[[#This Row],[Total]]+SamplingData[[#This Row],[Winning Candidate]]-SamplingData[[#This Row],[Candidate 7]])/(SamplingData[[#Totals],[Winning Candidate]]-SamplingData[[#Totals],[Candidate 7]]), 0)</f>
        <v>0</v>
      </c>
      <c r="W983" s="99">
        <f>IF(AND(SamplingData[[#This Row],[Total]]&lt;&gt; 0, NOT(ISBLANK(SamplingData[[#This Row],[Candidate 8]]))),(SamplingData[[#This Row],[Total]]+SamplingData[[#This Row],[Winning Candidate]]-SamplingData[[#This Row],[Candidate 8]])/(SamplingData[[#Totals],[Winning Candidate]]-SamplingData[[#Totals],[Candidate 8]]), 0)</f>
        <v>0</v>
      </c>
      <c r="X9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3" s="99">
        <f>MAX(SamplingData[[#This Row],[Error Bound (up) - Max. possible relative overstatement - Losing Candidate]:[Error Bound (up) - Max. possible relative overstatement - Candidate 12]])</f>
        <v>1.3749787811916483E-2</v>
      </c>
      <c r="AC983" s="99">
        <f>IF(SamplingData[[#This Row],[Max Error Bound (up)]] = 0,0,SamplingData[[#This Row],[Max Error Bound (up)]]/SamplingData[[#Totals],[Max Error Bound (up)]])</f>
        <v>7.3617624604646191E-4</v>
      </c>
      <c r="AD983" s="103">
        <f>SUM($AC$5:AC983)</f>
        <v>0.87835596393645532</v>
      </c>
      <c r="AE983" s="99" t="str" cm="1">
        <f t="array" ref="AE983">IF(SamplingData[[#This Row],[up/U Selection Probability]] = 0, "Zero", TEXT(SamplingData[[#This Row],[Lower Range]], REPT("0",LEN('General Info'!$B$42))) &amp; " - " &amp; TEXT(SamplingData[[#This Row],[Upper Range]], REPT("0",LEN('General Info'!$B$42))))</f>
        <v>877620 - 878355</v>
      </c>
      <c r="AF983" s="99">
        <f>SamplingData[[#This Row],[Upper Range]]-SamplingData[[#This Row],[Span]]</f>
        <v>877619.78769040888</v>
      </c>
      <c r="AG983" s="99">
        <f>IF(ISNUMBER('General Info'!$B$42), ((SamplingData[[#This Row],[up/U Selection Probability]]) * 'General Info'!$B$44) - 1, 0)</f>
        <v>735.17624604646187</v>
      </c>
      <c r="AH983" s="99">
        <f>IF(ISNUMBER('General Info'!$B$42), (SamplingData[[#This Row],[Running (cumulative) sum]] * ('General Info'!$B$42 -'General Info'!$B$43 + 1)) + 'General Info'!$B$43 - 1, 0)</f>
        <v>878354.96393645531</v>
      </c>
      <c r="AI983" s="99" t="str">
        <f>IF(ISERROR(MATCH(SamplingData[[#This Row],[Batch by Type (p)]],SelectedPrecincts[Batch Name], 0)), "", INDEX(SelectedPrecincts[Draw], MATCH(SamplingData[[#This Row],[Batch by Type (p)]],SelectedPrecincts[Batch Name], 0)))</f>
        <v/>
      </c>
      <c r="AJ983" s="100">
        <f>IF(COUNTIF(SelectedPrecincts[Batch Name],SamplingData[[#This Row],[Batch by Type (p)]]) &lt;&gt; 0, COUNTIF(SelectedPrecincts[Batch Name],SamplingData[[#This Row],[Batch by Type (p)]]), 0)</f>
        <v>0</v>
      </c>
    </row>
    <row r="984" spans="1:36" ht="15" customHeight="1" x14ac:dyDescent="0.35">
      <c r="A984" s="97" t="s">
        <v>1197</v>
      </c>
      <c r="B984" s="97">
        <v>199</v>
      </c>
      <c r="C984" s="97">
        <v>318</v>
      </c>
      <c r="D984" s="92"/>
      <c r="E984" s="92"/>
      <c r="F984" s="92"/>
      <c r="G984" s="96"/>
      <c r="H984" s="96"/>
      <c r="I984" s="92"/>
      <c r="J984" s="92"/>
      <c r="K984" s="92"/>
      <c r="L984" s="92"/>
      <c r="M984" s="92"/>
      <c r="N984" s="97">
        <v>1</v>
      </c>
      <c r="O984" s="97">
        <v>35</v>
      </c>
      <c r="P984" s="98">
        <f>SUM(SamplingData[[#This Row],[Winning Candidate]:[Under Votes]])</f>
        <v>553</v>
      </c>
      <c r="Q984" s="99">
        <f>IF(AND(SamplingData[[#This Row],[Total]]&lt;&gt; 0, NOT(ISBLANK(SamplingData[[#This Row],[Losing Candidate]]))),(SamplingData[[#This Row],[Total]]+SamplingData[[#This Row],[Winning Candidate]]-SamplingData[[#This Row],[Losing Candidate]])/(SamplingData[[#Totals],[Winning Candidate]]-SamplingData[[#Totals],[Losing Candidate]]), 0)</f>
        <v>1.8417925649295536E-2</v>
      </c>
      <c r="R984" s="99">
        <f>IF(AND(SamplingData[[#This Row],[Total]]&lt;&gt; 0, NOT(ISBLANK(SamplingData[[#This Row],[Candidate 3]]))),(SamplingData[[#This Row],[Total]]+SamplingData[[#This Row],[Winning Candidate]]-SamplingData[[#This Row],[Candidate 3]])/(SamplingData[[#Totals],[Winning Candidate]]-SamplingData[[#Totals],[Candidate 3]]), 0)</f>
        <v>0</v>
      </c>
      <c r="S984" s="99">
        <f>IF(AND(SamplingData[[#This Row],[Total]]&lt;&gt; 0, NOT(ISBLANK(SamplingData[[#This Row],[Candidate 4]]))),(SamplingData[[#This Row],[Total]]+SamplingData[[#This Row],[Winning Candidate]]-SamplingData[[#This Row],[Candidate 4]])/(SamplingData[[#Totals],[Winning Candidate]]-SamplingData[[#Totals],[Candidate 4]]), 0)</f>
        <v>0</v>
      </c>
      <c r="T984" s="99">
        <f>IF(AND(SamplingData[[#This Row],[Total]]&lt;&gt; 0, NOT(ISBLANK(SamplingData[[#This Row],[Candidate 5]]))),(SamplingData[[#This Row],[Total]]+SamplingData[[#This Row],[Winning Candidate]]-SamplingData[[#This Row],[Candidate 5]])/(SamplingData[[#Totals],[Winning Candidate]]-SamplingData[[#Totals],[Candidate 5]]), 0)</f>
        <v>0</v>
      </c>
      <c r="U984" s="99">
        <f>IF(AND(SamplingData[[#This Row],[Total]]&lt;&gt; 0, NOT(ISBLANK(SamplingData[[#This Row],[Candidate 6]]))),(SamplingData[[#This Row],[Total]]+SamplingData[[#This Row],[Losing Candidate]]-SamplingData[[#This Row],[Candidate 6]])/(SamplingData[[#Totals],[Winning Candidate]]-SamplingData[[#Totals],[Candidate 6]]), 0)</f>
        <v>0</v>
      </c>
      <c r="V984" s="99">
        <f>IF(AND(SamplingData[[#This Row],[Total]]&lt;&gt; 0, NOT(ISBLANK(SamplingData[[#This Row],[Candidate 7]]))),(SamplingData[[#This Row],[Total]]+SamplingData[[#This Row],[Winning Candidate]]-SamplingData[[#This Row],[Candidate 7]])/(SamplingData[[#Totals],[Winning Candidate]]-SamplingData[[#Totals],[Candidate 7]]), 0)</f>
        <v>0</v>
      </c>
      <c r="W984" s="99">
        <f>IF(AND(SamplingData[[#This Row],[Total]]&lt;&gt; 0, NOT(ISBLANK(SamplingData[[#This Row],[Candidate 8]]))),(SamplingData[[#This Row],[Total]]+SamplingData[[#This Row],[Winning Candidate]]-SamplingData[[#This Row],[Candidate 8]])/(SamplingData[[#Totals],[Winning Candidate]]-SamplingData[[#Totals],[Candidate 8]]), 0)</f>
        <v>0</v>
      </c>
      <c r="X9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4" s="99">
        <f>MAX(SamplingData[[#This Row],[Error Bound (up) - Max. possible relative overstatement - Losing Candidate]:[Error Bound (up) - Max. possible relative overstatement - Candidate 12]])</f>
        <v>1.8417925649295536E-2</v>
      </c>
      <c r="AC984" s="99">
        <f>IF(SamplingData[[#This Row],[Max Error Bound (up)]] = 0,0,SamplingData[[#This Row],[Max Error Bound (up)]]/SamplingData[[#Totals],[Max Error Bound (up)]])</f>
        <v>9.8611262587705085E-4</v>
      </c>
      <c r="AD984" s="103">
        <f>SUM($AC$5:AC984)</f>
        <v>0.87934207656233232</v>
      </c>
      <c r="AE984" s="99" t="str" cm="1">
        <f t="array" ref="AE984">IF(SamplingData[[#This Row],[up/U Selection Probability]] = 0, "Zero", TEXT(SamplingData[[#This Row],[Lower Range]], REPT("0",LEN('General Info'!$B$42))) &amp; " - " &amp; TEXT(SamplingData[[#This Row],[Upper Range]], REPT("0",LEN('General Info'!$B$42))))</f>
        <v>878356 - 879341</v>
      </c>
      <c r="AF984" s="99">
        <f>SamplingData[[#This Row],[Upper Range]]-SamplingData[[#This Row],[Span]]</f>
        <v>878355.96393645531</v>
      </c>
      <c r="AG984" s="99">
        <f>IF(ISNUMBER('General Info'!$B$42), ((SamplingData[[#This Row],[up/U Selection Probability]]) * 'General Info'!$B$44) - 1, 0)</f>
        <v>985.11262587705085</v>
      </c>
      <c r="AH984" s="99">
        <f>IF(ISNUMBER('General Info'!$B$42), (SamplingData[[#This Row],[Running (cumulative) sum]] * ('General Info'!$B$42 -'General Info'!$B$43 + 1)) + 'General Info'!$B$43 - 1, 0)</f>
        <v>879341.07656233234</v>
      </c>
      <c r="AI984" s="99" t="str">
        <f>IF(ISERROR(MATCH(SamplingData[[#This Row],[Batch by Type (p)]],SelectedPrecincts[Batch Name], 0)), "", INDEX(SelectedPrecincts[Draw], MATCH(SamplingData[[#This Row],[Batch by Type (p)]],SelectedPrecincts[Batch Name], 0)))</f>
        <v/>
      </c>
      <c r="AJ984" s="100">
        <f>IF(COUNTIF(SelectedPrecincts[Batch Name],SamplingData[[#This Row],[Batch by Type (p)]]) &lt;&gt; 0, COUNTIF(SelectedPrecincts[Batch Name],SamplingData[[#This Row],[Batch by Type (p)]]), 0)</f>
        <v>0</v>
      </c>
    </row>
    <row r="985" spans="1:36" ht="15" customHeight="1" x14ac:dyDescent="0.35">
      <c r="A985" s="97" t="s">
        <v>1198</v>
      </c>
      <c r="B985" s="97">
        <v>131</v>
      </c>
      <c r="C985" s="97">
        <v>314</v>
      </c>
      <c r="D985" s="92"/>
      <c r="E985" s="92"/>
      <c r="F985" s="92"/>
      <c r="G985" s="96"/>
      <c r="H985" s="96"/>
      <c r="I985" s="92"/>
      <c r="J985" s="92"/>
      <c r="K985" s="92"/>
      <c r="L985" s="92"/>
      <c r="M985" s="92"/>
      <c r="N985" s="97">
        <v>0</v>
      </c>
      <c r="O985" s="97">
        <v>29</v>
      </c>
      <c r="P985" s="98">
        <f>SUM(SamplingData[[#This Row],[Winning Candidate]:[Under Votes]])</f>
        <v>474</v>
      </c>
      <c r="Q985" s="99">
        <f>IF(AND(SamplingData[[#This Row],[Total]]&lt;&gt; 0, NOT(ISBLANK(SamplingData[[#This Row],[Losing Candidate]]))),(SamplingData[[#This Row],[Total]]+SamplingData[[#This Row],[Winning Candidate]]-SamplingData[[#This Row],[Losing Candidate]])/(SamplingData[[#Totals],[Winning Candidate]]-SamplingData[[#Totals],[Losing Candidate]]), 0)</f>
        <v>1.2349346460702766E-2</v>
      </c>
      <c r="R985" s="99">
        <f>IF(AND(SamplingData[[#This Row],[Total]]&lt;&gt; 0, NOT(ISBLANK(SamplingData[[#This Row],[Candidate 3]]))),(SamplingData[[#This Row],[Total]]+SamplingData[[#This Row],[Winning Candidate]]-SamplingData[[#This Row],[Candidate 3]])/(SamplingData[[#Totals],[Winning Candidate]]-SamplingData[[#Totals],[Candidate 3]]), 0)</f>
        <v>0</v>
      </c>
      <c r="S985" s="99">
        <f>IF(AND(SamplingData[[#This Row],[Total]]&lt;&gt; 0, NOT(ISBLANK(SamplingData[[#This Row],[Candidate 4]]))),(SamplingData[[#This Row],[Total]]+SamplingData[[#This Row],[Winning Candidate]]-SamplingData[[#This Row],[Candidate 4]])/(SamplingData[[#Totals],[Winning Candidate]]-SamplingData[[#Totals],[Candidate 4]]), 0)</f>
        <v>0</v>
      </c>
      <c r="T985" s="99">
        <f>IF(AND(SamplingData[[#This Row],[Total]]&lt;&gt; 0, NOT(ISBLANK(SamplingData[[#This Row],[Candidate 5]]))),(SamplingData[[#This Row],[Total]]+SamplingData[[#This Row],[Winning Candidate]]-SamplingData[[#This Row],[Candidate 5]])/(SamplingData[[#Totals],[Winning Candidate]]-SamplingData[[#Totals],[Candidate 5]]), 0)</f>
        <v>0</v>
      </c>
      <c r="U985" s="99">
        <f>IF(AND(SamplingData[[#This Row],[Total]]&lt;&gt; 0, NOT(ISBLANK(SamplingData[[#This Row],[Candidate 6]]))),(SamplingData[[#This Row],[Total]]+SamplingData[[#This Row],[Losing Candidate]]-SamplingData[[#This Row],[Candidate 6]])/(SamplingData[[#Totals],[Winning Candidate]]-SamplingData[[#Totals],[Candidate 6]]), 0)</f>
        <v>0</v>
      </c>
      <c r="V985" s="99">
        <f>IF(AND(SamplingData[[#This Row],[Total]]&lt;&gt; 0, NOT(ISBLANK(SamplingData[[#This Row],[Candidate 7]]))),(SamplingData[[#This Row],[Total]]+SamplingData[[#This Row],[Winning Candidate]]-SamplingData[[#This Row],[Candidate 7]])/(SamplingData[[#Totals],[Winning Candidate]]-SamplingData[[#Totals],[Candidate 7]]), 0)</f>
        <v>0</v>
      </c>
      <c r="W985" s="99">
        <f>IF(AND(SamplingData[[#This Row],[Total]]&lt;&gt; 0, NOT(ISBLANK(SamplingData[[#This Row],[Candidate 8]]))),(SamplingData[[#This Row],[Total]]+SamplingData[[#This Row],[Winning Candidate]]-SamplingData[[#This Row],[Candidate 8]])/(SamplingData[[#Totals],[Winning Candidate]]-SamplingData[[#Totals],[Candidate 8]]), 0)</f>
        <v>0</v>
      </c>
      <c r="X9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5" s="99">
        <f>MAX(SamplingData[[#This Row],[Error Bound (up) - Max. possible relative overstatement - Losing Candidate]:[Error Bound (up) - Max. possible relative overstatement - Candidate 12]])</f>
        <v>1.2349346460702766E-2</v>
      </c>
      <c r="AC985" s="99">
        <f>IF(SamplingData[[#This Row],[Max Error Bound (up)]] = 0,0,SamplingData[[#This Row],[Max Error Bound (up)]]/SamplingData[[#Totals],[Max Error Bound (up)]])</f>
        <v>6.6119533209728517E-4</v>
      </c>
      <c r="AD985" s="103">
        <f>SUM($AC$5:AC985)</f>
        <v>0.88000327189442962</v>
      </c>
      <c r="AE985" s="99" t="str" cm="1">
        <f t="array" ref="AE985">IF(SamplingData[[#This Row],[up/U Selection Probability]] = 0, "Zero", TEXT(SamplingData[[#This Row],[Lower Range]], REPT("0",LEN('General Info'!$B$42))) &amp; " - " &amp; TEXT(SamplingData[[#This Row],[Upper Range]], REPT("0",LEN('General Info'!$B$42))))</f>
        <v>879342 - 880002</v>
      </c>
      <c r="AF985" s="99">
        <f>SamplingData[[#This Row],[Upper Range]]-SamplingData[[#This Row],[Span]]</f>
        <v>879342.07656233234</v>
      </c>
      <c r="AG985" s="99">
        <f>IF(ISNUMBER('General Info'!$B$42), ((SamplingData[[#This Row],[up/U Selection Probability]]) * 'General Info'!$B$44) - 1, 0)</f>
        <v>660.19533209728513</v>
      </c>
      <c r="AH985" s="99">
        <f>IF(ISNUMBER('General Info'!$B$42), (SamplingData[[#This Row],[Running (cumulative) sum]] * ('General Info'!$B$42 -'General Info'!$B$43 + 1)) + 'General Info'!$B$43 - 1, 0)</f>
        <v>880002.27189442958</v>
      </c>
      <c r="AI985" s="99" t="str">
        <f>IF(ISERROR(MATCH(SamplingData[[#This Row],[Batch by Type (p)]],SelectedPrecincts[Batch Name], 0)), "", INDEX(SelectedPrecincts[Draw], MATCH(SamplingData[[#This Row],[Batch by Type (p)]],SelectedPrecincts[Batch Name], 0)))</f>
        <v/>
      </c>
      <c r="AJ985" s="100">
        <f>IF(COUNTIF(SelectedPrecincts[Batch Name],SamplingData[[#This Row],[Batch by Type (p)]]) &lt;&gt; 0, COUNTIF(SelectedPrecincts[Batch Name],SamplingData[[#This Row],[Batch by Type (p)]]), 0)</f>
        <v>0</v>
      </c>
    </row>
    <row r="986" spans="1:36" ht="15" customHeight="1" x14ac:dyDescent="0.35">
      <c r="A986" s="97" t="s">
        <v>1199</v>
      </c>
      <c r="B986" s="97">
        <v>51</v>
      </c>
      <c r="C986" s="97">
        <v>53</v>
      </c>
      <c r="D986" s="92"/>
      <c r="E986" s="92"/>
      <c r="F986" s="92"/>
      <c r="G986" s="96"/>
      <c r="H986" s="96"/>
      <c r="I986" s="92"/>
      <c r="J986" s="92"/>
      <c r="K986" s="92"/>
      <c r="L986" s="92"/>
      <c r="M986" s="92"/>
      <c r="N986" s="97">
        <v>0</v>
      </c>
      <c r="O986" s="97">
        <v>7</v>
      </c>
      <c r="P986" s="98">
        <f>SUM(SamplingData[[#This Row],[Winning Candidate]:[Under Votes]])</f>
        <v>111</v>
      </c>
      <c r="Q986" s="99">
        <f>IF(AND(SamplingData[[#This Row],[Total]]&lt;&gt; 0, NOT(ISBLANK(SamplingData[[#This Row],[Losing Candidate]]))),(SamplingData[[#This Row],[Total]]+SamplingData[[#This Row],[Winning Candidate]]-SamplingData[[#This Row],[Losing Candidate]])/(SamplingData[[#Totals],[Winning Candidate]]-SamplingData[[#Totals],[Losing Candidate]]), 0)</f>
        <v>4.6257002206756071E-3</v>
      </c>
      <c r="R986" s="99">
        <f>IF(AND(SamplingData[[#This Row],[Total]]&lt;&gt; 0, NOT(ISBLANK(SamplingData[[#This Row],[Candidate 3]]))),(SamplingData[[#This Row],[Total]]+SamplingData[[#This Row],[Winning Candidate]]-SamplingData[[#This Row],[Candidate 3]])/(SamplingData[[#Totals],[Winning Candidate]]-SamplingData[[#Totals],[Candidate 3]]), 0)</f>
        <v>0</v>
      </c>
      <c r="S986" s="99">
        <f>IF(AND(SamplingData[[#This Row],[Total]]&lt;&gt; 0, NOT(ISBLANK(SamplingData[[#This Row],[Candidate 4]]))),(SamplingData[[#This Row],[Total]]+SamplingData[[#This Row],[Winning Candidate]]-SamplingData[[#This Row],[Candidate 4]])/(SamplingData[[#Totals],[Winning Candidate]]-SamplingData[[#Totals],[Candidate 4]]), 0)</f>
        <v>0</v>
      </c>
      <c r="T986" s="99">
        <f>IF(AND(SamplingData[[#This Row],[Total]]&lt;&gt; 0, NOT(ISBLANK(SamplingData[[#This Row],[Candidate 5]]))),(SamplingData[[#This Row],[Total]]+SamplingData[[#This Row],[Winning Candidate]]-SamplingData[[#This Row],[Candidate 5]])/(SamplingData[[#Totals],[Winning Candidate]]-SamplingData[[#Totals],[Candidate 5]]), 0)</f>
        <v>0</v>
      </c>
      <c r="U986" s="99">
        <f>IF(AND(SamplingData[[#This Row],[Total]]&lt;&gt; 0, NOT(ISBLANK(SamplingData[[#This Row],[Candidate 6]]))),(SamplingData[[#This Row],[Total]]+SamplingData[[#This Row],[Losing Candidate]]-SamplingData[[#This Row],[Candidate 6]])/(SamplingData[[#Totals],[Winning Candidate]]-SamplingData[[#Totals],[Candidate 6]]), 0)</f>
        <v>0</v>
      </c>
      <c r="V986" s="99">
        <f>IF(AND(SamplingData[[#This Row],[Total]]&lt;&gt; 0, NOT(ISBLANK(SamplingData[[#This Row],[Candidate 7]]))),(SamplingData[[#This Row],[Total]]+SamplingData[[#This Row],[Winning Candidate]]-SamplingData[[#This Row],[Candidate 7]])/(SamplingData[[#Totals],[Winning Candidate]]-SamplingData[[#Totals],[Candidate 7]]), 0)</f>
        <v>0</v>
      </c>
      <c r="W986" s="99">
        <f>IF(AND(SamplingData[[#This Row],[Total]]&lt;&gt; 0, NOT(ISBLANK(SamplingData[[#This Row],[Candidate 8]]))),(SamplingData[[#This Row],[Total]]+SamplingData[[#This Row],[Winning Candidate]]-SamplingData[[#This Row],[Candidate 8]])/(SamplingData[[#Totals],[Winning Candidate]]-SamplingData[[#Totals],[Candidate 8]]), 0)</f>
        <v>0</v>
      </c>
      <c r="X9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6" s="99">
        <f>MAX(SamplingData[[#This Row],[Error Bound (up) - Max. possible relative overstatement - Losing Candidate]:[Error Bound (up) - Max. possible relative overstatement - Candidate 12]])</f>
        <v>4.6257002206756071E-3</v>
      </c>
      <c r="AC986" s="99">
        <f>IF(SamplingData[[#This Row],[Max Error Bound (up)]] = 0,0,SamplingData[[#This Row],[Max Error Bound (up)]]/SamplingData[[#Totals],[Max Error Bound (up)]])</f>
        <v>2.476642309230381E-4</v>
      </c>
      <c r="AD986" s="103">
        <f>SUM($AC$5:AC986)</f>
        <v>0.88025093612535266</v>
      </c>
      <c r="AE986" s="99" t="str" cm="1">
        <f t="array" ref="AE986">IF(SamplingData[[#This Row],[up/U Selection Probability]] = 0, "Zero", TEXT(SamplingData[[#This Row],[Lower Range]], REPT("0",LEN('General Info'!$B$42))) &amp; " - " &amp; TEXT(SamplingData[[#This Row],[Upper Range]], REPT("0",LEN('General Info'!$B$42))))</f>
        <v>880003 - 880250</v>
      </c>
      <c r="AF986" s="99">
        <f>SamplingData[[#This Row],[Upper Range]]-SamplingData[[#This Row],[Span]]</f>
        <v>880003.27189442958</v>
      </c>
      <c r="AG986" s="99">
        <f>IF(ISNUMBER('General Info'!$B$42), ((SamplingData[[#This Row],[up/U Selection Probability]]) * 'General Info'!$B$44) - 1, 0)</f>
        <v>246.6642309230381</v>
      </c>
      <c r="AH986" s="99">
        <f>IF(ISNUMBER('General Info'!$B$42), (SamplingData[[#This Row],[Running (cumulative) sum]] * ('General Info'!$B$42 -'General Info'!$B$43 + 1)) + 'General Info'!$B$43 - 1, 0)</f>
        <v>880249.93612535263</v>
      </c>
      <c r="AI986" s="99" t="str">
        <f>IF(ISERROR(MATCH(SamplingData[[#This Row],[Batch by Type (p)]],SelectedPrecincts[Batch Name], 0)), "", INDEX(SelectedPrecincts[Draw], MATCH(SamplingData[[#This Row],[Batch by Type (p)]],SelectedPrecincts[Batch Name], 0)))</f>
        <v/>
      </c>
      <c r="AJ986" s="100">
        <f>IF(COUNTIF(SelectedPrecincts[Batch Name],SamplingData[[#This Row],[Batch by Type (p)]]) &lt;&gt; 0, COUNTIF(SelectedPrecincts[Batch Name],SamplingData[[#This Row],[Batch by Type (p)]]), 0)</f>
        <v>0</v>
      </c>
    </row>
    <row r="987" spans="1:36" ht="15" customHeight="1" x14ac:dyDescent="0.35">
      <c r="A987" s="97" t="s">
        <v>1200</v>
      </c>
      <c r="B987" s="97">
        <v>301</v>
      </c>
      <c r="C987" s="97">
        <v>414</v>
      </c>
      <c r="D987" s="92"/>
      <c r="E987" s="92"/>
      <c r="F987" s="92"/>
      <c r="G987" s="96"/>
      <c r="H987" s="96"/>
      <c r="I987" s="92"/>
      <c r="J987" s="92"/>
      <c r="K987" s="92"/>
      <c r="L987" s="92"/>
      <c r="M987" s="92"/>
      <c r="N987" s="97">
        <v>2</v>
      </c>
      <c r="O987" s="97">
        <v>56</v>
      </c>
      <c r="P987" s="98">
        <f>SUM(SamplingData[[#This Row],[Winning Candidate]:[Under Votes]])</f>
        <v>773</v>
      </c>
      <c r="Q987" s="99">
        <f>IF(AND(SamplingData[[#This Row],[Total]]&lt;&gt; 0, NOT(ISBLANK(SamplingData[[#This Row],[Losing Candidate]]))),(SamplingData[[#This Row],[Total]]+SamplingData[[#This Row],[Winning Candidate]]-SamplingData[[#This Row],[Losing Candidate]])/(SamplingData[[#Totals],[Winning Candidate]]-SamplingData[[#Totals],[Losing Candidate]]), 0)</f>
        <v>2.8008827024274315E-2</v>
      </c>
      <c r="R987" s="99">
        <f>IF(AND(SamplingData[[#This Row],[Total]]&lt;&gt; 0, NOT(ISBLANK(SamplingData[[#This Row],[Candidate 3]]))),(SamplingData[[#This Row],[Total]]+SamplingData[[#This Row],[Winning Candidate]]-SamplingData[[#This Row],[Candidate 3]])/(SamplingData[[#Totals],[Winning Candidate]]-SamplingData[[#Totals],[Candidate 3]]), 0)</f>
        <v>0</v>
      </c>
      <c r="S987" s="99">
        <f>IF(AND(SamplingData[[#This Row],[Total]]&lt;&gt; 0, NOT(ISBLANK(SamplingData[[#This Row],[Candidate 4]]))),(SamplingData[[#This Row],[Total]]+SamplingData[[#This Row],[Winning Candidate]]-SamplingData[[#This Row],[Candidate 4]])/(SamplingData[[#Totals],[Winning Candidate]]-SamplingData[[#Totals],[Candidate 4]]), 0)</f>
        <v>0</v>
      </c>
      <c r="T987" s="99">
        <f>IF(AND(SamplingData[[#This Row],[Total]]&lt;&gt; 0, NOT(ISBLANK(SamplingData[[#This Row],[Candidate 5]]))),(SamplingData[[#This Row],[Total]]+SamplingData[[#This Row],[Winning Candidate]]-SamplingData[[#This Row],[Candidate 5]])/(SamplingData[[#Totals],[Winning Candidate]]-SamplingData[[#Totals],[Candidate 5]]), 0)</f>
        <v>0</v>
      </c>
      <c r="U987" s="99">
        <f>IF(AND(SamplingData[[#This Row],[Total]]&lt;&gt; 0, NOT(ISBLANK(SamplingData[[#This Row],[Candidate 6]]))),(SamplingData[[#This Row],[Total]]+SamplingData[[#This Row],[Losing Candidate]]-SamplingData[[#This Row],[Candidate 6]])/(SamplingData[[#Totals],[Winning Candidate]]-SamplingData[[#Totals],[Candidate 6]]), 0)</f>
        <v>0</v>
      </c>
      <c r="V987" s="99">
        <f>IF(AND(SamplingData[[#This Row],[Total]]&lt;&gt; 0, NOT(ISBLANK(SamplingData[[#This Row],[Candidate 7]]))),(SamplingData[[#This Row],[Total]]+SamplingData[[#This Row],[Winning Candidate]]-SamplingData[[#This Row],[Candidate 7]])/(SamplingData[[#Totals],[Winning Candidate]]-SamplingData[[#Totals],[Candidate 7]]), 0)</f>
        <v>0</v>
      </c>
      <c r="W987" s="99">
        <f>IF(AND(SamplingData[[#This Row],[Total]]&lt;&gt; 0, NOT(ISBLANK(SamplingData[[#This Row],[Candidate 8]]))),(SamplingData[[#This Row],[Total]]+SamplingData[[#This Row],[Winning Candidate]]-SamplingData[[#This Row],[Candidate 8]])/(SamplingData[[#Totals],[Winning Candidate]]-SamplingData[[#Totals],[Candidate 8]]), 0)</f>
        <v>0</v>
      </c>
      <c r="X9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7" s="99">
        <f>MAX(SamplingData[[#This Row],[Error Bound (up) - Max. possible relative overstatement - Losing Candidate]:[Error Bound (up) - Max. possible relative overstatement - Candidate 12]])</f>
        <v>2.8008827024274315E-2</v>
      </c>
      <c r="AC987" s="99">
        <f>IF(SamplingData[[#This Row],[Max Error Bound (up)]] = 0,0,SamplingData[[#This Row],[Max Error Bound (up)]]/SamplingData[[#Totals],[Max Error Bound (up)]])</f>
        <v>1.4996182789835332E-3</v>
      </c>
      <c r="AD987" s="103">
        <f>SUM($AC$5:AC987)</f>
        <v>0.88175055440433614</v>
      </c>
      <c r="AE987" s="99" t="str" cm="1">
        <f t="array" ref="AE987">IF(SamplingData[[#This Row],[up/U Selection Probability]] = 0, "Zero", TEXT(SamplingData[[#This Row],[Lower Range]], REPT("0",LEN('General Info'!$B$42))) &amp; " - " &amp; TEXT(SamplingData[[#This Row],[Upper Range]], REPT("0",LEN('General Info'!$B$42))))</f>
        <v>880251 - 881750</v>
      </c>
      <c r="AF987" s="99">
        <f>SamplingData[[#This Row],[Upper Range]]-SamplingData[[#This Row],[Span]]</f>
        <v>880250.93612535263</v>
      </c>
      <c r="AG987" s="99">
        <f>IF(ISNUMBER('General Info'!$B$42), ((SamplingData[[#This Row],[up/U Selection Probability]]) * 'General Info'!$B$44) - 1, 0)</f>
        <v>1498.6182789835332</v>
      </c>
      <c r="AH987" s="99">
        <f>IF(ISNUMBER('General Info'!$B$42), (SamplingData[[#This Row],[Running (cumulative) sum]] * ('General Info'!$B$42 -'General Info'!$B$43 + 1)) + 'General Info'!$B$43 - 1, 0)</f>
        <v>881749.55440433614</v>
      </c>
      <c r="AI987" s="99" t="str">
        <f>IF(ISERROR(MATCH(SamplingData[[#This Row],[Batch by Type (p)]],SelectedPrecincts[Batch Name], 0)), "", INDEX(SelectedPrecincts[Draw], MATCH(SamplingData[[#This Row],[Batch by Type (p)]],SelectedPrecincts[Batch Name], 0)))</f>
        <v/>
      </c>
      <c r="AJ987" s="100">
        <f>IF(COUNTIF(SelectedPrecincts[Batch Name],SamplingData[[#This Row],[Batch by Type (p)]]) &lt;&gt; 0, COUNTIF(SelectedPrecincts[Batch Name],SamplingData[[#This Row],[Batch by Type (p)]]), 0)</f>
        <v>0</v>
      </c>
    </row>
    <row r="988" spans="1:36" ht="15" customHeight="1" x14ac:dyDescent="0.35">
      <c r="A988" s="97" t="s">
        <v>1201</v>
      </c>
      <c r="B988" s="97">
        <v>208</v>
      </c>
      <c r="C988" s="97">
        <v>289</v>
      </c>
      <c r="D988" s="92"/>
      <c r="E988" s="92"/>
      <c r="F988" s="92"/>
      <c r="G988" s="96"/>
      <c r="H988" s="96"/>
      <c r="I988" s="92"/>
      <c r="J988" s="92"/>
      <c r="K988" s="92"/>
      <c r="L988" s="92"/>
      <c r="M988" s="92"/>
      <c r="N988" s="97">
        <v>1</v>
      </c>
      <c r="O988" s="97">
        <v>29</v>
      </c>
      <c r="P988" s="98">
        <f>SUM(SamplingData[[#This Row],[Winning Candidate]:[Under Votes]])</f>
        <v>527</v>
      </c>
      <c r="Q988" s="99">
        <f>IF(AND(SamplingData[[#This Row],[Total]]&lt;&gt; 0, NOT(ISBLANK(SamplingData[[#This Row],[Losing Candidate]]))),(SamplingData[[#This Row],[Total]]+SamplingData[[#This Row],[Winning Candidate]]-SamplingData[[#This Row],[Losing Candidate]])/(SamplingData[[#Totals],[Winning Candidate]]-SamplingData[[#Totals],[Losing Candidate]]), 0)</f>
        <v>1.8927177049736888E-2</v>
      </c>
      <c r="R988" s="99">
        <f>IF(AND(SamplingData[[#This Row],[Total]]&lt;&gt; 0, NOT(ISBLANK(SamplingData[[#This Row],[Candidate 3]]))),(SamplingData[[#This Row],[Total]]+SamplingData[[#This Row],[Winning Candidate]]-SamplingData[[#This Row],[Candidate 3]])/(SamplingData[[#Totals],[Winning Candidate]]-SamplingData[[#Totals],[Candidate 3]]), 0)</f>
        <v>0</v>
      </c>
      <c r="S988" s="99">
        <f>IF(AND(SamplingData[[#This Row],[Total]]&lt;&gt; 0, NOT(ISBLANK(SamplingData[[#This Row],[Candidate 4]]))),(SamplingData[[#This Row],[Total]]+SamplingData[[#This Row],[Winning Candidate]]-SamplingData[[#This Row],[Candidate 4]])/(SamplingData[[#Totals],[Winning Candidate]]-SamplingData[[#Totals],[Candidate 4]]), 0)</f>
        <v>0</v>
      </c>
      <c r="T988" s="99">
        <f>IF(AND(SamplingData[[#This Row],[Total]]&lt;&gt; 0, NOT(ISBLANK(SamplingData[[#This Row],[Candidate 5]]))),(SamplingData[[#This Row],[Total]]+SamplingData[[#This Row],[Winning Candidate]]-SamplingData[[#This Row],[Candidate 5]])/(SamplingData[[#Totals],[Winning Candidate]]-SamplingData[[#Totals],[Candidate 5]]), 0)</f>
        <v>0</v>
      </c>
      <c r="U988" s="99">
        <f>IF(AND(SamplingData[[#This Row],[Total]]&lt;&gt; 0, NOT(ISBLANK(SamplingData[[#This Row],[Candidate 6]]))),(SamplingData[[#This Row],[Total]]+SamplingData[[#This Row],[Losing Candidate]]-SamplingData[[#This Row],[Candidate 6]])/(SamplingData[[#Totals],[Winning Candidate]]-SamplingData[[#Totals],[Candidate 6]]), 0)</f>
        <v>0</v>
      </c>
      <c r="V988" s="99">
        <f>IF(AND(SamplingData[[#This Row],[Total]]&lt;&gt; 0, NOT(ISBLANK(SamplingData[[#This Row],[Candidate 7]]))),(SamplingData[[#This Row],[Total]]+SamplingData[[#This Row],[Winning Candidate]]-SamplingData[[#This Row],[Candidate 7]])/(SamplingData[[#Totals],[Winning Candidate]]-SamplingData[[#Totals],[Candidate 7]]), 0)</f>
        <v>0</v>
      </c>
      <c r="W988" s="99">
        <f>IF(AND(SamplingData[[#This Row],[Total]]&lt;&gt; 0, NOT(ISBLANK(SamplingData[[#This Row],[Candidate 8]]))),(SamplingData[[#This Row],[Total]]+SamplingData[[#This Row],[Winning Candidate]]-SamplingData[[#This Row],[Candidate 8]])/(SamplingData[[#Totals],[Winning Candidate]]-SamplingData[[#Totals],[Candidate 8]]), 0)</f>
        <v>0</v>
      </c>
      <c r="X9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8" s="99">
        <f>MAX(SamplingData[[#This Row],[Error Bound (up) - Max. possible relative overstatement - Losing Candidate]:[Error Bound (up) - Max. possible relative overstatement - Candidate 12]])</f>
        <v>1.8927177049736888E-2</v>
      </c>
      <c r="AC988" s="99">
        <f>IF(SamplingData[[#This Row],[Max Error Bound (up)]] = 0,0,SamplingData[[#This Row],[Max Error Bound (up)]]/SamplingData[[#Totals],[Max Error Bound (up)]])</f>
        <v>1.0133784127676604E-3</v>
      </c>
      <c r="AD988" s="103">
        <f>SUM($AC$5:AC988)</f>
        <v>0.88276393281710375</v>
      </c>
      <c r="AE988" s="99" t="str" cm="1">
        <f t="array" ref="AE988">IF(SamplingData[[#This Row],[up/U Selection Probability]] = 0, "Zero", TEXT(SamplingData[[#This Row],[Lower Range]], REPT("0",LEN('General Info'!$B$42))) &amp; " - " &amp; TEXT(SamplingData[[#This Row],[Upper Range]], REPT("0",LEN('General Info'!$B$42))))</f>
        <v>881751 - 882763</v>
      </c>
      <c r="AF988" s="99">
        <f>SamplingData[[#This Row],[Upper Range]]-SamplingData[[#This Row],[Span]]</f>
        <v>881750.55440433603</v>
      </c>
      <c r="AG988" s="99">
        <f>IF(ISNUMBER('General Info'!$B$42), ((SamplingData[[#This Row],[up/U Selection Probability]]) * 'General Info'!$B$44) - 1, 0)</f>
        <v>1012.3784127676604</v>
      </c>
      <c r="AH988" s="99">
        <f>IF(ISNUMBER('General Info'!$B$42), (SamplingData[[#This Row],[Running (cumulative) sum]] * ('General Info'!$B$42 -'General Info'!$B$43 + 1)) + 'General Info'!$B$43 - 1, 0)</f>
        <v>882762.93281710369</v>
      </c>
      <c r="AI988" s="99" t="str">
        <f>IF(ISERROR(MATCH(SamplingData[[#This Row],[Batch by Type (p)]],SelectedPrecincts[Batch Name], 0)), "", INDEX(SelectedPrecincts[Draw], MATCH(SamplingData[[#This Row],[Batch by Type (p)]],SelectedPrecincts[Batch Name], 0)))</f>
        <v/>
      </c>
      <c r="AJ988" s="100">
        <f>IF(COUNTIF(SelectedPrecincts[Batch Name],SamplingData[[#This Row],[Batch by Type (p)]]) &lt;&gt; 0, COUNTIF(SelectedPrecincts[Batch Name],SamplingData[[#This Row],[Batch by Type (p)]]), 0)</f>
        <v>0</v>
      </c>
    </row>
    <row r="989" spans="1:36" ht="15" customHeight="1" x14ac:dyDescent="0.35">
      <c r="A989" s="97" t="s">
        <v>1202</v>
      </c>
      <c r="B989" s="97">
        <v>271</v>
      </c>
      <c r="C989" s="97">
        <v>279</v>
      </c>
      <c r="D989" s="92"/>
      <c r="E989" s="92"/>
      <c r="F989" s="92"/>
      <c r="G989" s="96"/>
      <c r="H989" s="96"/>
      <c r="I989" s="92"/>
      <c r="J989" s="92"/>
      <c r="K989" s="92"/>
      <c r="L989" s="92"/>
      <c r="M989" s="92"/>
      <c r="N989" s="97">
        <v>0</v>
      </c>
      <c r="O989" s="97">
        <v>31</v>
      </c>
      <c r="P989" s="98">
        <f>SUM(SamplingData[[#This Row],[Winning Candidate]:[Under Votes]])</f>
        <v>581</v>
      </c>
      <c r="Q989" s="99">
        <f>IF(AND(SamplingData[[#This Row],[Total]]&lt;&gt; 0, NOT(ISBLANK(SamplingData[[#This Row],[Losing Candidate]]))),(SamplingData[[#This Row],[Total]]+SamplingData[[#This Row],[Winning Candidate]]-SamplingData[[#This Row],[Losing Candidate]])/(SamplingData[[#Totals],[Winning Candidate]]-SamplingData[[#Totals],[Losing Candidate]]), 0)</f>
        <v>2.4316754371074521E-2</v>
      </c>
      <c r="R989" s="99">
        <f>IF(AND(SamplingData[[#This Row],[Total]]&lt;&gt; 0, NOT(ISBLANK(SamplingData[[#This Row],[Candidate 3]]))),(SamplingData[[#This Row],[Total]]+SamplingData[[#This Row],[Winning Candidate]]-SamplingData[[#This Row],[Candidate 3]])/(SamplingData[[#Totals],[Winning Candidate]]-SamplingData[[#Totals],[Candidate 3]]), 0)</f>
        <v>0</v>
      </c>
      <c r="S989" s="99">
        <f>IF(AND(SamplingData[[#This Row],[Total]]&lt;&gt; 0, NOT(ISBLANK(SamplingData[[#This Row],[Candidate 4]]))),(SamplingData[[#This Row],[Total]]+SamplingData[[#This Row],[Winning Candidate]]-SamplingData[[#This Row],[Candidate 4]])/(SamplingData[[#Totals],[Winning Candidate]]-SamplingData[[#Totals],[Candidate 4]]), 0)</f>
        <v>0</v>
      </c>
      <c r="T989" s="99">
        <f>IF(AND(SamplingData[[#This Row],[Total]]&lt;&gt; 0, NOT(ISBLANK(SamplingData[[#This Row],[Candidate 5]]))),(SamplingData[[#This Row],[Total]]+SamplingData[[#This Row],[Winning Candidate]]-SamplingData[[#This Row],[Candidate 5]])/(SamplingData[[#Totals],[Winning Candidate]]-SamplingData[[#Totals],[Candidate 5]]), 0)</f>
        <v>0</v>
      </c>
      <c r="U989" s="99">
        <f>IF(AND(SamplingData[[#This Row],[Total]]&lt;&gt; 0, NOT(ISBLANK(SamplingData[[#This Row],[Candidate 6]]))),(SamplingData[[#This Row],[Total]]+SamplingData[[#This Row],[Losing Candidate]]-SamplingData[[#This Row],[Candidate 6]])/(SamplingData[[#Totals],[Winning Candidate]]-SamplingData[[#Totals],[Candidate 6]]), 0)</f>
        <v>0</v>
      </c>
      <c r="V989" s="99">
        <f>IF(AND(SamplingData[[#This Row],[Total]]&lt;&gt; 0, NOT(ISBLANK(SamplingData[[#This Row],[Candidate 7]]))),(SamplingData[[#This Row],[Total]]+SamplingData[[#This Row],[Winning Candidate]]-SamplingData[[#This Row],[Candidate 7]])/(SamplingData[[#Totals],[Winning Candidate]]-SamplingData[[#Totals],[Candidate 7]]), 0)</f>
        <v>0</v>
      </c>
      <c r="W989" s="99">
        <f>IF(AND(SamplingData[[#This Row],[Total]]&lt;&gt; 0, NOT(ISBLANK(SamplingData[[#This Row],[Candidate 8]]))),(SamplingData[[#This Row],[Total]]+SamplingData[[#This Row],[Winning Candidate]]-SamplingData[[#This Row],[Candidate 8]])/(SamplingData[[#Totals],[Winning Candidate]]-SamplingData[[#Totals],[Candidate 8]]), 0)</f>
        <v>0</v>
      </c>
      <c r="X9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9" s="99">
        <f>MAX(SamplingData[[#This Row],[Error Bound (up) - Max. possible relative overstatement - Losing Candidate]:[Error Bound (up) - Max. possible relative overstatement - Candidate 12]])</f>
        <v>2.4316754371074521E-2</v>
      </c>
      <c r="AC989" s="99">
        <f>IF(SamplingData[[#This Row],[Max Error Bound (up)]] = 0,0,SamplingData[[#This Row],[Max Error Bound (up)]]/SamplingData[[#Totals],[Max Error Bound (up)]])</f>
        <v>1.3019413240266131E-3</v>
      </c>
      <c r="AD989" s="103">
        <f>SUM($AC$5:AC989)</f>
        <v>0.88406587414113036</v>
      </c>
      <c r="AE989" s="99" t="str" cm="1">
        <f t="array" ref="AE989">IF(SamplingData[[#This Row],[up/U Selection Probability]] = 0, "Zero", TEXT(SamplingData[[#This Row],[Lower Range]], REPT("0",LEN('General Info'!$B$42))) &amp; " - " &amp; TEXT(SamplingData[[#This Row],[Upper Range]], REPT("0",LEN('General Info'!$B$42))))</f>
        <v>882764 - 884065</v>
      </c>
      <c r="AF989" s="99">
        <f>SamplingData[[#This Row],[Upper Range]]-SamplingData[[#This Row],[Span]]</f>
        <v>882763.93281710381</v>
      </c>
      <c r="AG989" s="99">
        <f>IF(ISNUMBER('General Info'!$B$42), ((SamplingData[[#This Row],[up/U Selection Probability]]) * 'General Info'!$B$44) - 1, 0)</f>
        <v>1300.9413240266131</v>
      </c>
      <c r="AH989" s="99">
        <f>IF(ISNUMBER('General Info'!$B$42), (SamplingData[[#This Row],[Running (cumulative) sum]] * ('General Info'!$B$42 -'General Info'!$B$43 + 1)) + 'General Info'!$B$43 - 1, 0)</f>
        <v>884064.87414113036</v>
      </c>
      <c r="AI989" s="99" t="str">
        <f>IF(ISERROR(MATCH(SamplingData[[#This Row],[Batch by Type (p)]],SelectedPrecincts[Batch Name], 0)), "", INDEX(SelectedPrecincts[Draw], MATCH(SamplingData[[#This Row],[Batch by Type (p)]],SelectedPrecincts[Batch Name], 0)))</f>
        <v/>
      </c>
      <c r="AJ989" s="100">
        <f>IF(COUNTIF(SelectedPrecincts[Batch Name],SamplingData[[#This Row],[Batch by Type (p)]]) &lt;&gt; 0, COUNTIF(SelectedPrecincts[Batch Name],SamplingData[[#This Row],[Batch by Type (p)]]), 0)</f>
        <v>0</v>
      </c>
    </row>
    <row r="990" spans="1:36" ht="15" customHeight="1" x14ac:dyDescent="0.35">
      <c r="A990" s="97" t="s">
        <v>1203</v>
      </c>
      <c r="B990" s="97">
        <v>302</v>
      </c>
      <c r="C990" s="97">
        <v>138</v>
      </c>
      <c r="D990" s="92"/>
      <c r="E990" s="92"/>
      <c r="F990" s="92"/>
      <c r="G990" s="96"/>
      <c r="H990" s="96"/>
      <c r="I990" s="92"/>
      <c r="J990" s="92"/>
      <c r="K990" s="92"/>
      <c r="L990" s="92"/>
      <c r="M990" s="92"/>
      <c r="N990" s="97">
        <v>0</v>
      </c>
      <c r="O990" s="97">
        <v>29</v>
      </c>
      <c r="P990" s="98">
        <f>SUM(SamplingData[[#This Row],[Winning Candidate]:[Under Votes]])</f>
        <v>469</v>
      </c>
      <c r="Q990" s="99">
        <f>IF(AND(SamplingData[[#This Row],[Total]]&lt;&gt; 0, NOT(ISBLANK(SamplingData[[#This Row],[Losing Candidate]]))),(SamplingData[[#This Row],[Total]]+SamplingData[[#This Row],[Winning Candidate]]-SamplingData[[#This Row],[Losing Candidate]])/(SamplingData[[#Totals],[Winning Candidate]]-SamplingData[[#Totals],[Losing Candidate]]), 0)</f>
        <v>2.6863011373281277E-2</v>
      </c>
      <c r="R990" s="99">
        <f>IF(AND(SamplingData[[#This Row],[Total]]&lt;&gt; 0, NOT(ISBLANK(SamplingData[[#This Row],[Candidate 3]]))),(SamplingData[[#This Row],[Total]]+SamplingData[[#This Row],[Winning Candidate]]-SamplingData[[#This Row],[Candidate 3]])/(SamplingData[[#Totals],[Winning Candidate]]-SamplingData[[#Totals],[Candidate 3]]), 0)</f>
        <v>0</v>
      </c>
      <c r="S990" s="99">
        <f>IF(AND(SamplingData[[#This Row],[Total]]&lt;&gt; 0, NOT(ISBLANK(SamplingData[[#This Row],[Candidate 4]]))),(SamplingData[[#This Row],[Total]]+SamplingData[[#This Row],[Winning Candidate]]-SamplingData[[#This Row],[Candidate 4]])/(SamplingData[[#Totals],[Winning Candidate]]-SamplingData[[#Totals],[Candidate 4]]), 0)</f>
        <v>0</v>
      </c>
      <c r="T990" s="99">
        <f>IF(AND(SamplingData[[#This Row],[Total]]&lt;&gt; 0, NOT(ISBLANK(SamplingData[[#This Row],[Candidate 5]]))),(SamplingData[[#This Row],[Total]]+SamplingData[[#This Row],[Winning Candidate]]-SamplingData[[#This Row],[Candidate 5]])/(SamplingData[[#Totals],[Winning Candidate]]-SamplingData[[#Totals],[Candidate 5]]), 0)</f>
        <v>0</v>
      </c>
      <c r="U990" s="99">
        <f>IF(AND(SamplingData[[#This Row],[Total]]&lt;&gt; 0, NOT(ISBLANK(SamplingData[[#This Row],[Candidate 6]]))),(SamplingData[[#This Row],[Total]]+SamplingData[[#This Row],[Losing Candidate]]-SamplingData[[#This Row],[Candidate 6]])/(SamplingData[[#Totals],[Winning Candidate]]-SamplingData[[#Totals],[Candidate 6]]), 0)</f>
        <v>0</v>
      </c>
      <c r="V990" s="99">
        <f>IF(AND(SamplingData[[#This Row],[Total]]&lt;&gt; 0, NOT(ISBLANK(SamplingData[[#This Row],[Candidate 7]]))),(SamplingData[[#This Row],[Total]]+SamplingData[[#This Row],[Winning Candidate]]-SamplingData[[#This Row],[Candidate 7]])/(SamplingData[[#Totals],[Winning Candidate]]-SamplingData[[#Totals],[Candidate 7]]), 0)</f>
        <v>0</v>
      </c>
      <c r="W990" s="99">
        <f>IF(AND(SamplingData[[#This Row],[Total]]&lt;&gt; 0, NOT(ISBLANK(SamplingData[[#This Row],[Candidate 8]]))),(SamplingData[[#This Row],[Total]]+SamplingData[[#This Row],[Winning Candidate]]-SamplingData[[#This Row],[Candidate 8]])/(SamplingData[[#Totals],[Winning Candidate]]-SamplingData[[#Totals],[Candidate 8]]), 0)</f>
        <v>0</v>
      </c>
      <c r="X9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0" s="99">
        <f>MAX(SamplingData[[#This Row],[Error Bound (up) - Max. possible relative overstatement - Losing Candidate]:[Error Bound (up) - Max. possible relative overstatement - Candidate 12]])</f>
        <v>2.6863011373281277E-2</v>
      </c>
      <c r="AC990" s="99">
        <f>IF(SamplingData[[#This Row],[Max Error Bound (up)]] = 0,0,SamplingData[[#This Row],[Max Error Bound (up)]]/SamplingData[[#Totals],[Max Error Bound (up)]])</f>
        <v>1.4382702584796615E-3</v>
      </c>
      <c r="AD990" s="103">
        <f>SUM($AC$5:AC990)</f>
        <v>0.88550414439961</v>
      </c>
      <c r="AE990" s="99" t="str" cm="1">
        <f t="array" ref="AE990">IF(SamplingData[[#This Row],[up/U Selection Probability]] = 0, "Zero", TEXT(SamplingData[[#This Row],[Lower Range]], REPT("0",LEN('General Info'!$B$42))) &amp; " - " &amp; TEXT(SamplingData[[#This Row],[Upper Range]], REPT("0",LEN('General Info'!$B$42))))</f>
        <v>884066 - 885503</v>
      </c>
      <c r="AF990" s="99">
        <f>SamplingData[[#This Row],[Upper Range]]-SamplingData[[#This Row],[Span]]</f>
        <v>884065.87414113036</v>
      </c>
      <c r="AG990" s="99">
        <f>IF(ISNUMBER('General Info'!$B$42), ((SamplingData[[#This Row],[up/U Selection Probability]]) * 'General Info'!$B$44) - 1, 0)</f>
        <v>1437.2702584796614</v>
      </c>
      <c r="AH990" s="99">
        <f>IF(ISNUMBER('General Info'!$B$42), (SamplingData[[#This Row],[Running (cumulative) sum]] * ('General Info'!$B$42 -'General Info'!$B$43 + 1)) + 'General Info'!$B$43 - 1, 0)</f>
        <v>885503.14439961</v>
      </c>
      <c r="AI990" s="99" t="str">
        <f>IF(ISERROR(MATCH(SamplingData[[#This Row],[Batch by Type (p)]],SelectedPrecincts[Batch Name], 0)), "", INDEX(SelectedPrecincts[Draw], MATCH(SamplingData[[#This Row],[Batch by Type (p)]],SelectedPrecincts[Batch Name], 0)))</f>
        <v/>
      </c>
      <c r="AJ990" s="100">
        <f>IF(COUNTIF(SelectedPrecincts[Batch Name],SamplingData[[#This Row],[Batch by Type (p)]]) &lt;&gt; 0, COUNTIF(SelectedPrecincts[Batch Name],SamplingData[[#This Row],[Batch by Type (p)]]), 0)</f>
        <v>0</v>
      </c>
    </row>
    <row r="991" spans="1:36" ht="15" customHeight="1" x14ac:dyDescent="0.35">
      <c r="A991" s="97" t="s">
        <v>1204</v>
      </c>
      <c r="B991" s="97">
        <v>341</v>
      </c>
      <c r="C991" s="97">
        <v>80</v>
      </c>
      <c r="D991" s="92"/>
      <c r="E991" s="92"/>
      <c r="F991" s="92"/>
      <c r="G991" s="96"/>
      <c r="H991" s="96"/>
      <c r="I991" s="92"/>
      <c r="J991" s="92"/>
      <c r="K991" s="92"/>
      <c r="L991" s="92"/>
      <c r="M991" s="92"/>
      <c r="N991" s="97">
        <v>1</v>
      </c>
      <c r="O991" s="97">
        <v>23</v>
      </c>
      <c r="P991" s="98">
        <f>SUM(SamplingData[[#This Row],[Winning Candidate]:[Under Votes]])</f>
        <v>445</v>
      </c>
      <c r="Q991" s="99">
        <f>IF(AND(SamplingData[[#This Row],[Total]]&lt;&gt; 0, NOT(ISBLANK(SamplingData[[#This Row],[Losing Candidate]]))),(SamplingData[[#This Row],[Total]]+SamplingData[[#This Row],[Winning Candidate]]-SamplingData[[#This Row],[Losing Candidate]])/(SamplingData[[#Totals],[Winning Candidate]]-SamplingData[[#Totals],[Losing Candidate]]), 0)</f>
        <v>2.9960957392632829E-2</v>
      </c>
      <c r="R991" s="99">
        <f>IF(AND(SamplingData[[#This Row],[Total]]&lt;&gt; 0, NOT(ISBLANK(SamplingData[[#This Row],[Candidate 3]]))),(SamplingData[[#This Row],[Total]]+SamplingData[[#This Row],[Winning Candidate]]-SamplingData[[#This Row],[Candidate 3]])/(SamplingData[[#Totals],[Winning Candidate]]-SamplingData[[#Totals],[Candidate 3]]), 0)</f>
        <v>0</v>
      </c>
      <c r="S991" s="99">
        <f>IF(AND(SamplingData[[#This Row],[Total]]&lt;&gt; 0, NOT(ISBLANK(SamplingData[[#This Row],[Candidate 4]]))),(SamplingData[[#This Row],[Total]]+SamplingData[[#This Row],[Winning Candidate]]-SamplingData[[#This Row],[Candidate 4]])/(SamplingData[[#Totals],[Winning Candidate]]-SamplingData[[#Totals],[Candidate 4]]), 0)</f>
        <v>0</v>
      </c>
      <c r="T991" s="99">
        <f>IF(AND(SamplingData[[#This Row],[Total]]&lt;&gt; 0, NOT(ISBLANK(SamplingData[[#This Row],[Candidate 5]]))),(SamplingData[[#This Row],[Total]]+SamplingData[[#This Row],[Winning Candidate]]-SamplingData[[#This Row],[Candidate 5]])/(SamplingData[[#Totals],[Winning Candidate]]-SamplingData[[#Totals],[Candidate 5]]), 0)</f>
        <v>0</v>
      </c>
      <c r="U991" s="99">
        <f>IF(AND(SamplingData[[#This Row],[Total]]&lt;&gt; 0, NOT(ISBLANK(SamplingData[[#This Row],[Candidate 6]]))),(SamplingData[[#This Row],[Total]]+SamplingData[[#This Row],[Losing Candidate]]-SamplingData[[#This Row],[Candidate 6]])/(SamplingData[[#Totals],[Winning Candidate]]-SamplingData[[#Totals],[Candidate 6]]), 0)</f>
        <v>0</v>
      </c>
      <c r="V991" s="99">
        <f>IF(AND(SamplingData[[#This Row],[Total]]&lt;&gt; 0, NOT(ISBLANK(SamplingData[[#This Row],[Candidate 7]]))),(SamplingData[[#This Row],[Total]]+SamplingData[[#This Row],[Winning Candidate]]-SamplingData[[#This Row],[Candidate 7]])/(SamplingData[[#Totals],[Winning Candidate]]-SamplingData[[#Totals],[Candidate 7]]), 0)</f>
        <v>0</v>
      </c>
      <c r="W991" s="99">
        <f>IF(AND(SamplingData[[#This Row],[Total]]&lt;&gt; 0, NOT(ISBLANK(SamplingData[[#This Row],[Candidate 8]]))),(SamplingData[[#This Row],[Total]]+SamplingData[[#This Row],[Winning Candidate]]-SamplingData[[#This Row],[Candidate 8]])/(SamplingData[[#Totals],[Winning Candidate]]-SamplingData[[#Totals],[Candidate 8]]), 0)</f>
        <v>0</v>
      </c>
      <c r="X9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1" s="99">
        <f>MAX(SamplingData[[#This Row],[Error Bound (up) - Max. possible relative overstatement - Losing Candidate]:[Error Bound (up) - Max. possible relative overstatement - Candidate 12]])</f>
        <v>2.9960957392632829E-2</v>
      </c>
      <c r="AC991" s="99">
        <f>IF(SamplingData[[#This Row],[Max Error Bound (up)]] = 0,0,SamplingData[[#This Row],[Max Error Bound (up)]]/SamplingData[[#Totals],[Max Error Bound (up)]])</f>
        <v>1.6041371287308704E-3</v>
      </c>
      <c r="AD991" s="103">
        <f>SUM($AC$5:AC991)</f>
        <v>0.88710828152834087</v>
      </c>
      <c r="AE991" s="99" t="str" cm="1">
        <f t="array" ref="AE991">IF(SamplingData[[#This Row],[up/U Selection Probability]] = 0, "Zero", TEXT(SamplingData[[#This Row],[Lower Range]], REPT("0",LEN('General Info'!$B$42))) &amp; " - " &amp; TEXT(SamplingData[[#This Row],[Upper Range]], REPT("0",LEN('General Info'!$B$42))))</f>
        <v>885504 - 887107</v>
      </c>
      <c r="AF991" s="99">
        <f>SamplingData[[#This Row],[Upper Range]]-SamplingData[[#This Row],[Span]]</f>
        <v>885504.14439961</v>
      </c>
      <c r="AG991" s="99">
        <f>IF(ISNUMBER('General Info'!$B$42), ((SamplingData[[#This Row],[up/U Selection Probability]]) * 'General Info'!$B$44) - 1, 0)</f>
        <v>1603.1371287308705</v>
      </c>
      <c r="AH991" s="99">
        <f>IF(ISNUMBER('General Info'!$B$42), (SamplingData[[#This Row],[Running (cumulative) sum]] * ('General Info'!$B$42 -'General Info'!$B$43 + 1)) + 'General Info'!$B$43 - 1, 0)</f>
        <v>887107.28152834089</v>
      </c>
      <c r="AI991" s="99" t="str">
        <f>IF(ISERROR(MATCH(SamplingData[[#This Row],[Batch by Type (p)]],SelectedPrecincts[Batch Name], 0)), "", INDEX(SelectedPrecincts[Draw], MATCH(SamplingData[[#This Row],[Batch by Type (p)]],SelectedPrecincts[Batch Name], 0)))</f>
        <v/>
      </c>
      <c r="AJ991" s="100">
        <f>IF(COUNTIF(SelectedPrecincts[Batch Name],SamplingData[[#This Row],[Batch by Type (p)]]) &lt;&gt; 0, COUNTIF(SelectedPrecincts[Batch Name],SamplingData[[#This Row],[Batch by Type (p)]]), 0)</f>
        <v>0</v>
      </c>
    </row>
    <row r="992" spans="1:36" ht="15" customHeight="1" x14ac:dyDescent="0.35">
      <c r="A992" s="97" t="s">
        <v>1205</v>
      </c>
      <c r="B992" s="97">
        <v>145</v>
      </c>
      <c r="C992" s="97">
        <v>441</v>
      </c>
      <c r="D992" s="92"/>
      <c r="E992" s="92"/>
      <c r="F992" s="92"/>
      <c r="G992" s="96"/>
      <c r="H992" s="96"/>
      <c r="I992" s="92"/>
      <c r="J992" s="92"/>
      <c r="K992" s="92"/>
      <c r="L992" s="92"/>
      <c r="M992" s="92"/>
      <c r="N992" s="97">
        <v>0</v>
      </c>
      <c r="O992" s="97">
        <v>44</v>
      </c>
      <c r="P992" s="98">
        <f>SUM(SamplingData[[#This Row],[Winning Candidate]:[Under Votes]])</f>
        <v>630</v>
      </c>
      <c r="Q992" s="99">
        <f>IF(AND(SamplingData[[#This Row],[Total]]&lt;&gt; 0, NOT(ISBLANK(SamplingData[[#This Row],[Losing Candidate]]))),(SamplingData[[#This Row],[Total]]+SamplingData[[#This Row],[Winning Candidate]]-SamplingData[[#This Row],[Losing Candidate]])/(SamplingData[[#Totals],[Winning Candidate]]-SamplingData[[#Totals],[Losing Candidate]]), 0)</f>
        <v>1.4174163978950943E-2</v>
      </c>
      <c r="R992" s="99">
        <f>IF(AND(SamplingData[[#This Row],[Total]]&lt;&gt; 0, NOT(ISBLANK(SamplingData[[#This Row],[Candidate 3]]))),(SamplingData[[#This Row],[Total]]+SamplingData[[#This Row],[Winning Candidate]]-SamplingData[[#This Row],[Candidate 3]])/(SamplingData[[#Totals],[Winning Candidate]]-SamplingData[[#Totals],[Candidate 3]]), 0)</f>
        <v>0</v>
      </c>
      <c r="S992" s="99">
        <f>IF(AND(SamplingData[[#This Row],[Total]]&lt;&gt; 0, NOT(ISBLANK(SamplingData[[#This Row],[Candidate 4]]))),(SamplingData[[#This Row],[Total]]+SamplingData[[#This Row],[Winning Candidate]]-SamplingData[[#This Row],[Candidate 4]])/(SamplingData[[#Totals],[Winning Candidate]]-SamplingData[[#Totals],[Candidate 4]]), 0)</f>
        <v>0</v>
      </c>
      <c r="T992" s="99">
        <f>IF(AND(SamplingData[[#This Row],[Total]]&lt;&gt; 0, NOT(ISBLANK(SamplingData[[#This Row],[Candidate 5]]))),(SamplingData[[#This Row],[Total]]+SamplingData[[#This Row],[Winning Candidate]]-SamplingData[[#This Row],[Candidate 5]])/(SamplingData[[#Totals],[Winning Candidate]]-SamplingData[[#Totals],[Candidate 5]]), 0)</f>
        <v>0</v>
      </c>
      <c r="U992" s="99">
        <f>IF(AND(SamplingData[[#This Row],[Total]]&lt;&gt; 0, NOT(ISBLANK(SamplingData[[#This Row],[Candidate 6]]))),(SamplingData[[#This Row],[Total]]+SamplingData[[#This Row],[Losing Candidate]]-SamplingData[[#This Row],[Candidate 6]])/(SamplingData[[#Totals],[Winning Candidate]]-SamplingData[[#Totals],[Candidate 6]]), 0)</f>
        <v>0</v>
      </c>
      <c r="V992" s="99">
        <f>IF(AND(SamplingData[[#This Row],[Total]]&lt;&gt; 0, NOT(ISBLANK(SamplingData[[#This Row],[Candidate 7]]))),(SamplingData[[#This Row],[Total]]+SamplingData[[#This Row],[Winning Candidate]]-SamplingData[[#This Row],[Candidate 7]])/(SamplingData[[#Totals],[Winning Candidate]]-SamplingData[[#Totals],[Candidate 7]]), 0)</f>
        <v>0</v>
      </c>
      <c r="W992" s="99">
        <f>IF(AND(SamplingData[[#This Row],[Total]]&lt;&gt; 0, NOT(ISBLANK(SamplingData[[#This Row],[Candidate 8]]))),(SamplingData[[#This Row],[Total]]+SamplingData[[#This Row],[Winning Candidate]]-SamplingData[[#This Row],[Candidate 8]])/(SamplingData[[#Totals],[Winning Candidate]]-SamplingData[[#Totals],[Candidate 8]]), 0)</f>
        <v>0</v>
      </c>
      <c r="X9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2" s="99">
        <f>MAX(SamplingData[[#This Row],[Error Bound (up) - Max. possible relative overstatement - Losing Candidate]:[Error Bound (up) - Max. possible relative overstatement - Candidate 12]])</f>
        <v>1.4174163978950943E-2</v>
      </c>
      <c r="AC992" s="99">
        <f>IF(SamplingData[[#This Row],[Max Error Bound (up)]] = 0,0,SamplingData[[#This Row],[Max Error Bound (up)]]/SamplingData[[#Totals],[Max Error Bound (up)]])</f>
        <v>7.5889773512196994E-4</v>
      </c>
      <c r="AD992" s="103">
        <f>SUM($AC$5:AC992)</f>
        <v>0.88786717926346281</v>
      </c>
      <c r="AE992" s="99" t="str" cm="1">
        <f t="array" ref="AE992">IF(SamplingData[[#This Row],[up/U Selection Probability]] = 0, "Zero", TEXT(SamplingData[[#This Row],[Lower Range]], REPT("0",LEN('General Info'!$B$42))) &amp; " - " &amp; TEXT(SamplingData[[#This Row],[Upper Range]], REPT("0",LEN('General Info'!$B$42))))</f>
        <v>887108 - 887866</v>
      </c>
      <c r="AF992" s="99">
        <f>SamplingData[[#This Row],[Upper Range]]-SamplingData[[#This Row],[Span]]</f>
        <v>887108.28152834077</v>
      </c>
      <c r="AG992" s="99">
        <f>IF(ISNUMBER('General Info'!$B$42), ((SamplingData[[#This Row],[up/U Selection Probability]]) * 'General Info'!$B$44) - 1, 0)</f>
        <v>757.89773512196996</v>
      </c>
      <c r="AH992" s="99">
        <f>IF(ISNUMBER('General Info'!$B$42), (SamplingData[[#This Row],[Running (cumulative) sum]] * ('General Info'!$B$42 -'General Info'!$B$43 + 1)) + 'General Info'!$B$43 - 1, 0)</f>
        <v>887866.17926346278</v>
      </c>
      <c r="AI992" s="99" t="str">
        <f>IF(ISERROR(MATCH(SamplingData[[#This Row],[Batch by Type (p)]],SelectedPrecincts[Batch Name], 0)), "", INDEX(SelectedPrecincts[Draw], MATCH(SamplingData[[#This Row],[Batch by Type (p)]],SelectedPrecincts[Batch Name], 0)))</f>
        <v/>
      </c>
      <c r="AJ992" s="100">
        <f>IF(COUNTIF(SelectedPrecincts[Batch Name],SamplingData[[#This Row],[Batch by Type (p)]]) &lt;&gt; 0, COUNTIF(SelectedPrecincts[Batch Name],SamplingData[[#This Row],[Batch by Type (p)]]), 0)</f>
        <v>0</v>
      </c>
    </row>
    <row r="993" spans="1:36" ht="15" customHeight="1" x14ac:dyDescent="0.35">
      <c r="A993" s="97" t="s">
        <v>1206</v>
      </c>
      <c r="B993" s="97">
        <v>203</v>
      </c>
      <c r="C993" s="97">
        <v>358</v>
      </c>
      <c r="D993" s="92"/>
      <c r="E993" s="92"/>
      <c r="F993" s="92"/>
      <c r="G993" s="96"/>
      <c r="H993" s="96"/>
      <c r="I993" s="92"/>
      <c r="J993" s="92"/>
      <c r="K993" s="92"/>
      <c r="L993" s="92"/>
      <c r="M993" s="92"/>
      <c r="N993" s="97">
        <v>0</v>
      </c>
      <c r="O993" s="97">
        <v>50</v>
      </c>
      <c r="P993" s="98">
        <f>SUM(SamplingData[[#This Row],[Winning Candidate]:[Under Votes]])</f>
        <v>611</v>
      </c>
      <c r="Q993" s="99">
        <f>IF(AND(SamplingData[[#This Row],[Total]]&lt;&gt; 0, NOT(ISBLANK(SamplingData[[#This Row],[Losing Candidate]]))),(SamplingData[[#This Row],[Total]]+SamplingData[[#This Row],[Winning Candidate]]-SamplingData[[#This Row],[Losing Candidate]])/(SamplingData[[#Totals],[Winning Candidate]]-SamplingData[[#Totals],[Losing Candidate]]), 0)</f>
        <v>1.9351553216771344E-2</v>
      </c>
      <c r="R993" s="99">
        <f>IF(AND(SamplingData[[#This Row],[Total]]&lt;&gt; 0, NOT(ISBLANK(SamplingData[[#This Row],[Candidate 3]]))),(SamplingData[[#This Row],[Total]]+SamplingData[[#This Row],[Winning Candidate]]-SamplingData[[#This Row],[Candidate 3]])/(SamplingData[[#Totals],[Winning Candidate]]-SamplingData[[#Totals],[Candidate 3]]), 0)</f>
        <v>0</v>
      </c>
      <c r="S993" s="99">
        <f>IF(AND(SamplingData[[#This Row],[Total]]&lt;&gt; 0, NOT(ISBLANK(SamplingData[[#This Row],[Candidate 4]]))),(SamplingData[[#This Row],[Total]]+SamplingData[[#This Row],[Winning Candidate]]-SamplingData[[#This Row],[Candidate 4]])/(SamplingData[[#Totals],[Winning Candidate]]-SamplingData[[#Totals],[Candidate 4]]), 0)</f>
        <v>0</v>
      </c>
      <c r="T993" s="99">
        <f>IF(AND(SamplingData[[#This Row],[Total]]&lt;&gt; 0, NOT(ISBLANK(SamplingData[[#This Row],[Candidate 5]]))),(SamplingData[[#This Row],[Total]]+SamplingData[[#This Row],[Winning Candidate]]-SamplingData[[#This Row],[Candidate 5]])/(SamplingData[[#Totals],[Winning Candidate]]-SamplingData[[#Totals],[Candidate 5]]), 0)</f>
        <v>0</v>
      </c>
      <c r="U993" s="99">
        <f>IF(AND(SamplingData[[#This Row],[Total]]&lt;&gt; 0, NOT(ISBLANK(SamplingData[[#This Row],[Candidate 6]]))),(SamplingData[[#This Row],[Total]]+SamplingData[[#This Row],[Losing Candidate]]-SamplingData[[#This Row],[Candidate 6]])/(SamplingData[[#Totals],[Winning Candidate]]-SamplingData[[#Totals],[Candidate 6]]), 0)</f>
        <v>0</v>
      </c>
      <c r="V993" s="99">
        <f>IF(AND(SamplingData[[#This Row],[Total]]&lt;&gt; 0, NOT(ISBLANK(SamplingData[[#This Row],[Candidate 7]]))),(SamplingData[[#This Row],[Total]]+SamplingData[[#This Row],[Winning Candidate]]-SamplingData[[#This Row],[Candidate 7]])/(SamplingData[[#Totals],[Winning Candidate]]-SamplingData[[#Totals],[Candidate 7]]), 0)</f>
        <v>0</v>
      </c>
      <c r="W993" s="99">
        <f>IF(AND(SamplingData[[#This Row],[Total]]&lt;&gt; 0, NOT(ISBLANK(SamplingData[[#This Row],[Candidate 8]]))),(SamplingData[[#This Row],[Total]]+SamplingData[[#This Row],[Winning Candidate]]-SamplingData[[#This Row],[Candidate 8]])/(SamplingData[[#Totals],[Winning Candidate]]-SamplingData[[#Totals],[Candidate 8]]), 0)</f>
        <v>0</v>
      </c>
      <c r="X9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3" s="99">
        <f>MAX(SamplingData[[#This Row],[Error Bound (up) - Max. possible relative overstatement - Losing Candidate]:[Error Bound (up) - Max. possible relative overstatement - Candidate 12]])</f>
        <v>1.9351553216771344E-2</v>
      </c>
      <c r="AC993" s="99">
        <f>IF(SamplingData[[#This Row],[Max Error Bound (up)]] = 0,0,SamplingData[[#This Row],[Max Error Bound (up)]]/SamplingData[[#Totals],[Max Error Bound (up)]])</f>
        <v>1.0360999018431685E-3</v>
      </c>
      <c r="AD993" s="103">
        <f>SUM($AC$5:AC993)</f>
        <v>0.88890327916530598</v>
      </c>
      <c r="AE993" s="99" t="str" cm="1">
        <f t="array" ref="AE993">IF(SamplingData[[#This Row],[up/U Selection Probability]] = 0, "Zero", TEXT(SamplingData[[#This Row],[Lower Range]], REPT("0",LEN('General Info'!$B$42))) &amp; " - " &amp; TEXT(SamplingData[[#This Row],[Upper Range]], REPT("0",LEN('General Info'!$B$42))))</f>
        <v>887867 - 888902</v>
      </c>
      <c r="AF993" s="99">
        <f>SamplingData[[#This Row],[Upper Range]]-SamplingData[[#This Row],[Span]]</f>
        <v>887867.17926346289</v>
      </c>
      <c r="AG993" s="99">
        <f>IF(ISNUMBER('General Info'!$B$42), ((SamplingData[[#This Row],[up/U Selection Probability]]) * 'General Info'!$B$44) - 1, 0)</f>
        <v>1035.0999018431685</v>
      </c>
      <c r="AH993" s="99">
        <f>IF(ISNUMBER('General Info'!$B$42), (SamplingData[[#This Row],[Running (cumulative) sum]] * ('General Info'!$B$42 -'General Info'!$B$43 + 1)) + 'General Info'!$B$43 - 1, 0)</f>
        <v>888902.27916530601</v>
      </c>
      <c r="AI993" s="99" t="str">
        <f>IF(ISERROR(MATCH(SamplingData[[#This Row],[Batch by Type (p)]],SelectedPrecincts[Batch Name], 0)), "", INDEX(SelectedPrecincts[Draw], MATCH(SamplingData[[#This Row],[Batch by Type (p)]],SelectedPrecincts[Batch Name], 0)))</f>
        <v/>
      </c>
      <c r="AJ993" s="100">
        <f>IF(COUNTIF(SelectedPrecincts[Batch Name],SamplingData[[#This Row],[Batch by Type (p)]]) &lt;&gt; 0, COUNTIF(SelectedPrecincts[Batch Name],SamplingData[[#This Row],[Batch by Type (p)]]), 0)</f>
        <v>0</v>
      </c>
    </row>
    <row r="994" spans="1:36" ht="15" customHeight="1" x14ac:dyDescent="0.35">
      <c r="A994" s="97" t="s">
        <v>1207</v>
      </c>
      <c r="B994" s="97">
        <v>174</v>
      </c>
      <c r="C994" s="97">
        <v>249</v>
      </c>
      <c r="D994" s="92"/>
      <c r="E994" s="92"/>
      <c r="F994" s="92"/>
      <c r="G994" s="96"/>
      <c r="H994" s="96"/>
      <c r="I994" s="92"/>
      <c r="J994" s="92"/>
      <c r="K994" s="92"/>
      <c r="L994" s="92"/>
      <c r="M994" s="92"/>
      <c r="N994" s="97">
        <v>0</v>
      </c>
      <c r="O994" s="97">
        <v>42</v>
      </c>
      <c r="P994" s="98">
        <f>SUM(SamplingData[[#This Row],[Winning Candidate]:[Under Votes]])</f>
        <v>465</v>
      </c>
      <c r="Q994" s="99">
        <f>IF(AND(SamplingData[[#This Row],[Total]]&lt;&gt; 0, NOT(ISBLANK(SamplingData[[#This Row],[Losing Candidate]]))),(SamplingData[[#This Row],[Total]]+SamplingData[[#This Row],[Winning Candidate]]-SamplingData[[#This Row],[Losing Candidate]])/(SamplingData[[#Totals],[Winning Candidate]]-SamplingData[[#Totals],[Losing Candidate]]), 0)</f>
        <v>1.6550670514343915E-2</v>
      </c>
      <c r="R994" s="99">
        <f>IF(AND(SamplingData[[#This Row],[Total]]&lt;&gt; 0, NOT(ISBLANK(SamplingData[[#This Row],[Candidate 3]]))),(SamplingData[[#This Row],[Total]]+SamplingData[[#This Row],[Winning Candidate]]-SamplingData[[#This Row],[Candidate 3]])/(SamplingData[[#Totals],[Winning Candidate]]-SamplingData[[#Totals],[Candidate 3]]), 0)</f>
        <v>0</v>
      </c>
      <c r="S994" s="99">
        <f>IF(AND(SamplingData[[#This Row],[Total]]&lt;&gt; 0, NOT(ISBLANK(SamplingData[[#This Row],[Candidate 4]]))),(SamplingData[[#This Row],[Total]]+SamplingData[[#This Row],[Winning Candidate]]-SamplingData[[#This Row],[Candidate 4]])/(SamplingData[[#Totals],[Winning Candidate]]-SamplingData[[#Totals],[Candidate 4]]), 0)</f>
        <v>0</v>
      </c>
      <c r="T994" s="99">
        <f>IF(AND(SamplingData[[#This Row],[Total]]&lt;&gt; 0, NOT(ISBLANK(SamplingData[[#This Row],[Candidate 5]]))),(SamplingData[[#This Row],[Total]]+SamplingData[[#This Row],[Winning Candidate]]-SamplingData[[#This Row],[Candidate 5]])/(SamplingData[[#Totals],[Winning Candidate]]-SamplingData[[#Totals],[Candidate 5]]), 0)</f>
        <v>0</v>
      </c>
      <c r="U994" s="99">
        <f>IF(AND(SamplingData[[#This Row],[Total]]&lt;&gt; 0, NOT(ISBLANK(SamplingData[[#This Row],[Candidate 6]]))),(SamplingData[[#This Row],[Total]]+SamplingData[[#This Row],[Losing Candidate]]-SamplingData[[#This Row],[Candidate 6]])/(SamplingData[[#Totals],[Winning Candidate]]-SamplingData[[#Totals],[Candidate 6]]), 0)</f>
        <v>0</v>
      </c>
      <c r="V994" s="99">
        <f>IF(AND(SamplingData[[#This Row],[Total]]&lt;&gt; 0, NOT(ISBLANK(SamplingData[[#This Row],[Candidate 7]]))),(SamplingData[[#This Row],[Total]]+SamplingData[[#This Row],[Winning Candidate]]-SamplingData[[#This Row],[Candidate 7]])/(SamplingData[[#Totals],[Winning Candidate]]-SamplingData[[#Totals],[Candidate 7]]), 0)</f>
        <v>0</v>
      </c>
      <c r="W994" s="99">
        <f>IF(AND(SamplingData[[#This Row],[Total]]&lt;&gt; 0, NOT(ISBLANK(SamplingData[[#This Row],[Candidate 8]]))),(SamplingData[[#This Row],[Total]]+SamplingData[[#This Row],[Winning Candidate]]-SamplingData[[#This Row],[Candidate 8]])/(SamplingData[[#Totals],[Winning Candidate]]-SamplingData[[#Totals],[Candidate 8]]), 0)</f>
        <v>0</v>
      </c>
      <c r="X9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4" s="99">
        <f>MAX(SamplingData[[#This Row],[Error Bound (up) - Max. possible relative overstatement - Losing Candidate]:[Error Bound (up) - Max. possible relative overstatement - Candidate 12]])</f>
        <v>1.6550670514343915E-2</v>
      </c>
      <c r="AC994" s="99">
        <f>IF(SamplingData[[#This Row],[Max Error Bound (up)]] = 0,0,SamplingData[[#This Row],[Max Error Bound (up)]]/SamplingData[[#Totals],[Max Error Bound (up)]])</f>
        <v>8.8613807394481519E-4</v>
      </c>
      <c r="AD994" s="103">
        <f>SUM($AC$5:AC994)</f>
        <v>0.88978941723925076</v>
      </c>
      <c r="AE994" s="99" t="str" cm="1">
        <f t="array" ref="AE994">IF(SamplingData[[#This Row],[up/U Selection Probability]] = 0, "Zero", TEXT(SamplingData[[#This Row],[Lower Range]], REPT("0",LEN('General Info'!$B$42))) &amp; " - " &amp; TEXT(SamplingData[[#This Row],[Upper Range]], REPT("0",LEN('General Info'!$B$42))))</f>
        <v>888903 - 889788</v>
      </c>
      <c r="AF994" s="99">
        <f>SamplingData[[#This Row],[Upper Range]]-SamplingData[[#This Row],[Span]]</f>
        <v>888903.2791653059</v>
      </c>
      <c r="AG994" s="99">
        <f>IF(ISNUMBER('General Info'!$B$42), ((SamplingData[[#This Row],[up/U Selection Probability]]) * 'General Info'!$B$44) - 1, 0)</f>
        <v>885.13807394481523</v>
      </c>
      <c r="AH994" s="99">
        <f>IF(ISNUMBER('General Info'!$B$42), (SamplingData[[#This Row],[Running (cumulative) sum]] * ('General Info'!$B$42 -'General Info'!$B$43 + 1)) + 'General Info'!$B$43 - 1, 0)</f>
        <v>889788.41723925073</v>
      </c>
      <c r="AI994" s="99" t="str">
        <f>IF(ISERROR(MATCH(SamplingData[[#This Row],[Batch by Type (p)]],SelectedPrecincts[Batch Name], 0)), "", INDEX(SelectedPrecincts[Draw], MATCH(SamplingData[[#This Row],[Batch by Type (p)]],SelectedPrecincts[Batch Name], 0)))</f>
        <v/>
      </c>
      <c r="AJ994" s="100">
        <f>IF(COUNTIF(SelectedPrecincts[Batch Name],SamplingData[[#This Row],[Batch by Type (p)]]) &lt;&gt; 0, COUNTIF(SelectedPrecincts[Batch Name],SamplingData[[#This Row],[Batch by Type (p)]]), 0)</f>
        <v>0</v>
      </c>
    </row>
    <row r="995" spans="1:36" ht="15" customHeight="1" x14ac:dyDescent="0.35">
      <c r="A995" s="97" t="s">
        <v>1208</v>
      </c>
      <c r="B995" s="97">
        <v>153</v>
      </c>
      <c r="C995" s="97">
        <v>429</v>
      </c>
      <c r="D995" s="92"/>
      <c r="E995" s="92"/>
      <c r="F995" s="92"/>
      <c r="G995" s="96"/>
      <c r="H995" s="96"/>
      <c r="I995" s="92"/>
      <c r="J995" s="92"/>
      <c r="K995" s="92"/>
      <c r="L995" s="92"/>
      <c r="M995" s="92"/>
      <c r="N995" s="97">
        <v>0</v>
      </c>
      <c r="O995" s="97">
        <v>50</v>
      </c>
      <c r="P995" s="98">
        <f>SUM(SamplingData[[#This Row],[Winning Candidate]:[Under Votes]])</f>
        <v>632</v>
      </c>
      <c r="Q995" s="99">
        <f>IF(AND(SamplingData[[#This Row],[Total]]&lt;&gt; 0, NOT(ISBLANK(SamplingData[[#This Row],[Losing Candidate]]))),(SamplingData[[#This Row],[Total]]+SamplingData[[#This Row],[Winning Candidate]]-SamplingData[[#This Row],[Losing Candidate]])/(SamplingData[[#Totals],[Winning Candidate]]-SamplingData[[#Totals],[Losing Candidate]]), 0)</f>
        <v>1.5107791546426753E-2</v>
      </c>
      <c r="R995" s="99">
        <f>IF(AND(SamplingData[[#This Row],[Total]]&lt;&gt; 0, NOT(ISBLANK(SamplingData[[#This Row],[Candidate 3]]))),(SamplingData[[#This Row],[Total]]+SamplingData[[#This Row],[Winning Candidate]]-SamplingData[[#This Row],[Candidate 3]])/(SamplingData[[#Totals],[Winning Candidate]]-SamplingData[[#Totals],[Candidate 3]]), 0)</f>
        <v>0</v>
      </c>
      <c r="S995" s="99">
        <f>IF(AND(SamplingData[[#This Row],[Total]]&lt;&gt; 0, NOT(ISBLANK(SamplingData[[#This Row],[Candidate 4]]))),(SamplingData[[#This Row],[Total]]+SamplingData[[#This Row],[Winning Candidate]]-SamplingData[[#This Row],[Candidate 4]])/(SamplingData[[#Totals],[Winning Candidate]]-SamplingData[[#Totals],[Candidate 4]]), 0)</f>
        <v>0</v>
      </c>
      <c r="T995" s="99">
        <f>IF(AND(SamplingData[[#This Row],[Total]]&lt;&gt; 0, NOT(ISBLANK(SamplingData[[#This Row],[Candidate 5]]))),(SamplingData[[#This Row],[Total]]+SamplingData[[#This Row],[Winning Candidate]]-SamplingData[[#This Row],[Candidate 5]])/(SamplingData[[#Totals],[Winning Candidate]]-SamplingData[[#Totals],[Candidate 5]]), 0)</f>
        <v>0</v>
      </c>
      <c r="U995" s="99">
        <f>IF(AND(SamplingData[[#This Row],[Total]]&lt;&gt; 0, NOT(ISBLANK(SamplingData[[#This Row],[Candidate 6]]))),(SamplingData[[#This Row],[Total]]+SamplingData[[#This Row],[Losing Candidate]]-SamplingData[[#This Row],[Candidate 6]])/(SamplingData[[#Totals],[Winning Candidate]]-SamplingData[[#Totals],[Candidate 6]]), 0)</f>
        <v>0</v>
      </c>
      <c r="V995" s="99">
        <f>IF(AND(SamplingData[[#This Row],[Total]]&lt;&gt; 0, NOT(ISBLANK(SamplingData[[#This Row],[Candidate 7]]))),(SamplingData[[#This Row],[Total]]+SamplingData[[#This Row],[Winning Candidate]]-SamplingData[[#This Row],[Candidate 7]])/(SamplingData[[#Totals],[Winning Candidate]]-SamplingData[[#Totals],[Candidate 7]]), 0)</f>
        <v>0</v>
      </c>
      <c r="W995" s="99">
        <f>IF(AND(SamplingData[[#This Row],[Total]]&lt;&gt; 0, NOT(ISBLANK(SamplingData[[#This Row],[Candidate 8]]))),(SamplingData[[#This Row],[Total]]+SamplingData[[#This Row],[Winning Candidate]]-SamplingData[[#This Row],[Candidate 8]])/(SamplingData[[#Totals],[Winning Candidate]]-SamplingData[[#Totals],[Candidate 8]]), 0)</f>
        <v>0</v>
      </c>
      <c r="X9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5" s="99">
        <f>MAX(SamplingData[[#This Row],[Error Bound (up) - Max. possible relative overstatement - Losing Candidate]:[Error Bound (up) - Max. possible relative overstatement - Candidate 12]])</f>
        <v>1.5107791546426753E-2</v>
      </c>
      <c r="AC995" s="99">
        <f>IF(SamplingData[[#This Row],[Max Error Bound (up)]] = 0,0,SamplingData[[#This Row],[Max Error Bound (up)]]/SamplingData[[#Totals],[Max Error Bound (up)]])</f>
        <v>8.0888501108808777E-4</v>
      </c>
      <c r="AD995" s="103">
        <f>SUM($AC$5:AC995)</f>
        <v>0.89059830225033887</v>
      </c>
      <c r="AE995" s="99" t="str" cm="1">
        <f t="array" ref="AE995">IF(SamplingData[[#This Row],[up/U Selection Probability]] = 0, "Zero", TEXT(SamplingData[[#This Row],[Lower Range]], REPT("0",LEN('General Info'!$B$42))) &amp; " - " &amp; TEXT(SamplingData[[#This Row],[Upper Range]], REPT("0",LEN('General Info'!$B$42))))</f>
        <v>889789 - 890597</v>
      </c>
      <c r="AF995" s="99">
        <f>SamplingData[[#This Row],[Upper Range]]-SamplingData[[#This Row],[Span]]</f>
        <v>889789.41723925073</v>
      </c>
      <c r="AG995" s="99">
        <f>IF(ISNUMBER('General Info'!$B$42), ((SamplingData[[#This Row],[up/U Selection Probability]]) * 'General Info'!$B$44) - 1, 0)</f>
        <v>807.88501108808782</v>
      </c>
      <c r="AH995" s="99">
        <f>IF(ISNUMBER('General Info'!$B$42), (SamplingData[[#This Row],[Running (cumulative) sum]] * ('General Info'!$B$42 -'General Info'!$B$43 + 1)) + 'General Info'!$B$43 - 1, 0)</f>
        <v>890597.30225033883</v>
      </c>
      <c r="AI995" s="99">
        <f>IF(ISERROR(MATCH(SamplingData[[#This Row],[Batch by Type (p)]],SelectedPrecincts[Batch Name], 0)), "", INDEX(SelectedPrecincts[Draw], MATCH(SamplingData[[#This Row],[Batch by Type (p)]],SelectedPrecincts[Batch Name], 0)))</f>
        <v>18</v>
      </c>
      <c r="AJ995" s="100">
        <f>IF(COUNTIF(SelectedPrecincts[Batch Name],SamplingData[[#This Row],[Batch by Type (p)]]) &lt;&gt; 0, COUNTIF(SelectedPrecincts[Batch Name],SamplingData[[#This Row],[Batch by Type (p)]]), 0)</f>
        <v>1</v>
      </c>
    </row>
    <row r="996" spans="1:36" ht="15" customHeight="1" x14ac:dyDescent="0.35">
      <c r="A996" s="97" t="s">
        <v>1209</v>
      </c>
      <c r="B996" s="97">
        <v>130</v>
      </c>
      <c r="C996" s="97">
        <v>474</v>
      </c>
      <c r="D996" s="92"/>
      <c r="E996" s="92"/>
      <c r="F996" s="92"/>
      <c r="G996" s="96"/>
      <c r="H996" s="96"/>
      <c r="I996" s="92"/>
      <c r="J996" s="92"/>
      <c r="K996" s="92"/>
      <c r="L996" s="92"/>
      <c r="M996" s="92"/>
      <c r="N996" s="97">
        <v>1</v>
      </c>
      <c r="O996" s="97">
        <v>42</v>
      </c>
      <c r="P996" s="98">
        <f>SUM(SamplingData[[#This Row],[Winning Candidate]:[Under Votes]])</f>
        <v>647</v>
      </c>
      <c r="Q996" s="99">
        <f>IF(AND(SamplingData[[#This Row],[Total]]&lt;&gt; 0, NOT(ISBLANK(SamplingData[[#This Row],[Losing Candidate]]))),(SamplingData[[#This Row],[Total]]+SamplingData[[#This Row],[Winning Candidate]]-SamplingData[[#This Row],[Losing Candidate]])/(SamplingData[[#Totals],[Winning Candidate]]-SamplingData[[#Totals],[Losing Candidate]]), 0)</f>
        <v>1.2858597861144119E-2</v>
      </c>
      <c r="R996" s="99">
        <f>IF(AND(SamplingData[[#This Row],[Total]]&lt;&gt; 0, NOT(ISBLANK(SamplingData[[#This Row],[Candidate 3]]))),(SamplingData[[#This Row],[Total]]+SamplingData[[#This Row],[Winning Candidate]]-SamplingData[[#This Row],[Candidate 3]])/(SamplingData[[#Totals],[Winning Candidate]]-SamplingData[[#Totals],[Candidate 3]]), 0)</f>
        <v>0</v>
      </c>
      <c r="S996" s="99">
        <f>IF(AND(SamplingData[[#This Row],[Total]]&lt;&gt; 0, NOT(ISBLANK(SamplingData[[#This Row],[Candidate 4]]))),(SamplingData[[#This Row],[Total]]+SamplingData[[#This Row],[Winning Candidate]]-SamplingData[[#This Row],[Candidate 4]])/(SamplingData[[#Totals],[Winning Candidate]]-SamplingData[[#Totals],[Candidate 4]]), 0)</f>
        <v>0</v>
      </c>
      <c r="T996" s="99">
        <f>IF(AND(SamplingData[[#This Row],[Total]]&lt;&gt; 0, NOT(ISBLANK(SamplingData[[#This Row],[Candidate 5]]))),(SamplingData[[#This Row],[Total]]+SamplingData[[#This Row],[Winning Candidate]]-SamplingData[[#This Row],[Candidate 5]])/(SamplingData[[#Totals],[Winning Candidate]]-SamplingData[[#Totals],[Candidate 5]]), 0)</f>
        <v>0</v>
      </c>
      <c r="U996" s="99">
        <f>IF(AND(SamplingData[[#This Row],[Total]]&lt;&gt; 0, NOT(ISBLANK(SamplingData[[#This Row],[Candidate 6]]))),(SamplingData[[#This Row],[Total]]+SamplingData[[#This Row],[Losing Candidate]]-SamplingData[[#This Row],[Candidate 6]])/(SamplingData[[#Totals],[Winning Candidate]]-SamplingData[[#Totals],[Candidate 6]]), 0)</f>
        <v>0</v>
      </c>
      <c r="V996" s="99">
        <f>IF(AND(SamplingData[[#This Row],[Total]]&lt;&gt; 0, NOT(ISBLANK(SamplingData[[#This Row],[Candidate 7]]))),(SamplingData[[#This Row],[Total]]+SamplingData[[#This Row],[Winning Candidate]]-SamplingData[[#This Row],[Candidate 7]])/(SamplingData[[#Totals],[Winning Candidate]]-SamplingData[[#Totals],[Candidate 7]]), 0)</f>
        <v>0</v>
      </c>
      <c r="W996" s="99">
        <f>IF(AND(SamplingData[[#This Row],[Total]]&lt;&gt; 0, NOT(ISBLANK(SamplingData[[#This Row],[Candidate 8]]))),(SamplingData[[#This Row],[Total]]+SamplingData[[#This Row],[Winning Candidate]]-SamplingData[[#This Row],[Candidate 8]])/(SamplingData[[#Totals],[Winning Candidate]]-SamplingData[[#Totals],[Candidate 8]]), 0)</f>
        <v>0</v>
      </c>
      <c r="X9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6" s="99">
        <f>MAX(SamplingData[[#This Row],[Error Bound (up) - Max. possible relative overstatement - Losing Candidate]:[Error Bound (up) - Max. possible relative overstatement - Candidate 12]])</f>
        <v>1.2858597861144119E-2</v>
      </c>
      <c r="AC996" s="99">
        <f>IF(SamplingData[[#This Row],[Max Error Bound (up)]] = 0,0,SamplingData[[#This Row],[Max Error Bound (up)]]/SamplingData[[#Totals],[Max Error Bound (up)]])</f>
        <v>6.8846111898789486E-4</v>
      </c>
      <c r="AD996" s="103">
        <f>SUM($AC$5:AC996)</f>
        <v>0.89128676336932677</v>
      </c>
      <c r="AE996" s="99" t="str" cm="1">
        <f t="array" ref="AE996">IF(SamplingData[[#This Row],[up/U Selection Probability]] = 0, "Zero", TEXT(SamplingData[[#This Row],[Lower Range]], REPT("0",LEN('General Info'!$B$42))) &amp; " - " &amp; TEXT(SamplingData[[#This Row],[Upper Range]], REPT("0",LEN('General Info'!$B$42))))</f>
        <v>890598 - 891286</v>
      </c>
      <c r="AF996" s="99">
        <f>SamplingData[[#This Row],[Upper Range]]-SamplingData[[#This Row],[Span]]</f>
        <v>890598.30225033895</v>
      </c>
      <c r="AG996" s="99">
        <f>IF(ISNUMBER('General Info'!$B$42), ((SamplingData[[#This Row],[up/U Selection Probability]]) * 'General Info'!$B$44) - 1, 0)</f>
        <v>687.46111898789491</v>
      </c>
      <c r="AH996" s="99">
        <f>IF(ISNUMBER('General Info'!$B$42), (SamplingData[[#This Row],[Running (cumulative) sum]] * ('General Info'!$B$42 -'General Info'!$B$43 + 1)) + 'General Info'!$B$43 - 1, 0)</f>
        <v>891285.76336932683</v>
      </c>
      <c r="AI996" s="99" t="str">
        <f>IF(ISERROR(MATCH(SamplingData[[#This Row],[Batch by Type (p)]],SelectedPrecincts[Batch Name], 0)), "", INDEX(SelectedPrecincts[Draw], MATCH(SamplingData[[#This Row],[Batch by Type (p)]],SelectedPrecincts[Batch Name], 0)))</f>
        <v/>
      </c>
      <c r="AJ996" s="100">
        <f>IF(COUNTIF(SelectedPrecincts[Batch Name],SamplingData[[#This Row],[Batch by Type (p)]]) &lt;&gt; 0, COUNTIF(SelectedPrecincts[Batch Name],SamplingData[[#This Row],[Batch by Type (p)]]), 0)</f>
        <v>0</v>
      </c>
    </row>
    <row r="997" spans="1:36" ht="15" customHeight="1" x14ac:dyDescent="0.35">
      <c r="A997" s="97" t="s">
        <v>1210</v>
      </c>
      <c r="B997" s="97">
        <v>138</v>
      </c>
      <c r="C997" s="97">
        <v>430</v>
      </c>
      <c r="D997" s="92"/>
      <c r="E997" s="92"/>
      <c r="F997" s="92"/>
      <c r="G997" s="96"/>
      <c r="H997" s="96"/>
      <c r="I997" s="92"/>
      <c r="J997" s="92"/>
      <c r="K997" s="92"/>
      <c r="L997" s="92"/>
      <c r="M997" s="92"/>
      <c r="N997" s="97">
        <v>0</v>
      </c>
      <c r="O997" s="97">
        <v>49</v>
      </c>
      <c r="P997" s="98">
        <f>SUM(SamplingData[[#This Row],[Winning Candidate]:[Under Votes]])</f>
        <v>617</v>
      </c>
      <c r="Q997" s="99">
        <f>IF(AND(SamplingData[[#This Row],[Total]]&lt;&gt; 0, NOT(ISBLANK(SamplingData[[#This Row],[Losing Candidate]]))),(SamplingData[[#This Row],[Total]]+SamplingData[[#This Row],[Winning Candidate]]-SamplingData[[#This Row],[Losing Candidate]])/(SamplingData[[#Totals],[Winning Candidate]]-SamplingData[[#Totals],[Losing Candidate]]), 0)</f>
        <v>1.3792225428619929E-2</v>
      </c>
      <c r="R997" s="99">
        <f>IF(AND(SamplingData[[#This Row],[Total]]&lt;&gt; 0, NOT(ISBLANK(SamplingData[[#This Row],[Candidate 3]]))),(SamplingData[[#This Row],[Total]]+SamplingData[[#This Row],[Winning Candidate]]-SamplingData[[#This Row],[Candidate 3]])/(SamplingData[[#Totals],[Winning Candidate]]-SamplingData[[#Totals],[Candidate 3]]), 0)</f>
        <v>0</v>
      </c>
      <c r="S997" s="99">
        <f>IF(AND(SamplingData[[#This Row],[Total]]&lt;&gt; 0, NOT(ISBLANK(SamplingData[[#This Row],[Candidate 4]]))),(SamplingData[[#This Row],[Total]]+SamplingData[[#This Row],[Winning Candidate]]-SamplingData[[#This Row],[Candidate 4]])/(SamplingData[[#Totals],[Winning Candidate]]-SamplingData[[#Totals],[Candidate 4]]), 0)</f>
        <v>0</v>
      </c>
      <c r="T997" s="99">
        <f>IF(AND(SamplingData[[#This Row],[Total]]&lt;&gt; 0, NOT(ISBLANK(SamplingData[[#This Row],[Candidate 5]]))),(SamplingData[[#This Row],[Total]]+SamplingData[[#This Row],[Winning Candidate]]-SamplingData[[#This Row],[Candidate 5]])/(SamplingData[[#Totals],[Winning Candidate]]-SamplingData[[#Totals],[Candidate 5]]), 0)</f>
        <v>0</v>
      </c>
      <c r="U997" s="99">
        <f>IF(AND(SamplingData[[#This Row],[Total]]&lt;&gt; 0, NOT(ISBLANK(SamplingData[[#This Row],[Candidate 6]]))),(SamplingData[[#This Row],[Total]]+SamplingData[[#This Row],[Losing Candidate]]-SamplingData[[#This Row],[Candidate 6]])/(SamplingData[[#Totals],[Winning Candidate]]-SamplingData[[#Totals],[Candidate 6]]), 0)</f>
        <v>0</v>
      </c>
      <c r="V997" s="99">
        <f>IF(AND(SamplingData[[#This Row],[Total]]&lt;&gt; 0, NOT(ISBLANK(SamplingData[[#This Row],[Candidate 7]]))),(SamplingData[[#This Row],[Total]]+SamplingData[[#This Row],[Winning Candidate]]-SamplingData[[#This Row],[Candidate 7]])/(SamplingData[[#Totals],[Winning Candidate]]-SamplingData[[#Totals],[Candidate 7]]), 0)</f>
        <v>0</v>
      </c>
      <c r="W997" s="99">
        <f>IF(AND(SamplingData[[#This Row],[Total]]&lt;&gt; 0, NOT(ISBLANK(SamplingData[[#This Row],[Candidate 8]]))),(SamplingData[[#This Row],[Total]]+SamplingData[[#This Row],[Winning Candidate]]-SamplingData[[#This Row],[Candidate 8]])/(SamplingData[[#Totals],[Winning Candidate]]-SamplingData[[#Totals],[Candidate 8]]), 0)</f>
        <v>0</v>
      </c>
      <c r="X9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7" s="99">
        <f>MAX(SamplingData[[#This Row],[Error Bound (up) - Max. possible relative overstatement - Losing Candidate]:[Error Bound (up) - Max. possible relative overstatement - Candidate 12]])</f>
        <v>1.3792225428619929E-2</v>
      </c>
      <c r="AC997" s="99">
        <f>IF(SamplingData[[#This Row],[Max Error Bound (up)]] = 0,0,SamplingData[[#This Row],[Max Error Bound (up)]]/SamplingData[[#Totals],[Max Error Bound (up)]])</f>
        <v>7.3844839495401269E-4</v>
      </c>
      <c r="AD997" s="103">
        <f>SUM($AC$5:AC997)</f>
        <v>0.89202521176428073</v>
      </c>
      <c r="AE997" s="99" t="str" cm="1">
        <f t="array" ref="AE997">IF(SamplingData[[#This Row],[up/U Selection Probability]] = 0, "Zero", TEXT(SamplingData[[#This Row],[Lower Range]], REPT("0",LEN('General Info'!$B$42))) &amp; " - " &amp; TEXT(SamplingData[[#This Row],[Upper Range]], REPT("0",LEN('General Info'!$B$42))))</f>
        <v>891287 - 892024</v>
      </c>
      <c r="AF997" s="99">
        <f>SamplingData[[#This Row],[Upper Range]]-SamplingData[[#This Row],[Span]]</f>
        <v>891286.76336932671</v>
      </c>
      <c r="AG997" s="99">
        <f>IF(ISNUMBER('General Info'!$B$42), ((SamplingData[[#This Row],[up/U Selection Probability]]) * 'General Info'!$B$44) - 1, 0)</f>
        <v>737.44839495401266</v>
      </c>
      <c r="AH997" s="99">
        <f>IF(ISNUMBER('General Info'!$B$42), (SamplingData[[#This Row],[Running (cumulative) sum]] * ('General Info'!$B$42 -'General Info'!$B$43 + 1)) + 'General Info'!$B$43 - 1, 0)</f>
        <v>892024.21176428068</v>
      </c>
      <c r="AI997" s="99" t="str">
        <f>IF(ISERROR(MATCH(SamplingData[[#This Row],[Batch by Type (p)]],SelectedPrecincts[Batch Name], 0)), "", INDEX(SelectedPrecincts[Draw], MATCH(SamplingData[[#This Row],[Batch by Type (p)]],SelectedPrecincts[Batch Name], 0)))</f>
        <v/>
      </c>
      <c r="AJ997" s="100">
        <f>IF(COUNTIF(SelectedPrecincts[Batch Name],SamplingData[[#This Row],[Batch by Type (p)]]) &lt;&gt; 0, COUNTIF(SelectedPrecincts[Batch Name],SamplingData[[#This Row],[Batch by Type (p)]]), 0)</f>
        <v>0</v>
      </c>
    </row>
    <row r="998" spans="1:36" ht="15" customHeight="1" x14ac:dyDescent="0.35">
      <c r="A998" s="97" t="s">
        <v>1211</v>
      </c>
      <c r="B998" s="97">
        <v>58</v>
      </c>
      <c r="C998" s="97">
        <v>420</v>
      </c>
      <c r="D998" s="92"/>
      <c r="E998" s="92"/>
      <c r="F998" s="92"/>
      <c r="G998" s="96"/>
      <c r="H998" s="96"/>
      <c r="I998" s="92"/>
      <c r="J998" s="92"/>
      <c r="K998" s="92"/>
      <c r="L998" s="92"/>
      <c r="M998" s="92"/>
      <c r="N998" s="97">
        <v>0</v>
      </c>
      <c r="O998" s="97">
        <v>21</v>
      </c>
      <c r="P998" s="98">
        <f>SUM(SamplingData[[#This Row],[Winning Candidate]:[Under Votes]])</f>
        <v>499</v>
      </c>
      <c r="Q998" s="99">
        <f>IF(AND(SamplingData[[#This Row],[Total]]&lt;&gt; 0, NOT(ISBLANK(SamplingData[[#This Row],[Losing Candidate]]))),(SamplingData[[#This Row],[Total]]+SamplingData[[#This Row],[Winning Candidate]]-SamplingData[[#This Row],[Losing Candidate]])/(SamplingData[[#Totals],[Winning Candidate]]-SamplingData[[#Totals],[Losing Candidate]]), 0)</f>
        <v>5.8139534883720929E-3</v>
      </c>
      <c r="R998" s="99">
        <f>IF(AND(SamplingData[[#This Row],[Total]]&lt;&gt; 0, NOT(ISBLANK(SamplingData[[#This Row],[Candidate 3]]))),(SamplingData[[#This Row],[Total]]+SamplingData[[#This Row],[Winning Candidate]]-SamplingData[[#This Row],[Candidate 3]])/(SamplingData[[#Totals],[Winning Candidate]]-SamplingData[[#Totals],[Candidate 3]]), 0)</f>
        <v>0</v>
      </c>
      <c r="S998" s="99">
        <f>IF(AND(SamplingData[[#This Row],[Total]]&lt;&gt; 0, NOT(ISBLANK(SamplingData[[#This Row],[Candidate 4]]))),(SamplingData[[#This Row],[Total]]+SamplingData[[#This Row],[Winning Candidate]]-SamplingData[[#This Row],[Candidate 4]])/(SamplingData[[#Totals],[Winning Candidate]]-SamplingData[[#Totals],[Candidate 4]]), 0)</f>
        <v>0</v>
      </c>
      <c r="T998" s="99">
        <f>IF(AND(SamplingData[[#This Row],[Total]]&lt;&gt; 0, NOT(ISBLANK(SamplingData[[#This Row],[Candidate 5]]))),(SamplingData[[#This Row],[Total]]+SamplingData[[#This Row],[Winning Candidate]]-SamplingData[[#This Row],[Candidate 5]])/(SamplingData[[#Totals],[Winning Candidate]]-SamplingData[[#Totals],[Candidate 5]]), 0)</f>
        <v>0</v>
      </c>
      <c r="U998" s="99">
        <f>IF(AND(SamplingData[[#This Row],[Total]]&lt;&gt; 0, NOT(ISBLANK(SamplingData[[#This Row],[Candidate 6]]))),(SamplingData[[#This Row],[Total]]+SamplingData[[#This Row],[Losing Candidate]]-SamplingData[[#This Row],[Candidate 6]])/(SamplingData[[#Totals],[Winning Candidate]]-SamplingData[[#Totals],[Candidate 6]]), 0)</f>
        <v>0</v>
      </c>
      <c r="V998" s="99">
        <f>IF(AND(SamplingData[[#This Row],[Total]]&lt;&gt; 0, NOT(ISBLANK(SamplingData[[#This Row],[Candidate 7]]))),(SamplingData[[#This Row],[Total]]+SamplingData[[#This Row],[Winning Candidate]]-SamplingData[[#This Row],[Candidate 7]])/(SamplingData[[#Totals],[Winning Candidate]]-SamplingData[[#Totals],[Candidate 7]]), 0)</f>
        <v>0</v>
      </c>
      <c r="W998" s="99">
        <f>IF(AND(SamplingData[[#This Row],[Total]]&lt;&gt; 0, NOT(ISBLANK(SamplingData[[#This Row],[Candidate 8]]))),(SamplingData[[#This Row],[Total]]+SamplingData[[#This Row],[Winning Candidate]]-SamplingData[[#This Row],[Candidate 8]])/(SamplingData[[#Totals],[Winning Candidate]]-SamplingData[[#Totals],[Candidate 8]]), 0)</f>
        <v>0</v>
      </c>
      <c r="X9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8" s="99">
        <f>MAX(SamplingData[[#This Row],[Error Bound (up) - Max. possible relative overstatement - Losing Candidate]:[Error Bound (up) - Max. possible relative overstatement - Candidate 12]])</f>
        <v>5.8139534883720929E-3</v>
      </c>
      <c r="AC998" s="99">
        <f>IF(SamplingData[[#This Row],[Max Error Bound (up)]] = 0,0,SamplingData[[#This Row],[Max Error Bound (up)]]/SamplingData[[#Totals],[Max Error Bound (up)]])</f>
        <v>3.1128440033446073E-4</v>
      </c>
      <c r="AD998" s="103">
        <f>SUM($AC$5:AC998)</f>
        <v>0.89233649616461519</v>
      </c>
      <c r="AE998" s="99" t="str" cm="1">
        <f t="array" ref="AE998">IF(SamplingData[[#This Row],[up/U Selection Probability]] = 0, "Zero", TEXT(SamplingData[[#This Row],[Lower Range]], REPT("0",LEN('General Info'!$B$42))) &amp; " - " &amp; TEXT(SamplingData[[#This Row],[Upper Range]], REPT("0",LEN('General Info'!$B$42))))</f>
        <v>892025 - 892335</v>
      </c>
      <c r="AF998" s="99">
        <f>SamplingData[[#This Row],[Upper Range]]-SamplingData[[#This Row],[Span]]</f>
        <v>892025.21176428068</v>
      </c>
      <c r="AG998" s="99">
        <f>IF(ISNUMBER('General Info'!$B$42), ((SamplingData[[#This Row],[up/U Selection Probability]]) * 'General Info'!$B$44) - 1, 0)</f>
        <v>310.28440033446071</v>
      </c>
      <c r="AH998" s="99">
        <f>IF(ISNUMBER('General Info'!$B$42), (SamplingData[[#This Row],[Running (cumulative) sum]] * ('General Info'!$B$42 -'General Info'!$B$43 + 1)) + 'General Info'!$B$43 - 1, 0)</f>
        <v>892335.49616461515</v>
      </c>
      <c r="AI998" s="99" t="str">
        <f>IF(ISERROR(MATCH(SamplingData[[#This Row],[Batch by Type (p)]],SelectedPrecincts[Batch Name], 0)), "", INDEX(SelectedPrecincts[Draw], MATCH(SamplingData[[#This Row],[Batch by Type (p)]],SelectedPrecincts[Batch Name], 0)))</f>
        <v/>
      </c>
      <c r="AJ998" s="100">
        <f>IF(COUNTIF(SelectedPrecincts[Batch Name],SamplingData[[#This Row],[Batch by Type (p)]]) &lt;&gt; 0, COUNTIF(SelectedPrecincts[Batch Name],SamplingData[[#This Row],[Batch by Type (p)]]), 0)</f>
        <v>0</v>
      </c>
    </row>
    <row r="999" spans="1:36" ht="15" customHeight="1" x14ac:dyDescent="0.35">
      <c r="A999" s="97" t="s">
        <v>1212</v>
      </c>
      <c r="B999" s="97">
        <v>144</v>
      </c>
      <c r="C999" s="97">
        <v>227</v>
      </c>
      <c r="D999" s="92"/>
      <c r="E999" s="92"/>
      <c r="F999" s="92"/>
      <c r="G999" s="96"/>
      <c r="H999" s="96"/>
      <c r="I999" s="92"/>
      <c r="J999" s="92"/>
      <c r="K999" s="92"/>
      <c r="L999" s="92"/>
      <c r="M999" s="92"/>
      <c r="N999" s="97">
        <v>0</v>
      </c>
      <c r="O999" s="97">
        <v>24</v>
      </c>
      <c r="P999" s="98">
        <f>SUM(SamplingData[[#This Row],[Winning Candidate]:[Under Votes]])</f>
        <v>395</v>
      </c>
      <c r="Q999" s="99">
        <f>IF(AND(SamplingData[[#This Row],[Total]]&lt;&gt; 0, NOT(ISBLANK(SamplingData[[#This Row],[Losing Candidate]]))),(SamplingData[[#This Row],[Total]]+SamplingData[[#This Row],[Winning Candidate]]-SamplingData[[#This Row],[Losing Candidate]])/(SamplingData[[#Totals],[Winning Candidate]]-SamplingData[[#Totals],[Losing Candidate]]), 0)</f>
        <v>1.3240536411475132E-2</v>
      </c>
      <c r="R999" s="99">
        <f>IF(AND(SamplingData[[#This Row],[Total]]&lt;&gt; 0, NOT(ISBLANK(SamplingData[[#This Row],[Candidate 3]]))),(SamplingData[[#This Row],[Total]]+SamplingData[[#This Row],[Winning Candidate]]-SamplingData[[#This Row],[Candidate 3]])/(SamplingData[[#Totals],[Winning Candidate]]-SamplingData[[#Totals],[Candidate 3]]), 0)</f>
        <v>0</v>
      </c>
      <c r="S999" s="99">
        <f>IF(AND(SamplingData[[#This Row],[Total]]&lt;&gt; 0, NOT(ISBLANK(SamplingData[[#This Row],[Candidate 4]]))),(SamplingData[[#This Row],[Total]]+SamplingData[[#This Row],[Winning Candidate]]-SamplingData[[#This Row],[Candidate 4]])/(SamplingData[[#Totals],[Winning Candidate]]-SamplingData[[#Totals],[Candidate 4]]), 0)</f>
        <v>0</v>
      </c>
      <c r="T999" s="99">
        <f>IF(AND(SamplingData[[#This Row],[Total]]&lt;&gt; 0, NOT(ISBLANK(SamplingData[[#This Row],[Candidate 5]]))),(SamplingData[[#This Row],[Total]]+SamplingData[[#This Row],[Winning Candidate]]-SamplingData[[#This Row],[Candidate 5]])/(SamplingData[[#Totals],[Winning Candidate]]-SamplingData[[#Totals],[Candidate 5]]), 0)</f>
        <v>0</v>
      </c>
      <c r="U999" s="99">
        <f>IF(AND(SamplingData[[#This Row],[Total]]&lt;&gt; 0, NOT(ISBLANK(SamplingData[[#This Row],[Candidate 6]]))),(SamplingData[[#This Row],[Total]]+SamplingData[[#This Row],[Losing Candidate]]-SamplingData[[#This Row],[Candidate 6]])/(SamplingData[[#Totals],[Winning Candidate]]-SamplingData[[#Totals],[Candidate 6]]), 0)</f>
        <v>0</v>
      </c>
      <c r="V999" s="99">
        <f>IF(AND(SamplingData[[#This Row],[Total]]&lt;&gt; 0, NOT(ISBLANK(SamplingData[[#This Row],[Candidate 7]]))),(SamplingData[[#This Row],[Total]]+SamplingData[[#This Row],[Winning Candidate]]-SamplingData[[#This Row],[Candidate 7]])/(SamplingData[[#Totals],[Winning Candidate]]-SamplingData[[#Totals],[Candidate 7]]), 0)</f>
        <v>0</v>
      </c>
      <c r="W999" s="99">
        <f>IF(AND(SamplingData[[#This Row],[Total]]&lt;&gt; 0, NOT(ISBLANK(SamplingData[[#This Row],[Candidate 8]]))),(SamplingData[[#This Row],[Total]]+SamplingData[[#This Row],[Winning Candidate]]-SamplingData[[#This Row],[Candidate 8]])/(SamplingData[[#Totals],[Winning Candidate]]-SamplingData[[#Totals],[Candidate 8]]), 0)</f>
        <v>0</v>
      </c>
      <c r="X9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9" s="99">
        <f>MAX(SamplingData[[#This Row],[Error Bound (up) - Max. possible relative overstatement - Losing Candidate]:[Error Bound (up) - Max. possible relative overstatement - Candidate 12]])</f>
        <v>1.3240536411475132E-2</v>
      </c>
      <c r="AC999" s="99">
        <f>IF(SamplingData[[#This Row],[Max Error Bound (up)]] = 0,0,SamplingData[[#This Row],[Max Error Bound (up)]]/SamplingData[[#Totals],[Max Error Bound (up)]])</f>
        <v>7.0891045915585222E-4</v>
      </c>
      <c r="AD999" s="103">
        <f>SUM($AC$5:AC999)</f>
        <v>0.89304540662377108</v>
      </c>
      <c r="AE999" s="99" t="str" cm="1">
        <f t="array" ref="AE999">IF(SamplingData[[#This Row],[up/U Selection Probability]] = 0, "Zero", TEXT(SamplingData[[#This Row],[Lower Range]], REPT("0",LEN('General Info'!$B$42))) &amp; " - " &amp; TEXT(SamplingData[[#This Row],[Upper Range]], REPT("0",LEN('General Info'!$B$42))))</f>
        <v>892336 - 893044</v>
      </c>
      <c r="AF999" s="99">
        <f>SamplingData[[#This Row],[Upper Range]]-SamplingData[[#This Row],[Span]]</f>
        <v>892336.49616461527</v>
      </c>
      <c r="AG999" s="99">
        <f>IF(ISNUMBER('General Info'!$B$42), ((SamplingData[[#This Row],[up/U Selection Probability]]) * 'General Info'!$B$44) - 1, 0)</f>
        <v>707.91045915585221</v>
      </c>
      <c r="AH999" s="99">
        <f>IF(ISNUMBER('General Info'!$B$42), (SamplingData[[#This Row],[Running (cumulative) sum]] * ('General Info'!$B$42 -'General Info'!$B$43 + 1)) + 'General Info'!$B$43 - 1, 0)</f>
        <v>893044.40662377106</v>
      </c>
      <c r="AI999" s="99" t="str">
        <f>IF(ISERROR(MATCH(SamplingData[[#This Row],[Batch by Type (p)]],SelectedPrecincts[Batch Name], 0)), "", INDEX(SelectedPrecincts[Draw], MATCH(SamplingData[[#This Row],[Batch by Type (p)]],SelectedPrecincts[Batch Name], 0)))</f>
        <v/>
      </c>
      <c r="AJ999" s="100">
        <f>IF(COUNTIF(SelectedPrecincts[Batch Name],SamplingData[[#This Row],[Batch by Type (p)]]) &lt;&gt; 0, COUNTIF(SelectedPrecincts[Batch Name],SamplingData[[#This Row],[Batch by Type (p)]]), 0)</f>
        <v>0</v>
      </c>
    </row>
    <row r="1000" spans="1:36" ht="15" customHeight="1" x14ac:dyDescent="0.35">
      <c r="A1000" s="97" t="s">
        <v>1213</v>
      </c>
      <c r="B1000" s="97">
        <v>151</v>
      </c>
      <c r="C1000" s="97">
        <v>393</v>
      </c>
      <c r="D1000" s="92"/>
      <c r="E1000" s="92"/>
      <c r="F1000" s="92"/>
      <c r="G1000" s="96"/>
      <c r="H1000" s="96"/>
      <c r="I1000" s="92"/>
      <c r="J1000" s="92"/>
      <c r="K1000" s="92"/>
      <c r="L1000" s="92"/>
      <c r="M1000" s="92"/>
      <c r="N1000" s="97">
        <v>0</v>
      </c>
      <c r="O1000" s="97">
        <v>46</v>
      </c>
      <c r="P1000" s="98">
        <f>SUM(SamplingData[[#This Row],[Winning Candidate]:[Under Votes]])</f>
        <v>590</v>
      </c>
      <c r="Q1000" s="99">
        <f>IF(AND(SamplingData[[#This Row],[Total]]&lt;&gt; 0, NOT(ISBLANK(SamplingData[[#This Row],[Losing Candidate]]))),(SamplingData[[#This Row],[Total]]+SamplingData[[#This Row],[Winning Candidate]]-SamplingData[[#This Row],[Losing Candidate]])/(SamplingData[[#Totals],[Winning Candidate]]-SamplingData[[#Totals],[Losing Candidate]]), 0)</f>
        <v>1.4768290612799185E-2</v>
      </c>
      <c r="R1000" s="99">
        <f>IF(AND(SamplingData[[#This Row],[Total]]&lt;&gt; 0, NOT(ISBLANK(SamplingData[[#This Row],[Candidate 3]]))),(SamplingData[[#This Row],[Total]]+SamplingData[[#This Row],[Winning Candidate]]-SamplingData[[#This Row],[Candidate 3]])/(SamplingData[[#Totals],[Winning Candidate]]-SamplingData[[#Totals],[Candidate 3]]), 0)</f>
        <v>0</v>
      </c>
      <c r="S1000" s="99">
        <f>IF(AND(SamplingData[[#This Row],[Total]]&lt;&gt; 0, NOT(ISBLANK(SamplingData[[#This Row],[Candidate 4]]))),(SamplingData[[#This Row],[Total]]+SamplingData[[#This Row],[Winning Candidate]]-SamplingData[[#This Row],[Candidate 4]])/(SamplingData[[#Totals],[Winning Candidate]]-SamplingData[[#Totals],[Candidate 4]]), 0)</f>
        <v>0</v>
      </c>
      <c r="T1000" s="99">
        <f>IF(AND(SamplingData[[#This Row],[Total]]&lt;&gt; 0, NOT(ISBLANK(SamplingData[[#This Row],[Candidate 5]]))),(SamplingData[[#This Row],[Total]]+SamplingData[[#This Row],[Winning Candidate]]-SamplingData[[#This Row],[Candidate 5]])/(SamplingData[[#Totals],[Winning Candidate]]-SamplingData[[#Totals],[Candidate 5]]), 0)</f>
        <v>0</v>
      </c>
      <c r="U1000" s="99">
        <f>IF(AND(SamplingData[[#This Row],[Total]]&lt;&gt; 0, NOT(ISBLANK(SamplingData[[#This Row],[Candidate 6]]))),(SamplingData[[#This Row],[Total]]+SamplingData[[#This Row],[Losing Candidate]]-SamplingData[[#This Row],[Candidate 6]])/(SamplingData[[#Totals],[Winning Candidate]]-SamplingData[[#Totals],[Candidate 6]]), 0)</f>
        <v>0</v>
      </c>
      <c r="V1000" s="99">
        <f>IF(AND(SamplingData[[#This Row],[Total]]&lt;&gt; 0, NOT(ISBLANK(SamplingData[[#This Row],[Candidate 7]]))),(SamplingData[[#This Row],[Total]]+SamplingData[[#This Row],[Winning Candidate]]-SamplingData[[#This Row],[Candidate 7]])/(SamplingData[[#Totals],[Winning Candidate]]-SamplingData[[#Totals],[Candidate 7]]), 0)</f>
        <v>0</v>
      </c>
      <c r="W1000" s="99">
        <f>IF(AND(SamplingData[[#This Row],[Total]]&lt;&gt; 0, NOT(ISBLANK(SamplingData[[#This Row],[Candidate 8]]))),(SamplingData[[#This Row],[Total]]+SamplingData[[#This Row],[Winning Candidate]]-SamplingData[[#This Row],[Candidate 8]])/(SamplingData[[#Totals],[Winning Candidate]]-SamplingData[[#Totals],[Candidate 8]]), 0)</f>
        <v>0</v>
      </c>
      <c r="X10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0" s="99">
        <f>MAX(SamplingData[[#This Row],[Error Bound (up) - Max. possible relative overstatement - Losing Candidate]:[Error Bound (up) - Max. possible relative overstatement - Candidate 12]])</f>
        <v>1.4768290612799185E-2</v>
      </c>
      <c r="AC1000" s="99">
        <f>IF(SamplingData[[#This Row],[Max Error Bound (up)]] = 0,0,SamplingData[[#This Row],[Max Error Bound (up)]]/SamplingData[[#Totals],[Max Error Bound (up)]])</f>
        <v>7.907078198276812E-4</v>
      </c>
      <c r="AD1000" s="103">
        <f>SUM($AC$5:AC1000)</f>
        <v>0.89383611444359878</v>
      </c>
      <c r="AE1000" s="99" t="str" cm="1">
        <f t="array" ref="AE1000">IF(SamplingData[[#This Row],[up/U Selection Probability]] = 0, "Zero", TEXT(SamplingData[[#This Row],[Lower Range]], REPT("0",LEN('General Info'!$B$42))) &amp; " - " &amp; TEXT(SamplingData[[#This Row],[Upper Range]], REPT("0",LEN('General Info'!$B$42))))</f>
        <v>893045 - 893835</v>
      </c>
      <c r="AF1000" s="99">
        <f>SamplingData[[#This Row],[Upper Range]]-SamplingData[[#This Row],[Span]]</f>
        <v>893045.40662377106</v>
      </c>
      <c r="AG1000" s="99">
        <f>IF(ISNUMBER('General Info'!$B$42), ((SamplingData[[#This Row],[up/U Selection Probability]]) * 'General Info'!$B$44) - 1, 0)</f>
        <v>789.70781982768119</v>
      </c>
      <c r="AH1000" s="99">
        <f>IF(ISNUMBER('General Info'!$B$42), (SamplingData[[#This Row],[Running (cumulative) sum]] * ('General Info'!$B$42 -'General Info'!$B$43 + 1)) + 'General Info'!$B$43 - 1, 0)</f>
        <v>893835.11444359878</v>
      </c>
      <c r="AI1000" s="99" t="str">
        <f>IF(ISERROR(MATCH(SamplingData[[#This Row],[Batch by Type (p)]],SelectedPrecincts[Batch Name], 0)), "", INDEX(SelectedPrecincts[Draw], MATCH(SamplingData[[#This Row],[Batch by Type (p)]],SelectedPrecincts[Batch Name], 0)))</f>
        <v/>
      </c>
      <c r="AJ1000" s="100">
        <f>IF(COUNTIF(SelectedPrecincts[Batch Name],SamplingData[[#This Row],[Batch by Type (p)]]) &lt;&gt; 0, COUNTIF(SelectedPrecincts[Batch Name],SamplingData[[#This Row],[Batch by Type (p)]]), 0)</f>
        <v>0</v>
      </c>
    </row>
    <row r="1001" spans="1:36" ht="15" customHeight="1" x14ac:dyDescent="0.35">
      <c r="A1001" s="97" t="s">
        <v>1214</v>
      </c>
      <c r="B1001" s="97">
        <v>105</v>
      </c>
      <c r="C1001" s="97">
        <v>314</v>
      </c>
      <c r="D1001" s="92"/>
      <c r="E1001" s="92"/>
      <c r="F1001" s="92"/>
      <c r="G1001" s="96"/>
      <c r="H1001" s="96"/>
      <c r="I1001" s="92"/>
      <c r="J1001" s="92"/>
      <c r="K1001" s="92"/>
      <c r="L1001" s="92"/>
      <c r="M1001" s="92"/>
      <c r="N1001" s="97">
        <v>0</v>
      </c>
      <c r="O1001" s="97">
        <v>24</v>
      </c>
      <c r="P1001" s="98">
        <f>SUM(SamplingData[[#This Row],[Winning Candidate]:[Under Votes]])</f>
        <v>443</v>
      </c>
      <c r="Q1001" s="99">
        <f>IF(AND(SamplingData[[#This Row],[Total]]&lt;&gt; 0, NOT(ISBLANK(SamplingData[[#This Row],[Losing Candidate]]))),(SamplingData[[#This Row],[Total]]+SamplingData[[#This Row],[Winning Candidate]]-SamplingData[[#This Row],[Losing Candidate]])/(SamplingData[[#Totals],[Winning Candidate]]-SamplingData[[#Totals],[Losing Candidate]]), 0)</f>
        <v>9.9304023086063484E-3</v>
      </c>
      <c r="R1001" s="99">
        <f>IF(AND(SamplingData[[#This Row],[Total]]&lt;&gt; 0, NOT(ISBLANK(SamplingData[[#This Row],[Candidate 3]]))),(SamplingData[[#This Row],[Total]]+SamplingData[[#This Row],[Winning Candidate]]-SamplingData[[#This Row],[Candidate 3]])/(SamplingData[[#Totals],[Winning Candidate]]-SamplingData[[#Totals],[Candidate 3]]), 0)</f>
        <v>0</v>
      </c>
      <c r="S1001" s="99">
        <f>IF(AND(SamplingData[[#This Row],[Total]]&lt;&gt; 0, NOT(ISBLANK(SamplingData[[#This Row],[Candidate 4]]))),(SamplingData[[#This Row],[Total]]+SamplingData[[#This Row],[Winning Candidate]]-SamplingData[[#This Row],[Candidate 4]])/(SamplingData[[#Totals],[Winning Candidate]]-SamplingData[[#Totals],[Candidate 4]]), 0)</f>
        <v>0</v>
      </c>
      <c r="T1001" s="99">
        <f>IF(AND(SamplingData[[#This Row],[Total]]&lt;&gt; 0, NOT(ISBLANK(SamplingData[[#This Row],[Candidate 5]]))),(SamplingData[[#This Row],[Total]]+SamplingData[[#This Row],[Winning Candidate]]-SamplingData[[#This Row],[Candidate 5]])/(SamplingData[[#Totals],[Winning Candidate]]-SamplingData[[#Totals],[Candidate 5]]), 0)</f>
        <v>0</v>
      </c>
      <c r="U1001" s="99">
        <f>IF(AND(SamplingData[[#This Row],[Total]]&lt;&gt; 0, NOT(ISBLANK(SamplingData[[#This Row],[Candidate 6]]))),(SamplingData[[#This Row],[Total]]+SamplingData[[#This Row],[Losing Candidate]]-SamplingData[[#This Row],[Candidate 6]])/(SamplingData[[#Totals],[Winning Candidate]]-SamplingData[[#Totals],[Candidate 6]]), 0)</f>
        <v>0</v>
      </c>
      <c r="V1001" s="99">
        <f>IF(AND(SamplingData[[#This Row],[Total]]&lt;&gt; 0, NOT(ISBLANK(SamplingData[[#This Row],[Candidate 7]]))),(SamplingData[[#This Row],[Total]]+SamplingData[[#This Row],[Winning Candidate]]-SamplingData[[#This Row],[Candidate 7]])/(SamplingData[[#Totals],[Winning Candidate]]-SamplingData[[#Totals],[Candidate 7]]), 0)</f>
        <v>0</v>
      </c>
      <c r="W1001" s="99">
        <f>IF(AND(SamplingData[[#This Row],[Total]]&lt;&gt; 0, NOT(ISBLANK(SamplingData[[#This Row],[Candidate 8]]))),(SamplingData[[#This Row],[Total]]+SamplingData[[#This Row],[Winning Candidate]]-SamplingData[[#This Row],[Candidate 8]])/(SamplingData[[#Totals],[Winning Candidate]]-SamplingData[[#Totals],[Candidate 8]]), 0)</f>
        <v>0</v>
      </c>
      <c r="X10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1" s="99">
        <f>MAX(SamplingData[[#This Row],[Error Bound (up) - Max. possible relative overstatement - Losing Candidate]:[Error Bound (up) - Max. possible relative overstatement - Candidate 12]])</f>
        <v>9.9304023086063484E-3</v>
      </c>
      <c r="AC1001" s="99">
        <f>IF(SamplingData[[#This Row],[Max Error Bound (up)]] = 0,0,SamplingData[[#This Row],[Max Error Bound (up)]]/SamplingData[[#Totals],[Max Error Bound (up)]])</f>
        <v>5.3168284436688913E-4</v>
      </c>
      <c r="AD1001" s="103">
        <f>SUM($AC$5:AC1001)</f>
        <v>0.89436779728796567</v>
      </c>
      <c r="AE1001" s="99" t="str" cm="1">
        <f t="array" ref="AE1001">IF(SamplingData[[#This Row],[up/U Selection Probability]] = 0, "Zero", TEXT(SamplingData[[#This Row],[Lower Range]], REPT("0",LEN('General Info'!$B$42))) &amp; " - " &amp; TEXT(SamplingData[[#This Row],[Upper Range]], REPT("0",LEN('General Info'!$B$42))))</f>
        <v>893836 - 894367</v>
      </c>
      <c r="AF1001" s="99">
        <f>SamplingData[[#This Row],[Upper Range]]-SamplingData[[#This Row],[Span]]</f>
        <v>893836.11444359878</v>
      </c>
      <c r="AG1001" s="99">
        <f>IF(ISNUMBER('General Info'!$B$42), ((SamplingData[[#This Row],[up/U Selection Probability]]) * 'General Info'!$B$44) - 1, 0)</f>
        <v>530.68284436688919</v>
      </c>
      <c r="AH1001" s="99">
        <f>IF(ISNUMBER('General Info'!$B$42), (SamplingData[[#This Row],[Running (cumulative) sum]] * ('General Info'!$B$42 -'General Info'!$B$43 + 1)) + 'General Info'!$B$43 - 1, 0)</f>
        <v>894366.79728796566</v>
      </c>
      <c r="AI1001" s="99" t="str">
        <f>IF(ISERROR(MATCH(SamplingData[[#This Row],[Batch by Type (p)]],SelectedPrecincts[Batch Name], 0)), "", INDEX(SelectedPrecincts[Draw], MATCH(SamplingData[[#This Row],[Batch by Type (p)]],SelectedPrecincts[Batch Name], 0)))</f>
        <v/>
      </c>
      <c r="AJ1001" s="100">
        <f>IF(COUNTIF(SelectedPrecincts[Batch Name],SamplingData[[#This Row],[Batch by Type (p)]]) &lt;&gt; 0, COUNTIF(SelectedPrecincts[Batch Name],SamplingData[[#This Row],[Batch by Type (p)]]), 0)</f>
        <v>0</v>
      </c>
    </row>
    <row r="1002" spans="1:36" ht="15" customHeight="1" x14ac:dyDescent="0.35">
      <c r="A1002" s="97" t="s">
        <v>1215</v>
      </c>
      <c r="B1002" s="97">
        <v>115</v>
      </c>
      <c r="C1002" s="97">
        <v>428</v>
      </c>
      <c r="D1002" s="92"/>
      <c r="E1002" s="92"/>
      <c r="F1002" s="92"/>
      <c r="G1002" s="96"/>
      <c r="H1002" s="96"/>
      <c r="I1002" s="92"/>
      <c r="J1002" s="92"/>
      <c r="K1002" s="92"/>
      <c r="L1002" s="92"/>
      <c r="M1002" s="92"/>
      <c r="N1002" s="97">
        <v>1</v>
      </c>
      <c r="O1002" s="97">
        <v>45</v>
      </c>
      <c r="P1002" s="98">
        <f>SUM(SamplingData[[#This Row],[Winning Candidate]:[Under Votes]])</f>
        <v>589</v>
      </c>
      <c r="Q1002" s="99">
        <f>IF(AND(SamplingData[[#This Row],[Total]]&lt;&gt; 0, NOT(ISBLANK(SamplingData[[#This Row],[Losing Candidate]]))),(SamplingData[[#This Row],[Total]]+SamplingData[[#This Row],[Winning Candidate]]-SamplingData[[#This Row],[Losing Candidate]])/(SamplingData[[#Totals],[Winning Candidate]]-SamplingData[[#Totals],[Losing Candidate]]), 0)</f>
        <v>1.1712782210151079E-2</v>
      </c>
      <c r="R1002" s="99">
        <f>IF(AND(SamplingData[[#This Row],[Total]]&lt;&gt; 0, NOT(ISBLANK(SamplingData[[#This Row],[Candidate 3]]))),(SamplingData[[#This Row],[Total]]+SamplingData[[#This Row],[Winning Candidate]]-SamplingData[[#This Row],[Candidate 3]])/(SamplingData[[#Totals],[Winning Candidate]]-SamplingData[[#Totals],[Candidate 3]]), 0)</f>
        <v>0</v>
      </c>
      <c r="S1002" s="99">
        <f>IF(AND(SamplingData[[#This Row],[Total]]&lt;&gt; 0, NOT(ISBLANK(SamplingData[[#This Row],[Candidate 4]]))),(SamplingData[[#This Row],[Total]]+SamplingData[[#This Row],[Winning Candidate]]-SamplingData[[#This Row],[Candidate 4]])/(SamplingData[[#Totals],[Winning Candidate]]-SamplingData[[#Totals],[Candidate 4]]), 0)</f>
        <v>0</v>
      </c>
      <c r="T1002" s="99">
        <f>IF(AND(SamplingData[[#This Row],[Total]]&lt;&gt; 0, NOT(ISBLANK(SamplingData[[#This Row],[Candidate 5]]))),(SamplingData[[#This Row],[Total]]+SamplingData[[#This Row],[Winning Candidate]]-SamplingData[[#This Row],[Candidate 5]])/(SamplingData[[#Totals],[Winning Candidate]]-SamplingData[[#Totals],[Candidate 5]]), 0)</f>
        <v>0</v>
      </c>
      <c r="U1002" s="99">
        <f>IF(AND(SamplingData[[#This Row],[Total]]&lt;&gt; 0, NOT(ISBLANK(SamplingData[[#This Row],[Candidate 6]]))),(SamplingData[[#This Row],[Total]]+SamplingData[[#This Row],[Losing Candidate]]-SamplingData[[#This Row],[Candidate 6]])/(SamplingData[[#Totals],[Winning Candidate]]-SamplingData[[#Totals],[Candidate 6]]), 0)</f>
        <v>0</v>
      </c>
      <c r="V1002" s="99">
        <f>IF(AND(SamplingData[[#This Row],[Total]]&lt;&gt; 0, NOT(ISBLANK(SamplingData[[#This Row],[Candidate 7]]))),(SamplingData[[#This Row],[Total]]+SamplingData[[#This Row],[Winning Candidate]]-SamplingData[[#This Row],[Candidate 7]])/(SamplingData[[#Totals],[Winning Candidate]]-SamplingData[[#Totals],[Candidate 7]]), 0)</f>
        <v>0</v>
      </c>
      <c r="W1002" s="99">
        <f>IF(AND(SamplingData[[#This Row],[Total]]&lt;&gt; 0, NOT(ISBLANK(SamplingData[[#This Row],[Candidate 8]]))),(SamplingData[[#This Row],[Total]]+SamplingData[[#This Row],[Winning Candidate]]-SamplingData[[#This Row],[Candidate 8]])/(SamplingData[[#Totals],[Winning Candidate]]-SamplingData[[#Totals],[Candidate 8]]), 0)</f>
        <v>0</v>
      </c>
      <c r="X10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2" s="99">
        <f>MAX(SamplingData[[#This Row],[Error Bound (up) - Max. possible relative overstatement - Losing Candidate]:[Error Bound (up) - Max. possible relative overstatement - Candidate 12]])</f>
        <v>1.1712782210151079E-2</v>
      </c>
      <c r="AC1002" s="99">
        <f>IF(SamplingData[[#This Row],[Max Error Bound (up)]] = 0,0,SamplingData[[#This Row],[Max Error Bound (up)]]/SamplingData[[#Totals],[Max Error Bound (up)]])</f>
        <v>6.2711309848402313E-4</v>
      </c>
      <c r="AD1002" s="103">
        <f>SUM($AC$5:AC1002)</f>
        <v>0.89499491038644974</v>
      </c>
      <c r="AE1002" s="99" t="str" cm="1">
        <f t="array" ref="AE1002">IF(SamplingData[[#This Row],[up/U Selection Probability]] = 0, "Zero", TEXT(SamplingData[[#This Row],[Lower Range]], REPT("0",LEN('General Info'!$B$42))) &amp; " - " &amp; TEXT(SamplingData[[#This Row],[Upper Range]], REPT("0",LEN('General Info'!$B$42))))</f>
        <v>894368 - 894994</v>
      </c>
      <c r="AF1002" s="99">
        <f>SamplingData[[#This Row],[Upper Range]]-SamplingData[[#This Row],[Span]]</f>
        <v>894367.79728796578</v>
      </c>
      <c r="AG1002" s="99">
        <f>IF(ISNUMBER('General Info'!$B$42), ((SamplingData[[#This Row],[up/U Selection Probability]]) * 'General Info'!$B$44) - 1, 0)</f>
        <v>626.11309848402311</v>
      </c>
      <c r="AH1002" s="99">
        <f>IF(ISNUMBER('General Info'!$B$42), (SamplingData[[#This Row],[Running (cumulative) sum]] * ('General Info'!$B$42 -'General Info'!$B$43 + 1)) + 'General Info'!$B$43 - 1, 0)</f>
        <v>894993.91038644977</v>
      </c>
      <c r="AI1002" s="99" t="str">
        <f>IF(ISERROR(MATCH(SamplingData[[#This Row],[Batch by Type (p)]],SelectedPrecincts[Batch Name], 0)), "", INDEX(SelectedPrecincts[Draw], MATCH(SamplingData[[#This Row],[Batch by Type (p)]],SelectedPrecincts[Batch Name], 0)))</f>
        <v/>
      </c>
      <c r="AJ1002" s="100">
        <f>IF(COUNTIF(SelectedPrecincts[Batch Name],SamplingData[[#This Row],[Batch by Type (p)]]) &lt;&gt; 0, COUNTIF(SelectedPrecincts[Batch Name],SamplingData[[#This Row],[Batch by Type (p)]]), 0)</f>
        <v>0</v>
      </c>
    </row>
    <row r="1003" spans="1:36" ht="15" customHeight="1" x14ac:dyDescent="0.35">
      <c r="A1003" s="97" t="s">
        <v>1216</v>
      </c>
      <c r="B1003" s="97">
        <v>160</v>
      </c>
      <c r="C1003" s="97">
        <v>451</v>
      </c>
      <c r="D1003" s="92"/>
      <c r="E1003" s="92"/>
      <c r="F1003" s="92"/>
      <c r="G1003" s="96"/>
      <c r="H1003" s="96"/>
      <c r="I1003" s="92"/>
      <c r="J1003" s="92"/>
      <c r="K1003" s="92"/>
      <c r="L1003" s="92"/>
      <c r="M1003" s="92"/>
      <c r="N1003" s="97">
        <v>0</v>
      </c>
      <c r="O1003" s="97">
        <v>51</v>
      </c>
      <c r="P1003" s="98">
        <f>SUM(SamplingData[[#This Row],[Winning Candidate]:[Under Votes]])</f>
        <v>662</v>
      </c>
      <c r="Q1003" s="99">
        <f>IF(AND(SamplingData[[#This Row],[Total]]&lt;&gt; 0, NOT(ISBLANK(SamplingData[[#This Row],[Losing Candidate]]))),(SamplingData[[#This Row],[Total]]+SamplingData[[#This Row],[Winning Candidate]]-SamplingData[[#This Row],[Losing Candidate]])/(SamplingData[[#Totals],[Winning Candidate]]-SamplingData[[#Totals],[Losing Candidate]]), 0)</f>
        <v>1.5744355796978443E-2</v>
      </c>
      <c r="R1003" s="99">
        <f>IF(AND(SamplingData[[#This Row],[Total]]&lt;&gt; 0, NOT(ISBLANK(SamplingData[[#This Row],[Candidate 3]]))),(SamplingData[[#This Row],[Total]]+SamplingData[[#This Row],[Winning Candidate]]-SamplingData[[#This Row],[Candidate 3]])/(SamplingData[[#Totals],[Winning Candidate]]-SamplingData[[#Totals],[Candidate 3]]), 0)</f>
        <v>0</v>
      </c>
      <c r="S1003" s="99">
        <f>IF(AND(SamplingData[[#This Row],[Total]]&lt;&gt; 0, NOT(ISBLANK(SamplingData[[#This Row],[Candidate 4]]))),(SamplingData[[#This Row],[Total]]+SamplingData[[#This Row],[Winning Candidate]]-SamplingData[[#This Row],[Candidate 4]])/(SamplingData[[#Totals],[Winning Candidate]]-SamplingData[[#Totals],[Candidate 4]]), 0)</f>
        <v>0</v>
      </c>
      <c r="T1003" s="99">
        <f>IF(AND(SamplingData[[#This Row],[Total]]&lt;&gt; 0, NOT(ISBLANK(SamplingData[[#This Row],[Candidate 5]]))),(SamplingData[[#This Row],[Total]]+SamplingData[[#This Row],[Winning Candidate]]-SamplingData[[#This Row],[Candidate 5]])/(SamplingData[[#Totals],[Winning Candidate]]-SamplingData[[#Totals],[Candidate 5]]), 0)</f>
        <v>0</v>
      </c>
      <c r="U1003" s="99">
        <f>IF(AND(SamplingData[[#This Row],[Total]]&lt;&gt; 0, NOT(ISBLANK(SamplingData[[#This Row],[Candidate 6]]))),(SamplingData[[#This Row],[Total]]+SamplingData[[#This Row],[Losing Candidate]]-SamplingData[[#This Row],[Candidate 6]])/(SamplingData[[#Totals],[Winning Candidate]]-SamplingData[[#Totals],[Candidate 6]]), 0)</f>
        <v>0</v>
      </c>
      <c r="V1003" s="99">
        <f>IF(AND(SamplingData[[#This Row],[Total]]&lt;&gt; 0, NOT(ISBLANK(SamplingData[[#This Row],[Candidate 7]]))),(SamplingData[[#This Row],[Total]]+SamplingData[[#This Row],[Winning Candidate]]-SamplingData[[#This Row],[Candidate 7]])/(SamplingData[[#Totals],[Winning Candidate]]-SamplingData[[#Totals],[Candidate 7]]), 0)</f>
        <v>0</v>
      </c>
      <c r="W1003" s="99">
        <f>IF(AND(SamplingData[[#This Row],[Total]]&lt;&gt; 0, NOT(ISBLANK(SamplingData[[#This Row],[Candidate 8]]))),(SamplingData[[#This Row],[Total]]+SamplingData[[#This Row],[Winning Candidate]]-SamplingData[[#This Row],[Candidate 8]])/(SamplingData[[#Totals],[Winning Candidate]]-SamplingData[[#Totals],[Candidate 8]]), 0)</f>
        <v>0</v>
      </c>
      <c r="X10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3" s="99">
        <f>MAX(SamplingData[[#This Row],[Error Bound (up) - Max. possible relative overstatement - Losing Candidate]:[Error Bound (up) - Max. possible relative overstatement - Candidate 12]])</f>
        <v>1.5744355796978443E-2</v>
      </c>
      <c r="AC1003" s="99">
        <f>IF(SamplingData[[#This Row],[Max Error Bound (up)]] = 0,0,SamplingData[[#This Row],[Max Error Bound (up)]]/SamplingData[[#Totals],[Max Error Bound (up)]])</f>
        <v>8.4296724470134992E-4</v>
      </c>
      <c r="AD1003" s="103">
        <f>SUM($AC$5:AC1003)</f>
        <v>0.89583787763115108</v>
      </c>
      <c r="AE1003" s="99" t="str" cm="1">
        <f t="array" ref="AE1003">IF(SamplingData[[#This Row],[up/U Selection Probability]] = 0, "Zero", TEXT(SamplingData[[#This Row],[Lower Range]], REPT("0",LEN('General Info'!$B$42))) &amp; " - " &amp; TEXT(SamplingData[[#This Row],[Upper Range]], REPT("0",LEN('General Info'!$B$42))))</f>
        <v>894995 - 895837</v>
      </c>
      <c r="AF1003" s="99">
        <f>SamplingData[[#This Row],[Upper Range]]-SamplingData[[#This Row],[Span]]</f>
        <v>894994.91038644977</v>
      </c>
      <c r="AG1003" s="99">
        <f>IF(ISNUMBER('General Info'!$B$42), ((SamplingData[[#This Row],[up/U Selection Probability]]) * 'General Info'!$B$44) - 1, 0)</f>
        <v>841.96724470134995</v>
      </c>
      <c r="AH1003" s="99">
        <f>IF(ISNUMBER('General Info'!$B$42), (SamplingData[[#This Row],[Running (cumulative) sum]] * ('General Info'!$B$42 -'General Info'!$B$43 + 1)) + 'General Info'!$B$43 - 1, 0)</f>
        <v>895836.87763115112</v>
      </c>
      <c r="AI1003" s="99" t="str">
        <f>IF(ISERROR(MATCH(SamplingData[[#This Row],[Batch by Type (p)]],SelectedPrecincts[Batch Name], 0)), "", INDEX(SelectedPrecincts[Draw], MATCH(SamplingData[[#This Row],[Batch by Type (p)]],SelectedPrecincts[Batch Name], 0)))</f>
        <v/>
      </c>
      <c r="AJ1003" s="100">
        <f>IF(COUNTIF(SelectedPrecincts[Batch Name],SamplingData[[#This Row],[Batch by Type (p)]]) &lt;&gt; 0, COUNTIF(SelectedPrecincts[Batch Name],SamplingData[[#This Row],[Batch by Type (p)]]), 0)</f>
        <v>0</v>
      </c>
    </row>
    <row r="1004" spans="1:36" ht="15" customHeight="1" x14ac:dyDescent="0.35">
      <c r="A1004" s="97" t="s">
        <v>1217</v>
      </c>
      <c r="B1004" s="97">
        <v>60</v>
      </c>
      <c r="C1004" s="97">
        <v>302</v>
      </c>
      <c r="D1004" s="92"/>
      <c r="E1004" s="92"/>
      <c r="F1004" s="92"/>
      <c r="G1004" s="96"/>
      <c r="H1004" s="96"/>
      <c r="I1004" s="92"/>
      <c r="J1004" s="92"/>
      <c r="K1004" s="92"/>
      <c r="L1004" s="92"/>
      <c r="M1004" s="92"/>
      <c r="N1004" s="97">
        <v>1</v>
      </c>
      <c r="O1004" s="97">
        <v>31</v>
      </c>
      <c r="P1004" s="98">
        <f>SUM(SamplingData[[#This Row],[Winning Candidate]:[Under Votes]])</f>
        <v>394</v>
      </c>
      <c r="Q1004" s="99">
        <f>IF(AND(SamplingData[[#This Row],[Total]]&lt;&gt; 0, NOT(ISBLANK(SamplingData[[#This Row],[Losing Candidate]]))),(SamplingData[[#This Row],[Total]]+SamplingData[[#This Row],[Winning Candidate]]-SamplingData[[#This Row],[Losing Candidate]])/(SamplingData[[#Totals],[Winning Candidate]]-SamplingData[[#Totals],[Losing Candidate]]), 0)</f>
        <v>6.4505177389237818E-3</v>
      </c>
      <c r="R1004" s="99">
        <f>IF(AND(SamplingData[[#This Row],[Total]]&lt;&gt; 0, NOT(ISBLANK(SamplingData[[#This Row],[Candidate 3]]))),(SamplingData[[#This Row],[Total]]+SamplingData[[#This Row],[Winning Candidate]]-SamplingData[[#This Row],[Candidate 3]])/(SamplingData[[#Totals],[Winning Candidate]]-SamplingData[[#Totals],[Candidate 3]]), 0)</f>
        <v>0</v>
      </c>
      <c r="S1004" s="99">
        <f>IF(AND(SamplingData[[#This Row],[Total]]&lt;&gt; 0, NOT(ISBLANK(SamplingData[[#This Row],[Candidate 4]]))),(SamplingData[[#This Row],[Total]]+SamplingData[[#This Row],[Winning Candidate]]-SamplingData[[#This Row],[Candidate 4]])/(SamplingData[[#Totals],[Winning Candidate]]-SamplingData[[#Totals],[Candidate 4]]), 0)</f>
        <v>0</v>
      </c>
      <c r="T1004" s="99">
        <f>IF(AND(SamplingData[[#This Row],[Total]]&lt;&gt; 0, NOT(ISBLANK(SamplingData[[#This Row],[Candidate 5]]))),(SamplingData[[#This Row],[Total]]+SamplingData[[#This Row],[Winning Candidate]]-SamplingData[[#This Row],[Candidate 5]])/(SamplingData[[#Totals],[Winning Candidate]]-SamplingData[[#Totals],[Candidate 5]]), 0)</f>
        <v>0</v>
      </c>
      <c r="U1004" s="99">
        <f>IF(AND(SamplingData[[#This Row],[Total]]&lt;&gt; 0, NOT(ISBLANK(SamplingData[[#This Row],[Candidate 6]]))),(SamplingData[[#This Row],[Total]]+SamplingData[[#This Row],[Losing Candidate]]-SamplingData[[#This Row],[Candidate 6]])/(SamplingData[[#Totals],[Winning Candidate]]-SamplingData[[#Totals],[Candidate 6]]), 0)</f>
        <v>0</v>
      </c>
      <c r="V1004" s="99">
        <f>IF(AND(SamplingData[[#This Row],[Total]]&lt;&gt; 0, NOT(ISBLANK(SamplingData[[#This Row],[Candidate 7]]))),(SamplingData[[#This Row],[Total]]+SamplingData[[#This Row],[Winning Candidate]]-SamplingData[[#This Row],[Candidate 7]])/(SamplingData[[#Totals],[Winning Candidate]]-SamplingData[[#Totals],[Candidate 7]]), 0)</f>
        <v>0</v>
      </c>
      <c r="W1004" s="99">
        <f>IF(AND(SamplingData[[#This Row],[Total]]&lt;&gt; 0, NOT(ISBLANK(SamplingData[[#This Row],[Candidate 8]]))),(SamplingData[[#This Row],[Total]]+SamplingData[[#This Row],[Winning Candidate]]-SamplingData[[#This Row],[Candidate 8]])/(SamplingData[[#Totals],[Winning Candidate]]-SamplingData[[#Totals],[Candidate 8]]), 0)</f>
        <v>0</v>
      </c>
      <c r="X10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4" s="99">
        <f>MAX(SamplingData[[#This Row],[Error Bound (up) - Max. possible relative overstatement - Losing Candidate]:[Error Bound (up) - Max. possible relative overstatement - Candidate 12]])</f>
        <v>6.4505177389237818E-3</v>
      </c>
      <c r="AC1004" s="99">
        <f>IF(SamplingData[[#This Row],[Max Error Bound (up)]] = 0,0,SamplingData[[#This Row],[Max Error Bound (up)]]/SamplingData[[#Totals],[Max Error Bound (up)]])</f>
        <v>3.4536663394772282E-4</v>
      </c>
      <c r="AD1004" s="103">
        <f>SUM($AC$5:AC1004)</f>
        <v>0.89618324426509877</v>
      </c>
      <c r="AE1004" s="99" t="str" cm="1">
        <f t="array" ref="AE1004">IF(SamplingData[[#This Row],[up/U Selection Probability]] = 0, "Zero", TEXT(SamplingData[[#This Row],[Lower Range]], REPT("0",LEN('General Info'!$B$42))) &amp; " - " &amp; TEXT(SamplingData[[#This Row],[Upper Range]], REPT("0",LEN('General Info'!$B$42))))</f>
        <v>895838 - 896182</v>
      </c>
      <c r="AF1004" s="99">
        <f>SamplingData[[#This Row],[Upper Range]]-SamplingData[[#This Row],[Span]]</f>
        <v>895837.87763115112</v>
      </c>
      <c r="AG1004" s="99">
        <f>IF(ISNUMBER('General Info'!$B$42), ((SamplingData[[#This Row],[up/U Selection Probability]]) * 'General Info'!$B$44) - 1, 0)</f>
        <v>344.36663394772285</v>
      </c>
      <c r="AH1004" s="99">
        <f>IF(ISNUMBER('General Info'!$B$42), (SamplingData[[#This Row],[Running (cumulative) sum]] * ('General Info'!$B$42 -'General Info'!$B$43 + 1)) + 'General Info'!$B$43 - 1, 0)</f>
        <v>896182.24426509882</v>
      </c>
      <c r="AI1004" s="99" t="str">
        <f>IF(ISERROR(MATCH(SamplingData[[#This Row],[Batch by Type (p)]],SelectedPrecincts[Batch Name], 0)), "", INDEX(SelectedPrecincts[Draw], MATCH(SamplingData[[#This Row],[Batch by Type (p)]],SelectedPrecincts[Batch Name], 0)))</f>
        <v/>
      </c>
      <c r="AJ1004" s="100">
        <f>IF(COUNTIF(SelectedPrecincts[Batch Name],SamplingData[[#This Row],[Batch by Type (p)]]) &lt;&gt; 0, COUNTIF(SelectedPrecincts[Batch Name],SamplingData[[#This Row],[Batch by Type (p)]]), 0)</f>
        <v>0</v>
      </c>
    </row>
    <row r="1005" spans="1:36" ht="15" customHeight="1" x14ac:dyDescent="0.35">
      <c r="A1005" s="97" t="s">
        <v>1218</v>
      </c>
      <c r="B1005" s="97">
        <v>175</v>
      </c>
      <c r="C1005" s="97">
        <v>506</v>
      </c>
      <c r="D1005" s="92"/>
      <c r="E1005" s="92"/>
      <c r="F1005" s="92"/>
      <c r="G1005" s="96"/>
      <c r="H1005" s="96"/>
      <c r="I1005" s="92"/>
      <c r="J1005" s="92"/>
      <c r="K1005" s="92"/>
      <c r="L1005" s="92"/>
      <c r="M1005" s="92"/>
      <c r="N1005" s="97">
        <v>0</v>
      </c>
      <c r="O1005" s="97">
        <v>64</v>
      </c>
      <c r="P1005" s="98">
        <f>SUM(SamplingData[[#This Row],[Winning Candidate]:[Under Votes]])</f>
        <v>745</v>
      </c>
      <c r="Q1005" s="99">
        <f>IF(AND(SamplingData[[#This Row],[Total]]&lt;&gt; 0, NOT(ISBLANK(SamplingData[[#This Row],[Losing Candidate]]))),(SamplingData[[#This Row],[Total]]+SamplingData[[#This Row],[Winning Candidate]]-SamplingData[[#This Row],[Losing Candidate]])/(SamplingData[[#Totals],[Winning Candidate]]-SamplingData[[#Totals],[Losing Candidate]]), 0)</f>
        <v>1.7569173315226616E-2</v>
      </c>
      <c r="R1005" s="99">
        <f>IF(AND(SamplingData[[#This Row],[Total]]&lt;&gt; 0, NOT(ISBLANK(SamplingData[[#This Row],[Candidate 3]]))),(SamplingData[[#This Row],[Total]]+SamplingData[[#This Row],[Winning Candidate]]-SamplingData[[#This Row],[Candidate 3]])/(SamplingData[[#Totals],[Winning Candidate]]-SamplingData[[#Totals],[Candidate 3]]), 0)</f>
        <v>0</v>
      </c>
      <c r="S1005" s="99">
        <f>IF(AND(SamplingData[[#This Row],[Total]]&lt;&gt; 0, NOT(ISBLANK(SamplingData[[#This Row],[Candidate 4]]))),(SamplingData[[#This Row],[Total]]+SamplingData[[#This Row],[Winning Candidate]]-SamplingData[[#This Row],[Candidate 4]])/(SamplingData[[#Totals],[Winning Candidate]]-SamplingData[[#Totals],[Candidate 4]]), 0)</f>
        <v>0</v>
      </c>
      <c r="T1005" s="99">
        <f>IF(AND(SamplingData[[#This Row],[Total]]&lt;&gt; 0, NOT(ISBLANK(SamplingData[[#This Row],[Candidate 5]]))),(SamplingData[[#This Row],[Total]]+SamplingData[[#This Row],[Winning Candidate]]-SamplingData[[#This Row],[Candidate 5]])/(SamplingData[[#Totals],[Winning Candidate]]-SamplingData[[#Totals],[Candidate 5]]), 0)</f>
        <v>0</v>
      </c>
      <c r="U1005" s="99">
        <f>IF(AND(SamplingData[[#This Row],[Total]]&lt;&gt; 0, NOT(ISBLANK(SamplingData[[#This Row],[Candidate 6]]))),(SamplingData[[#This Row],[Total]]+SamplingData[[#This Row],[Losing Candidate]]-SamplingData[[#This Row],[Candidate 6]])/(SamplingData[[#Totals],[Winning Candidate]]-SamplingData[[#Totals],[Candidate 6]]), 0)</f>
        <v>0</v>
      </c>
      <c r="V1005" s="99">
        <f>IF(AND(SamplingData[[#This Row],[Total]]&lt;&gt; 0, NOT(ISBLANK(SamplingData[[#This Row],[Candidate 7]]))),(SamplingData[[#This Row],[Total]]+SamplingData[[#This Row],[Winning Candidate]]-SamplingData[[#This Row],[Candidate 7]])/(SamplingData[[#Totals],[Winning Candidate]]-SamplingData[[#Totals],[Candidate 7]]), 0)</f>
        <v>0</v>
      </c>
      <c r="W1005" s="99">
        <f>IF(AND(SamplingData[[#This Row],[Total]]&lt;&gt; 0, NOT(ISBLANK(SamplingData[[#This Row],[Candidate 8]]))),(SamplingData[[#This Row],[Total]]+SamplingData[[#This Row],[Winning Candidate]]-SamplingData[[#This Row],[Candidate 8]])/(SamplingData[[#Totals],[Winning Candidate]]-SamplingData[[#Totals],[Candidate 8]]), 0)</f>
        <v>0</v>
      </c>
      <c r="X10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5" s="99">
        <f>MAX(SamplingData[[#This Row],[Error Bound (up) - Max. possible relative overstatement - Losing Candidate]:[Error Bound (up) - Max. possible relative overstatement - Candidate 12]])</f>
        <v>1.7569173315226616E-2</v>
      </c>
      <c r="AC1005" s="99">
        <f>IF(SamplingData[[#This Row],[Max Error Bound (up)]] = 0,0,SamplingData[[#This Row],[Max Error Bound (up)]]/SamplingData[[#Totals],[Max Error Bound (up)]])</f>
        <v>9.4066964772603458E-4</v>
      </c>
      <c r="AD1005" s="103">
        <f>SUM($AC$5:AC1005)</f>
        <v>0.89712391391282476</v>
      </c>
      <c r="AE1005" s="99" t="str" cm="1">
        <f t="array" ref="AE1005">IF(SamplingData[[#This Row],[up/U Selection Probability]] = 0, "Zero", TEXT(SamplingData[[#This Row],[Lower Range]], REPT("0",LEN('General Info'!$B$42))) &amp; " - " &amp; TEXT(SamplingData[[#This Row],[Upper Range]], REPT("0",LEN('General Info'!$B$42))))</f>
        <v>896183 - 897123</v>
      </c>
      <c r="AF1005" s="99">
        <f>SamplingData[[#This Row],[Upper Range]]-SamplingData[[#This Row],[Span]]</f>
        <v>896183.24426509871</v>
      </c>
      <c r="AG1005" s="99">
        <f>IF(ISNUMBER('General Info'!$B$42), ((SamplingData[[#This Row],[up/U Selection Probability]]) * 'General Info'!$B$44) - 1, 0)</f>
        <v>939.66964772603455</v>
      </c>
      <c r="AH1005" s="99">
        <f>IF(ISNUMBER('General Info'!$B$42), (SamplingData[[#This Row],[Running (cumulative) sum]] * ('General Info'!$B$42 -'General Info'!$B$43 + 1)) + 'General Info'!$B$43 - 1, 0)</f>
        <v>897122.9139128247</v>
      </c>
      <c r="AI1005" s="99" t="str">
        <f>IF(ISERROR(MATCH(SamplingData[[#This Row],[Batch by Type (p)]],SelectedPrecincts[Batch Name], 0)), "", INDEX(SelectedPrecincts[Draw], MATCH(SamplingData[[#This Row],[Batch by Type (p)]],SelectedPrecincts[Batch Name], 0)))</f>
        <v/>
      </c>
      <c r="AJ1005" s="100">
        <f>IF(COUNTIF(SelectedPrecincts[Batch Name],SamplingData[[#This Row],[Batch by Type (p)]]) &lt;&gt; 0, COUNTIF(SelectedPrecincts[Batch Name],SamplingData[[#This Row],[Batch by Type (p)]]), 0)</f>
        <v>0</v>
      </c>
    </row>
    <row r="1006" spans="1:36" ht="15" customHeight="1" x14ac:dyDescent="0.35">
      <c r="A1006" s="97" t="s">
        <v>1219</v>
      </c>
      <c r="B1006" s="97">
        <v>229</v>
      </c>
      <c r="C1006" s="97">
        <v>369</v>
      </c>
      <c r="D1006" s="92"/>
      <c r="E1006" s="92"/>
      <c r="F1006" s="92"/>
      <c r="G1006" s="96"/>
      <c r="H1006" s="96"/>
      <c r="I1006" s="92"/>
      <c r="J1006" s="92"/>
      <c r="K1006" s="92"/>
      <c r="L1006" s="92"/>
      <c r="M1006" s="92"/>
      <c r="N1006" s="97">
        <v>0</v>
      </c>
      <c r="O1006" s="97">
        <v>62</v>
      </c>
      <c r="P1006" s="98">
        <f>SUM(SamplingData[[#This Row],[Winning Candidate]:[Under Votes]])</f>
        <v>660</v>
      </c>
      <c r="Q1006" s="99">
        <f>IF(AND(SamplingData[[#This Row],[Total]]&lt;&gt; 0, NOT(ISBLANK(SamplingData[[#This Row],[Losing Candidate]]))),(SamplingData[[#This Row],[Total]]+SamplingData[[#This Row],[Winning Candidate]]-SamplingData[[#This Row],[Losing Candidate]])/(SamplingData[[#Totals],[Winning Candidate]]-SamplingData[[#Totals],[Losing Candidate]]), 0)</f>
        <v>2.2067560685791885E-2</v>
      </c>
      <c r="R1006" s="99">
        <f>IF(AND(SamplingData[[#This Row],[Total]]&lt;&gt; 0, NOT(ISBLANK(SamplingData[[#This Row],[Candidate 3]]))),(SamplingData[[#This Row],[Total]]+SamplingData[[#This Row],[Winning Candidate]]-SamplingData[[#This Row],[Candidate 3]])/(SamplingData[[#Totals],[Winning Candidate]]-SamplingData[[#Totals],[Candidate 3]]), 0)</f>
        <v>0</v>
      </c>
      <c r="S1006" s="99">
        <f>IF(AND(SamplingData[[#This Row],[Total]]&lt;&gt; 0, NOT(ISBLANK(SamplingData[[#This Row],[Candidate 4]]))),(SamplingData[[#This Row],[Total]]+SamplingData[[#This Row],[Winning Candidate]]-SamplingData[[#This Row],[Candidate 4]])/(SamplingData[[#Totals],[Winning Candidate]]-SamplingData[[#Totals],[Candidate 4]]), 0)</f>
        <v>0</v>
      </c>
      <c r="T1006" s="99">
        <f>IF(AND(SamplingData[[#This Row],[Total]]&lt;&gt; 0, NOT(ISBLANK(SamplingData[[#This Row],[Candidate 5]]))),(SamplingData[[#This Row],[Total]]+SamplingData[[#This Row],[Winning Candidate]]-SamplingData[[#This Row],[Candidate 5]])/(SamplingData[[#Totals],[Winning Candidate]]-SamplingData[[#Totals],[Candidate 5]]), 0)</f>
        <v>0</v>
      </c>
      <c r="U1006" s="99">
        <f>IF(AND(SamplingData[[#This Row],[Total]]&lt;&gt; 0, NOT(ISBLANK(SamplingData[[#This Row],[Candidate 6]]))),(SamplingData[[#This Row],[Total]]+SamplingData[[#This Row],[Losing Candidate]]-SamplingData[[#This Row],[Candidate 6]])/(SamplingData[[#Totals],[Winning Candidate]]-SamplingData[[#Totals],[Candidate 6]]), 0)</f>
        <v>0</v>
      </c>
      <c r="V1006" s="99">
        <f>IF(AND(SamplingData[[#This Row],[Total]]&lt;&gt; 0, NOT(ISBLANK(SamplingData[[#This Row],[Candidate 7]]))),(SamplingData[[#This Row],[Total]]+SamplingData[[#This Row],[Winning Candidate]]-SamplingData[[#This Row],[Candidate 7]])/(SamplingData[[#Totals],[Winning Candidate]]-SamplingData[[#Totals],[Candidate 7]]), 0)</f>
        <v>0</v>
      </c>
      <c r="W1006" s="99">
        <f>IF(AND(SamplingData[[#This Row],[Total]]&lt;&gt; 0, NOT(ISBLANK(SamplingData[[#This Row],[Candidate 8]]))),(SamplingData[[#This Row],[Total]]+SamplingData[[#This Row],[Winning Candidate]]-SamplingData[[#This Row],[Candidate 8]])/(SamplingData[[#Totals],[Winning Candidate]]-SamplingData[[#Totals],[Candidate 8]]), 0)</f>
        <v>0</v>
      </c>
      <c r="X10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6" s="99">
        <f>MAX(SamplingData[[#This Row],[Error Bound (up) - Max. possible relative overstatement - Losing Candidate]:[Error Bound (up) - Max. possible relative overstatement - Candidate 12]])</f>
        <v>2.2067560685791885E-2</v>
      </c>
      <c r="AC1006" s="99">
        <f>IF(SamplingData[[#This Row],[Max Error Bound (up)]] = 0,0,SamplingData[[#This Row],[Max Error Bound (up)]]/SamplingData[[#Totals],[Max Error Bound (up)]])</f>
        <v>1.1815174319264202E-3</v>
      </c>
      <c r="AD1006" s="103">
        <f>SUM($AC$5:AC1006)</f>
        <v>0.89830543134475116</v>
      </c>
      <c r="AE1006" s="99" t="str" cm="1">
        <f t="array" ref="AE1006">IF(SamplingData[[#This Row],[up/U Selection Probability]] = 0, "Zero", TEXT(SamplingData[[#This Row],[Lower Range]], REPT("0",LEN('General Info'!$B$42))) &amp; " - " &amp; TEXT(SamplingData[[#This Row],[Upper Range]], REPT("0",LEN('General Info'!$B$42))))</f>
        <v>897124 - 898304</v>
      </c>
      <c r="AF1006" s="99">
        <f>SamplingData[[#This Row],[Upper Range]]-SamplingData[[#This Row],[Span]]</f>
        <v>897123.9139128247</v>
      </c>
      <c r="AG1006" s="99">
        <f>IF(ISNUMBER('General Info'!$B$42), ((SamplingData[[#This Row],[up/U Selection Probability]]) * 'General Info'!$B$44) - 1, 0)</f>
        <v>1180.5174319264202</v>
      </c>
      <c r="AH1006" s="99">
        <f>IF(ISNUMBER('General Info'!$B$42), (SamplingData[[#This Row],[Running (cumulative) sum]] * ('General Info'!$B$42 -'General Info'!$B$43 + 1)) + 'General Info'!$B$43 - 1, 0)</f>
        <v>898304.43134475115</v>
      </c>
      <c r="AI1006" s="99" t="str">
        <f>IF(ISERROR(MATCH(SamplingData[[#This Row],[Batch by Type (p)]],SelectedPrecincts[Batch Name], 0)), "", INDEX(SelectedPrecincts[Draw], MATCH(SamplingData[[#This Row],[Batch by Type (p)]],SelectedPrecincts[Batch Name], 0)))</f>
        <v/>
      </c>
      <c r="AJ1006" s="100">
        <f>IF(COUNTIF(SelectedPrecincts[Batch Name],SamplingData[[#This Row],[Batch by Type (p)]]) &lt;&gt; 0, COUNTIF(SelectedPrecincts[Batch Name],SamplingData[[#This Row],[Batch by Type (p)]]), 0)</f>
        <v>0</v>
      </c>
    </row>
    <row r="1007" spans="1:36" ht="15" customHeight="1" x14ac:dyDescent="0.35">
      <c r="A1007" s="97" t="s">
        <v>1220</v>
      </c>
      <c r="B1007" s="97">
        <v>85</v>
      </c>
      <c r="C1007" s="97">
        <v>409</v>
      </c>
      <c r="D1007" s="92"/>
      <c r="E1007" s="92"/>
      <c r="F1007" s="92"/>
      <c r="G1007" s="96"/>
      <c r="H1007" s="96"/>
      <c r="I1007" s="92"/>
      <c r="J1007" s="92"/>
      <c r="K1007" s="92"/>
      <c r="L1007" s="92"/>
      <c r="M1007" s="92"/>
      <c r="N1007" s="97">
        <v>0</v>
      </c>
      <c r="O1007" s="97">
        <v>51</v>
      </c>
      <c r="P1007" s="98">
        <f>SUM(SamplingData[[#This Row],[Winning Candidate]:[Under Votes]])</f>
        <v>545</v>
      </c>
      <c r="Q1007" s="99">
        <f>IF(AND(SamplingData[[#This Row],[Total]]&lt;&gt; 0, NOT(ISBLANK(SamplingData[[#This Row],[Losing Candidate]]))),(SamplingData[[#This Row],[Total]]+SamplingData[[#This Row],[Winning Candidate]]-SamplingData[[#This Row],[Losing Candidate]])/(SamplingData[[#Totals],[Winning Candidate]]-SamplingData[[#Totals],[Losing Candidate]]), 0)</f>
        <v>9.3787132914615514E-3</v>
      </c>
      <c r="R1007" s="99">
        <f>IF(AND(SamplingData[[#This Row],[Total]]&lt;&gt; 0, NOT(ISBLANK(SamplingData[[#This Row],[Candidate 3]]))),(SamplingData[[#This Row],[Total]]+SamplingData[[#This Row],[Winning Candidate]]-SamplingData[[#This Row],[Candidate 3]])/(SamplingData[[#Totals],[Winning Candidate]]-SamplingData[[#Totals],[Candidate 3]]), 0)</f>
        <v>0</v>
      </c>
      <c r="S1007" s="99">
        <f>IF(AND(SamplingData[[#This Row],[Total]]&lt;&gt; 0, NOT(ISBLANK(SamplingData[[#This Row],[Candidate 4]]))),(SamplingData[[#This Row],[Total]]+SamplingData[[#This Row],[Winning Candidate]]-SamplingData[[#This Row],[Candidate 4]])/(SamplingData[[#Totals],[Winning Candidate]]-SamplingData[[#Totals],[Candidate 4]]), 0)</f>
        <v>0</v>
      </c>
      <c r="T1007" s="99">
        <f>IF(AND(SamplingData[[#This Row],[Total]]&lt;&gt; 0, NOT(ISBLANK(SamplingData[[#This Row],[Candidate 5]]))),(SamplingData[[#This Row],[Total]]+SamplingData[[#This Row],[Winning Candidate]]-SamplingData[[#This Row],[Candidate 5]])/(SamplingData[[#Totals],[Winning Candidate]]-SamplingData[[#Totals],[Candidate 5]]), 0)</f>
        <v>0</v>
      </c>
      <c r="U1007" s="99">
        <f>IF(AND(SamplingData[[#This Row],[Total]]&lt;&gt; 0, NOT(ISBLANK(SamplingData[[#This Row],[Candidate 6]]))),(SamplingData[[#This Row],[Total]]+SamplingData[[#This Row],[Losing Candidate]]-SamplingData[[#This Row],[Candidate 6]])/(SamplingData[[#Totals],[Winning Candidate]]-SamplingData[[#Totals],[Candidate 6]]), 0)</f>
        <v>0</v>
      </c>
      <c r="V1007" s="99">
        <f>IF(AND(SamplingData[[#This Row],[Total]]&lt;&gt; 0, NOT(ISBLANK(SamplingData[[#This Row],[Candidate 7]]))),(SamplingData[[#This Row],[Total]]+SamplingData[[#This Row],[Winning Candidate]]-SamplingData[[#This Row],[Candidate 7]])/(SamplingData[[#Totals],[Winning Candidate]]-SamplingData[[#Totals],[Candidate 7]]), 0)</f>
        <v>0</v>
      </c>
      <c r="W1007" s="99">
        <f>IF(AND(SamplingData[[#This Row],[Total]]&lt;&gt; 0, NOT(ISBLANK(SamplingData[[#This Row],[Candidate 8]]))),(SamplingData[[#This Row],[Total]]+SamplingData[[#This Row],[Winning Candidate]]-SamplingData[[#This Row],[Candidate 8]])/(SamplingData[[#Totals],[Winning Candidate]]-SamplingData[[#Totals],[Candidate 8]]), 0)</f>
        <v>0</v>
      </c>
      <c r="X10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7" s="99">
        <f>MAX(SamplingData[[#This Row],[Error Bound (up) - Max. possible relative overstatement - Losing Candidate]:[Error Bound (up) - Max. possible relative overstatement - Candidate 12]])</f>
        <v>9.3787132914615514E-3</v>
      </c>
      <c r="AC1007" s="99">
        <f>IF(SamplingData[[#This Row],[Max Error Bound (up)]] = 0,0,SamplingData[[#This Row],[Max Error Bound (up)]]/SamplingData[[#Totals],[Max Error Bound (up)]])</f>
        <v>5.0214490856872855E-4</v>
      </c>
      <c r="AD1007" s="103">
        <f>SUM($AC$5:AC1007)</f>
        <v>0.89880757625331986</v>
      </c>
      <c r="AE1007" s="99" t="str" cm="1">
        <f t="array" ref="AE1007">IF(SamplingData[[#This Row],[up/U Selection Probability]] = 0, "Zero", TEXT(SamplingData[[#This Row],[Lower Range]], REPT("0",LEN('General Info'!$B$42))) &amp; " - " &amp; TEXT(SamplingData[[#This Row],[Upper Range]], REPT("0",LEN('General Info'!$B$42))))</f>
        <v>898305 - 898807</v>
      </c>
      <c r="AF1007" s="99">
        <f>SamplingData[[#This Row],[Upper Range]]-SamplingData[[#This Row],[Span]]</f>
        <v>898305.43134475115</v>
      </c>
      <c r="AG1007" s="99">
        <f>IF(ISNUMBER('General Info'!$B$42), ((SamplingData[[#This Row],[up/U Selection Probability]]) * 'General Info'!$B$44) - 1, 0)</f>
        <v>501.14490856872857</v>
      </c>
      <c r="AH1007" s="99">
        <f>IF(ISNUMBER('General Info'!$B$42), (SamplingData[[#This Row],[Running (cumulative) sum]] * ('General Info'!$B$42 -'General Info'!$B$43 + 1)) + 'General Info'!$B$43 - 1, 0)</f>
        <v>898806.57625331986</v>
      </c>
      <c r="AI1007" s="99" t="str">
        <f>IF(ISERROR(MATCH(SamplingData[[#This Row],[Batch by Type (p)]],SelectedPrecincts[Batch Name], 0)), "", INDEX(SelectedPrecincts[Draw], MATCH(SamplingData[[#This Row],[Batch by Type (p)]],SelectedPrecincts[Batch Name], 0)))</f>
        <v/>
      </c>
      <c r="AJ1007" s="100">
        <f>IF(COUNTIF(SelectedPrecincts[Batch Name],SamplingData[[#This Row],[Batch by Type (p)]]) &lt;&gt; 0, COUNTIF(SelectedPrecincts[Batch Name],SamplingData[[#This Row],[Batch by Type (p)]]), 0)</f>
        <v>0</v>
      </c>
    </row>
    <row r="1008" spans="1:36" ht="15" customHeight="1" x14ac:dyDescent="0.35">
      <c r="A1008" s="97" t="s">
        <v>1221</v>
      </c>
      <c r="B1008" s="97">
        <v>102</v>
      </c>
      <c r="C1008" s="97">
        <v>501</v>
      </c>
      <c r="D1008" s="92"/>
      <c r="E1008" s="92"/>
      <c r="F1008" s="92"/>
      <c r="G1008" s="96"/>
      <c r="H1008" s="96"/>
      <c r="I1008" s="92"/>
      <c r="J1008" s="92"/>
      <c r="K1008" s="92"/>
      <c r="L1008" s="92"/>
      <c r="M1008" s="92"/>
      <c r="N1008" s="97">
        <v>0</v>
      </c>
      <c r="O1008" s="97">
        <v>32</v>
      </c>
      <c r="P1008" s="98">
        <f>SUM(SamplingData[[#This Row],[Winning Candidate]:[Under Votes]])</f>
        <v>635</v>
      </c>
      <c r="Q1008" s="99">
        <f>IF(AND(SamplingData[[#This Row],[Total]]&lt;&gt; 0, NOT(ISBLANK(SamplingData[[#This Row],[Losing Candidate]]))),(SamplingData[[#This Row],[Total]]+SamplingData[[#This Row],[Winning Candidate]]-SamplingData[[#This Row],[Losing Candidate]])/(SamplingData[[#Totals],[Winning Candidate]]-SamplingData[[#Totals],[Losing Candidate]]), 0)</f>
        <v>1.0015277542013241E-2</v>
      </c>
      <c r="R1008" s="99">
        <f>IF(AND(SamplingData[[#This Row],[Total]]&lt;&gt; 0, NOT(ISBLANK(SamplingData[[#This Row],[Candidate 3]]))),(SamplingData[[#This Row],[Total]]+SamplingData[[#This Row],[Winning Candidate]]-SamplingData[[#This Row],[Candidate 3]])/(SamplingData[[#Totals],[Winning Candidate]]-SamplingData[[#Totals],[Candidate 3]]), 0)</f>
        <v>0</v>
      </c>
      <c r="S1008" s="99">
        <f>IF(AND(SamplingData[[#This Row],[Total]]&lt;&gt; 0, NOT(ISBLANK(SamplingData[[#This Row],[Candidate 4]]))),(SamplingData[[#This Row],[Total]]+SamplingData[[#This Row],[Winning Candidate]]-SamplingData[[#This Row],[Candidate 4]])/(SamplingData[[#Totals],[Winning Candidate]]-SamplingData[[#Totals],[Candidate 4]]), 0)</f>
        <v>0</v>
      </c>
      <c r="T1008" s="99">
        <f>IF(AND(SamplingData[[#This Row],[Total]]&lt;&gt; 0, NOT(ISBLANK(SamplingData[[#This Row],[Candidate 5]]))),(SamplingData[[#This Row],[Total]]+SamplingData[[#This Row],[Winning Candidate]]-SamplingData[[#This Row],[Candidate 5]])/(SamplingData[[#Totals],[Winning Candidate]]-SamplingData[[#Totals],[Candidate 5]]), 0)</f>
        <v>0</v>
      </c>
      <c r="U1008" s="99">
        <f>IF(AND(SamplingData[[#This Row],[Total]]&lt;&gt; 0, NOT(ISBLANK(SamplingData[[#This Row],[Candidate 6]]))),(SamplingData[[#This Row],[Total]]+SamplingData[[#This Row],[Losing Candidate]]-SamplingData[[#This Row],[Candidate 6]])/(SamplingData[[#Totals],[Winning Candidate]]-SamplingData[[#Totals],[Candidate 6]]), 0)</f>
        <v>0</v>
      </c>
      <c r="V1008" s="99">
        <f>IF(AND(SamplingData[[#This Row],[Total]]&lt;&gt; 0, NOT(ISBLANK(SamplingData[[#This Row],[Candidate 7]]))),(SamplingData[[#This Row],[Total]]+SamplingData[[#This Row],[Winning Candidate]]-SamplingData[[#This Row],[Candidate 7]])/(SamplingData[[#Totals],[Winning Candidate]]-SamplingData[[#Totals],[Candidate 7]]), 0)</f>
        <v>0</v>
      </c>
      <c r="W1008" s="99">
        <f>IF(AND(SamplingData[[#This Row],[Total]]&lt;&gt; 0, NOT(ISBLANK(SamplingData[[#This Row],[Candidate 8]]))),(SamplingData[[#This Row],[Total]]+SamplingData[[#This Row],[Winning Candidate]]-SamplingData[[#This Row],[Candidate 8]])/(SamplingData[[#Totals],[Winning Candidate]]-SamplingData[[#Totals],[Candidate 8]]), 0)</f>
        <v>0</v>
      </c>
      <c r="X10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8" s="99">
        <f>MAX(SamplingData[[#This Row],[Error Bound (up) - Max. possible relative overstatement - Losing Candidate]:[Error Bound (up) - Max. possible relative overstatement - Candidate 12]])</f>
        <v>1.0015277542013241E-2</v>
      </c>
      <c r="AC1008" s="99">
        <f>IF(SamplingData[[#This Row],[Max Error Bound (up)]] = 0,0,SamplingData[[#This Row],[Max Error Bound (up)]]/SamplingData[[#Totals],[Max Error Bound (up)]])</f>
        <v>5.362271421819908E-4</v>
      </c>
      <c r="AD1008" s="103">
        <f>SUM($AC$5:AC1008)</f>
        <v>0.89934380339550191</v>
      </c>
      <c r="AE1008" s="99" t="str" cm="1">
        <f t="array" ref="AE1008">IF(SamplingData[[#This Row],[up/U Selection Probability]] = 0, "Zero", TEXT(SamplingData[[#This Row],[Lower Range]], REPT("0",LEN('General Info'!$B$42))) &amp; " - " &amp; TEXT(SamplingData[[#This Row],[Upper Range]], REPT("0",LEN('General Info'!$B$42))))</f>
        <v>898808 - 899343</v>
      </c>
      <c r="AF1008" s="99">
        <f>SamplingData[[#This Row],[Upper Range]]-SamplingData[[#This Row],[Span]]</f>
        <v>898807.57625331997</v>
      </c>
      <c r="AG1008" s="99">
        <f>IF(ISNUMBER('General Info'!$B$42), ((SamplingData[[#This Row],[up/U Selection Probability]]) * 'General Info'!$B$44) - 1, 0)</f>
        <v>535.22714218199076</v>
      </c>
      <c r="AH1008" s="99">
        <f>IF(ISNUMBER('General Info'!$B$42), (SamplingData[[#This Row],[Running (cumulative) sum]] * ('General Info'!$B$42 -'General Info'!$B$43 + 1)) + 'General Info'!$B$43 - 1, 0)</f>
        <v>899342.80339550192</v>
      </c>
      <c r="AI1008" s="99" t="str">
        <f>IF(ISERROR(MATCH(SamplingData[[#This Row],[Batch by Type (p)]],SelectedPrecincts[Batch Name], 0)), "", INDEX(SelectedPrecincts[Draw], MATCH(SamplingData[[#This Row],[Batch by Type (p)]],SelectedPrecincts[Batch Name], 0)))</f>
        <v/>
      </c>
      <c r="AJ1008" s="100">
        <f>IF(COUNTIF(SelectedPrecincts[Batch Name],SamplingData[[#This Row],[Batch by Type (p)]]) &lt;&gt; 0, COUNTIF(SelectedPrecincts[Batch Name],SamplingData[[#This Row],[Batch by Type (p)]]), 0)</f>
        <v>0</v>
      </c>
    </row>
    <row r="1009" spans="1:36" ht="15" customHeight="1" x14ac:dyDescent="0.35">
      <c r="A1009" s="97" t="s">
        <v>1222</v>
      </c>
      <c r="B1009" s="97">
        <v>54</v>
      </c>
      <c r="C1009" s="97">
        <v>347</v>
      </c>
      <c r="D1009" s="92"/>
      <c r="E1009" s="92"/>
      <c r="F1009" s="92"/>
      <c r="G1009" s="96"/>
      <c r="H1009" s="96"/>
      <c r="I1009" s="92"/>
      <c r="J1009" s="92"/>
      <c r="K1009" s="92"/>
      <c r="L1009" s="92"/>
      <c r="M1009" s="92"/>
      <c r="N1009" s="97">
        <v>1</v>
      </c>
      <c r="O1009" s="97">
        <v>23</v>
      </c>
      <c r="P1009" s="98">
        <f>SUM(SamplingData[[#This Row],[Winning Candidate]:[Under Votes]])</f>
        <v>425</v>
      </c>
      <c r="Q1009" s="99">
        <f>IF(AND(SamplingData[[#This Row],[Total]]&lt;&gt; 0, NOT(ISBLANK(SamplingData[[#This Row],[Losing Candidate]]))),(SamplingData[[#This Row],[Total]]+SamplingData[[#This Row],[Winning Candidate]]-SamplingData[[#This Row],[Losing Candidate]])/(SamplingData[[#Totals],[Winning Candidate]]-SamplingData[[#Totals],[Losing Candidate]]), 0)</f>
        <v>5.601765404854863E-3</v>
      </c>
      <c r="R1009" s="99">
        <f>IF(AND(SamplingData[[#This Row],[Total]]&lt;&gt; 0, NOT(ISBLANK(SamplingData[[#This Row],[Candidate 3]]))),(SamplingData[[#This Row],[Total]]+SamplingData[[#This Row],[Winning Candidate]]-SamplingData[[#This Row],[Candidate 3]])/(SamplingData[[#Totals],[Winning Candidate]]-SamplingData[[#Totals],[Candidate 3]]), 0)</f>
        <v>0</v>
      </c>
      <c r="S1009" s="99">
        <f>IF(AND(SamplingData[[#This Row],[Total]]&lt;&gt; 0, NOT(ISBLANK(SamplingData[[#This Row],[Candidate 4]]))),(SamplingData[[#This Row],[Total]]+SamplingData[[#This Row],[Winning Candidate]]-SamplingData[[#This Row],[Candidate 4]])/(SamplingData[[#Totals],[Winning Candidate]]-SamplingData[[#Totals],[Candidate 4]]), 0)</f>
        <v>0</v>
      </c>
      <c r="T1009" s="99">
        <f>IF(AND(SamplingData[[#This Row],[Total]]&lt;&gt; 0, NOT(ISBLANK(SamplingData[[#This Row],[Candidate 5]]))),(SamplingData[[#This Row],[Total]]+SamplingData[[#This Row],[Winning Candidate]]-SamplingData[[#This Row],[Candidate 5]])/(SamplingData[[#Totals],[Winning Candidate]]-SamplingData[[#Totals],[Candidate 5]]), 0)</f>
        <v>0</v>
      </c>
      <c r="U1009" s="99">
        <f>IF(AND(SamplingData[[#This Row],[Total]]&lt;&gt; 0, NOT(ISBLANK(SamplingData[[#This Row],[Candidate 6]]))),(SamplingData[[#This Row],[Total]]+SamplingData[[#This Row],[Losing Candidate]]-SamplingData[[#This Row],[Candidate 6]])/(SamplingData[[#Totals],[Winning Candidate]]-SamplingData[[#Totals],[Candidate 6]]), 0)</f>
        <v>0</v>
      </c>
      <c r="V1009" s="99">
        <f>IF(AND(SamplingData[[#This Row],[Total]]&lt;&gt; 0, NOT(ISBLANK(SamplingData[[#This Row],[Candidate 7]]))),(SamplingData[[#This Row],[Total]]+SamplingData[[#This Row],[Winning Candidate]]-SamplingData[[#This Row],[Candidate 7]])/(SamplingData[[#Totals],[Winning Candidate]]-SamplingData[[#Totals],[Candidate 7]]), 0)</f>
        <v>0</v>
      </c>
      <c r="W1009" s="99">
        <f>IF(AND(SamplingData[[#This Row],[Total]]&lt;&gt; 0, NOT(ISBLANK(SamplingData[[#This Row],[Candidate 8]]))),(SamplingData[[#This Row],[Total]]+SamplingData[[#This Row],[Winning Candidate]]-SamplingData[[#This Row],[Candidate 8]])/(SamplingData[[#Totals],[Winning Candidate]]-SamplingData[[#Totals],[Candidate 8]]), 0)</f>
        <v>0</v>
      </c>
      <c r="X10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9" s="99">
        <f>MAX(SamplingData[[#This Row],[Error Bound (up) - Max. possible relative overstatement - Losing Candidate]:[Error Bound (up) - Max. possible relative overstatement - Candidate 12]])</f>
        <v>5.601765404854863E-3</v>
      </c>
      <c r="AC1009" s="99">
        <f>IF(SamplingData[[#This Row],[Max Error Bound (up)]] = 0,0,SamplingData[[#This Row],[Max Error Bound (up)]]/SamplingData[[#Totals],[Max Error Bound (up)]])</f>
        <v>2.9992365579670666E-4</v>
      </c>
      <c r="AD1009" s="103">
        <f>SUM($AC$5:AC1009)</f>
        <v>0.89964372705129858</v>
      </c>
      <c r="AE1009" s="99" t="str" cm="1">
        <f t="array" ref="AE1009">IF(SamplingData[[#This Row],[up/U Selection Probability]] = 0, "Zero", TEXT(SamplingData[[#This Row],[Lower Range]], REPT("0",LEN('General Info'!$B$42))) &amp; " - " &amp; TEXT(SamplingData[[#This Row],[Upper Range]], REPT("0",LEN('General Info'!$B$42))))</f>
        <v>899344 - 899643</v>
      </c>
      <c r="AF1009" s="99">
        <f>SamplingData[[#This Row],[Upper Range]]-SamplingData[[#This Row],[Span]]</f>
        <v>899343.80339550192</v>
      </c>
      <c r="AG1009" s="99">
        <f>IF(ISNUMBER('General Info'!$B$42), ((SamplingData[[#This Row],[up/U Selection Probability]]) * 'General Info'!$B$44) - 1, 0)</f>
        <v>298.92365579670667</v>
      </c>
      <c r="AH1009" s="99">
        <f>IF(ISNUMBER('General Info'!$B$42), (SamplingData[[#This Row],[Running (cumulative) sum]] * ('General Info'!$B$42 -'General Info'!$B$43 + 1)) + 'General Info'!$B$43 - 1, 0)</f>
        <v>899642.7270512986</v>
      </c>
      <c r="AI1009" s="99" t="str">
        <f>IF(ISERROR(MATCH(SamplingData[[#This Row],[Batch by Type (p)]],SelectedPrecincts[Batch Name], 0)), "", INDEX(SelectedPrecincts[Draw], MATCH(SamplingData[[#This Row],[Batch by Type (p)]],SelectedPrecincts[Batch Name], 0)))</f>
        <v/>
      </c>
      <c r="AJ1009" s="100">
        <f>IF(COUNTIF(SelectedPrecincts[Batch Name],SamplingData[[#This Row],[Batch by Type (p)]]) &lt;&gt; 0, COUNTIF(SelectedPrecincts[Batch Name],SamplingData[[#This Row],[Batch by Type (p)]]), 0)</f>
        <v>0</v>
      </c>
    </row>
    <row r="1010" spans="1:36" ht="15" customHeight="1" x14ac:dyDescent="0.35">
      <c r="A1010" s="97" t="s">
        <v>1223</v>
      </c>
      <c r="B1010" s="97">
        <v>175</v>
      </c>
      <c r="C1010" s="97">
        <v>424</v>
      </c>
      <c r="D1010" s="92"/>
      <c r="E1010" s="92"/>
      <c r="F1010" s="92"/>
      <c r="G1010" s="96"/>
      <c r="H1010" s="96"/>
      <c r="I1010" s="92"/>
      <c r="J1010" s="92"/>
      <c r="K1010" s="92"/>
      <c r="L1010" s="92"/>
      <c r="M1010" s="92"/>
      <c r="N1010" s="97">
        <v>0</v>
      </c>
      <c r="O1010" s="97">
        <v>52</v>
      </c>
      <c r="P1010" s="98">
        <f>SUM(SamplingData[[#This Row],[Winning Candidate]:[Under Votes]])</f>
        <v>651</v>
      </c>
      <c r="Q1010" s="99">
        <f>IF(AND(SamplingData[[#This Row],[Total]]&lt;&gt; 0, NOT(ISBLANK(SamplingData[[#This Row],[Losing Candidate]]))),(SamplingData[[#This Row],[Total]]+SamplingData[[#This Row],[Winning Candidate]]-SamplingData[[#This Row],[Losing Candidate]])/(SamplingData[[#Totals],[Winning Candidate]]-SamplingData[[#Totals],[Losing Candidate]]), 0)</f>
        <v>1.7059921914785267E-2</v>
      </c>
      <c r="R1010" s="99">
        <f>IF(AND(SamplingData[[#This Row],[Total]]&lt;&gt; 0, NOT(ISBLANK(SamplingData[[#This Row],[Candidate 3]]))),(SamplingData[[#This Row],[Total]]+SamplingData[[#This Row],[Winning Candidate]]-SamplingData[[#This Row],[Candidate 3]])/(SamplingData[[#Totals],[Winning Candidate]]-SamplingData[[#Totals],[Candidate 3]]), 0)</f>
        <v>0</v>
      </c>
      <c r="S1010" s="99">
        <f>IF(AND(SamplingData[[#This Row],[Total]]&lt;&gt; 0, NOT(ISBLANK(SamplingData[[#This Row],[Candidate 4]]))),(SamplingData[[#This Row],[Total]]+SamplingData[[#This Row],[Winning Candidate]]-SamplingData[[#This Row],[Candidate 4]])/(SamplingData[[#Totals],[Winning Candidate]]-SamplingData[[#Totals],[Candidate 4]]), 0)</f>
        <v>0</v>
      </c>
      <c r="T1010" s="99">
        <f>IF(AND(SamplingData[[#This Row],[Total]]&lt;&gt; 0, NOT(ISBLANK(SamplingData[[#This Row],[Candidate 5]]))),(SamplingData[[#This Row],[Total]]+SamplingData[[#This Row],[Winning Candidate]]-SamplingData[[#This Row],[Candidate 5]])/(SamplingData[[#Totals],[Winning Candidate]]-SamplingData[[#Totals],[Candidate 5]]), 0)</f>
        <v>0</v>
      </c>
      <c r="U1010" s="99">
        <f>IF(AND(SamplingData[[#This Row],[Total]]&lt;&gt; 0, NOT(ISBLANK(SamplingData[[#This Row],[Candidate 6]]))),(SamplingData[[#This Row],[Total]]+SamplingData[[#This Row],[Losing Candidate]]-SamplingData[[#This Row],[Candidate 6]])/(SamplingData[[#Totals],[Winning Candidate]]-SamplingData[[#Totals],[Candidate 6]]), 0)</f>
        <v>0</v>
      </c>
      <c r="V1010" s="99">
        <f>IF(AND(SamplingData[[#This Row],[Total]]&lt;&gt; 0, NOT(ISBLANK(SamplingData[[#This Row],[Candidate 7]]))),(SamplingData[[#This Row],[Total]]+SamplingData[[#This Row],[Winning Candidate]]-SamplingData[[#This Row],[Candidate 7]])/(SamplingData[[#Totals],[Winning Candidate]]-SamplingData[[#Totals],[Candidate 7]]), 0)</f>
        <v>0</v>
      </c>
      <c r="W1010" s="99">
        <f>IF(AND(SamplingData[[#This Row],[Total]]&lt;&gt; 0, NOT(ISBLANK(SamplingData[[#This Row],[Candidate 8]]))),(SamplingData[[#This Row],[Total]]+SamplingData[[#This Row],[Winning Candidate]]-SamplingData[[#This Row],[Candidate 8]])/(SamplingData[[#Totals],[Winning Candidate]]-SamplingData[[#Totals],[Candidate 8]]), 0)</f>
        <v>0</v>
      </c>
      <c r="X10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0" s="99">
        <f>MAX(SamplingData[[#This Row],[Error Bound (up) - Max. possible relative overstatement - Losing Candidate]:[Error Bound (up) - Max. possible relative overstatement - Candidate 12]])</f>
        <v>1.7059921914785267E-2</v>
      </c>
      <c r="AC1010" s="99">
        <f>IF(SamplingData[[#This Row],[Max Error Bound (up)]] = 0,0,SamplingData[[#This Row],[Max Error Bound (up)]]/SamplingData[[#Totals],[Max Error Bound (up)]])</f>
        <v>9.1340386083542499E-4</v>
      </c>
      <c r="AD1010" s="103">
        <f>SUM($AC$5:AC1010)</f>
        <v>0.90055713091213396</v>
      </c>
      <c r="AE1010" s="99" t="str" cm="1">
        <f t="array" ref="AE1010">IF(SamplingData[[#This Row],[up/U Selection Probability]] = 0, "Zero", TEXT(SamplingData[[#This Row],[Lower Range]], REPT("0",LEN('General Info'!$B$42))) &amp; " - " &amp; TEXT(SamplingData[[#This Row],[Upper Range]], REPT("0",LEN('General Info'!$B$42))))</f>
        <v>899644 - 900556</v>
      </c>
      <c r="AF1010" s="99">
        <f>SamplingData[[#This Row],[Upper Range]]-SamplingData[[#This Row],[Span]]</f>
        <v>899643.72705129848</v>
      </c>
      <c r="AG1010" s="99">
        <f>IF(ISNUMBER('General Info'!$B$42), ((SamplingData[[#This Row],[up/U Selection Probability]]) * 'General Info'!$B$44) - 1, 0)</f>
        <v>912.40386083542501</v>
      </c>
      <c r="AH1010" s="99">
        <f>IF(ISNUMBER('General Info'!$B$42), (SamplingData[[#This Row],[Running (cumulative) sum]] * ('General Info'!$B$42 -'General Info'!$B$43 + 1)) + 'General Info'!$B$43 - 1, 0)</f>
        <v>900556.13091213396</v>
      </c>
      <c r="AI1010" s="99" t="str">
        <f>IF(ISERROR(MATCH(SamplingData[[#This Row],[Batch by Type (p)]],SelectedPrecincts[Batch Name], 0)), "", INDEX(SelectedPrecincts[Draw], MATCH(SamplingData[[#This Row],[Batch by Type (p)]],SelectedPrecincts[Batch Name], 0)))</f>
        <v/>
      </c>
      <c r="AJ1010" s="100">
        <f>IF(COUNTIF(SelectedPrecincts[Batch Name],SamplingData[[#This Row],[Batch by Type (p)]]) &lt;&gt; 0, COUNTIF(SelectedPrecincts[Batch Name],SamplingData[[#This Row],[Batch by Type (p)]]), 0)</f>
        <v>0</v>
      </c>
    </row>
    <row r="1011" spans="1:36" ht="15" customHeight="1" x14ac:dyDescent="0.35">
      <c r="A1011" s="97" t="s">
        <v>1224</v>
      </c>
      <c r="B1011" s="97">
        <v>75</v>
      </c>
      <c r="C1011" s="97">
        <v>189</v>
      </c>
      <c r="D1011" s="92"/>
      <c r="E1011" s="92"/>
      <c r="F1011" s="92"/>
      <c r="G1011" s="96"/>
      <c r="H1011" s="96"/>
      <c r="I1011" s="92"/>
      <c r="J1011" s="92"/>
      <c r="K1011" s="92"/>
      <c r="L1011" s="92"/>
      <c r="M1011" s="92"/>
      <c r="N1011" s="97">
        <v>0</v>
      </c>
      <c r="O1011" s="97">
        <v>26</v>
      </c>
      <c r="P1011" s="98">
        <f>SUM(SamplingData[[#This Row],[Winning Candidate]:[Under Votes]])</f>
        <v>290</v>
      </c>
      <c r="Q1011" s="99">
        <f>IF(AND(SamplingData[[#This Row],[Total]]&lt;&gt; 0, NOT(ISBLANK(SamplingData[[#This Row],[Losing Candidate]]))),(SamplingData[[#This Row],[Total]]+SamplingData[[#This Row],[Winning Candidate]]-SamplingData[[#This Row],[Losing Candidate]])/(SamplingData[[#Totals],[Winning Candidate]]-SamplingData[[#Totals],[Losing Candidate]]), 0)</f>
        <v>7.4690205398064841E-3</v>
      </c>
      <c r="R1011" s="99">
        <f>IF(AND(SamplingData[[#This Row],[Total]]&lt;&gt; 0, NOT(ISBLANK(SamplingData[[#This Row],[Candidate 3]]))),(SamplingData[[#This Row],[Total]]+SamplingData[[#This Row],[Winning Candidate]]-SamplingData[[#This Row],[Candidate 3]])/(SamplingData[[#Totals],[Winning Candidate]]-SamplingData[[#Totals],[Candidate 3]]), 0)</f>
        <v>0</v>
      </c>
      <c r="S1011" s="99">
        <f>IF(AND(SamplingData[[#This Row],[Total]]&lt;&gt; 0, NOT(ISBLANK(SamplingData[[#This Row],[Candidate 4]]))),(SamplingData[[#This Row],[Total]]+SamplingData[[#This Row],[Winning Candidate]]-SamplingData[[#This Row],[Candidate 4]])/(SamplingData[[#Totals],[Winning Candidate]]-SamplingData[[#Totals],[Candidate 4]]), 0)</f>
        <v>0</v>
      </c>
      <c r="T1011" s="99">
        <f>IF(AND(SamplingData[[#This Row],[Total]]&lt;&gt; 0, NOT(ISBLANK(SamplingData[[#This Row],[Candidate 5]]))),(SamplingData[[#This Row],[Total]]+SamplingData[[#This Row],[Winning Candidate]]-SamplingData[[#This Row],[Candidate 5]])/(SamplingData[[#Totals],[Winning Candidate]]-SamplingData[[#Totals],[Candidate 5]]), 0)</f>
        <v>0</v>
      </c>
      <c r="U1011" s="99">
        <f>IF(AND(SamplingData[[#This Row],[Total]]&lt;&gt; 0, NOT(ISBLANK(SamplingData[[#This Row],[Candidate 6]]))),(SamplingData[[#This Row],[Total]]+SamplingData[[#This Row],[Losing Candidate]]-SamplingData[[#This Row],[Candidate 6]])/(SamplingData[[#Totals],[Winning Candidate]]-SamplingData[[#Totals],[Candidate 6]]), 0)</f>
        <v>0</v>
      </c>
      <c r="V1011" s="99">
        <f>IF(AND(SamplingData[[#This Row],[Total]]&lt;&gt; 0, NOT(ISBLANK(SamplingData[[#This Row],[Candidate 7]]))),(SamplingData[[#This Row],[Total]]+SamplingData[[#This Row],[Winning Candidate]]-SamplingData[[#This Row],[Candidate 7]])/(SamplingData[[#Totals],[Winning Candidate]]-SamplingData[[#Totals],[Candidate 7]]), 0)</f>
        <v>0</v>
      </c>
      <c r="W1011" s="99">
        <f>IF(AND(SamplingData[[#This Row],[Total]]&lt;&gt; 0, NOT(ISBLANK(SamplingData[[#This Row],[Candidate 8]]))),(SamplingData[[#This Row],[Total]]+SamplingData[[#This Row],[Winning Candidate]]-SamplingData[[#This Row],[Candidate 8]])/(SamplingData[[#Totals],[Winning Candidate]]-SamplingData[[#Totals],[Candidate 8]]), 0)</f>
        <v>0</v>
      </c>
      <c r="X10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1" s="99">
        <f>MAX(SamplingData[[#This Row],[Error Bound (up) - Max. possible relative overstatement - Losing Candidate]:[Error Bound (up) - Max. possible relative overstatement - Candidate 12]])</f>
        <v>7.4690205398064841E-3</v>
      </c>
      <c r="AC1011" s="99">
        <f>IF(SamplingData[[#This Row],[Max Error Bound (up)]] = 0,0,SamplingData[[#This Row],[Max Error Bound (up)]]/SamplingData[[#Totals],[Max Error Bound (up)]])</f>
        <v>3.9989820772894221E-4</v>
      </c>
      <c r="AD1011" s="103">
        <f>SUM($AC$5:AC1011)</f>
        <v>0.90095702911986286</v>
      </c>
      <c r="AE1011" s="99" t="str" cm="1">
        <f t="array" ref="AE1011">IF(SamplingData[[#This Row],[up/U Selection Probability]] = 0, "Zero", TEXT(SamplingData[[#This Row],[Lower Range]], REPT("0",LEN('General Info'!$B$42))) &amp; " - " &amp; TEXT(SamplingData[[#This Row],[Upper Range]], REPT("0",LEN('General Info'!$B$42))))</f>
        <v>900557 - 900956</v>
      </c>
      <c r="AF1011" s="99">
        <f>SamplingData[[#This Row],[Upper Range]]-SamplingData[[#This Row],[Span]]</f>
        <v>900557.13091213384</v>
      </c>
      <c r="AG1011" s="99">
        <f>IF(ISNUMBER('General Info'!$B$42), ((SamplingData[[#This Row],[up/U Selection Probability]]) * 'General Info'!$B$44) - 1, 0)</f>
        <v>398.89820772894223</v>
      </c>
      <c r="AH1011" s="99">
        <f>IF(ISNUMBER('General Info'!$B$42), (SamplingData[[#This Row],[Running (cumulative) sum]] * ('General Info'!$B$42 -'General Info'!$B$43 + 1)) + 'General Info'!$B$43 - 1, 0)</f>
        <v>900956.02911986283</v>
      </c>
      <c r="AI1011" s="99" t="str">
        <f>IF(ISERROR(MATCH(SamplingData[[#This Row],[Batch by Type (p)]],SelectedPrecincts[Batch Name], 0)), "", INDEX(SelectedPrecincts[Draw], MATCH(SamplingData[[#This Row],[Batch by Type (p)]],SelectedPrecincts[Batch Name], 0)))</f>
        <v/>
      </c>
      <c r="AJ1011" s="100">
        <f>IF(COUNTIF(SelectedPrecincts[Batch Name],SamplingData[[#This Row],[Batch by Type (p)]]) &lt;&gt; 0, COUNTIF(SelectedPrecincts[Batch Name],SamplingData[[#This Row],[Batch by Type (p)]]), 0)</f>
        <v>0</v>
      </c>
    </row>
    <row r="1012" spans="1:36" ht="15" customHeight="1" x14ac:dyDescent="0.35">
      <c r="A1012" s="97" t="s">
        <v>1225</v>
      </c>
      <c r="B1012" s="97">
        <v>70</v>
      </c>
      <c r="C1012" s="97">
        <v>289</v>
      </c>
      <c r="D1012" s="92"/>
      <c r="E1012" s="92"/>
      <c r="F1012" s="92"/>
      <c r="G1012" s="96"/>
      <c r="H1012" s="96"/>
      <c r="I1012" s="92"/>
      <c r="J1012" s="92"/>
      <c r="K1012" s="92"/>
      <c r="L1012" s="92"/>
      <c r="M1012" s="92"/>
      <c r="N1012" s="97">
        <v>0</v>
      </c>
      <c r="O1012" s="97">
        <v>36</v>
      </c>
      <c r="P1012" s="98">
        <f>SUM(SamplingData[[#This Row],[Winning Candidate]:[Under Votes]])</f>
        <v>395</v>
      </c>
      <c r="Q1012" s="99">
        <f>IF(AND(SamplingData[[#This Row],[Total]]&lt;&gt; 0, NOT(ISBLANK(SamplingData[[#This Row],[Losing Candidate]]))),(SamplingData[[#This Row],[Total]]+SamplingData[[#This Row],[Winning Candidate]]-SamplingData[[#This Row],[Losing Candidate]])/(SamplingData[[#Totals],[Winning Candidate]]-SamplingData[[#Totals],[Losing Candidate]]), 0)</f>
        <v>7.4690205398064841E-3</v>
      </c>
      <c r="R1012" s="99">
        <f>IF(AND(SamplingData[[#This Row],[Total]]&lt;&gt; 0, NOT(ISBLANK(SamplingData[[#This Row],[Candidate 3]]))),(SamplingData[[#This Row],[Total]]+SamplingData[[#This Row],[Winning Candidate]]-SamplingData[[#This Row],[Candidate 3]])/(SamplingData[[#Totals],[Winning Candidate]]-SamplingData[[#Totals],[Candidate 3]]), 0)</f>
        <v>0</v>
      </c>
      <c r="S1012" s="99">
        <f>IF(AND(SamplingData[[#This Row],[Total]]&lt;&gt; 0, NOT(ISBLANK(SamplingData[[#This Row],[Candidate 4]]))),(SamplingData[[#This Row],[Total]]+SamplingData[[#This Row],[Winning Candidate]]-SamplingData[[#This Row],[Candidate 4]])/(SamplingData[[#Totals],[Winning Candidate]]-SamplingData[[#Totals],[Candidate 4]]), 0)</f>
        <v>0</v>
      </c>
      <c r="T1012" s="99">
        <f>IF(AND(SamplingData[[#This Row],[Total]]&lt;&gt; 0, NOT(ISBLANK(SamplingData[[#This Row],[Candidate 5]]))),(SamplingData[[#This Row],[Total]]+SamplingData[[#This Row],[Winning Candidate]]-SamplingData[[#This Row],[Candidate 5]])/(SamplingData[[#Totals],[Winning Candidate]]-SamplingData[[#Totals],[Candidate 5]]), 0)</f>
        <v>0</v>
      </c>
      <c r="U1012" s="99">
        <f>IF(AND(SamplingData[[#This Row],[Total]]&lt;&gt; 0, NOT(ISBLANK(SamplingData[[#This Row],[Candidate 6]]))),(SamplingData[[#This Row],[Total]]+SamplingData[[#This Row],[Losing Candidate]]-SamplingData[[#This Row],[Candidate 6]])/(SamplingData[[#Totals],[Winning Candidate]]-SamplingData[[#Totals],[Candidate 6]]), 0)</f>
        <v>0</v>
      </c>
      <c r="V1012" s="99">
        <f>IF(AND(SamplingData[[#This Row],[Total]]&lt;&gt; 0, NOT(ISBLANK(SamplingData[[#This Row],[Candidate 7]]))),(SamplingData[[#This Row],[Total]]+SamplingData[[#This Row],[Winning Candidate]]-SamplingData[[#This Row],[Candidate 7]])/(SamplingData[[#Totals],[Winning Candidate]]-SamplingData[[#Totals],[Candidate 7]]), 0)</f>
        <v>0</v>
      </c>
      <c r="W1012" s="99">
        <f>IF(AND(SamplingData[[#This Row],[Total]]&lt;&gt; 0, NOT(ISBLANK(SamplingData[[#This Row],[Candidate 8]]))),(SamplingData[[#This Row],[Total]]+SamplingData[[#This Row],[Winning Candidate]]-SamplingData[[#This Row],[Candidate 8]])/(SamplingData[[#Totals],[Winning Candidate]]-SamplingData[[#Totals],[Candidate 8]]), 0)</f>
        <v>0</v>
      </c>
      <c r="X10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2" s="99">
        <f>MAX(SamplingData[[#This Row],[Error Bound (up) - Max. possible relative overstatement - Losing Candidate]:[Error Bound (up) - Max. possible relative overstatement - Candidate 12]])</f>
        <v>7.4690205398064841E-3</v>
      </c>
      <c r="AC1012" s="99">
        <f>IF(SamplingData[[#This Row],[Max Error Bound (up)]] = 0,0,SamplingData[[#This Row],[Max Error Bound (up)]]/SamplingData[[#Totals],[Max Error Bound (up)]])</f>
        <v>3.9989820772894221E-4</v>
      </c>
      <c r="AD1012" s="103">
        <f>SUM($AC$5:AC1012)</f>
        <v>0.90135692732759176</v>
      </c>
      <c r="AE1012" s="99" t="str" cm="1">
        <f t="array" ref="AE1012">IF(SamplingData[[#This Row],[up/U Selection Probability]] = 0, "Zero", TEXT(SamplingData[[#This Row],[Lower Range]], REPT("0",LEN('General Info'!$B$42))) &amp; " - " &amp; TEXT(SamplingData[[#This Row],[Upper Range]], REPT("0",LEN('General Info'!$B$42))))</f>
        <v>900957 - 901356</v>
      </c>
      <c r="AF1012" s="99">
        <f>SamplingData[[#This Row],[Upper Range]]-SamplingData[[#This Row],[Span]]</f>
        <v>900957.02911986283</v>
      </c>
      <c r="AG1012" s="99">
        <f>IF(ISNUMBER('General Info'!$B$42), ((SamplingData[[#This Row],[up/U Selection Probability]]) * 'General Info'!$B$44) - 1, 0)</f>
        <v>398.89820772894223</v>
      </c>
      <c r="AH1012" s="99">
        <f>IF(ISNUMBER('General Info'!$B$42), (SamplingData[[#This Row],[Running (cumulative) sum]] * ('General Info'!$B$42 -'General Info'!$B$43 + 1)) + 'General Info'!$B$43 - 1, 0)</f>
        <v>901355.92732759181</v>
      </c>
      <c r="AI1012" s="99" t="str">
        <f>IF(ISERROR(MATCH(SamplingData[[#This Row],[Batch by Type (p)]],SelectedPrecincts[Batch Name], 0)), "", INDEX(SelectedPrecincts[Draw], MATCH(SamplingData[[#This Row],[Batch by Type (p)]],SelectedPrecincts[Batch Name], 0)))</f>
        <v/>
      </c>
      <c r="AJ1012" s="100">
        <f>IF(COUNTIF(SelectedPrecincts[Batch Name],SamplingData[[#This Row],[Batch by Type (p)]]) &lt;&gt; 0, COUNTIF(SelectedPrecincts[Batch Name],SamplingData[[#This Row],[Batch by Type (p)]]), 0)</f>
        <v>0</v>
      </c>
    </row>
    <row r="1013" spans="1:36" ht="15" customHeight="1" x14ac:dyDescent="0.35">
      <c r="A1013" s="97" t="s">
        <v>1226</v>
      </c>
      <c r="B1013" s="97">
        <v>147</v>
      </c>
      <c r="C1013" s="97">
        <v>368</v>
      </c>
      <c r="D1013" s="92"/>
      <c r="E1013" s="92"/>
      <c r="F1013" s="92"/>
      <c r="G1013" s="96"/>
      <c r="H1013" s="96"/>
      <c r="I1013" s="92"/>
      <c r="J1013" s="92"/>
      <c r="K1013" s="92"/>
      <c r="L1013" s="92"/>
      <c r="M1013" s="92"/>
      <c r="N1013" s="97">
        <v>2</v>
      </c>
      <c r="O1013" s="97">
        <v>50</v>
      </c>
      <c r="P1013" s="98">
        <f>SUM(SamplingData[[#This Row],[Winning Candidate]:[Under Votes]])</f>
        <v>567</v>
      </c>
      <c r="Q1013" s="99">
        <f>IF(AND(SamplingData[[#This Row],[Total]]&lt;&gt; 0, NOT(ISBLANK(SamplingData[[#This Row],[Losing Candidate]]))),(SamplingData[[#This Row],[Total]]+SamplingData[[#This Row],[Winning Candidate]]-SamplingData[[#This Row],[Losing Candidate]])/(SamplingData[[#Totals],[Winning Candidate]]-SamplingData[[#Totals],[Losing Candidate]]), 0)</f>
        <v>1.4683415379392294E-2</v>
      </c>
      <c r="R1013" s="99">
        <f>IF(AND(SamplingData[[#This Row],[Total]]&lt;&gt; 0, NOT(ISBLANK(SamplingData[[#This Row],[Candidate 3]]))),(SamplingData[[#This Row],[Total]]+SamplingData[[#This Row],[Winning Candidate]]-SamplingData[[#This Row],[Candidate 3]])/(SamplingData[[#Totals],[Winning Candidate]]-SamplingData[[#Totals],[Candidate 3]]), 0)</f>
        <v>0</v>
      </c>
      <c r="S1013" s="99">
        <f>IF(AND(SamplingData[[#This Row],[Total]]&lt;&gt; 0, NOT(ISBLANK(SamplingData[[#This Row],[Candidate 4]]))),(SamplingData[[#This Row],[Total]]+SamplingData[[#This Row],[Winning Candidate]]-SamplingData[[#This Row],[Candidate 4]])/(SamplingData[[#Totals],[Winning Candidate]]-SamplingData[[#Totals],[Candidate 4]]), 0)</f>
        <v>0</v>
      </c>
      <c r="T1013" s="99">
        <f>IF(AND(SamplingData[[#This Row],[Total]]&lt;&gt; 0, NOT(ISBLANK(SamplingData[[#This Row],[Candidate 5]]))),(SamplingData[[#This Row],[Total]]+SamplingData[[#This Row],[Winning Candidate]]-SamplingData[[#This Row],[Candidate 5]])/(SamplingData[[#Totals],[Winning Candidate]]-SamplingData[[#Totals],[Candidate 5]]), 0)</f>
        <v>0</v>
      </c>
      <c r="U1013" s="99">
        <f>IF(AND(SamplingData[[#This Row],[Total]]&lt;&gt; 0, NOT(ISBLANK(SamplingData[[#This Row],[Candidate 6]]))),(SamplingData[[#This Row],[Total]]+SamplingData[[#This Row],[Losing Candidate]]-SamplingData[[#This Row],[Candidate 6]])/(SamplingData[[#Totals],[Winning Candidate]]-SamplingData[[#Totals],[Candidate 6]]), 0)</f>
        <v>0</v>
      </c>
      <c r="V1013" s="99">
        <f>IF(AND(SamplingData[[#This Row],[Total]]&lt;&gt; 0, NOT(ISBLANK(SamplingData[[#This Row],[Candidate 7]]))),(SamplingData[[#This Row],[Total]]+SamplingData[[#This Row],[Winning Candidate]]-SamplingData[[#This Row],[Candidate 7]])/(SamplingData[[#Totals],[Winning Candidate]]-SamplingData[[#Totals],[Candidate 7]]), 0)</f>
        <v>0</v>
      </c>
      <c r="W1013" s="99">
        <f>IF(AND(SamplingData[[#This Row],[Total]]&lt;&gt; 0, NOT(ISBLANK(SamplingData[[#This Row],[Candidate 8]]))),(SamplingData[[#This Row],[Total]]+SamplingData[[#This Row],[Winning Candidate]]-SamplingData[[#This Row],[Candidate 8]])/(SamplingData[[#Totals],[Winning Candidate]]-SamplingData[[#Totals],[Candidate 8]]), 0)</f>
        <v>0</v>
      </c>
      <c r="X10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3" s="99">
        <f>MAX(SamplingData[[#This Row],[Error Bound (up) - Max. possible relative overstatement - Losing Candidate]:[Error Bound (up) - Max. possible relative overstatement - Candidate 12]])</f>
        <v>1.4683415379392294E-2</v>
      </c>
      <c r="AC1013" s="99">
        <f>IF(SamplingData[[#This Row],[Max Error Bound (up)]] = 0,0,SamplingData[[#This Row],[Max Error Bound (up)]]/SamplingData[[#Totals],[Max Error Bound (up)]])</f>
        <v>7.8616352201257963E-4</v>
      </c>
      <c r="AD1013" s="103">
        <f>SUM($AC$5:AC1013)</f>
        <v>0.90214309084960431</v>
      </c>
      <c r="AE1013" s="99" t="str" cm="1">
        <f t="array" ref="AE1013">IF(SamplingData[[#This Row],[up/U Selection Probability]] = 0, "Zero", TEXT(SamplingData[[#This Row],[Lower Range]], REPT("0",LEN('General Info'!$B$42))) &amp; " - " &amp; TEXT(SamplingData[[#This Row],[Upper Range]], REPT("0",LEN('General Info'!$B$42))))</f>
        <v>901357 - 902142</v>
      </c>
      <c r="AF1013" s="99">
        <f>SamplingData[[#This Row],[Upper Range]]-SamplingData[[#This Row],[Span]]</f>
        <v>901356.92732759181</v>
      </c>
      <c r="AG1013" s="99">
        <f>IF(ISNUMBER('General Info'!$B$42), ((SamplingData[[#This Row],[up/U Selection Probability]]) * 'General Info'!$B$44) - 1, 0)</f>
        <v>785.16352201257962</v>
      </c>
      <c r="AH1013" s="99">
        <f>IF(ISNUMBER('General Info'!$B$42), (SamplingData[[#This Row],[Running (cumulative) sum]] * ('General Info'!$B$42 -'General Info'!$B$43 + 1)) + 'General Info'!$B$43 - 1, 0)</f>
        <v>902142.09084960434</v>
      </c>
      <c r="AI1013" s="99" t="str">
        <f>IF(ISERROR(MATCH(SamplingData[[#This Row],[Batch by Type (p)]],SelectedPrecincts[Batch Name], 0)), "", INDEX(SelectedPrecincts[Draw], MATCH(SamplingData[[#This Row],[Batch by Type (p)]],SelectedPrecincts[Batch Name], 0)))</f>
        <v/>
      </c>
      <c r="AJ1013" s="100">
        <f>IF(COUNTIF(SelectedPrecincts[Batch Name],SamplingData[[#This Row],[Batch by Type (p)]]) &lt;&gt; 0, COUNTIF(SelectedPrecincts[Batch Name],SamplingData[[#This Row],[Batch by Type (p)]]), 0)</f>
        <v>0</v>
      </c>
    </row>
    <row r="1014" spans="1:36" ht="15" customHeight="1" x14ac:dyDescent="0.35">
      <c r="A1014" s="97" t="s">
        <v>1227</v>
      </c>
      <c r="B1014" s="97">
        <v>111</v>
      </c>
      <c r="C1014" s="97">
        <v>606</v>
      </c>
      <c r="D1014" s="92"/>
      <c r="E1014" s="92"/>
      <c r="F1014" s="92"/>
      <c r="G1014" s="96"/>
      <c r="H1014" s="96"/>
      <c r="I1014" s="92"/>
      <c r="J1014" s="92"/>
      <c r="K1014" s="92"/>
      <c r="L1014" s="92"/>
      <c r="M1014" s="92"/>
      <c r="N1014" s="97">
        <v>0</v>
      </c>
      <c r="O1014" s="97">
        <v>34</v>
      </c>
      <c r="P1014" s="98">
        <f>SUM(SamplingData[[#This Row],[Winning Candidate]:[Under Votes]])</f>
        <v>751</v>
      </c>
      <c r="Q1014" s="99">
        <f>IF(AND(SamplingData[[#This Row],[Total]]&lt;&gt; 0, NOT(ISBLANK(SamplingData[[#This Row],[Losing Candidate]]))),(SamplingData[[#This Row],[Total]]+SamplingData[[#This Row],[Winning Candidate]]-SamplingData[[#This Row],[Losing Candidate]])/(SamplingData[[#Totals],[Winning Candidate]]-SamplingData[[#Totals],[Losing Candidate]]), 0)</f>
        <v>1.0864029876082159E-2</v>
      </c>
      <c r="R1014" s="99">
        <f>IF(AND(SamplingData[[#This Row],[Total]]&lt;&gt; 0, NOT(ISBLANK(SamplingData[[#This Row],[Candidate 3]]))),(SamplingData[[#This Row],[Total]]+SamplingData[[#This Row],[Winning Candidate]]-SamplingData[[#This Row],[Candidate 3]])/(SamplingData[[#Totals],[Winning Candidate]]-SamplingData[[#Totals],[Candidate 3]]), 0)</f>
        <v>0</v>
      </c>
      <c r="S1014" s="99">
        <f>IF(AND(SamplingData[[#This Row],[Total]]&lt;&gt; 0, NOT(ISBLANK(SamplingData[[#This Row],[Candidate 4]]))),(SamplingData[[#This Row],[Total]]+SamplingData[[#This Row],[Winning Candidate]]-SamplingData[[#This Row],[Candidate 4]])/(SamplingData[[#Totals],[Winning Candidate]]-SamplingData[[#Totals],[Candidate 4]]), 0)</f>
        <v>0</v>
      </c>
      <c r="T1014" s="99">
        <f>IF(AND(SamplingData[[#This Row],[Total]]&lt;&gt; 0, NOT(ISBLANK(SamplingData[[#This Row],[Candidate 5]]))),(SamplingData[[#This Row],[Total]]+SamplingData[[#This Row],[Winning Candidate]]-SamplingData[[#This Row],[Candidate 5]])/(SamplingData[[#Totals],[Winning Candidate]]-SamplingData[[#Totals],[Candidate 5]]), 0)</f>
        <v>0</v>
      </c>
      <c r="U1014" s="99">
        <f>IF(AND(SamplingData[[#This Row],[Total]]&lt;&gt; 0, NOT(ISBLANK(SamplingData[[#This Row],[Candidate 6]]))),(SamplingData[[#This Row],[Total]]+SamplingData[[#This Row],[Losing Candidate]]-SamplingData[[#This Row],[Candidate 6]])/(SamplingData[[#Totals],[Winning Candidate]]-SamplingData[[#Totals],[Candidate 6]]), 0)</f>
        <v>0</v>
      </c>
      <c r="V1014" s="99">
        <f>IF(AND(SamplingData[[#This Row],[Total]]&lt;&gt; 0, NOT(ISBLANK(SamplingData[[#This Row],[Candidate 7]]))),(SamplingData[[#This Row],[Total]]+SamplingData[[#This Row],[Winning Candidate]]-SamplingData[[#This Row],[Candidate 7]])/(SamplingData[[#Totals],[Winning Candidate]]-SamplingData[[#Totals],[Candidate 7]]), 0)</f>
        <v>0</v>
      </c>
      <c r="W1014" s="99">
        <f>IF(AND(SamplingData[[#This Row],[Total]]&lt;&gt; 0, NOT(ISBLANK(SamplingData[[#This Row],[Candidate 8]]))),(SamplingData[[#This Row],[Total]]+SamplingData[[#This Row],[Winning Candidate]]-SamplingData[[#This Row],[Candidate 8]])/(SamplingData[[#Totals],[Winning Candidate]]-SamplingData[[#Totals],[Candidate 8]]), 0)</f>
        <v>0</v>
      </c>
      <c r="X10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4" s="99">
        <f>MAX(SamplingData[[#This Row],[Error Bound (up) - Max. possible relative overstatement - Losing Candidate]:[Error Bound (up) - Max. possible relative overstatement - Candidate 12]])</f>
        <v>1.0864029876082159E-2</v>
      </c>
      <c r="AC1014" s="99">
        <f>IF(SamplingData[[#This Row],[Max Error Bound (up)]] = 0,0,SamplingData[[#This Row],[Max Error Bound (up)]]/SamplingData[[#Totals],[Max Error Bound (up)]])</f>
        <v>5.8167012033300686E-4</v>
      </c>
      <c r="AD1014" s="103">
        <f>SUM($AC$5:AC1014)</f>
        <v>0.90272476096993737</v>
      </c>
      <c r="AE1014" s="99" t="str" cm="1">
        <f t="array" ref="AE1014">IF(SamplingData[[#This Row],[up/U Selection Probability]] = 0, "Zero", TEXT(SamplingData[[#This Row],[Lower Range]], REPT("0",LEN('General Info'!$B$42))) &amp; " - " &amp; TEXT(SamplingData[[#This Row],[Upper Range]], REPT("0",LEN('General Info'!$B$42))))</f>
        <v>902143 - 902724</v>
      </c>
      <c r="AF1014" s="99">
        <f>SamplingData[[#This Row],[Upper Range]]-SamplingData[[#This Row],[Span]]</f>
        <v>902143.09084960434</v>
      </c>
      <c r="AG1014" s="99">
        <f>IF(ISNUMBER('General Info'!$B$42), ((SamplingData[[#This Row],[up/U Selection Probability]]) * 'General Info'!$B$44) - 1, 0)</f>
        <v>580.67012033300682</v>
      </c>
      <c r="AH1014" s="99">
        <f>IF(ISNUMBER('General Info'!$B$42), (SamplingData[[#This Row],[Running (cumulative) sum]] * ('General Info'!$B$42 -'General Info'!$B$43 + 1)) + 'General Info'!$B$43 - 1, 0)</f>
        <v>902723.76096993731</v>
      </c>
      <c r="AI1014" s="99" t="str">
        <f>IF(ISERROR(MATCH(SamplingData[[#This Row],[Batch by Type (p)]],SelectedPrecincts[Batch Name], 0)), "", INDEX(SelectedPrecincts[Draw], MATCH(SamplingData[[#This Row],[Batch by Type (p)]],SelectedPrecincts[Batch Name], 0)))</f>
        <v/>
      </c>
      <c r="AJ1014" s="100">
        <f>IF(COUNTIF(SelectedPrecincts[Batch Name],SamplingData[[#This Row],[Batch by Type (p)]]) &lt;&gt; 0, COUNTIF(SelectedPrecincts[Batch Name],SamplingData[[#This Row],[Batch by Type (p)]]), 0)</f>
        <v>0</v>
      </c>
    </row>
    <row r="1015" spans="1:36" ht="15" customHeight="1" x14ac:dyDescent="0.35">
      <c r="A1015" s="97" t="s">
        <v>1228</v>
      </c>
      <c r="B1015" s="97">
        <v>167</v>
      </c>
      <c r="C1015" s="97">
        <v>455</v>
      </c>
      <c r="D1015" s="92"/>
      <c r="E1015" s="92"/>
      <c r="F1015" s="92"/>
      <c r="G1015" s="96"/>
      <c r="H1015" s="96"/>
      <c r="I1015" s="92"/>
      <c r="J1015" s="92"/>
      <c r="K1015" s="92"/>
      <c r="L1015" s="92"/>
      <c r="M1015" s="92"/>
      <c r="N1015" s="97">
        <v>1</v>
      </c>
      <c r="O1015" s="97">
        <v>34</v>
      </c>
      <c r="P1015" s="98">
        <f>SUM(SamplingData[[#This Row],[Winning Candidate]:[Under Votes]])</f>
        <v>657</v>
      </c>
      <c r="Q1015" s="99">
        <f>IF(AND(SamplingData[[#This Row],[Total]]&lt;&gt; 0, NOT(ISBLANK(SamplingData[[#This Row],[Losing Candidate]]))),(SamplingData[[#This Row],[Total]]+SamplingData[[#This Row],[Winning Candidate]]-SamplingData[[#This Row],[Losing Candidate]])/(SamplingData[[#Totals],[Winning Candidate]]-SamplingData[[#Totals],[Losing Candidate]]), 0)</f>
        <v>1.565948056357155E-2</v>
      </c>
      <c r="R1015" s="99">
        <f>IF(AND(SamplingData[[#This Row],[Total]]&lt;&gt; 0, NOT(ISBLANK(SamplingData[[#This Row],[Candidate 3]]))),(SamplingData[[#This Row],[Total]]+SamplingData[[#This Row],[Winning Candidate]]-SamplingData[[#This Row],[Candidate 3]])/(SamplingData[[#Totals],[Winning Candidate]]-SamplingData[[#Totals],[Candidate 3]]), 0)</f>
        <v>0</v>
      </c>
      <c r="S1015" s="99">
        <f>IF(AND(SamplingData[[#This Row],[Total]]&lt;&gt; 0, NOT(ISBLANK(SamplingData[[#This Row],[Candidate 4]]))),(SamplingData[[#This Row],[Total]]+SamplingData[[#This Row],[Winning Candidate]]-SamplingData[[#This Row],[Candidate 4]])/(SamplingData[[#Totals],[Winning Candidate]]-SamplingData[[#Totals],[Candidate 4]]), 0)</f>
        <v>0</v>
      </c>
      <c r="T1015" s="99">
        <f>IF(AND(SamplingData[[#This Row],[Total]]&lt;&gt; 0, NOT(ISBLANK(SamplingData[[#This Row],[Candidate 5]]))),(SamplingData[[#This Row],[Total]]+SamplingData[[#This Row],[Winning Candidate]]-SamplingData[[#This Row],[Candidate 5]])/(SamplingData[[#Totals],[Winning Candidate]]-SamplingData[[#Totals],[Candidate 5]]), 0)</f>
        <v>0</v>
      </c>
      <c r="U1015" s="99">
        <f>IF(AND(SamplingData[[#This Row],[Total]]&lt;&gt; 0, NOT(ISBLANK(SamplingData[[#This Row],[Candidate 6]]))),(SamplingData[[#This Row],[Total]]+SamplingData[[#This Row],[Losing Candidate]]-SamplingData[[#This Row],[Candidate 6]])/(SamplingData[[#Totals],[Winning Candidate]]-SamplingData[[#Totals],[Candidate 6]]), 0)</f>
        <v>0</v>
      </c>
      <c r="V1015" s="99">
        <f>IF(AND(SamplingData[[#This Row],[Total]]&lt;&gt; 0, NOT(ISBLANK(SamplingData[[#This Row],[Candidate 7]]))),(SamplingData[[#This Row],[Total]]+SamplingData[[#This Row],[Winning Candidate]]-SamplingData[[#This Row],[Candidate 7]])/(SamplingData[[#Totals],[Winning Candidate]]-SamplingData[[#Totals],[Candidate 7]]), 0)</f>
        <v>0</v>
      </c>
      <c r="W1015" s="99">
        <f>IF(AND(SamplingData[[#This Row],[Total]]&lt;&gt; 0, NOT(ISBLANK(SamplingData[[#This Row],[Candidate 8]]))),(SamplingData[[#This Row],[Total]]+SamplingData[[#This Row],[Winning Candidate]]-SamplingData[[#This Row],[Candidate 8]])/(SamplingData[[#Totals],[Winning Candidate]]-SamplingData[[#Totals],[Candidate 8]]), 0)</f>
        <v>0</v>
      </c>
      <c r="X10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5" s="99">
        <f>MAX(SamplingData[[#This Row],[Error Bound (up) - Max. possible relative overstatement - Losing Candidate]:[Error Bound (up) - Max. possible relative overstatement - Candidate 12]])</f>
        <v>1.565948056357155E-2</v>
      </c>
      <c r="AC1015" s="99">
        <f>IF(SamplingData[[#This Row],[Max Error Bound (up)]] = 0,0,SamplingData[[#This Row],[Max Error Bound (up)]]/SamplingData[[#Totals],[Max Error Bound (up)]])</f>
        <v>8.3842294688624825E-4</v>
      </c>
      <c r="AD1015" s="103">
        <f>SUM($AC$5:AC1015)</f>
        <v>0.90356318391682366</v>
      </c>
      <c r="AE1015" s="99" t="str" cm="1">
        <f t="array" ref="AE1015">IF(SamplingData[[#This Row],[up/U Selection Probability]] = 0, "Zero", TEXT(SamplingData[[#This Row],[Lower Range]], REPT("0",LEN('General Info'!$B$42))) &amp; " - " &amp; TEXT(SamplingData[[#This Row],[Upper Range]], REPT("0",LEN('General Info'!$B$42))))</f>
        <v>902725 - 903562</v>
      </c>
      <c r="AF1015" s="99">
        <f>SamplingData[[#This Row],[Upper Range]]-SamplingData[[#This Row],[Span]]</f>
        <v>902724.76096993743</v>
      </c>
      <c r="AG1015" s="99">
        <f>IF(ISNUMBER('General Info'!$B$42), ((SamplingData[[#This Row],[up/U Selection Probability]]) * 'General Info'!$B$44) - 1, 0)</f>
        <v>837.42294688624827</v>
      </c>
      <c r="AH1015" s="99">
        <f>IF(ISNUMBER('General Info'!$B$42), (SamplingData[[#This Row],[Running (cumulative) sum]] * ('General Info'!$B$42 -'General Info'!$B$43 + 1)) + 'General Info'!$B$43 - 1, 0)</f>
        <v>903562.18391682371</v>
      </c>
      <c r="AI1015" s="99" t="str">
        <f>IF(ISERROR(MATCH(SamplingData[[#This Row],[Batch by Type (p)]],SelectedPrecincts[Batch Name], 0)), "", INDEX(SelectedPrecincts[Draw], MATCH(SamplingData[[#This Row],[Batch by Type (p)]],SelectedPrecincts[Batch Name], 0)))</f>
        <v/>
      </c>
      <c r="AJ1015" s="100">
        <f>IF(COUNTIF(SelectedPrecincts[Batch Name],SamplingData[[#This Row],[Batch by Type (p)]]) &lt;&gt; 0, COUNTIF(SelectedPrecincts[Batch Name],SamplingData[[#This Row],[Batch by Type (p)]]), 0)</f>
        <v>0</v>
      </c>
    </row>
    <row r="1016" spans="1:36" ht="15" customHeight="1" x14ac:dyDescent="0.35">
      <c r="A1016" s="97" t="s">
        <v>1229</v>
      </c>
      <c r="B1016" s="97">
        <v>99</v>
      </c>
      <c r="C1016" s="97">
        <v>366</v>
      </c>
      <c r="D1016" s="92"/>
      <c r="E1016" s="92"/>
      <c r="F1016" s="92"/>
      <c r="G1016" s="96"/>
      <c r="H1016" s="96"/>
      <c r="I1016" s="92"/>
      <c r="J1016" s="92"/>
      <c r="K1016" s="92"/>
      <c r="L1016" s="92"/>
      <c r="M1016" s="92"/>
      <c r="N1016" s="97">
        <v>0</v>
      </c>
      <c r="O1016" s="97">
        <v>37</v>
      </c>
      <c r="P1016" s="98">
        <f>SUM(SamplingData[[#This Row],[Winning Candidate]:[Under Votes]])</f>
        <v>502</v>
      </c>
      <c r="Q1016" s="99">
        <f>IF(AND(SamplingData[[#This Row],[Total]]&lt;&gt; 0, NOT(ISBLANK(SamplingData[[#This Row],[Losing Candidate]]))),(SamplingData[[#This Row],[Total]]+SamplingData[[#This Row],[Winning Candidate]]-SamplingData[[#This Row],[Losing Candidate]])/(SamplingData[[#Totals],[Winning Candidate]]-SamplingData[[#Totals],[Losing Candidate]]), 0)</f>
        <v>9.9728399253097948E-3</v>
      </c>
      <c r="R1016" s="99">
        <f>IF(AND(SamplingData[[#This Row],[Total]]&lt;&gt; 0, NOT(ISBLANK(SamplingData[[#This Row],[Candidate 3]]))),(SamplingData[[#This Row],[Total]]+SamplingData[[#This Row],[Winning Candidate]]-SamplingData[[#This Row],[Candidate 3]])/(SamplingData[[#Totals],[Winning Candidate]]-SamplingData[[#Totals],[Candidate 3]]), 0)</f>
        <v>0</v>
      </c>
      <c r="S1016" s="99">
        <f>IF(AND(SamplingData[[#This Row],[Total]]&lt;&gt; 0, NOT(ISBLANK(SamplingData[[#This Row],[Candidate 4]]))),(SamplingData[[#This Row],[Total]]+SamplingData[[#This Row],[Winning Candidate]]-SamplingData[[#This Row],[Candidate 4]])/(SamplingData[[#Totals],[Winning Candidate]]-SamplingData[[#Totals],[Candidate 4]]), 0)</f>
        <v>0</v>
      </c>
      <c r="T1016" s="99">
        <f>IF(AND(SamplingData[[#This Row],[Total]]&lt;&gt; 0, NOT(ISBLANK(SamplingData[[#This Row],[Candidate 5]]))),(SamplingData[[#This Row],[Total]]+SamplingData[[#This Row],[Winning Candidate]]-SamplingData[[#This Row],[Candidate 5]])/(SamplingData[[#Totals],[Winning Candidate]]-SamplingData[[#Totals],[Candidate 5]]), 0)</f>
        <v>0</v>
      </c>
      <c r="U1016" s="99">
        <f>IF(AND(SamplingData[[#This Row],[Total]]&lt;&gt; 0, NOT(ISBLANK(SamplingData[[#This Row],[Candidate 6]]))),(SamplingData[[#This Row],[Total]]+SamplingData[[#This Row],[Losing Candidate]]-SamplingData[[#This Row],[Candidate 6]])/(SamplingData[[#Totals],[Winning Candidate]]-SamplingData[[#Totals],[Candidate 6]]), 0)</f>
        <v>0</v>
      </c>
      <c r="V1016" s="99">
        <f>IF(AND(SamplingData[[#This Row],[Total]]&lt;&gt; 0, NOT(ISBLANK(SamplingData[[#This Row],[Candidate 7]]))),(SamplingData[[#This Row],[Total]]+SamplingData[[#This Row],[Winning Candidate]]-SamplingData[[#This Row],[Candidate 7]])/(SamplingData[[#Totals],[Winning Candidate]]-SamplingData[[#Totals],[Candidate 7]]), 0)</f>
        <v>0</v>
      </c>
      <c r="W1016" s="99">
        <f>IF(AND(SamplingData[[#This Row],[Total]]&lt;&gt; 0, NOT(ISBLANK(SamplingData[[#This Row],[Candidate 8]]))),(SamplingData[[#This Row],[Total]]+SamplingData[[#This Row],[Winning Candidate]]-SamplingData[[#This Row],[Candidate 8]])/(SamplingData[[#Totals],[Winning Candidate]]-SamplingData[[#Totals],[Candidate 8]]), 0)</f>
        <v>0</v>
      </c>
      <c r="X10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6" s="99">
        <f>MAX(SamplingData[[#This Row],[Error Bound (up) - Max. possible relative overstatement - Losing Candidate]:[Error Bound (up) - Max. possible relative overstatement - Candidate 12]])</f>
        <v>9.9728399253097948E-3</v>
      </c>
      <c r="AC1016" s="99">
        <f>IF(SamplingData[[#This Row],[Max Error Bound (up)]] = 0,0,SamplingData[[#This Row],[Max Error Bound (up)]]/SamplingData[[#Totals],[Max Error Bound (up)]])</f>
        <v>5.3395499327443992E-4</v>
      </c>
      <c r="AD1016" s="103">
        <f>SUM($AC$5:AC1016)</f>
        <v>0.90409713891009813</v>
      </c>
      <c r="AE1016" s="99" t="str" cm="1">
        <f t="array" ref="AE1016">IF(SamplingData[[#This Row],[up/U Selection Probability]] = 0, "Zero", TEXT(SamplingData[[#This Row],[Lower Range]], REPT("0",LEN('General Info'!$B$42))) &amp; " - " &amp; TEXT(SamplingData[[#This Row],[Upper Range]], REPT("0",LEN('General Info'!$B$42))))</f>
        <v>903563 - 904096</v>
      </c>
      <c r="AF1016" s="99">
        <f>SamplingData[[#This Row],[Upper Range]]-SamplingData[[#This Row],[Span]]</f>
        <v>903563.18391682371</v>
      </c>
      <c r="AG1016" s="99">
        <f>IF(ISNUMBER('General Info'!$B$42), ((SamplingData[[#This Row],[up/U Selection Probability]]) * 'General Info'!$B$44) - 1, 0)</f>
        <v>532.95499327443997</v>
      </c>
      <c r="AH1016" s="99">
        <f>IF(ISNUMBER('General Info'!$B$42), (SamplingData[[#This Row],[Running (cumulative) sum]] * ('General Info'!$B$42 -'General Info'!$B$43 + 1)) + 'General Info'!$B$43 - 1, 0)</f>
        <v>904096.13891009812</v>
      </c>
      <c r="AI1016" s="99" t="str">
        <f>IF(ISERROR(MATCH(SamplingData[[#This Row],[Batch by Type (p)]],SelectedPrecincts[Batch Name], 0)), "", INDEX(SelectedPrecincts[Draw], MATCH(SamplingData[[#This Row],[Batch by Type (p)]],SelectedPrecincts[Batch Name], 0)))</f>
        <v/>
      </c>
      <c r="AJ1016" s="100">
        <f>IF(COUNTIF(SelectedPrecincts[Batch Name],SamplingData[[#This Row],[Batch by Type (p)]]) &lt;&gt; 0, COUNTIF(SelectedPrecincts[Batch Name],SamplingData[[#This Row],[Batch by Type (p)]]), 0)</f>
        <v>0</v>
      </c>
    </row>
    <row r="1017" spans="1:36" ht="15" customHeight="1" x14ac:dyDescent="0.35">
      <c r="A1017" s="97" t="s">
        <v>1230</v>
      </c>
      <c r="B1017" s="97">
        <v>131</v>
      </c>
      <c r="C1017" s="97">
        <v>487</v>
      </c>
      <c r="D1017" s="92"/>
      <c r="E1017" s="92"/>
      <c r="F1017" s="92"/>
      <c r="G1017" s="96"/>
      <c r="H1017" s="96"/>
      <c r="I1017" s="92"/>
      <c r="J1017" s="92"/>
      <c r="K1017" s="92"/>
      <c r="L1017" s="92"/>
      <c r="M1017" s="92"/>
      <c r="N1017" s="97">
        <v>0</v>
      </c>
      <c r="O1017" s="97">
        <v>59</v>
      </c>
      <c r="P1017" s="98">
        <f>SUM(SamplingData[[#This Row],[Winning Candidate]:[Under Votes]])</f>
        <v>677</v>
      </c>
      <c r="Q1017" s="99">
        <f>IF(AND(SamplingData[[#This Row],[Total]]&lt;&gt; 0, NOT(ISBLANK(SamplingData[[#This Row],[Losing Candidate]]))),(SamplingData[[#This Row],[Total]]+SamplingData[[#This Row],[Winning Candidate]]-SamplingData[[#This Row],[Losing Candidate]])/(SamplingData[[#Totals],[Winning Candidate]]-SamplingData[[#Totals],[Losing Candidate]]), 0)</f>
        <v>1.3622474961806144E-2</v>
      </c>
      <c r="R1017" s="99">
        <f>IF(AND(SamplingData[[#This Row],[Total]]&lt;&gt; 0, NOT(ISBLANK(SamplingData[[#This Row],[Candidate 3]]))),(SamplingData[[#This Row],[Total]]+SamplingData[[#This Row],[Winning Candidate]]-SamplingData[[#This Row],[Candidate 3]])/(SamplingData[[#Totals],[Winning Candidate]]-SamplingData[[#Totals],[Candidate 3]]), 0)</f>
        <v>0</v>
      </c>
      <c r="S1017" s="99">
        <f>IF(AND(SamplingData[[#This Row],[Total]]&lt;&gt; 0, NOT(ISBLANK(SamplingData[[#This Row],[Candidate 4]]))),(SamplingData[[#This Row],[Total]]+SamplingData[[#This Row],[Winning Candidate]]-SamplingData[[#This Row],[Candidate 4]])/(SamplingData[[#Totals],[Winning Candidate]]-SamplingData[[#Totals],[Candidate 4]]), 0)</f>
        <v>0</v>
      </c>
      <c r="T1017" s="99">
        <f>IF(AND(SamplingData[[#This Row],[Total]]&lt;&gt; 0, NOT(ISBLANK(SamplingData[[#This Row],[Candidate 5]]))),(SamplingData[[#This Row],[Total]]+SamplingData[[#This Row],[Winning Candidate]]-SamplingData[[#This Row],[Candidate 5]])/(SamplingData[[#Totals],[Winning Candidate]]-SamplingData[[#Totals],[Candidate 5]]), 0)</f>
        <v>0</v>
      </c>
      <c r="U1017" s="99">
        <f>IF(AND(SamplingData[[#This Row],[Total]]&lt;&gt; 0, NOT(ISBLANK(SamplingData[[#This Row],[Candidate 6]]))),(SamplingData[[#This Row],[Total]]+SamplingData[[#This Row],[Losing Candidate]]-SamplingData[[#This Row],[Candidate 6]])/(SamplingData[[#Totals],[Winning Candidate]]-SamplingData[[#Totals],[Candidate 6]]), 0)</f>
        <v>0</v>
      </c>
      <c r="V1017" s="99">
        <f>IF(AND(SamplingData[[#This Row],[Total]]&lt;&gt; 0, NOT(ISBLANK(SamplingData[[#This Row],[Candidate 7]]))),(SamplingData[[#This Row],[Total]]+SamplingData[[#This Row],[Winning Candidate]]-SamplingData[[#This Row],[Candidate 7]])/(SamplingData[[#Totals],[Winning Candidate]]-SamplingData[[#Totals],[Candidate 7]]), 0)</f>
        <v>0</v>
      </c>
      <c r="W1017" s="99">
        <f>IF(AND(SamplingData[[#This Row],[Total]]&lt;&gt; 0, NOT(ISBLANK(SamplingData[[#This Row],[Candidate 8]]))),(SamplingData[[#This Row],[Total]]+SamplingData[[#This Row],[Winning Candidate]]-SamplingData[[#This Row],[Candidate 8]])/(SamplingData[[#Totals],[Winning Candidate]]-SamplingData[[#Totals],[Candidate 8]]), 0)</f>
        <v>0</v>
      </c>
      <c r="X10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7" s="99">
        <f>MAX(SamplingData[[#This Row],[Error Bound (up) - Max. possible relative overstatement - Losing Candidate]:[Error Bound (up) - Max. possible relative overstatement - Candidate 12]])</f>
        <v>1.3622474961806144E-2</v>
      </c>
      <c r="AC1017" s="99">
        <f>IF(SamplingData[[#This Row],[Max Error Bound (up)]] = 0,0,SamplingData[[#This Row],[Max Error Bound (up)]]/SamplingData[[#Totals],[Max Error Bound (up)]])</f>
        <v>7.2935979932380935E-4</v>
      </c>
      <c r="AD1017" s="103">
        <f>SUM($AC$5:AC1017)</f>
        <v>0.90482649870942189</v>
      </c>
      <c r="AE1017" s="99" t="str" cm="1">
        <f t="array" ref="AE1017">IF(SamplingData[[#This Row],[up/U Selection Probability]] = 0, "Zero", TEXT(SamplingData[[#This Row],[Lower Range]], REPT("0",LEN('General Info'!$B$42))) &amp; " - " &amp; TEXT(SamplingData[[#This Row],[Upper Range]], REPT("0",LEN('General Info'!$B$42))))</f>
        <v>904097 - 904825</v>
      </c>
      <c r="AF1017" s="99">
        <f>SamplingData[[#This Row],[Upper Range]]-SamplingData[[#This Row],[Span]]</f>
        <v>904097.138910098</v>
      </c>
      <c r="AG1017" s="99">
        <f>IF(ISNUMBER('General Info'!$B$42), ((SamplingData[[#This Row],[up/U Selection Probability]]) * 'General Info'!$B$44) - 1, 0)</f>
        <v>728.3597993238094</v>
      </c>
      <c r="AH1017" s="99">
        <f>IF(ISNUMBER('General Info'!$B$42), (SamplingData[[#This Row],[Running (cumulative) sum]] * ('General Info'!$B$42 -'General Info'!$B$43 + 1)) + 'General Info'!$B$43 - 1, 0)</f>
        <v>904825.49870942184</v>
      </c>
      <c r="AI1017" s="99" t="str">
        <f>IF(ISERROR(MATCH(SamplingData[[#This Row],[Batch by Type (p)]],SelectedPrecincts[Batch Name], 0)), "", INDEX(SelectedPrecincts[Draw], MATCH(SamplingData[[#This Row],[Batch by Type (p)]],SelectedPrecincts[Batch Name], 0)))</f>
        <v/>
      </c>
      <c r="AJ1017" s="100">
        <f>IF(COUNTIF(SelectedPrecincts[Batch Name],SamplingData[[#This Row],[Batch by Type (p)]]) &lt;&gt; 0, COUNTIF(SelectedPrecincts[Batch Name],SamplingData[[#This Row],[Batch by Type (p)]]), 0)</f>
        <v>0</v>
      </c>
    </row>
    <row r="1018" spans="1:36" ht="15" customHeight="1" x14ac:dyDescent="0.35">
      <c r="A1018" s="97" t="s">
        <v>1231</v>
      </c>
      <c r="B1018" s="97">
        <v>103</v>
      </c>
      <c r="C1018" s="97">
        <v>380</v>
      </c>
      <c r="D1018" s="92"/>
      <c r="E1018" s="92"/>
      <c r="F1018" s="92"/>
      <c r="G1018" s="96"/>
      <c r="H1018" s="96"/>
      <c r="I1018" s="92"/>
      <c r="J1018" s="92"/>
      <c r="K1018" s="92"/>
      <c r="L1018" s="92"/>
      <c r="M1018" s="92"/>
      <c r="N1018" s="97">
        <v>0</v>
      </c>
      <c r="O1018" s="97">
        <v>37</v>
      </c>
      <c r="P1018" s="98">
        <f>SUM(SamplingData[[#This Row],[Winning Candidate]:[Under Votes]])</f>
        <v>520</v>
      </c>
      <c r="Q1018" s="99">
        <f>IF(AND(SamplingData[[#This Row],[Total]]&lt;&gt; 0, NOT(ISBLANK(SamplingData[[#This Row],[Losing Candidate]]))),(SamplingData[[#This Row],[Total]]+SamplingData[[#This Row],[Winning Candidate]]-SamplingData[[#This Row],[Losing Candidate]])/(SamplingData[[#Totals],[Winning Candidate]]-SamplingData[[#Totals],[Losing Candidate]]), 0)</f>
        <v>1.0312340858937362E-2</v>
      </c>
      <c r="R1018" s="99">
        <f>IF(AND(SamplingData[[#This Row],[Total]]&lt;&gt; 0, NOT(ISBLANK(SamplingData[[#This Row],[Candidate 3]]))),(SamplingData[[#This Row],[Total]]+SamplingData[[#This Row],[Winning Candidate]]-SamplingData[[#This Row],[Candidate 3]])/(SamplingData[[#Totals],[Winning Candidate]]-SamplingData[[#Totals],[Candidate 3]]), 0)</f>
        <v>0</v>
      </c>
      <c r="S1018" s="99">
        <f>IF(AND(SamplingData[[#This Row],[Total]]&lt;&gt; 0, NOT(ISBLANK(SamplingData[[#This Row],[Candidate 4]]))),(SamplingData[[#This Row],[Total]]+SamplingData[[#This Row],[Winning Candidate]]-SamplingData[[#This Row],[Candidate 4]])/(SamplingData[[#Totals],[Winning Candidate]]-SamplingData[[#Totals],[Candidate 4]]), 0)</f>
        <v>0</v>
      </c>
      <c r="T1018" s="99">
        <f>IF(AND(SamplingData[[#This Row],[Total]]&lt;&gt; 0, NOT(ISBLANK(SamplingData[[#This Row],[Candidate 5]]))),(SamplingData[[#This Row],[Total]]+SamplingData[[#This Row],[Winning Candidate]]-SamplingData[[#This Row],[Candidate 5]])/(SamplingData[[#Totals],[Winning Candidate]]-SamplingData[[#Totals],[Candidate 5]]), 0)</f>
        <v>0</v>
      </c>
      <c r="U1018" s="99">
        <f>IF(AND(SamplingData[[#This Row],[Total]]&lt;&gt; 0, NOT(ISBLANK(SamplingData[[#This Row],[Candidate 6]]))),(SamplingData[[#This Row],[Total]]+SamplingData[[#This Row],[Losing Candidate]]-SamplingData[[#This Row],[Candidate 6]])/(SamplingData[[#Totals],[Winning Candidate]]-SamplingData[[#Totals],[Candidate 6]]), 0)</f>
        <v>0</v>
      </c>
      <c r="V1018" s="99">
        <f>IF(AND(SamplingData[[#This Row],[Total]]&lt;&gt; 0, NOT(ISBLANK(SamplingData[[#This Row],[Candidate 7]]))),(SamplingData[[#This Row],[Total]]+SamplingData[[#This Row],[Winning Candidate]]-SamplingData[[#This Row],[Candidate 7]])/(SamplingData[[#Totals],[Winning Candidate]]-SamplingData[[#Totals],[Candidate 7]]), 0)</f>
        <v>0</v>
      </c>
      <c r="W1018" s="99">
        <f>IF(AND(SamplingData[[#This Row],[Total]]&lt;&gt; 0, NOT(ISBLANK(SamplingData[[#This Row],[Candidate 8]]))),(SamplingData[[#This Row],[Total]]+SamplingData[[#This Row],[Winning Candidate]]-SamplingData[[#This Row],[Candidate 8]])/(SamplingData[[#Totals],[Winning Candidate]]-SamplingData[[#Totals],[Candidate 8]]), 0)</f>
        <v>0</v>
      </c>
      <c r="X10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8" s="99">
        <f>MAX(SamplingData[[#This Row],[Error Bound (up) - Max. possible relative overstatement - Losing Candidate]:[Error Bound (up) - Max. possible relative overstatement - Candidate 12]])</f>
        <v>1.0312340858937362E-2</v>
      </c>
      <c r="AC1018" s="99">
        <f>IF(SamplingData[[#This Row],[Max Error Bound (up)]] = 0,0,SamplingData[[#This Row],[Max Error Bound (up)]]/SamplingData[[#Totals],[Max Error Bound (up)]])</f>
        <v>5.5213218453484638E-4</v>
      </c>
      <c r="AD1018" s="103">
        <f>SUM($AC$5:AC1018)</f>
        <v>0.90537863089395676</v>
      </c>
      <c r="AE1018" s="99" t="str" cm="1">
        <f t="array" ref="AE1018">IF(SamplingData[[#This Row],[up/U Selection Probability]] = 0, "Zero", TEXT(SamplingData[[#This Row],[Lower Range]], REPT("0",LEN('General Info'!$B$42))) &amp; " - " &amp; TEXT(SamplingData[[#This Row],[Upper Range]], REPT("0",LEN('General Info'!$B$42))))</f>
        <v>904826 - 905378</v>
      </c>
      <c r="AF1018" s="99">
        <f>SamplingData[[#This Row],[Upper Range]]-SamplingData[[#This Row],[Span]]</f>
        <v>904826.49870942195</v>
      </c>
      <c r="AG1018" s="99">
        <f>IF(ISNUMBER('General Info'!$B$42), ((SamplingData[[#This Row],[up/U Selection Probability]]) * 'General Info'!$B$44) - 1, 0)</f>
        <v>551.13218453484637</v>
      </c>
      <c r="AH1018" s="99">
        <f>IF(ISNUMBER('General Info'!$B$42), (SamplingData[[#This Row],[Running (cumulative) sum]] * ('General Info'!$B$42 -'General Info'!$B$43 + 1)) + 'General Info'!$B$43 - 1, 0)</f>
        <v>905377.63089395675</v>
      </c>
      <c r="AI1018" s="99" t="str">
        <f>IF(ISERROR(MATCH(SamplingData[[#This Row],[Batch by Type (p)]],SelectedPrecincts[Batch Name], 0)), "", INDEX(SelectedPrecincts[Draw], MATCH(SamplingData[[#This Row],[Batch by Type (p)]],SelectedPrecincts[Batch Name], 0)))</f>
        <v/>
      </c>
      <c r="AJ1018" s="100">
        <f>IF(COUNTIF(SelectedPrecincts[Batch Name],SamplingData[[#This Row],[Batch by Type (p)]]) &lt;&gt; 0, COUNTIF(SelectedPrecincts[Batch Name],SamplingData[[#This Row],[Batch by Type (p)]]), 0)</f>
        <v>0</v>
      </c>
    </row>
    <row r="1019" spans="1:36" ht="15" customHeight="1" x14ac:dyDescent="0.35">
      <c r="A1019" s="97" t="s">
        <v>1232</v>
      </c>
      <c r="B1019" s="97">
        <v>120</v>
      </c>
      <c r="C1019" s="97">
        <v>366</v>
      </c>
      <c r="D1019" s="92"/>
      <c r="E1019" s="92"/>
      <c r="F1019" s="92"/>
      <c r="G1019" s="96"/>
      <c r="H1019" s="96"/>
      <c r="I1019" s="92"/>
      <c r="J1019" s="92"/>
      <c r="K1019" s="92"/>
      <c r="L1019" s="92"/>
      <c r="M1019" s="92"/>
      <c r="N1019" s="97">
        <v>1</v>
      </c>
      <c r="O1019" s="97">
        <v>31</v>
      </c>
      <c r="P1019" s="98">
        <f>SUM(SamplingData[[#This Row],[Winning Candidate]:[Under Votes]])</f>
        <v>518</v>
      </c>
      <c r="Q1019" s="99">
        <f>IF(AND(SamplingData[[#This Row],[Total]]&lt;&gt; 0, NOT(ISBLANK(SamplingData[[#This Row],[Losing Candidate]]))),(SamplingData[[#This Row],[Total]]+SamplingData[[#This Row],[Winning Candidate]]-SamplingData[[#This Row],[Losing Candidate]])/(SamplingData[[#Totals],[Winning Candidate]]-SamplingData[[#Totals],[Losing Candidate]]), 0)</f>
        <v>1.1543031743337295E-2</v>
      </c>
      <c r="R1019" s="99">
        <f>IF(AND(SamplingData[[#This Row],[Total]]&lt;&gt; 0, NOT(ISBLANK(SamplingData[[#This Row],[Candidate 3]]))),(SamplingData[[#This Row],[Total]]+SamplingData[[#This Row],[Winning Candidate]]-SamplingData[[#This Row],[Candidate 3]])/(SamplingData[[#Totals],[Winning Candidate]]-SamplingData[[#Totals],[Candidate 3]]), 0)</f>
        <v>0</v>
      </c>
      <c r="S1019" s="99">
        <f>IF(AND(SamplingData[[#This Row],[Total]]&lt;&gt; 0, NOT(ISBLANK(SamplingData[[#This Row],[Candidate 4]]))),(SamplingData[[#This Row],[Total]]+SamplingData[[#This Row],[Winning Candidate]]-SamplingData[[#This Row],[Candidate 4]])/(SamplingData[[#Totals],[Winning Candidate]]-SamplingData[[#Totals],[Candidate 4]]), 0)</f>
        <v>0</v>
      </c>
      <c r="T1019" s="99">
        <f>IF(AND(SamplingData[[#This Row],[Total]]&lt;&gt; 0, NOT(ISBLANK(SamplingData[[#This Row],[Candidate 5]]))),(SamplingData[[#This Row],[Total]]+SamplingData[[#This Row],[Winning Candidate]]-SamplingData[[#This Row],[Candidate 5]])/(SamplingData[[#Totals],[Winning Candidate]]-SamplingData[[#Totals],[Candidate 5]]), 0)</f>
        <v>0</v>
      </c>
      <c r="U1019" s="99">
        <f>IF(AND(SamplingData[[#This Row],[Total]]&lt;&gt; 0, NOT(ISBLANK(SamplingData[[#This Row],[Candidate 6]]))),(SamplingData[[#This Row],[Total]]+SamplingData[[#This Row],[Losing Candidate]]-SamplingData[[#This Row],[Candidate 6]])/(SamplingData[[#Totals],[Winning Candidate]]-SamplingData[[#Totals],[Candidate 6]]), 0)</f>
        <v>0</v>
      </c>
      <c r="V1019" s="99">
        <f>IF(AND(SamplingData[[#This Row],[Total]]&lt;&gt; 0, NOT(ISBLANK(SamplingData[[#This Row],[Candidate 7]]))),(SamplingData[[#This Row],[Total]]+SamplingData[[#This Row],[Winning Candidate]]-SamplingData[[#This Row],[Candidate 7]])/(SamplingData[[#Totals],[Winning Candidate]]-SamplingData[[#Totals],[Candidate 7]]), 0)</f>
        <v>0</v>
      </c>
      <c r="W1019" s="99">
        <f>IF(AND(SamplingData[[#This Row],[Total]]&lt;&gt; 0, NOT(ISBLANK(SamplingData[[#This Row],[Candidate 8]]))),(SamplingData[[#This Row],[Total]]+SamplingData[[#This Row],[Winning Candidate]]-SamplingData[[#This Row],[Candidate 8]])/(SamplingData[[#Totals],[Winning Candidate]]-SamplingData[[#Totals],[Candidate 8]]), 0)</f>
        <v>0</v>
      </c>
      <c r="X10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9" s="99">
        <f>MAX(SamplingData[[#This Row],[Error Bound (up) - Max. possible relative overstatement - Losing Candidate]:[Error Bound (up) - Max. possible relative overstatement - Candidate 12]])</f>
        <v>1.1543031743337295E-2</v>
      </c>
      <c r="AC1019" s="99">
        <f>IF(SamplingData[[#This Row],[Max Error Bound (up)]] = 0,0,SamplingData[[#This Row],[Max Error Bound (up)]]/SamplingData[[#Totals],[Max Error Bound (up)]])</f>
        <v>6.1802450285381989E-4</v>
      </c>
      <c r="AD1019" s="103">
        <f>SUM($AC$5:AC1019)</f>
        <v>0.90599665539681062</v>
      </c>
      <c r="AE1019" s="99" t="str" cm="1">
        <f t="array" ref="AE1019">IF(SamplingData[[#This Row],[up/U Selection Probability]] = 0, "Zero", TEXT(SamplingData[[#This Row],[Lower Range]], REPT("0",LEN('General Info'!$B$42))) &amp; " - " &amp; TEXT(SamplingData[[#This Row],[Upper Range]], REPT("0",LEN('General Info'!$B$42))))</f>
        <v>905379 - 905996</v>
      </c>
      <c r="AF1019" s="99">
        <f>SamplingData[[#This Row],[Upper Range]]-SamplingData[[#This Row],[Span]]</f>
        <v>905378.63089395675</v>
      </c>
      <c r="AG1019" s="99">
        <f>IF(ISNUMBER('General Info'!$B$42), ((SamplingData[[#This Row],[up/U Selection Probability]]) * 'General Info'!$B$44) - 1, 0)</f>
        <v>617.02450285381985</v>
      </c>
      <c r="AH1019" s="99">
        <f>IF(ISNUMBER('General Info'!$B$42), (SamplingData[[#This Row],[Running (cumulative) sum]] * ('General Info'!$B$42 -'General Info'!$B$43 + 1)) + 'General Info'!$B$43 - 1, 0)</f>
        <v>905995.65539681062</v>
      </c>
      <c r="AI1019" s="99" t="str">
        <f>IF(ISERROR(MATCH(SamplingData[[#This Row],[Batch by Type (p)]],SelectedPrecincts[Batch Name], 0)), "", INDEX(SelectedPrecincts[Draw], MATCH(SamplingData[[#This Row],[Batch by Type (p)]],SelectedPrecincts[Batch Name], 0)))</f>
        <v/>
      </c>
      <c r="AJ1019" s="100">
        <f>IF(COUNTIF(SelectedPrecincts[Batch Name],SamplingData[[#This Row],[Batch by Type (p)]]) &lt;&gt; 0, COUNTIF(SelectedPrecincts[Batch Name],SamplingData[[#This Row],[Batch by Type (p)]]), 0)</f>
        <v>0</v>
      </c>
    </row>
    <row r="1020" spans="1:36" ht="15" customHeight="1" x14ac:dyDescent="0.35">
      <c r="A1020" s="97" t="s">
        <v>1233</v>
      </c>
      <c r="B1020" s="97">
        <v>135</v>
      </c>
      <c r="C1020" s="97">
        <v>327</v>
      </c>
      <c r="D1020" s="92"/>
      <c r="E1020" s="92"/>
      <c r="F1020" s="92"/>
      <c r="G1020" s="96"/>
      <c r="H1020" s="96"/>
      <c r="I1020" s="92"/>
      <c r="J1020" s="92"/>
      <c r="K1020" s="92"/>
      <c r="L1020" s="92"/>
      <c r="M1020" s="92"/>
      <c r="N1020" s="97">
        <v>0</v>
      </c>
      <c r="O1020" s="97">
        <v>29</v>
      </c>
      <c r="P1020" s="98">
        <f>SUM(SamplingData[[#This Row],[Winning Candidate]:[Under Votes]])</f>
        <v>491</v>
      </c>
      <c r="Q1020" s="99">
        <f>IF(AND(SamplingData[[#This Row],[Total]]&lt;&gt; 0, NOT(ISBLANK(SamplingData[[#This Row],[Losing Candidate]]))),(SamplingData[[#This Row],[Total]]+SamplingData[[#This Row],[Winning Candidate]]-SamplingData[[#This Row],[Losing Candidate]])/(SamplingData[[#Totals],[Winning Candidate]]-SamplingData[[#Totals],[Losing Candidate]]), 0)</f>
        <v>1.2688847394330334E-2</v>
      </c>
      <c r="R1020" s="99">
        <f>IF(AND(SamplingData[[#This Row],[Total]]&lt;&gt; 0, NOT(ISBLANK(SamplingData[[#This Row],[Candidate 3]]))),(SamplingData[[#This Row],[Total]]+SamplingData[[#This Row],[Winning Candidate]]-SamplingData[[#This Row],[Candidate 3]])/(SamplingData[[#Totals],[Winning Candidate]]-SamplingData[[#Totals],[Candidate 3]]), 0)</f>
        <v>0</v>
      </c>
      <c r="S1020" s="99">
        <f>IF(AND(SamplingData[[#This Row],[Total]]&lt;&gt; 0, NOT(ISBLANK(SamplingData[[#This Row],[Candidate 4]]))),(SamplingData[[#This Row],[Total]]+SamplingData[[#This Row],[Winning Candidate]]-SamplingData[[#This Row],[Candidate 4]])/(SamplingData[[#Totals],[Winning Candidate]]-SamplingData[[#Totals],[Candidate 4]]), 0)</f>
        <v>0</v>
      </c>
      <c r="T1020" s="99">
        <f>IF(AND(SamplingData[[#This Row],[Total]]&lt;&gt; 0, NOT(ISBLANK(SamplingData[[#This Row],[Candidate 5]]))),(SamplingData[[#This Row],[Total]]+SamplingData[[#This Row],[Winning Candidate]]-SamplingData[[#This Row],[Candidate 5]])/(SamplingData[[#Totals],[Winning Candidate]]-SamplingData[[#Totals],[Candidate 5]]), 0)</f>
        <v>0</v>
      </c>
      <c r="U1020" s="99">
        <f>IF(AND(SamplingData[[#This Row],[Total]]&lt;&gt; 0, NOT(ISBLANK(SamplingData[[#This Row],[Candidate 6]]))),(SamplingData[[#This Row],[Total]]+SamplingData[[#This Row],[Losing Candidate]]-SamplingData[[#This Row],[Candidate 6]])/(SamplingData[[#Totals],[Winning Candidate]]-SamplingData[[#Totals],[Candidate 6]]), 0)</f>
        <v>0</v>
      </c>
      <c r="V1020" s="99">
        <f>IF(AND(SamplingData[[#This Row],[Total]]&lt;&gt; 0, NOT(ISBLANK(SamplingData[[#This Row],[Candidate 7]]))),(SamplingData[[#This Row],[Total]]+SamplingData[[#This Row],[Winning Candidate]]-SamplingData[[#This Row],[Candidate 7]])/(SamplingData[[#Totals],[Winning Candidate]]-SamplingData[[#Totals],[Candidate 7]]), 0)</f>
        <v>0</v>
      </c>
      <c r="W1020" s="99">
        <f>IF(AND(SamplingData[[#This Row],[Total]]&lt;&gt; 0, NOT(ISBLANK(SamplingData[[#This Row],[Candidate 8]]))),(SamplingData[[#This Row],[Total]]+SamplingData[[#This Row],[Winning Candidate]]-SamplingData[[#This Row],[Candidate 8]])/(SamplingData[[#Totals],[Winning Candidate]]-SamplingData[[#Totals],[Candidate 8]]), 0)</f>
        <v>0</v>
      </c>
      <c r="X10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0" s="99">
        <f>MAX(SamplingData[[#This Row],[Error Bound (up) - Max. possible relative overstatement - Losing Candidate]:[Error Bound (up) - Max. possible relative overstatement - Candidate 12]])</f>
        <v>1.2688847394330334E-2</v>
      </c>
      <c r="AC1020" s="99">
        <f>IF(SamplingData[[#This Row],[Max Error Bound (up)]] = 0,0,SamplingData[[#This Row],[Max Error Bound (up)]]/SamplingData[[#Totals],[Max Error Bound (up)]])</f>
        <v>6.7937252335769163E-4</v>
      </c>
      <c r="AD1020" s="103">
        <f>SUM($AC$5:AC1020)</f>
        <v>0.90667602792016833</v>
      </c>
      <c r="AE1020" s="99" t="str" cm="1">
        <f t="array" ref="AE1020">IF(SamplingData[[#This Row],[up/U Selection Probability]] = 0, "Zero", TEXT(SamplingData[[#This Row],[Lower Range]], REPT("0",LEN('General Info'!$B$42))) &amp; " - " &amp; TEXT(SamplingData[[#This Row],[Upper Range]], REPT("0",LEN('General Info'!$B$42))))</f>
        <v>905997 - 906675</v>
      </c>
      <c r="AF1020" s="99">
        <f>SamplingData[[#This Row],[Upper Range]]-SamplingData[[#This Row],[Span]]</f>
        <v>905996.65539681062</v>
      </c>
      <c r="AG1020" s="99">
        <f>IF(ISNUMBER('General Info'!$B$42), ((SamplingData[[#This Row],[up/U Selection Probability]]) * 'General Info'!$B$44) - 1, 0)</f>
        <v>678.37252335769165</v>
      </c>
      <c r="AH1020" s="99">
        <f>IF(ISNUMBER('General Info'!$B$42), (SamplingData[[#This Row],[Running (cumulative) sum]] * ('General Info'!$B$42 -'General Info'!$B$43 + 1)) + 'General Info'!$B$43 - 1, 0)</f>
        <v>906675.02792016836</v>
      </c>
      <c r="AI1020" s="99" t="str">
        <f>IF(ISERROR(MATCH(SamplingData[[#This Row],[Batch by Type (p)]],SelectedPrecincts[Batch Name], 0)), "", INDEX(SelectedPrecincts[Draw], MATCH(SamplingData[[#This Row],[Batch by Type (p)]],SelectedPrecincts[Batch Name], 0)))</f>
        <v/>
      </c>
      <c r="AJ1020" s="100">
        <f>IF(COUNTIF(SelectedPrecincts[Batch Name],SamplingData[[#This Row],[Batch by Type (p)]]) &lt;&gt; 0, COUNTIF(SelectedPrecincts[Batch Name],SamplingData[[#This Row],[Batch by Type (p)]]), 0)</f>
        <v>0</v>
      </c>
    </row>
    <row r="1021" spans="1:36" ht="15" customHeight="1" x14ac:dyDescent="0.35">
      <c r="A1021" s="97" t="s">
        <v>1234</v>
      </c>
      <c r="B1021" s="97">
        <v>81</v>
      </c>
      <c r="C1021" s="97">
        <v>251</v>
      </c>
      <c r="D1021" s="92"/>
      <c r="E1021" s="92"/>
      <c r="F1021" s="92"/>
      <c r="G1021" s="96"/>
      <c r="H1021" s="96"/>
      <c r="I1021" s="92"/>
      <c r="J1021" s="92"/>
      <c r="K1021" s="92"/>
      <c r="L1021" s="92"/>
      <c r="M1021" s="92"/>
      <c r="N1021" s="97">
        <v>0</v>
      </c>
      <c r="O1021" s="97">
        <v>15</v>
      </c>
      <c r="P1021" s="98">
        <f>SUM(SamplingData[[#This Row],[Winning Candidate]:[Under Votes]])</f>
        <v>347</v>
      </c>
      <c r="Q1021" s="99">
        <f>IF(AND(SamplingData[[#This Row],[Total]]&lt;&gt; 0, NOT(ISBLANK(SamplingData[[#This Row],[Losing Candidate]]))),(SamplingData[[#This Row],[Total]]+SamplingData[[#This Row],[Winning Candidate]]-SamplingData[[#This Row],[Losing Candidate]])/(SamplingData[[#Totals],[Winning Candidate]]-SamplingData[[#Totals],[Losing Candidate]]), 0)</f>
        <v>7.5114581565099304E-3</v>
      </c>
      <c r="R1021" s="99">
        <f>IF(AND(SamplingData[[#This Row],[Total]]&lt;&gt; 0, NOT(ISBLANK(SamplingData[[#This Row],[Candidate 3]]))),(SamplingData[[#This Row],[Total]]+SamplingData[[#This Row],[Winning Candidate]]-SamplingData[[#This Row],[Candidate 3]])/(SamplingData[[#Totals],[Winning Candidate]]-SamplingData[[#Totals],[Candidate 3]]), 0)</f>
        <v>0</v>
      </c>
      <c r="S1021" s="99">
        <f>IF(AND(SamplingData[[#This Row],[Total]]&lt;&gt; 0, NOT(ISBLANK(SamplingData[[#This Row],[Candidate 4]]))),(SamplingData[[#This Row],[Total]]+SamplingData[[#This Row],[Winning Candidate]]-SamplingData[[#This Row],[Candidate 4]])/(SamplingData[[#Totals],[Winning Candidate]]-SamplingData[[#Totals],[Candidate 4]]), 0)</f>
        <v>0</v>
      </c>
      <c r="T1021" s="99">
        <f>IF(AND(SamplingData[[#This Row],[Total]]&lt;&gt; 0, NOT(ISBLANK(SamplingData[[#This Row],[Candidate 5]]))),(SamplingData[[#This Row],[Total]]+SamplingData[[#This Row],[Winning Candidate]]-SamplingData[[#This Row],[Candidate 5]])/(SamplingData[[#Totals],[Winning Candidate]]-SamplingData[[#Totals],[Candidate 5]]), 0)</f>
        <v>0</v>
      </c>
      <c r="U1021" s="99">
        <f>IF(AND(SamplingData[[#This Row],[Total]]&lt;&gt; 0, NOT(ISBLANK(SamplingData[[#This Row],[Candidate 6]]))),(SamplingData[[#This Row],[Total]]+SamplingData[[#This Row],[Losing Candidate]]-SamplingData[[#This Row],[Candidate 6]])/(SamplingData[[#Totals],[Winning Candidate]]-SamplingData[[#Totals],[Candidate 6]]), 0)</f>
        <v>0</v>
      </c>
      <c r="V1021" s="99">
        <f>IF(AND(SamplingData[[#This Row],[Total]]&lt;&gt; 0, NOT(ISBLANK(SamplingData[[#This Row],[Candidate 7]]))),(SamplingData[[#This Row],[Total]]+SamplingData[[#This Row],[Winning Candidate]]-SamplingData[[#This Row],[Candidate 7]])/(SamplingData[[#Totals],[Winning Candidate]]-SamplingData[[#Totals],[Candidate 7]]), 0)</f>
        <v>0</v>
      </c>
      <c r="W1021" s="99">
        <f>IF(AND(SamplingData[[#This Row],[Total]]&lt;&gt; 0, NOT(ISBLANK(SamplingData[[#This Row],[Candidate 8]]))),(SamplingData[[#This Row],[Total]]+SamplingData[[#This Row],[Winning Candidate]]-SamplingData[[#This Row],[Candidate 8]])/(SamplingData[[#Totals],[Winning Candidate]]-SamplingData[[#Totals],[Candidate 8]]), 0)</f>
        <v>0</v>
      </c>
      <c r="X10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1" s="99">
        <f>MAX(SamplingData[[#This Row],[Error Bound (up) - Max. possible relative overstatement - Losing Candidate]:[Error Bound (up) - Max. possible relative overstatement - Candidate 12]])</f>
        <v>7.5114581565099304E-3</v>
      </c>
      <c r="AC1021" s="99">
        <f>IF(SamplingData[[#This Row],[Max Error Bound (up)]] = 0,0,SamplingData[[#This Row],[Max Error Bound (up)]]/SamplingData[[#Totals],[Max Error Bound (up)]])</f>
        <v>4.0217035663649305E-4</v>
      </c>
      <c r="AD1021" s="103">
        <f>SUM($AC$5:AC1021)</f>
        <v>0.9070781982768048</v>
      </c>
      <c r="AE1021" s="99" t="str" cm="1">
        <f t="array" ref="AE1021">IF(SamplingData[[#This Row],[up/U Selection Probability]] = 0, "Zero", TEXT(SamplingData[[#This Row],[Lower Range]], REPT("0",LEN('General Info'!$B$42))) &amp; " - " &amp; TEXT(SamplingData[[#This Row],[Upper Range]], REPT("0",LEN('General Info'!$B$42))))</f>
        <v>906676 - 907077</v>
      </c>
      <c r="AF1021" s="99">
        <f>SamplingData[[#This Row],[Upper Range]]-SamplingData[[#This Row],[Span]]</f>
        <v>906676.02792016824</v>
      </c>
      <c r="AG1021" s="99">
        <f>IF(ISNUMBER('General Info'!$B$42), ((SamplingData[[#This Row],[up/U Selection Probability]]) * 'General Info'!$B$44) - 1, 0)</f>
        <v>401.17035663649307</v>
      </c>
      <c r="AH1021" s="99">
        <f>IF(ISNUMBER('General Info'!$B$42), (SamplingData[[#This Row],[Running (cumulative) sum]] * ('General Info'!$B$42 -'General Info'!$B$43 + 1)) + 'General Info'!$B$43 - 1, 0)</f>
        <v>907077.19827680476</v>
      </c>
      <c r="AI1021" s="99" t="str">
        <f>IF(ISERROR(MATCH(SamplingData[[#This Row],[Batch by Type (p)]],SelectedPrecincts[Batch Name], 0)), "", INDEX(SelectedPrecincts[Draw], MATCH(SamplingData[[#This Row],[Batch by Type (p)]],SelectedPrecincts[Batch Name], 0)))</f>
        <v/>
      </c>
      <c r="AJ1021" s="100">
        <f>IF(COUNTIF(SelectedPrecincts[Batch Name],SamplingData[[#This Row],[Batch by Type (p)]]) &lt;&gt; 0, COUNTIF(SelectedPrecincts[Batch Name],SamplingData[[#This Row],[Batch by Type (p)]]), 0)</f>
        <v>0</v>
      </c>
    </row>
    <row r="1022" spans="1:36" ht="15" customHeight="1" x14ac:dyDescent="0.35">
      <c r="A1022" s="97" t="s">
        <v>1235</v>
      </c>
      <c r="B1022" s="97">
        <v>169</v>
      </c>
      <c r="C1022" s="97">
        <v>322</v>
      </c>
      <c r="D1022" s="92"/>
      <c r="E1022" s="92"/>
      <c r="F1022" s="92"/>
      <c r="G1022" s="96"/>
      <c r="H1022" s="96"/>
      <c r="I1022" s="92"/>
      <c r="J1022" s="92"/>
      <c r="K1022" s="92"/>
      <c r="L1022" s="92"/>
      <c r="M1022" s="92"/>
      <c r="N1022" s="97">
        <v>0</v>
      </c>
      <c r="O1022" s="97">
        <v>38</v>
      </c>
      <c r="P1022" s="98">
        <f>SUM(SamplingData[[#This Row],[Winning Candidate]:[Under Votes]])</f>
        <v>529</v>
      </c>
      <c r="Q1022" s="99">
        <f>IF(AND(SamplingData[[#This Row],[Total]]&lt;&gt; 0, NOT(ISBLANK(SamplingData[[#This Row],[Losing Candidate]]))),(SamplingData[[#This Row],[Total]]+SamplingData[[#This Row],[Winning Candidate]]-SamplingData[[#This Row],[Losing Candidate]])/(SamplingData[[#Totals],[Winning Candidate]]-SamplingData[[#Totals],[Losing Candidate]]), 0)</f>
        <v>1.5956543880495673E-2</v>
      </c>
      <c r="R1022" s="99">
        <f>IF(AND(SamplingData[[#This Row],[Total]]&lt;&gt; 0, NOT(ISBLANK(SamplingData[[#This Row],[Candidate 3]]))),(SamplingData[[#This Row],[Total]]+SamplingData[[#This Row],[Winning Candidate]]-SamplingData[[#This Row],[Candidate 3]])/(SamplingData[[#Totals],[Winning Candidate]]-SamplingData[[#Totals],[Candidate 3]]), 0)</f>
        <v>0</v>
      </c>
      <c r="S1022" s="99">
        <f>IF(AND(SamplingData[[#This Row],[Total]]&lt;&gt; 0, NOT(ISBLANK(SamplingData[[#This Row],[Candidate 4]]))),(SamplingData[[#This Row],[Total]]+SamplingData[[#This Row],[Winning Candidate]]-SamplingData[[#This Row],[Candidate 4]])/(SamplingData[[#Totals],[Winning Candidate]]-SamplingData[[#Totals],[Candidate 4]]), 0)</f>
        <v>0</v>
      </c>
      <c r="T1022" s="99">
        <f>IF(AND(SamplingData[[#This Row],[Total]]&lt;&gt; 0, NOT(ISBLANK(SamplingData[[#This Row],[Candidate 5]]))),(SamplingData[[#This Row],[Total]]+SamplingData[[#This Row],[Winning Candidate]]-SamplingData[[#This Row],[Candidate 5]])/(SamplingData[[#Totals],[Winning Candidate]]-SamplingData[[#Totals],[Candidate 5]]), 0)</f>
        <v>0</v>
      </c>
      <c r="U1022" s="99">
        <f>IF(AND(SamplingData[[#This Row],[Total]]&lt;&gt; 0, NOT(ISBLANK(SamplingData[[#This Row],[Candidate 6]]))),(SamplingData[[#This Row],[Total]]+SamplingData[[#This Row],[Losing Candidate]]-SamplingData[[#This Row],[Candidate 6]])/(SamplingData[[#Totals],[Winning Candidate]]-SamplingData[[#Totals],[Candidate 6]]), 0)</f>
        <v>0</v>
      </c>
      <c r="V1022" s="99">
        <f>IF(AND(SamplingData[[#This Row],[Total]]&lt;&gt; 0, NOT(ISBLANK(SamplingData[[#This Row],[Candidate 7]]))),(SamplingData[[#This Row],[Total]]+SamplingData[[#This Row],[Winning Candidate]]-SamplingData[[#This Row],[Candidate 7]])/(SamplingData[[#Totals],[Winning Candidate]]-SamplingData[[#Totals],[Candidate 7]]), 0)</f>
        <v>0</v>
      </c>
      <c r="W1022" s="99">
        <f>IF(AND(SamplingData[[#This Row],[Total]]&lt;&gt; 0, NOT(ISBLANK(SamplingData[[#This Row],[Candidate 8]]))),(SamplingData[[#This Row],[Total]]+SamplingData[[#This Row],[Winning Candidate]]-SamplingData[[#This Row],[Candidate 8]])/(SamplingData[[#Totals],[Winning Candidate]]-SamplingData[[#Totals],[Candidate 8]]), 0)</f>
        <v>0</v>
      </c>
      <c r="X10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2" s="99">
        <f>MAX(SamplingData[[#This Row],[Error Bound (up) - Max. possible relative overstatement - Losing Candidate]:[Error Bound (up) - Max. possible relative overstatement - Candidate 12]])</f>
        <v>1.5956543880495673E-2</v>
      </c>
      <c r="AC1022" s="99">
        <f>IF(SamplingData[[#This Row],[Max Error Bound (up)]] = 0,0,SamplingData[[#This Row],[Max Error Bound (up)]]/SamplingData[[#Totals],[Max Error Bound (up)]])</f>
        <v>8.5432798923910393E-4</v>
      </c>
      <c r="AD1022" s="103">
        <f>SUM($AC$5:AC1022)</f>
        <v>0.90793252626604393</v>
      </c>
      <c r="AE1022" s="99" t="str" cm="1">
        <f t="array" ref="AE1022">IF(SamplingData[[#This Row],[up/U Selection Probability]] = 0, "Zero", TEXT(SamplingData[[#This Row],[Lower Range]], REPT("0",LEN('General Info'!$B$42))) &amp; " - " &amp; TEXT(SamplingData[[#This Row],[Upper Range]], REPT("0",LEN('General Info'!$B$42))))</f>
        <v>907078 - 907932</v>
      </c>
      <c r="AF1022" s="99">
        <f>SamplingData[[#This Row],[Upper Range]]-SamplingData[[#This Row],[Span]]</f>
        <v>907078.19827680476</v>
      </c>
      <c r="AG1022" s="99">
        <f>IF(ISNUMBER('General Info'!$B$42), ((SamplingData[[#This Row],[up/U Selection Probability]]) * 'General Info'!$B$44) - 1, 0)</f>
        <v>853.32798923910389</v>
      </c>
      <c r="AH1022" s="99">
        <f>IF(ISNUMBER('General Info'!$B$42), (SamplingData[[#This Row],[Running (cumulative) sum]] * ('General Info'!$B$42 -'General Info'!$B$43 + 1)) + 'General Info'!$B$43 - 1, 0)</f>
        <v>907931.52626604389</v>
      </c>
      <c r="AI1022" s="99" t="str">
        <f>IF(ISERROR(MATCH(SamplingData[[#This Row],[Batch by Type (p)]],SelectedPrecincts[Batch Name], 0)), "", INDEX(SelectedPrecincts[Draw], MATCH(SamplingData[[#This Row],[Batch by Type (p)]],SelectedPrecincts[Batch Name], 0)))</f>
        <v/>
      </c>
      <c r="AJ1022" s="100">
        <f>IF(COUNTIF(SelectedPrecincts[Batch Name],SamplingData[[#This Row],[Batch by Type (p)]]) &lt;&gt; 0, COUNTIF(SelectedPrecincts[Batch Name],SamplingData[[#This Row],[Batch by Type (p)]]), 0)</f>
        <v>0</v>
      </c>
    </row>
    <row r="1023" spans="1:36" ht="15" customHeight="1" x14ac:dyDescent="0.35">
      <c r="A1023" s="97" t="s">
        <v>1236</v>
      </c>
      <c r="B1023" s="97">
        <v>121</v>
      </c>
      <c r="C1023" s="97">
        <v>297</v>
      </c>
      <c r="D1023" s="92"/>
      <c r="E1023" s="92"/>
      <c r="F1023" s="92"/>
      <c r="G1023" s="96"/>
      <c r="H1023" s="96"/>
      <c r="I1023" s="92"/>
      <c r="J1023" s="92"/>
      <c r="K1023" s="92"/>
      <c r="L1023" s="92"/>
      <c r="M1023" s="92"/>
      <c r="N1023" s="97">
        <v>0</v>
      </c>
      <c r="O1023" s="97">
        <v>33</v>
      </c>
      <c r="P1023" s="98">
        <f>SUM(SamplingData[[#This Row],[Winning Candidate]:[Under Votes]])</f>
        <v>451</v>
      </c>
      <c r="Q1023" s="99">
        <f>IF(AND(SamplingData[[#This Row],[Total]]&lt;&gt; 0, NOT(ISBLANK(SamplingData[[#This Row],[Losing Candidate]]))),(SamplingData[[#This Row],[Total]]+SamplingData[[#This Row],[Winning Candidate]]-SamplingData[[#This Row],[Losing Candidate]])/(SamplingData[[#Totals],[Winning Candidate]]-SamplingData[[#Totals],[Losing Candidate]]), 0)</f>
        <v>1.1670344593447632E-2</v>
      </c>
      <c r="R1023" s="99">
        <f>IF(AND(SamplingData[[#This Row],[Total]]&lt;&gt; 0, NOT(ISBLANK(SamplingData[[#This Row],[Candidate 3]]))),(SamplingData[[#This Row],[Total]]+SamplingData[[#This Row],[Winning Candidate]]-SamplingData[[#This Row],[Candidate 3]])/(SamplingData[[#Totals],[Winning Candidate]]-SamplingData[[#Totals],[Candidate 3]]), 0)</f>
        <v>0</v>
      </c>
      <c r="S1023" s="99">
        <f>IF(AND(SamplingData[[#This Row],[Total]]&lt;&gt; 0, NOT(ISBLANK(SamplingData[[#This Row],[Candidate 4]]))),(SamplingData[[#This Row],[Total]]+SamplingData[[#This Row],[Winning Candidate]]-SamplingData[[#This Row],[Candidate 4]])/(SamplingData[[#Totals],[Winning Candidate]]-SamplingData[[#Totals],[Candidate 4]]), 0)</f>
        <v>0</v>
      </c>
      <c r="T1023" s="99">
        <f>IF(AND(SamplingData[[#This Row],[Total]]&lt;&gt; 0, NOT(ISBLANK(SamplingData[[#This Row],[Candidate 5]]))),(SamplingData[[#This Row],[Total]]+SamplingData[[#This Row],[Winning Candidate]]-SamplingData[[#This Row],[Candidate 5]])/(SamplingData[[#Totals],[Winning Candidate]]-SamplingData[[#Totals],[Candidate 5]]), 0)</f>
        <v>0</v>
      </c>
      <c r="U1023" s="99">
        <f>IF(AND(SamplingData[[#This Row],[Total]]&lt;&gt; 0, NOT(ISBLANK(SamplingData[[#This Row],[Candidate 6]]))),(SamplingData[[#This Row],[Total]]+SamplingData[[#This Row],[Losing Candidate]]-SamplingData[[#This Row],[Candidate 6]])/(SamplingData[[#Totals],[Winning Candidate]]-SamplingData[[#Totals],[Candidate 6]]), 0)</f>
        <v>0</v>
      </c>
      <c r="V1023" s="99">
        <f>IF(AND(SamplingData[[#This Row],[Total]]&lt;&gt; 0, NOT(ISBLANK(SamplingData[[#This Row],[Candidate 7]]))),(SamplingData[[#This Row],[Total]]+SamplingData[[#This Row],[Winning Candidate]]-SamplingData[[#This Row],[Candidate 7]])/(SamplingData[[#Totals],[Winning Candidate]]-SamplingData[[#Totals],[Candidate 7]]), 0)</f>
        <v>0</v>
      </c>
      <c r="W1023" s="99">
        <f>IF(AND(SamplingData[[#This Row],[Total]]&lt;&gt; 0, NOT(ISBLANK(SamplingData[[#This Row],[Candidate 8]]))),(SamplingData[[#This Row],[Total]]+SamplingData[[#This Row],[Winning Candidate]]-SamplingData[[#This Row],[Candidate 8]])/(SamplingData[[#Totals],[Winning Candidate]]-SamplingData[[#Totals],[Candidate 8]]), 0)</f>
        <v>0</v>
      </c>
      <c r="X10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3" s="99">
        <f>MAX(SamplingData[[#This Row],[Error Bound (up) - Max. possible relative overstatement - Losing Candidate]:[Error Bound (up) - Max. possible relative overstatement - Candidate 12]])</f>
        <v>1.1670344593447632E-2</v>
      </c>
      <c r="AC1023" s="99">
        <f>IF(SamplingData[[#This Row],[Max Error Bound (up)]] = 0,0,SamplingData[[#This Row],[Max Error Bound (up)]]/SamplingData[[#Totals],[Max Error Bound (up)]])</f>
        <v>6.2484094957647224E-4</v>
      </c>
      <c r="AD1023" s="103">
        <f>SUM($AC$5:AC1023)</f>
        <v>0.90855736721562042</v>
      </c>
      <c r="AE1023" s="99" t="str" cm="1">
        <f t="array" ref="AE1023">IF(SamplingData[[#This Row],[up/U Selection Probability]] = 0, "Zero", TEXT(SamplingData[[#This Row],[Lower Range]], REPT("0",LEN('General Info'!$B$42))) &amp; " - " &amp; TEXT(SamplingData[[#This Row],[Upper Range]], REPT("0",LEN('General Info'!$B$42))))</f>
        <v>907933 - 908556</v>
      </c>
      <c r="AF1023" s="99">
        <f>SamplingData[[#This Row],[Upper Range]]-SamplingData[[#This Row],[Span]]</f>
        <v>907932.52626604401</v>
      </c>
      <c r="AG1023" s="99">
        <f>IF(ISNUMBER('General Info'!$B$42), ((SamplingData[[#This Row],[up/U Selection Probability]]) * 'General Info'!$B$44) - 1, 0)</f>
        <v>623.84094957647221</v>
      </c>
      <c r="AH1023" s="99">
        <f>IF(ISNUMBER('General Info'!$B$42), (SamplingData[[#This Row],[Running (cumulative) sum]] * ('General Info'!$B$42 -'General Info'!$B$43 + 1)) + 'General Info'!$B$43 - 1, 0)</f>
        <v>908556.36721562047</v>
      </c>
      <c r="AI1023" s="99" t="str">
        <f>IF(ISERROR(MATCH(SamplingData[[#This Row],[Batch by Type (p)]],SelectedPrecincts[Batch Name], 0)), "", INDEX(SelectedPrecincts[Draw], MATCH(SamplingData[[#This Row],[Batch by Type (p)]],SelectedPrecincts[Batch Name], 0)))</f>
        <v/>
      </c>
      <c r="AJ1023" s="100">
        <f>IF(COUNTIF(SelectedPrecincts[Batch Name],SamplingData[[#This Row],[Batch by Type (p)]]) &lt;&gt; 0, COUNTIF(SelectedPrecincts[Batch Name],SamplingData[[#This Row],[Batch by Type (p)]]), 0)</f>
        <v>0</v>
      </c>
    </row>
    <row r="1024" spans="1:36" ht="15" customHeight="1" x14ac:dyDescent="0.35">
      <c r="A1024" s="97" t="s">
        <v>1237</v>
      </c>
      <c r="B1024" s="97">
        <v>141</v>
      </c>
      <c r="C1024" s="97">
        <v>480</v>
      </c>
      <c r="D1024" s="92"/>
      <c r="E1024" s="92"/>
      <c r="F1024" s="92"/>
      <c r="G1024" s="96"/>
      <c r="H1024" s="96"/>
      <c r="I1024" s="92"/>
      <c r="J1024" s="92"/>
      <c r="K1024" s="92"/>
      <c r="L1024" s="92"/>
      <c r="M1024" s="92"/>
      <c r="N1024" s="97">
        <v>2</v>
      </c>
      <c r="O1024" s="97">
        <v>50</v>
      </c>
      <c r="P1024" s="98">
        <f>SUM(SamplingData[[#This Row],[Winning Candidate]:[Under Votes]])</f>
        <v>673</v>
      </c>
      <c r="Q1024" s="99">
        <f>IF(AND(SamplingData[[#This Row],[Total]]&lt;&gt; 0, NOT(ISBLANK(SamplingData[[#This Row],[Losing Candidate]]))),(SamplingData[[#This Row],[Total]]+SamplingData[[#This Row],[Winning Candidate]]-SamplingData[[#This Row],[Losing Candidate]])/(SamplingData[[#Totals],[Winning Candidate]]-SamplingData[[#Totals],[Losing Candidate]]), 0)</f>
        <v>1.4174163978950943E-2</v>
      </c>
      <c r="R1024" s="99">
        <f>IF(AND(SamplingData[[#This Row],[Total]]&lt;&gt; 0, NOT(ISBLANK(SamplingData[[#This Row],[Candidate 3]]))),(SamplingData[[#This Row],[Total]]+SamplingData[[#This Row],[Winning Candidate]]-SamplingData[[#This Row],[Candidate 3]])/(SamplingData[[#Totals],[Winning Candidate]]-SamplingData[[#Totals],[Candidate 3]]), 0)</f>
        <v>0</v>
      </c>
      <c r="S1024" s="99">
        <f>IF(AND(SamplingData[[#This Row],[Total]]&lt;&gt; 0, NOT(ISBLANK(SamplingData[[#This Row],[Candidate 4]]))),(SamplingData[[#This Row],[Total]]+SamplingData[[#This Row],[Winning Candidate]]-SamplingData[[#This Row],[Candidate 4]])/(SamplingData[[#Totals],[Winning Candidate]]-SamplingData[[#Totals],[Candidate 4]]), 0)</f>
        <v>0</v>
      </c>
      <c r="T1024" s="99">
        <f>IF(AND(SamplingData[[#This Row],[Total]]&lt;&gt; 0, NOT(ISBLANK(SamplingData[[#This Row],[Candidate 5]]))),(SamplingData[[#This Row],[Total]]+SamplingData[[#This Row],[Winning Candidate]]-SamplingData[[#This Row],[Candidate 5]])/(SamplingData[[#Totals],[Winning Candidate]]-SamplingData[[#Totals],[Candidate 5]]), 0)</f>
        <v>0</v>
      </c>
      <c r="U1024" s="99">
        <f>IF(AND(SamplingData[[#This Row],[Total]]&lt;&gt; 0, NOT(ISBLANK(SamplingData[[#This Row],[Candidate 6]]))),(SamplingData[[#This Row],[Total]]+SamplingData[[#This Row],[Losing Candidate]]-SamplingData[[#This Row],[Candidate 6]])/(SamplingData[[#Totals],[Winning Candidate]]-SamplingData[[#Totals],[Candidate 6]]), 0)</f>
        <v>0</v>
      </c>
      <c r="V1024" s="99">
        <f>IF(AND(SamplingData[[#This Row],[Total]]&lt;&gt; 0, NOT(ISBLANK(SamplingData[[#This Row],[Candidate 7]]))),(SamplingData[[#This Row],[Total]]+SamplingData[[#This Row],[Winning Candidate]]-SamplingData[[#This Row],[Candidate 7]])/(SamplingData[[#Totals],[Winning Candidate]]-SamplingData[[#Totals],[Candidate 7]]), 0)</f>
        <v>0</v>
      </c>
      <c r="W1024" s="99">
        <f>IF(AND(SamplingData[[#This Row],[Total]]&lt;&gt; 0, NOT(ISBLANK(SamplingData[[#This Row],[Candidate 8]]))),(SamplingData[[#This Row],[Total]]+SamplingData[[#This Row],[Winning Candidate]]-SamplingData[[#This Row],[Candidate 8]])/(SamplingData[[#Totals],[Winning Candidate]]-SamplingData[[#Totals],[Candidate 8]]), 0)</f>
        <v>0</v>
      </c>
      <c r="X10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4" s="99">
        <f>MAX(SamplingData[[#This Row],[Error Bound (up) - Max. possible relative overstatement - Losing Candidate]:[Error Bound (up) - Max. possible relative overstatement - Candidate 12]])</f>
        <v>1.4174163978950943E-2</v>
      </c>
      <c r="AC1024" s="99">
        <f>IF(SamplingData[[#This Row],[Max Error Bound (up)]] = 0,0,SamplingData[[#This Row],[Max Error Bound (up)]]/SamplingData[[#Totals],[Max Error Bound (up)]])</f>
        <v>7.5889773512196994E-4</v>
      </c>
      <c r="AD1024" s="103">
        <f>SUM($AC$5:AC1024)</f>
        <v>0.90931626495074236</v>
      </c>
      <c r="AE1024" s="99" t="str" cm="1">
        <f t="array" ref="AE1024">IF(SamplingData[[#This Row],[up/U Selection Probability]] = 0, "Zero", TEXT(SamplingData[[#This Row],[Lower Range]], REPT("0",LEN('General Info'!$B$42))) &amp; " - " &amp; TEXT(SamplingData[[#This Row],[Upper Range]], REPT("0",LEN('General Info'!$B$42))))</f>
        <v>908557 - 909315</v>
      </c>
      <c r="AF1024" s="99">
        <f>SamplingData[[#This Row],[Upper Range]]-SamplingData[[#This Row],[Span]]</f>
        <v>908557.36721562035</v>
      </c>
      <c r="AG1024" s="99">
        <f>IF(ISNUMBER('General Info'!$B$42), ((SamplingData[[#This Row],[up/U Selection Probability]]) * 'General Info'!$B$44) - 1, 0)</f>
        <v>757.89773512196996</v>
      </c>
      <c r="AH1024" s="99">
        <f>IF(ISNUMBER('General Info'!$B$42), (SamplingData[[#This Row],[Running (cumulative) sum]] * ('General Info'!$B$42 -'General Info'!$B$43 + 1)) + 'General Info'!$B$43 - 1, 0)</f>
        <v>909315.26495074236</v>
      </c>
      <c r="AI1024" s="99" t="str">
        <f>IF(ISERROR(MATCH(SamplingData[[#This Row],[Batch by Type (p)]],SelectedPrecincts[Batch Name], 0)), "", INDEX(SelectedPrecincts[Draw], MATCH(SamplingData[[#This Row],[Batch by Type (p)]],SelectedPrecincts[Batch Name], 0)))</f>
        <v/>
      </c>
      <c r="AJ1024" s="100">
        <f>IF(COUNTIF(SelectedPrecincts[Batch Name],SamplingData[[#This Row],[Batch by Type (p)]]) &lt;&gt; 0, COUNTIF(SelectedPrecincts[Batch Name],SamplingData[[#This Row],[Batch by Type (p)]]), 0)</f>
        <v>0</v>
      </c>
    </row>
    <row r="1025" spans="1:36" ht="15" customHeight="1" x14ac:dyDescent="0.35">
      <c r="A1025" s="97" t="s">
        <v>1238</v>
      </c>
      <c r="B1025" s="97">
        <v>162</v>
      </c>
      <c r="C1025" s="97">
        <v>398</v>
      </c>
      <c r="D1025" s="92"/>
      <c r="E1025" s="92"/>
      <c r="F1025" s="92"/>
      <c r="G1025" s="96"/>
      <c r="H1025" s="96"/>
      <c r="I1025" s="92"/>
      <c r="J1025" s="92"/>
      <c r="K1025" s="92"/>
      <c r="L1025" s="92"/>
      <c r="M1025" s="92"/>
      <c r="N1025" s="97">
        <v>1</v>
      </c>
      <c r="O1025" s="97">
        <v>48</v>
      </c>
      <c r="P1025" s="98">
        <f>SUM(SamplingData[[#This Row],[Winning Candidate]:[Under Votes]])</f>
        <v>609</v>
      </c>
      <c r="Q1025" s="99">
        <f>IF(AND(SamplingData[[#This Row],[Total]]&lt;&gt; 0, NOT(ISBLANK(SamplingData[[#This Row],[Losing Candidate]]))),(SamplingData[[#This Row],[Total]]+SamplingData[[#This Row],[Winning Candidate]]-SamplingData[[#This Row],[Losing Candidate]])/(SamplingData[[#Totals],[Winning Candidate]]-SamplingData[[#Totals],[Losing Candidate]]), 0)</f>
        <v>1.5829231030385332E-2</v>
      </c>
      <c r="R1025" s="99">
        <f>IF(AND(SamplingData[[#This Row],[Total]]&lt;&gt; 0, NOT(ISBLANK(SamplingData[[#This Row],[Candidate 3]]))),(SamplingData[[#This Row],[Total]]+SamplingData[[#This Row],[Winning Candidate]]-SamplingData[[#This Row],[Candidate 3]])/(SamplingData[[#Totals],[Winning Candidate]]-SamplingData[[#Totals],[Candidate 3]]), 0)</f>
        <v>0</v>
      </c>
      <c r="S1025" s="99">
        <f>IF(AND(SamplingData[[#This Row],[Total]]&lt;&gt; 0, NOT(ISBLANK(SamplingData[[#This Row],[Candidate 4]]))),(SamplingData[[#This Row],[Total]]+SamplingData[[#This Row],[Winning Candidate]]-SamplingData[[#This Row],[Candidate 4]])/(SamplingData[[#Totals],[Winning Candidate]]-SamplingData[[#Totals],[Candidate 4]]), 0)</f>
        <v>0</v>
      </c>
      <c r="T1025" s="99">
        <f>IF(AND(SamplingData[[#This Row],[Total]]&lt;&gt; 0, NOT(ISBLANK(SamplingData[[#This Row],[Candidate 5]]))),(SamplingData[[#This Row],[Total]]+SamplingData[[#This Row],[Winning Candidate]]-SamplingData[[#This Row],[Candidate 5]])/(SamplingData[[#Totals],[Winning Candidate]]-SamplingData[[#Totals],[Candidate 5]]), 0)</f>
        <v>0</v>
      </c>
      <c r="U1025" s="99">
        <f>IF(AND(SamplingData[[#This Row],[Total]]&lt;&gt; 0, NOT(ISBLANK(SamplingData[[#This Row],[Candidate 6]]))),(SamplingData[[#This Row],[Total]]+SamplingData[[#This Row],[Losing Candidate]]-SamplingData[[#This Row],[Candidate 6]])/(SamplingData[[#Totals],[Winning Candidate]]-SamplingData[[#Totals],[Candidate 6]]), 0)</f>
        <v>0</v>
      </c>
      <c r="V1025" s="99">
        <f>IF(AND(SamplingData[[#This Row],[Total]]&lt;&gt; 0, NOT(ISBLANK(SamplingData[[#This Row],[Candidate 7]]))),(SamplingData[[#This Row],[Total]]+SamplingData[[#This Row],[Winning Candidate]]-SamplingData[[#This Row],[Candidate 7]])/(SamplingData[[#Totals],[Winning Candidate]]-SamplingData[[#Totals],[Candidate 7]]), 0)</f>
        <v>0</v>
      </c>
      <c r="W1025" s="99">
        <f>IF(AND(SamplingData[[#This Row],[Total]]&lt;&gt; 0, NOT(ISBLANK(SamplingData[[#This Row],[Candidate 8]]))),(SamplingData[[#This Row],[Total]]+SamplingData[[#This Row],[Winning Candidate]]-SamplingData[[#This Row],[Candidate 8]])/(SamplingData[[#Totals],[Winning Candidate]]-SamplingData[[#Totals],[Candidate 8]]), 0)</f>
        <v>0</v>
      </c>
      <c r="X10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5" s="99">
        <f>MAX(SamplingData[[#This Row],[Error Bound (up) - Max. possible relative overstatement - Losing Candidate]:[Error Bound (up) - Max. possible relative overstatement - Candidate 12]])</f>
        <v>1.5829231030385332E-2</v>
      </c>
      <c r="AC1025" s="99">
        <f>IF(SamplingData[[#This Row],[Max Error Bound (up)]] = 0,0,SamplingData[[#This Row],[Max Error Bound (up)]]/SamplingData[[#Totals],[Max Error Bound (up)]])</f>
        <v>8.4751154251645137E-4</v>
      </c>
      <c r="AD1025" s="103">
        <f>SUM($AC$5:AC1025)</f>
        <v>0.91016377649325886</v>
      </c>
      <c r="AE1025" s="99" t="str" cm="1">
        <f t="array" ref="AE1025">IF(SamplingData[[#This Row],[up/U Selection Probability]] = 0, "Zero", TEXT(SamplingData[[#This Row],[Lower Range]], REPT("0",LEN('General Info'!$B$42))) &amp; " - " &amp; TEXT(SamplingData[[#This Row],[Upper Range]], REPT("0",LEN('General Info'!$B$42))))</f>
        <v>909316 - 910163</v>
      </c>
      <c r="AF1025" s="99">
        <f>SamplingData[[#This Row],[Upper Range]]-SamplingData[[#This Row],[Span]]</f>
        <v>909316.26495074248</v>
      </c>
      <c r="AG1025" s="99">
        <f>IF(ISNUMBER('General Info'!$B$42), ((SamplingData[[#This Row],[up/U Selection Probability]]) * 'General Info'!$B$44) - 1, 0)</f>
        <v>846.51154251645141</v>
      </c>
      <c r="AH1025" s="99">
        <f>IF(ISNUMBER('General Info'!$B$42), (SamplingData[[#This Row],[Running (cumulative) sum]] * ('General Info'!$B$42 -'General Info'!$B$43 + 1)) + 'General Info'!$B$43 - 1, 0)</f>
        <v>910162.77649325889</v>
      </c>
      <c r="AI1025" s="99" t="str">
        <f>IF(ISERROR(MATCH(SamplingData[[#This Row],[Batch by Type (p)]],SelectedPrecincts[Batch Name], 0)), "", INDEX(SelectedPrecincts[Draw], MATCH(SamplingData[[#This Row],[Batch by Type (p)]],SelectedPrecincts[Batch Name], 0)))</f>
        <v/>
      </c>
      <c r="AJ1025" s="100">
        <f>IF(COUNTIF(SelectedPrecincts[Batch Name],SamplingData[[#This Row],[Batch by Type (p)]]) &lt;&gt; 0, COUNTIF(SelectedPrecincts[Batch Name],SamplingData[[#This Row],[Batch by Type (p)]]), 0)</f>
        <v>0</v>
      </c>
    </row>
    <row r="1026" spans="1:36" ht="15" customHeight="1" x14ac:dyDescent="0.35">
      <c r="A1026" s="97" t="s">
        <v>1239</v>
      </c>
      <c r="B1026" s="97">
        <v>142</v>
      </c>
      <c r="C1026" s="97">
        <v>147</v>
      </c>
      <c r="D1026" s="92"/>
      <c r="E1026" s="92"/>
      <c r="F1026" s="92"/>
      <c r="G1026" s="96"/>
      <c r="H1026" s="96"/>
      <c r="I1026" s="92"/>
      <c r="J1026" s="92"/>
      <c r="K1026" s="92"/>
      <c r="L1026" s="92"/>
      <c r="M1026" s="92"/>
      <c r="N1026" s="97">
        <v>0</v>
      </c>
      <c r="O1026" s="97">
        <v>21</v>
      </c>
      <c r="P1026" s="98">
        <f>SUM(SamplingData[[#This Row],[Winning Candidate]:[Under Votes]])</f>
        <v>310</v>
      </c>
      <c r="Q1026" s="99">
        <f>IF(AND(SamplingData[[#This Row],[Total]]&lt;&gt; 0, NOT(ISBLANK(SamplingData[[#This Row],[Losing Candidate]]))),(SamplingData[[#This Row],[Total]]+SamplingData[[#This Row],[Winning Candidate]]-SamplingData[[#This Row],[Losing Candidate]])/(SamplingData[[#Totals],[Winning Candidate]]-SamplingData[[#Totals],[Losing Candidate]]), 0)</f>
        <v>1.294347309455101E-2</v>
      </c>
      <c r="R1026" s="99">
        <f>IF(AND(SamplingData[[#This Row],[Total]]&lt;&gt; 0, NOT(ISBLANK(SamplingData[[#This Row],[Candidate 3]]))),(SamplingData[[#This Row],[Total]]+SamplingData[[#This Row],[Winning Candidate]]-SamplingData[[#This Row],[Candidate 3]])/(SamplingData[[#Totals],[Winning Candidate]]-SamplingData[[#Totals],[Candidate 3]]), 0)</f>
        <v>0</v>
      </c>
      <c r="S1026" s="99">
        <f>IF(AND(SamplingData[[#This Row],[Total]]&lt;&gt; 0, NOT(ISBLANK(SamplingData[[#This Row],[Candidate 4]]))),(SamplingData[[#This Row],[Total]]+SamplingData[[#This Row],[Winning Candidate]]-SamplingData[[#This Row],[Candidate 4]])/(SamplingData[[#Totals],[Winning Candidate]]-SamplingData[[#Totals],[Candidate 4]]), 0)</f>
        <v>0</v>
      </c>
      <c r="T1026" s="99">
        <f>IF(AND(SamplingData[[#This Row],[Total]]&lt;&gt; 0, NOT(ISBLANK(SamplingData[[#This Row],[Candidate 5]]))),(SamplingData[[#This Row],[Total]]+SamplingData[[#This Row],[Winning Candidate]]-SamplingData[[#This Row],[Candidate 5]])/(SamplingData[[#Totals],[Winning Candidate]]-SamplingData[[#Totals],[Candidate 5]]), 0)</f>
        <v>0</v>
      </c>
      <c r="U1026" s="99">
        <f>IF(AND(SamplingData[[#This Row],[Total]]&lt;&gt; 0, NOT(ISBLANK(SamplingData[[#This Row],[Candidate 6]]))),(SamplingData[[#This Row],[Total]]+SamplingData[[#This Row],[Losing Candidate]]-SamplingData[[#This Row],[Candidate 6]])/(SamplingData[[#Totals],[Winning Candidate]]-SamplingData[[#Totals],[Candidate 6]]), 0)</f>
        <v>0</v>
      </c>
      <c r="V1026" s="99">
        <f>IF(AND(SamplingData[[#This Row],[Total]]&lt;&gt; 0, NOT(ISBLANK(SamplingData[[#This Row],[Candidate 7]]))),(SamplingData[[#This Row],[Total]]+SamplingData[[#This Row],[Winning Candidate]]-SamplingData[[#This Row],[Candidate 7]])/(SamplingData[[#Totals],[Winning Candidate]]-SamplingData[[#Totals],[Candidate 7]]), 0)</f>
        <v>0</v>
      </c>
      <c r="W1026" s="99">
        <f>IF(AND(SamplingData[[#This Row],[Total]]&lt;&gt; 0, NOT(ISBLANK(SamplingData[[#This Row],[Candidate 8]]))),(SamplingData[[#This Row],[Total]]+SamplingData[[#This Row],[Winning Candidate]]-SamplingData[[#This Row],[Candidate 8]])/(SamplingData[[#Totals],[Winning Candidate]]-SamplingData[[#Totals],[Candidate 8]]), 0)</f>
        <v>0</v>
      </c>
      <c r="X10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6" s="99">
        <f>MAX(SamplingData[[#This Row],[Error Bound (up) - Max. possible relative overstatement - Losing Candidate]:[Error Bound (up) - Max. possible relative overstatement - Candidate 12]])</f>
        <v>1.294347309455101E-2</v>
      </c>
      <c r="AC1026" s="99">
        <f>IF(SamplingData[[#This Row],[Max Error Bound (up)]] = 0,0,SamplingData[[#This Row],[Max Error Bound (up)]]/SamplingData[[#Totals],[Max Error Bound (up)]])</f>
        <v>6.9300541680299653E-4</v>
      </c>
      <c r="AD1026" s="103">
        <f>SUM($AC$5:AC1026)</f>
        <v>0.91085678191006181</v>
      </c>
      <c r="AE1026" s="99" t="str" cm="1">
        <f t="array" ref="AE1026">IF(SamplingData[[#This Row],[up/U Selection Probability]] = 0, "Zero", TEXT(SamplingData[[#This Row],[Lower Range]], REPT("0",LEN('General Info'!$B$42))) &amp; " - " &amp; TEXT(SamplingData[[#This Row],[Upper Range]], REPT("0",LEN('General Info'!$B$42))))</f>
        <v>910164 - 910856</v>
      </c>
      <c r="AF1026" s="99">
        <f>SamplingData[[#This Row],[Upper Range]]-SamplingData[[#This Row],[Span]]</f>
        <v>910163.77649325889</v>
      </c>
      <c r="AG1026" s="99">
        <f>IF(ISNUMBER('General Info'!$B$42), ((SamplingData[[#This Row],[up/U Selection Probability]]) * 'General Info'!$B$44) - 1, 0)</f>
        <v>692.00541680299648</v>
      </c>
      <c r="AH1026" s="99">
        <f>IF(ISNUMBER('General Info'!$B$42), (SamplingData[[#This Row],[Running (cumulative) sum]] * ('General Info'!$B$42 -'General Info'!$B$43 + 1)) + 'General Info'!$B$43 - 1, 0)</f>
        <v>910855.78191006184</v>
      </c>
      <c r="AI1026" s="99" t="str">
        <f>IF(ISERROR(MATCH(SamplingData[[#This Row],[Batch by Type (p)]],SelectedPrecincts[Batch Name], 0)), "", INDEX(SelectedPrecincts[Draw], MATCH(SamplingData[[#This Row],[Batch by Type (p)]],SelectedPrecincts[Batch Name], 0)))</f>
        <v/>
      </c>
      <c r="AJ1026" s="100">
        <f>IF(COUNTIF(SelectedPrecincts[Batch Name],SamplingData[[#This Row],[Batch by Type (p)]]) &lt;&gt; 0, COUNTIF(SelectedPrecincts[Batch Name],SamplingData[[#This Row],[Batch by Type (p)]]), 0)</f>
        <v>0</v>
      </c>
    </row>
    <row r="1027" spans="1:36" ht="15" customHeight="1" x14ac:dyDescent="0.35">
      <c r="A1027" s="97" t="s">
        <v>1240</v>
      </c>
      <c r="B1027" s="97">
        <v>190</v>
      </c>
      <c r="C1027" s="97">
        <v>392</v>
      </c>
      <c r="D1027" s="92"/>
      <c r="E1027" s="92"/>
      <c r="F1027" s="92"/>
      <c r="G1027" s="96"/>
      <c r="H1027" s="96"/>
      <c r="I1027" s="92"/>
      <c r="J1027" s="92"/>
      <c r="K1027" s="92"/>
      <c r="L1027" s="92"/>
      <c r="M1027" s="92"/>
      <c r="N1027" s="97">
        <v>0</v>
      </c>
      <c r="O1027" s="97">
        <v>37</v>
      </c>
      <c r="P1027" s="98">
        <f>SUM(SamplingData[[#This Row],[Winning Candidate]:[Under Votes]])</f>
        <v>619</v>
      </c>
      <c r="Q1027" s="99">
        <f>IF(AND(SamplingData[[#This Row],[Total]]&lt;&gt; 0, NOT(ISBLANK(SamplingData[[#This Row],[Losing Candidate]]))),(SamplingData[[#This Row],[Total]]+SamplingData[[#This Row],[Winning Candidate]]-SamplingData[[#This Row],[Losing Candidate]])/(SamplingData[[#Totals],[Winning Candidate]]-SamplingData[[#Totals],[Losing Candidate]]), 0)</f>
        <v>1.7696486165336953E-2</v>
      </c>
      <c r="R1027" s="99">
        <f>IF(AND(SamplingData[[#This Row],[Total]]&lt;&gt; 0, NOT(ISBLANK(SamplingData[[#This Row],[Candidate 3]]))),(SamplingData[[#This Row],[Total]]+SamplingData[[#This Row],[Winning Candidate]]-SamplingData[[#This Row],[Candidate 3]])/(SamplingData[[#Totals],[Winning Candidate]]-SamplingData[[#Totals],[Candidate 3]]), 0)</f>
        <v>0</v>
      </c>
      <c r="S1027" s="99">
        <f>IF(AND(SamplingData[[#This Row],[Total]]&lt;&gt; 0, NOT(ISBLANK(SamplingData[[#This Row],[Candidate 4]]))),(SamplingData[[#This Row],[Total]]+SamplingData[[#This Row],[Winning Candidate]]-SamplingData[[#This Row],[Candidate 4]])/(SamplingData[[#Totals],[Winning Candidate]]-SamplingData[[#Totals],[Candidate 4]]), 0)</f>
        <v>0</v>
      </c>
      <c r="T1027" s="99">
        <f>IF(AND(SamplingData[[#This Row],[Total]]&lt;&gt; 0, NOT(ISBLANK(SamplingData[[#This Row],[Candidate 5]]))),(SamplingData[[#This Row],[Total]]+SamplingData[[#This Row],[Winning Candidate]]-SamplingData[[#This Row],[Candidate 5]])/(SamplingData[[#Totals],[Winning Candidate]]-SamplingData[[#Totals],[Candidate 5]]), 0)</f>
        <v>0</v>
      </c>
      <c r="U1027" s="99">
        <f>IF(AND(SamplingData[[#This Row],[Total]]&lt;&gt; 0, NOT(ISBLANK(SamplingData[[#This Row],[Candidate 6]]))),(SamplingData[[#This Row],[Total]]+SamplingData[[#This Row],[Losing Candidate]]-SamplingData[[#This Row],[Candidate 6]])/(SamplingData[[#Totals],[Winning Candidate]]-SamplingData[[#Totals],[Candidate 6]]), 0)</f>
        <v>0</v>
      </c>
      <c r="V1027" s="99">
        <f>IF(AND(SamplingData[[#This Row],[Total]]&lt;&gt; 0, NOT(ISBLANK(SamplingData[[#This Row],[Candidate 7]]))),(SamplingData[[#This Row],[Total]]+SamplingData[[#This Row],[Winning Candidate]]-SamplingData[[#This Row],[Candidate 7]])/(SamplingData[[#Totals],[Winning Candidate]]-SamplingData[[#Totals],[Candidate 7]]), 0)</f>
        <v>0</v>
      </c>
      <c r="W1027" s="99">
        <f>IF(AND(SamplingData[[#This Row],[Total]]&lt;&gt; 0, NOT(ISBLANK(SamplingData[[#This Row],[Candidate 8]]))),(SamplingData[[#This Row],[Total]]+SamplingData[[#This Row],[Winning Candidate]]-SamplingData[[#This Row],[Candidate 8]])/(SamplingData[[#Totals],[Winning Candidate]]-SamplingData[[#Totals],[Candidate 8]]), 0)</f>
        <v>0</v>
      </c>
      <c r="X10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7" s="99">
        <f>MAX(SamplingData[[#This Row],[Error Bound (up) - Max. possible relative overstatement - Losing Candidate]:[Error Bound (up) - Max. possible relative overstatement - Candidate 12]])</f>
        <v>1.7696486165336953E-2</v>
      </c>
      <c r="AC1027" s="99">
        <f>IF(SamplingData[[#This Row],[Max Error Bound (up)]] = 0,0,SamplingData[[#This Row],[Max Error Bound (up)]]/SamplingData[[#Totals],[Max Error Bound (up)]])</f>
        <v>9.4748609444868692E-4</v>
      </c>
      <c r="AD1027" s="103">
        <f>SUM($AC$5:AC1027)</f>
        <v>0.91180426800451053</v>
      </c>
      <c r="AE1027" s="99" t="str" cm="1">
        <f t="array" ref="AE1027">IF(SamplingData[[#This Row],[up/U Selection Probability]] = 0, "Zero", TEXT(SamplingData[[#This Row],[Lower Range]], REPT("0",LEN('General Info'!$B$42))) &amp; " - " &amp; TEXT(SamplingData[[#This Row],[Upper Range]], REPT("0",LEN('General Info'!$B$42))))</f>
        <v>910857 - 911803</v>
      </c>
      <c r="AF1027" s="99">
        <f>SamplingData[[#This Row],[Upper Range]]-SamplingData[[#This Row],[Span]]</f>
        <v>910856.78191006184</v>
      </c>
      <c r="AG1027" s="99">
        <f>IF(ISNUMBER('General Info'!$B$42), ((SamplingData[[#This Row],[up/U Selection Probability]]) * 'General Info'!$B$44) - 1, 0)</f>
        <v>946.48609444868691</v>
      </c>
      <c r="AH1027" s="99">
        <f>IF(ISNUMBER('General Info'!$B$42), (SamplingData[[#This Row],[Running (cumulative) sum]] * ('General Info'!$B$42 -'General Info'!$B$43 + 1)) + 'General Info'!$B$43 - 1, 0)</f>
        <v>911803.26800451055</v>
      </c>
      <c r="AI1027" s="99" t="str">
        <f>IF(ISERROR(MATCH(SamplingData[[#This Row],[Batch by Type (p)]],SelectedPrecincts[Batch Name], 0)), "", INDEX(SelectedPrecincts[Draw], MATCH(SamplingData[[#This Row],[Batch by Type (p)]],SelectedPrecincts[Batch Name], 0)))</f>
        <v/>
      </c>
      <c r="AJ1027" s="100">
        <f>IF(COUNTIF(SelectedPrecincts[Batch Name],SamplingData[[#This Row],[Batch by Type (p)]]) &lt;&gt; 0, COUNTIF(SelectedPrecincts[Batch Name],SamplingData[[#This Row],[Batch by Type (p)]]), 0)</f>
        <v>0</v>
      </c>
    </row>
    <row r="1028" spans="1:36" ht="15" customHeight="1" x14ac:dyDescent="0.35">
      <c r="A1028" s="97" t="s">
        <v>1241</v>
      </c>
      <c r="B1028" s="97">
        <v>94</v>
      </c>
      <c r="C1028" s="97">
        <v>485</v>
      </c>
      <c r="D1028" s="92"/>
      <c r="E1028" s="92"/>
      <c r="F1028" s="92"/>
      <c r="G1028" s="96"/>
      <c r="H1028" s="96"/>
      <c r="I1028" s="92"/>
      <c r="J1028" s="92"/>
      <c r="K1028" s="92"/>
      <c r="L1028" s="92"/>
      <c r="M1028" s="92"/>
      <c r="N1028" s="97">
        <v>2</v>
      </c>
      <c r="O1028" s="97">
        <v>52</v>
      </c>
      <c r="P1028" s="98">
        <f>SUM(SamplingData[[#This Row],[Winning Candidate]:[Under Votes]])</f>
        <v>633</v>
      </c>
      <c r="Q1028" s="99">
        <f>IF(AND(SamplingData[[#This Row],[Total]]&lt;&gt; 0, NOT(ISBLANK(SamplingData[[#This Row],[Losing Candidate]]))),(SamplingData[[#This Row],[Total]]+SamplingData[[#This Row],[Winning Candidate]]-SamplingData[[#This Row],[Losing Candidate]])/(SamplingData[[#Totals],[Winning Candidate]]-SamplingData[[#Totals],[Losing Candidate]]), 0)</f>
        <v>1.0269903242233916E-2</v>
      </c>
      <c r="R1028" s="99">
        <f>IF(AND(SamplingData[[#This Row],[Total]]&lt;&gt; 0, NOT(ISBLANK(SamplingData[[#This Row],[Candidate 3]]))),(SamplingData[[#This Row],[Total]]+SamplingData[[#This Row],[Winning Candidate]]-SamplingData[[#This Row],[Candidate 3]])/(SamplingData[[#Totals],[Winning Candidate]]-SamplingData[[#Totals],[Candidate 3]]), 0)</f>
        <v>0</v>
      </c>
      <c r="S1028" s="99">
        <f>IF(AND(SamplingData[[#This Row],[Total]]&lt;&gt; 0, NOT(ISBLANK(SamplingData[[#This Row],[Candidate 4]]))),(SamplingData[[#This Row],[Total]]+SamplingData[[#This Row],[Winning Candidate]]-SamplingData[[#This Row],[Candidate 4]])/(SamplingData[[#Totals],[Winning Candidate]]-SamplingData[[#Totals],[Candidate 4]]), 0)</f>
        <v>0</v>
      </c>
      <c r="T1028" s="99">
        <f>IF(AND(SamplingData[[#This Row],[Total]]&lt;&gt; 0, NOT(ISBLANK(SamplingData[[#This Row],[Candidate 5]]))),(SamplingData[[#This Row],[Total]]+SamplingData[[#This Row],[Winning Candidate]]-SamplingData[[#This Row],[Candidate 5]])/(SamplingData[[#Totals],[Winning Candidate]]-SamplingData[[#Totals],[Candidate 5]]), 0)</f>
        <v>0</v>
      </c>
      <c r="U1028" s="99">
        <f>IF(AND(SamplingData[[#This Row],[Total]]&lt;&gt; 0, NOT(ISBLANK(SamplingData[[#This Row],[Candidate 6]]))),(SamplingData[[#This Row],[Total]]+SamplingData[[#This Row],[Losing Candidate]]-SamplingData[[#This Row],[Candidate 6]])/(SamplingData[[#Totals],[Winning Candidate]]-SamplingData[[#Totals],[Candidate 6]]), 0)</f>
        <v>0</v>
      </c>
      <c r="V1028" s="99">
        <f>IF(AND(SamplingData[[#This Row],[Total]]&lt;&gt; 0, NOT(ISBLANK(SamplingData[[#This Row],[Candidate 7]]))),(SamplingData[[#This Row],[Total]]+SamplingData[[#This Row],[Winning Candidate]]-SamplingData[[#This Row],[Candidate 7]])/(SamplingData[[#Totals],[Winning Candidate]]-SamplingData[[#Totals],[Candidate 7]]), 0)</f>
        <v>0</v>
      </c>
      <c r="W1028" s="99">
        <f>IF(AND(SamplingData[[#This Row],[Total]]&lt;&gt; 0, NOT(ISBLANK(SamplingData[[#This Row],[Candidate 8]]))),(SamplingData[[#This Row],[Total]]+SamplingData[[#This Row],[Winning Candidate]]-SamplingData[[#This Row],[Candidate 8]])/(SamplingData[[#Totals],[Winning Candidate]]-SamplingData[[#Totals],[Candidate 8]]), 0)</f>
        <v>0</v>
      </c>
      <c r="X10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8" s="99">
        <f>MAX(SamplingData[[#This Row],[Error Bound (up) - Max. possible relative overstatement - Losing Candidate]:[Error Bound (up) - Max. possible relative overstatement - Candidate 12]])</f>
        <v>1.0269903242233916E-2</v>
      </c>
      <c r="AC1028" s="99">
        <f>IF(SamplingData[[#This Row],[Max Error Bound (up)]] = 0,0,SamplingData[[#This Row],[Max Error Bound (up)]]/SamplingData[[#Totals],[Max Error Bound (up)]])</f>
        <v>5.4986003562729549E-4</v>
      </c>
      <c r="AD1028" s="103">
        <f>SUM($AC$5:AC1028)</f>
        <v>0.91235412804013782</v>
      </c>
      <c r="AE1028" s="99" t="str" cm="1">
        <f t="array" ref="AE1028">IF(SamplingData[[#This Row],[up/U Selection Probability]] = 0, "Zero", TEXT(SamplingData[[#This Row],[Lower Range]], REPT("0",LEN('General Info'!$B$42))) &amp; " - " &amp; TEXT(SamplingData[[#This Row],[Upper Range]], REPT("0",LEN('General Info'!$B$42))))</f>
        <v>911804 - 912353</v>
      </c>
      <c r="AF1028" s="99">
        <f>SamplingData[[#This Row],[Upper Range]]-SamplingData[[#This Row],[Span]]</f>
        <v>911804.26800451055</v>
      </c>
      <c r="AG1028" s="99">
        <f>IF(ISNUMBER('General Info'!$B$42), ((SamplingData[[#This Row],[up/U Selection Probability]]) * 'General Info'!$B$44) - 1, 0)</f>
        <v>548.86003562729547</v>
      </c>
      <c r="AH1028" s="99">
        <f>IF(ISNUMBER('General Info'!$B$42), (SamplingData[[#This Row],[Running (cumulative) sum]] * ('General Info'!$B$42 -'General Info'!$B$43 + 1)) + 'General Info'!$B$43 - 1, 0)</f>
        <v>912353.12804013782</v>
      </c>
      <c r="AI1028" s="99" t="str">
        <f>IF(ISERROR(MATCH(SamplingData[[#This Row],[Batch by Type (p)]],SelectedPrecincts[Batch Name], 0)), "", INDEX(SelectedPrecincts[Draw], MATCH(SamplingData[[#This Row],[Batch by Type (p)]],SelectedPrecincts[Batch Name], 0)))</f>
        <v/>
      </c>
      <c r="AJ1028" s="100">
        <f>IF(COUNTIF(SelectedPrecincts[Batch Name],SamplingData[[#This Row],[Batch by Type (p)]]) &lt;&gt; 0, COUNTIF(SelectedPrecincts[Batch Name],SamplingData[[#This Row],[Batch by Type (p)]]), 0)</f>
        <v>0</v>
      </c>
    </row>
    <row r="1029" spans="1:36" ht="15" customHeight="1" x14ac:dyDescent="0.35">
      <c r="A1029" s="97" t="s">
        <v>1242</v>
      </c>
      <c r="B1029" s="97">
        <v>77</v>
      </c>
      <c r="C1029" s="97">
        <v>411</v>
      </c>
      <c r="D1029" s="92"/>
      <c r="E1029" s="92"/>
      <c r="F1029" s="92"/>
      <c r="G1029" s="96"/>
      <c r="H1029" s="96"/>
      <c r="I1029" s="92"/>
      <c r="J1029" s="92"/>
      <c r="K1029" s="92"/>
      <c r="L1029" s="92"/>
      <c r="M1029" s="92"/>
      <c r="N1029" s="97">
        <v>0</v>
      </c>
      <c r="O1029" s="97">
        <v>31</v>
      </c>
      <c r="P1029" s="98">
        <f>SUM(SamplingData[[#This Row],[Winning Candidate]:[Under Votes]])</f>
        <v>519</v>
      </c>
      <c r="Q1029" s="99">
        <f>IF(AND(SamplingData[[#This Row],[Total]]&lt;&gt; 0, NOT(ISBLANK(SamplingData[[#This Row],[Losing Candidate]]))),(SamplingData[[#This Row],[Total]]+SamplingData[[#This Row],[Winning Candidate]]-SamplingData[[#This Row],[Losing Candidate]])/(SamplingData[[#Totals],[Winning Candidate]]-SamplingData[[#Totals],[Losing Candidate]]), 0)</f>
        <v>7.8509590901374975E-3</v>
      </c>
      <c r="R1029" s="99">
        <f>IF(AND(SamplingData[[#This Row],[Total]]&lt;&gt; 0, NOT(ISBLANK(SamplingData[[#This Row],[Candidate 3]]))),(SamplingData[[#This Row],[Total]]+SamplingData[[#This Row],[Winning Candidate]]-SamplingData[[#This Row],[Candidate 3]])/(SamplingData[[#Totals],[Winning Candidate]]-SamplingData[[#Totals],[Candidate 3]]), 0)</f>
        <v>0</v>
      </c>
      <c r="S1029" s="99">
        <f>IF(AND(SamplingData[[#This Row],[Total]]&lt;&gt; 0, NOT(ISBLANK(SamplingData[[#This Row],[Candidate 4]]))),(SamplingData[[#This Row],[Total]]+SamplingData[[#This Row],[Winning Candidate]]-SamplingData[[#This Row],[Candidate 4]])/(SamplingData[[#Totals],[Winning Candidate]]-SamplingData[[#Totals],[Candidate 4]]), 0)</f>
        <v>0</v>
      </c>
      <c r="T1029" s="99">
        <f>IF(AND(SamplingData[[#This Row],[Total]]&lt;&gt; 0, NOT(ISBLANK(SamplingData[[#This Row],[Candidate 5]]))),(SamplingData[[#This Row],[Total]]+SamplingData[[#This Row],[Winning Candidate]]-SamplingData[[#This Row],[Candidate 5]])/(SamplingData[[#Totals],[Winning Candidate]]-SamplingData[[#Totals],[Candidate 5]]), 0)</f>
        <v>0</v>
      </c>
      <c r="U1029" s="99">
        <f>IF(AND(SamplingData[[#This Row],[Total]]&lt;&gt; 0, NOT(ISBLANK(SamplingData[[#This Row],[Candidate 6]]))),(SamplingData[[#This Row],[Total]]+SamplingData[[#This Row],[Losing Candidate]]-SamplingData[[#This Row],[Candidate 6]])/(SamplingData[[#Totals],[Winning Candidate]]-SamplingData[[#Totals],[Candidate 6]]), 0)</f>
        <v>0</v>
      </c>
      <c r="V1029" s="99">
        <f>IF(AND(SamplingData[[#This Row],[Total]]&lt;&gt; 0, NOT(ISBLANK(SamplingData[[#This Row],[Candidate 7]]))),(SamplingData[[#This Row],[Total]]+SamplingData[[#This Row],[Winning Candidate]]-SamplingData[[#This Row],[Candidate 7]])/(SamplingData[[#Totals],[Winning Candidate]]-SamplingData[[#Totals],[Candidate 7]]), 0)</f>
        <v>0</v>
      </c>
      <c r="W1029" s="99">
        <f>IF(AND(SamplingData[[#This Row],[Total]]&lt;&gt; 0, NOT(ISBLANK(SamplingData[[#This Row],[Candidate 8]]))),(SamplingData[[#This Row],[Total]]+SamplingData[[#This Row],[Winning Candidate]]-SamplingData[[#This Row],[Candidate 8]])/(SamplingData[[#Totals],[Winning Candidate]]-SamplingData[[#Totals],[Candidate 8]]), 0)</f>
        <v>0</v>
      </c>
      <c r="X10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9" s="99">
        <f>MAX(SamplingData[[#This Row],[Error Bound (up) - Max. possible relative overstatement - Losing Candidate]:[Error Bound (up) - Max. possible relative overstatement - Candidate 12]])</f>
        <v>7.8509590901374975E-3</v>
      </c>
      <c r="AC1029" s="99">
        <f>IF(SamplingData[[#This Row],[Max Error Bound (up)]] = 0,0,SamplingData[[#This Row],[Max Error Bound (up)]]/SamplingData[[#Totals],[Max Error Bound (up)]])</f>
        <v>4.2034754789689951E-4</v>
      </c>
      <c r="AD1029" s="103">
        <f>SUM($AC$5:AC1029)</f>
        <v>0.91277447558803471</v>
      </c>
      <c r="AE1029" s="99" t="str" cm="1">
        <f t="array" ref="AE1029">IF(SamplingData[[#This Row],[up/U Selection Probability]] = 0, "Zero", TEXT(SamplingData[[#This Row],[Lower Range]], REPT("0",LEN('General Info'!$B$42))) &amp; " - " &amp; TEXT(SamplingData[[#This Row],[Upper Range]], REPT("0",LEN('General Info'!$B$42))))</f>
        <v>912354 - 912773</v>
      </c>
      <c r="AF1029" s="99">
        <f>SamplingData[[#This Row],[Upper Range]]-SamplingData[[#This Row],[Span]]</f>
        <v>912354.12804013782</v>
      </c>
      <c r="AG1029" s="99">
        <f>IF(ISNUMBER('General Info'!$B$42), ((SamplingData[[#This Row],[up/U Selection Probability]]) * 'General Info'!$B$44) - 1, 0)</f>
        <v>419.34754789689953</v>
      </c>
      <c r="AH1029" s="99">
        <f>IF(ISNUMBER('General Info'!$B$42), (SamplingData[[#This Row],[Running (cumulative) sum]] * ('General Info'!$B$42 -'General Info'!$B$43 + 1)) + 'General Info'!$B$43 - 1, 0)</f>
        <v>912773.47558803472</v>
      </c>
      <c r="AI1029" s="99" t="str">
        <f>IF(ISERROR(MATCH(SamplingData[[#This Row],[Batch by Type (p)]],SelectedPrecincts[Batch Name], 0)), "", INDEX(SelectedPrecincts[Draw], MATCH(SamplingData[[#This Row],[Batch by Type (p)]],SelectedPrecincts[Batch Name], 0)))</f>
        <v/>
      </c>
      <c r="AJ1029" s="100">
        <f>IF(COUNTIF(SelectedPrecincts[Batch Name],SamplingData[[#This Row],[Batch by Type (p)]]) &lt;&gt; 0, COUNTIF(SelectedPrecincts[Batch Name],SamplingData[[#This Row],[Batch by Type (p)]]), 0)</f>
        <v>0</v>
      </c>
    </row>
    <row r="1030" spans="1:36" ht="15" customHeight="1" x14ac:dyDescent="0.35">
      <c r="A1030" s="97" t="s">
        <v>1243</v>
      </c>
      <c r="B1030" s="97">
        <v>65</v>
      </c>
      <c r="C1030" s="97">
        <v>324</v>
      </c>
      <c r="D1030" s="92"/>
      <c r="E1030" s="92"/>
      <c r="F1030" s="92"/>
      <c r="G1030" s="96"/>
      <c r="H1030" s="96"/>
      <c r="I1030" s="92"/>
      <c r="J1030" s="92"/>
      <c r="K1030" s="92"/>
      <c r="L1030" s="92"/>
      <c r="M1030" s="92"/>
      <c r="N1030" s="97">
        <v>0</v>
      </c>
      <c r="O1030" s="97">
        <v>30</v>
      </c>
      <c r="P1030" s="98">
        <f>SUM(SamplingData[[#This Row],[Winning Candidate]:[Under Votes]])</f>
        <v>419</v>
      </c>
      <c r="Q1030" s="99">
        <f>IF(AND(SamplingData[[#This Row],[Total]]&lt;&gt; 0, NOT(ISBLANK(SamplingData[[#This Row],[Losing Candidate]]))),(SamplingData[[#This Row],[Total]]+SamplingData[[#This Row],[Winning Candidate]]-SamplingData[[#This Row],[Losing Candidate]])/(SamplingData[[#Totals],[Winning Candidate]]-SamplingData[[#Totals],[Losing Candidate]]), 0)</f>
        <v>6.7900186725513498E-3</v>
      </c>
      <c r="R1030" s="99">
        <f>IF(AND(SamplingData[[#This Row],[Total]]&lt;&gt; 0, NOT(ISBLANK(SamplingData[[#This Row],[Candidate 3]]))),(SamplingData[[#This Row],[Total]]+SamplingData[[#This Row],[Winning Candidate]]-SamplingData[[#This Row],[Candidate 3]])/(SamplingData[[#Totals],[Winning Candidate]]-SamplingData[[#Totals],[Candidate 3]]), 0)</f>
        <v>0</v>
      </c>
      <c r="S1030" s="99">
        <f>IF(AND(SamplingData[[#This Row],[Total]]&lt;&gt; 0, NOT(ISBLANK(SamplingData[[#This Row],[Candidate 4]]))),(SamplingData[[#This Row],[Total]]+SamplingData[[#This Row],[Winning Candidate]]-SamplingData[[#This Row],[Candidate 4]])/(SamplingData[[#Totals],[Winning Candidate]]-SamplingData[[#Totals],[Candidate 4]]), 0)</f>
        <v>0</v>
      </c>
      <c r="T1030" s="99">
        <f>IF(AND(SamplingData[[#This Row],[Total]]&lt;&gt; 0, NOT(ISBLANK(SamplingData[[#This Row],[Candidate 5]]))),(SamplingData[[#This Row],[Total]]+SamplingData[[#This Row],[Winning Candidate]]-SamplingData[[#This Row],[Candidate 5]])/(SamplingData[[#Totals],[Winning Candidate]]-SamplingData[[#Totals],[Candidate 5]]), 0)</f>
        <v>0</v>
      </c>
      <c r="U1030" s="99">
        <f>IF(AND(SamplingData[[#This Row],[Total]]&lt;&gt; 0, NOT(ISBLANK(SamplingData[[#This Row],[Candidate 6]]))),(SamplingData[[#This Row],[Total]]+SamplingData[[#This Row],[Losing Candidate]]-SamplingData[[#This Row],[Candidate 6]])/(SamplingData[[#Totals],[Winning Candidate]]-SamplingData[[#Totals],[Candidate 6]]), 0)</f>
        <v>0</v>
      </c>
      <c r="V1030" s="99">
        <f>IF(AND(SamplingData[[#This Row],[Total]]&lt;&gt; 0, NOT(ISBLANK(SamplingData[[#This Row],[Candidate 7]]))),(SamplingData[[#This Row],[Total]]+SamplingData[[#This Row],[Winning Candidate]]-SamplingData[[#This Row],[Candidate 7]])/(SamplingData[[#Totals],[Winning Candidate]]-SamplingData[[#Totals],[Candidate 7]]), 0)</f>
        <v>0</v>
      </c>
      <c r="W1030" s="99">
        <f>IF(AND(SamplingData[[#This Row],[Total]]&lt;&gt; 0, NOT(ISBLANK(SamplingData[[#This Row],[Candidate 8]]))),(SamplingData[[#This Row],[Total]]+SamplingData[[#This Row],[Winning Candidate]]-SamplingData[[#This Row],[Candidate 8]])/(SamplingData[[#Totals],[Winning Candidate]]-SamplingData[[#Totals],[Candidate 8]]), 0)</f>
        <v>0</v>
      </c>
      <c r="X10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0" s="99">
        <f>MAX(SamplingData[[#This Row],[Error Bound (up) - Max. possible relative overstatement - Losing Candidate]:[Error Bound (up) - Max. possible relative overstatement - Candidate 12]])</f>
        <v>6.7900186725513498E-3</v>
      </c>
      <c r="AC1030" s="99">
        <f>IF(SamplingData[[#This Row],[Max Error Bound (up)]] = 0,0,SamplingData[[#This Row],[Max Error Bound (up)]]/SamplingData[[#Totals],[Max Error Bound (up)]])</f>
        <v>3.6354382520812934E-4</v>
      </c>
      <c r="AD1030" s="103">
        <f>SUM($AC$5:AC1030)</f>
        <v>0.9131380194132428</v>
      </c>
      <c r="AE1030" s="99" t="str" cm="1">
        <f t="array" ref="AE1030">IF(SamplingData[[#This Row],[up/U Selection Probability]] = 0, "Zero", TEXT(SamplingData[[#This Row],[Lower Range]], REPT("0",LEN('General Info'!$B$42))) &amp; " - " &amp; TEXT(SamplingData[[#This Row],[Upper Range]], REPT("0",LEN('General Info'!$B$42))))</f>
        <v>912774 - 913137</v>
      </c>
      <c r="AF1030" s="99">
        <f>SamplingData[[#This Row],[Upper Range]]-SamplingData[[#This Row],[Span]]</f>
        <v>912774.47558803472</v>
      </c>
      <c r="AG1030" s="99">
        <f>IF(ISNUMBER('General Info'!$B$42), ((SamplingData[[#This Row],[up/U Selection Probability]]) * 'General Info'!$B$44) - 1, 0)</f>
        <v>362.54382520812936</v>
      </c>
      <c r="AH1030" s="99">
        <f>IF(ISNUMBER('General Info'!$B$42), (SamplingData[[#This Row],[Running (cumulative) sum]] * ('General Info'!$B$42 -'General Info'!$B$43 + 1)) + 'General Info'!$B$43 - 1, 0)</f>
        <v>913137.01941324282</v>
      </c>
      <c r="AI1030" s="99" t="str">
        <f>IF(ISERROR(MATCH(SamplingData[[#This Row],[Batch by Type (p)]],SelectedPrecincts[Batch Name], 0)), "", INDEX(SelectedPrecincts[Draw], MATCH(SamplingData[[#This Row],[Batch by Type (p)]],SelectedPrecincts[Batch Name], 0)))</f>
        <v/>
      </c>
      <c r="AJ1030" s="100">
        <f>IF(COUNTIF(SelectedPrecincts[Batch Name],SamplingData[[#This Row],[Batch by Type (p)]]) &lt;&gt; 0, COUNTIF(SelectedPrecincts[Batch Name],SamplingData[[#This Row],[Batch by Type (p)]]), 0)</f>
        <v>0</v>
      </c>
    </row>
    <row r="1031" spans="1:36" ht="15" customHeight="1" x14ac:dyDescent="0.35">
      <c r="A1031" s="97" t="s">
        <v>1244</v>
      </c>
      <c r="B1031" s="97">
        <v>73</v>
      </c>
      <c r="C1031" s="97">
        <v>292</v>
      </c>
      <c r="D1031" s="92"/>
      <c r="E1031" s="92"/>
      <c r="F1031" s="92"/>
      <c r="G1031" s="96"/>
      <c r="H1031" s="96"/>
      <c r="I1031" s="92"/>
      <c r="J1031" s="92"/>
      <c r="K1031" s="92"/>
      <c r="L1031" s="92"/>
      <c r="M1031" s="92"/>
      <c r="N1031" s="97">
        <v>0</v>
      </c>
      <c r="O1031" s="97">
        <v>24</v>
      </c>
      <c r="P1031" s="98">
        <f>SUM(SamplingData[[#This Row],[Winning Candidate]:[Under Votes]])</f>
        <v>389</v>
      </c>
      <c r="Q1031" s="99">
        <f>IF(AND(SamplingData[[#This Row],[Total]]&lt;&gt; 0, NOT(ISBLANK(SamplingData[[#This Row],[Losing Candidate]]))),(SamplingData[[#This Row],[Total]]+SamplingData[[#This Row],[Winning Candidate]]-SamplingData[[#This Row],[Losing Candidate]])/(SamplingData[[#Totals],[Winning Candidate]]-SamplingData[[#Totals],[Losing Candidate]]), 0)</f>
        <v>7.2143948395858087E-3</v>
      </c>
      <c r="R1031" s="99">
        <f>IF(AND(SamplingData[[#This Row],[Total]]&lt;&gt; 0, NOT(ISBLANK(SamplingData[[#This Row],[Candidate 3]]))),(SamplingData[[#This Row],[Total]]+SamplingData[[#This Row],[Winning Candidate]]-SamplingData[[#This Row],[Candidate 3]])/(SamplingData[[#Totals],[Winning Candidate]]-SamplingData[[#Totals],[Candidate 3]]), 0)</f>
        <v>0</v>
      </c>
      <c r="S1031" s="99">
        <f>IF(AND(SamplingData[[#This Row],[Total]]&lt;&gt; 0, NOT(ISBLANK(SamplingData[[#This Row],[Candidate 4]]))),(SamplingData[[#This Row],[Total]]+SamplingData[[#This Row],[Winning Candidate]]-SamplingData[[#This Row],[Candidate 4]])/(SamplingData[[#Totals],[Winning Candidate]]-SamplingData[[#Totals],[Candidate 4]]), 0)</f>
        <v>0</v>
      </c>
      <c r="T1031" s="99">
        <f>IF(AND(SamplingData[[#This Row],[Total]]&lt;&gt; 0, NOT(ISBLANK(SamplingData[[#This Row],[Candidate 5]]))),(SamplingData[[#This Row],[Total]]+SamplingData[[#This Row],[Winning Candidate]]-SamplingData[[#This Row],[Candidate 5]])/(SamplingData[[#Totals],[Winning Candidate]]-SamplingData[[#Totals],[Candidate 5]]), 0)</f>
        <v>0</v>
      </c>
      <c r="U1031" s="99">
        <f>IF(AND(SamplingData[[#This Row],[Total]]&lt;&gt; 0, NOT(ISBLANK(SamplingData[[#This Row],[Candidate 6]]))),(SamplingData[[#This Row],[Total]]+SamplingData[[#This Row],[Losing Candidate]]-SamplingData[[#This Row],[Candidate 6]])/(SamplingData[[#Totals],[Winning Candidate]]-SamplingData[[#Totals],[Candidate 6]]), 0)</f>
        <v>0</v>
      </c>
      <c r="V1031" s="99">
        <f>IF(AND(SamplingData[[#This Row],[Total]]&lt;&gt; 0, NOT(ISBLANK(SamplingData[[#This Row],[Candidate 7]]))),(SamplingData[[#This Row],[Total]]+SamplingData[[#This Row],[Winning Candidate]]-SamplingData[[#This Row],[Candidate 7]])/(SamplingData[[#Totals],[Winning Candidate]]-SamplingData[[#Totals],[Candidate 7]]), 0)</f>
        <v>0</v>
      </c>
      <c r="W1031" s="99">
        <f>IF(AND(SamplingData[[#This Row],[Total]]&lt;&gt; 0, NOT(ISBLANK(SamplingData[[#This Row],[Candidate 8]]))),(SamplingData[[#This Row],[Total]]+SamplingData[[#This Row],[Winning Candidate]]-SamplingData[[#This Row],[Candidate 8]])/(SamplingData[[#Totals],[Winning Candidate]]-SamplingData[[#Totals],[Candidate 8]]), 0)</f>
        <v>0</v>
      </c>
      <c r="X10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1" s="99">
        <f>MAX(SamplingData[[#This Row],[Error Bound (up) - Max. possible relative overstatement - Losing Candidate]:[Error Bound (up) - Max. possible relative overstatement - Candidate 12]])</f>
        <v>7.2143948395858087E-3</v>
      </c>
      <c r="AC1031" s="99">
        <f>IF(SamplingData[[#This Row],[Max Error Bound (up)]] = 0,0,SamplingData[[#This Row],[Max Error Bound (up)]]/SamplingData[[#Totals],[Max Error Bound (up)]])</f>
        <v>3.8626531428363737E-4</v>
      </c>
      <c r="AD1031" s="103">
        <f>SUM($AC$5:AC1031)</f>
        <v>0.91352428472752645</v>
      </c>
      <c r="AE1031" s="99" t="str" cm="1">
        <f t="array" ref="AE1031">IF(SamplingData[[#This Row],[up/U Selection Probability]] = 0, "Zero", TEXT(SamplingData[[#This Row],[Lower Range]], REPT("0",LEN('General Info'!$B$42))) &amp; " - " &amp; TEXT(SamplingData[[#This Row],[Upper Range]], REPT("0",LEN('General Info'!$B$42))))</f>
        <v>913138 - 913523</v>
      </c>
      <c r="AF1031" s="99">
        <f>SamplingData[[#This Row],[Upper Range]]-SamplingData[[#This Row],[Span]]</f>
        <v>913138.01941324282</v>
      </c>
      <c r="AG1031" s="99">
        <f>IF(ISNUMBER('General Info'!$B$42), ((SamplingData[[#This Row],[up/U Selection Probability]]) * 'General Info'!$B$44) - 1, 0)</f>
        <v>385.26531428363734</v>
      </c>
      <c r="AH1031" s="99">
        <f>IF(ISNUMBER('General Info'!$B$42), (SamplingData[[#This Row],[Running (cumulative) sum]] * ('General Info'!$B$42 -'General Info'!$B$43 + 1)) + 'General Info'!$B$43 - 1, 0)</f>
        <v>913523.28472752648</v>
      </c>
      <c r="AI1031" s="99" t="str">
        <f>IF(ISERROR(MATCH(SamplingData[[#This Row],[Batch by Type (p)]],SelectedPrecincts[Batch Name], 0)), "", INDEX(SelectedPrecincts[Draw], MATCH(SamplingData[[#This Row],[Batch by Type (p)]],SelectedPrecincts[Batch Name], 0)))</f>
        <v/>
      </c>
      <c r="AJ1031" s="100">
        <f>IF(COUNTIF(SelectedPrecincts[Batch Name],SamplingData[[#This Row],[Batch by Type (p)]]) &lt;&gt; 0, COUNTIF(SelectedPrecincts[Batch Name],SamplingData[[#This Row],[Batch by Type (p)]]), 0)</f>
        <v>0</v>
      </c>
    </row>
    <row r="1032" spans="1:36" ht="15" customHeight="1" x14ac:dyDescent="0.35">
      <c r="A1032" s="97" t="s">
        <v>1245</v>
      </c>
      <c r="B1032" s="97">
        <v>67</v>
      </c>
      <c r="C1032" s="97">
        <v>270</v>
      </c>
      <c r="D1032" s="92"/>
      <c r="E1032" s="92"/>
      <c r="F1032" s="92"/>
      <c r="G1032" s="96"/>
      <c r="H1032" s="96"/>
      <c r="I1032" s="92"/>
      <c r="J1032" s="92"/>
      <c r="K1032" s="92"/>
      <c r="L1032" s="92"/>
      <c r="M1032" s="92"/>
      <c r="N1032" s="97">
        <v>0</v>
      </c>
      <c r="O1032" s="97">
        <v>40</v>
      </c>
      <c r="P1032" s="98">
        <f>SUM(SamplingData[[#This Row],[Winning Candidate]:[Under Votes]])</f>
        <v>377</v>
      </c>
      <c r="Q1032" s="99">
        <f>IF(AND(SamplingData[[#This Row],[Total]]&lt;&gt; 0, NOT(ISBLANK(SamplingData[[#This Row],[Losing Candidate]]))),(SamplingData[[#This Row],[Total]]+SamplingData[[#This Row],[Winning Candidate]]-SamplingData[[#This Row],[Losing Candidate]])/(SamplingData[[#Totals],[Winning Candidate]]-SamplingData[[#Totals],[Losing Candidate]]), 0)</f>
        <v>7.3841453063995923E-3</v>
      </c>
      <c r="R1032" s="99">
        <f>IF(AND(SamplingData[[#This Row],[Total]]&lt;&gt; 0, NOT(ISBLANK(SamplingData[[#This Row],[Candidate 3]]))),(SamplingData[[#This Row],[Total]]+SamplingData[[#This Row],[Winning Candidate]]-SamplingData[[#This Row],[Candidate 3]])/(SamplingData[[#Totals],[Winning Candidate]]-SamplingData[[#Totals],[Candidate 3]]), 0)</f>
        <v>0</v>
      </c>
      <c r="S1032" s="99">
        <f>IF(AND(SamplingData[[#This Row],[Total]]&lt;&gt; 0, NOT(ISBLANK(SamplingData[[#This Row],[Candidate 4]]))),(SamplingData[[#This Row],[Total]]+SamplingData[[#This Row],[Winning Candidate]]-SamplingData[[#This Row],[Candidate 4]])/(SamplingData[[#Totals],[Winning Candidate]]-SamplingData[[#Totals],[Candidate 4]]), 0)</f>
        <v>0</v>
      </c>
      <c r="T1032" s="99">
        <f>IF(AND(SamplingData[[#This Row],[Total]]&lt;&gt; 0, NOT(ISBLANK(SamplingData[[#This Row],[Candidate 5]]))),(SamplingData[[#This Row],[Total]]+SamplingData[[#This Row],[Winning Candidate]]-SamplingData[[#This Row],[Candidate 5]])/(SamplingData[[#Totals],[Winning Candidate]]-SamplingData[[#Totals],[Candidate 5]]), 0)</f>
        <v>0</v>
      </c>
      <c r="U1032" s="99">
        <f>IF(AND(SamplingData[[#This Row],[Total]]&lt;&gt; 0, NOT(ISBLANK(SamplingData[[#This Row],[Candidate 6]]))),(SamplingData[[#This Row],[Total]]+SamplingData[[#This Row],[Losing Candidate]]-SamplingData[[#This Row],[Candidate 6]])/(SamplingData[[#Totals],[Winning Candidate]]-SamplingData[[#Totals],[Candidate 6]]), 0)</f>
        <v>0</v>
      </c>
      <c r="V1032" s="99">
        <f>IF(AND(SamplingData[[#This Row],[Total]]&lt;&gt; 0, NOT(ISBLANK(SamplingData[[#This Row],[Candidate 7]]))),(SamplingData[[#This Row],[Total]]+SamplingData[[#This Row],[Winning Candidate]]-SamplingData[[#This Row],[Candidate 7]])/(SamplingData[[#Totals],[Winning Candidate]]-SamplingData[[#Totals],[Candidate 7]]), 0)</f>
        <v>0</v>
      </c>
      <c r="W1032" s="99">
        <f>IF(AND(SamplingData[[#This Row],[Total]]&lt;&gt; 0, NOT(ISBLANK(SamplingData[[#This Row],[Candidate 8]]))),(SamplingData[[#This Row],[Total]]+SamplingData[[#This Row],[Winning Candidate]]-SamplingData[[#This Row],[Candidate 8]])/(SamplingData[[#Totals],[Winning Candidate]]-SamplingData[[#Totals],[Candidate 8]]), 0)</f>
        <v>0</v>
      </c>
      <c r="X10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2" s="99">
        <f>MAX(SamplingData[[#This Row],[Error Bound (up) - Max. possible relative overstatement - Losing Candidate]:[Error Bound (up) - Max. possible relative overstatement - Candidate 12]])</f>
        <v>7.3841453063995923E-3</v>
      </c>
      <c r="AC1032" s="99">
        <f>IF(SamplingData[[#This Row],[Max Error Bound (up)]] = 0,0,SamplingData[[#This Row],[Max Error Bound (up)]]/SamplingData[[#Totals],[Max Error Bound (up)]])</f>
        <v>3.953539099138406E-4</v>
      </c>
      <c r="AD1032" s="103">
        <f>SUM($AC$5:AC1032)</f>
        <v>0.9139196386374403</v>
      </c>
      <c r="AE1032" s="99" t="str" cm="1">
        <f t="array" ref="AE1032">IF(SamplingData[[#This Row],[up/U Selection Probability]] = 0, "Zero", TEXT(SamplingData[[#This Row],[Lower Range]], REPT("0",LEN('General Info'!$B$42))) &amp; " - " &amp; TEXT(SamplingData[[#This Row],[Upper Range]], REPT("0",LEN('General Info'!$B$42))))</f>
        <v>913524 - 913919</v>
      </c>
      <c r="AF1032" s="99">
        <f>SamplingData[[#This Row],[Upper Range]]-SamplingData[[#This Row],[Span]]</f>
        <v>913524.28472752648</v>
      </c>
      <c r="AG1032" s="99">
        <f>IF(ISNUMBER('General Info'!$B$42), ((SamplingData[[#This Row],[up/U Selection Probability]]) * 'General Info'!$B$44) - 1, 0)</f>
        <v>394.3539099138406</v>
      </c>
      <c r="AH1032" s="99">
        <f>IF(ISNUMBER('General Info'!$B$42), (SamplingData[[#This Row],[Running (cumulative) sum]] * ('General Info'!$B$42 -'General Info'!$B$43 + 1)) + 'General Info'!$B$43 - 1, 0)</f>
        <v>913918.63863744028</v>
      </c>
      <c r="AI1032" s="99" t="str">
        <f>IF(ISERROR(MATCH(SamplingData[[#This Row],[Batch by Type (p)]],SelectedPrecincts[Batch Name], 0)), "", INDEX(SelectedPrecincts[Draw], MATCH(SamplingData[[#This Row],[Batch by Type (p)]],SelectedPrecincts[Batch Name], 0)))</f>
        <v/>
      </c>
      <c r="AJ1032" s="100">
        <f>IF(COUNTIF(SelectedPrecincts[Batch Name],SamplingData[[#This Row],[Batch by Type (p)]]) &lt;&gt; 0, COUNTIF(SelectedPrecincts[Batch Name],SamplingData[[#This Row],[Batch by Type (p)]]), 0)</f>
        <v>0</v>
      </c>
    </row>
    <row r="1033" spans="1:36" ht="15" customHeight="1" x14ac:dyDescent="0.35">
      <c r="A1033" s="97" t="s">
        <v>1246</v>
      </c>
      <c r="B1033" s="97">
        <v>125</v>
      </c>
      <c r="C1033" s="97">
        <v>525</v>
      </c>
      <c r="D1033" s="92"/>
      <c r="E1033" s="92"/>
      <c r="F1033" s="92"/>
      <c r="G1033" s="96"/>
      <c r="H1033" s="96"/>
      <c r="I1033" s="92"/>
      <c r="J1033" s="92"/>
      <c r="K1033" s="92"/>
      <c r="L1033" s="92"/>
      <c r="M1033" s="92"/>
      <c r="N1033" s="97">
        <v>1</v>
      </c>
      <c r="O1033" s="97">
        <v>50</v>
      </c>
      <c r="P1033" s="98">
        <f>SUM(SamplingData[[#This Row],[Winning Candidate]:[Under Votes]])</f>
        <v>701</v>
      </c>
      <c r="Q1033" s="99">
        <f>IF(AND(SamplingData[[#This Row],[Total]]&lt;&gt; 0, NOT(ISBLANK(SamplingData[[#This Row],[Losing Candidate]]))),(SamplingData[[#This Row],[Total]]+SamplingData[[#This Row],[Winning Candidate]]-SamplingData[[#This Row],[Losing Candidate]])/(SamplingData[[#Totals],[Winning Candidate]]-SamplingData[[#Totals],[Losing Candidate]]), 0)</f>
        <v>1.2773722627737226E-2</v>
      </c>
      <c r="R1033" s="99">
        <f>IF(AND(SamplingData[[#This Row],[Total]]&lt;&gt; 0, NOT(ISBLANK(SamplingData[[#This Row],[Candidate 3]]))),(SamplingData[[#This Row],[Total]]+SamplingData[[#This Row],[Winning Candidate]]-SamplingData[[#This Row],[Candidate 3]])/(SamplingData[[#Totals],[Winning Candidate]]-SamplingData[[#Totals],[Candidate 3]]), 0)</f>
        <v>0</v>
      </c>
      <c r="S1033" s="99">
        <f>IF(AND(SamplingData[[#This Row],[Total]]&lt;&gt; 0, NOT(ISBLANK(SamplingData[[#This Row],[Candidate 4]]))),(SamplingData[[#This Row],[Total]]+SamplingData[[#This Row],[Winning Candidate]]-SamplingData[[#This Row],[Candidate 4]])/(SamplingData[[#Totals],[Winning Candidate]]-SamplingData[[#Totals],[Candidate 4]]), 0)</f>
        <v>0</v>
      </c>
      <c r="T1033" s="99">
        <f>IF(AND(SamplingData[[#This Row],[Total]]&lt;&gt; 0, NOT(ISBLANK(SamplingData[[#This Row],[Candidate 5]]))),(SamplingData[[#This Row],[Total]]+SamplingData[[#This Row],[Winning Candidate]]-SamplingData[[#This Row],[Candidate 5]])/(SamplingData[[#Totals],[Winning Candidate]]-SamplingData[[#Totals],[Candidate 5]]), 0)</f>
        <v>0</v>
      </c>
      <c r="U1033" s="99">
        <f>IF(AND(SamplingData[[#This Row],[Total]]&lt;&gt; 0, NOT(ISBLANK(SamplingData[[#This Row],[Candidate 6]]))),(SamplingData[[#This Row],[Total]]+SamplingData[[#This Row],[Losing Candidate]]-SamplingData[[#This Row],[Candidate 6]])/(SamplingData[[#Totals],[Winning Candidate]]-SamplingData[[#Totals],[Candidate 6]]), 0)</f>
        <v>0</v>
      </c>
      <c r="V1033" s="99">
        <f>IF(AND(SamplingData[[#This Row],[Total]]&lt;&gt; 0, NOT(ISBLANK(SamplingData[[#This Row],[Candidate 7]]))),(SamplingData[[#This Row],[Total]]+SamplingData[[#This Row],[Winning Candidate]]-SamplingData[[#This Row],[Candidate 7]])/(SamplingData[[#Totals],[Winning Candidate]]-SamplingData[[#Totals],[Candidate 7]]), 0)</f>
        <v>0</v>
      </c>
      <c r="W1033" s="99">
        <f>IF(AND(SamplingData[[#This Row],[Total]]&lt;&gt; 0, NOT(ISBLANK(SamplingData[[#This Row],[Candidate 8]]))),(SamplingData[[#This Row],[Total]]+SamplingData[[#This Row],[Winning Candidate]]-SamplingData[[#This Row],[Candidate 8]])/(SamplingData[[#Totals],[Winning Candidate]]-SamplingData[[#Totals],[Candidate 8]]), 0)</f>
        <v>0</v>
      </c>
      <c r="X10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3" s="99">
        <f>MAX(SamplingData[[#This Row],[Error Bound (up) - Max. possible relative overstatement - Losing Candidate]:[Error Bound (up) - Max. possible relative overstatement - Candidate 12]])</f>
        <v>1.2773722627737226E-2</v>
      </c>
      <c r="AC1033" s="99">
        <f>IF(SamplingData[[#This Row],[Max Error Bound (up)]] = 0,0,SamplingData[[#This Row],[Max Error Bound (up)]]/SamplingData[[#Totals],[Max Error Bound (up)]])</f>
        <v>6.839168211727933E-4</v>
      </c>
      <c r="AD1033" s="103">
        <f>SUM($AC$5:AC1033)</f>
        <v>0.91460355545861305</v>
      </c>
      <c r="AE1033" s="99" t="str" cm="1">
        <f t="array" ref="AE1033">IF(SamplingData[[#This Row],[up/U Selection Probability]] = 0, "Zero", TEXT(SamplingData[[#This Row],[Lower Range]], REPT("0",LEN('General Info'!$B$42))) &amp; " - " &amp; TEXT(SamplingData[[#This Row],[Upper Range]], REPT("0",LEN('General Info'!$B$42))))</f>
        <v>913920 - 914603</v>
      </c>
      <c r="AF1033" s="99">
        <f>SamplingData[[#This Row],[Upper Range]]-SamplingData[[#This Row],[Span]]</f>
        <v>913919.63863744028</v>
      </c>
      <c r="AG1033" s="99">
        <f>IF(ISNUMBER('General Info'!$B$42), ((SamplingData[[#This Row],[up/U Selection Probability]]) * 'General Info'!$B$44) - 1, 0)</f>
        <v>682.91682117279333</v>
      </c>
      <c r="AH1033" s="99">
        <f>IF(ISNUMBER('General Info'!$B$42), (SamplingData[[#This Row],[Running (cumulative) sum]] * ('General Info'!$B$42 -'General Info'!$B$43 + 1)) + 'General Info'!$B$43 - 1, 0)</f>
        <v>914602.55545861309</v>
      </c>
      <c r="AI1033" s="99" t="str">
        <f>IF(ISERROR(MATCH(SamplingData[[#This Row],[Batch by Type (p)]],SelectedPrecincts[Batch Name], 0)), "", INDEX(SelectedPrecincts[Draw], MATCH(SamplingData[[#This Row],[Batch by Type (p)]],SelectedPrecincts[Batch Name], 0)))</f>
        <v/>
      </c>
      <c r="AJ1033" s="100">
        <f>IF(COUNTIF(SelectedPrecincts[Batch Name],SamplingData[[#This Row],[Batch by Type (p)]]) &lt;&gt; 0, COUNTIF(SelectedPrecincts[Batch Name],SamplingData[[#This Row],[Batch by Type (p)]]), 0)</f>
        <v>0</v>
      </c>
    </row>
    <row r="1034" spans="1:36" ht="15" customHeight="1" x14ac:dyDescent="0.35">
      <c r="A1034" s="97" t="s">
        <v>1247</v>
      </c>
      <c r="B1034" s="97">
        <v>101</v>
      </c>
      <c r="C1034" s="97">
        <v>532</v>
      </c>
      <c r="D1034" s="92"/>
      <c r="E1034" s="92"/>
      <c r="F1034" s="92"/>
      <c r="G1034" s="96"/>
      <c r="H1034" s="96"/>
      <c r="I1034" s="92"/>
      <c r="J1034" s="92"/>
      <c r="K1034" s="92"/>
      <c r="L1034" s="92"/>
      <c r="M1034" s="92"/>
      <c r="N1034" s="97">
        <v>0</v>
      </c>
      <c r="O1034" s="97">
        <v>31</v>
      </c>
      <c r="P1034" s="98">
        <f>SUM(SamplingData[[#This Row],[Winning Candidate]:[Under Votes]])</f>
        <v>664</v>
      </c>
      <c r="Q1034" s="99">
        <f>IF(AND(SamplingData[[#This Row],[Total]]&lt;&gt; 0, NOT(ISBLANK(SamplingData[[#This Row],[Losing Candidate]]))),(SamplingData[[#This Row],[Total]]+SamplingData[[#This Row],[Winning Candidate]]-SamplingData[[#This Row],[Losing Candidate]])/(SamplingData[[#Totals],[Winning Candidate]]-SamplingData[[#Totals],[Losing Candidate]]), 0)</f>
        <v>9.8879646919029021E-3</v>
      </c>
      <c r="R1034" s="99">
        <f>IF(AND(SamplingData[[#This Row],[Total]]&lt;&gt; 0, NOT(ISBLANK(SamplingData[[#This Row],[Candidate 3]]))),(SamplingData[[#This Row],[Total]]+SamplingData[[#This Row],[Winning Candidate]]-SamplingData[[#This Row],[Candidate 3]])/(SamplingData[[#Totals],[Winning Candidate]]-SamplingData[[#Totals],[Candidate 3]]), 0)</f>
        <v>0</v>
      </c>
      <c r="S1034" s="99">
        <f>IF(AND(SamplingData[[#This Row],[Total]]&lt;&gt; 0, NOT(ISBLANK(SamplingData[[#This Row],[Candidate 4]]))),(SamplingData[[#This Row],[Total]]+SamplingData[[#This Row],[Winning Candidate]]-SamplingData[[#This Row],[Candidate 4]])/(SamplingData[[#Totals],[Winning Candidate]]-SamplingData[[#Totals],[Candidate 4]]), 0)</f>
        <v>0</v>
      </c>
      <c r="T1034" s="99">
        <f>IF(AND(SamplingData[[#This Row],[Total]]&lt;&gt; 0, NOT(ISBLANK(SamplingData[[#This Row],[Candidate 5]]))),(SamplingData[[#This Row],[Total]]+SamplingData[[#This Row],[Winning Candidate]]-SamplingData[[#This Row],[Candidate 5]])/(SamplingData[[#Totals],[Winning Candidate]]-SamplingData[[#Totals],[Candidate 5]]), 0)</f>
        <v>0</v>
      </c>
      <c r="U1034" s="99">
        <f>IF(AND(SamplingData[[#This Row],[Total]]&lt;&gt; 0, NOT(ISBLANK(SamplingData[[#This Row],[Candidate 6]]))),(SamplingData[[#This Row],[Total]]+SamplingData[[#This Row],[Losing Candidate]]-SamplingData[[#This Row],[Candidate 6]])/(SamplingData[[#Totals],[Winning Candidate]]-SamplingData[[#Totals],[Candidate 6]]), 0)</f>
        <v>0</v>
      </c>
      <c r="V1034" s="99">
        <f>IF(AND(SamplingData[[#This Row],[Total]]&lt;&gt; 0, NOT(ISBLANK(SamplingData[[#This Row],[Candidate 7]]))),(SamplingData[[#This Row],[Total]]+SamplingData[[#This Row],[Winning Candidate]]-SamplingData[[#This Row],[Candidate 7]])/(SamplingData[[#Totals],[Winning Candidate]]-SamplingData[[#Totals],[Candidate 7]]), 0)</f>
        <v>0</v>
      </c>
      <c r="W1034" s="99">
        <f>IF(AND(SamplingData[[#This Row],[Total]]&lt;&gt; 0, NOT(ISBLANK(SamplingData[[#This Row],[Candidate 8]]))),(SamplingData[[#This Row],[Total]]+SamplingData[[#This Row],[Winning Candidate]]-SamplingData[[#This Row],[Candidate 8]])/(SamplingData[[#Totals],[Winning Candidate]]-SamplingData[[#Totals],[Candidate 8]]), 0)</f>
        <v>0</v>
      </c>
      <c r="X10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4" s="99">
        <f>MAX(SamplingData[[#This Row],[Error Bound (up) - Max. possible relative overstatement - Losing Candidate]:[Error Bound (up) - Max. possible relative overstatement - Candidate 12]])</f>
        <v>9.8879646919029021E-3</v>
      </c>
      <c r="AC1034" s="99">
        <f>IF(SamplingData[[#This Row],[Max Error Bound (up)]] = 0,0,SamplingData[[#This Row],[Max Error Bound (up)]]/SamplingData[[#Totals],[Max Error Bound (up)]])</f>
        <v>5.2941069545933825E-4</v>
      </c>
      <c r="AD1034" s="103">
        <f>SUM($AC$5:AC1034)</f>
        <v>0.91513296615407236</v>
      </c>
      <c r="AE1034" s="99" t="str" cm="1">
        <f t="array" ref="AE1034">IF(SamplingData[[#This Row],[up/U Selection Probability]] = 0, "Zero", TEXT(SamplingData[[#This Row],[Lower Range]], REPT("0",LEN('General Info'!$B$42))) &amp; " - " &amp; TEXT(SamplingData[[#This Row],[Upper Range]], REPT("0",LEN('General Info'!$B$42))))</f>
        <v>914604 - 915132</v>
      </c>
      <c r="AF1034" s="99">
        <f>SamplingData[[#This Row],[Upper Range]]-SamplingData[[#This Row],[Span]]</f>
        <v>914603.55545861297</v>
      </c>
      <c r="AG1034" s="99">
        <f>IF(ISNUMBER('General Info'!$B$42), ((SamplingData[[#This Row],[up/U Selection Probability]]) * 'General Info'!$B$44) - 1, 0)</f>
        <v>528.41069545933829</v>
      </c>
      <c r="AH1034" s="99">
        <f>IF(ISNUMBER('General Info'!$B$42), (SamplingData[[#This Row],[Running (cumulative) sum]] * ('General Info'!$B$42 -'General Info'!$B$43 + 1)) + 'General Info'!$B$43 - 1, 0)</f>
        <v>915131.96615407232</v>
      </c>
      <c r="AI1034" s="99" t="str">
        <f>IF(ISERROR(MATCH(SamplingData[[#This Row],[Batch by Type (p)]],SelectedPrecincts[Batch Name], 0)), "", INDEX(SelectedPrecincts[Draw], MATCH(SamplingData[[#This Row],[Batch by Type (p)]],SelectedPrecincts[Batch Name], 0)))</f>
        <v/>
      </c>
      <c r="AJ1034" s="100">
        <f>IF(COUNTIF(SelectedPrecincts[Batch Name],SamplingData[[#This Row],[Batch by Type (p)]]) &lt;&gt; 0, COUNTIF(SelectedPrecincts[Batch Name],SamplingData[[#This Row],[Batch by Type (p)]]), 0)</f>
        <v>0</v>
      </c>
    </row>
    <row r="1035" spans="1:36" ht="15" customHeight="1" x14ac:dyDescent="0.35">
      <c r="A1035" s="97" t="s">
        <v>1248</v>
      </c>
      <c r="B1035" s="97">
        <v>117</v>
      </c>
      <c r="C1035" s="97">
        <v>120</v>
      </c>
      <c r="D1035" s="92"/>
      <c r="E1035" s="92"/>
      <c r="F1035" s="92"/>
      <c r="G1035" s="96"/>
      <c r="H1035" s="96"/>
      <c r="I1035" s="92"/>
      <c r="J1035" s="92"/>
      <c r="K1035" s="92"/>
      <c r="L1035" s="92"/>
      <c r="M1035" s="92"/>
      <c r="N1035" s="97">
        <v>0</v>
      </c>
      <c r="O1035" s="97">
        <v>17</v>
      </c>
      <c r="P1035" s="98">
        <f>SUM(SamplingData[[#This Row],[Winning Candidate]:[Under Votes]])</f>
        <v>254</v>
      </c>
      <c r="Q1035" s="99">
        <f>IF(AND(SamplingData[[#This Row],[Total]]&lt;&gt; 0, NOT(ISBLANK(SamplingData[[#This Row],[Losing Candidate]]))),(SamplingData[[#This Row],[Total]]+SamplingData[[#This Row],[Winning Candidate]]-SamplingData[[#This Row],[Losing Candidate]])/(SamplingData[[#Totals],[Winning Candidate]]-SamplingData[[#Totals],[Losing Candidate]]), 0)</f>
        <v>1.0651841792564929E-2</v>
      </c>
      <c r="R1035" s="99">
        <f>IF(AND(SamplingData[[#This Row],[Total]]&lt;&gt; 0, NOT(ISBLANK(SamplingData[[#This Row],[Candidate 3]]))),(SamplingData[[#This Row],[Total]]+SamplingData[[#This Row],[Winning Candidate]]-SamplingData[[#This Row],[Candidate 3]])/(SamplingData[[#Totals],[Winning Candidate]]-SamplingData[[#Totals],[Candidate 3]]), 0)</f>
        <v>0</v>
      </c>
      <c r="S1035" s="99">
        <f>IF(AND(SamplingData[[#This Row],[Total]]&lt;&gt; 0, NOT(ISBLANK(SamplingData[[#This Row],[Candidate 4]]))),(SamplingData[[#This Row],[Total]]+SamplingData[[#This Row],[Winning Candidate]]-SamplingData[[#This Row],[Candidate 4]])/(SamplingData[[#Totals],[Winning Candidate]]-SamplingData[[#Totals],[Candidate 4]]), 0)</f>
        <v>0</v>
      </c>
      <c r="T1035" s="99">
        <f>IF(AND(SamplingData[[#This Row],[Total]]&lt;&gt; 0, NOT(ISBLANK(SamplingData[[#This Row],[Candidate 5]]))),(SamplingData[[#This Row],[Total]]+SamplingData[[#This Row],[Winning Candidate]]-SamplingData[[#This Row],[Candidate 5]])/(SamplingData[[#Totals],[Winning Candidate]]-SamplingData[[#Totals],[Candidate 5]]), 0)</f>
        <v>0</v>
      </c>
      <c r="U1035" s="99">
        <f>IF(AND(SamplingData[[#This Row],[Total]]&lt;&gt; 0, NOT(ISBLANK(SamplingData[[#This Row],[Candidate 6]]))),(SamplingData[[#This Row],[Total]]+SamplingData[[#This Row],[Losing Candidate]]-SamplingData[[#This Row],[Candidate 6]])/(SamplingData[[#Totals],[Winning Candidate]]-SamplingData[[#Totals],[Candidate 6]]), 0)</f>
        <v>0</v>
      </c>
      <c r="V1035" s="99">
        <f>IF(AND(SamplingData[[#This Row],[Total]]&lt;&gt; 0, NOT(ISBLANK(SamplingData[[#This Row],[Candidate 7]]))),(SamplingData[[#This Row],[Total]]+SamplingData[[#This Row],[Winning Candidate]]-SamplingData[[#This Row],[Candidate 7]])/(SamplingData[[#Totals],[Winning Candidate]]-SamplingData[[#Totals],[Candidate 7]]), 0)</f>
        <v>0</v>
      </c>
      <c r="W1035" s="99">
        <f>IF(AND(SamplingData[[#This Row],[Total]]&lt;&gt; 0, NOT(ISBLANK(SamplingData[[#This Row],[Candidate 8]]))),(SamplingData[[#This Row],[Total]]+SamplingData[[#This Row],[Winning Candidate]]-SamplingData[[#This Row],[Candidate 8]])/(SamplingData[[#Totals],[Winning Candidate]]-SamplingData[[#Totals],[Candidate 8]]), 0)</f>
        <v>0</v>
      </c>
      <c r="X10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5" s="99">
        <f>MAX(SamplingData[[#This Row],[Error Bound (up) - Max. possible relative overstatement - Losing Candidate]:[Error Bound (up) - Max. possible relative overstatement - Candidate 12]])</f>
        <v>1.0651841792564929E-2</v>
      </c>
      <c r="AC1035" s="99">
        <f>IF(SamplingData[[#This Row],[Max Error Bound (up)]] = 0,0,SamplingData[[#This Row],[Max Error Bound (up)]]/SamplingData[[#Totals],[Max Error Bound (up)]])</f>
        <v>5.7030937579525284E-4</v>
      </c>
      <c r="AD1035" s="103">
        <f>SUM($AC$5:AC1035)</f>
        <v>0.91570327552986763</v>
      </c>
      <c r="AE1035" s="99" t="str" cm="1">
        <f t="array" ref="AE1035">IF(SamplingData[[#This Row],[up/U Selection Probability]] = 0, "Zero", TEXT(SamplingData[[#This Row],[Lower Range]], REPT("0",LEN('General Info'!$B$42))) &amp; " - " &amp; TEXT(SamplingData[[#This Row],[Upper Range]], REPT("0",LEN('General Info'!$B$42))))</f>
        <v>915133 - 915702</v>
      </c>
      <c r="AF1035" s="99">
        <f>SamplingData[[#This Row],[Upper Range]]-SamplingData[[#This Row],[Span]]</f>
        <v>915132.96615407232</v>
      </c>
      <c r="AG1035" s="99">
        <f>IF(ISNUMBER('General Info'!$B$42), ((SamplingData[[#This Row],[up/U Selection Probability]]) * 'General Info'!$B$44) - 1, 0)</f>
        <v>569.30937579525289</v>
      </c>
      <c r="AH1035" s="99">
        <f>IF(ISNUMBER('General Info'!$B$42), (SamplingData[[#This Row],[Running (cumulative) sum]] * ('General Info'!$B$42 -'General Info'!$B$43 + 1)) + 'General Info'!$B$43 - 1, 0)</f>
        <v>915702.27552986762</v>
      </c>
      <c r="AI1035" s="99" t="str">
        <f>IF(ISERROR(MATCH(SamplingData[[#This Row],[Batch by Type (p)]],SelectedPrecincts[Batch Name], 0)), "", INDEX(SelectedPrecincts[Draw], MATCH(SamplingData[[#This Row],[Batch by Type (p)]],SelectedPrecincts[Batch Name], 0)))</f>
        <v/>
      </c>
      <c r="AJ1035" s="100">
        <f>IF(COUNTIF(SelectedPrecincts[Batch Name],SamplingData[[#This Row],[Batch by Type (p)]]) &lt;&gt; 0, COUNTIF(SelectedPrecincts[Batch Name],SamplingData[[#This Row],[Batch by Type (p)]]), 0)</f>
        <v>0</v>
      </c>
    </row>
    <row r="1036" spans="1:36" ht="15" customHeight="1" x14ac:dyDescent="0.35">
      <c r="A1036" s="97" t="s">
        <v>1249</v>
      </c>
      <c r="B1036" s="97">
        <v>234</v>
      </c>
      <c r="C1036" s="97">
        <v>294</v>
      </c>
      <c r="D1036" s="92"/>
      <c r="E1036" s="92"/>
      <c r="F1036" s="92"/>
      <c r="G1036" s="96"/>
      <c r="H1036" s="96"/>
      <c r="I1036" s="92"/>
      <c r="J1036" s="92"/>
      <c r="K1036" s="92"/>
      <c r="L1036" s="92"/>
      <c r="M1036" s="92"/>
      <c r="N1036" s="97">
        <v>1</v>
      </c>
      <c r="O1036" s="97">
        <v>43</v>
      </c>
      <c r="P1036" s="98">
        <f>SUM(SamplingData[[#This Row],[Winning Candidate]:[Under Votes]])</f>
        <v>572</v>
      </c>
      <c r="Q1036" s="99">
        <f>IF(AND(SamplingData[[#This Row],[Total]]&lt;&gt; 0, NOT(ISBLANK(SamplingData[[#This Row],[Losing Candidate]]))),(SamplingData[[#This Row],[Total]]+SamplingData[[#This Row],[Winning Candidate]]-SamplingData[[#This Row],[Losing Candidate]])/(SamplingData[[#Totals],[Winning Candidate]]-SamplingData[[#Totals],[Losing Candidate]]), 0)</f>
        <v>2.1728059752164318E-2</v>
      </c>
      <c r="R1036" s="99">
        <f>IF(AND(SamplingData[[#This Row],[Total]]&lt;&gt; 0, NOT(ISBLANK(SamplingData[[#This Row],[Candidate 3]]))),(SamplingData[[#This Row],[Total]]+SamplingData[[#This Row],[Winning Candidate]]-SamplingData[[#This Row],[Candidate 3]])/(SamplingData[[#Totals],[Winning Candidate]]-SamplingData[[#Totals],[Candidate 3]]), 0)</f>
        <v>0</v>
      </c>
      <c r="S1036" s="99">
        <f>IF(AND(SamplingData[[#This Row],[Total]]&lt;&gt; 0, NOT(ISBLANK(SamplingData[[#This Row],[Candidate 4]]))),(SamplingData[[#This Row],[Total]]+SamplingData[[#This Row],[Winning Candidate]]-SamplingData[[#This Row],[Candidate 4]])/(SamplingData[[#Totals],[Winning Candidate]]-SamplingData[[#Totals],[Candidate 4]]), 0)</f>
        <v>0</v>
      </c>
      <c r="T1036" s="99">
        <f>IF(AND(SamplingData[[#This Row],[Total]]&lt;&gt; 0, NOT(ISBLANK(SamplingData[[#This Row],[Candidate 5]]))),(SamplingData[[#This Row],[Total]]+SamplingData[[#This Row],[Winning Candidate]]-SamplingData[[#This Row],[Candidate 5]])/(SamplingData[[#Totals],[Winning Candidate]]-SamplingData[[#Totals],[Candidate 5]]), 0)</f>
        <v>0</v>
      </c>
      <c r="U1036" s="99">
        <f>IF(AND(SamplingData[[#This Row],[Total]]&lt;&gt; 0, NOT(ISBLANK(SamplingData[[#This Row],[Candidate 6]]))),(SamplingData[[#This Row],[Total]]+SamplingData[[#This Row],[Losing Candidate]]-SamplingData[[#This Row],[Candidate 6]])/(SamplingData[[#Totals],[Winning Candidate]]-SamplingData[[#Totals],[Candidate 6]]), 0)</f>
        <v>0</v>
      </c>
      <c r="V1036" s="99">
        <f>IF(AND(SamplingData[[#This Row],[Total]]&lt;&gt; 0, NOT(ISBLANK(SamplingData[[#This Row],[Candidate 7]]))),(SamplingData[[#This Row],[Total]]+SamplingData[[#This Row],[Winning Candidate]]-SamplingData[[#This Row],[Candidate 7]])/(SamplingData[[#Totals],[Winning Candidate]]-SamplingData[[#Totals],[Candidate 7]]), 0)</f>
        <v>0</v>
      </c>
      <c r="W1036" s="99">
        <f>IF(AND(SamplingData[[#This Row],[Total]]&lt;&gt; 0, NOT(ISBLANK(SamplingData[[#This Row],[Candidate 8]]))),(SamplingData[[#This Row],[Total]]+SamplingData[[#This Row],[Winning Candidate]]-SamplingData[[#This Row],[Candidate 8]])/(SamplingData[[#Totals],[Winning Candidate]]-SamplingData[[#Totals],[Candidate 8]]), 0)</f>
        <v>0</v>
      </c>
      <c r="X10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6" s="99">
        <f>MAX(SamplingData[[#This Row],[Error Bound (up) - Max. possible relative overstatement - Losing Candidate]:[Error Bound (up) - Max. possible relative overstatement - Candidate 12]])</f>
        <v>2.1728059752164318E-2</v>
      </c>
      <c r="AC1036" s="99">
        <f>IF(SamplingData[[#This Row],[Max Error Bound (up)]] = 0,0,SamplingData[[#This Row],[Max Error Bound (up)]]/SamplingData[[#Totals],[Max Error Bound (up)]])</f>
        <v>1.1633402406660137E-3</v>
      </c>
      <c r="AD1036" s="103">
        <f>SUM($AC$5:AC1036)</f>
        <v>0.91686661577053363</v>
      </c>
      <c r="AE1036" s="99" t="str" cm="1">
        <f t="array" ref="AE1036">IF(SamplingData[[#This Row],[up/U Selection Probability]] = 0, "Zero", TEXT(SamplingData[[#This Row],[Lower Range]], REPT("0",LEN('General Info'!$B$42))) &amp; " - " &amp; TEXT(SamplingData[[#This Row],[Upper Range]], REPT("0",LEN('General Info'!$B$42))))</f>
        <v>915703 - 916866</v>
      </c>
      <c r="AF1036" s="99">
        <f>SamplingData[[#This Row],[Upper Range]]-SamplingData[[#This Row],[Span]]</f>
        <v>915703.27552986762</v>
      </c>
      <c r="AG1036" s="99">
        <f>IF(ISNUMBER('General Info'!$B$42), ((SamplingData[[#This Row],[up/U Selection Probability]]) * 'General Info'!$B$44) - 1, 0)</f>
        <v>1162.3402406660136</v>
      </c>
      <c r="AH1036" s="99">
        <f>IF(ISNUMBER('General Info'!$B$42), (SamplingData[[#This Row],[Running (cumulative) sum]] * ('General Info'!$B$42 -'General Info'!$B$43 + 1)) + 'General Info'!$B$43 - 1, 0)</f>
        <v>916865.61577053368</v>
      </c>
      <c r="AI1036" s="99" t="str">
        <f>IF(ISERROR(MATCH(SamplingData[[#This Row],[Batch by Type (p)]],SelectedPrecincts[Batch Name], 0)), "", INDEX(SelectedPrecincts[Draw], MATCH(SamplingData[[#This Row],[Batch by Type (p)]],SelectedPrecincts[Batch Name], 0)))</f>
        <v/>
      </c>
      <c r="AJ1036" s="100">
        <f>IF(COUNTIF(SelectedPrecincts[Batch Name],SamplingData[[#This Row],[Batch by Type (p)]]) &lt;&gt; 0, COUNTIF(SelectedPrecincts[Batch Name],SamplingData[[#This Row],[Batch by Type (p)]]), 0)</f>
        <v>0</v>
      </c>
    </row>
    <row r="1037" spans="1:36" ht="15" customHeight="1" x14ac:dyDescent="0.35">
      <c r="A1037" s="97" t="s">
        <v>1250</v>
      </c>
      <c r="B1037" s="97">
        <v>260</v>
      </c>
      <c r="C1037" s="97">
        <v>275</v>
      </c>
      <c r="D1037" s="92"/>
      <c r="E1037" s="92"/>
      <c r="F1037" s="92"/>
      <c r="G1037" s="96"/>
      <c r="H1037" s="96"/>
      <c r="I1037" s="92"/>
      <c r="J1037" s="92"/>
      <c r="K1037" s="92"/>
      <c r="L1037" s="92"/>
      <c r="M1037" s="92"/>
      <c r="N1037" s="97">
        <v>0</v>
      </c>
      <c r="O1037" s="97">
        <v>32</v>
      </c>
      <c r="P1037" s="98">
        <f>SUM(SamplingData[[#This Row],[Winning Candidate]:[Under Votes]])</f>
        <v>567</v>
      </c>
      <c r="Q1037" s="99">
        <f>IF(AND(SamplingData[[#This Row],[Total]]&lt;&gt; 0, NOT(ISBLANK(SamplingData[[#This Row],[Losing Candidate]]))),(SamplingData[[#This Row],[Total]]+SamplingData[[#This Row],[Winning Candidate]]-SamplingData[[#This Row],[Losing Candidate]])/(SamplingData[[#Totals],[Winning Candidate]]-SamplingData[[#Totals],[Losing Candidate]]), 0)</f>
        <v>2.3425564420302157E-2</v>
      </c>
      <c r="R1037" s="99">
        <f>IF(AND(SamplingData[[#This Row],[Total]]&lt;&gt; 0, NOT(ISBLANK(SamplingData[[#This Row],[Candidate 3]]))),(SamplingData[[#This Row],[Total]]+SamplingData[[#This Row],[Winning Candidate]]-SamplingData[[#This Row],[Candidate 3]])/(SamplingData[[#Totals],[Winning Candidate]]-SamplingData[[#Totals],[Candidate 3]]), 0)</f>
        <v>0</v>
      </c>
      <c r="S1037" s="99">
        <f>IF(AND(SamplingData[[#This Row],[Total]]&lt;&gt; 0, NOT(ISBLANK(SamplingData[[#This Row],[Candidate 4]]))),(SamplingData[[#This Row],[Total]]+SamplingData[[#This Row],[Winning Candidate]]-SamplingData[[#This Row],[Candidate 4]])/(SamplingData[[#Totals],[Winning Candidate]]-SamplingData[[#Totals],[Candidate 4]]), 0)</f>
        <v>0</v>
      </c>
      <c r="T1037" s="99">
        <f>IF(AND(SamplingData[[#This Row],[Total]]&lt;&gt; 0, NOT(ISBLANK(SamplingData[[#This Row],[Candidate 5]]))),(SamplingData[[#This Row],[Total]]+SamplingData[[#This Row],[Winning Candidate]]-SamplingData[[#This Row],[Candidate 5]])/(SamplingData[[#Totals],[Winning Candidate]]-SamplingData[[#Totals],[Candidate 5]]), 0)</f>
        <v>0</v>
      </c>
      <c r="U1037" s="99">
        <f>IF(AND(SamplingData[[#This Row],[Total]]&lt;&gt; 0, NOT(ISBLANK(SamplingData[[#This Row],[Candidate 6]]))),(SamplingData[[#This Row],[Total]]+SamplingData[[#This Row],[Losing Candidate]]-SamplingData[[#This Row],[Candidate 6]])/(SamplingData[[#Totals],[Winning Candidate]]-SamplingData[[#Totals],[Candidate 6]]), 0)</f>
        <v>0</v>
      </c>
      <c r="V1037" s="99">
        <f>IF(AND(SamplingData[[#This Row],[Total]]&lt;&gt; 0, NOT(ISBLANK(SamplingData[[#This Row],[Candidate 7]]))),(SamplingData[[#This Row],[Total]]+SamplingData[[#This Row],[Winning Candidate]]-SamplingData[[#This Row],[Candidate 7]])/(SamplingData[[#Totals],[Winning Candidate]]-SamplingData[[#Totals],[Candidate 7]]), 0)</f>
        <v>0</v>
      </c>
      <c r="W1037" s="99">
        <f>IF(AND(SamplingData[[#This Row],[Total]]&lt;&gt; 0, NOT(ISBLANK(SamplingData[[#This Row],[Candidate 8]]))),(SamplingData[[#This Row],[Total]]+SamplingData[[#This Row],[Winning Candidate]]-SamplingData[[#This Row],[Candidate 8]])/(SamplingData[[#Totals],[Winning Candidate]]-SamplingData[[#Totals],[Candidate 8]]), 0)</f>
        <v>0</v>
      </c>
      <c r="X10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7" s="99">
        <f>MAX(SamplingData[[#This Row],[Error Bound (up) - Max. possible relative overstatement - Losing Candidate]:[Error Bound (up) - Max. possible relative overstatement - Candidate 12]])</f>
        <v>2.3425564420302157E-2</v>
      </c>
      <c r="AC1037" s="99">
        <f>IF(SamplingData[[#This Row],[Max Error Bound (up)]] = 0,0,SamplingData[[#This Row],[Max Error Bound (up)]]/SamplingData[[#Totals],[Max Error Bound (up)]])</f>
        <v>1.2542261969680463E-3</v>
      </c>
      <c r="AD1037" s="103">
        <f>SUM($AC$5:AC1037)</f>
        <v>0.91812084196750166</v>
      </c>
      <c r="AE1037" s="99" t="str" cm="1">
        <f t="array" ref="AE1037">IF(SamplingData[[#This Row],[up/U Selection Probability]] = 0, "Zero", TEXT(SamplingData[[#This Row],[Lower Range]], REPT("0",LEN('General Info'!$B$42))) &amp; " - " &amp; TEXT(SamplingData[[#This Row],[Upper Range]], REPT("0",LEN('General Info'!$B$42))))</f>
        <v>916867 - 918120</v>
      </c>
      <c r="AF1037" s="99">
        <f>SamplingData[[#This Row],[Upper Range]]-SamplingData[[#This Row],[Span]]</f>
        <v>916866.61577053368</v>
      </c>
      <c r="AG1037" s="99">
        <f>IF(ISNUMBER('General Info'!$B$42), ((SamplingData[[#This Row],[up/U Selection Probability]]) * 'General Info'!$B$44) - 1, 0)</f>
        <v>1253.2261969680462</v>
      </c>
      <c r="AH1037" s="99">
        <f>IF(ISNUMBER('General Info'!$B$42), (SamplingData[[#This Row],[Running (cumulative) sum]] * ('General Info'!$B$42 -'General Info'!$B$43 + 1)) + 'General Info'!$B$43 - 1, 0)</f>
        <v>918119.84196750168</v>
      </c>
      <c r="AI1037" s="99" t="str">
        <f>IF(ISERROR(MATCH(SamplingData[[#This Row],[Batch by Type (p)]],SelectedPrecincts[Batch Name], 0)), "", INDEX(SelectedPrecincts[Draw], MATCH(SamplingData[[#This Row],[Batch by Type (p)]],SelectedPrecincts[Batch Name], 0)))</f>
        <v/>
      </c>
      <c r="AJ1037" s="100">
        <f>IF(COUNTIF(SelectedPrecincts[Batch Name],SamplingData[[#This Row],[Batch by Type (p)]]) &lt;&gt; 0, COUNTIF(SelectedPrecincts[Batch Name],SamplingData[[#This Row],[Batch by Type (p)]]), 0)</f>
        <v>0</v>
      </c>
    </row>
    <row r="1038" spans="1:36" ht="15" customHeight="1" x14ac:dyDescent="0.35">
      <c r="A1038" s="97" t="s">
        <v>1251</v>
      </c>
      <c r="B1038" s="97">
        <v>54</v>
      </c>
      <c r="C1038" s="97">
        <v>375</v>
      </c>
      <c r="D1038" s="92"/>
      <c r="E1038" s="92"/>
      <c r="F1038" s="92"/>
      <c r="G1038" s="96"/>
      <c r="H1038" s="96"/>
      <c r="I1038" s="92"/>
      <c r="J1038" s="92"/>
      <c r="K1038" s="92"/>
      <c r="L1038" s="92"/>
      <c r="M1038" s="92"/>
      <c r="N1038" s="97">
        <v>0</v>
      </c>
      <c r="O1038" s="97">
        <v>38</v>
      </c>
      <c r="P1038" s="98">
        <f>SUM(SamplingData[[#This Row],[Winning Candidate]:[Under Votes]])</f>
        <v>467</v>
      </c>
      <c r="Q1038" s="99">
        <f>IF(AND(SamplingData[[#This Row],[Total]]&lt;&gt; 0, NOT(ISBLANK(SamplingData[[#This Row],[Losing Candidate]]))),(SamplingData[[#This Row],[Total]]+SamplingData[[#This Row],[Winning Candidate]]-SamplingData[[#This Row],[Losing Candidate]])/(SamplingData[[#Totals],[Winning Candidate]]-SamplingData[[#Totals],[Losing Candidate]]), 0)</f>
        <v>6.1958920387031064E-3</v>
      </c>
      <c r="R1038" s="99">
        <f>IF(AND(SamplingData[[#This Row],[Total]]&lt;&gt; 0, NOT(ISBLANK(SamplingData[[#This Row],[Candidate 3]]))),(SamplingData[[#This Row],[Total]]+SamplingData[[#This Row],[Winning Candidate]]-SamplingData[[#This Row],[Candidate 3]])/(SamplingData[[#Totals],[Winning Candidate]]-SamplingData[[#Totals],[Candidate 3]]), 0)</f>
        <v>0</v>
      </c>
      <c r="S1038" s="99">
        <f>IF(AND(SamplingData[[#This Row],[Total]]&lt;&gt; 0, NOT(ISBLANK(SamplingData[[#This Row],[Candidate 4]]))),(SamplingData[[#This Row],[Total]]+SamplingData[[#This Row],[Winning Candidate]]-SamplingData[[#This Row],[Candidate 4]])/(SamplingData[[#Totals],[Winning Candidate]]-SamplingData[[#Totals],[Candidate 4]]), 0)</f>
        <v>0</v>
      </c>
      <c r="T1038" s="99">
        <f>IF(AND(SamplingData[[#This Row],[Total]]&lt;&gt; 0, NOT(ISBLANK(SamplingData[[#This Row],[Candidate 5]]))),(SamplingData[[#This Row],[Total]]+SamplingData[[#This Row],[Winning Candidate]]-SamplingData[[#This Row],[Candidate 5]])/(SamplingData[[#Totals],[Winning Candidate]]-SamplingData[[#Totals],[Candidate 5]]), 0)</f>
        <v>0</v>
      </c>
      <c r="U1038" s="99">
        <f>IF(AND(SamplingData[[#This Row],[Total]]&lt;&gt; 0, NOT(ISBLANK(SamplingData[[#This Row],[Candidate 6]]))),(SamplingData[[#This Row],[Total]]+SamplingData[[#This Row],[Losing Candidate]]-SamplingData[[#This Row],[Candidate 6]])/(SamplingData[[#Totals],[Winning Candidate]]-SamplingData[[#Totals],[Candidate 6]]), 0)</f>
        <v>0</v>
      </c>
      <c r="V1038" s="99">
        <f>IF(AND(SamplingData[[#This Row],[Total]]&lt;&gt; 0, NOT(ISBLANK(SamplingData[[#This Row],[Candidate 7]]))),(SamplingData[[#This Row],[Total]]+SamplingData[[#This Row],[Winning Candidate]]-SamplingData[[#This Row],[Candidate 7]])/(SamplingData[[#Totals],[Winning Candidate]]-SamplingData[[#Totals],[Candidate 7]]), 0)</f>
        <v>0</v>
      </c>
      <c r="W1038" s="99">
        <f>IF(AND(SamplingData[[#This Row],[Total]]&lt;&gt; 0, NOT(ISBLANK(SamplingData[[#This Row],[Candidate 8]]))),(SamplingData[[#This Row],[Total]]+SamplingData[[#This Row],[Winning Candidate]]-SamplingData[[#This Row],[Candidate 8]])/(SamplingData[[#Totals],[Winning Candidate]]-SamplingData[[#Totals],[Candidate 8]]), 0)</f>
        <v>0</v>
      </c>
      <c r="X10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8" s="99">
        <f>MAX(SamplingData[[#This Row],[Error Bound (up) - Max. possible relative overstatement - Losing Candidate]:[Error Bound (up) - Max. possible relative overstatement - Candidate 12]])</f>
        <v>6.1958920387031064E-3</v>
      </c>
      <c r="AC1038" s="99">
        <f>IF(SamplingData[[#This Row],[Max Error Bound (up)]] = 0,0,SamplingData[[#This Row],[Max Error Bound (up)]]/SamplingData[[#Totals],[Max Error Bound (up)]])</f>
        <v>3.3173374050241797E-4</v>
      </c>
      <c r="AD1038" s="103">
        <f>SUM($AC$5:AC1038)</f>
        <v>0.91845257570800409</v>
      </c>
      <c r="AE1038" s="99" t="str" cm="1">
        <f t="array" ref="AE1038">IF(SamplingData[[#This Row],[up/U Selection Probability]] = 0, "Zero", TEXT(SamplingData[[#This Row],[Lower Range]], REPT("0",LEN('General Info'!$B$42))) &amp; " - " &amp; TEXT(SamplingData[[#This Row],[Upper Range]], REPT("0",LEN('General Info'!$B$42))))</f>
        <v>918121 - 918452</v>
      </c>
      <c r="AF1038" s="99">
        <f>SamplingData[[#This Row],[Upper Range]]-SamplingData[[#This Row],[Span]]</f>
        <v>918120.84196750168</v>
      </c>
      <c r="AG1038" s="99">
        <f>IF(ISNUMBER('General Info'!$B$42), ((SamplingData[[#This Row],[up/U Selection Probability]]) * 'General Info'!$B$44) - 1, 0)</f>
        <v>330.73374050241796</v>
      </c>
      <c r="AH1038" s="99">
        <f>IF(ISNUMBER('General Info'!$B$42), (SamplingData[[#This Row],[Running (cumulative) sum]] * ('General Info'!$B$42 -'General Info'!$B$43 + 1)) + 'General Info'!$B$43 - 1, 0)</f>
        <v>918451.57570800406</v>
      </c>
      <c r="AI1038" s="99" t="str">
        <f>IF(ISERROR(MATCH(SamplingData[[#This Row],[Batch by Type (p)]],SelectedPrecincts[Batch Name], 0)), "", INDEX(SelectedPrecincts[Draw], MATCH(SamplingData[[#This Row],[Batch by Type (p)]],SelectedPrecincts[Batch Name], 0)))</f>
        <v/>
      </c>
      <c r="AJ1038" s="100">
        <f>IF(COUNTIF(SelectedPrecincts[Batch Name],SamplingData[[#This Row],[Batch by Type (p)]]) &lt;&gt; 0, COUNTIF(SelectedPrecincts[Batch Name],SamplingData[[#This Row],[Batch by Type (p)]]), 0)</f>
        <v>0</v>
      </c>
    </row>
    <row r="1039" spans="1:36" ht="15" customHeight="1" x14ac:dyDescent="0.35">
      <c r="A1039" s="97" t="s">
        <v>1252</v>
      </c>
      <c r="B1039" s="97">
        <v>103</v>
      </c>
      <c r="C1039" s="97">
        <v>586</v>
      </c>
      <c r="D1039" s="92"/>
      <c r="E1039" s="92"/>
      <c r="F1039" s="92"/>
      <c r="G1039" s="96"/>
      <c r="H1039" s="96"/>
      <c r="I1039" s="92"/>
      <c r="J1039" s="92"/>
      <c r="K1039" s="92"/>
      <c r="L1039" s="92"/>
      <c r="M1039" s="92"/>
      <c r="N1039" s="97">
        <v>0</v>
      </c>
      <c r="O1039" s="97">
        <v>59</v>
      </c>
      <c r="P1039" s="98">
        <f>SUM(SamplingData[[#This Row],[Winning Candidate]:[Under Votes]])</f>
        <v>748</v>
      </c>
      <c r="Q1039" s="99">
        <f>IF(AND(SamplingData[[#This Row],[Total]]&lt;&gt; 0, NOT(ISBLANK(SamplingData[[#This Row],[Losing Candidate]]))),(SamplingData[[#This Row],[Total]]+SamplingData[[#This Row],[Winning Candidate]]-SamplingData[[#This Row],[Losing Candidate]])/(SamplingData[[#Totals],[Winning Candidate]]-SamplingData[[#Totals],[Losing Candidate]]), 0)</f>
        <v>1.1245968426413172E-2</v>
      </c>
      <c r="R1039" s="99">
        <f>IF(AND(SamplingData[[#This Row],[Total]]&lt;&gt; 0, NOT(ISBLANK(SamplingData[[#This Row],[Candidate 3]]))),(SamplingData[[#This Row],[Total]]+SamplingData[[#This Row],[Winning Candidate]]-SamplingData[[#This Row],[Candidate 3]])/(SamplingData[[#Totals],[Winning Candidate]]-SamplingData[[#Totals],[Candidate 3]]), 0)</f>
        <v>0</v>
      </c>
      <c r="S1039" s="99">
        <f>IF(AND(SamplingData[[#This Row],[Total]]&lt;&gt; 0, NOT(ISBLANK(SamplingData[[#This Row],[Candidate 4]]))),(SamplingData[[#This Row],[Total]]+SamplingData[[#This Row],[Winning Candidate]]-SamplingData[[#This Row],[Candidate 4]])/(SamplingData[[#Totals],[Winning Candidate]]-SamplingData[[#Totals],[Candidate 4]]), 0)</f>
        <v>0</v>
      </c>
      <c r="T1039" s="99">
        <f>IF(AND(SamplingData[[#This Row],[Total]]&lt;&gt; 0, NOT(ISBLANK(SamplingData[[#This Row],[Candidate 5]]))),(SamplingData[[#This Row],[Total]]+SamplingData[[#This Row],[Winning Candidate]]-SamplingData[[#This Row],[Candidate 5]])/(SamplingData[[#Totals],[Winning Candidate]]-SamplingData[[#Totals],[Candidate 5]]), 0)</f>
        <v>0</v>
      </c>
      <c r="U1039" s="99">
        <f>IF(AND(SamplingData[[#This Row],[Total]]&lt;&gt; 0, NOT(ISBLANK(SamplingData[[#This Row],[Candidate 6]]))),(SamplingData[[#This Row],[Total]]+SamplingData[[#This Row],[Losing Candidate]]-SamplingData[[#This Row],[Candidate 6]])/(SamplingData[[#Totals],[Winning Candidate]]-SamplingData[[#Totals],[Candidate 6]]), 0)</f>
        <v>0</v>
      </c>
      <c r="V1039" s="99">
        <f>IF(AND(SamplingData[[#This Row],[Total]]&lt;&gt; 0, NOT(ISBLANK(SamplingData[[#This Row],[Candidate 7]]))),(SamplingData[[#This Row],[Total]]+SamplingData[[#This Row],[Winning Candidate]]-SamplingData[[#This Row],[Candidate 7]])/(SamplingData[[#Totals],[Winning Candidate]]-SamplingData[[#Totals],[Candidate 7]]), 0)</f>
        <v>0</v>
      </c>
      <c r="W1039" s="99">
        <f>IF(AND(SamplingData[[#This Row],[Total]]&lt;&gt; 0, NOT(ISBLANK(SamplingData[[#This Row],[Candidate 8]]))),(SamplingData[[#This Row],[Total]]+SamplingData[[#This Row],[Winning Candidate]]-SamplingData[[#This Row],[Candidate 8]])/(SamplingData[[#Totals],[Winning Candidate]]-SamplingData[[#Totals],[Candidate 8]]), 0)</f>
        <v>0</v>
      </c>
      <c r="X10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9" s="99">
        <f>MAX(SamplingData[[#This Row],[Error Bound (up) - Max. possible relative overstatement - Losing Candidate]:[Error Bound (up) - Max. possible relative overstatement - Candidate 12]])</f>
        <v>1.1245968426413172E-2</v>
      </c>
      <c r="AC1039" s="99">
        <f>IF(SamplingData[[#This Row],[Max Error Bound (up)]] = 0,0,SamplingData[[#This Row],[Max Error Bound (up)]]/SamplingData[[#Totals],[Max Error Bound (up)]])</f>
        <v>6.021194605009641E-4</v>
      </c>
      <c r="AD1039" s="103">
        <f>SUM($AC$5:AC1039)</f>
        <v>0.91905469516850502</v>
      </c>
      <c r="AE1039" s="99" t="str" cm="1">
        <f t="array" ref="AE1039">IF(SamplingData[[#This Row],[up/U Selection Probability]] = 0, "Zero", TEXT(SamplingData[[#This Row],[Lower Range]], REPT("0",LEN('General Info'!$B$42))) &amp; " - " &amp; TEXT(SamplingData[[#This Row],[Upper Range]], REPT("0",LEN('General Info'!$B$42))))</f>
        <v>918453 - 919054</v>
      </c>
      <c r="AF1039" s="99">
        <f>SamplingData[[#This Row],[Upper Range]]-SamplingData[[#This Row],[Span]]</f>
        <v>918452.57570800406</v>
      </c>
      <c r="AG1039" s="99">
        <f>IF(ISNUMBER('General Info'!$B$42), ((SamplingData[[#This Row],[up/U Selection Probability]]) * 'General Info'!$B$44) - 1, 0)</f>
        <v>601.11946050096412</v>
      </c>
      <c r="AH1039" s="99">
        <f>IF(ISNUMBER('General Info'!$B$42), (SamplingData[[#This Row],[Running (cumulative) sum]] * ('General Info'!$B$42 -'General Info'!$B$43 + 1)) + 'General Info'!$B$43 - 1, 0)</f>
        <v>919053.69516850507</v>
      </c>
      <c r="AI1039" s="99" t="str">
        <f>IF(ISERROR(MATCH(SamplingData[[#This Row],[Batch by Type (p)]],SelectedPrecincts[Batch Name], 0)), "", INDEX(SelectedPrecincts[Draw], MATCH(SamplingData[[#This Row],[Batch by Type (p)]],SelectedPrecincts[Batch Name], 0)))</f>
        <v/>
      </c>
      <c r="AJ1039" s="100">
        <f>IF(COUNTIF(SelectedPrecincts[Batch Name],SamplingData[[#This Row],[Batch by Type (p)]]) &lt;&gt; 0, COUNTIF(SelectedPrecincts[Batch Name],SamplingData[[#This Row],[Batch by Type (p)]]), 0)</f>
        <v>0</v>
      </c>
    </row>
    <row r="1040" spans="1:36" ht="15" customHeight="1" x14ac:dyDescent="0.35">
      <c r="A1040" s="97" t="s">
        <v>1253</v>
      </c>
      <c r="B1040" s="97">
        <v>55</v>
      </c>
      <c r="C1040" s="97">
        <v>337</v>
      </c>
      <c r="D1040" s="92"/>
      <c r="E1040" s="92"/>
      <c r="F1040" s="92"/>
      <c r="G1040" s="96"/>
      <c r="H1040" s="96"/>
      <c r="I1040" s="92"/>
      <c r="J1040" s="92"/>
      <c r="K1040" s="92"/>
      <c r="L1040" s="92"/>
      <c r="M1040" s="92"/>
      <c r="N1040" s="97">
        <v>0</v>
      </c>
      <c r="O1040" s="97">
        <v>23</v>
      </c>
      <c r="P1040" s="98">
        <f>SUM(SamplingData[[#This Row],[Winning Candidate]:[Under Votes]])</f>
        <v>415</v>
      </c>
      <c r="Q1040" s="99">
        <f>IF(AND(SamplingData[[#This Row],[Total]]&lt;&gt; 0, NOT(ISBLANK(SamplingData[[#This Row],[Losing Candidate]]))),(SamplingData[[#This Row],[Total]]+SamplingData[[#This Row],[Winning Candidate]]-SamplingData[[#This Row],[Losing Candidate]])/(SamplingData[[#Totals],[Winning Candidate]]-SamplingData[[#Totals],[Losing Candidate]]), 0)</f>
        <v>5.6442030215583094E-3</v>
      </c>
      <c r="R1040" s="99">
        <f>IF(AND(SamplingData[[#This Row],[Total]]&lt;&gt; 0, NOT(ISBLANK(SamplingData[[#This Row],[Candidate 3]]))),(SamplingData[[#This Row],[Total]]+SamplingData[[#This Row],[Winning Candidate]]-SamplingData[[#This Row],[Candidate 3]])/(SamplingData[[#Totals],[Winning Candidate]]-SamplingData[[#Totals],[Candidate 3]]), 0)</f>
        <v>0</v>
      </c>
      <c r="S1040" s="99">
        <f>IF(AND(SamplingData[[#This Row],[Total]]&lt;&gt; 0, NOT(ISBLANK(SamplingData[[#This Row],[Candidate 4]]))),(SamplingData[[#This Row],[Total]]+SamplingData[[#This Row],[Winning Candidate]]-SamplingData[[#This Row],[Candidate 4]])/(SamplingData[[#Totals],[Winning Candidate]]-SamplingData[[#Totals],[Candidate 4]]), 0)</f>
        <v>0</v>
      </c>
      <c r="T1040" s="99">
        <f>IF(AND(SamplingData[[#This Row],[Total]]&lt;&gt; 0, NOT(ISBLANK(SamplingData[[#This Row],[Candidate 5]]))),(SamplingData[[#This Row],[Total]]+SamplingData[[#This Row],[Winning Candidate]]-SamplingData[[#This Row],[Candidate 5]])/(SamplingData[[#Totals],[Winning Candidate]]-SamplingData[[#Totals],[Candidate 5]]), 0)</f>
        <v>0</v>
      </c>
      <c r="U1040" s="99">
        <f>IF(AND(SamplingData[[#This Row],[Total]]&lt;&gt; 0, NOT(ISBLANK(SamplingData[[#This Row],[Candidate 6]]))),(SamplingData[[#This Row],[Total]]+SamplingData[[#This Row],[Losing Candidate]]-SamplingData[[#This Row],[Candidate 6]])/(SamplingData[[#Totals],[Winning Candidate]]-SamplingData[[#Totals],[Candidate 6]]), 0)</f>
        <v>0</v>
      </c>
      <c r="V1040" s="99">
        <f>IF(AND(SamplingData[[#This Row],[Total]]&lt;&gt; 0, NOT(ISBLANK(SamplingData[[#This Row],[Candidate 7]]))),(SamplingData[[#This Row],[Total]]+SamplingData[[#This Row],[Winning Candidate]]-SamplingData[[#This Row],[Candidate 7]])/(SamplingData[[#Totals],[Winning Candidate]]-SamplingData[[#Totals],[Candidate 7]]), 0)</f>
        <v>0</v>
      </c>
      <c r="W1040" s="99">
        <f>IF(AND(SamplingData[[#This Row],[Total]]&lt;&gt; 0, NOT(ISBLANK(SamplingData[[#This Row],[Candidate 8]]))),(SamplingData[[#This Row],[Total]]+SamplingData[[#This Row],[Winning Candidate]]-SamplingData[[#This Row],[Candidate 8]])/(SamplingData[[#Totals],[Winning Candidate]]-SamplingData[[#Totals],[Candidate 8]]), 0)</f>
        <v>0</v>
      </c>
      <c r="X10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0" s="99">
        <f>MAX(SamplingData[[#This Row],[Error Bound (up) - Max. possible relative overstatement - Losing Candidate]:[Error Bound (up) - Max. possible relative overstatement - Candidate 12]])</f>
        <v>5.6442030215583094E-3</v>
      </c>
      <c r="AC1040" s="99">
        <f>IF(SamplingData[[#This Row],[Max Error Bound (up)]] = 0,0,SamplingData[[#This Row],[Max Error Bound (up)]]/SamplingData[[#Totals],[Max Error Bound (up)]])</f>
        <v>3.021958047042575E-4</v>
      </c>
      <c r="AD1040" s="103">
        <f>SUM($AC$5:AC1040)</f>
        <v>0.91935689097320927</v>
      </c>
      <c r="AE1040" s="99" t="str" cm="1">
        <f t="array" ref="AE1040">IF(SamplingData[[#This Row],[up/U Selection Probability]] = 0, "Zero", TEXT(SamplingData[[#This Row],[Lower Range]], REPT("0",LEN('General Info'!$B$42))) &amp; " - " &amp; TEXT(SamplingData[[#This Row],[Upper Range]], REPT("0",LEN('General Info'!$B$42))))</f>
        <v>919055 - 919356</v>
      </c>
      <c r="AF1040" s="99">
        <f>SamplingData[[#This Row],[Upper Range]]-SamplingData[[#This Row],[Span]]</f>
        <v>919054.69516850507</v>
      </c>
      <c r="AG1040" s="99">
        <f>IF(ISNUMBER('General Info'!$B$42), ((SamplingData[[#This Row],[up/U Selection Probability]]) * 'General Info'!$B$44) - 1, 0)</f>
        <v>301.19580470425751</v>
      </c>
      <c r="AH1040" s="99">
        <f>IF(ISNUMBER('General Info'!$B$42), (SamplingData[[#This Row],[Running (cumulative) sum]] * ('General Info'!$B$42 -'General Info'!$B$43 + 1)) + 'General Info'!$B$43 - 1, 0)</f>
        <v>919355.89097320929</v>
      </c>
      <c r="AI1040" s="99" t="str">
        <f>IF(ISERROR(MATCH(SamplingData[[#This Row],[Batch by Type (p)]],SelectedPrecincts[Batch Name], 0)), "", INDEX(SelectedPrecincts[Draw], MATCH(SamplingData[[#This Row],[Batch by Type (p)]],SelectedPrecincts[Batch Name], 0)))</f>
        <v/>
      </c>
      <c r="AJ1040" s="100">
        <f>IF(COUNTIF(SelectedPrecincts[Batch Name],SamplingData[[#This Row],[Batch by Type (p)]]) &lt;&gt; 0, COUNTIF(SelectedPrecincts[Batch Name],SamplingData[[#This Row],[Batch by Type (p)]]), 0)</f>
        <v>0</v>
      </c>
    </row>
    <row r="1041" spans="1:36" ht="15" customHeight="1" x14ac:dyDescent="0.35">
      <c r="A1041" s="97" t="s">
        <v>1254</v>
      </c>
      <c r="B1041" s="97">
        <v>421</v>
      </c>
      <c r="C1041" s="97">
        <v>37</v>
      </c>
      <c r="D1041" s="92"/>
      <c r="E1041" s="92"/>
      <c r="F1041" s="92"/>
      <c r="G1041" s="96"/>
      <c r="H1041" s="96"/>
      <c r="I1041" s="92"/>
      <c r="J1041" s="92"/>
      <c r="K1041" s="92"/>
      <c r="L1041" s="92"/>
      <c r="M1041" s="92"/>
      <c r="N1041" s="97">
        <v>3</v>
      </c>
      <c r="O1041" s="97">
        <v>35</v>
      </c>
      <c r="P1041" s="98">
        <f>SUM(SamplingData[[#This Row],[Winning Candidate]:[Under Votes]])</f>
        <v>496</v>
      </c>
      <c r="Q1041" s="99">
        <f>IF(AND(SamplingData[[#This Row],[Total]]&lt;&gt; 0, NOT(ISBLANK(SamplingData[[#This Row],[Losing Candidate]]))),(SamplingData[[#This Row],[Total]]+SamplingData[[#This Row],[Winning Candidate]]-SamplingData[[#This Row],[Losing Candidate]])/(SamplingData[[#Totals],[Winning Candidate]]-SamplingData[[#Totals],[Losing Candidate]]), 0)</f>
        <v>3.734510269903242E-2</v>
      </c>
      <c r="R1041" s="99">
        <f>IF(AND(SamplingData[[#This Row],[Total]]&lt;&gt; 0, NOT(ISBLANK(SamplingData[[#This Row],[Candidate 3]]))),(SamplingData[[#This Row],[Total]]+SamplingData[[#This Row],[Winning Candidate]]-SamplingData[[#This Row],[Candidate 3]])/(SamplingData[[#Totals],[Winning Candidate]]-SamplingData[[#Totals],[Candidate 3]]), 0)</f>
        <v>0</v>
      </c>
      <c r="S1041" s="99">
        <f>IF(AND(SamplingData[[#This Row],[Total]]&lt;&gt; 0, NOT(ISBLANK(SamplingData[[#This Row],[Candidate 4]]))),(SamplingData[[#This Row],[Total]]+SamplingData[[#This Row],[Winning Candidate]]-SamplingData[[#This Row],[Candidate 4]])/(SamplingData[[#Totals],[Winning Candidate]]-SamplingData[[#Totals],[Candidate 4]]), 0)</f>
        <v>0</v>
      </c>
      <c r="T1041" s="99">
        <f>IF(AND(SamplingData[[#This Row],[Total]]&lt;&gt; 0, NOT(ISBLANK(SamplingData[[#This Row],[Candidate 5]]))),(SamplingData[[#This Row],[Total]]+SamplingData[[#This Row],[Winning Candidate]]-SamplingData[[#This Row],[Candidate 5]])/(SamplingData[[#Totals],[Winning Candidate]]-SamplingData[[#Totals],[Candidate 5]]), 0)</f>
        <v>0</v>
      </c>
      <c r="U1041" s="99">
        <f>IF(AND(SamplingData[[#This Row],[Total]]&lt;&gt; 0, NOT(ISBLANK(SamplingData[[#This Row],[Candidate 6]]))),(SamplingData[[#This Row],[Total]]+SamplingData[[#This Row],[Losing Candidate]]-SamplingData[[#This Row],[Candidate 6]])/(SamplingData[[#Totals],[Winning Candidate]]-SamplingData[[#Totals],[Candidate 6]]), 0)</f>
        <v>0</v>
      </c>
      <c r="V1041" s="99">
        <f>IF(AND(SamplingData[[#This Row],[Total]]&lt;&gt; 0, NOT(ISBLANK(SamplingData[[#This Row],[Candidate 7]]))),(SamplingData[[#This Row],[Total]]+SamplingData[[#This Row],[Winning Candidate]]-SamplingData[[#This Row],[Candidate 7]])/(SamplingData[[#Totals],[Winning Candidate]]-SamplingData[[#Totals],[Candidate 7]]), 0)</f>
        <v>0</v>
      </c>
      <c r="W1041" s="99">
        <f>IF(AND(SamplingData[[#This Row],[Total]]&lt;&gt; 0, NOT(ISBLANK(SamplingData[[#This Row],[Candidate 8]]))),(SamplingData[[#This Row],[Total]]+SamplingData[[#This Row],[Winning Candidate]]-SamplingData[[#This Row],[Candidate 8]])/(SamplingData[[#Totals],[Winning Candidate]]-SamplingData[[#Totals],[Candidate 8]]), 0)</f>
        <v>0</v>
      </c>
      <c r="X10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1" s="99">
        <f>MAX(SamplingData[[#This Row],[Error Bound (up) - Max. possible relative overstatement - Losing Candidate]:[Error Bound (up) - Max. possible relative overstatement - Candidate 12]])</f>
        <v>3.734510269903242E-2</v>
      </c>
      <c r="AC1041" s="99">
        <f>IF(SamplingData[[#This Row],[Max Error Bound (up)]] = 0,0,SamplingData[[#This Row],[Max Error Bound (up)]]/SamplingData[[#Totals],[Max Error Bound (up)]])</f>
        <v>1.9994910386447111E-3</v>
      </c>
      <c r="AD1041" s="103">
        <f>SUM($AC$5:AC1041)</f>
        <v>0.92135638201185399</v>
      </c>
      <c r="AE1041" s="99" t="str" cm="1">
        <f t="array" ref="AE1041">IF(SamplingData[[#This Row],[up/U Selection Probability]] = 0, "Zero", TEXT(SamplingData[[#This Row],[Lower Range]], REPT("0",LEN('General Info'!$B$42))) &amp; " - " &amp; TEXT(SamplingData[[#This Row],[Upper Range]], REPT("0",LEN('General Info'!$B$42))))</f>
        <v>919357 - 921355</v>
      </c>
      <c r="AF1041" s="99">
        <f>SamplingData[[#This Row],[Upper Range]]-SamplingData[[#This Row],[Span]]</f>
        <v>919356.89097320929</v>
      </c>
      <c r="AG1041" s="99">
        <f>IF(ISNUMBER('General Info'!$B$42), ((SamplingData[[#This Row],[up/U Selection Probability]]) * 'General Info'!$B$44) - 1, 0)</f>
        <v>1998.4910386447111</v>
      </c>
      <c r="AH1041" s="99">
        <f>IF(ISNUMBER('General Info'!$B$42), (SamplingData[[#This Row],[Running (cumulative) sum]] * ('General Info'!$B$42 -'General Info'!$B$43 + 1)) + 'General Info'!$B$43 - 1, 0)</f>
        <v>921355.38201185397</v>
      </c>
      <c r="AI1041" s="99" t="str">
        <f>IF(ISERROR(MATCH(SamplingData[[#This Row],[Batch by Type (p)]],SelectedPrecincts[Batch Name], 0)), "", INDEX(SelectedPrecincts[Draw], MATCH(SamplingData[[#This Row],[Batch by Type (p)]],SelectedPrecincts[Batch Name], 0)))</f>
        <v/>
      </c>
      <c r="AJ1041" s="100">
        <f>IF(COUNTIF(SelectedPrecincts[Batch Name],SamplingData[[#This Row],[Batch by Type (p)]]) &lt;&gt; 0, COUNTIF(SelectedPrecincts[Batch Name],SamplingData[[#This Row],[Batch by Type (p)]]), 0)</f>
        <v>0</v>
      </c>
    </row>
    <row r="1042" spans="1:36" ht="15" customHeight="1" x14ac:dyDescent="0.35">
      <c r="A1042" s="97" t="s">
        <v>1255</v>
      </c>
      <c r="B1042" s="97">
        <v>247</v>
      </c>
      <c r="C1042" s="97">
        <v>25</v>
      </c>
      <c r="D1042" s="92"/>
      <c r="E1042" s="92"/>
      <c r="F1042" s="92"/>
      <c r="G1042" s="96"/>
      <c r="H1042" s="96"/>
      <c r="I1042" s="92"/>
      <c r="J1042" s="92"/>
      <c r="K1042" s="92"/>
      <c r="L1042" s="92"/>
      <c r="M1042" s="92"/>
      <c r="N1042" s="97">
        <v>0</v>
      </c>
      <c r="O1042" s="97">
        <v>12</v>
      </c>
      <c r="P1042" s="98">
        <f>SUM(SamplingData[[#This Row],[Winning Candidate]:[Under Votes]])</f>
        <v>284</v>
      </c>
      <c r="Q1042" s="99">
        <f>IF(AND(SamplingData[[#This Row],[Total]]&lt;&gt; 0, NOT(ISBLANK(SamplingData[[#This Row],[Losing Candidate]]))),(SamplingData[[#This Row],[Total]]+SamplingData[[#This Row],[Winning Candidate]]-SamplingData[[#This Row],[Losing Candidate]])/(SamplingData[[#Totals],[Winning Candidate]]-SamplingData[[#Totals],[Losing Candidate]]), 0)</f>
        <v>2.1473434051943643E-2</v>
      </c>
      <c r="R1042" s="99">
        <f>IF(AND(SamplingData[[#This Row],[Total]]&lt;&gt; 0, NOT(ISBLANK(SamplingData[[#This Row],[Candidate 3]]))),(SamplingData[[#This Row],[Total]]+SamplingData[[#This Row],[Winning Candidate]]-SamplingData[[#This Row],[Candidate 3]])/(SamplingData[[#Totals],[Winning Candidate]]-SamplingData[[#Totals],[Candidate 3]]), 0)</f>
        <v>0</v>
      </c>
      <c r="S1042" s="99">
        <f>IF(AND(SamplingData[[#This Row],[Total]]&lt;&gt; 0, NOT(ISBLANK(SamplingData[[#This Row],[Candidate 4]]))),(SamplingData[[#This Row],[Total]]+SamplingData[[#This Row],[Winning Candidate]]-SamplingData[[#This Row],[Candidate 4]])/(SamplingData[[#Totals],[Winning Candidate]]-SamplingData[[#Totals],[Candidate 4]]), 0)</f>
        <v>0</v>
      </c>
      <c r="T1042" s="99">
        <f>IF(AND(SamplingData[[#This Row],[Total]]&lt;&gt; 0, NOT(ISBLANK(SamplingData[[#This Row],[Candidate 5]]))),(SamplingData[[#This Row],[Total]]+SamplingData[[#This Row],[Winning Candidate]]-SamplingData[[#This Row],[Candidate 5]])/(SamplingData[[#Totals],[Winning Candidate]]-SamplingData[[#Totals],[Candidate 5]]), 0)</f>
        <v>0</v>
      </c>
      <c r="U1042" s="99">
        <f>IF(AND(SamplingData[[#This Row],[Total]]&lt;&gt; 0, NOT(ISBLANK(SamplingData[[#This Row],[Candidate 6]]))),(SamplingData[[#This Row],[Total]]+SamplingData[[#This Row],[Losing Candidate]]-SamplingData[[#This Row],[Candidate 6]])/(SamplingData[[#Totals],[Winning Candidate]]-SamplingData[[#Totals],[Candidate 6]]), 0)</f>
        <v>0</v>
      </c>
      <c r="V1042" s="99">
        <f>IF(AND(SamplingData[[#This Row],[Total]]&lt;&gt; 0, NOT(ISBLANK(SamplingData[[#This Row],[Candidate 7]]))),(SamplingData[[#This Row],[Total]]+SamplingData[[#This Row],[Winning Candidate]]-SamplingData[[#This Row],[Candidate 7]])/(SamplingData[[#Totals],[Winning Candidate]]-SamplingData[[#Totals],[Candidate 7]]), 0)</f>
        <v>0</v>
      </c>
      <c r="W1042" s="99">
        <f>IF(AND(SamplingData[[#This Row],[Total]]&lt;&gt; 0, NOT(ISBLANK(SamplingData[[#This Row],[Candidate 8]]))),(SamplingData[[#This Row],[Total]]+SamplingData[[#This Row],[Winning Candidate]]-SamplingData[[#This Row],[Candidate 8]])/(SamplingData[[#Totals],[Winning Candidate]]-SamplingData[[#Totals],[Candidate 8]]), 0)</f>
        <v>0</v>
      </c>
      <c r="X10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2" s="99">
        <f>MAX(SamplingData[[#This Row],[Error Bound (up) - Max. possible relative overstatement - Losing Candidate]:[Error Bound (up) - Max. possible relative overstatement - Candidate 12]])</f>
        <v>2.1473434051943643E-2</v>
      </c>
      <c r="AC1042" s="99">
        <f>IF(SamplingData[[#This Row],[Max Error Bound (up)]] = 0,0,SamplingData[[#This Row],[Max Error Bound (up)]]/SamplingData[[#Totals],[Max Error Bound (up)]])</f>
        <v>1.149707347220709E-3</v>
      </c>
      <c r="AD1042" s="103">
        <f>SUM($AC$5:AC1042)</f>
        <v>0.92250608935907474</v>
      </c>
      <c r="AE1042" s="99" t="str" cm="1">
        <f t="array" ref="AE1042">IF(SamplingData[[#This Row],[up/U Selection Probability]] = 0, "Zero", TEXT(SamplingData[[#This Row],[Lower Range]], REPT("0",LEN('General Info'!$B$42))) &amp; " - " &amp; TEXT(SamplingData[[#This Row],[Upper Range]], REPT("0",LEN('General Info'!$B$42))))</f>
        <v>921356 - 922505</v>
      </c>
      <c r="AF1042" s="99">
        <f>SamplingData[[#This Row],[Upper Range]]-SamplingData[[#This Row],[Span]]</f>
        <v>921356.38201185397</v>
      </c>
      <c r="AG1042" s="99">
        <f>IF(ISNUMBER('General Info'!$B$42), ((SamplingData[[#This Row],[up/U Selection Probability]]) * 'General Info'!$B$44) - 1, 0)</f>
        <v>1148.7073472207089</v>
      </c>
      <c r="AH1042" s="99">
        <f>IF(ISNUMBER('General Info'!$B$42), (SamplingData[[#This Row],[Running (cumulative) sum]] * ('General Info'!$B$42 -'General Info'!$B$43 + 1)) + 'General Info'!$B$43 - 1, 0)</f>
        <v>922505.08935907471</v>
      </c>
      <c r="AI1042" s="99" t="str">
        <f>IF(ISERROR(MATCH(SamplingData[[#This Row],[Batch by Type (p)]],SelectedPrecincts[Batch Name], 0)), "", INDEX(SelectedPrecincts[Draw], MATCH(SamplingData[[#This Row],[Batch by Type (p)]],SelectedPrecincts[Batch Name], 0)))</f>
        <v/>
      </c>
      <c r="AJ1042" s="100">
        <f>IF(COUNTIF(SelectedPrecincts[Batch Name],SamplingData[[#This Row],[Batch by Type (p)]]) &lt;&gt; 0, COUNTIF(SelectedPrecincts[Batch Name],SamplingData[[#This Row],[Batch by Type (p)]]), 0)</f>
        <v>0</v>
      </c>
    </row>
    <row r="1043" spans="1:36" ht="15" customHeight="1" x14ac:dyDescent="0.35">
      <c r="A1043" s="97" t="s">
        <v>1256</v>
      </c>
      <c r="B1043" s="97">
        <v>120</v>
      </c>
      <c r="C1043" s="97">
        <v>215</v>
      </c>
      <c r="D1043" s="92"/>
      <c r="E1043" s="92"/>
      <c r="F1043" s="92"/>
      <c r="G1043" s="96"/>
      <c r="H1043" s="96"/>
      <c r="I1043" s="92"/>
      <c r="J1043" s="92"/>
      <c r="K1043" s="92"/>
      <c r="L1043" s="92"/>
      <c r="M1043" s="92"/>
      <c r="N1043" s="97">
        <v>1</v>
      </c>
      <c r="O1043" s="97">
        <v>29</v>
      </c>
      <c r="P1043" s="98">
        <f>SUM(SamplingData[[#This Row],[Winning Candidate]:[Under Votes]])</f>
        <v>365</v>
      </c>
      <c r="Q1043" s="99">
        <f>IF(AND(SamplingData[[#This Row],[Total]]&lt;&gt; 0, NOT(ISBLANK(SamplingData[[#This Row],[Losing Candidate]]))),(SamplingData[[#This Row],[Total]]+SamplingData[[#This Row],[Winning Candidate]]-SamplingData[[#This Row],[Losing Candidate]])/(SamplingData[[#Totals],[Winning Candidate]]-SamplingData[[#Totals],[Losing Candidate]]), 0)</f>
        <v>1.1458156509930402E-2</v>
      </c>
      <c r="R1043" s="99">
        <f>IF(AND(SamplingData[[#This Row],[Total]]&lt;&gt; 0, NOT(ISBLANK(SamplingData[[#This Row],[Candidate 3]]))),(SamplingData[[#This Row],[Total]]+SamplingData[[#This Row],[Winning Candidate]]-SamplingData[[#This Row],[Candidate 3]])/(SamplingData[[#Totals],[Winning Candidate]]-SamplingData[[#Totals],[Candidate 3]]), 0)</f>
        <v>0</v>
      </c>
      <c r="S1043" s="99">
        <f>IF(AND(SamplingData[[#This Row],[Total]]&lt;&gt; 0, NOT(ISBLANK(SamplingData[[#This Row],[Candidate 4]]))),(SamplingData[[#This Row],[Total]]+SamplingData[[#This Row],[Winning Candidate]]-SamplingData[[#This Row],[Candidate 4]])/(SamplingData[[#Totals],[Winning Candidate]]-SamplingData[[#Totals],[Candidate 4]]), 0)</f>
        <v>0</v>
      </c>
      <c r="T1043" s="99">
        <f>IF(AND(SamplingData[[#This Row],[Total]]&lt;&gt; 0, NOT(ISBLANK(SamplingData[[#This Row],[Candidate 5]]))),(SamplingData[[#This Row],[Total]]+SamplingData[[#This Row],[Winning Candidate]]-SamplingData[[#This Row],[Candidate 5]])/(SamplingData[[#Totals],[Winning Candidate]]-SamplingData[[#Totals],[Candidate 5]]), 0)</f>
        <v>0</v>
      </c>
      <c r="U1043" s="99">
        <f>IF(AND(SamplingData[[#This Row],[Total]]&lt;&gt; 0, NOT(ISBLANK(SamplingData[[#This Row],[Candidate 6]]))),(SamplingData[[#This Row],[Total]]+SamplingData[[#This Row],[Losing Candidate]]-SamplingData[[#This Row],[Candidate 6]])/(SamplingData[[#Totals],[Winning Candidate]]-SamplingData[[#Totals],[Candidate 6]]), 0)</f>
        <v>0</v>
      </c>
      <c r="V1043" s="99">
        <f>IF(AND(SamplingData[[#This Row],[Total]]&lt;&gt; 0, NOT(ISBLANK(SamplingData[[#This Row],[Candidate 7]]))),(SamplingData[[#This Row],[Total]]+SamplingData[[#This Row],[Winning Candidate]]-SamplingData[[#This Row],[Candidate 7]])/(SamplingData[[#Totals],[Winning Candidate]]-SamplingData[[#Totals],[Candidate 7]]), 0)</f>
        <v>0</v>
      </c>
      <c r="W1043" s="99">
        <f>IF(AND(SamplingData[[#This Row],[Total]]&lt;&gt; 0, NOT(ISBLANK(SamplingData[[#This Row],[Candidate 8]]))),(SamplingData[[#This Row],[Total]]+SamplingData[[#This Row],[Winning Candidate]]-SamplingData[[#This Row],[Candidate 8]])/(SamplingData[[#Totals],[Winning Candidate]]-SamplingData[[#Totals],[Candidate 8]]), 0)</f>
        <v>0</v>
      </c>
      <c r="X10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3" s="99">
        <f>MAX(SamplingData[[#This Row],[Error Bound (up) - Max. possible relative overstatement - Losing Candidate]:[Error Bound (up) - Max. possible relative overstatement - Candidate 12]])</f>
        <v>1.1458156509930402E-2</v>
      </c>
      <c r="AC1043" s="99">
        <f>IF(SamplingData[[#This Row],[Max Error Bound (up)]] = 0,0,SamplingData[[#This Row],[Max Error Bound (up)]]/SamplingData[[#Totals],[Max Error Bound (up)]])</f>
        <v>6.1348020503871822E-4</v>
      </c>
      <c r="AD1043" s="103">
        <f>SUM($AC$5:AC1043)</f>
        <v>0.92311956956411345</v>
      </c>
      <c r="AE1043" s="99" t="str" cm="1">
        <f t="array" ref="AE1043">IF(SamplingData[[#This Row],[up/U Selection Probability]] = 0, "Zero", TEXT(SamplingData[[#This Row],[Lower Range]], REPT("0",LEN('General Info'!$B$42))) &amp; " - " &amp; TEXT(SamplingData[[#This Row],[Upper Range]], REPT("0",LEN('General Info'!$B$42))))</f>
        <v>922506 - 923119</v>
      </c>
      <c r="AF1043" s="99">
        <f>SamplingData[[#This Row],[Upper Range]]-SamplingData[[#This Row],[Span]]</f>
        <v>922506.08935907471</v>
      </c>
      <c r="AG1043" s="99">
        <f>IF(ISNUMBER('General Info'!$B$42), ((SamplingData[[#This Row],[up/U Selection Probability]]) * 'General Info'!$B$44) - 1, 0)</f>
        <v>612.48020503871817</v>
      </c>
      <c r="AH1043" s="99">
        <f>IF(ISNUMBER('General Info'!$B$42), (SamplingData[[#This Row],[Running (cumulative) sum]] * ('General Info'!$B$42 -'General Info'!$B$43 + 1)) + 'General Info'!$B$43 - 1, 0)</f>
        <v>923118.56956411339</v>
      </c>
      <c r="AI1043" s="99" t="str">
        <f>IF(ISERROR(MATCH(SamplingData[[#This Row],[Batch by Type (p)]],SelectedPrecincts[Batch Name], 0)), "", INDEX(SelectedPrecincts[Draw], MATCH(SamplingData[[#This Row],[Batch by Type (p)]],SelectedPrecincts[Batch Name], 0)))</f>
        <v/>
      </c>
      <c r="AJ1043" s="100">
        <f>IF(COUNTIF(SelectedPrecincts[Batch Name],SamplingData[[#This Row],[Batch by Type (p)]]) &lt;&gt; 0, COUNTIF(SelectedPrecincts[Batch Name],SamplingData[[#This Row],[Batch by Type (p)]]), 0)</f>
        <v>0</v>
      </c>
    </row>
    <row r="1044" spans="1:36" ht="15" customHeight="1" x14ac:dyDescent="0.35">
      <c r="A1044" s="97" t="s">
        <v>1257</v>
      </c>
      <c r="B1044" s="97">
        <v>291</v>
      </c>
      <c r="C1044" s="97">
        <v>165</v>
      </c>
      <c r="D1044" s="92"/>
      <c r="E1044" s="92"/>
      <c r="F1044" s="92"/>
      <c r="G1044" s="96"/>
      <c r="H1044" s="96"/>
      <c r="I1044" s="92"/>
      <c r="J1044" s="92"/>
      <c r="K1044" s="92"/>
      <c r="L1044" s="92"/>
      <c r="M1044" s="92"/>
      <c r="N1044" s="97">
        <v>0</v>
      </c>
      <c r="O1044" s="97">
        <v>56</v>
      </c>
      <c r="P1044" s="98">
        <f>SUM(SamplingData[[#This Row],[Winning Candidate]:[Under Votes]])</f>
        <v>512</v>
      </c>
      <c r="Q1044" s="99">
        <f>IF(AND(SamplingData[[#This Row],[Total]]&lt;&gt; 0, NOT(ISBLANK(SamplingData[[#This Row],[Losing Candidate]]))),(SamplingData[[#This Row],[Total]]+SamplingData[[#This Row],[Winning Candidate]]-SamplingData[[#This Row],[Losing Candidate]])/(SamplingData[[#Totals],[Winning Candidate]]-SamplingData[[#Totals],[Losing Candidate]]), 0)</f>
        <v>2.7075199456798506E-2</v>
      </c>
      <c r="R1044" s="99">
        <f>IF(AND(SamplingData[[#This Row],[Total]]&lt;&gt; 0, NOT(ISBLANK(SamplingData[[#This Row],[Candidate 3]]))),(SamplingData[[#This Row],[Total]]+SamplingData[[#This Row],[Winning Candidate]]-SamplingData[[#This Row],[Candidate 3]])/(SamplingData[[#Totals],[Winning Candidate]]-SamplingData[[#Totals],[Candidate 3]]), 0)</f>
        <v>0</v>
      </c>
      <c r="S1044" s="99">
        <f>IF(AND(SamplingData[[#This Row],[Total]]&lt;&gt; 0, NOT(ISBLANK(SamplingData[[#This Row],[Candidate 4]]))),(SamplingData[[#This Row],[Total]]+SamplingData[[#This Row],[Winning Candidate]]-SamplingData[[#This Row],[Candidate 4]])/(SamplingData[[#Totals],[Winning Candidate]]-SamplingData[[#Totals],[Candidate 4]]), 0)</f>
        <v>0</v>
      </c>
      <c r="T1044" s="99">
        <f>IF(AND(SamplingData[[#This Row],[Total]]&lt;&gt; 0, NOT(ISBLANK(SamplingData[[#This Row],[Candidate 5]]))),(SamplingData[[#This Row],[Total]]+SamplingData[[#This Row],[Winning Candidate]]-SamplingData[[#This Row],[Candidate 5]])/(SamplingData[[#Totals],[Winning Candidate]]-SamplingData[[#Totals],[Candidate 5]]), 0)</f>
        <v>0</v>
      </c>
      <c r="U1044" s="99">
        <f>IF(AND(SamplingData[[#This Row],[Total]]&lt;&gt; 0, NOT(ISBLANK(SamplingData[[#This Row],[Candidate 6]]))),(SamplingData[[#This Row],[Total]]+SamplingData[[#This Row],[Losing Candidate]]-SamplingData[[#This Row],[Candidate 6]])/(SamplingData[[#Totals],[Winning Candidate]]-SamplingData[[#Totals],[Candidate 6]]), 0)</f>
        <v>0</v>
      </c>
      <c r="V1044" s="99">
        <f>IF(AND(SamplingData[[#This Row],[Total]]&lt;&gt; 0, NOT(ISBLANK(SamplingData[[#This Row],[Candidate 7]]))),(SamplingData[[#This Row],[Total]]+SamplingData[[#This Row],[Winning Candidate]]-SamplingData[[#This Row],[Candidate 7]])/(SamplingData[[#Totals],[Winning Candidate]]-SamplingData[[#Totals],[Candidate 7]]), 0)</f>
        <v>0</v>
      </c>
      <c r="W1044" s="99">
        <f>IF(AND(SamplingData[[#This Row],[Total]]&lt;&gt; 0, NOT(ISBLANK(SamplingData[[#This Row],[Candidate 8]]))),(SamplingData[[#This Row],[Total]]+SamplingData[[#This Row],[Winning Candidate]]-SamplingData[[#This Row],[Candidate 8]])/(SamplingData[[#Totals],[Winning Candidate]]-SamplingData[[#Totals],[Candidate 8]]), 0)</f>
        <v>0</v>
      </c>
      <c r="X10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4" s="99">
        <f>MAX(SamplingData[[#This Row],[Error Bound (up) - Max. possible relative overstatement - Losing Candidate]:[Error Bound (up) - Max. possible relative overstatement - Candidate 12]])</f>
        <v>2.7075199456798506E-2</v>
      </c>
      <c r="AC1044" s="99">
        <f>IF(SamplingData[[#This Row],[Max Error Bound (up)]] = 0,0,SamplingData[[#This Row],[Max Error Bound (up)]]/SamplingData[[#Totals],[Max Error Bound (up)]])</f>
        <v>1.4496310030174156E-3</v>
      </c>
      <c r="AD1044" s="103">
        <f>SUM($AC$5:AC1044)</f>
        <v>0.92456920056713088</v>
      </c>
      <c r="AE1044" s="99" t="str" cm="1">
        <f t="array" ref="AE1044">IF(SamplingData[[#This Row],[up/U Selection Probability]] = 0, "Zero", TEXT(SamplingData[[#This Row],[Lower Range]], REPT("0",LEN('General Info'!$B$42))) &amp; " - " &amp; TEXT(SamplingData[[#This Row],[Upper Range]], REPT("0",LEN('General Info'!$B$42))))</f>
        <v>923120 - 924568</v>
      </c>
      <c r="AF1044" s="99">
        <f>SamplingData[[#This Row],[Upper Range]]-SamplingData[[#This Row],[Span]]</f>
        <v>923119.56956411351</v>
      </c>
      <c r="AG1044" s="99">
        <f>IF(ISNUMBER('General Info'!$B$42), ((SamplingData[[#This Row],[up/U Selection Probability]]) * 'General Info'!$B$44) - 1, 0)</f>
        <v>1448.6310030174157</v>
      </c>
      <c r="AH1044" s="99">
        <f>IF(ISNUMBER('General Info'!$B$42), (SamplingData[[#This Row],[Running (cumulative) sum]] * ('General Info'!$B$42 -'General Info'!$B$43 + 1)) + 'General Info'!$B$43 - 1, 0)</f>
        <v>924568.20056713093</v>
      </c>
      <c r="AI1044" s="99" t="str">
        <f>IF(ISERROR(MATCH(SamplingData[[#This Row],[Batch by Type (p)]],SelectedPrecincts[Batch Name], 0)), "", INDEX(SelectedPrecincts[Draw], MATCH(SamplingData[[#This Row],[Batch by Type (p)]],SelectedPrecincts[Batch Name], 0)))</f>
        <v/>
      </c>
      <c r="AJ1044" s="100">
        <f>IF(COUNTIF(SelectedPrecincts[Batch Name],SamplingData[[#This Row],[Batch by Type (p)]]) &lt;&gt; 0, COUNTIF(SelectedPrecincts[Batch Name],SamplingData[[#This Row],[Batch by Type (p)]]), 0)</f>
        <v>0</v>
      </c>
    </row>
    <row r="1045" spans="1:36" ht="15" customHeight="1" x14ac:dyDescent="0.35">
      <c r="A1045" s="97" t="s">
        <v>1258</v>
      </c>
      <c r="B1045" s="97">
        <v>303</v>
      </c>
      <c r="C1045" s="97">
        <v>322</v>
      </c>
      <c r="D1045" s="92"/>
      <c r="E1045" s="92"/>
      <c r="F1045" s="92"/>
      <c r="G1045" s="96"/>
      <c r="H1045" s="96"/>
      <c r="I1045" s="92"/>
      <c r="J1045" s="92"/>
      <c r="K1045" s="92"/>
      <c r="L1045" s="92"/>
      <c r="M1045" s="92"/>
      <c r="N1045" s="97">
        <v>0</v>
      </c>
      <c r="O1045" s="97">
        <v>43</v>
      </c>
      <c r="P1045" s="98">
        <f>SUM(SamplingData[[#This Row],[Winning Candidate]:[Under Votes]])</f>
        <v>668</v>
      </c>
      <c r="Q1045" s="99">
        <f>IF(AND(SamplingData[[#This Row],[Total]]&lt;&gt; 0, NOT(ISBLANK(SamplingData[[#This Row],[Losing Candidate]]))),(SamplingData[[#This Row],[Total]]+SamplingData[[#This Row],[Winning Candidate]]-SamplingData[[#This Row],[Losing Candidate]])/(SamplingData[[#Totals],[Winning Candidate]]-SamplingData[[#Totals],[Losing Candidate]]), 0)</f>
        <v>2.7542013240536411E-2</v>
      </c>
      <c r="R1045" s="99">
        <f>IF(AND(SamplingData[[#This Row],[Total]]&lt;&gt; 0, NOT(ISBLANK(SamplingData[[#This Row],[Candidate 3]]))),(SamplingData[[#This Row],[Total]]+SamplingData[[#This Row],[Winning Candidate]]-SamplingData[[#This Row],[Candidate 3]])/(SamplingData[[#Totals],[Winning Candidate]]-SamplingData[[#Totals],[Candidate 3]]), 0)</f>
        <v>0</v>
      </c>
      <c r="S1045" s="99">
        <f>IF(AND(SamplingData[[#This Row],[Total]]&lt;&gt; 0, NOT(ISBLANK(SamplingData[[#This Row],[Candidate 4]]))),(SamplingData[[#This Row],[Total]]+SamplingData[[#This Row],[Winning Candidate]]-SamplingData[[#This Row],[Candidate 4]])/(SamplingData[[#Totals],[Winning Candidate]]-SamplingData[[#Totals],[Candidate 4]]), 0)</f>
        <v>0</v>
      </c>
      <c r="T1045" s="99">
        <f>IF(AND(SamplingData[[#This Row],[Total]]&lt;&gt; 0, NOT(ISBLANK(SamplingData[[#This Row],[Candidate 5]]))),(SamplingData[[#This Row],[Total]]+SamplingData[[#This Row],[Winning Candidate]]-SamplingData[[#This Row],[Candidate 5]])/(SamplingData[[#Totals],[Winning Candidate]]-SamplingData[[#Totals],[Candidate 5]]), 0)</f>
        <v>0</v>
      </c>
      <c r="U1045" s="99">
        <f>IF(AND(SamplingData[[#This Row],[Total]]&lt;&gt; 0, NOT(ISBLANK(SamplingData[[#This Row],[Candidate 6]]))),(SamplingData[[#This Row],[Total]]+SamplingData[[#This Row],[Losing Candidate]]-SamplingData[[#This Row],[Candidate 6]])/(SamplingData[[#Totals],[Winning Candidate]]-SamplingData[[#Totals],[Candidate 6]]), 0)</f>
        <v>0</v>
      </c>
      <c r="V1045" s="99">
        <f>IF(AND(SamplingData[[#This Row],[Total]]&lt;&gt; 0, NOT(ISBLANK(SamplingData[[#This Row],[Candidate 7]]))),(SamplingData[[#This Row],[Total]]+SamplingData[[#This Row],[Winning Candidate]]-SamplingData[[#This Row],[Candidate 7]])/(SamplingData[[#Totals],[Winning Candidate]]-SamplingData[[#Totals],[Candidate 7]]), 0)</f>
        <v>0</v>
      </c>
      <c r="W1045" s="99">
        <f>IF(AND(SamplingData[[#This Row],[Total]]&lt;&gt; 0, NOT(ISBLANK(SamplingData[[#This Row],[Candidate 8]]))),(SamplingData[[#This Row],[Total]]+SamplingData[[#This Row],[Winning Candidate]]-SamplingData[[#This Row],[Candidate 8]])/(SamplingData[[#Totals],[Winning Candidate]]-SamplingData[[#Totals],[Candidate 8]]), 0)</f>
        <v>0</v>
      </c>
      <c r="X10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5" s="99">
        <f>MAX(SamplingData[[#This Row],[Error Bound (up) - Max. possible relative overstatement - Losing Candidate]:[Error Bound (up) - Max. possible relative overstatement - Candidate 12]])</f>
        <v>2.7542013240536411E-2</v>
      </c>
      <c r="AC1045" s="99">
        <f>IF(SamplingData[[#This Row],[Max Error Bound (up)]] = 0,0,SamplingData[[#This Row],[Max Error Bound (up)]]/SamplingData[[#Totals],[Max Error Bound (up)]])</f>
        <v>1.4746246410004744E-3</v>
      </c>
      <c r="AD1045" s="103">
        <f>SUM($AC$5:AC1045)</f>
        <v>0.92604382520813133</v>
      </c>
      <c r="AE1045" s="99" t="str" cm="1">
        <f t="array" ref="AE1045">IF(SamplingData[[#This Row],[up/U Selection Probability]] = 0, "Zero", TEXT(SamplingData[[#This Row],[Lower Range]], REPT("0",LEN('General Info'!$B$42))) &amp; " - " &amp; TEXT(SamplingData[[#This Row],[Upper Range]], REPT("0",LEN('General Info'!$B$42))))</f>
        <v>924569 - 926043</v>
      </c>
      <c r="AF1045" s="99">
        <f>SamplingData[[#This Row],[Upper Range]]-SamplingData[[#This Row],[Span]]</f>
        <v>924569.20056713081</v>
      </c>
      <c r="AG1045" s="99">
        <f>IF(ISNUMBER('General Info'!$B$42), ((SamplingData[[#This Row],[up/U Selection Probability]]) * 'General Info'!$B$44) - 1, 0)</f>
        <v>1473.6246410004744</v>
      </c>
      <c r="AH1045" s="99">
        <f>IF(ISNUMBER('General Info'!$B$42), (SamplingData[[#This Row],[Running (cumulative) sum]] * ('General Info'!$B$42 -'General Info'!$B$43 + 1)) + 'General Info'!$B$43 - 1, 0)</f>
        <v>926042.82520813134</v>
      </c>
      <c r="AI1045" s="99" t="str">
        <f>IF(ISERROR(MATCH(SamplingData[[#This Row],[Batch by Type (p)]],SelectedPrecincts[Batch Name], 0)), "", INDEX(SelectedPrecincts[Draw], MATCH(SamplingData[[#This Row],[Batch by Type (p)]],SelectedPrecincts[Batch Name], 0)))</f>
        <v/>
      </c>
      <c r="AJ1045" s="100">
        <f>IF(COUNTIF(SelectedPrecincts[Batch Name],SamplingData[[#This Row],[Batch by Type (p)]]) &lt;&gt; 0, COUNTIF(SelectedPrecincts[Batch Name],SamplingData[[#This Row],[Batch by Type (p)]]), 0)</f>
        <v>0</v>
      </c>
    </row>
    <row r="1046" spans="1:36" ht="15" customHeight="1" x14ac:dyDescent="0.35">
      <c r="A1046" s="97" t="s">
        <v>1259</v>
      </c>
      <c r="B1046" s="97">
        <v>233</v>
      </c>
      <c r="C1046" s="97">
        <v>246</v>
      </c>
      <c r="D1046" s="92"/>
      <c r="E1046" s="92"/>
      <c r="F1046" s="92"/>
      <c r="G1046" s="96"/>
      <c r="H1046" s="96"/>
      <c r="I1046" s="92"/>
      <c r="J1046" s="92"/>
      <c r="K1046" s="92"/>
      <c r="L1046" s="92"/>
      <c r="M1046" s="92"/>
      <c r="N1046" s="97">
        <v>1</v>
      </c>
      <c r="O1046" s="97">
        <v>58</v>
      </c>
      <c r="P1046" s="98">
        <f>SUM(SamplingData[[#This Row],[Winning Candidate]:[Under Votes]])</f>
        <v>538</v>
      </c>
      <c r="Q1046" s="99">
        <f>IF(AND(SamplingData[[#This Row],[Total]]&lt;&gt; 0, NOT(ISBLANK(SamplingData[[#This Row],[Losing Candidate]]))),(SamplingData[[#This Row],[Total]]+SamplingData[[#This Row],[Winning Candidate]]-SamplingData[[#This Row],[Losing Candidate]])/(SamplingData[[#Totals],[Winning Candidate]]-SamplingData[[#Totals],[Losing Candidate]]), 0)</f>
        <v>2.2279748769309115E-2</v>
      </c>
      <c r="R1046" s="99">
        <f>IF(AND(SamplingData[[#This Row],[Total]]&lt;&gt; 0, NOT(ISBLANK(SamplingData[[#This Row],[Candidate 3]]))),(SamplingData[[#This Row],[Total]]+SamplingData[[#This Row],[Winning Candidate]]-SamplingData[[#This Row],[Candidate 3]])/(SamplingData[[#Totals],[Winning Candidate]]-SamplingData[[#Totals],[Candidate 3]]), 0)</f>
        <v>0</v>
      </c>
      <c r="S1046" s="99">
        <f>IF(AND(SamplingData[[#This Row],[Total]]&lt;&gt; 0, NOT(ISBLANK(SamplingData[[#This Row],[Candidate 4]]))),(SamplingData[[#This Row],[Total]]+SamplingData[[#This Row],[Winning Candidate]]-SamplingData[[#This Row],[Candidate 4]])/(SamplingData[[#Totals],[Winning Candidate]]-SamplingData[[#Totals],[Candidate 4]]), 0)</f>
        <v>0</v>
      </c>
      <c r="T1046" s="99">
        <f>IF(AND(SamplingData[[#This Row],[Total]]&lt;&gt; 0, NOT(ISBLANK(SamplingData[[#This Row],[Candidate 5]]))),(SamplingData[[#This Row],[Total]]+SamplingData[[#This Row],[Winning Candidate]]-SamplingData[[#This Row],[Candidate 5]])/(SamplingData[[#Totals],[Winning Candidate]]-SamplingData[[#Totals],[Candidate 5]]), 0)</f>
        <v>0</v>
      </c>
      <c r="U1046" s="99">
        <f>IF(AND(SamplingData[[#This Row],[Total]]&lt;&gt; 0, NOT(ISBLANK(SamplingData[[#This Row],[Candidate 6]]))),(SamplingData[[#This Row],[Total]]+SamplingData[[#This Row],[Losing Candidate]]-SamplingData[[#This Row],[Candidate 6]])/(SamplingData[[#Totals],[Winning Candidate]]-SamplingData[[#Totals],[Candidate 6]]), 0)</f>
        <v>0</v>
      </c>
      <c r="V1046" s="99">
        <f>IF(AND(SamplingData[[#This Row],[Total]]&lt;&gt; 0, NOT(ISBLANK(SamplingData[[#This Row],[Candidate 7]]))),(SamplingData[[#This Row],[Total]]+SamplingData[[#This Row],[Winning Candidate]]-SamplingData[[#This Row],[Candidate 7]])/(SamplingData[[#Totals],[Winning Candidate]]-SamplingData[[#Totals],[Candidate 7]]), 0)</f>
        <v>0</v>
      </c>
      <c r="W1046" s="99">
        <f>IF(AND(SamplingData[[#This Row],[Total]]&lt;&gt; 0, NOT(ISBLANK(SamplingData[[#This Row],[Candidate 8]]))),(SamplingData[[#This Row],[Total]]+SamplingData[[#This Row],[Winning Candidate]]-SamplingData[[#This Row],[Candidate 8]])/(SamplingData[[#Totals],[Winning Candidate]]-SamplingData[[#Totals],[Candidate 8]]), 0)</f>
        <v>0</v>
      </c>
      <c r="X10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6" s="99">
        <f>MAX(SamplingData[[#This Row],[Error Bound (up) - Max. possible relative overstatement - Losing Candidate]:[Error Bound (up) - Max. possible relative overstatement - Candidate 12]])</f>
        <v>2.2279748769309115E-2</v>
      </c>
      <c r="AC1046" s="99">
        <f>IF(SamplingData[[#This Row],[Max Error Bound (up)]] = 0,0,SamplingData[[#This Row],[Max Error Bound (up)]]/SamplingData[[#Totals],[Max Error Bound (up)]])</f>
        <v>1.1928781764641743E-3</v>
      </c>
      <c r="AD1046" s="103">
        <f>SUM($AC$5:AC1046)</f>
        <v>0.92723670338459552</v>
      </c>
      <c r="AE1046" s="99" t="str" cm="1">
        <f t="array" ref="AE1046">IF(SamplingData[[#This Row],[up/U Selection Probability]] = 0, "Zero", TEXT(SamplingData[[#This Row],[Lower Range]], REPT("0",LEN('General Info'!$B$42))) &amp; " - " &amp; TEXT(SamplingData[[#This Row],[Upper Range]], REPT("0",LEN('General Info'!$B$42))))</f>
        <v>926044 - 927236</v>
      </c>
      <c r="AF1046" s="99">
        <f>SamplingData[[#This Row],[Upper Range]]-SamplingData[[#This Row],[Span]]</f>
        <v>926043.82520813146</v>
      </c>
      <c r="AG1046" s="99">
        <f>IF(ISNUMBER('General Info'!$B$42), ((SamplingData[[#This Row],[up/U Selection Probability]]) * 'General Info'!$B$44) - 1, 0)</f>
        <v>1191.8781764641742</v>
      </c>
      <c r="AH1046" s="99">
        <f>IF(ISNUMBER('General Info'!$B$42), (SamplingData[[#This Row],[Running (cumulative) sum]] * ('General Info'!$B$42 -'General Info'!$B$43 + 1)) + 'General Info'!$B$43 - 1, 0)</f>
        <v>927235.70338459557</v>
      </c>
      <c r="AI1046" s="99" t="str">
        <f>IF(ISERROR(MATCH(SamplingData[[#This Row],[Batch by Type (p)]],SelectedPrecincts[Batch Name], 0)), "", INDEX(SelectedPrecincts[Draw], MATCH(SamplingData[[#This Row],[Batch by Type (p)]],SelectedPrecincts[Batch Name], 0)))</f>
        <v/>
      </c>
      <c r="AJ1046" s="100">
        <f>IF(COUNTIF(SelectedPrecincts[Batch Name],SamplingData[[#This Row],[Batch by Type (p)]]) &lt;&gt; 0, COUNTIF(SelectedPrecincts[Batch Name],SamplingData[[#This Row],[Batch by Type (p)]]), 0)</f>
        <v>0</v>
      </c>
    </row>
    <row r="1047" spans="1:36" ht="15" customHeight="1" x14ac:dyDescent="0.35">
      <c r="A1047" s="97" t="s">
        <v>1260</v>
      </c>
      <c r="B1047" s="97">
        <v>60</v>
      </c>
      <c r="C1047" s="97">
        <v>182</v>
      </c>
      <c r="D1047" s="92"/>
      <c r="E1047" s="92"/>
      <c r="F1047" s="92"/>
      <c r="G1047" s="96"/>
      <c r="H1047" s="96"/>
      <c r="I1047" s="92"/>
      <c r="J1047" s="92"/>
      <c r="K1047" s="92"/>
      <c r="L1047" s="92"/>
      <c r="M1047" s="92"/>
      <c r="N1047" s="97">
        <v>0</v>
      </c>
      <c r="O1047" s="97">
        <v>22</v>
      </c>
      <c r="P1047" s="98">
        <f>SUM(SamplingData[[#This Row],[Winning Candidate]:[Under Votes]])</f>
        <v>264</v>
      </c>
      <c r="Q1047" s="99">
        <f>IF(AND(SamplingData[[#This Row],[Total]]&lt;&gt; 0, NOT(ISBLANK(SamplingData[[#This Row],[Losing Candidate]]))),(SamplingData[[#This Row],[Total]]+SamplingData[[#This Row],[Winning Candidate]]-SamplingData[[#This Row],[Losing Candidate]])/(SamplingData[[#Totals],[Winning Candidate]]-SamplingData[[#Totals],[Losing Candidate]]), 0)</f>
        <v>6.0261415718893228E-3</v>
      </c>
      <c r="R1047" s="99">
        <f>IF(AND(SamplingData[[#This Row],[Total]]&lt;&gt; 0, NOT(ISBLANK(SamplingData[[#This Row],[Candidate 3]]))),(SamplingData[[#This Row],[Total]]+SamplingData[[#This Row],[Winning Candidate]]-SamplingData[[#This Row],[Candidate 3]])/(SamplingData[[#Totals],[Winning Candidate]]-SamplingData[[#Totals],[Candidate 3]]), 0)</f>
        <v>0</v>
      </c>
      <c r="S1047" s="99">
        <f>IF(AND(SamplingData[[#This Row],[Total]]&lt;&gt; 0, NOT(ISBLANK(SamplingData[[#This Row],[Candidate 4]]))),(SamplingData[[#This Row],[Total]]+SamplingData[[#This Row],[Winning Candidate]]-SamplingData[[#This Row],[Candidate 4]])/(SamplingData[[#Totals],[Winning Candidate]]-SamplingData[[#Totals],[Candidate 4]]), 0)</f>
        <v>0</v>
      </c>
      <c r="T1047" s="99">
        <f>IF(AND(SamplingData[[#This Row],[Total]]&lt;&gt; 0, NOT(ISBLANK(SamplingData[[#This Row],[Candidate 5]]))),(SamplingData[[#This Row],[Total]]+SamplingData[[#This Row],[Winning Candidate]]-SamplingData[[#This Row],[Candidate 5]])/(SamplingData[[#Totals],[Winning Candidate]]-SamplingData[[#Totals],[Candidate 5]]), 0)</f>
        <v>0</v>
      </c>
      <c r="U1047" s="99">
        <f>IF(AND(SamplingData[[#This Row],[Total]]&lt;&gt; 0, NOT(ISBLANK(SamplingData[[#This Row],[Candidate 6]]))),(SamplingData[[#This Row],[Total]]+SamplingData[[#This Row],[Losing Candidate]]-SamplingData[[#This Row],[Candidate 6]])/(SamplingData[[#Totals],[Winning Candidate]]-SamplingData[[#Totals],[Candidate 6]]), 0)</f>
        <v>0</v>
      </c>
      <c r="V1047" s="99">
        <f>IF(AND(SamplingData[[#This Row],[Total]]&lt;&gt; 0, NOT(ISBLANK(SamplingData[[#This Row],[Candidate 7]]))),(SamplingData[[#This Row],[Total]]+SamplingData[[#This Row],[Winning Candidate]]-SamplingData[[#This Row],[Candidate 7]])/(SamplingData[[#Totals],[Winning Candidate]]-SamplingData[[#Totals],[Candidate 7]]), 0)</f>
        <v>0</v>
      </c>
      <c r="W1047" s="99">
        <f>IF(AND(SamplingData[[#This Row],[Total]]&lt;&gt; 0, NOT(ISBLANK(SamplingData[[#This Row],[Candidate 8]]))),(SamplingData[[#This Row],[Total]]+SamplingData[[#This Row],[Winning Candidate]]-SamplingData[[#This Row],[Candidate 8]])/(SamplingData[[#Totals],[Winning Candidate]]-SamplingData[[#Totals],[Candidate 8]]), 0)</f>
        <v>0</v>
      </c>
      <c r="X10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7" s="99">
        <f>MAX(SamplingData[[#This Row],[Error Bound (up) - Max. possible relative overstatement - Losing Candidate]:[Error Bound (up) - Max. possible relative overstatement - Candidate 12]])</f>
        <v>6.0261415718893228E-3</v>
      </c>
      <c r="AC1047" s="99">
        <f>IF(SamplingData[[#This Row],[Max Error Bound (up)]] = 0,0,SamplingData[[#This Row],[Max Error Bound (up)]]/SamplingData[[#Totals],[Max Error Bound (up)]])</f>
        <v>3.2264514487221474E-4</v>
      </c>
      <c r="AD1047" s="103">
        <f>SUM($AC$5:AC1047)</f>
        <v>0.92755934852946775</v>
      </c>
      <c r="AE1047" s="99" t="str" cm="1">
        <f t="array" ref="AE1047">IF(SamplingData[[#This Row],[up/U Selection Probability]] = 0, "Zero", TEXT(SamplingData[[#This Row],[Lower Range]], REPT("0",LEN('General Info'!$B$42))) &amp; " - " &amp; TEXT(SamplingData[[#This Row],[Upper Range]], REPT("0",LEN('General Info'!$B$42))))</f>
        <v>927237 - 927558</v>
      </c>
      <c r="AF1047" s="99">
        <f>SamplingData[[#This Row],[Upper Range]]-SamplingData[[#This Row],[Span]]</f>
        <v>927236.70338459546</v>
      </c>
      <c r="AG1047" s="99">
        <f>IF(ISNUMBER('General Info'!$B$42), ((SamplingData[[#This Row],[up/U Selection Probability]]) * 'General Info'!$B$44) - 1, 0)</f>
        <v>321.64514487221476</v>
      </c>
      <c r="AH1047" s="99">
        <f>IF(ISNUMBER('General Info'!$B$42), (SamplingData[[#This Row],[Running (cumulative) sum]] * ('General Info'!$B$42 -'General Info'!$B$43 + 1)) + 'General Info'!$B$43 - 1, 0)</f>
        <v>927558.34852946771</v>
      </c>
      <c r="AI1047" s="99" t="str">
        <f>IF(ISERROR(MATCH(SamplingData[[#This Row],[Batch by Type (p)]],SelectedPrecincts[Batch Name], 0)), "", INDEX(SelectedPrecincts[Draw], MATCH(SamplingData[[#This Row],[Batch by Type (p)]],SelectedPrecincts[Batch Name], 0)))</f>
        <v/>
      </c>
      <c r="AJ1047" s="100">
        <f>IF(COUNTIF(SelectedPrecincts[Batch Name],SamplingData[[#This Row],[Batch by Type (p)]]) &lt;&gt; 0, COUNTIF(SelectedPrecincts[Batch Name],SamplingData[[#This Row],[Batch by Type (p)]]), 0)</f>
        <v>0</v>
      </c>
    </row>
    <row r="1048" spans="1:36" ht="15" customHeight="1" x14ac:dyDescent="0.35">
      <c r="A1048" s="97" t="s">
        <v>1261</v>
      </c>
      <c r="B1048" s="97">
        <v>116</v>
      </c>
      <c r="C1048" s="97">
        <v>330</v>
      </c>
      <c r="D1048" s="92"/>
      <c r="E1048" s="92"/>
      <c r="F1048" s="92"/>
      <c r="G1048" s="96"/>
      <c r="H1048" s="96"/>
      <c r="I1048" s="92"/>
      <c r="J1048" s="92"/>
      <c r="K1048" s="92"/>
      <c r="L1048" s="92"/>
      <c r="M1048" s="92"/>
      <c r="N1048" s="97">
        <v>0</v>
      </c>
      <c r="O1048" s="97">
        <v>44</v>
      </c>
      <c r="P1048" s="98">
        <f>SUM(SamplingData[[#This Row],[Winning Candidate]:[Under Votes]])</f>
        <v>490</v>
      </c>
      <c r="Q1048" s="99">
        <f>IF(AND(SamplingData[[#This Row],[Total]]&lt;&gt; 0, NOT(ISBLANK(SamplingData[[#This Row],[Losing Candidate]]))),(SamplingData[[#This Row],[Total]]+SamplingData[[#This Row],[Winning Candidate]]-SamplingData[[#This Row],[Losing Candidate]])/(SamplingData[[#Totals],[Winning Candidate]]-SamplingData[[#Totals],[Losing Candidate]]), 0)</f>
        <v>1.1712782210151079E-2</v>
      </c>
      <c r="R1048" s="99">
        <f>IF(AND(SamplingData[[#This Row],[Total]]&lt;&gt; 0, NOT(ISBLANK(SamplingData[[#This Row],[Candidate 3]]))),(SamplingData[[#This Row],[Total]]+SamplingData[[#This Row],[Winning Candidate]]-SamplingData[[#This Row],[Candidate 3]])/(SamplingData[[#Totals],[Winning Candidate]]-SamplingData[[#Totals],[Candidate 3]]), 0)</f>
        <v>0</v>
      </c>
      <c r="S1048" s="99">
        <f>IF(AND(SamplingData[[#This Row],[Total]]&lt;&gt; 0, NOT(ISBLANK(SamplingData[[#This Row],[Candidate 4]]))),(SamplingData[[#This Row],[Total]]+SamplingData[[#This Row],[Winning Candidate]]-SamplingData[[#This Row],[Candidate 4]])/(SamplingData[[#Totals],[Winning Candidate]]-SamplingData[[#Totals],[Candidate 4]]), 0)</f>
        <v>0</v>
      </c>
      <c r="T1048" s="99">
        <f>IF(AND(SamplingData[[#This Row],[Total]]&lt;&gt; 0, NOT(ISBLANK(SamplingData[[#This Row],[Candidate 5]]))),(SamplingData[[#This Row],[Total]]+SamplingData[[#This Row],[Winning Candidate]]-SamplingData[[#This Row],[Candidate 5]])/(SamplingData[[#Totals],[Winning Candidate]]-SamplingData[[#Totals],[Candidate 5]]), 0)</f>
        <v>0</v>
      </c>
      <c r="U1048" s="99">
        <f>IF(AND(SamplingData[[#This Row],[Total]]&lt;&gt; 0, NOT(ISBLANK(SamplingData[[#This Row],[Candidate 6]]))),(SamplingData[[#This Row],[Total]]+SamplingData[[#This Row],[Losing Candidate]]-SamplingData[[#This Row],[Candidate 6]])/(SamplingData[[#Totals],[Winning Candidate]]-SamplingData[[#Totals],[Candidate 6]]), 0)</f>
        <v>0</v>
      </c>
      <c r="V1048" s="99">
        <f>IF(AND(SamplingData[[#This Row],[Total]]&lt;&gt; 0, NOT(ISBLANK(SamplingData[[#This Row],[Candidate 7]]))),(SamplingData[[#This Row],[Total]]+SamplingData[[#This Row],[Winning Candidate]]-SamplingData[[#This Row],[Candidate 7]])/(SamplingData[[#Totals],[Winning Candidate]]-SamplingData[[#Totals],[Candidate 7]]), 0)</f>
        <v>0</v>
      </c>
      <c r="W1048" s="99">
        <f>IF(AND(SamplingData[[#This Row],[Total]]&lt;&gt; 0, NOT(ISBLANK(SamplingData[[#This Row],[Candidate 8]]))),(SamplingData[[#This Row],[Total]]+SamplingData[[#This Row],[Winning Candidate]]-SamplingData[[#This Row],[Candidate 8]])/(SamplingData[[#Totals],[Winning Candidate]]-SamplingData[[#Totals],[Candidate 8]]), 0)</f>
        <v>0</v>
      </c>
      <c r="X10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8" s="99">
        <f>MAX(SamplingData[[#This Row],[Error Bound (up) - Max. possible relative overstatement - Losing Candidate]:[Error Bound (up) - Max. possible relative overstatement - Candidate 12]])</f>
        <v>1.1712782210151079E-2</v>
      </c>
      <c r="AC1048" s="99">
        <f>IF(SamplingData[[#This Row],[Max Error Bound (up)]] = 0,0,SamplingData[[#This Row],[Max Error Bound (up)]]/SamplingData[[#Totals],[Max Error Bound (up)]])</f>
        <v>6.2711309848402313E-4</v>
      </c>
      <c r="AD1048" s="103">
        <f>SUM($AC$5:AC1048)</f>
        <v>0.92818646162795182</v>
      </c>
      <c r="AE1048" s="99" t="str" cm="1">
        <f t="array" ref="AE1048">IF(SamplingData[[#This Row],[up/U Selection Probability]] = 0, "Zero", TEXT(SamplingData[[#This Row],[Lower Range]], REPT("0",LEN('General Info'!$B$42))) &amp; " - " &amp; TEXT(SamplingData[[#This Row],[Upper Range]], REPT("0",LEN('General Info'!$B$42))))</f>
        <v>927559 - 928185</v>
      </c>
      <c r="AF1048" s="99">
        <f>SamplingData[[#This Row],[Upper Range]]-SamplingData[[#This Row],[Span]]</f>
        <v>927559.34852946782</v>
      </c>
      <c r="AG1048" s="99">
        <f>IF(ISNUMBER('General Info'!$B$42), ((SamplingData[[#This Row],[up/U Selection Probability]]) * 'General Info'!$B$44) - 1, 0)</f>
        <v>626.11309848402311</v>
      </c>
      <c r="AH1048" s="99">
        <f>IF(ISNUMBER('General Info'!$B$42), (SamplingData[[#This Row],[Running (cumulative) sum]] * ('General Info'!$B$42 -'General Info'!$B$43 + 1)) + 'General Info'!$B$43 - 1, 0)</f>
        <v>928185.46162795182</v>
      </c>
      <c r="AI1048" s="99" t="str">
        <f>IF(ISERROR(MATCH(SamplingData[[#This Row],[Batch by Type (p)]],SelectedPrecincts[Batch Name], 0)), "", INDEX(SelectedPrecincts[Draw], MATCH(SamplingData[[#This Row],[Batch by Type (p)]],SelectedPrecincts[Batch Name], 0)))</f>
        <v/>
      </c>
      <c r="AJ1048" s="100">
        <f>IF(COUNTIF(SelectedPrecincts[Batch Name],SamplingData[[#This Row],[Batch by Type (p)]]) &lt;&gt; 0, COUNTIF(SelectedPrecincts[Batch Name],SamplingData[[#This Row],[Batch by Type (p)]]), 0)</f>
        <v>0</v>
      </c>
    </row>
    <row r="1049" spans="1:36" ht="15" customHeight="1" x14ac:dyDescent="0.35">
      <c r="A1049" s="97" t="s">
        <v>1262</v>
      </c>
      <c r="B1049" s="97">
        <v>126</v>
      </c>
      <c r="C1049" s="97">
        <v>638</v>
      </c>
      <c r="D1049" s="92"/>
      <c r="E1049" s="92"/>
      <c r="F1049" s="92"/>
      <c r="G1049" s="96"/>
      <c r="H1049" s="96"/>
      <c r="I1049" s="92"/>
      <c r="J1049" s="92"/>
      <c r="K1049" s="92"/>
      <c r="L1049" s="92"/>
      <c r="M1049" s="92"/>
      <c r="N1049" s="97">
        <v>0</v>
      </c>
      <c r="O1049" s="97">
        <v>50</v>
      </c>
      <c r="P1049" s="98">
        <f>SUM(SamplingData[[#This Row],[Winning Candidate]:[Under Votes]])</f>
        <v>814</v>
      </c>
      <c r="Q1049" s="99">
        <f>IF(AND(SamplingData[[#This Row],[Total]]&lt;&gt; 0, NOT(ISBLANK(SamplingData[[#This Row],[Losing Candidate]]))),(SamplingData[[#This Row],[Total]]+SamplingData[[#This Row],[Winning Candidate]]-SamplingData[[#This Row],[Losing Candidate]])/(SamplingData[[#Totals],[Winning Candidate]]-SamplingData[[#Totals],[Losing Candidate]]), 0)</f>
        <v>1.2816160244440673E-2</v>
      </c>
      <c r="R1049" s="99">
        <f>IF(AND(SamplingData[[#This Row],[Total]]&lt;&gt; 0, NOT(ISBLANK(SamplingData[[#This Row],[Candidate 3]]))),(SamplingData[[#This Row],[Total]]+SamplingData[[#This Row],[Winning Candidate]]-SamplingData[[#This Row],[Candidate 3]])/(SamplingData[[#Totals],[Winning Candidate]]-SamplingData[[#Totals],[Candidate 3]]), 0)</f>
        <v>0</v>
      </c>
      <c r="S1049" s="99">
        <f>IF(AND(SamplingData[[#This Row],[Total]]&lt;&gt; 0, NOT(ISBLANK(SamplingData[[#This Row],[Candidate 4]]))),(SamplingData[[#This Row],[Total]]+SamplingData[[#This Row],[Winning Candidate]]-SamplingData[[#This Row],[Candidate 4]])/(SamplingData[[#Totals],[Winning Candidate]]-SamplingData[[#Totals],[Candidate 4]]), 0)</f>
        <v>0</v>
      </c>
      <c r="T1049" s="99">
        <f>IF(AND(SamplingData[[#This Row],[Total]]&lt;&gt; 0, NOT(ISBLANK(SamplingData[[#This Row],[Candidate 5]]))),(SamplingData[[#This Row],[Total]]+SamplingData[[#This Row],[Winning Candidate]]-SamplingData[[#This Row],[Candidate 5]])/(SamplingData[[#Totals],[Winning Candidate]]-SamplingData[[#Totals],[Candidate 5]]), 0)</f>
        <v>0</v>
      </c>
      <c r="U1049" s="99">
        <f>IF(AND(SamplingData[[#This Row],[Total]]&lt;&gt; 0, NOT(ISBLANK(SamplingData[[#This Row],[Candidate 6]]))),(SamplingData[[#This Row],[Total]]+SamplingData[[#This Row],[Losing Candidate]]-SamplingData[[#This Row],[Candidate 6]])/(SamplingData[[#Totals],[Winning Candidate]]-SamplingData[[#Totals],[Candidate 6]]), 0)</f>
        <v>0</v>
      </c>
      <c r="V1049" s="99">
        <f>IF(AND(SamplingData[[#This Row],[Total]]&lt;&gt; 0, NOT(ISBLANK(SamplingData[[#This Row],[Candidate 7]]))),(SamplingData[[#This Row],[Total]]+SamplingData[[#This Row],[Winning Candidate]]-SamplingData[[#This Row],[Candidate 7]])/(SamplingData[[#Totals],[Winning Candidate]]-SamplingData[[#Totals],[Candidate 7]]), 0)</f>
        <v>0</v>
      </c>
      <c r="W1049" s="99">
        <f>IF(AND(SamplingData[[#This Row],[Total]]&lt;&gt; 0, NOT(ISBLANK(SamplingData[[#This Row],[Candidate 8]]))),(SamplingData[[#This Row],[Total]]+SamplingData[[#This Row],[Winning Candidate]]-SamplingData[[#This Row],[Candidate 8]])/(SamplingData[[#Totals],[Winning Candidate]]-SamplingData[[#Totals],[Candidate 8]]), 0)</f>
        <v>0</v>
      </c>
      <c r="X10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9" s="99">
        <f>MAX(SamplingData[[#This Row],[Error Bound (up) - Max. possible relative overstatement - Losing Candidate]:[Error Bound (up) - Max. possible relative overstatement - Candidate 12]])</f>
        <v>1.2816160244440673E-2</v>
      </c>
      <c r="AC1049" s="99">
        <f>IF(SamplingData[[#This Row],[Max Error Bound (up)]] = 0,0,SamplingData[[#This Row],[Max Error Bound (up)]]/SamplingData[[#Totals],[Max Error Bound (up)]])</f>
        <v>6.8618897008034408E-4</v>
      </c>
      <c r="AD1049" s="103">
        <f>SUM($AC$5:AC1049)</f>
        <v>0.92887265059803215</v>
      </c>
      <c r="AE1049" s="99" t="str" cm="1">
        <f t="array" ref="AE1049">IF(SamplingData[[#This Row],[up/U Selection Probability]] = 0, "Zero", TEXT(SamplingData[[#This Row],[Lower Range]], REPT("0",LEN('General Info'!$B$42))) &amp; " - " &amp; TEXT(SamplingData[[#This Row],[Upper Range]], REPT("0",LEN('General Info'!$B$42))))</f>
        <v>928186 - 928872</v>
      </c>
      <c r="AF1049" s="99">
        <f>SamplingData[[#This Row],[Upper Range]]-SamplingData[[#This Row],[Span]]</f>
        <v>928186.46162795182</v>
      </c>
      <c r="AG1049" s="99">
        <f>IF(ISNUMBER('General Info'!$B$42), ((SamplingData[[#This Row],[up/U Selection Probability]]) * 'General Info'!$B$44) - 1, 0)</f>
        <v>685.18897008034412</v>
      </c>
      <c r="AH1049" s="99">
        <f>IF(ISNUMBER('General Info'!$B$42), (SamplingData[[#This Row],[Running (cumulative) sum]] * ('General Info'!$B$42 -'General Info'!$B$43 + 1)) + 'General Info'!$B$43 - 1, 0)</f>
        <v>928871.65059803217</v>
      </c>
      <c r="AI1049" s="99" t="str">
        <f>IF(ISERROR(MATCH(SamplingData[[#This Row],[Batch by Type (p)]],SelectedPrecincts[Batch Name], 0)), "", INDEX(SelectedPrecincts[Draw], MATCH(SamplingData[[#This Row],[Batch by Type (p)]],SelectedPrecincts[Batch Name], 0)))</f>
        <v/>
      </c>
      <c r="AJ1049" s="100">
        <f>IF(COUNTIF(SelectedPrecincts[Batch Name],SamplingData[[#This Row],[Batch by Type (p)]]) &lt;&gt; 0, COUNTIF(SelectedPrecincts[Batch Name],SamplingData[[#This Row],[Batch by Type (p)]]), 0)</f>
        <v>0</v>
      </c>
    </row>
    <row r="1050" spans="1:36" ht="15" customHeight="1" x14ac:dyDescent="0.35">
      <c r="A1050" s="97" t="s">
        <v>1263</v>
      </c>
      <c r="B1050" s="97">
        <v>59</v>
      </c>
      <c r="C1050" s="97">
        <v>339</v>
      </c>
      <c r="D1050" s="92"/>
      <c r="E1050" s="92"/>
      <c r="F1050" s="92"/>
      <c r="G1050" s="96"/>
      <c r="H1050" s="96"/>
      <c r="I1050" s="92"/>
      <c r="J1050" s="92"/>
      <c r="K1050" s="92"/>
      <c r="L1050" s="92"/>
      <c r="M1050" s="92"/>
      <c r="N1050" s="97">
        <v>0</v>
      </c>
      <c r="O1050" s="97">
        <v>28</v>
      </c>
      <c r="P1050" s="98">
        <f>SUM(SamplingData[[#This Row],[Winning Candidate]:[Under Votes]])</f>
        <v>426</v>
      </c>
      <c r="Q1050" s="99">
        <f>IF(AND(SamplingData[[#This Row],[Total]]&lt;&gt; 0, NOT(ISBLANK(SamplingData[[#This Row],[Losing Candidate]]))),(SamplingData[[#This Row],[Total]]+SamplingData[[#This Row],[Winning Candidate]]-SamplingData[[#This Row],[Losing Candidate]])/(SamplingData[[#Totals],[Winning Candidate]]-SamplingData[[#Totals],[Losing Candidate]]), 0)</f>
        <v>6.1958920387031064E-3</v>
      </c>
      <c r="R1050" s="99">
        <f>IF(AND(SamplingData[[#This Row],[Total]]&lt;&gt; 0, NOT(ISBLANK(SamplingData[[#This Row],[Candidate 3]]))),(SamplingData[[#This Row],[Total]]+SamplingData[[#This Row],[Winning Candidate]]-SamplingData[[#This Row],[Candidate 3]])/(SamplingData[[#Totals],[Winning Candidate]]-SamplingData[[#Totals],[Candidate 3]]), 0)</f>
        <v>0</v>
      </c>
      <c r="S1050" s="99">
        <f>IF(AND(SamplingData[[#This Row],[Total]]&lt;&gt; 0, NOT(ISBLANK(SamplingData[[#This Row],[Candidate 4]]))),(SamplingData[[#This Row],[Total]]+SamplingData[[#This Row],[Winning Candidate]]-SamplingData[[#This Row],[Candidate 4]])/(SamplingData[[#Totals],[Winning Candidate]]-SamplingData[[#Totals],[Candidate 4]]), 0)</f>
        <v>0</v>
      </c>
      <c r="T1050" s="99">
        <f>IF(AND(SamplingData[[#This Row],[Total]]&lt;&gt; 0, NOT(ISBLANK(SamplingData[[#This Row],[Candidate 5]]))),(SamplingData[[#This Row],[Total]]+SamplingData[[#This Row],[Winning Candidate]]-SamplingData[[#This Row],[Candidate 5]])/(SamplingData[[#Totals],[Winning Candidate]]-SamplingData[[#Totals],[Candidate 5]]), 0)</f>
        <v>0</v>
      </c>
      <c r="U1050" s="99">
        <f>IF(AND(SamplingData[[#This Row],[Total]]&lt;&gt; 0, NOT(ISBLANK(SamplingData[[#This Row],[Candidate 6]]))),(SamplingData[[#This Row],[Total]]+SamplingData[[#This Row],[Losing Candidate]]-SamplingData[[#This Row],[Candidate 6]])/(SamplingData[[#Totals],[Winning Candidate]]-SamplingData[[#Totals],[Candidate 6]]), 0)</f>
        <v>0</v>
      </c>
      <c r="V1050" s="99">
        <f>IF(AND(SamplingData[[#This Row],[Total]]&lt;&gt; 0, NOT(ISBLANK(SamplingData[[#This Row],[Candidate 7]]))),(SamplingData[[#This Row],[Total]]+SamplingData[[#This Row],[Winning Candidate]]-SamplingData[[#This Row],[Candidate 7]])/(SamplingData[[#Totals],[Winning Candidate]]-SamplingData[[#Totals],[Candidate 7]]), 0)</f>
        <v>0</v>
      </c>
      <c r="W1050" s="99">
        <f>IF(AND(SamplingData[[#This Row],[Total]]&lt;&gt; 0, NOT(ISBLANK(SamplingData[[#This Row],[Candidate 8]]))),(SamplingData[[#This Row],[Total]]+SamplingData[[#This Row],[Winning Candidate]]-SamplingData[[#This Row],[Candidate 8]])/(SamplingData[[#Totals],[Winning Candidate]]-SamplingData[[#Totals],[Candidate 8]]), 0)</f>
        <v>0</v>
      </c>
      <c r="X10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0" s="99">
        <f>MAX(SamplingData[[#This Row],[Error Bound (up) - Max. possible relative overstatement - Losing Candidate]:[Error Bound (up) - Max. possible relative overstatement - Candidate 12]])</f>
        <v>6.1958920387031064E-3</v>
      </c>
      <c r="AC1050" s="99">
        <f>IF(SamplingData[[#This Row],[Max Error Bound (up)]] = 0,0,SamplingData[[#This Row],[Max Error Bound (up)]]/SamplingData[[#Totals],[Max Error Bound (up)]])</f>
        <v>3.3173374050241797E-4</v>
      </c>
      <c r="AD1050" s="103">
        <f>SUM($AC$5:AC1050)</f>
        <v>0.92920438433853458</v>
      </c>
      <c r="AE1050" s="99" t="str" cm="1">
        <f t="array" ref="AE1050">IF(SamplingData[[#This Row],[up/U Selection Probability]] = 0, "Zero", TEXT(SamplingData[[#This Row],[Lower Range]], REPT("0",LEN('General Info'!$B$42))) &amp; " - " &amp; TEXT(SamplingData[[#This Row],[Upper Range]], REPT("0",LEN('General Info'!$B$42))))</f>
        <v>928873 - 929203</v>
      </c>
      <c r="AF1050" s="99">
        <f>SamplingData[[#This Row],[Upper Range]]-SamplingData[[#This Row],[Span]]</f>
        <v>928872.65059803217</v>
      </c>
      <c r="AG1050" s="99">
        <f>IF(ISNUMBER('General Info'!$B$42), ((SamplingData[[#This Row],[up/U Selection Probability]]) * 'General Info'!$B$44) - 1, 0)</f>
        <v>330.73374050241796</v>
      </c>
      <c r="AH1050" s="99">
        <f>IF(ISNUMBER('General Info'!$B$42), (SamplingData[[#This Row],[Running (cumulative) sum]] * ('General Info'!$B$42 -'General Info'!$B$43 + 1)) + 'General Info'!$B$43 - 1, 0)</f>
        <v>929203.38433853455</v>
      </c>
      <c r="AI1050" s="99" t="str">
        <f>IF(ISERROR(MATCH(SamplingData[[#This Row],[Batch by Type (p)]],SelectedPrecincts[Batch Name], 0)), "", INDEX(SelectedPrecincts[Draw], MATCH(SamplingData[[#This Row],[Batch by Type (p)]],SelectedPrecincts[Batch Name], 0)))</f>
        <v/>
      </c>
      <c r="AJ1050" s="100">
        <f>IF(COUNTIF(SelectedPrecincts[Batch Name],SamplingData[[#This Row],[Batch by Type (p)]]) &lt;&gt; 0, COUNTIF(SelectedPrecincts[Batch Name],SamplingData[[#This Row],[Batch by Type (p)]]), 0)</f>
        <v>0</v>
      </c>
    </row>
    <row r="1051" spans="1:36" ht="15" customHeight="1" x14ac:dyDescent="0.35">
      <c r="A1051" s="97" t="s">
        <v>1264</v>
      </c>
      <c r="B1051" s="97">
        <v>115</v>
      </c>
      <c r="C1051" s="97">
        <v>569</v>
      </c>
      <c r="D1051" s="92"/>
      <c r="E1051" s="92"/>
      <c r="F1051" s="92"/>
      <c r="G1051" s="96"/>
      <c r="H1051" s="96"/>
      <c r="I1051" s="92"/>
      <c r="J1051" s="92"/>
      <c r="K1051" s="92"/>
      <c r="L1051" s="92"/>
      <c r="M1051" s="92"/>
      <c r="N1051" s="97">
        <v>1</v>
      </c>
      <c r="O1051" s="97">
        <v>52</v>
      </c>
      <c r="P1051" s="98">
        <f>SUM(SamplingData[[#This Row],[Winning Candidate]:[Under Votes]])</f>
        <v>737</v>
      </c>
      <c r="Q1051" s="99">
        <f>IF(AND(SamplingData[[#This Row],[Total]]&lt;&gt; 0, NOT(ISBLANK(SamplingData[[#This Row],[Losing Candidate]]))),(SamplingData[[#This Row],[Total]]+SamplingData[[#This Row],[Winning Candidate]]-SamplingData[[#This Row],[Losing Candidate]])/(SamplingData[[#Totals],[Winning Candidate]]-SamplingData[[#Totals],[Losing Candidate]]), 0)</f>
        <v>1.2009845527075199E-2</v>
      </c>
      <c r="R1051" s="99">
        <f>IF(AND(SamplingData[[#This Row],[Total]]&lt;&gt; 0, NOT(ISBLANK(SamplingData[[#This Row],[Candidate 3]]))),(SamplingData[[#This Row],[Total]]+SamplingData[[#This Row],[Winning Candidate]]-SamplingData[[#This Row],[Candidate 3]])/(SamplingData[[#Totals],[Winning Candidate]]-SamplingData[[#Totals],[Candidate 3]]), 0)</f>
        <v>0</v>
      </c>
      <c r="S1051" s="99">
        <f>IF(AND(SamplingData[[#This Row],[Total]]&lt;&gt; 0, NOT(ISBLANK(SamplingData[[#This Row],[Candidate 4]]))),(SamplingData[[#This Row],[Total]]+SamplingData[[#This Row],[Winning Candidate]]-SamplingData[[#This Row],[Candidate 4]])/(SamplingData[[#Totals],[Winning Candidate]]-SamplingData[[#Totals],[Candidate 4]]), 0)</f>
        <v>0</v>
      </c>
      <c r="T1051" s="99">
        <f>IF(AND(SamplingData[[#This Row],[Total]]&lt;&gt; 0, NOT(ISBLANK(SamplingData[[#This Row],[Candidate 5]]))),(SamplingData[[#This Row],[Total]]+SamplingData[[#This Row],[Winning Candidate]]-SamplingData[[#This Row],[Candidate 5]])/(SamplingData[[#Totals],[Winning Candidate]]-SamplingData[[#Totals],[Candidate 5]]), 0)</f>
        <v>0</v>
      </c>
      <c r="U1051" s="99">
        <f>IF(AND(SamplingData[[#This Row],[Total]]&lt;&gt; 0, NOT(ISBLANK(SamplingData[[#This Row],[Candidate 6]]))),(SamplingData[[#This Row],[Total]]+SamplingData[[#This Row],[Losing Candidate]]-SamplingData[[#This Row],[Candidate 6]])/(SamplingData[[#Totals],[Winning Candidate]]-SamplingData[[#Totals],[Candidate 6]]), 0)</f>
        <v>0</v>
      </c>
      <c r="V1051" s="99">
        <f>IF(AND(SamplingData[[#This Row],[Total]]&lt;&gt; 0, NOT(ISBLANK(SamplingData[[#This Row],[Candidate 7]]))),(SamplingData[[#This Row],[Total]]+SamplingData[[#This Row],[Winning Candidate]]-SamplingData[[#This Row],[Candidate 7]])/(SamplingData[[#Totals],[Winning Candidate]]-SamplingData[[#Totals],[Candidate 7]]), 0)</f>
        <v>0</v>
      </c>
      <c r="W1051" s="99">
        <f>IF(AND(SamplingData[[#This Row],[Total]]&lt;&gt; 0, NOT(ISBLANK(SamplingData[[#This Row],[Candidate 8]]))),(SamplingData[[#This Row],[Total]]+SamplingData[[#This Row],[Winning Candidate]]-SamplingData[[#This Row],[Candidate 8]])/(SamplingData[[#Totals],[Winning Candidate]]-SamplingData[[#Totals],[Candidate 8]]), 0)</f>
        <v>0</v>
      </c>
      <c r="X10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1" s="99">
        <f>MAX(SamplingData[[#This Row],[Error Bound (up) - Max. possible relative overstatement - Losing Candidate]:[Error Bound (up) - Max. possible relative overstatement - Candidate 12]])</f>
        <v>1.2009845527075199E-2</v>
      </c>
      <c r="AC1051" s="99">
        <f>IF(SamplingData[[#This Row],[Max Error Bound (up)]] = 0,0,SamplingData[[#This Row],[Max Error Bound (up)]]/SamplingData[[#Totals],[Max Error Bound (up)]])</f>
        <v>6.430181408368787E-4</v>
      </c>
      <c r="AD1051" s="103">
        <f>SUM($AC$5:AC1051)</f>
        <v>0.92984740247937148</v>
      </c>
      <c r="AE1051" s="99" t="str" cm="1">
        <f t="array" ref="AE1051">IF(SamplingData[[#This Row],[up/U Selection Probability]] = 0, "Zero", TEXT(SamplingData[[#This Row],[Lower Range]], REPT("0",LEN('General Info'!$B$42))) &amp; " - " &amp; TEXT(SamplingData[[#This Row],[Upper Range]], REPT("0",LEN('General Info'!$B$42))))</f>
        <v>929204 - 929846</v>
      </c>
      <c r="AF1051" s="99">
        <f>SamplingData[[#This Row],[Upper Range]]-SamplingData[[#This Row],[Span]]</f>
        <v>929204.38433853467</v>
      </c>
      <c r="AG1051" s="99">
        <f>IF(ISNUMBER('General Info'!$B$42), ((SamplingData[[#This Row],[up/U Selection Probability]]) * 'General Info'!$B$44) - 1, 0)</f>
        <v>642.01814083687873</v>
      </c>
      <c r="AH1051" s="99">
        <f>IF(ISNUMBER('General Info'!$B$42), (SamplingData[[#This Row],[Running (cumulative) sum]] * ('General Info'!$B$42 -'General Info'!$B$43 + 1)) + 'General Info'!$B$43 - 1, 0)</f>
        <v>929846.40247937152</v>
      </c>
      <c r="AI1051" s="99" t="str">
        <f>IF(ISERROR(MATCH(SamplingData[[#This Row],[Batch by Type (p)]],SelectedPrecincts[Batch Name], 0)), "", INDEX(SelectedPrecincts[Draw], MATCH(SamplingData[[#This Row],[Batch by Type (p)]],SelectedPrecincts[Batch Name], 0)))</f>
        <v/>
      </c>
      <c r="AJ1051" s="100">
        <f>IF(COUNTIF(SelectedPrecincts[Batch Name],SamplingData[[#This Row],[Batch by Type (p)]]) &lt;&gt; 0, COUNTIF(SelectedPrecincts[Batch Name],SamplingData[[#This Row],[Batch by Type (p)]]), 0)</f>
        <v>0</v>
      </c>
    </row>
    <row r="1052" spans="1:36" ht="15" customHeight="1" x14ac:dyDescent="0.35">
      <c r="A1052" s="97" t="s">
        <v>1265</v>
      </c>
      <c r="B1052" s="97">
        <v>86</v>
      </c>
      <c r="C1052" s="97">
        <v>677</v>
      </c>
      <c r="D1052" s="92"/>
      <c r="E1052" s="92"/>
      <c r="F1052" s="92"/>
      <c r="G1052" s="96"/>
      <c r="H1052" s="96"/>
      <c r="I1052" s="92"/>
      <c r="J1052" s="92"/>
      <c r="K1052" s="92"/>
      <c r="L1052" s="92"/>
      <c r="M1052" s="92"/>
      <c r="N1052" s="97">
        <v>0</v>
      </c>
      <c r="O1052" s="97">
        <v>52</v>
      </c>
      <c r="P1052" s="98">
        <f>SUM(SamplingData[[#This Row],[Winning Candidate]:[Under Votes]])</f>
        <v>815</v>
      </c>
      <c r="Q1052" s="99">
        <f>IF(AND(SamplingData[[#This Row],[Total]]&lt;&gt; 0, NOT(ISBLANK(SamplingData[[#This Row],[Losing Candidate]]))),(SamplingData[[#This Row],[Total]]+SamplingData[[#This Row],[Winning Candidate]]-SamplingData[[#This Row],[Losing Candidate]])/(SamplingData[[#Totals],[Winning Candidate]]-SamplingData[[#Totals],[Losing Candidate]]), 0)</f>
        <v>9.5060261415718886E-3</v>
      </c>
      <c r="R1052" s="99">
        <f>IF(AND(SamplingData[[#This Row],[Total]]&lt;&gt; 0, NOT(ISBLANK(SamplingData[[#This Row],[Candidate 3]]))),(SamplingData[[#This Row],[Total]]+SamplingData[[#This Row],[Winning Candidate]]-SamplingData[[#This Row],[Candidate 3]])/(SamplingData[[#Totals],[Winning Candidate]]-SamplingData[[#Totals],[Candidate 3]]), 0)</f>
        <v>0</v>
      </c>
      <c r="S1052" s="99">
        <f>IF(AND(SamplingData[[#This Row],[Total]]&lt;&gt; 0, NOT(ISBLANK(SamplingData[[#This Row],[Candidate 4]]))),(SamplingData[[#This Row],[Total]]+SamplingData[[#This Row],[Winning Candidate]]-SamplingData[[#This Row],[Candidate 4]])/(SamplingData[[#Totals],[Winning Candidate]]-SamplingData[[#Totals],[Candidate 4]]), 0)</f>
        <v>0</v>
      </c>
      <c r="T1052" s="99">
        <f>IF(AND(SamplingData[[#This Row],[Total]]&lt;&gt; 0, NOT(ISBLANK(SamplingData[[#This Row],[Candidate 5]]))),(SamplingData[[#This Row],[Total]]+SamplingData[[#This Row],[Winning Candidate]]-SamplingData[[#This Row],[Candidate 5]])/(SamplingData[[#Totals],[Winning Candidate]]-SamplingData[[#Totals],[Candidate 5]]), 0)</f>
        <v>0</v>
      </c>
      <c r="U1052" s="99">
        <f>IF(AND(SamplingData[[#This Row],[Total]]&lt;&gt; 0, NOT(ISBLANK(SamplingData[[#This Row],[Candidate 6]]))),(SamplingData[[#This Row],[Total]]+SamplingData[[#This Row],[Losing Candidate]]-SamplingData[[#This Row],[Candidate 6]])/(SamplingData[[#Totals],[Winning Candidate]]-SamplingData[[#Totals],[Candidate 6]]), 0)</f>
        <v>0</v>
      </c>
      <c r="V1052" s="99">
        <f>IF(AND(SamplingData[[#This Row],[Total]]&lt;&gt; 0, NOT(ISBLANK(SamplingData[[#This Row],[Candidate 7]]))),(SamplingData[[#This Row],[Total]]+SamplingData[[#This Row],[Winning Candidate]]-SamplingData[[#This Row],[Candidate 7]])/(SamplingData[[#Totals],[Winning Candidate]]-SamplingData[[#Totals],[Candidate 7]]), 0)</f>
        <v>0</v>
      </c>
      <c r="W1052" s="99">
        <f>IF(AND(SamplingData[[#This Row],[Total]]&lt;&gt; 0, NOT(ISBLANK(SamplingData[[#This Row],[Candidate 8]]))),(SamplingData[[#This Row],[Total]]+SamplingData[[#This Row],[Winning Candidate]]-SamplingData[[#This Row],[Candidate 8]])/(SamplingData[[#Totals],[Winning Candidate]]-SamplingData[[#Totals],[Candidate 8]]), 0)</f>
        <v>0</v>
      </c>
      <c r="X10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2" s="99">
        <f>MAX(SamplingData[[#This Row],[Error Bound (up) - Max. possible relative overstatement - Losing Candidate]:[Error Bound (up) - Max. possible relative overstatement - Candidate 12]])</f>
        <v>9.5060261415718886E-3</v>
      </c>
      <c r="AC1052" s="99">
        <f>IF(SamplingData[[#This Row],[Max Error Bound (up)]] = 0,0,SamplingData[[#This Row],[Max Error Bound (up)]]/SamplingData[[#Totals],[Max Error Bound (up)]])</f>
        <v>5.08961355291381E-4</v>
      </c>
      <c r="AD1052" s="103">
        <f>SUM($AC$5:AC1052)</f>
        <v>0.9303563638346628</v>
      </c>
      <c r="AE1052" s="99" t="str" cm="1">
        <f t="array" ref="AE1052">IF(SamplingData[[#This Row],[up/U Selection Probability]] = 0, "Zero", TEXT(SamplingData[[#This Row],[Lower Range]], REPT("0",LEN('General Info'!$B$42))) &amp; " - " &amp; TEXT(SamplingData[[#This Row],[Upper Range]], REPT("0",LEN('General Info'!$B$42))))</f>
        <v>929847 - 930355</v>
      </c>
      <c r="AF1052" s="99">
        <f>SamplingData[[#This Row],[Upper Range]]-SamplingData[[#This Row],[Span]]</f>
        <v>929847.40247937141</v>
      </c>
      <c r="AG1052" s="99">
        <f>IF(ISNUMBER('General Info'!$B$42), ((SamplingData[[#This Row],[up/U Selection Probability]]) * 'General Info'!$B$44) - 1, 0)</f>
        <v>507.96135529138098</v>
      </c>
      <c r="AH1052" s="99">
        <f>IF(ISNUMBER('General Info'!$B$42), (SamplingData[[#This Row],[Running (cumulative) sum]] * ('General Info'!$B$42 -'General Info'!$B$43 + 1)) + 'General Info'!$B$43 - 1, 0)</f>
        <v>930355.36383466283</v>
      </c>
      <c r="AI1052" s="99" t="str">
        <f>IF(ISERROR(MATCH(SamplingData[[#This Row],[Batch by Type (p)]],SelectedPrecincts[Batch Name], 0)), "", INDEX(SelectedPrecincts[Draw], MATCH(SamplingData[[#This Row],[Batch by Type (p)]],SelectedPrecincts[Batch Name], 0)))</f>
        <v/>
      </c>
      <c r="AJ1052" s="100">
        <f>IF(COUNTIF(SelectedPrecincts[Batch Name],SamplingData[[#This Row],[Batch by Type (p)]]) &lt;&gt; 0, COUNTIF(SelectedPrecincts[Batch Name],SamplingData[[#This Row],[Batch by Type (p)]]), 0)</f>
        <v>0</v>
      </c>
    </row>
    <row r="1053" spans="1:36" ht="15" customHeight="1" x14ac:dyDescent="0.35">
      <c r="A1053" s="97" t="s">
        <v>1266</v>
      </c>
      <c r="B1053" s="97">
        <v>74</v>
      </c>
      <c r="C1053" s="97">
        <v>490</v>
      </c>
      <c r="D1053" s="92"/>
      <c r="E1053" s="92"/>
      <c r="F1053" s="92"/>
      <c r="G1053" s="96"/>
      <c r="H1053" s="96"/>
      <c r="I1053" s="92"/>
      <c r="J1053" s="92"/>
      <c r="K1053" s="92"/>
      <c r="L1053" s="92"/>
      <c r="M1053" s="92"/>
      <c r="N1053" s="97">
        <v>0</v>
      </c>
      <c r="O1053" s="97">
        <v>52</v>
      </c>
      <c r="P1053" s="98">
        <f>SUM(SamplingData[[#This Row],[Winning Candidate]:[Under Votes]])</f>
        <v>616</v>
      </c>
      <c r="Q1053" s="99">
        <f>IF(AND(SamplingData[[#This Row],[Total]]&lt;&gt; 0, NOT(ISBLANK(SamplingData[[#This Row],[Losing Candidate]]))),(SamplingData[[#This Row],[Total]]+SamplingData[[#This Row],[Winning Candidate]]-SamplingData[[#This Row],[Losing Candidate]])/(SamplingData[[#Totals],[Winning Candidate]]-SamplingData[[#Totals],[Losing Candidate]]), 0)</f>
        <v>8.4875233406891872E-3</v>
      </c>
      <c r="R1053" s="99">
        <f>IF(AND(SamplingData[[#This Row],[Total]]&lt;&gt; 0, NOT(ISBLANK(SamplingData[[#This Row],[Candidate 3]]))),(SamplingData[[#This Row],[Total]]+SamplingData[[#This Row],[Winning Candidate]]-SamplingData[[#This Row],[Candidate 3]])/(SamplingData[[#Totals],[Winning Candidate]]-SamplingData[[#Totals],[Candidate 3]]), 0)</f>
        <v>0</v>
      </c>
      <c r="S1053" s="99">
        <f>IF(AND(SamplingData[[#This Row],[Total]]&lt;&gt; 0, NOT(ISBLANK(SamplingData[[#This Row],[Candidate 4]]))),(SamplingData[[#This Row],[Total]]+SamplingData[[#This Row],[Winning Candidate]]-SamplingData[[#This Row],[Candidate 4]])/(SamplingData[[#Totals],[Winning Candidate]]-SamplingData[[#Totals],[Candidate 4]]), 0)</f>
        <v>0</v>
      </c>
      <c r="T1053" s="99">
        <f>IF(AND(SamplingData[[#This Row],[Total]]&lt;&gt; 0, NOT(ISBLANK(SamplingData[[#This Row],[Candidate 5]]))),(SamplingData[[#This Row],[Total]]+SamplingData[[#This Row],[Winning Candidate]]-SamplingData[[#This Row],[Candidate 5]])/(SamplingData[[#Totals],[Winning Candidate]]-SamplingData[[#Totals],[Candidate 5]]), 0)</f>
        <v>0</v>
      </c>
      <c r="U1053" s="99">
        <f>IF(AND(SamplingData[[#This Row],[Total]]&lt;&gt; 0, NOT(ISBLANK(SamplingData[[#This Row],[Candidate 6]]))),(SamplingData[[#This Row],[Total]]+SamplingData[[#This Row],[Losing Candidate]]-SamplingData[[#This Row],[Candidate 6]])/(SamplingData[[#Totals],[Winning Candidate]]-SamplingData[[#Totals],[Candidate 6]]), 0)</f>
        <v>0</v>
      </c>
      <c r="V1053" s="99">
        <f>IF(AND(SamplingData[[#This Row],[Total]]&lt;&gt; 0, NOT(ISBLANK(SamplingData[[#This Row],[Candidate 7]]))),(SamplingData[[#This Row],[Total]]+SamplingData[[#This Row],[Winning Candidate]]-SamplingData[[#This Row],[Candidate 7]])/(SamplingData[[#Totals],[Winning Candidate]]-SamplingData[[#Totals],[Candidate 7]]), 0)</f>
        <v>0</v>
      </c>
      <c r="W1053" s="99">
        <f>IF(AND(SamplingData[[#This Row],[Total]]&lt;&gt; 0, NOT(ISBLANK(SamplingData[[#This Row],[Candidate 8]]))),(SamplingData[[#This Row],[Total]]+SamplingData[[#This Row],[Winning Candidate]]-SamplingData[[#This Row],[Candidate 8]])/(SamplingData[[#Totals],[Winning Candidate]]-SamplingData[[#Totals],[Candidate 8]]), 0)</f>
        <v>0</v>
      </c>
      <c r="X10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3" s="99">
        <f>MAX(SamplingData[[#This Row],[Error Bound (up) - Max. possible relative overstatement - Losing Candidate]:[Error Bound (up) - Max. possible relative overstatement - Candidate 12]])</f>
        <v>8.4875233406891872E-3</v>
      </c>
      <c r="AC1053" s="99">
        <f>IF(SamplingData[[#This Row],[Max Error Bound (up)]] = 0,0,SamplingData[[#This Row],[Max Error Bound (up)]]/SamplingData[[#Totals],[Max Error Bound (up)]])</f>
        <v>4.5442978151016166E-4</v>
      </c>
      <c r="AD1053" s="103">
        <f>SUM($AC$5:AC1053)</f>
        <v>0.93081079361617292</v>
      </c>
      <c r="AE1053" s="99" t="str" cm="1">
        <f t="array" ref="AE1053">IF(SamplingData[[#This Row],[up/U Selection Probability]] = 0, "Zero", TEXT(SamplingData[[#This Row],[Lower Range]], REPT("0",LEN('General Info'!$B$42))) &amp; " - " &amp; TEXT(SamplingData[[#This Row],[Upper Range]], REPT("0",LEN('General Info'!$B$42))))</f>
        <v>930356 - 930810</v>
      </c>
      <c r="AF1053" s="99">
        <f>SamplingData[[#This Row],[Upper Range]]-SamplingData[[#This Row],[Span]]</f>
        <v>930356.36383466271</v>
      </c>
      <c r="AG1053" s="99">
        <f>IF(ISNUMBER('General Info'!$B$42), ((SamplingData[[#This Row],[up/U Selection Probability]]) * 'General Info'!$B$44) - 1, 0)</f>
        <v>453.42978151016166</v>
      </c>
      <c r="AH1053" s="99">
        <f>IF(ISNUMBER('General Info'!$B$42), (SamplingData[[#This Row],[Running (cumulative) sum]] * ('General Info'!$B$42 -'General Info'!$B$43 + 1)) + 'General Info'!$B$43 - 1, 0)</f>
        <v>930809.79361617286</v>
      </c>
      <c r="AI1053" s="99" t="str">
        <f>IF(ISERROR(MATCH(SamplingData[[#This Row],[Batch by Type (p)]],SelectedPrecincts[Batch Name], 0)), "", INDEX(SelectedPrecincts[Draw], MATCH(SamplingData[[#This Row],[Batch by Type (p)]],SelectedPrecincts[Batch Name], 0)))</f>
        <v/>
      </c>
      <c r="AJ1053" s="100">
        <f>IF(COUNTIF(SelectedPrecincts[Batch Name],SamplingData[[#This Row],[Batch by Type (p)]]) &lt;&gt; 0, COUNTIF(SelectedPrecincts[Batch Name],SamplingData[[#This Row],[Batch by Type (p)]]), 0)</f>
        <v>0</v>
      </c>
    </row>
    <row r="1054" spans="1:36" ht="15" customHeight="1" x14ac:dyDescent="0.35">
      <c r="A1054" s="97" t="s">
        <v>1267</v>
      </c>
      <c r="B1054" s="97">
        <v>77</v>
      </c>
      <c r="C1054" s="97">
        <v>546</v>
      </c>
      <c r="D1054" s="92"/>
      <c r="E1054" s="92"/>
      <c r="F1054" s="92"/>
      <c r="G1054" s="96"/>
      <c r="H1054" s="96"/>
      <c r="I1054" s="92"/>
      <c r="J1054" s="92"/>
      <c r="K1054" s="92"/>
      <c r="L1054" s="92"/>
      <c r="M1054" s="92"/>
      <c r="N1054" s="97">
        <v>0</v>
      </c>
      <c r="O1054" s="97">
        <v>40</v>
      </c>
      <c r="P1054" s="98">
        <f>SUM(SamplingData[[#This Row],[Winning Candidate]:[Under Votes]])</f>
        <v>663</v>
      </c>
      <c r="Q1054" s="99">
        <f>IF(AND(SamplingData[[#This Row],[Total]]&lt;&gt; 0, NOT(ISBLANK(SamplingData[[#This Row],[Losing Candidate]]))),(SamplingData[[#This Row],[Total]]+SamplingData[[#This Row],[Winning Candidate]]-SamplingData[[#This Row],[Losing Candidate]])/(SamplingData[[#Totals],[Winning Candidate]]-SamplingData[[#Totals],[Losing Candidate]]), 0)</f>
        <v>8.232897640468511E-3</v>
      </c>
      <c r="R1054" s="99">
        <f>IF(AND(SamplingData[[#This Row],[Total]]&lt;&gt; 0, NOT(ISBLANK(SamplingData[[#This Row],[Candidate 3]]))),(SamplingData[[#This Row],[Total]]+SamplingData[[#This Row],[Winning Candidate]]-SamplingData[[#This Row],[Candidate 3]])/(SamplingData[[#Totals],[Winning Candidate]]-SamplingData[[#Totals],[Candidate 3]]), 0)</f>
        <v>0</v>
      </c>
      <c r="S1054" s="99">
        <f>IF(AND(SamplingData[[#This Row],[Total]]&lt;&gt; 0, NOT(ISBLANK(SamplingData[[#This Row],[Candidate 4]]))),(SamplingData[[#This Row],[Total]]+SamplingData[[#This Row],[Winning Candidate]]-SamplingData[[#This Row],[Candidate 4]])/(SamplingData[[#Totals],[Winning Candidate]]-SamplingData[[#Totals],[Candidate 4]]), 0)</f>
        <v>0</v>
      </c>
      <c r="T1054" s="99">
        <f>IF(AND(SamplingData[[#This Row],[Total]]&lt;&gt; 0, NOT(ISBLANK(SamplingData[[#This Row],[Candidate 5]]))),(SamplingData[[#This Row],[Total]]+SamplingData[[#This Row],[Winning Candidate]]-SamplingData[[#This Row],[Candidate 5]])/(SamplingData[[#Totals],[Winning Candidate]]-SamplingData[[#Totals],[Candidate 5]]), 0)</f>
        <v>0</v>
      </c>
      <c r="U1054" s="99">
        <f>IF(AND(SamplingData[[#This Row],[Total]]&lt;&gt; 0, NOT(ISBLANK(SamplingData[[#This Row],[Candidate 6]]))),(SamplingData[[#This Row],[Total]]+SamplingData[[#This Row],[Losing Candidate]]-SamplingData[[#This Row],[Candidate 6]])/(SamplingData[[#Totals],[Winning Candidate]]-SamplingData[[#Totals],[Candidate 6]]), 0)</f>
        <v>0</v>
      </c>
      <c r="V1054" s="99">
        <f>IF(AND(SamplingData[[#This Row],[Total]]&lt;&gt; 0, NOT(ISBLANK(SamplingData[[#This Row],[Candidate 7]]))),(SamplingData[[#This Row],[Total]]+SamplingData[[#This Row],[Winning Candidate]]-SamplingData[[#This Row],[Candidate 7]])/(SamplingData[[#Totals],[Winning Candidate]]-SamplingData[[#Totals],[Candidate 7]]), 0)</f>
        <v>0</v>
      </c>
      <c r="W1054" s="99">
        <f>IF(AND(SamplingData[[#This Row],[Total]]&lt;&gt; 0, NOT(ISBLANK(SamplingData[[#This Row],[Candidate 8]]))),(SamplingData[[#This Row],[Total]]+SamplingData[[#This Row],[Winning Candidate]]-SamplingData[[#This Row],[Candidate 8]])/(SamplingData[[#Totals],[Winning Candidate]]-SamplingData[[#Totals],[Candidate 8]]), 0)</f>
        <v>0</v>
      </c>
      <c r="X10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4" s="99">
        <f>MAX(SamplingData[[#This Row],[Error Bound (up) - Max. possible relative overstatement - Losing Candidate]:[Error Bound (up) - Max. possible relative overstatement - Candidate 12]])</f>
        <v>8.232897640468511E-3</v>
      </c>
      <c r="AC1054" s="99">
        <f>IF(SamplingData[[#This Row],[Max Error Bound (up)]] = 0,0,SamplingData[[#This Row],[Max Error Bound (up)]]/SamplingData[[#Totals],[Max Error Bound (up)]])</f>
        <v>4.4079688806485676E-4</v>
      </c>
      <c r="AD1054" s="103">
        <f>SUM($AC$5:AC1054)</f>
        <v>0.93125159050423778</v>
      </c>
      <c r="AE1054" s="99" t="str" cm="1">
        <f t="array" ref="AE1054">IF(SamplingData[[#This Row],[up/U Selection Probability]] = 0, "Zero", TEXT(SamplingData[[#This Row],[Lower Range]], REPT("0",LEN('General Info'!$B$42))) &amp; " - " &amp; TEXT(SamplingData[[#This Row],[Upper Range]], REPT("0",LEN('General Info'!$B$42))))</f>
        <v>930811 - 931251</v>
      </c>
      <c r="AF1054" s="99">
        <f>SamplingData[[#This Row],[Upper Range]]-SamplingData[[#This Row],[Span]]</f>
        <v>930810.79361617297</v>
      </c>
      <c r="AG1054" s="99">
        <f>IF(ISNUMBER('General Info'!$B$42), ((SamplingData[[#This Row],[up/U Selection Probability]]) * 'General Info'!$B$44) - 1, 0)</f>
        <v>439.79688806485677</v>
      </c>
      <c r="AH1054" s="99">
        <f>IF(ISNUMBER('General Info'!$B$42), (SamplingData[[#This Row],[Running (cumulative) sum]] * ('General Info'!$B$42 -'General Info'!$B$43 + 1)) + 'General Info'!$B$43 - 1, 0)</f>
        <v>931250.5905042378</v>
      </c>
      <c r="AI1054" s="99" t="str">
        <f>IF(ISERROR(MATCH(SamplingData[[#This Row],[Batch by Type (p)]],SelectedPrecincts[Batch Name], 0)), "", INDEX(SelectedPrecincts[Draw], MATCH(SamplingData[[#This Row],[Batch by Type (p)]],SelectedPrecincts[Batch Name], 0)))</f>
        <v/>
      </c>
      <c r="AJ1054" s="100">
        <f>IF(COUNTIF(SelectedPrecincts[Batch Name],SamplingData[[#This Row],[Batch by Type (p)]]) &lt;&gt; 0, COUNTIF(SelectedPrecincts[Batch Name],SamplingData[[#This Row],[Batch by Type (p)]]), 0)</f>
        <v>0</v>
      </c>
    </row>
    <row r="1055" spans="1:36" ht="15" customHeight="1" x14ac:dyDescent="0.35">
      <c r="A1055" s="97" t="s">
        <v>1268</v>
      </c>
      <c r="B1055" s="97">
        <v>94</v>
      </c>
      <c r="C1055" s="97">
        <v>528</v>
      </c>
      <c r="D1055" s="92"/>
      <c r="E1055" s="92"/>
      <c r="F1055" s="92"/>
      <c r="G1055" s="96"/>
      <c r="H1055" s="96"/>
      <c r="I1055" s="92"/>
      <c r="J1055" s="92"/>
      <c r="K1055" s="92"/>
      <c r="L1055" s="92"/>
      <c r="M1055" s="92"/>
      <c r="N1055" s="97">
        <v>0</v>
      </c>
      <c r="O1055" s="97">
        <v>33</v>
      </c>
      <c r="P1055" s="98">
        <f>SUM(SamplingData[[#This Row],[Winning Candidate]:[Under Votes]])</f>
        <v>655</v>
      </c>
      <c r="Q1055" s="99">
        <f>IF(AND(SamplingData[[#This Row],[Total]]&lt;&gt; 0, NOT(ISBLANK(SamplingData[[#This Row],[Losing Candidate]]))),(SamplingData[[#This Row],[Total]]+SamplingData[[#This Row],[Winning Candidate]]-SamplingData[[#This Row],[Losing Candidate]])/(SamplingData[[#Totals],[Winning Candidate]]-SamplingData[[#Totals],[Losing Candidate]]), 0)</f>
        <v>9.3787132914615514E-3</v>
      </c>
      <c r="R1055" s="99">
        <f>IF(AND(SamplingData[[#This Row],[Total]]&lt;&gt; 0, NOT(ISBLANK(SamplingData[[#This Row],[Candidate 3]]))),(SamplingData[[#This Row],[Total]]+SamplingData[[#This Row],[Winning Candidate]]-SamplingData[[#This Row],[Candidate 3]])/(SamplingData[[#Totals],[Winning Candidate]]-SamplingData[[#Totals],[Candidate 3]]), 0)</f>
        <v>0</v>
      </c>
      <c r="S1055" s="99">
        <f>IF(AND(SamplingData[[#This Row],[Total]]&lt;&gt; 0, NOT(ISBLANK(SamplingData[[#This Row],[Candidate 4]]))),(SamplingData[[#This Row],[Total]]+SamplingData[[#This Row],[Winning Candidate]]-SamplingData[[#This Row],[Candidate 4]])/(SamplingData[[#Totals],[Winning Candidate]]-SamplingData[[#Totals],[Candidate 4]]), 0)</f>
        <v>0</v>
      </c>
      <c r="T1055" s="99">
        <f>IF(AND(SamplingData[[#This Row],[Total]]&lt;&gt; 0, NOT(ISBLANK(SamplingData[[#This Row],[Candidate 5]]))),(SamplingData[[#This Row],[Total]]+SamplingData[[#This Row],[Winning Candidate]]-SamplingData[[#This Row],[Candidate 5]])/(SamplingData[[#Totals],[Winning Candidate]]-SamplingData[[#Totals],[Candidate 5]]), 0)</f>
        <v>0</v>
      </c>
      <c r="U1055" s="99">
        <f>IF(AND(SamplingData[[#This Row],[Total]]&lt;&gt; 0, NOT(ISBLANK(SamplingData[[#This Row],[Candidate 6]]))),(SamplingData[[#This Row],[Total]]+SamplingData[[#This Row],[Losing Candidate]]-SamplingData[[#This Row],[Candidate 6]])/(SamplingData[[#Totals],[Winning Candidate]]-SamplingData[[#Totals],[Candidate 6]]), 0)</f>
        <v>0</v>
      </c>
      <c r="V1055" s="99">
        <f>IF(AND(SamplingData[[#This Row],[Total]]&lt;&gt; 0, NOT(ISBLANK(SamplingData[[#This Row],[Candidate 7]]))),(SamplingData[[#This Row],[Total]]+SamplingData[[#This Row],[Winning Candidate]]-SamplingData[[#This Row],[Candidate 7]])/(SamplingData[[#Totals],[Winning Candidate]]-SamplingData[[#Totals],[Candidate 7]]), 0)</f>
        <v>0</v>
      </c>
      <c r="W1055" s="99">
        <f>IF(AND(SamplingData[[#This Row],[Total]]&lt;&gt; 0, NOT(ISBLANK(SamplingData[[#This Row],[Candidate 8]]))),(SamplingData[[#This Row],[Total]]+SamplingData[[#This Row],[Winning Candidate]]-SamplingData[[#This Row],[Candidate 8]])/(SamplingData[[#Totals],[Winning Candidate]]-SamplingData[[#Totals],[Candidate 8]]), 0)</f>
        <v>0</v>
      </c>
      <c r="X10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5" s="99">
        <f>MAX(SamplingData[[#This Row],[Error Bound (up) - Max. possible relative overstatement - Losing Candidate]:[Error Bound (up) - Max. possible relative overstatement - Candidate 12]])</f>
        <v>9.3787132914615514E-3</v>
      </c>
      <c r="AC1055" s="99">
        <f>IF(SamplingData[[#This Row],[Max Error Bound (up)]] = 0,0,SamplingData[[#This Row],[Max Error Bound (up)]]/SamplingData[[#Totals],[Max Error Bound (up)]])</f>
        <v>5.0214490856872855E-4</v>
      </c>
      <c r="AD1055" s="103">
        <f>SUM($AC$5:AC1055)</f>
        <v>0.93175373541280648</v>
      </c>
      <c r="AE1055" s="99" t="str" cm="1">
        <f t="array" ref="AE1055">IF(SamplingData[[#This Row],[up/U Selection Probability]] = 0, "Zero", TEXT(SamplingData[[#This Row],[Lower Range]], REPT("0",LEN('General Info'!$B$42))) &amp; " - " &amp; TEXT(SamplingData[[#This Row],[Upper Range]], REPT("0",LEN('General Info'!$B$42))))</f>
        <v>931252 - 931753</v>
      </c>
      <c r="AF1055" s="99">
        <f>SamplingData[[#This Row],[Upper Range]]-SamplingData[[#This Row],[Span]]</f>
        <v>931251.5905042378</v>
      </c>
      <c r="AG1055" s="99">
        <f>IF(ISNUMBER('General Info'!$B$42), ((SamplingData[[#This Row],[up/U Selection Probability]]) * 'General Info'!$B$44) - 1, 0)</f>
        <v>501.14490856872857</v>
      </c>
      <c r="AH1055" s="99">
        <f>IF(ISNUMBER('General Info'!$B$42), (SamplingData[[#This Row],[Running (cumulative) sum]] * ('General Info'!$B$42 -'General Info'!$B$43 + 1)) + 'General Info'!$B$43 - 1, 0)</f>
        <v>931752.73541280651</v>
      </c>
      <c r="AI1055" s="99" t="str">
        <f>IF(ISERROR(MATCH(SamplingData[[#This Row],[Batch by Type (p)]],SelectedPrecincts[Batch Name], 0)), "", INDEX(SelectedPrecincts[Draw], MATCH(SamplingData[[#This Row],[Batch by Type (p)]],SelectedPrecincts[Batch Name], 0)))</f>
        <v/>
      </c>
      <c r="AJ1055" s="100">
        <f>IF(COUNTIF(SelectedPrecincts[Batch Name],SamplingData[[#This Row],[Batch by Type (p)]]) &lt;&gt; 0, COUNTIF(SelectedPrecincts[Batch Name],SamplingData[[#This Row],[Batch by Type (p)]]), 0)</f>
        <v>0</v>
      </c>
    </row>
    <row r="1056" spans="1:36" ht="15" customHeight="1" x14ac:dyDescent="0.35">
      <c r="A1056" s="97" t="s">
        <v>1269</v>
      </c>
      <c r="B1056" s="97">
        <v>71</v>
      </c>
      <c r="C1056" s="97">
        <v>308</v>
      </c>
      <c r="D1056" s="92"/>
      <c r="E1056" s="92"/>
      <c r="F1056" s="92"/>
      <c r="G1056" s="96"/>
      <c r="H1056" s="96"/>
      <c r="I1056" s="92"/>
      <c r="J1056" s="92"/>
      <c r="K1056" s="92"/>
      <c r="L1056" s="92"/>
      <c r="M1056" s="92"/>
      <c r="N1056" s="97">
        <v>0</v>
      </c>
      <c r="O1056" s="97">
        <v>22</v>
      </c>
      <c r="P1056" s="98">
        <f>SUM(SamplingData[[#This Row],[Winning Candidate]:[Under Votes]])</f>
        <v>401</v>
      </c>
      <c r="Q1056" s="99">
        <f>IF(AND(SamplingData[[#This Row],[Total]]&lt;&gt; 0, NOT(ISBLANK(SamplingData[[#This Row],[Losing Candidate]]))),(SamplingData[[#This Row],[Total]]+SamplingData[[#This Row],[Winning Candidate]]-SamplingData[[#This Row],[Losing Candidate]])/(SamplingData[[#Totals],[Winning Candidate]]-SamplingData[[#Totals],[Losing Candidate]]), 0)</f>
        <v>6.9597691393651333E-3</v>
      </c>
      <c r="R1056" s="99">
        <f>IF(AND(SamplingData[[#This Row],[Total]]&lt;&gt; 0, NOT(ISBLANK(SamplingData[[#This Row],[Candidate 3]]))),(SamplingData[[#This Row],[Total]]+SamplingData[[#This Row],[Winning Candidate]]-SamplingData[[#This Row],[Candidate 3]])/(SamplingData[[#Totals],[Winning Candidate]]-SamplingData[[#Totals],[Candidate 3]]), 0)</f>
        <v>0</v>
      </c>
      <c r="S1056" s="99">
        <f>IF(AND(SamplingData[[#This Row],[Total]]&lt;&gt; 0, NOT(ISBLANK(SamplingData[[#This Row],[Candidate 4]]))),(SamplingData[[#This Row],[Total]]+SamplingData[[#This Row],[Winning Candidate]]-SamplingData[[#This Row],[Candidate 4]])/(SamplingData[[#Totals],[Winning Candidate]]-SamplingData[[#Totals],[Candidate 4]]), 0)</f>
        <v>0</v>
      </c>
      <c r="T1056" s="99">
        <f>IF(AND(SamplingData[[#This Row],[Total]]&lt;&gt; 0, NOT(ISBLANK(SamplingData[[#This Row],[Candidate 5]]))),(SamplingData[[#This Row],[Total]]+SamplingData[[#This Row],[Winning Candidate]]-SamplingData[[#This Row],[Candidate 5]])/(SamplingData[[#Totals],[Winning Candidate]]-SamplingData[[#Totals],[Candidate 5]]), 0)</f>
        <v>0</v>
      </c>
      <c r="U1056" s="99">
        <f>IF(AND(SamplingData[[#This Row],[Total]]&lt;&gt; 0, NOT(ISBLANK(SamplingData[[#This Row],[Candidate 6]]))),(SamplingData[[#This Row],[Total]]+SamplingData[[#This Row],[Losing Candidate]]-SamplingData[[#This Row],[Candidate 6]])/(SamplingData[[#Totals],[Winning Candidate]]-SamplingData[[#Totals],[Candidate 6]]), 0)</f>
        <v>0</v>
      </c>
      <c r="V1056" s="99">
        <f>IF(AND(SamplingData[[#This Row],[Total]]&lt;&gt; 0, NOT(ISBLANK(SamplingData[[#This Row],[Candidate 7]]))),(SamplingData[[#This Row],[Total]]+SamplingData[[#This Row],[Winning Candidate]]-SamplingData[[#This Row],[Candidate 7]])/(SamplingData[[#Totals],[Winning Candidate]]-SamplingData[[#Totals],[Candidate 7]]), 0)</f>
        <v>0</v>
      </c>
      <c r="W1056" s="99">
        <f>IF(AND(SamplingData[[#This Row],[Total]]&lt;&gt; 0, NOT(ISBLANK(SamplingData[[#This Row],[Candidate 8]]))),(SamplingData[[#This Row],[Total]]+SamplingData[[#This Row],[Winning Candidate]]-SamplingData[[#This Row],[Candidate 8]])/(SamplingData[[#Totals],[Winning Candidate]]-SamplingData[[#Totals],[Candidate 8]]), 0)</f>
        <v>0</v>
      </c>
      <c r="X10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6" s="99">
        <f>MAX(SamplingData[[#This Row],[Error Bound (up) - Max. possible relative overstatement - Losing Candidate]:[Error Bound (up) - Max. possible relative overstatement - Candidate 12]])</f>
        <v>6.9597691393651333E-3</v>
      </c>
      <c r="AC1056" s="99">
        <f>IF(SamplingData[[#This Row],[Max Error Bound (up)]] = 0,0,SamplingData[[#This Row],[Max Error Bound (up)]]/SamplingData[[#Totals],[Max Error Bound (up)]])</f>
        <v>3.7263242083833252E-4</v>
      </c>
      <c r="AD1056" s="103">
        <f>SUM($AC$5:AC1056)</f>
        <v>0.93212636783364478</v>
      </c>
      <c r="AE1056" s="99" t="str" cm="1">
        <f t="array" ref="AE1056">IF(SamplingData[[#This Row],[up/U Selection Probability]] = 0, "Zero", TEXT(SamplingData[[#This Row],[Lower Range]], REPT("0",LEN('General Info'!$B$42))) &amp; " - " &amp; TEXT(SamplingData[[#This Row],[Upper Range]], REPT("0",LEN('General Info'!$B$42))))</f>
        <v>931754 - 932125</v>
      </c>
      <c r="AF1056" s="99">
        <f>SamplingData[[#This Row],[Upper Range]]-SamplingData[[#This Row],[Span]]</f>
        <v>931753.73541280639</v>
      </c>
      <c r="AG1056" s="99">
        <f>IF(ISNUMBER('General Info'!$B$42), ((SamplingData[[#This Row],[up/U Selection Probability]]) * 'General Info'!$B$44) - 1, 0)</f>
        <v>371.63242083833251</v>
      </c>
      <c r="AH1056" s="99">
        <f>IF(ISNUMBER('General Info'!$B$42), (SamplingData[[#This Row],[Running (cumulative) sum]] * ('General Info'!$B$42 -'General Info'!$B$43 + 1)) + 'General Info'!$B$43 - 1, 0)</f>
        <v>932125.36783364473</v>
      </c>
      <c r="AI1056" s="99" t="str">
        <f>IF(ISERROR(MATCH(SamplingData[[#This Row],[Batch by Type (p)]],SelectedPrecincts[Batch Name], 0)), "", INDEX(SelectedPrecincts[Draw], MATCH(SamplingData[[#This Row],[Batch by Type (p)]],SelectedPrecincts[Batch Name], 0)))</f>
        <v/>
      </c>
      <c r="AJ1056" s="100">
        <f>IF(COUNTIF(SelectedPrecincts[Batch Name],SamplingData[[#This Row],[Batch by Type (p)]]) &lt;&gt; 0, COUNTIF(SelectedPrecincts[Batch Name],SamplingData[[#This Row],[Batch by Type (p)]]), 0)</f>
        <v>0</v>
      </c>
    </row>
    <row r="1057" spans="1:36" ht="15" customHeight="1" x14ac:dyDescent="0.35">
      <c r="A1057" s="97" t="s">
        <v>1270</v>
      </c>
      <c r="B1057" s="97">
        <v>102</v>
      </c>
      <c r="C1057" s="97">
        <v>571</v>
      </c>
      <c r="D1057" s="92"/>
      <c r="E1057" s="92"/>
      <c r="F1057" s="92"/>
      <c r="G1057" s="96"/>
      <c r="H1057" s="96"/>
      <c r="I1057" s="92"/>
      <c r="J1057" s="92"/>
      <c r="K1057" s="92"/>
      <c r="L1057" s="92"/>
      <c r="M1057" s="92"/>
      <c r="N1057" s="97">
        <v>1</v>
      </c>
      <c r="O1057" s="97">
        <v>42</v>
      </c>
      <c r="P1057" s="98">
        <f>SUM(SamplingData[[#This Row],[Winning Candidate]:[Under Votes]])</f>
        <v>716</v>
      </c>
      <c r="Q1057" s="99">
        <f>IF(AND(SamplingData[[#This Row],[Total]]&lt;&gt; 0, NOT(ISBLANK(SamplingData[[#This Row],[Losing Candidate]]))),(SamplingData[[#This Row],[Total]]+SamplingData[[#This Row],[Winning Candidate]]-SamplingData[[#This Row],[Losing Candidate]])/(SamplingData[[#Totals],[Winning Candidate]]-SamplingData[[#Totals],[Losing Candidate]]), 0)</f>
        <v>1.0482091325751145E-2</v>
      </c>
      <c r="R1057" s="99">
        <f>IF(AND(SamplingData[[#This Row],[Total]]&lt;&gt; 0, NOT(ISBLANK(SamplingData[[#This Row],[Candidate 3]]))),(SamplingData[[#This Row],[Total]]+SamplingData[[#This Row],[Winning Candidate]]-SamplingData[[#This Row],[Candidate 3]])/(SamplingData[[#Totals],[Winning Candidate]]-SamplingData[[#Totals],[Candidate 3]]), 0)</f>
        <v>0</v>
      </c>
      <c r="S1057" s="99">
        <f>IF(AND(SamplingData[[#This Row],[Total]]&lt;&gt; 0, NOT(ISBLANK(SamplingData[[#This Row],[Candidate 4]]))),(SamplingData[[#This Row],[Total]]+SamplingData[[#This Row],[Winning Candidate]]-SamplingData[[#This Row],[Candidate 4]])/(SamplingData[[#Totals],[Winning Candidate]]-SamplingData[[#Totals],[Candidate 4]]), 0)</f>
        <v>0</v>
      </c>
      <c r="T1057" s="99">
        <f>IF(AND(SamplingData[[#This Row],[Total]]&lt;&gt; 0, NOT(ISBLANK(SamplingData[[#This Row],[Candidate 5]]))),(SamplingData[[#This Row],[Total]]+SamplingData[[#This Row],[Winning Candidate]]-SamplingData[[#This Row],[Candidate 5]])/(SamplingData[[#Totals],[Winning Candidate]]-SamplingData[[#Totals],[Candidate 5]]), 0)</f>
        <v>0</v>
      </c>
      <c r="U1057" s="99">
        <f>IF(AND(SamplingData[[#This Row],[Total]]&lt;&gt; 0, NOT(ISBLANK(SamplingData[[#This Row],[Candidate 6]]))),(SamplingData[[#This Row],[Total]]+SamplingData[[#This Row],[Losing Candidate]]-SamplingData[[#This Row],[Candidate 6]])/(SamplingData[[#Totals],[Winning Candidate]]-SamplingData[[#Totals],[Candidate 6]]), 0)</f>
        <v>0</v>
      </c>
      <c r="V1057" s="99">
        <f>IF(AND(SamplingData[[#This Row],[Total]]&lt;&gt; 0, NOT(ISBLANK(SamplingData[[#This Row],[Candidate 7]]))),(SamplingData[[#This Row],[Total]]+SamplingData[[#This Row],[Winning Candidate]]-SamplingData[[#This Row],[Candidate 7]])/(SamplingData[[#Totals],[Winning Candidate]]-SamplingData[[#Totals],[Candidate 7]]), 0)</f>
        <v>0</v>
      </c>
      <c r="W1057" s="99">
        <f>IF(AND(SamplingData[[#This Row],[Total]]&lt;&gt; 0, NOT(ISBLANK(SamplingData[[#This Row],[Candidate 8]]))),(SamplingData[[#This Row],[Total]]+SamplingData[[#This Row],[Winning Candidate]]-SamplingData[[#This Row],[Candidate 8]])/(SamplingData[[#Totals],[Winning Candidate]]-SamplingData[[#Totals],[Candidate 8]]), 0)</f>
        <v>0</v>
      </c>
      <c r="X10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7" s="99">
        <f>MAX(SamplingData[[#This Row],[Error Bound (up) - Max. possible relative overstatement - Losing Candidate]:[Error Bound (up) - Max. possible relative overstatement - Candidate 12]])</f>
        <v>1.0482091325751145E-2</v>
      </c>
      <c r="AC1057" s="99">
        <f>IF(SamplingData[[#This Row],[Max Error Bound (up)]] = 0,0,SamplingData[[#This Row],[Max Error Bound (up)]]/SamplingData[[#Totals],[Max Error Bound (up)]])</f>
        <v>5.6122078016504961E-4</v>
      </c>
      <c r="AD1057" s="103">
        <f>SUM($AC$5:AC1057)</f>
        <v>0.93268758861380985</v>
      </c>
      <c r="AE1057" s="99" t="str" cm="1">
        <f t="array" ref="AE1057">IF(SamplingData[[#This Row],[up/U Selection Probability]] = 0, "Zero", TEXT(SamplingData[[#This Row],[Lower Range]], REPT("0",LEN('General Info'!$B$42))) &amp; " - " &amp; TEXT(SamplingData[[#This Row],[Upper Range]], REPT("0",LEN('General Info'!$B$42))))</f>
        <v>932126 - 932687</v>
      </c>
      <c r="AF1057" s="99">
        <f>SamplingData[[#This Row],[Upper Range]]-SamplingData[[#This Row],[Span]]</f>
        <v>932126.36783364485</v>
      </c>
      <c r="AG1057" s="99">
        <f>IF(ISNUMBER('General Info'!$B$42), ((SamplingData[[#This Row],[up/U Selection Probability]]) * 'General Info'!$B$44) - 1, 0)</f>
        <v>560.22078016504963</v>
      </c>
      <c r="AH1057" s="99">
        <f>IF(ISNUMBER('General Info'!$B$42), (SamplingData[[#This Row],[Running (cumulative) sum]] * ('General Info'!$B$42 -'General Info'!$B$43 + 1)) + 'General Info'!$B$43 - 1, 0)</f>
        <v>932686.5886138099</v>
      </c>
      <c r="AI1057" s="99" t="str">
        <f>IF(ISERROR(MATCH(SamplingData[[#This Row],[Batch by Type (p)]],SelectedPrecincts[Batch Name], 0)), "", INDEX(SelectedPrecincts[Draw], MATCH(SamplingData[[#This Row],[Batch by Type (p)]],SelectedPrecincts[Batch Name], 0)))</f>
        <v/>
      </c>
      <c r="AJ1057" s="100">
        <f>IF(COUNTIF(SelectedPrecincts[Batch Name],SamplingData[[#This Row],[Batch by Type (p)]]) &lt;&gt; 0, COUNTIF(SelectedPrecincts[Batch Name],SamplingData[[#This Row],[Batch by Type (p)]]), 0)</f>
        <v>0</v>
      </c>
    </row>
    <row r="1058" spans="1:36" ht="15" customHeight="1" x14ac:dyDescent="0.35">
      <c r="A1058" s="97" t="s">
        <v>1271</v>
      </c>
      <c r="B1058" s="97">
        <v>36</v>
      </c>
      <c r="C1058" s="97">
        <v>224</v>
      </c>
      <c r="D1058" s="92"/>
      <c r="E1058" s="92"/>
      <c r="F1058" s="92"/>
      <c r="G1058" s="96"/>
      <c r="H1058" s="96"/>
      <c r="I1058" s="92"/>
      <c r="J1058" s="92"/>
      <c r="K1058" s="92"/>
      <c r="L1058" s="92"/>
      <c r="M1058" s="92"/>
      <c r="N1058" s="97">
        <v>0</v>
      </c>
      <c r="O1058" s="97">
        <v>19</v>
      </c>
      <c r="P1058" s="98">
        <f>SUM(SamplingData[[#This Row],[Winning Candidate]:[Under Votes]])</f>
        <v>279</v>
      </c>
      <c r="Q1058" s="99">
        <f>IF(AND(SamplingData[[#This Row],[Total]]&lt;&gt; 0, NOT(ISBLANK(SamplingData[[#This Row],[Losing Candidate]]))),(SamplingData[[#This Row],[Total]]+SamplingData[[#This Row],[Winning Candidate]]-SamplingData[[#This Row],[Losing Candidate]])/(SamplingData[[#Totals],[Winning Candidate]]-SamplingData[[#Totals],[Losing Candidate]]), 0)</f>
        <v>3.8618231200135801E-3</v>
      </c>
      <c r="R1058" s="99">
        <f>IF(AND(SamplingData[[#This Row],[Total]]&lt;&gt; 0, NOT(ISBLANK(SamplingData[[#This Row],[Candidate 3]]))),(SamplingData[[#This Row],[Total]]+SamplingData[[#This Row],[Winning Candidate]]-SamplingData[[#This Row],[Candidate 3]])/(SamplingData[[#Totals],[Winning Candidate]]-SamplingData[[#Totals],[Candidate 3]]), 0)</f>
        <v>0</v>
      </c>
      <c r="S1058" s="99">
        <f>IF(AND(SamplingData[[#This Row],[Total]]&lt;&gt; 0, NOT(ISBLANK(SamplingData[[#This Row],[Candidate 4]]))),(SamplingData[[#This Row],[Total]]+SamplingData[[#This Row],[Winning Candidate]]-SamplingData[[#This Row],[Candidate 4]])/(SamplingData[[#Totals],[Winning Candidate]]-SamplingData[[#Totals],[Candidate 4]]), 0)</f>
        <v>0</v>
      </c>
      <c r="T1058" s="99">
        <f>IF(AND(SamplingData[[#This Row],[Total]]&lt;&gt; 0, NOT(ISBLANK(SamplingData[[#This Row],[Candidate 5]]))),(SamplingData[[#This Row],[Total]]+SamplingData[[#This Row],[Winning Candidate]]-SamplingData[[#This Row],[Candidate 5]])/(SamplingData[[#Totals],[Winning Candidate]]-SamplingData[[#Totals],[Candidate 5]]), 0)</f>
        <v>0</v>
      </c>
      <c r="U1058" s="99">
        <f>IF(AND(SamplingData[[#This Row],[Total]]&lt;&gt; 0, NOT(ISBLANK(SamplingData[[#This Row],[Candidate 6]]))),(SamplingData[[#This Row],[Total]]+SamplingData[[#This Row],[Losing Candidate]]-SamplingData[[#This Row],[Candidate 6]])/(SamplingData[[#Totals],[Winning Candidate]]-SamplingData[[#Totals],[Candidate 6]]), 0)</f>
        <v>0</v>
      </c>
      <c r="V1058" s="99">
        <f>IF(AND(SamplingData[[#This Row],[Total]]&lt;&gt; 0, NOT(ISBLANK(SamplingData[[#This Row],[Candidate 7]]))),(SamplingData[[#This Row],[Total]]+SamplingData[[#This Row],[Winning Candidate]]-SamplingData[[#This Row],[Candidate 7]])/(SamplingData[[#Totals],[Winning Candidate]]-SamplingData[[#Totals],[Candidate 7]]), 0)</f>
        <v>0</v>
      </c>
      <c r="W1058" s="99">
        <f>IF(AND(SamplingData[[#This Row],[Total]]&lt;&gt; 0, NOT(ISBLANK(SamplingData[[#This Row],[Candidate 8]]))),(SamplingData[[#This Row],[Total]]+SamplingData[[#This Row],[Winning Candidate]]-SamplingData[[#This Row],[Candidate 8]])/(SamplingData[[#Totals],[Winning Candidate]]-SamplingData[[#Totals],[Candidate 8]]), 0)</f>
        <v>0</v>
      </c>
      <c r="X10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8" s="99">
        <f>MAX(SamplingData[[#This Row],[Error Bound (up) - Max. possible relative overstatement - Losing Candidate]:[Error Bound (up) - Max. possible relative overstatement - Candidate 12]])</f>
        <v>3.8618231200135801E-3</v>
      </c>
      <c r="AC1058" s="99">
        <f>IF(SamplingData[[#This Row],[Max Error Bound (up)]] = 0,0,SamplingData[[#This Row],[Max Error Bound (up)]]/SamplingData[[#Totals],[Max Error Bound (up)]])</f>
        <v>2.0676555058712356E-4</v>
      </c>
      <c r="AD1058" s="103">
        <f>SUM($AC$5:AC1058)</f>
        <v>0.93289435416439692</v>
      </c>
      <c r="AE1058" s="99" t="str" cm="1">
        <f t="array" ref="AE1058">IF(SamplingData[[#This Row],[up/U Selection Probability]] = 0, "Zero", TEXT(SamplingData[[#This Row],[Lower Range]], REPT("0",LEN('General Info'!$B$42))) &amp; " - " &amp; TEXT(SamplingData[[#This Row],[Upper Range]], REPT("0",LEN('General Info'!$B$42))))</f>
        <v>932688 - 932893</v>
      </c>
      <c r="AF1058" s="99">
        <f>SamplingData[[#This Row],[Upper Range]]-SamplingData[[#This Row],[Span]]</f>
        <v>932687.58861380978</v>
      </c>
      <c r="AG1058" s="99">
        <f>IF(ISNUMBER('General Info'!$B$42), ((SamplingData[[#This Row],[up/U Selection Probability]]) * 'General Info'!$B$44) - 1, 0)</f>
        <v>205.76555058712356</v>
      </c>
      <c r="AH1058" s="99">
        <f>IF(ISNUMBER('General Info'!$B$42), (SamplingData[[#This Row],[Running (cumulative) sum]] * ('General Info'!$B$42 -'General Info'!$B$43 + 1)) + 'General Info'!$B$43 - 1, 0)</f>
        <v>932893.35416439688</v>
      </c>
      <c r="AI1058" s="99" t="str">
        <f>IF(ISERROR(MATCH(SamplingData[[#This Row],[Batch by Type (p)]],SelectedPrecincts[Batch Name], 0)), "", INDEX(SelectedPrecincts[Draw], MATCH(SamplingData[[#This Row],[Batch by Type (p)]],SelectedPrecincts[Batch Name], 0)))</f>
        <v/>
      </c>
      <c r="AJ1058" s="100">
        <f>IF(COUNTIF(SelectedPrecincts[Batch Name],SamplingData[[#This Row],[Batch by Type (p)]]) &lt;&gt; 0, COUNTIF(SelectedPrecincts[Batch Name],SamplingData[[#This Row],[Batch by Type (p)]]), 0)</f>
        <v>0</v>
      </c>
    </row>
    <row r="1059" spans="1:36" ht="15" customHeight="1" x14ac:dyDescent="0.35">
      <c r="A1059" s="97" t="s">
        <v>1272</v>
      </c>
      <c r="B1059" s="97">
        <v>154</v>
      </c>
      <c r="C1059" s="97">
        <v>259</v>
      </c>
      <c r="D1059" s="92"/>
      <c r="E1059" s="92"/>
      <c r="F1059" s="92"/>
      <c r="G1059" s="96"/>
      <c r="H1059" s="96"/>
      <c r="I1059" s="92"/>
      <c r="J1059" s="92"/>
      <c r="K1059" s="92"/>
      <c r="L1059" s="92"/>
      <c r="M1059" s="92"/>
      <c r="N1059" s="97">
        <v>0</v>
      </c>
      <c r="O1059" s="97">
        <v>31</v>
      </c>
      <c r="P1059" s="98">
        <f>SUM(SamplingData[[#This Row],[Winning Candidate]:[Under Votes]])</f>
        <v>444</v>
      </c>
      <c r="Q1059" s="99">
        <f>IF(AND(SamplingData[[#This Row],[Total]]&lt;&gt; 0, NOT(ISBLANK(SamplingData[[#This Row],[Losing Candidate]]))),(SamplingData[[#This Row],[Total]]+SamplingData[[#This Row],[Winning Candidate]]-SamplingData[[#This Row],[Losing Candidate]])/(SamplingData[[#Totals],[Winning Candidate]]-SamplingData[[#Totals],[Losing Candidate]]), 0)</f>
        <v>1.4386352062468171E-2</v>
      </c>
      <c r="R1059" s="99">
        <f>IF(AND(SamplingData[[#This Row],[Total]]&lt;&gt; 0, NOT(ISBLANK(SamplingData[[#This Row],[Candidate 3]]))),(SamplingData[[#This Row],[Total]]+SamplingData[[#This Row],[Winning Candidate]]-SamplingData[[#This Row],[Candidate 3]])/(SamplingData[[#Totals],[Winning Candidate]]-SamplingData[[#Totals],[Candidate 3]]), 0)</f>
        <v>0</v>
      </c>
      <c r="S1059" s="99">
        <f>IF(AND(SamplingData[[#This Row],[Total]]&lt;&gt; 0, NOT(ISBLANK(SamplingData[[#This Row],[Candidate 4]]))),(SamplingData[[#This Row],[Total]]+SamplingData[[#This Row],[Winning Candidate]]-SamplingData[[#This Row],[Candidate 4]])/(SamplingData[[#Totals],[Winning Candidate]]-SamplingData[[#Totals],[Candidate 4]]), 0)</f>
        <v>0</v>
      </c>
      <c r="T1059" s="99">
        <f>IF(AND(SamplingData[[#This Row],[Total]]&lt;&gt; 0, NOT(ISBLANK(SamplingData[[#This Row],[Candidate 5]]))),(SamplingData[[#This Row],[Total]]+SamplingData[[#This Row],[Winning Candidate]]-SamplingData[[#This Row],[Candidate 5]])/(SamplingData[[#Totals],[Winning Candidate]]-SamplingData[[#Totals],[Candidate 5]]), 0)</f>
        <v>0</v>
      </c>
      <c r="U1059" s="99">
        <f>IF(AND(SamplingData[[#This Row],[Total]]&lt;&gt; 0, NOT(ISBLANK(SamplingData[[#This Row],[Candidate 6]]))),(SamplingData[[#This Row],[Total]]+SamplingData[[#This Row],[Losing Candidate]]-SamplingData[[#This Row],[Candidate 6]])/(SamplingData[[#Totals],[Winning Candidate]]-SamplingData[[#Totals],[Candidate 6]]), 0)</f>
        <v>0</v>
      </c>
      <c r="V1059" s="99">
        <f>IF(AND(SamplingData[[#This Row],[Total]]&lt;&gt; 0, NOT(ISBLANK(SamplingData[[#This Row],[Candidate 7]]))),(SamplingData[[#This Row],[Total]]+SamplingData[[#This Row],[Winning Candidate]]-SamplingData[[#This Row],[Candidate 7]])/(SamplingData[[#Totals],[Winning Candidate]]-SamplingData[[#Totals],[Candidate 7]]), 0)</f>
        <v>0</v>
      </c>
      <c r="W1059" s="99">
        <f>IF(AND(SamplingData[[#This Row],[Total]]&lt;&gt; 0, NOT(ISBLANK(SamplingData[[#This Row],[Candidate 8]]))),(SamplingData[[#This Row],[Total]]+SamplingData[[#This Row],[Winning Candidate]]-SamplingData[[#This Row],[Candidate 8]])/(SamplingData[[#Totals],[Winning Candidate]]-SamplingData[[#Totals],[Candidate 8]]), 0)</f>
        <v>0</v>
      </c>
      <c r="X10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9" s="99">
        <f>MAX(SamplingData[[#This Row],[Error Bound (up) - Max. possible relative overstatement - Losing Candidate]:[Error Bound (up) - Max. possible relative overstatement - Candidate 12]])</f>
        <v>1.4386352062468171E-2</v>
      </c>
      <c r="AC1059" s="99">
        <f>IF(SamplingData[[#This Row],[Max Error Bound (up)]] = 0,0,SamplingData[[#This Row],[Max Error Bound (up)]]/SamplingData[[#Totals],[Max Error Bound (up)]])</f>
        <v>7.7025847965972395E-4</v>
      </c>
      <c r="AD1059" s="103">
        <f>SUM($AC$5:AC1059)</f>
        <v>0.93366461264405665</v>
      </c>
      <c r="AE1059" s="99" t="str" cm="1">
        <f t="array" ref="AE1059">IF(SamplingData[[#This Row],[up/U Selection Probability]] = 0, "Zero", TEXT(SamplingData[[#This Row],[Lower Range]], REPT("0",LEN('General Info'!$B$42))) &amp; " - " &amp; TEXT(SamplingData[[#This Row],[Upper Range]], REPT("0",LEN('General Info'!$B$42))))</f>
        <v>932894 - 933664</v>
      </c>
      <c r="AF1059" s="99">
        <f>SamplingData[[#This Row],[Upper Range]]-SamplingData[[#This Row],[Span]]</f>
        <v>932894.35416439699</v>
      </c>
      <c r="AG1059" s="99">
        <f>IF(ISNUMBER('General Info'!$B$42), ((SamplingData[[#This Row],[up/U Selection Probability]]) * 'General Info'!$B$44) - 1, 0)</f>
        <v>769.258479659724</v>
      </c>
      <c r="AH1059" s="99">
        <f>IF(ISNUMBER('General Info'!$B$42), (SamplingData[[#This Row],[Running (cumulative) sum]] * ('General Info'!$B$42 -'General Info'!$B$43 + 1)) + 'General Info'!$B$43 - 1, 0)</f>
        <v>933663.61264405667</v>
      </c>
      <c r="AI1059" s="99" t="str">
        <f>IF(ISERROR(MATCH(SamplingData[[#This Row],[Batch by Type (p)]],SelectedPrecincts[Batch Name], 0)), "", INDEX(SelectedPrecincts[Draw], MATCH(SamplingData[[#This Row],[Batch by Type (p)]],SelectedPrecincts[Batch Name], 0)))</f>
        <v/>
      </c>
      <c r="AJ1059" s="100">
        <f>IF(COUNTIF(SelectedPrecincts[Batch Name],SamplingData[[#This Row],[Batch by Type (p)]]) &lt;&gt; 0, COUNTIF(SelectedPrecincts[Batch Name],SamplingData[[#This Row],[Batch by Type (p)]]), 0)</f>
        <v>0</v>
      </c>
    </row>
    <row r="1060" spans="1:36" ht="15" customHeight="1" x14ac:dyDescent="0.35">
      <c r="A1060" s="97" t="s">
        <v>1273</v>
      </c>
      <c r="B1060" s="97">
        <v>161</v>
      </c>
      <c r="C1060" s="97">
        <v>353</v>
      </c>
      <c r="D1060" s="92"/>
      <c r="E1060" s="92"/>
      <c r="F1060" s="92"/>
      <c r="G1060" s="96"/>
      <c r="H1060" s="96"/>
      <c r="I1060" s="92"/>
      <c r="J1060" s="92"/>
      <c r="K1060" s="92"/>
      <c r="L1060" s="92"/>
      <c r="M1060" s="92"/>
      <c r="N1060" s="97">
        <v>0</v>
      </c>
      <c r="O1060" s="97">
        <v>36</v>
      </c>
      <c r="P1060" s="98">
        <f>SUM(SamplingData[[#This Row],[Winning Candidate]:[Under Votes]])</f>
        <v>550</v>
      </c>
      <c r="Q1060" s="99">
        <f>IF(AND(SamplingData[[#This Row],[Total]]&lt;&gt; 0, NOT(ISBLANK(SamplingData[[#This Row],[Losing Candidate]]))),(SamplingData[[#This Row],[Total]]+SamplingData[[#This Row],[Winning Candidate]]-SamplingData[[#This Row],[Losing Candidate]])/(SamplingData[[#Totals],[Winning Candidate]]-SamplingData[[#Totals],[Losing Candidate]]), 0)</f>
        <v>1.5192666779833644E-2</v>
      </c>
      <c r="R1060" s="99">
        <f>IF(AND(SamplingData[[#This Row],[Total]]&lt;&gt; 0, NOT(ISBLANK(SamplingData[[#This Row],[Candidate 3]]))),(SamplingData[[#This Row],[Total]]+SamplingData[[#This Row],[Winning Candidate]]-SamplingData[[#This Row],[Candidate 3]])/(SamplingData[[#Totals],[Winning Candidate]]-SamplingData[[#Totals],[Candidate 3]]), 0)</f>
        <v>0</v>
      </c>
      <c r="S1060" s="99">
        <f>IF(AND(SamplingData[[#This Row],[Total]]&lt;&gt; 0, NOT(ISBLANK(SamplingData[[#This Row],[Candidate 4]]))),(SamplingData[[#This Row],[Total]]+SamplingData[[#This Row],[Winning Candidate]]-SamplingData[[#This Row],[Candidate 4]])/(SamplingData[[#Totals],[Winning Candidate]]-SamplingData[[#Totals],[Candidate 4]]), 0)</f>
        <v>0</v>
      </c>
      <c r="T1060" s="99">
        <f>IF(AND(SamplingData[[#This Row],[Total]]&lt;&gt; 0, NOT(ISBLANK(SamplingData[[#This Row],[Candidate 5]]))),(SamplingData[[#This Row],[Total]]+SamplingData[[#This Row],[Winning Candidate]]-SamplingData[[#This Row],[Candidate 5]])/(SamplingData[[#Totals],[Winning Candidate]]-SamplingData[[#Totals],[Candidate 5]]), 0)</f>
        <v>0</v>
      </c>
      <c r="U1060" s="99">
        <f>IF(AND(SamplingData[[#This Row],[Total]]&lt;&gt; 0, NOT(ISBLANK(SamplingData[[#This Row],[Candidate 6]]))),(SamplingData[[#This Row],[Total]]+SamplingData[[#This Row],[Losing Candidate]]-SamplingData[[#This Row],[Candidate 6]])/(SamplingData[[#Totals],[Winning Candidate]]-SamplingData[[#Totals],[Candidate 6]]), 0)</f>
        <v>0</v>
      </c>
      <c r="V1060" s="99">
        <f>IF(AND(SamplingData[[#This Row],[Total]]&lt;&gt; 0, NOT(ISBLANK(SamplingData[[#This Row],[Candidate 7]]))),(SamplingData[[#This Row],[Total]]+SamplingData[[#This Row],[Winning Candidate]]-SamplingData[[#This Row],[Candidate 7]])/(SamplingData[[#Totals],[Winning Candidate]]-SamplingData[[#Totals],[Candidate 7]]), 0)</f>
        <v>0</v>
      </c>
      <c r="W1060" s="99">
        <f>IF(AND(SamplingData[[#This Row],[Total]]&lt;&gt; 0, NOT(ISBLANK(SamplingData[[#This Row],[Candidate 8]]))),(SamplingData[[#This Row],[Total]]+SamplingData[[#This Row],[Winning Candidate]]-SamplingData[[#This Row],[Candidate 8]])/(SamplingData[[#Totals],[Winning Candidate]]-SamplingData[[#Totals],[Candidate 8]]), 0)</f>
        <v>0</v>
      </c>
      <c r="X10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0" s="99">
        <f>MAX(SamplingData[[#This Row],[Error Bound (up) - Max. possible relative overstatement - Losing Candidate]:[Error Bound (up) - Max. possible relative overstatement - Candidate 12]])</f>
        <v>1.5192666779833644E-2</v>
      </c>
      <c r="AC1060" s="99">
        <f>IF(SamplingData[[#This Row],[Max Error Bound (up)]] = 0,0,SamplingData[[#This Row],[Max Error Bound (up)]]/SamplingData[[#Totals],[Max Error Bound (up)]])</f>
        <v>8.1342930890318933E-4</v>
      </c>
      <c r="AD1060" s="103">
        <f>SUM($AC$5:AC1060)</f>
        <v>0.9344780419529598</v>
      </c>
      <c r="AE1060" s="99" t="str" cm="1">
        <f t="array" ref="AE1060">IF(SamplingData[[#This Row],[up/U Selection Probability]] = 0, "Zero", TEXT(SamplingData[[#This Row],[Lower Range]], REPT("0",LEN('General Info'!$B$42))) &amp; " - " &amp; TEXT(SamplingData[[#This Row],[Upper Range]], REPT("0",LEN('General Info'!$B$42))))</f>
        <v>933665 - 934477</v>
      </c>
      <c r="AF1060" s="99">
        <f>SamplingData[[#This Row],[Upper Range]]-SamplingData[[#This Row],[Span]]</f>
        <v>933664.61264405667</v>
      </c>
      <c r="AG1060" s="99">
        <f>IF(ISNUMBER('General Info'!$B$42), ((SamplingData[[#This Row],[up/U Selection Probability]]) * 'General Info'!$B$44) - 1, 0)</f>
        <v>812.42930890318928</v>
      </c>
      <c r="AH1060" s="99">
        <f>IF(ISNUMBER('General Info'!$B$42), (SamplingData[[#This Row],[Running (cumulative) sum]] * ('General Info'!$B$42 -'General Info'!$B$43 + 1)) + 'General Info'!$B$43 - 1, 0)</f>
        <v>934477.04195295984</v>
      </c>
      <c r="AI1060" s="99" t="str">
        <f>IF(ISERROR(MATCH(SamplingData[[#This Row],[Batch by Type (p)]],SelectedPrecincts[Batch Name], 0)), "", INDEX(SelectedPrecincts[Draw], MATCH(SamplingData[[#This Row],[Batch by Type (p)]],SelectedPrecincts[Batch Name], 0)))</f>
        <v/>
      </c>
      <c r="AJ1060" s="100">
        <f>IF(COUNTIF(SelectedPrecincts[Batch Name],SamplingData[[#This Row],[Batch by Type (p)]]) &lt;&gt; 0, COUNTIF(SelectedPrecincts[Batch Name],SamplingData[[#This Row],[Batch by Type (p)]]), 0)</f>
        <v>0</v>
      </c>
    </row>
    <row r="1061" spans="1:36" ht="15" customHeight="1" x14ac:dyDescent="0.35">
      <c r="A1061" s="97" t="s">
        <v>1274</v>
      </c>
      <c r="B1061" s="97">
        <v>132</v>
      </c>
      <c r="C1061" s="97">
        <v>196</v>
      </c>
      <c r="D1061" s="92"/>
      <c r="E1061" s="92"/>
      <c r="F1061" s="92"/>
      <c r="G1061" s="96"/>
      <c r="H1061" s="96"/>
      <c r="I1061" s="92"/>
      <c r="J1061" s="92"/>
      <c r="K1061" s="92"/>
      <c r="L1061" s="92"/>
      <c r="M1061" s="92"/>
      <c r="N1061" s="97">
        <v>0</v>
      </c>
      <c r="O1061" s="97">
        <v>35</v>
      </c>
      <c r="P1061" s="98">
        <f>SUM(SamplingData[[#This Row],[Winning Candidate]:[Under Votes]])</f>
        <v>363</v>
      </c>
      <c r="Q1061" s="99">
        <f>IF(AND(SamplingData[[#This Row],[Total]]&lt;&gt; 0, NOT(ISBLANK(SamplingData[[#This Row],[Losing Candidate]]))),(SamplingData[[#This Row],[Total]]+SamplingData[[#This Row],[Winning Candidate]]-SamplingData[[#This Row],[Losing Candidate]])/(SamplingData[[#Totals],[Winning Candidate]]-SamplingData[[#Totals],[Losing Candidate]]), 0)</f>
        <v>1.2688847394330334E-2</v>
      </c>
      <c r="R1061" s="99">
        <f>IF(AND(SamplingData[[#This Row],[Total]]&lt;&gt; 0, NOT(ISBLANK(SamplingData[[#This Row],[Candidate 3]]))),(SamplingData[[#This Row],[Total]]+SamplingData[[#This Row],[Winning Candidate]]-SamplingData[[#This Row],[Candidate 3]])/(SamplingData[[#Totals],[Winning Candidate]]-SamplingData[[#Totals],[Candidate 3]]), 0)</f>
        <v>0</v>
      </c>
      <c r="S1061" s="99">
        <f>IF(AND(SamplingData[[#This Row],[Total]]&lt;&gt; 0, NOT(ISBLANK(SamplingData[[#This Row],[Candidate 4]]))),(SamplingData[[#This Row],[Total]]+SamplingData[[#This Row],[Winning Candidate]]-SamplingData[[#This Row],[Candidate 4]])/(SamplingData[[#Totals],[Winning Candidate]]-SamplingData[[#Totals],[Candidate 4]]), 0)</f>
        <v>0</v>
      </c>
      <c r="T1061" s="99">
        <f>IF(AND(SamplingData[[#This Row],[Total]]&lt;&gt; 0, NOT(ISBLANK(SamplingData[[#This Row],[Candidate 5]]))),(SamplingData[[#This Row],[Total]]+SamplingData[[#This Row],[Winning Candidate]]-SamplingData[[#This Row],[Candidate 5]])/(SamplingData[[#Totals],[Winning Candidate]]-SamplingData[[#Totals],[Candidate 5]]), 0)</f>
        <v>0</v>
      </c>
      <c r="U1061" s="99">
        <f>IF(AND(SamplingData[[#This Row],[Total]]&lt;&gt; 0, NOT(ISBLANK(SamplingData[[#This Row],[Candidate 6]]))),(SamplingData[[#This Row],[Total]]+SamplingData[[#This Row],[Losing Candidate]]-SamplingData[[#This Row],[Candidate 6]])/(SamplingData[[#Totals],[Winning Candidate]]-SamplingData[[#Totals],[Candidate 6]]), 0)</f>
        <v>0</v>
      </c>
      <c r="V1061" s="99">
        <f>IF(AND(SamplingData[[#This Row],[Total]]&lt;&gt; 0, NOT(ISBLANK(SamplingData[[#This Row],[Candidate 7]]))),(SamplingData[[#This Row],[Total]]+SamplingData[[#This Row],[Winning Candidate]]-SamplingData[[#This Row],[Candidate 7]])/(SamplingData[[#Totals],[Winning Candidate]]-SamplingData[[#Totals],[Candidate 7]]), 0)</f>
        <v>0</v>
      </c>
      <c r="W1061" s="99">
        <f>IF(AND(SamplingData[[#This Row],[Total]]&lt;&gt; 0, NOT(ISBLANK(SamplingData[[#This Row],[Candidate 8]]))),(SamplingData[[#This Row],[Total]]+SamplingData[[#This Row],[Winning Candidate]]-SamplingData[[#This Row],[Candidate 8]])/(SamplingData[[#Totals],[Winning Candidate]]-SamplingData[[#Totals],[Candidate 8]]), 0)</f>
        <v>0</v>
      </c>
      <c r="X10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1" s="99">
        <f>MAX(SamplingData[[#This Row],[Error Bound (up) - Max. possible relative overstatement - Losing Candidate]:[Error Bound (up) - Max. possible relative overstatement - Candidate 12]])</f>
        <v>1.2688847394330334E-2</v>
      </c>
      <c r="AC1061" s="99">
        <f>IF(SamplingData[[#This Row],[Max Error Bound (up)]] = 0,0,SamplingData[[#This Row],[Max Error Bound (up)]]/SamplingData[[#Totals],[Max Error Bound (up)]])</f>
        <v>6.7937252335769163E-4</v>
      </c>
      <c r="AD1061" s="103">
        <f>SUM($AC$5:AC1061)</f>
        <v>0.93515741447631751</v>
      </c>
      <c r="AE1061" s="99" t="str" cm="1">
        <f t="array" ref="AE1061">IF(SamplingData[[#This Row],[up/U Selection Probability]] = 0, "Zero", TEXT(SamplingData[[#This Row],[Lower Range]], REPT("0",LEN('General Info'!$B$42))) &amp; " - " &amp; TEXT(SamplingData[[#This Row],[Upper Range]], REPT("0",LEN('General Info'!$B$42))))</f>
        <v>934478 - 935156</v>
      </c>
      <c r="AF1061" s="99">
        <f>SamplingData[[#This Row],[Upper Range]]-SamplingData[[#This Row],[Span]]</f>
        <v>934478.04195295973</v>
      </c>
      <c r="AG1061" s="99">
        <f>IF(ISNUMBER('General Info'!$B$42), ((SamplingData[[#This Row],[up/U Selection Probability]]) * 'General Info'!$B$44) - 1, 0)</f>
        <v>678.37252335769165</v>
      </c>
      <c r="AH1061" s="99">
        <f>IF(ISNUMBER('General Info'!$B$42), (SamplingData[[#This Row],[Running (cumulative) sum]] * ('General Info'!$B$42 -'General Info'!$B$43 + 1)) + 'General Info'!$B$43 - 1, 0)</f>
        <v>935156.41447631747</v>
      </c>
      <c r="AI1061" s="99" t="str">
        <f>IF(ISERROR(MATCH(SamplingData[[#This Row],[Batch by Type (p)]],SelectedPrecincts[Batch Name], 0)), "", INDEX(SelectedPrecincts[Draw], MATCH(SamplingData[[#This Row],[Batch by Type (p)]],SelectedPrecincts[Batch Name], 0)))</f>
        <v/>
      </c>
      <c r="AJ1061" s="100">
        <f>IF(COUNTIF(SelectedPrecincts[Batch Name],SamplingData[[#This Row],[Batch by Type (p)]]) &lt;&gt; 0, COUNTIF(SelectedPrecincts[Batch Name],SamplingData[[#This Row],[Batch by Type (p)]]), 0)</f>
        <v>0</v>
      </c>
    </row>
    <row r="1062" spans="1:36" ht="15" customHeight="1" x14ac:dyDescent="0.35">
      <c r="A1062" s="97" t="s">
        <v>1275</v>
      </c>
      <c r="B1062" s="97">
        <v>123</v>
      </c>
      <c r="C1062" s="97">
        <v>138</v>
      </c>
      <c r="D1062" s="92"/>
      <c r="E1062" s="92"/>
      <c r="F1062" s="92"/>
      <c r="G1062" s="96"/>
      <c r="H1062" s="96"/>
      <c r="I1062" s="92"/>
      <c r="J1062" s="92"/>
      <c r="K1062" s="92"/>
      <c r="L1062" s="92"/>
      <c r="M1062" s="92"/>
      <c r="N1062" s="97">
        <v>0</v>
      </c>
      <c r="O1062" s="97">
        <v>26</v>
      </c>
      <c r="P1062" s="98">
        <f>SUM(SamplingData[[#This Row],[Winning Candidate]:[Under Votes]])</f>
        <v>287</v>
      </c>
      <c r="Q1062" s="99">
        <f>IF(AND(SamplingData[[#This Row],[Total]]&lt;&gt; 0, NOT(ISBLANK(SamplingData[[#This Row],[Losing Candidate]]))),(SamplingData[[#This Row],[Total]]+SamplingData[[#This Row],[Winning Candidate]]-SamplingData[[#This Row],[Losing Candidate]])/(SamplingData[[#Totals],[Winning Candidate]]-SamplingData[[#Totals],[Losing Candidate]]), 0)</f>
        <v>1.1543031743337295E-2</v>
      </c>
      <c r="R1062" s="99">
        <f>IF(AND(SamplingData[[#This Row],[Total]]&lt;&gt; 0, NOT(ISBLANK(SamplingData[[#This Row],[Candidate 3]]))),(SamplingData[[#This Row],[Total]]+SamplingData[[#This Row],[Winning Candidate]]-SamplingData[[#This Row],[Candidate 3]])/(SamplingData[[#Totals],[Winning Candidate]]-SamplingData[[#Totals],[Candidate 3]]), 0)</f>
        <v>0</v>
      </c>
      <c r="S1062" s="99">
        <f>IF(AND(SamplingData[[#This Row],[Total]]&lt;&gt; 0, NOT(ISBLANK(SamplingData[[#This Row],[Candidate 4]]))),(SamplingData[[#This Row],[Total]]+SamplingData[[#This Row],[Winning Candidate]]-SamplingData[[#This Row],[Candidate 4]])/(SamplingData[[#Totals],[Winning Candidate]]-SamplingData[[#Totals],[Candidate 4]]), 0)</f>
        <v>0</v>
      </c>
      <c r="T1062" s="99">
        <f>IF(AND(SamplingData[[#This Row],[Total]]&lt;&gt; 0, NOT(ISBLANK(SamplingData[[#This Row],[Candidate 5]]))),(SamplingData[[#This Row],[Total]]+SamplingData[[#This Row],[Winning Candidate]]-SamplingData[[#This Row],[Candidate 5]])/(SamplingData[[#Totals],[Winning Candidate]]-SamplingData[[#Totals],[Candidate 5]]), 0)</f>
        <v>0</v>
      </c>
      <c r="U1062" s="99">
        <f>IF(AND(SamplingData[[#This Row],[Total]]&lt;&gt; 0, NOT(ISBLANK(SamplingData[[#This Row],[Candidate 6]]))),(SamplingData[[#This Row],[Total]]+SamplingData[[#This Row],[Losing Candidate]]-SamplingData[[#This Row],[Candidate 6]])/(SamplingData[[#Totals],[Winning Candidate]]-SamplingData[[#Totals],[Candidate 6]]), 0)</f>
        <v>0</v>
      </c>
      <c r="V1062" s="99">
        <f>IF(AND(SamplingData[[#This Row],[Total]]&lt;&gt; 0, NOT(ISBLANK(SamplingData[[#This Row],[Candidate 7]]))),(SamplingData[[#This Row],[Total]]+SamplingData[[#This Row],[Winning Candidate]]-SamplingData[[#This Row],[Candidate 7]])/(SamplingData[[#Totals],[Winning Candidate]]-SamplingData[[#Totals],[Candidate 7]]), 0)</f>
        <v>0</v>
      </c>
      <c r="W1062" s="99">
        <f>IF(AND(SamplingData[[#This Row],[Total]]&lt;&gt; 0, NOT(ISBLANK(SamplingData[[#This Row],[Candidate 8]]))),(SamplingData[[#This Row],[Total]]+SamplingData[[#This Row],[Winning Candidate]]-SamplingData[[#This Row],[Candidate 8]])/(SamplingData[[#Totals],[Winning Candidate]]-SamplingData[[#Totals],[Candidate 8]]), 0)</f>
        <v>0</v>
      </c>
      <c r="X10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2" s="99">
        <f>MAX(SamplingData[[#This Row],[Error Bound (up) - Max. possible relative overstatement - Losing Candidate]:[Error Bound (up) - Max. possible relative overstatement - Candidate 12]])</f>
        <v>1.1543031743337295E-2</v>
      </c>
      <c r="AC1062" s="99">
        <f>IF(SamplingData[[#This Row],[Max Error Bound (up)]] = 0,0,SamplingData[[#This Row],[Max Error Bound (up)]]/SamplingData[[#Totals],[Max Error Bound (up)]])</f>
        <v>6.1802450285381989E-4</v>
      </c>
      <c r="AD1062" s="103">
        <f>SUM($AC$5:AC1062)</f>
        <v>0.93577543897917137</v>
      </c>
      <c r="AE1062" s="99" t="str" cm="1">
        <f t="array" ref="AE1062">IF(SamplingData[[#This Row],[up/U Selection Probability]] = 0, "Zero", TEXT(SamplingData[[#This Row],[Lower Range]], REPT("0",LEN('General Info'!$B$42))) &amp; " - " &amp; TEXT(SamplingData[[#This Row],[Upper Range]], REPT("0",LEN('General Info'!$B$42))))</f>
        <v>935157 - 935774</v>
      </c>
      <c r="AF1062" s="99">
        <f>SamplingData[[#This Row],[Upper Range]]-SamplingData[[#This Row],[Span]]</f>
        <v>935157.41447631747</v>
      </c>
      <c r="AG1062" s="99">
        <f>IF(ISNUMBER('General Info'!$B$42), ((SamplingData[[#This Row],[up/U Selection Probability]]) * 'General Info'!$B$44) - 1, 0)</f>
        <v>617.02450285381985</v>
      </c>
      <c r="AH1062" s="99">
        <f>IF(ISNUMBER('General Info'!$B$42), (SamplingData[[#This Row],[Running (cumulative) sum]] * ('General Info'!$B$42 -'General Info'!$B$43 + 1)) + 'General Info'!$B$43 - 1, 0)</f>
        <v>935774.43897917133</v>
      </c>
      <c r="AI1062" s="99" t="str">
        <f>IF(ISERROR(MATCH(SamplingData[[#This Row],[Batch by Type (p)]],SelectedPrecincts[Batch Name], 0)), "", INDEX(SelectedPrecincts[Draw], MATCH(SamplingData[[#This Row],[Batch by Type (p)]],SelectedPrecincts[Batch Name], 0)))</f>
        <v/>
      </c>
      <c r="AJ1062" s="100">
        <f>IF(COUNTIF(SelectedPrecincts[Batch Name],SamplingData[[#This Row],[Batch by Type (p)]]) &lt;&gt; 0, COUNTIF(SelectedPrecincts[Batch Name],SamplingData[[#This Row],[Batch by Type (p)]]), 0)</f>
        <v>0</v>
      </c>
    </row>
    <row r="1063" spans="1:36" ht="15" customHeight="1" x14ac:dyDescent="0.35">
      <c r="A1063" s="97" t="s">
        <v>1276</v>
      </c>
      <c r="B1063" s="97">
        <v>144</v>
      </c>
      <c r="C1063" s="97">
        <v>165</v>
      </c>
      <c r="D1063" s="92"/>
      <c r="E1063" s="92"/>
      <c r="F1063" s="92"/>
      <c r="G1063" s="96"/>
      <c r="H1063" s="96"/>
      <c r="I1063" s="92"/>
      <c r="J1063" s="92"/>
      <c r="K1063" s="92"/>
      <c r="L1063" s="92"/>
      <c r="M1063" s="92"/>
      <c r="N1063" s="97">
        <v>0</v>
      </c>
      <c r="O1063" s="97">
        <v>40</v>
      </c>
      <c r="P1063" s="98">
        <f>SUM(SamplingData[[#This Row],[Winning Candidate]:[Under Votes]])</f>
        <v>349</v>
      </c>
      <c r="Q1063" s="99">
        <f>IF(AND(SamplingData[[#This Row],[Total]]&lt;&gt; 0, NOT(ISBLANK(SamplingData[[#This Row],[Losing Candidate]]))),(SamplingData[[#This Row],[Total]]+SamplingData[[#This Row],[Winning Candidate]]-SamplingData[[#This Row],[Losing Candidate]])/(SamplingData[[#Totals],[Winning Candidate]]-SamplingData[[#Totals],[Losing Candidate]]), 0)</f>
        <v>1.3919538278730267E-2</v>
      </c>
      <c r="R1063" s="99">
        <f>IF(AND(SamplingData[[#This Row],[Total]]&lt;&gt; 0, NOT(ISBLANK(SamplingData[[#This Row],[Candidate 3]]))),(SamplingData[[#This Row],[Total]]+SamplingData[[#This Row],[Winning Candidate]]-SamplingData[[#This Row],[Candidate 3]])/(SamplingData[[#Totals],[Winning Candidate]]-SamplingData[[#Totals],[Candidate 3]]), 0)</f>
        <v>0</v>
      </c>
      <c r="S1063" s="99">
        <f>IF(AND(SamplingData[[#This Row],[Total]]&lt;&gt; 0, NOT(ISBLANK(SamplingData[[#This Row],[Candidate 4]]))),(SamplingData[[#This Row],[Total]]+SamplingData[[#This Row],[Winning Candidate]]-SamplingData[[#This Row],[Candidate 4]])/(SamplingData[[#Totals],[Winning Candidate]]-SamplingData[[#Totals],[Candidate 4]]), 0)</f>
        <v>0</v>
      </c>
      <c r="T1063" s="99">
        <f>IF(AND(SamplingData[[#This Row],[Total]]&lt;&gt; 0, NOT(ISBLANK(SamplingData[[#This Row],[Candidate 5]]))),(SamplingData[[#This Row],[Total]]+SamplingData[[#This Row],[Winning Candidate]]-SamplingData[[#This Row],[Candidate 5]])/(SamplingData[[#Totals],[Winning Candidate]]-SamplingData[[#Totals],[Candidate 5]]), 0)</f>
        <v>0</v>
      </c>
      <c r="U1063" s="99">
        <f>IF(AND(SamplingData[[#This Row],[Total]]&lt;&gt; 0, NOT(ISBLANK(SamplingData[[#This Row],[Candidate 6]]))),(SamplingData[[#This Row],[Total]]+SamplingData[[#This Row],[Losing Candidate]]-SamplingData[[#This Row],[Candidate 6]])/(SamplingData[[#Totals],[Winning Candidate]]-SamplingData[[#Totals],[Candidate 6]]), 0)</f>
        <v>0</v>
      </c>
      <c r="V1063" s="99">
        <f>IF(AND(SamplingData[[#This Row],[Total]]&lt;&gt; 0, NOT(ISBLANK(SamplingData[[#This Row],[Candidate 7]]))),(SamplingData[[#This Row],[Total]]+SamplingData[[#This Row],[Winning Candidate]]-SamplingData[[#This Row],[Candidate 7]])/(SamplingData[[#Totals],[Winning Candidate]]-SamplingData[[#Totals],[Candidate 7]]), 0)</f>
        <v>0</v>
      </c>
      <c r="W1063" s="99">
        <f>IF(AND(SamplingData[[#This Row],[Total]]&lt;&gt; 0, NOT(ISBLANK(SamplingData[[#This Row],[Candidate 8]]))),(SamplingData[[#This Row],[Total]]+SamplingData[[#This Row],[Winning Candidate]]-SamplingData[[#This Row],[Candidate 8]])/(SamplingData[[#Totals],[Winning Candidate]]-SamplingData[[#Totals],[Candidate 8]]), 0)</f>
        <v>0</v>
      </c>
      <c r="X10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3" s="99">
        <f>MAX(SamplingData[[#This Row],[Error Bound (up) - Max. possible relative overstatement - Losing Candidate]:[Error Bound (up) - Max. possible relative overstatement - Candidate 12]])</f>
        <v>1.3919538278730267E-2</v>
      </c>
      <c r="AC1063" s="99">
        <f>IF(SamplingData[[#This Row],[Max Error Bound (up)]] = 0,0,SamplingData[[#This Row],[Max Error Bound (up)]]/SamplingData[[#Totals],[Max Error Bound (up)]])</f>
        <v>7.4526484167666504E-4</v>
      </c>
      <c r="AD1063" s="103">
        <f>SUM($AC$5:AC1063)</f>
        <v>0.93652070382084807</v>
      </c>
      <c r="AE1063" s="99" t="str" cm="1">
        <f t="array" ref="AE1063">IF(SamplingData[[#This Row],[up/U Selection Probability]] = 0, "Zero", TEXT(SamplingData[[#This Row],[Lower Range]], REPT("0",LEN('General Info'!$B$42))) &amp; " - " &amp; TEXT(SamplingData[[#This Row],[Upper Range]], REPT("0",LEN('General Info'!$B$42))))</f>
        <v>935775 - 936520</v>
      </c>
      <c r="AF1063" s="99">
        <f>SamplingData[[#This Row],[Upper Range]]-SamplingData[[#This Row],[Span]]</f>
        <v>935775.43897917133</v>
      </c>
      <c r="AG1063" s="99">
        <f>IF(ISNUMBER('General Info'!$B$42), ((SamplingData[[#This Row],[up/U Selection Probability]]) * 'General Info'!$B$44) - 1, 0)</f>
        <v>744.26484167666501</v>
      </c>
      <c r="AH1063" s="99">
        <f>IF(ISNUMBER('General Info'!$B$42), (SamplingData[[#This Row],[Running (cumulative) sum]] * ('General Info'!$B$42 -'General Info'!$B$43 + 1)) + 'General Info'!$B$43 - 1, 0)</f>
        <v>936519.70382084802</v>
      </c>
      <c r="AI1063" s="99" t="str">
        <f>IF(ISERROR(MATCH(SamplingData[[#This Row],[Batch by Type (p)]],SelectedPrecincts[Batch Name], 0)), "", INDEX(SelectedPrecincts[Draw], MATCH(SamplingData[[#This Row],[Batch by Type (p)]],SelectedPrecincts[Batch Name], 0)))</f>
        <v/>
      </c>
      <c r="AJ1063" s="100">
        <f>IF(COUNTIF(SelectedPrecincts[Batch Name],SamplingData[[#This Row],[Batch by Type (p)]]) &lt;&gt; 0, COUNTIF(SelectedPrecincts[Batch Name],SamplingData[[#This Row],[Batch by Type (p)]]), 0)</f>
        <v>0</v>
      </c>
    </row>
    <row r="1064" spans="1:36" ht="15" customHeight="1" x14ac:dyDescent="0.35">
      <c r="A1064" s="97" t="s">
        <v>1277</v>
      </c>
      <c r="B1064" s="97">
        <v>157</v>
      </c>
      <c r="C1064" s="97">
        <v>131</v>
      </c>
      <c r="D1064" s="92"/>
      <c r="E1064" s="92"/>
      <c r="F1064" s="92"/>
      <c r="G1064" s="96"/>
      <c r="H1064" s="96"/>
      <c r="I1064" s="92"/>
      <c r="J1064" s="92"/>
      <c r="K1064" s="92"/>
      <c r="L1064" s="92"/>
      <c r="M1064" s="92"/>
      <c r="N1064" s="97">
        <v>0</v>
      </c>
      <c r="O1064" s="97">
        <v>36</v>
      </c>
      <c r="P1064" s="98">
        <f>SUM(SamplingData[[#This Row],[Winning Candidate]:[Under Votes]])</f>
        <v>324</v>
      </c>
      <c r="Q1064" s="99">
        <f>IF(AND(SamplingData[[#This Row],[Total]]&lt;&gt; 0, NOT(ISBLANK(SamplingData[[#This Row],[Losing Candidate]]))),(SamplingData[[#This Row],[Total]]+SamplingData[[#This Row],[Winning Candidate]]-SamplingData[[#This Row],[Losing Candidate]])/(SamplingData[[#Totals],[Winning Candidate]]-SamplingData[[#Totals],[Losing Candidate]]), 0)</f>
        <v>1.4853165846206077E-2</v>
      </c>
      <c r="R1064" s="99">
        <f>IF(AND(SamplingData[[#This Row],[Total]]&lt;&gt; 0, NOT(ISBLANK(SamplingData[[#This Row],[Candidate 3]]))),(SamplingData[[#This Row],[Total]]+SamplingData[[#This Row],[Winning Candidate]]-SamplingData[[#This Row],[Candidate 3]])/(SamplingData[[#Totals],[Winning Candidate]]-SamplingData[[#Totals],[Candidate 3]]), 0)</f>
        <v>0</v>
      </c>
      <c r="S1064" s="99">
        <f>IF(AND(SamplingData[[#This Row],[Total]]&lt;&gt; 0, NOT(ISBLANK(SamplingData[[#This Row],[Candidate 4]]))),(SamplingData[[#This Row],[Total]]+SamplingData[[#This Row],[Winning Candidate]]-SamplingData[[#This Row],[Candidate 4]])/(SamplingData[[#Totals],[Winning Candidate]]-SamplingData[[#Totals],[Candidate 4]]), 0)</f>
        <v>0</v>
      </c>
      <c r="T1064" s="99">
        <f>IF(AND(SamplingData[[#This Row],[Total]]&lt;&gt; 0, NOT(ISBLANK(SamplingData[[#This Row],[Candidate 5]]))),(SamplingData[[#This Row],[Total]]+SamplingData[[#This Row],[Winning Candidate]]-SamplingData[[#This Row],[Candidate 5]])/(SamplingData[[#Totals],[Winning Candidate]]-SamplingData[[#Totals],[Candidate 5]]), 0)</f>
        <v>0</v>
      </c>
      <c r="U1064" s="99">
        <f>IF(AND(SamplingData[[#This Row],[Total]]&lt;&gt; 0, NOT(ISBLANK(SamplingData[[#This Row],[Candidate 6]]))),(SamplingData[[#This Row],[Total]]+SamplingData[[#This Row],[Losing Candidate]]-SamplingData[[#This Row],[Candidate 6]])/(SamplingData[[#Totals],[Winning Candidate]]-SamplingData[[#Totals],[Candidate 6]]), 0)</f>
        <v>0</v>
      </c>
      <c r="V1064" s="99">
        <f>IF(AND(SamplingData[[#This Row],[Total]]&lt;&gt; 0, NOT(ISBLANK(SamplingData[[#This Row],[Candidate 7]]))),(SamplingData[[#This Row],[Total]]+SamplingData[[#This Row],[Winning Candidate]]-SamplingData[[#This Row],[Candidate 7]])/(SamplingData[[#Totals],[Winning Candidate]]-SamplingData[[#Totals],[Candidate 7]]), 0)</f>
        <v>0</v>
      </c>
      <c r="W1064" s="99">
        <f>IF(AND(SamplingData[[#This Row],[Total]]&lt;&gt; 0, NOT(ISBLANK(SamplingData[[#This Row],[Candidate 8]]))),(SamplingData[[#This Row],[Total]]+SamplingData[[#This Row],[Winning Candidate]]-SamplingData[[#This Row],[Candidate 8]])/(SamplingData[[#Totals],[Winning Candidate]]-SamplingData[[#Totals],[Candidate 8]]), 0)</f>
        <v>0</v>
      </c>
      <c r="X10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4" s="99">
        <f>MAX(SamplingData[[#This Row],[Error Bound (up) - Max. possible relative overstatement - Losing Candidate]:[Error Bound (up) - Max. possible relative overstatement - Candidate 12]])</f>
        <v>1.4853165846206077E-2</v>
      </c>
      <c r="AC1064" s="99">
        <f>IF(SamplingData[[#This Row],[Max Error Bound (up)]] = 0,0,SamplingData[[#This Row],[Max Error Bound (up)]]/SamplingData[[#Totals],[Max Error Bound (up)]])</f>
        <v>7.9525211764278287E-4</v>
      </c>
      <c r="AD1064" s="103">
        <f>SUM($AC$5:AC1064)</f>
        <v>0.93731595593849082</v>
      </c>
      <c r="AE1064" s="99" t="str" cm="1">
        <f t="array" ref="AE1064">IF(SamplingData[[#This Row],[up/U Selection Probability]] = 0, "Zero", TEXT(SamplingData[[#This Row],[Lower Range]], REPT("0",LEN('General Info'!$B$42))) &amp; " - " &amp; TEXT(SamplingData[[#This Row],[Upper Range]], REPT("0",LEN('General Info'!$B$42))))</f>
        <v>936521 - 937315</v>
      </c>
      <c r="AF1064" s="99">
        <f>SamplingData[[#This Row],[Upper Range]]-SamplingData[[#This Row],[Span]]</f>
        <v>936520.70382084802</v>
      </c>
      <c r="AG1064" s="99">
        <f>IF(ISNUMBER('General Info'!$B$42), ((SamplingData[[#This Row],[up/U Selection Probability]]) * 'General Info'!$B$44) - 1, 0)</f>
        <v>794.25211764278288</v>
      </c>
      <c r="AH1064" s="99">
        <f>IF(ISNUMBER('General Info'!$B$42), (SamplingData[[#This Row],[Running (cumulative) sum]] * ('General Info'!$B$42 -'General Info'!$B$43 + 1)) + 'General Info'!$B$43 - 1, 0)</f>
        <v>937314.95593849081</v>
      </c>
      <c r="AI1064" s="99" t="str">
        <f>IF(ISERROR(MATCH(SamplingData[[#This Row],[Batch by Type (p)]],SelectedPrecincts[Batch Name], 0)), "", INDEX(SelectedPrecincts[Draw], MATCH(SamplingData[[#This Row],[Batch by Type (p)]],SelectedPrecincts[Batch Name], 0)))</f>
        <v/>
      </c>
      <c r="AJ1064" s="100">
        <f>IF(COUNTIF(SelectedPrecincts[Batch Name],SamplingData[[#This Row],[Batch by Type (p)]]) &lt;&gt; 0, COUNTIF(SelectedPrecincts[Batch Name],SamplingData[[#This Row],[Batch by Type (p)]]), 0)</f>
        <v>0</v>
      </c>
    </row>
    <row r="1065" spans="1:36" ht="15" customHeight="1" x14ac:dyDescent="0.35">
      <c r="A1065" s="97" t="s">
        <v>1278</v>
      </c>
      <c r="B1065" s="97">
        <v>226</v>
      </c>
      <c r="C1065" s="97">
        <v>140</v>
      </c>
      <c r="D1065" s="92"/>
      <c r="E1065" s="92"/>
      <c r="F1065" s="92"/>
      <c r="G1065" s="96"/>
      <c r="H1065" s="96"/>
      <c r="I1065" s="92"/>
      <c r="J1065" s="92"/>
      <c r="K1065" s="92"/>
      <c r="L1065" s="92"/>
      <c r="M1065" s="92"/>
      <c r="N1065" s="97">
        <v>0</v>
      </c>
      <c r="O1065" s="97">
        <v>40</v>
      </c>
      <c r="P1065" s="98">
        <f>SUM(SamplingData[[#This Row],[Winning Candidate]:[Under Votes]])</f>
        <v>406</v>
      </c>
      <c r="Q1065" s="99">
        <f>IF(AND(SamplingData[[#This Row],[Total]]&lt;&gt; 0, NOT(ISBLANK(SamplingData[[#This Row],[Losing Candidate]]))),(SamplingData[[#This Row],[Total]]+SamplingData[[#This Row],[Winning Candidate]]-SamplingData[[#This Row],[Losing Candidate]])/(SamplingData[[#Totals],[Winning Candidate]]-SamplingData[[#Totals],[Losing Candidate]]), 0)</f>
        <v>2.0879307418095398E-2</v>
      </c>
      <c r="R1065" s="99">
        <f>IF(AND(SamplingData[[#This Row],[Total]]&lt;&gt; 0, NOT(ISBLANK(SamplingData[[#This Row],[Candidate 3]]))),(SamplingData[[#This Row],[Total]]+SamplingData[[#This Row],[Winning Candidate]]-SamplingData[[#This Row],[Candidate 3]])/(SamplingData[[#Totals],[Winning Candidate]]-SamplingData[[#Totals],[Candidate 3]]), 0)</f>
        <v>0</v>
      </c>
      <c r="S1065" s="99">
        <f>IF(AND(SamplingData[[#This Row],[Total]]&lt;&gt; 0, NOT(ISBLANK(SamplingData[[#This Row],[Candidate 4]]))),(SamplingData[[#This Row],[Total]]+SamplingData[[#This Row],[Winning Candidate]]-SamplingData[[#This Row],[Candidate 4]])/(SamplingData[[#Totals],[Winning Candidate]]-SamplingData[[#Totals],[Candidate 4]]), 0)</f>
        <v>0</v>
      </c>
      <c r="T1065" s="99">
        <f>IF(AND(SamplingData[[#This Row],[Total]]&lt;&gt; 0, NOT(ISBLANK(SamplingData[[#This Row],[Candidate 5]]))),(SamplingData[[#This Row],[Total]]+SamplingData[[#This Row],[Winning Candidate]]-SamplingData[[#This Row],[Candidate 5]])/(SamplingData[[#Totals],[Winning Candidate]]-SamplingData[[#Totals],[Candidate 5]]), 0)</f>
        <v>0</v>
      </c>
      <c r="U1065" s="99">
        <f>IF(AND(SamplingData[[#This Row],[Total]]&lt;&gt; 0, NOT(ISBLANK(SamplingData[[#This Row],[Candidate 6]]))),(SamplingData[[#This Row],[Total]]+SamplingData[[#This Row],[Losing Candidate]]-SamplingData[[#This Row],[Candidate 6]])/(SamplingData[[#Totals],[Winning Candidate]]-SamplingData[[#Totals],[Candidate 6]]), 0)</f>
        <v>0</v>
      </c>
      <c r="V1065" s="99">
        <f>IF(AND(SamplingData[[#This Row],[Total]]&lt;&gt; 0, NOT(ISBLANK(SamplingData[[#This Row],[Candidate 7]]))),(SamplingData[[#This Row],[Total]]+SamplingData[[#This Row],[Winning Candidate]]-SamplingData[[#This Row],[Candidate 7]])/(SamplingData[[#Totals],[Winning Candidate]]-SamplingData[[#Totals],[Candidate 7]]), 0)</f>
        <v>0</v>
      </c>
      <c r="W1065" s="99">
        <f>IF(AND(SamplingData[[#This Row],[Total]]&lt;&gt; 0, NOT(ISBLANK(SamplingData[[#This Row],[Candidate 8]]))),(SamplingData[[#This Row],[Total]]+SamplingData[[#This Row],[Winning Candidate]]-SamplingData[[#This Row],[Candidate 8]])/(SamplingData[[#Totals],[Winning Candidate]]-SamplingData[[#Totals],[Candidate 8]]), 0)</f>
        <v>0</v>
      </c>
      <c r="X10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5" s="99">
        <f>MAX(SamplingData[[#This Row],[Error Bound (up) - Max. possible relative overstatement - Losing Candidate]:[Error Bound (up) - Max. possible relative overstatement - Candidate 12]])</f>
        <v>2.0879307418095398E-2</v>
      </c>
      <c r="AC1065" s="99">
        <f>IF(SamplingData[[#This Row],[Max Error Bound (up)]] = 0,0,SamplingData[[#This Row],[Max Error Bound (up)]]/SamplingData[[#Totals],[Max Error Bound (up)]])</f>
        <v>1.1178972625149974E-3</v>
      </c>
      <c r="AD1065" s="103">
        <f>SUM($AC$5:AC1065)</f>
        <v>0.93843385320100581</v>
      </c>
      <c r="AE1065" s="99" t="str" cm="1">
        <f t="array" ref="AE1065">IF(SamplingData[[#This Row],[up/U Selection Probability]] = 0, "Zero", TEXT(SamplingData[[#This Row],[Lower Range]], REPT("0",LEN('General Info'!$B$42))) &amp; " - " &amp; TEXT(SamplingData[[#This Row],[Upper Range]], REPT("0",LEN('General Info'!$B$42))))</f>
        <v>937316 - 938433</v>
      </c>
      <c r="AF1065" s="99">
        <f>SamplingData[[#This Row],[Upper Range]]-SamplingData[[#This Row],[Span]]</f>
        <v>937315.95593849081</v>
      </c>
      <c r="AG1065" s="99">
        <f>IF(ISNUMBER('General Info'!$B$42), ((SamplingData[[#This Row],[up/U Selection Probability]]) * 'General Info'!$B$44) - 1, 0)</f>
        <v>1116.8972625149975</v>
      </c>
      <c r="AH1065" s="99">
        <f>IF(ISNUMBER('General Info'!$B$42), (SamplingData[[#This Row],[Running (cumulative) sum]] * ('General Info'!$B$42 -'General Info'!$B$43 + 1)) + 'General Info'!$B$43 - 1, 0)</f>
        <v>938432.85320100584</v>
      </c>
      <c r="AI1065" s="99" t="str">
        <f>IF(ISERROR(MATCH(SamplingData[[#This Row],[Batch by Type (p)]],SelectedPrecincts[Batch Name], 0)), "", INDEX(SelectedPrecincts[Draw], MATCH(SamplingData[[#This Row],[Batch by Type (p)]],SelectedPrecincts[Batch Name], 0)))</f>
        <v/>
      </c>
      <c r="AJ1065" s="100">
        <f>IF(COUNTIF(SelectedPrecincts[Batch Name],SamplingData[[#This Row],[Batch by Type (p)]]) &lt;&gt; 0, COUNTIF(SelectedPrecincts[Batch Name],SamplingData[[#This Row],[Batch by Type (p)]]), 0)</f>
        <v>0</v>
      </c>
    </row>
    <row r="1066" spans="1:36" ht="15" customHeight="1" x14ac:dyDescent="0.35">
      <c r="A1066" s="97" t="s">
        <v>1279</v>
      </c>
      <c r="B1066" s="97">
        <v>313</v>
      </c>
      <c r="C1066" s="97">
        <v>105</v>
      </c>
      <c r="D1066" s="92"/>
      <c r="E1066" s="92"/>
      <c r="F1066" s="92"/>
      <c r="G1066" s="96"/>
      <c r="H1066" s="96"/>
      <c r="I1066" s="92"/>
      <c r="J1066" s="92"/>
      <c r="K1066" s="92"/>
      <c r="L1066" s="92"/>
      <c r="M1066" s="92"/>
      <c r="N1066" s="97">
        <v>1</v>
      </c>
      <c r="O1066" s="97">
        <v>34</v>
      </c>
      <c r="P1066" s="98">
        <f>SUM(SamplingData[[#This Row],[Winning Candidate]:[Under Votes]])</f>
        <v>453</v>
      </c>
      <c r="Q1066" s="99">
        <f>IF(AND(SamplingData[[#This Row],[Total]]&lt;&gt; 0, NOT(ISBLANK(SamplingData[[#This Row],[Losing Candidate]]))),(SamplingData[[#This Row],[Total]]+SamplingData[[#This Row],[Winning Candidate]]-SamplingData[[#This Row],[Losing Candidate]])/(SamplingData[[#Totals],[Winning Candidate]]-SamplingData[[#Totals],[Losing Candidate]]), 0)</f>
        <v>2.8051264640977763E-2</v>
      </c>
      <c r="R1066" s="99">
        <f>IF(AND(SamplingData[[#This Row],[Total]]&lt;&gt; 0, NOT(ISBLANK(SamplingData[[#This Row],[Candidate 3]]))),(SamplingData[[#This Row],[Total]]+SamplingData[[#This Row],[Winning Candidate]]-SamplingData[[#This Row],[Candidate 3]])/(SamplingData[[#Totals],[Winning Candidate]]-SamplingData[[#Totals],[Candidate 3]]), 0)</f>
        <v>0</v>
      </c>
      <c r="S1066" s="99">
        <f>IF(AND(SamplingData[[#This Row],[Total]]&lt;&gt; 0, NOT(ISBLANK(SamplingData[[#This Row],[Candidate 4]]))),(SamplingData[[#This Row],[Total]]+SamplingData[[#This Row],[Winning Candidate]]-SamplingData[[#This Row],[Candidate 4]])/(SamplingData[[#Totals],[Winning Candidate]]-SamplingData[[#Totals],[Candidate 4]]), 0)</f>
        <v>0</v>
      </c>
      <c r="T1066" s="99">
        <f>IF(AND(SamplingData[[#This Row],[Total]]&lt;&gt; 0, NOT(ISBLANK(SamplingData[[#This Row],[Candidate 5]]))),(SamplingData[[#This Row],[Total]]+SamplingData[[#This Row],[Winning Candidate]]-SamplingData[[#This Row],[Candidate 5]])/(SamplingData[[#Totals],[Winning Candidate]]-SamplingData[[#Totals],[Candidate 5]]), 0)</f>
        <v>0</v>
      </c>
      <c r="U1066" s="99">
        <f>IF(AND(SamplingData[[#This Row],[Total]]&lt;&gt; 0, NOT(ISBLANK(SamplingData[[#This Row],[Candidate 6]]))),(SamplingData[[#This Row],[Total]]+SamplingData[[#This Row],[Losing Candidate]]-SamplingData[[#This Row],[Candidate 6]])/(SamplingData[[#Totals],[Winning Candidate]]-SamplingData[[#Totals],[Candidate 6]]), 0)</f>
        <v>0</v>
      </c>
      <c r="V1066" s="99">
        <f>IF(AND(SamplingData[[#This Row],[Total]]&lt;&gt; 0, NOT(ISBLANK(SamplingData[[#This Row],[Candidate 7]]))),(SamplingData[[#This Row],[Total]]+SamplingData[[#This Row],[Winning Candidate]]-SamplingData[[#This Row],[Candidate 7]])/(SamplingData[[#Totals],[Winning Candidate]]-SamplingData[[#Totals],[Candidate 7]]), 0)</f>
        <v>0</v>
      </c>
      <c r="W1066" s="99">
        <f>IF(AND(SamplingData[[#This Row],[Total]]&lt;&gt; 0, NOT(ISBLANK(SamplingData[[#This Row],[Candidate 8]]))),(SamplingData[[#This Row],[Total]]+SamplingData[[#This Row],[Winning Candidate]]-SamplingData[[#This Row],[Candidate 8]])/(SamplingData[[#Totals],[Winning Candidate]]-SamplingData[[#Totals],[Candidate 8]]), 0)</f>
        <v>0</v>
      </c>
      <c r="X10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6" s="99">
        <f>MAX(SamplingData[[#This Row],[Error Bound (up) - Max. possible relative overstatement - Losing Candidate]:[Error Bound (up) - Max. possible relative overstatement - Candidate 12]])</f>
        <v>2.8051264640977763E-2</v>
      </c>
      <c r="AC1066" s="99">
        <f>IF(SamplingData[[#This Row],[Max Error Bound (up)]] = 0,0,SamplingData[[#This Row],[Max Error Bound (up)]]/SamplingData[[#Totals],[Max Error Bound (up)]])</f>
        <v>1.5018904278910842E-3</v>
      </c>
      <c r="AD1066" s="103">
        <f>SUM($AC$5:AC1066)</f>
        <v>0.93993574362889687</v>
      </c>
      <c r="AE1066" s="99" t="str" cm="1">
        <f t="array" ref="AE1066">IF(SamplingData[[#This Row],[up/U Selection Probability]] = 0, "Zero", TEXT(SamplingData[[#This Row],[Lower Range]], REPT("0",LEN('General Info'!$B$42))) &amp; " - " &amp; TEXT(SamplingData[[#This Row],[Upper Range]], REPT("0",LEN('General Info'!$B$42))))</f>
        <v>938434 - 939935</v>
      </c>
      <c r="AF1066" s="99">
        <f>SamplingData[[#This Row],[Upper Range]]-SamplingData[[#This Row],[Span]]</f>
        <v>938433.85320100584</v>
      </c>
      <c r="AG1066" s="99">
        <f>IF(ISNUMBER('General Info'!$B$42), ((SamplingData[[#This Row],[up/U Selection Probability]]) * 'General Info'!$B$44) - 1, 0)</f>
        <v>1500.8904278910843</v>
      </c>
      <c r="AH1066" s="99">
        <f>IF(ISNUMBER('General Info'!$B$42), (SamplingData[[#This Row],[Running (cumulative) sum]] * ('General Info'!$B$42 -'General Info'!$B$43 + 1)) + 'General Info'!$B$43 - 1, 0)</f>
        <v>939934.74362889689</v>
      </c>
      <c r="AI1066" s="99">
        <f>IF(ISERROR(MATCH(SamplingData[[#This Row],[Batch by Type (p)]],SelectedPrecincts[Batch Name], 0)), "", INDEX(SelectedPrecincts[Draw], MATCH(SamplingData[[#This Row],[Batch by Type (p)]],SelectedPrecincts[Batch Name], 0)))</f>
        <v>22</v>
      </c>
      <c r="AJ1066" s="100">
        <f>IF(COUNTIF(SelectedPrecincts[Batch Name],SamplingData[[#This Row],[Batch by Type (p)]]) &lt;&gt; 0, COUNTIF(SelectedPrecincts[Batch Name],SamplingData[[#This Row],[Batch by Type (p)]]), 0)</f>
        <v>1</v>
      </c>
    </row>
    <row r="1067" spans="1:36" ht="15" customHeight="1" x14ac:dyDescent="0.35">
      <c r="A1067" s="97" t="s">
        <v>1280</v>
      </c>
      <c r="B1067" s="97">
        <v>248</v>
      </c>
      <c r="C1067" s="97">
        <v>141</v>
      </c>
      <c r="D1067" s="92"/>
      <c r="E1067" s="92"/>
      <c r="F1067" s="92"/>
      <c r="G1067" s="96"/>
      <c r="H1067" s="96"/>
      <c r="I1067" s="92"/>
      <c r="J1067" s="92"/>
      <c r="K1067" s="92"/>
      <c r="L1067" s="92"/>
      <c r="M1067" s="92"/>
      <c r="N1067" s="97">
        <v>0</v>
      </c>
      <c r="O1067" s="97">
        <v>32</v>
      </c>
      <c r="P1067" s="98">
        <f>SUM(SamplingData[[#This Row],[Winning Candidate]:[Under Votes]])</f>
        <v>421</v>
      </c>
      <c r="Q1067" s="99">
        <f>IF(AND(SamplingData[[#This Row],[Total]]&lt;&gt; 0, NOT(ISBLANK(SamplingData[[#This Row],[Losing Candidate]]))),(SamplingData[[#This Row],[Total]]+SamplingData[[#This Row],[Winning Candidate]]-SamplingData[[#This Row],[Losing Candidate]])/(SamplingData[[#Totals],[Winning Candidate]]-SamplingData[[#Totals],[Losing Candidate]]), 0)</f>
        <v>2.2407061619419452E-2</v>
      </c>
      <c r="R1067" s="99">
        <f>IF(AND(SamplingData[[#This Row],[Total]]&lt;&gt; 0, NOT(ISBLANK(SamplingData[[#This Row],[Candidate 3]]))),(SamplingData[[#This Row],[Total]]+SamplingData[[#This Row],[Winning Candidate]]-SamplingData[[#This Row],[Candidate 3]])/(SamplingData[[#Totals],[Winning Candidate]]-SamplingData[[#Totals],[Candidate 3]]), 0)</f>
        <v>0</v>
      </c>
      <c r="S1067" s="99">
        <f>IF(AND(SamplingData[[#This Row],[Total]]&lt;&gt; 0, NOT(ISBLANK(SamplingData[[#This Row],[Candidate 4]]))),(SamplingData[[#This Row],[Total]]+SamplingData[[#This Row],[Winning Candidate]]-SamplingData[[#This Row],[Candidate 4]])/(SamplingData[[#Totals],[Winning Candidate]]-SamplingData[[#Totals],[Candidate 4]]), 0)</f>
        <v>0</v>
      </c>
      <c r="T1067" s="99">
        <f>IF(AND(SamplingData[[#This Row],[Total]]&lt;&gt; 0, NOT(ISBLANK(SamplingData[[#This Row],[Candidate 5]]))),(SamplingData[[#This Row],[Total]]+SamplingData[[#This Row],[Winning Candidate]]-SamplingData[[#This Row],[Candidate 5]])/(SamplingData[[#Totals],[Winning Candidate]]-SamplingData[[#Totals],[Candidate 5]]), 0)</f>
        <v>0</v>
      </c>
      <c r="U1067" s="99">
        <f>IF(AND(SamplingData[[#This Row],[Total]]&lt;&gt; 0, NOT(ISBLANK(SamplingData[[#This Row],[Candidate 6]]))),(SamplingData[[#This Row],[Total]]+SamplingData[[#This Row],[Losing Candidate]]-SamplingData[[#This Row],[Candidate 6]])/(SamplingData[[#Totals],[Winning Candidate]]-SamplingData[[#Totals],[Candidate 6]]), 0)</f>
        <v>0</v>
      </c>
      <c r="V1067" s="99">
        <f>IF(AND(SamplingData[[#This Row],[Total]]&lt;&gt; 0, NOT(ISBLANK(SamplingData[[#This Row],[Candidate 7]]))),(SamplingData[[#This Row],[Total]]+SamplingData[[#This Row],[Winning Candidate]]-SamplingData[[#This Row],[Candidate 7]])/(SamplingData[[#Totals],[Winning Candidate]]-SamplingData[[#Totals],[Candidate 7]]), 0)</f>
        <v>0</v>
      </c>
      <c r="W1067" s="99">
        <f>IF(AND(SamplingData[[#This Row],[Total]]&lt;&gt; 0, NOT(ISBLANK(SamplingData[[#This Row],[Candidate 8]]))),(SamplingData[[#This Row],[Total]]+SamplingData[[#This Row],[Winning Candidate]]-SamplingData[[#This Row],[Candidate 8]])/(SamplingData[[#Totals],[Winning Candidate]]-SamplingData[[#Totals],[Candidate 8]]), 0)</f>
        <v>0</v>
      </c>
      <c r="X10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7" s="99">
        <f>MAX(SamplingData[[#This Row],[Error Bound (up) - Max. possible relative overstatement - Losing Candidate]:[Error Bound (up) - Max. possible relative overstatement - Candidate 12]])</f>
        <v>2.2407061619419452E-2</v>
      </c>
      <c r="AC1067" s="99">
        <f>IF(SamplingData[[#This Row],[Max Error Bound (up)]] = 0,0,SamplingData[[#This Row],[Max Error Bound (up)]]/SamplingData[[#Totals],[Max Error Bound (up)]])</f>
        <v>1.1996946231868266E-3</v>
      </c>
      <c r="AD1067" s="103">
        <f>SUM($AC$5:AC1067)</f>
        <v>0.94113543825208368</v>
      </c>
      <c r="AE1067" s="99" t="str" cm="1">
        <f t="array" ref="AE1067">IF(SamplingData[[#This Row],[up/U Selection Probability]] = 0, "Zero", TEXT(SamplingData[[#This Row],[Lower Range]], REPT("0",LEN('General Info'!$B$42))) &amp; " - " &amp; TEXT(SamplingData[[#This Row],[Upper Range]], REPT("0",LEN('General Info'!$B$42))))</f>
        <v>939936 - 941134</v>
      </c>
      <c r="AF1067" s="99">
        <f>SamplingData[[#This Row],[Upper Range]]-SamplingData[[#This Row],[Span]]</f>
        <v>939935.74362889689</v>
      </c>
      <c r="AG1067" s="99">
        <f>IF(ISNUMBER('General Info'!$B$42), ((SamplingData[[#This Row],[up/U Selection Probability]]) * 'General Info'!$B$44) - 1, 0)</f>
        <v>1198.6946231868267</v>
      </c>
      <c r="AH1067" s="99">
        <f>IF(ISNUMBER('General Info'!$B$42), (SamplingData[[#This Row],[Running (cumulative) sum]] * ('General Info'!$B$42 -'General Info'!$B$43 + 1)) + 'General Info'!$B$43 - 1, 0)</f>
        <v>941134.43825208372</v>
      </c>
      <c r="AI1067" s="99" t="str">
        <f>IF(ISERROR(MATCH(SamplingData[[#This Row],[Batch by Type (p)]],SelectedPrecincts[Batch Name], 0)), "", INDEX(SelectedPrecincts[Draw], MATCH(SamplingData[[#This Row],[Batch by Type (p)]],SelectedPrecincts[Batch Name], 0)))</f>
        <v/>
      </c>
      <c r="AJ1067" s="100">
        <f>IF(COUNTIF(SelectedPrecincts[Batch Name],SamplingData[[#This Row],[Batch by Type (p)]]) &lt;&gt; 0, COUNTIF(SelectedPrecincts[Batch Name],SamplingData[[#This Row],[Batch by Type (p)]]), 0)</f>
        <v>0</v>
      </c>
    </row>
    <row r="1068" spans="1:36" ht="15" customHeight="1" x14ac:dyDescent="0.35">
      <c r="A1068" s="97" t="s">
        <v>1281</v>
      </c>
      <c r="B1068" s="97">
        <v>254</v>
      </c>
      <c r="C1068" s="97">
        <v>33</v>
      </c>
      <c r="D1068" s="92"/>
      <c r="E1068" s="92"/>
      <c r="F1068" s="92"/>
      <c r="G1068" s="96"/>
      <c r="H1068" s="96"/>
      <c r="I1068" s="92"/>
      <c r="J1068" s="92"/>
      <c r="K1068" s="92"/>
      <c r="L1068" s="92"/>
      <c r="M1068" s="92"/>
      <c r="N1068" s="97">
        <v>0</v>
      </c>
      <c r="O1068" s="97">
        <v>11</v>
      </c>
      <c r="P1068" s="98">
        <f>SUM(SamplingData[[#This Row],[Winning Candidate]:[Under Votes]])</f>
        <v>298</v>
      </c>
      <c r="Q1068" s="99">
        <f>IF(AND(SamplingData[[#This Row],[Total]]&lt;&gt; 0, NOT(ISBLANK(SamplingData[[#This Row],[Losing Candidate]]))),(SamplingData[[#This Row],[Total]]+SamplingData[[#This Row],[Winning Candidate]]-SamplingData[[#This Row],[Losing Candidate]])/(SamplingData[[#Totals],[Winning Candidate]]-SamplingData[[#Totals],[Losing Candidate]]), 0)</f>
        <v>2.202512306908844E-2</v>
      </c>
      <c r="R1068" s="99">
        <f>IF(AND(SamplingData[[#This Row],[Total]]&lt;&gt; 0, NOT(ISBLANK(SamplingData[[#This Row],[Candidate 3]]))),(SamplingData[[#This Row],[Total]]+SamplingData[[#This Row],[Winning Candidate]]-SamplingData[[#This Row],[Candidate 3]])/(SamplingData[[#Totals],[Winning Candidate]]-SamplingData[[#Totals],[Candidate 3]]), 0)</f>
        <v>0</v>
      </c>
      <c r="S1068" s="99">
        <f>IF(AND(SamplingData[[#This Row],[Total]]&lt;&gt; 0, NOT(ISBLANK(SamplingData[[#This Row],[Candidate 4]]))),(SamplingData[[#This Row],[Total]]+SamplingData[[#This Row],[Winning Candidate]]-SamplingData[[#This Row],[Candidate 4]])/(SamplingData[[#Totals],[Winning Candidate]]-SamplingData[[#Totals],[Candidate 4]]), 0)</f>
        <v>0</v>
      </c>
      <c r="T1068" s="99">
        <f>IF(AND(SamplingData[[#This Row],[Total]]&lt;&gt; 0, NOT(ISBLANK(SamplingData[[#This Row],[Candidate 5]]))),(SamplingData[[#This Row],[Total]]+SamplingData[[#This Row],[Winning Candidate]]-SamplingData[[#This Row],[Candidate 5]])/(SamplingData[[#Totals],[Winning Candidate]]-SamplingData[[#Totals],[Candidate 5]]), 0)</f>
        <v>0</v>
      </c>
      <c r="U1068" s="99">
        <f>IF(AND(SamplingData[[#This Row],[Total]]&lt;&gt; 0, NOT(ISBLANK(SamplingData[[#This Row],[Candidate 6]]))),(SamplingData[[#This Row],[Total]]+SamplingData[[#This Row],[Losing Candidate]]-SamplingData[[#This Row],[Candidate 6]])/(SamplingData[[#Totals],[Winning Candidate]]-SamplingData[[#Totals],[Candidate 6]]), 0)</f>
        <v>0</v>
      </c>
      <c r="V1068" s="99">
        <f>IF(AND(SamplingData[[#This Row],[Total]]&lt;&gt; 0, NOT(ISBLANK(SamplingData[[#This Row],[Candidate 7]]))),(SamplingData[[#This Row],[Total]]+SamplingData[[#This Row],[Winning Candidate]]-SamplingData[[#This Row],[Candidate 7]])/(SamplingData[[#Totals],[Winning Candidate]]-SamplingData[[#Totals],[Candidate 7]]), 0)</f>
        <v>0</v>
      </c>
      <c r="W1068" s="99">
        <f>IF(AND(SamplingData[[#This Row],[Total]]&lt;&gt; 0, NOT(ISBLANK(SamplingData[[#This Row],[Candidate 8]]))),(SamplingData[[#This Row],[Total]]+SamplingData[[#This Row],[Winning Candidate]]-SamplingData[[#This Row],[Candidate 8]])/(SamplingData[[#Totals],[Winning Candidate]]-SamplingData[[#Totals],[Candidate 8]]), 0)</f>
        <v>0</v>
      </c>
      <c r="X10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8" s="99">
        <f>MAX(SamplingData[[#This Row],[Error Bound (up) - Max. possible relative overstatement - Losing Candidate]:[Error Bound (up) - Max. possible relative overstatement - Candidate 12]])</f>
        <v>2.202512306908844E-2</v>
      </c>
      <c r="AC1068" s="99">
        <f>IF(SamplingData[[#This Row],[Max Error Bound (up)]] = 0,0,SamplingData[[#This Row],[Max Error Bound (up)]]/SamplingData[[#Totals],[Max Error Bound (up)]])</f>
        <v>1.1792452830188694E-3</v>
      </c>
      <c r="AD1068" s="103">
        <f>SUM($AC$5:AC1068)</f>
        <v>0.9423146835351025</v>
      </c>
      <c r="AE1068" s="99" t="str" cm="1">
        <f t="array" ref="AE1068">IF(SamplingData[[#This Row],[up/U Selection Probability]] = 0, "Zero", TEXT(SamplingData[[#This Row],[Lower Range]], REPT("0",LEN('General Info'!$B$42))) &amp; " - " &amp; TEXT(SamplingData[[#This Row],[Upper Range]], REPT("0",LEN('General Info'!$B$42))))</f>
        <v>941135 - 942314</v>
      </c>
      <c r="AF1068" s="99">
        <f>SamplingData[[#This Row],[Upper Range]]-SamplingData[[#This Row],[Span]]</f>
        <v>941135.43825208361</v>
      </c>
      <c r="AG1068" s="99">
        <f>IF(ISNUMBER('General Info'!$B$42), ((SamplingData[[#This Row],[up/U Selection Probability]]) * 'General Info'!$B$44) - 1, 0)</f>
        <v>1178.2452830188695</v>
      </c>
      <c r="AH1068" s="99">
        <f>IF(ISNUMBER('General Info'!$B$42), (SamplingData[[#This Row],[Running (cumulative) sum]] * ('General Info'!$B$42 -'General Info'!$B$43 + 1)) + 'General Info'!$B$43 - 1, 0)</f>
        <v>942313.68353510252</v>
      </c>
      <c r="AI1068" s="99">
        <f>IF(ISERROR(MATCH(SamplingData[[#This Row],[Batch by Type (p)]],SelectedPrecincts[Batch Name], 0)), "", INDEX(SelectedPrecincts[Draw], MATCH(SamplingData[[#This Row],[Batch by Type (p)]],SelectedPrecincts[Batch Name], 0)))</f>
        <v>28</v>
      </c>
      <c r="AJ1068" s="100">
        <f>IF(COUNTIF(SelectedPrecincts[Batch Name],SamplingData[[#This Row],[Batch by Type (p)]]) &lt;&gt; 0, COUNTIF(SelectedPrecincts[Batch Name],SamplingData[[#This Row],[Batch by Type (p)]]), 0)</f>
        <v>1</v>
      </c>
    </row>
    <row r="1069" spans="1:36" ht="15" customHeight="1" x14ac:dyDescent="0.35">
      <c r="A1069" s="97" t="s">
        <v>1282</v>
      </c>
      <c r="B1069" s="97">
        <v>202</v>
      </c>
      <c r="C1069" s="97">
        <v>125</v>
      </c>
      <c r="D1069" s="92"/>
      <c r="E1069" s="92"/>
      <c r="F1069" s="92"/>
      <c r="G1069" s="96"/>
      <c r="H1069" s="96"/>
      <c r="I1069" s="92"/>
      <c r="J1069" s="92"/>
      <c r="K1069" s="92"/>
      <c r="L1069" s="92"/>
      <c r="M1069" s="92"/>
      <c r="N1069" s="97">
        <v>0</v>
      </c>
      <c r="O1069" s="97">
        <v>26</v>
      </c>
      <c r="P1069" s="98">
        <f>SUM(SamplingData[[#This Row],[Winning Candidate]:[Under Votes]])</f>
        <v>353</v>
      </c>
      <c r="Q1069" s="99">
        <f>IF(AND(SamplingData[[#This Row],[Total]]&lt;&gt; 0, NOT(ISBLANK(SamplingData[[#This Row],[Losing Candidate]]))),(SamplingData[[#This Row],[Total]]+SamplingData[[#This Row],[Winning Candidate]]-SamplingData[[#This Row],[Losing Candidate]])/(SamplingData[[#Totals],[Winning Candidate]]-SamplingData[[#Totals],[Losing Candidate]]), 0)</f>
        <v>1.824817518248175E-2</v>
      </c>
      <c r="R1069" s="99">
        <f>IF(AND(SamplingData[[#This Row],[Total]]&lt;&gt; 0, NOT(ISBLANK(SamplingData[[#This Row],[Candidate 3]]))),(SamplingData[[#This Row],[Total]]+SamplingData[[#This Row],[Winning Candidate]]-SamplingData[[#This Row],[Candidate 3]])/(SamplingData[[#Totals],[Winning Candidate]]-SamplingData[[#Totals],[Candidate 3]]), 0)</f>
        <v>0</v>
      </c>
      <c r="S1069" s="99">
        <f>IF(AND(SamplingData[[#This Row],[Total]]&lt;&gt; 0, NOT(ISBLANK(SamplingData[[#This Row],[Candidate 4]]))),(SamplingData[[#This Row],[Total]]+SamplingData[[#This Row],[Winning Candidate]]-SamplingData[[#This Row],[Candidate 4]])/(SamplingData[[#Totals],[Winning Candidate]]-SamplingData[[#Totals],[Candidate 4]]), 0)</f>
        <v>0</v>
      </c>
      <c r="T1069" s="99">
        <f>IF(AND(SamplingData[[#This Row],[Total]]&lt;&gt; 0, NOT(ISBLANK(SamplingData[[#This Row],[Candidate 5]]))),(SamplingData[[#This Row],[Total]]+SamplingData[[#This Row],[Winning Candidate]]-SamplingData[[#This Row],[Candidate 5]])/(SamplingData[[#Totals],[Winning Candidate]]-SamplingData[[#Totals],[Candidate 5]]), 0)</f>
        <v>0</v>
      </c>
      <c r="U1069" s="99">
        <f>IF(AND(SamplingData[[#This Row],[Total]]&lt;&gt; 0, NOT(ISBLANK(SamplingData[[#This Row],[Candidate 6]]))),(SamplingData[[#This Row],[Total]]+SamplingData[[#This Row],[Losing Candidate]]-SamplingData[[#This Row],[Candidate 6]])/(SamplingData[[#Totals],[Winning Candidate]]-SamplingData[[#Totals],[Candidate 6]]), 0)</f>
        <v>0</v>
      </c>
      <c r="V1069" s="99">
        <f>IF(AND(SamplingData[[#This Row],[Total]]&lt;&gt; 0, NOT(ISBLANK(SamplingData[[#This Row],[Candidate 7]]))),(SamplingData[[#This Row],[Total]]+SamplingData[[#This Row],[Winning Candidate]]-SamplingData[[#This Row],[Candidate 7]])/(SamplingData[[#Totals],[Winning Candidate]]-SamplingData[[#Totals],[Candidate 7]]), 0)</f>
        <v>0</v>
      </c>
      <c r="W1069" s="99">
        <f>IF(AND(SamplingData[[#This Row],[Total]]&lt;&gt; 0, NOT(ISBLANK(SamplingData[[#This Row],[Candidate 8]]))),(SamplingData[[#This Row],[Total]]+SamplingData[[#This Row],[Winning Candidate]]-SamplingData[[#This Row],[Candidate 8]])/(SamplingData[[#Totals],[Winning Candidate]]-SamplingData[[#Totals],[Candidate 8]]), 0)</f>
        <v>0</v>
      </c>
      <c r="X10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9" s="99">
        <f>MAX(SamplingData[[#This Row],[Error Bound (up) - Max. possible relative overstatement - Losing Candidate]:[Error Bound (up) - Max. possible relative overstatement - Candidate 12]])</f>
        <v>1.824817518248175E-2</v>
      </c>
      <c r="AC1069" s="99">
        <f>IF(SamplingData[[#This Row],[Max Error Bound (up)]] = 0,0,SamplingData[[#This Row],[Max Error Bound (up)]]/SamplingData[[#Totals],[Max Error Bound (up)]])</f>
        <v>9.7702403024684751E-4</v>
      </c>
      <c r="AD1069" s="103">
        <f>SUM($AC$5:AC1069)</f>
        <v>0.9432917075653493</v>
      </c>
      <c r="AE1069" s="99" t="str" cm="1">
        <f t="array" ref="AE1069">IF(SamplingData[[#This Row],[up/U Selection Probability]] = 0, "Zero", TEXT(SamplingData[[#This Row],[Lower Range]], REPT("0",LEN('General Info'!$B$42))) &amp; " - " &amp; TEXT(SamplingData[[#This Row],[Upper Range]], REPT("0",LEN('General Info'!$B$42))))</f>
        <v>942315 - 943291</v>
      </c>
      <c r="AF1069" s="99">
        <f>SamplingData[[#This Row],[Upper Range]]-SamplingData[[#This Row],[Span]]</f>
        <v>942314.68353510241</v>
      </c>
      <c r="AG1069" s="99">
        <f>IF(ISNUMBER('General Info'!$B$42), ((SamplingData[[#This Row],[up/U Selection Probability]]) * 'General Info'!$B$44) - 1, 0)</f>
        <v>976.02403024684747</v>
      </c>
      <c r="AH1069" s="99">
        <f>IF(ISNUMBER('General Info'!$B$42), (SamplingData[[#This Row],[Running (cumulative) sum]] * ('General Info'!$B$42 -'General Info'!$B$43 + 1)) + 'General Info'!$B$43 - 1, 0)</f>
        <v>943290.70756534929</v>
      </c>
      <c r="AI1069" s="99" t="str">
        <f>IF(ISERROR(MATCH(SamplingData[[#This Row],[Batch by Type (p)]],SelectedPrecincts[Batch Name], 0)), "", INDEX(SelectedPrecincts[Draw], MATCH(SamplingData[[#This Row],[Batch by Type (p)]],SelectedPrecincts[Batch Name], 0)))</f>
        <v/>
      </c>
      <c r="AJ1069" s="100">
        <f>IF(COUNTIF(SelectedPrecincts[Batch Name],SamplingData[[#This Row],[Batch by Type (p)]]) &lt;&gt; 0, COUNTIF(SelectedPrecincts[Batch Name],SamplingData[[#This Row],[Batch by Type (p)]]), 0)</f>
        <v>0</v>
      </c>
    </row>
    <row r="1070" spans="1:36" ht="15" customHeight="1" x14ac:dyDescent="0.35">
      <c r="A1070" s="97" t="s">
        <v>1283</v>
      </c>
      <c r="B1070" s="97">
        <v>289</v>
      </c>
      <c r="C1070" s="97">
        <v>192</v>
      </c>
      <c r="D1070" s="92"/>
      <c r="E1070" s="92"/>
      <c r="F1070" s="92"/>
      <c r="G1070" s="96"/>
      <c r="H1070" s="96"/>
      <c r="I1070" s="92"/>
      <c r="J1070" s="92"/>
      <c r="K1070" s="92"/>
      <c r="L1070" s="92"/>
      <c r="M1070" s="92"/>
      <c r="N1070" s="97">
        <v>0</v>
      </c>
      <c r="O1070" s="97">
        <v>28</v>
      </c>
      <c r="P1070" s="98">
        <f>SUM(SamplingData[[#This Row],[Winning Candidate]:[Under Votes]])</f>
        <v>509</v>
      </c>
      <c r="Q1070" s="99">
        <f>IF(AND(SamplingData[[#This Row],[Total]]&lt;&gt; 0, NOT(ISBLANK(SamplingData[[#This Row],[Losing Candidate]]))),(SamplingData[[#This Row],[Total]]+SamplingData[[#This Row],[Winning Candidate]]-SamplingData[[#This Row],[Losing Candidate]])/(SamplingData[[#Totals],[Winning Candidate]]-SamplingData[[#Totals],[Losing Candidate]]), 0)</f>
        <v>2.5717195722288238E-2</v>
      </c>
      <c r="R1070" s="99">
        <f>IF(AND(SamplingData[[#This Row],[Total]]&lt;&gt; 0, NOT(ISBLANK(SamplingData[[#This Row],[Candidate 3]]))),(SamplingData[[#This Row],[Total]]+SamplingData[[#This Row],[Winning Candidate]]-SamplingData[[#This Row],[Candidate 3]])/(SamplingData[[#Totals],[Winning Candidate]]-SamplingData[[#Totals],[Candidate 3]]), 0)</f>
        <v>0</v>
      </c>
      <c r="S1070" s="99">
        <f>IF(AND(SamplingData[[#This Row],[Total]]&lt;&gt; 0, NOT(ISBLANK(SamplingData[[#This Row],[Candidate 4]]))),(SamplingData[[#This Row],[Total]]+SamplingData[[#This Row],[Winning Candidate]]-SamplingData[[#This Row],[Candidate 4]])/(SamplingData[[#Totals],[Winning Candidate]]-SamplingData[[#Totals],[Candidate 4]]), 0)</f>
        <v>0</v>
      </c>
      <c r="T1070" s="99">
        <f>IF(AND(SamplingData[[#This Row],[Total]]&lt;&gt; 0, NOT(ISBLANK(SamplingData[[#This Row],[Candidate 5]]))),(SamplingData[[#This Row],[Total]]+SamplingData[[#This Row],[Winning Candidate]]-SamplingData[[#This Row],[Candidate 5]])/(SamplingData[[#Totals],[Winning Candidate]]-SamplingData[[#Totals],[Candidate 5]]), 0)</f>
        <v>0</v>
      </c>
      <c r="U1070" s="99">
        <f>IF(AND(SamplingData[[#This Row],[Total]]&lt;&gt; 0, NOT(ISBLANK(SamplingData[[#This Row],[Candidate 6]]))),(SamplingData[[#This Row],[Total]]+SamplingData[[#This Row],[Losing Candidate]]-SamplingData[[#This Row],[Candidate 6]])/(SamplingData[[#Totals],[Winning Candidate]]-SamplingData[[#Totals],[Candidate 6]]), 0)</f>
        <v>0</v>
      </c>
      <c r="V1070" s="99">
        <f>IF(AND(SamplingData[[#This Row],[Total]]&lt;&gt; 0, NOT(ISBLANK(SamplingData[[#This Row],[Candidate 7]]))),(SamplingData[[#This Row],[Total]]+SamplingData[[#This Row],[Winning Candidate]]-SamplingData[[#This Row],[Candidate 7]])/(SamplingData[[#Totals],[Winning Candidate]]-SamplingData[[#Totals],[Candidate 7]]), 0)</f>
        <v>0</v>
      </c>
      <c r="W1070" s="99">
        <f>IF(AND(SamplingData[[#This Row],[Total]]&lt;&gt; 0, NOT(ISBLANK(SamplingData[[#This Row],[Candidate 8]]))),(SamplingData[[#This Row],[Total]]+SamplingData[[#This Row],[Winning Candidate]]-SamplingData[[#This Row],[Candidate 8]])/(SamplingData[[#Totals],[Winning Candidate]]-SamplingData[[#Totals],[Candidate 8]]), 0)</f>
        <v>0</v>
      </c>
      <c r="X10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0" s="99">
        <f>MAX(SamplingData[[#This Row],[Error Bound (up) - Max. possible relative overstatement - Losing Candidate]:[Error Bound (up) - Max. possible relative overstatement - Candidate 12]])</f>
        <v>2.5717195722288238E-2</v>
      </c>
      <c r="AC1070" s="99">
        <f>IF(SamplingData[[#This Row],[Max Error Bound (up)]] = 0,0,SamplingData[[#This Row],[Max Error Bound (up)]]/SamplingData[[#Totals],[Max Error Bound (up)]])</f>
        <v>1.3769222379757897E-3</v>
      </c>
      <c r="AD1070" s="103">
        <f>SUM($AC$5:AC1070)</f>
        <v>0.94466862980332511</v>
      </c>
      <c r="AE1070" s="99" t="str" cm="1">
        <f t="array" ref="AE1070">IF(SamplingData[[#This Row],[up/U Selection Probability]] = 0, "Zero", TEXT(SamplingData[[#This Row],[Lower Range]], REPT("0",LEN('General Info'!$B$42))) &amp; " - " &amp; TEXT(SamplingData[[#This Row],[Upper Range]], REPT("0",LEN('General Info'!$B$42))))</f>
        <v>943292 - 944668</v>
      </c>
      <c r="AF1070" s="99">
        <f>SamplingData[[#This Row],[Upper Range]]-SamplingData[[#This Row],[Span]]</f>
        <v>943291.70756534941</v>
      </c>
      <c r="AG1070" s="99">
        <f>IF(ISNUMBER('General Info'!$B$42), ((SamplingData[[#This Row],[up/U Selection Probability]]) * 'General Info'!$B$44) - 1, 0)</f>
        <v>1375.9222379757898</v>
      </c>
      <c r="AH1070" s="99">
        <f>IF(ISNUMBER('General Info'!$B$42), (SamplingData[[#This Row],[Running (cumulative) sum]] * ('General Info'!$B$42 -'General Info'!$B$43 + 1)) + 'General Info'!$B$43 - 1, 0)</f>
        <v>944667.62980332517</v>
      </c>
      <c r="AI1070" s="99" t="str">
        <f>IF(ISERROR(MATCH(SamplingData[[#This Row],[Batch by Type (p)]],SelectedPrecincts[Batch Name], 0)), "", INDEX(SelectedPrecincts[Draw], MATCH(SamplingData[[#This Row],[Batch by Type (p)]],SelectedPrecincts[Batch Name], 0)))</f>
        <v/>
      </c>
      <c r="AJ1070" s="100">
        <f>IF(COUNTIF(SelectedPrecincts[Batch Name],SamplingData[[#This Row],[Batch by Type (p)]]) &lt;&gt; 0, COUNTIF(SelectedPrecincts[Batch Name],SamplingData[[#This Row],[Batch by Type (p)]]), 0)</f>
        <v>0</v>
      </c>
    </row>
    <row r="1071" spans="1:36" ht="15" customHeight="1" x14ac:dyDescent="0.35">
      <c r="A1071" s="97" t="s">
        <v>1284</v>
      </c>
      <c r="B1071" s="97">
        <v>266</v>
      </c>
      <c r="C1071" s="97">
        <v>163</v>
      </c>
      <c r="D1071" s="92"/>
      <c r="E1071" s="92"/>
      <c r="F1071" s="92"/>
      <c r="G1071" s="96"/>
      <c r="H1071" s="96"/>
      <c r="I1071" s="92"/>
      <c r="J1071" s="92"/>
      <c r="K1071" s="92"/>
      <c r="L1071" s="92"/>
      <c r="M1071" s="92"/>
      <c r="N1071" s="97">
        <v>0</v>
      </c>
      <c r="O1071" s="97">
        <v>32</v>
      </c>
      <c r="P1071" s="98">
        <f>SUM(SamplingData[[#This Row],[Winning Candidate]:[Under Votes]])</f>
        <v>461</v>
      </c>
      <c r="Q1071" s="99">
        <f>IF(AND(SamplingData[[#This Row],[Total]]&lt;&gt; 0, NOT(ISBLANK(SamplingData[[#This Row],[Losing Candidate]]))),(SamplingData[[#This Row],[Total]]+SamplingData[[#This Row],[Winning Candidate]]-SamplingData[[#This Row],[Losing Candidate]])/(SamplingData[[#Totals],[Winning Candidate]]-SamplingData[[#Totals],[Losing Candidate]]), 0)</f>
        <v>2.3934815820743506E-2</v>
      </c>
      <c r="R1071" s="99">
        <f>IF(AND(SamplingData[[#This Row],[Total]]&lt;&gt; 0, NOT(ISBLANK(SamplingData[[#This Row],[Candidate 3]]))),(SamplingData[[#This Row],[Total]]+SamplingData[[#This Row],[Winning Candidate]]-SamplingData[[#This Row],[Candidate 3]])/(SamplingData[[#Totals],[Winning Candidate]]-SamplingData[[#Totals],[Candidate 3]]), 0)</f>
        <v>0</v>
      </c>
      <c r="S1071" s="99">
        <f>IF(AND(SamplingData[[#This Row],[Total]]&lt;&gt; 0, NOT(ISBLANK(SamplingData[[#This Row],[Candidate 4]]))),(SamplingData[[#This Row],[Total]]+SamplingData[[#This Row],[Winning Candidate]]-SamplingData[[#This Row],[Candidate 4]])/(SamplingData[[#Totals],[Winning Candidate]]-SamplingData[[#Totals],[Candidate 4]]), 0)</f>
        <v>0</v>
      </c>
      <c r="T1071" s="99">
        <f>IF(AND(SamplingData[[#This Row],[Total]]&lt;&gt; 0, NOT(ISBLANK(SamplingData[[#This Row],[Candidate 5]]))),(SamplingData[[#This Row],[Total]]+SamplingData[[#This Row],[Winning Candidate]]-SamplingData[[#This Row],[Candidate 5]])/(SamplingData[[#Totals],[Winning Candidate]]-SamplingData[[#Totals],[Candidate 5]]), 0)</f>
        <v>0</v>
      </c>
      <c r="U1071" s="99">
        <f>IF(AND(SamplingData[[#This Row],[Total]]&lt;&gt; 0, NOT(ISBLANK(SamplingData[[#This Row],[Candidate 6]]))),(SamplingData[[#This Row],[Total]]+SamplingData[[#This Row],[Losing Candidate]]-SamplingData[[#This Row],[Candidate 6]])/(SamplingData[[#Totals],[Winning Candidate]]-SamplingData[[#Totals],[Candidate 6]]), 0)</f>
        <v>0</v>
      </c>
      <c r="V1071" s="99">
        <f>IF(AND(SamplingData[[#This Row],[Total]]&lt;&gt; 0, NOT(ISBLANK(SamplingData[[#This Row],[Candidate 7]]))),(SamplingData[[#This Row],[Total]]+SamplingData[[#This Row],[Winning Candidate]]-SamplingData[[#This Row],[Candidate 7]])/(SamplingData[[#Totals],[Winning Candidate]]-SamplingData[[#Totals],[Candidate 7]]), 0)</f>
        <v>0</v>
      </c>
      <c r="W1071" s="99">
        <f>IF(AND(SamplingData[[#This Row],[Total]]&lt;&gt; 0, NOT(ISBLANK(SamplingData[[#This Row],[Candidate 8]]))),(SamplingData[[#This Row],[Total]]+SamplingData[[#This Row],[Winning Candidate]]-SamplingData[[#This Row],[Candidate 8]])/(SamplingData[[#Totals],[Winning Candidate]]-SamplingData[[#Totals],[Candidate 8]]), 0)</f>
        <v>0</v>
      </c>
      <c r="X10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1" s="99">
        <f>MAX(SamplingData[[#This Row],[Error Bound (up) - Max. possible relative overstatement - Losing Candidate]:[Error Bound (up) - Max. possible relative overstatement - Candidate 12]])</f>
        <v>2.3934815820743506E-2</v>
      </c>
      <c r="AC1071" s="99">
        <f>IF(SamplingData[[#This Row],[Max Error Bound (up)]] = 0,0,SamplingData[[#This Row],[Max Error Bound (up)]]/SamplingData[[#Totals],[Max Error Bound (up)]])</f>
        <v>1.2814919838586558E-3</v>
      </c>
      <c r="AD1071" s="103">
        <f>SUM($AC$5:AC1071)</f>
        <v>0.94595012178718374</v>
      </c>
      <c r="AE1071" s="99" t="str" cm="1">
        <f t="array" ref="AE1071">IF(SamplingData[[#This Row],[up/U Selection Probability]] = 0, "Zero", TEXT(SamplingData[[#This Row],[Lower Range]], REPT("0",LEN('General Info'!$B$42))) &amp; " - " &amp; TEXT(SamplingData[[#This Row],[Upper Range]], REPT("0",LEN('General Info'!$B$42))))</f>
        <v>944669 - 945949</v>
      </c>
      <c r="AF1071" s="99">
        <f>SamplingData[[#This Row],[Upper Range]]-SamplingData[[#This Row],[Span]]</f>
        <v>944668.62980332505</v>
      </c>
      <c r="AG1071" s="99">
        <f>IF(ISNUMBER('General Info'!$B$42), ((SamplingData[[#This Row],[up/U Selection Probability]]) * 'General Info'!$B$44) - 1, 0)</f>
        <v>1280.4919838586559</v>
      </c>
      <c r="AH1071" s="99">
        <f>IF(ISNUMBER('General Info'!$B$42), (SamplingData[[#This Row],[Running (cumulative) sum]] * ('General Info'!$B$42 -'General Info'!$B$43 + 1)) + 'General Info'!$B$43 - 1, 0)</f>
        <v>945949.12178718369</v>
      </c>
      <c r="AI1071" s="99" t="str">
        <f>IF(ISERROR(MATCH(SamplingData[[#This Row],[Batch by Type (p)]],SelectedPrecincts[Batch Name], 0)), "", INDEX(SelectedPrecincts[Draw], MATCH(SamplingData[[#This Row],[Batch by Type (p)]],SelectedPrecincts[Batch Name], 0)))</f>
        <v/>
      </c>
      <c r="AJ1071" s="100">
        <f>IF(COUNTIF(SelectedPrecincts[Batch Name],SamplingData[[#This Row],[Batch by Type (p)]]) &lt;&gt; 0, COUNTIF(SelectedPrecincts[Batch Name],SamplingData[[#This Row],[Batch by Type (p)]]), 0)</f>
        <v>0</v>
      </c>
    </row>
    <row r="1072" spans="1:36" ht="15" customHeight="1" x14ac:dyDescent="0.35">
      <c r="A1072" s="97" t="s">
        <v>1285</v>
      </c>
      <c r="B1072" s="97">
        <v>148</v>
      </c>
      <c r="C1072" s="97">
        <v>75</v>
      </c>
      <c r="D1072" s="92"/>
      <c r="E1072" s="92"/>
      <c r="F1072" s="92"/>
      <c r="G1072" s="96"/>
      <c r="H1072" s="96"/>
      <c r="I1072" s="92"/>
      <c r="J1072" s="92"/>
      <c r="K1072" s="92"/>
      <c r="L1072" s="92"/>
      <c r="M1072" s="92"/>
      <c r="N1072" s="97">
        <v>0</v>
      </c>
      <c r="O1072" s="97">
        <v>16</v>
      </c>
      <c r="P1072" s="98">
        <f>SUM(SamplingData[[#This Row],[Winning Candidate]:[Under Votes]])</f>
        <v>239</v>
      </c>
      <c r="Q1072" s="99">
        <f>IF(AND(SamplingData[[#This Row],[Total]]&lt;&gt; 0, NOT(ISBLANK(SamplingData[[#This Row],[Losing Candidate]]))),(SamplingData[[#This Row],[Total]]+SamplingData[[#This Row],[Winning Candidate]]-SamplingData[[#This Row],[Losing Candidate]])/(SamplingData[[#Totals],[Winning Candidate]]-SamplingData[[#Totals],[Losing Candidate]]), 0)</f>
        <v>1.3240536411475132E-2</v>
      </c>
      <c r="R1072" s="99">
        <f>IF(AND(SamplingData[[#This Row],[Total]]&lt;&gt; 0, NOT(ISBLANK(SamplingData[[#This Row],[Candidate 3]]))),(SamplingData[[#This Row],[Total]]+SamplingData[[#This Row],[Winning Candidate]]-SamplingData[[#This Row],[Candidate 3]])/(SamplingData[[#Totals],[Winning Candidate]]-SamplingData[[#Totals],[Candidate 3]]), 0)</f>
        <v>0</v>
      </c>
      <c r="S1072" s="99">
        <f>IF(AND(SamplingData[[#This Row],[Total]]&lt;&gt; 0, NOT(ISBLANK(SamplingData[[#This Row],[Candidate 4]]))),(SamplingData[[#This Row],[Total]]+SamplingData[[#This Row],[Winning Candidate]]-SamplingData[[#This Row],[Candidate 4]])/(SamplingData[[#Totals],[Winning Candidate]]-SamplingData[[#Totals],[Candidate 4]]), 0)</f>
        <v>0</v>
      </c>
      <c r="T1072" s="99">
        <f>IF(AND(SamplingData[[#This Row],[Total]]&lt;&gt; 0, NOT(ISBLANK(SamplingData[[#This Row],[Candidate 5]]))),(SamplingData[[#This Row],[Total]]+SamplingData[[#This Row],[Winning Candidate]]-SamplingData[[#This Row],[Candidate 5]])/(SamplingData[[#Totals],[Winning Candidate]]-SamplingData[[#Totals],[Candidate 5]]), 0)</f>
        <v>0</v>
      </c>
      <c r="U1072" s="99">
        <f>IF(AND(SamplingData[[#This Row],[Total]]&lt;&gt; 0, NOT(ISBLANK(SamplingData[[#This Row],[Candidate 6]]))),(SamplingData[[#This Row],[Total]]+SamplingData[[#This Row],[Losing Candidate]]-SamplingData[[#This Row],[Candidate 6]])/(SamplingData[[#Totals],[Winning Candidate]]-SamplingData[[#Totals],[Candidate 6]]), 0)</f>
        <v>0</v>
      </c>
      <c r="V1072" s="99">
        <f>IF(AND(SamplingData[[#This Row],[Total]]&lt;&gt; 0, NOT(ISBLANK(SamplingData[[#This Row],[Candidate 7]]))),(SamplingData[[#This Row],[Total]]+SamplingData[[#This Row],[Winning Candidate]]-SamplingData[[#This Row],[Candidate 7]])/(SamplingData[[#Totals],[Winning Candidate]]-SamplingData[[#Totals],[Candidate 7]]), 0)</f>
        <v>0</v>
      </c>
      <c r="W1072" s="99">
        <f>IF(AND(SamplingData[[#This Row],[Total]]&lt;&gt; 0, NOT(ISBLANK(SamplingData[[#This Row],[Candidate 8]]))),(SamplingData[[#This Row],[Total]]+SamplingData[[#This Row],[Winning Candidate]]-SamplingData[[#This Row],[Candidate 8]])/(SamplingData[[#Totals],[Winning Candidate]]-SamplingData[[#Totals],[Candidate 8]]), 0)</f>
        <v>0</v>
      </c>
      <c r="X10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2" s="99">
        <f>MAX(SamplingData[[#This Row],[Error Bound (up) - Max. possible relative overstatement - Losing Candidate]:[Error Bound (up) - Max. possible relative overstatement - Candidate 12]])</f>
        <v>1.3240536411475132E-2</v>
      </c>
      <c r="AC1072" s="99">
        <f>IF(SamplingData[[#This Row],[Max Error Bound (up)]] = 0,0,SamplingData[[#This Row],[Max Error Bound (up)]]/SamplingData[[#Totals],[Max Error Bound (up)]])</f>
        <v>7.0891045915585222E-4</v>
      </c>
      <c r="AD1072" s="103">
        <f>SUM($AC$5:AC1072)</f>
        <v>0.94665903224633963</v>
      </c>
      <c r="AE1072" s="99" t="str" cm="1">
        <f t="array" ref="AE1072">IF(SamplingData[[#This Row],[up/U Selection Probability]] = 0, "Zero", TEXT(SamplingData[[#This Row],[Lower Range]], REPT("0",LEN('General Info'!$B$42))) &amp; " - " &amp; TEXT(SamplingData[[#This Row],[Upper Range]], REPT("0",LEN('General Info'!$B$42))))</f>
        <v>945950 - 946658</v>
      </c>
      <c r="AF1072" s="99">
        <f>SamplingData[[#This Row],[Upper Range]]-SamplingData[[#This Row],[Span]]</f>
        <v>945950.1217871838</v>
      </c>
      <c r="AG1072" s="99">
        <f>IF(ISNUMBER('General Info'!$B$42), ((SamplingData[[#This Row],[up/U Selection Probability]]) * 'General Info'!$B$44) - 1, 0)</f>
        <v>707.91045915585221</v>
      </c>
      <c r="AH1072" s="99">
        <f>IF(ISNUMBER('General Info'!$B$42), (SamplingData[[#This Row],[Running (cumulative) sum]] * ('General Info'!$B$42 -'General Info'!$B$43 + 1)) + 'General Info'!$B$43 - 1, 0)</f>
        <v>946658.0322463396</v>
      </c>
      <c r="AI1072" s="99" t="str">
        <f>IF(ISERROR(MATCH(SamplingData[[#This Row],[Batch by Type (p)]],SelectedPrecincts[Batch Name], 0)), "", INDEX(SelectedPrecincts[Draw], MATCH(SamplingData[[#This Row],[Batch by Type (p)]],SelectedPrecincts[Batch Name], 0)))</f>
        <v/>
      </c>
      <c r="AJ1072" s="100">
        <f>IF(COUNTIF(SelectedPrecincts[Batch Name],SamplingData[[#This Row],[Batch by Type (p)]]) &lt;&gt; 0, COUNTIF(SelectedPrecincts[Batch Name],SamplingData[[#This Row],[Batch by Type (p)]]), 0)</f>
        <v>0</v>
      </c>
    </row>
    <row r="1073" spans="1:36" ht="15" customHeight="1" x14ac:dyDescent="0.35">
      <c r="A1073" s="97" t="s">
        <v>1286</v>
      </c>
      <c r="B1073" s="97">
        <v>174</v>
      </c>
      <c r="C1073" s="97">
        <v>143</v>
      </c>
      <c r="D1073" s="92"/>
      <c r="E1073" s="92"/>
      <c r="F1073" s="92"/>
      <c r="G1073" s="96"/>
      <c r="H1073" s="96"/>
      <c r="I1073" s="92"/>
      <c r="J1073" s="92"/>
      <c r="K1073" s="92"/>
      <c r="L1073" s="92"/>
      <c r="M1073" s="92"/>
      <c r="N1073" s="97">
        <v>0</v>
      </c>
      <c r="O1073" s="97">
        <v>25</v>
      </c>
      <c r="P1073" s="98">
        <f>SUM(SamplingData[[#This Row],[Winning Candidate]:[Under Votes]])</f>
        <v>342</v>
      </c>
      <c r="Q1073" s="99">
        <f>IF(AND(SamplingData[[#This Row],[Total]]&lt;&gt; 0, NOT(ISBLANK(SamplingData[[#This Row],[Losing Candidate]]))),(SamplingData[[#This Row],[Total]]+SamplingData[[#This Row],[Winning Candidate]]-SamplingData[[#This Row],[Losing Candidate]])/(SamplingData[[#Totals],[Winning Candidate]]-SamplingData[[#Totals],[Losing Candidate]]), 0)</f>
        <v>1.5829231030385332E-2</v>
      </c>
      <c r="R1073" s="99">
        <f>IF(AND(SamplingData[[#This Row],[Total]]&lt;&gt; 0, NOT(ISBLANK(SamplingData[[#This Row],[Candidate 3]]))),(SamplingData[[#This Row],[Total]]+SamplingData[[#This Row],[Winning Candidate]]-SamplingData[[#This Row],[Candidate 3]])/(SamplingData[[#Totals],[Winning Candidate]]-SamplingData[[#Totals],[Candidate 3]]), 0)</f>
        <v>0</v>
      </c>
      <c r="S1073" s="99">
        <f>IF(AND(SamplingData[[#This Row],[Total]]&lt;&gt; 0, NOT(ISBLANK(SamplingData[[#This Row],[Candidate 4]]))),(SamplingData[[#This Row],[Total]]+SamplingData[[#This Row],[Winning Candidate]]-SamplingData[[#This Row],[Candidate 4]])/(SamplingData[[#Totals],[Winning Candidate]]-SamplingData[[#Totals],[Candidate 4]]), 0)</f>
        <v>0</v>
      </c>
      <c r="T1073" s="99">
        <f>IF(AND(SamplingData[[#This Row],[Total]]&lt;&gt; 0, NOT(ISBLANK(SamplingData[[#This Row],[Candidate 5]]))),(SamplingData[[#This Row],[Total]]+SamplingData[[#This Row],[Winning Candidate]]-SamplingData[[#This Row],[Candidate 5]])/(SamplingData[[#Totals],[Winning Candidate]]-SamplingData[[#Totals],[Candidate 5]]), 0)</f>
        <v>0</v>
      </c>
      <c r="U1073" s="99">
        <f>IF(AND(SamplingData[[#This Row],[Total]]&lt;&gt; 0, NOT(ISBLANK(SamplingData[[#This Row],[Candidate 6]]))),(SamplingData[[#This Row],[Total]]+SamplingData[[#This Row],[Losing Candidate]]-SamplingData[[#This Row],[Candidate 6]])/(SamplingData[[#Totals],[Winning Candidate]]-SamplingData[[#Totals],[Candidate 6]]), 0)</f>
        <v>0</v>
      </c>
      <c r="V1073" s="99">
        <f>IF(AND(SamplingData[[#This Row],[Total]]&lt;&gt; 0, NOT(ISBLANK(SamplingData[[#This Row],[Candidate 7]]))),(SamplingData[[#This Row],[Total]]+SamplingData[[#This Row],[Winning Candidate]]-SamplingData[[#This Row],[Candidate 7]])/(SamplingData[[#Totals],[Winning Candidate]]-SamplingData[[#Totals],[Candidate 7]]), 0)</f>
        <v>0</v>
      </c>
      <c r="W1073" s="99">
        <f>IF(AND(SamplingData[[#This Row],[Total]]&lt;&gt; 0, NOT(ISBLANK(SamplingData[[#This Row],[Candidate 8]]))),(SamplingData[[#This Row],[Total]]+SamplingData[[#This Row],[Winning Candidate]]-SamplingData[[#This Row],[Candidate 8]])/(SamplingData[[#Totals],[Winning Candidate]]-SamplingData[[#Totals],[Candidate 8]]), 0)</f>
        <v>0</v>
      </c>
      <c r="X10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3" s="99">
        <f>MAX(SamplingData[[#This Row],[Error Bound (up) - Max. possible relative overstatement - Losing Candidate]:[Error Bound (up) - Max. possible relative overstatement - Candidate 12]])</f>
        <v>1.5829231030385332E-2</v>
      </c>
      <c r="AC1073" s="99">
        <f>IF(SamplingData[[#This Row],[Max Error Bound (up)]] = 0,0,SamplingData[[#This Row],[Max Error Bound (up)]]/SamplingData[[#Totals],[Max Error Bound (up)]])</f>
        <v>8.4751154251645137E-4</v>
      </c>
      <c r="AD1073" s="103">
        <f>SUM($AC$5:AC1073)</f>
        <v>0.94750654378885613</v>
      </c>
      <c r="AE1073" s="99" t="str" cm="1">
        <f t="array" ref="AE1073">IF(SamplingData[[#This Row],[up/U Selection Probability]] = 0, "Zero", TEXT(SamplingData[[#This Row],[Lower Range]], REPT("0",LEN('General Info'!$B$42))) &amp; " - " &amp; TEXT(SamplingData[[#This Row],[Upper Range]], REPT("0",LEN('General Info'!$B$42))))</f>
        <v>946659 - 947506</v>
      </c>
      <c r="AF1073" s="99">
        <f>SamplingData[[#This Row],[Upper Range]]-SamplingData[[#This Row],[Span]]</f>
        <v>946659.03224633972</v>
      </c>
      <c r="AG1073" s="99">
        <f>IF(ISNUMBER('General Info'!$B$42), ((SamplingData[[#This Row],[up/U Selection Probability]]) * 'General Info'!$B$44) - 1, 0)</f>
        <v>846.51154251645141</v>
      </c>
      <c r="AH1073" s="99">
        <f>IF(ISNUMBER('General Info'!$B$42), (SamplingData[[#This Row],[Running (cumulative) sum]] * ('General Info'!$B$42 -'General Info'!$B$43 + 1)) + 'General Info'!$B$43 - 1, 0)</f>
        <v>947505.54378885613</v>
      </c>
      <c r="AI1073" s="99" t="str">
        <f>IF(ISERROR(MATCH(SamplingData[[#This Row],[Batch by Type (p)]],SelectedPrecincts[Batch Name], 0)), "", INDEX(SelectedPrecincts[Draw], MATCH(SamplingData[[#This Row],[Batch by Type (p)]],SelectedPrecincts[Batch Name], 0)))</f>
        <v/>
      </c>
      <c r="AJ1073" s="100">
        <f>IF(COUNTIF(SelectedPrecincts[Batch Name],SamplingData[[#This Row],[Batch by Type (p)]]) &lt;&gt; 0, COUNTIF(SelectedPrecincts[Batch Name],SamplingData[[#This Row],[Batch by Type (p)]]), 0)</f>
        <v>0</v>
      </c>
    </row>
    <row r="1074" spans="1:36" ht="15" customHeight="1" x14ac:dyDescent="0.35">
      <c r="A1074" s="97" t="s">
        <v>1287</v>
      </c>
      <c r="B1074" s="97">
        <v>215</v>
      </c>
      <c r="C1074" s="97">
        <v>252</v>
      </c>
      <c r="D1074" s="92"/>
      <c r="E1074" s="92"/>
      <c r="F1074" s="92"/>
      <c r="G1074" s="96"/>
      <c r="H1074" s="96"/>
      <c r="I1074" s="92"/>
      <c r="J1074" s="92"/>
      <c r="K1074" s="92"/>
      <c r="L1074" s="92"/>
      <c r="M1074" s="92"/>
      <c r="N1074" s="97">
        <v>0</v>
      </c>
      <c r="O1074" s="97">
        <v>30</v>
      </c>
      <c r="P1074" s="98">
        <f>SUM(SamplingData[[#This Row],[Winning Candidate]:[Under Votes]])</f>
        <v>497</v>
      </c>
      <c r="Q1074" s="99">
        <f>IF(AND(SamplingData[[#This Row],[Total]]&lt;&gt; 0, NOT(ISBLANK(SamplingData[[#This Row],[Losing Candidate]]))),(SamplingData[[#This Row],[Total]]+SamplingData[[#This Row],[Winning Candidate]]-SamplingData[[#This Row],[Losing Candidate]])/(SamplingData[[#Totals],[Winning Candidate]]-SamplingData[[#Totals],[Losing Candidate]]), 0)</f>
        <v>1.952130368358513E-2</v>
      </c>
      <c r="R1074" s="99">
        <f>IF(AND(SamplingData[[#This Row],[Total]]&lt;&gt; 0, NOT(ISBLANK(SamplingData[[#This Row],[Candidate 3]]))),(SamplingData[[#This Row],[Total]]+SamplingData[[#This Row],[Winning Candidate]]-SamplingData[[#This Row],[Candidate 3]])/(SamplingData[[#Totals],[Winning Candidate]]-SamplingData[[#Totals],[Candidate 3]]), 0)</f>
        <v>0</v>
      </c>
      <c r="S1074" s="99">
        <f>IF(AND(SamplingData[[#This Row],[Total]]&lt;&gt; 0, NOT(ISBLANK(SamplingData[[#This Row],[Candidate 4]]))),(SamplingData[[#This Row],[Total]]+SamplingData[[#This Row],[Winning Candidate]]-SamplingData[[#This Row],[Candidate 4]])/(SamplingData[[#Totals],[Winning Candidate]]-SamplingData[[#Totals],[Candidate 4]]), 0)</f>
        <v>0</v>
      </c>
      <c r="T1074" s="99">
        <f>IF(AND(SamplingData[[#This Row],[Total]]&lt;&gt; 0, NOT(ISBLANK(SamplingData[[#This Row],[Candidate 5]]))),(SamplingData[[#This Row],[Total]]+SamplingData[[#This Row],[Winning Candidate]]-SamplingData[[#This Row],[Candidate 5]])/(SamplingData[[#Totals],[Winning Candidate]]-SamplingData[[#Totals],[Candidate 5]]), 0)</f>
        <v>0</v>
      </c>
      <c r="U1074" s="99">
        <f>IF(AND(SamplingData[[#This Row],[Total]]&lt;&gt; 0, NOT(ISBLANK(SamplingData[[#This Row],[Candidate 6]]))),(SamplingData[[#This Row],[Total]]+SamplingData[[#This Row],[Losing Candidate]]-SamplingData[[#This Row],[Candidate 6]])/(SamplingData[[#Totals],[Winning Candidate]]-SamplingData[[#Totals],[Candidate 6]]), 0)</f>
        <v>0</v>
      </c>
      <c r="V1074" s="99">
        <f>IF(AND(SamplingData[[#This Row],[Total]]&lt;&gt; 0, NOT(ISBLANK(SamplingData[[#This Row],[Candidate 7]]))),(SamplingData[[#This Row],[Total]]+SamplingData[[#This Row],[Winning Candidate]]-SamplingData[[#This Row],[Candidate 7]])/(SamplingData[[#Totals],[Winning Candidate]]-SamplingData[[#Totals],[Candidate 7]]), 0)</f>
        <v>0</v>
      </c>
      <c r="W1074" s="99">
        <f>IF(AND(SamplingData[[#This Row],[Total]]&lt;&gt; 0, NOT(ISBLANK(SamplingData[[#This Row],[Candidate 8]]))),(SamplingData[[#This Row],[Total]]+SamplingData[[#This Row],[Winning Candidate]]-SamplingData[[#This Row],[Candidate 8]])/(SamplingData[[#Totals],[Winning Candidate]]-SamplingData[[#Totals],[Candidate 8]]), 0)</f>
        <v>0</v>
      </c>
      <c r="X10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4" s="99">
        <f>MAX(SamplingData[[#This Row],[Error Bound (up) - Max. possible relative overstatement - Losing Candidate]:[Error Bound (up) - Max. possible relative overstatement - Candidate 12]])</f>
        <v>1.952130368358513E-2</v>
      </c>
      <c r="AC1074" s="99">
        <f>IF(SamplingData[[#This Row],[Max Error Bound (up)]] = 0,0,SamplingData[[#This Row],[Max Error Bound (up)]]/SamplingData[[#Totals],[Max Error Bound (up)]])</f>
        <v>1.0451884974733718E-3</v>
      </c>
      <c r="AD1074" s="103">
        <f>SUM($AC$5:AC1074)</f>
        <v>0.9485517322863295</v>
      </c>
      <c r="AE1074" s="99" t="str" cm="1">
        <f t="array" ref="AE1074">IF(SamplingData[[#This Row],[up/U Selection Probability]] = 0, "Zero", TEXT(SamplingData[[#This Row],[Lower Range]], REPT("0",LEN('General Info'!$B$42))) &amp; " - " &amp; TEXT(SamplingData[[#This Row],[Upper Range]], REPT("0",LEN('General Info'!$B$42))))</f>
        <v>947507 - 948551</v>
      </c>
      <c r="AF1074" s="99">
        <f>SamplingData[[#This Row],[Upper Range]]-SamplingData[[#This Row],[Span]]</f>
        <v>947506.54378885613</v>
      </c>
      <c r="AG1074" s="99">
        <f>IF(ISNUMBER('General Info'!$B$42), ((SamplingData[[#This Row],[up/U Selection Probability]]) * 'General Info'!$B$44) - 1, 0)</f>
        <v>1044.1884974733719</v>
      </c>
      <c r="AH1074" s="99">
        <f>IF(ISNUMBER('General Info'!$B$42), (SamplingData[[#This Row],[Running (cumulative) sum]] * ('General Info'!$B$42 -'General Info'!$B$43 + 1)) + 'General Info'!$B$43 - 1, 0)</f>
        <v>948550.7322863295</v>
      </c>
      <c r="AI1074" s="99" t="str">
        <f>IF(ISERROR(MATCH(SamplingData[[#This Row],[Batch by Type (p)]],SelectedPrecincts[Batch Name], 0)), "", INDEX(SelectedPrecincts[Draw], MATCH(SamplingData[[#This Row],[Batch by Type (p)]],SelectedPrecincts[Batch Name], 0)))</f>
        <v/>
      </c>
      <c r="AJ1074" s="100">
        <f>IF(COUNTIF(SelectedPrecincts[Batch Name],SamplingData[[#This Row],[Batch by Type (p)]]) &lt;&gt; 0, COUNTIF(SelectedPrecincts[Batch Name],SamplingData[[#This Row],[Batch by Type (p)]]), 0)</f>
        <v>0</v>
      </c>
    </row>
    <row r="1075" spans="1:36" ht="15" customHeight="1" x14ac:dyDescent="0.35">
      <c r="A1075" s="97" t="s">
        <v>1288</v>
      </c>
      <c r="B1075" s="97">
        <v>177</v>
      </c>
      <c r="C1075" s="97">
        <v>238</v>
      </c>
      <c r="D1075" s="92"/>
      <c r="E1075" s="92"/>
      <c r="F1075" s="92"/>
      <c r="G1075" s="96"/>
      <c r="H1075" s="96"/>
      <c r="I1075" s="92"/>
      <c r="J1075" s="92"/>
      <c r="K1075" s="92"/>
      <c r="L1075" s="92"/>
      <c r="M1075" s="92"/>
      <c r="N1075" s="97">
        <v>0</v>
      </c>
      <c r="O1075" s="97">
        <v>22</v>
      </c>
      <c r="P1075" s="98">
        <f>SUM(SamplingData[[#This Row],[Winning Candidate]:[Under Votes]])</f>
        <v>437</v>
      </c>
      <c r="Q1075" s="99">
        <f>IF(AND(SamplingData[[#This Row],[Total]]&lt;&gt; 0, NOT(ISBLANK(SamplingData[[#This Row],[Losing Candidate]]))),(SamplingData[[#This Row],[Total]]+SamplingData[[#This Row],[Winning Candidate]]-SamplingData[[#This Row],[Losing Candidate]])/(SamplingData[[#Totals],[Winning Candidate]]-SamplingData[[#Totals],[Losing Candidate]]), 0)</f>
        <v>1.5956543880495673E-2</v>
      </c>
      <c r="R1075" s="99">
        <f>IF(AND(SamplingData[[#This Row],[Total]]&lt;&gt; 0, NOT(ISBLANK(SamplingData[[#This Row],[Candidate 3]]))),(SamplingData[[#This Row],[Total]]+SamplingData[[#This Row],[Winning Candidate]]-SamplingData[[#This Row],[Candidate 3]])/(SamplingData[[#Totals],[Winning Candidate]]-SamplingData[[#Totals],[Candidate 3]]), 0)</f>
        <v>0</v>
      </c>
      <c r="S1075" s="99">
        <f>IF(AND(SamplingData[[#This Row],[Total]]&lt;&gt; 0, NOT(ISBLANK(SamplingData[[#This Row],[Candidate 4]]))),(SamplingData[[#This Row],[Total]]+SamplingData[[#This Row],[Winning Candidate]]-SamplingData[[#This Row],[Candidate 4]])/(SamplingData[[#Totals],[Winning Candidate]]-SamplingData[[#Totals],[Candidate 4]]), 0)</f>
        <v>0</v>
      </c>
      <c r="T1075" s="99">
        <f>IF(AND(SamplingData[[#This Row],[Total]]&lt;&gt; 0, NOT(ISBLANK(SamplingData[[#This Row],[Candidate 5]]))),(SamplingData[[#This Row],[Total]]+SamplingData[[#This Row],[Winning Candidate]]-SamplingData[[#This Row],[Candidate 5]])/(SamplingData[[#Totals],[Winning Candidate]]-SamplingData[[#Totals],[Candidate 5]]), 0)</f>
        <v>0</v>
      </c>
      <c r="U1075" s="99">
        <f>IF(AND(SamplingData[[#This Row],[Total]]&lt;&gt; 0, NOT(ISBLANK(SamplingData[[#This Row],[Candidate 6]]))),(SamplingData[[#This Row],[Total]]+SamplingData[[#This Row],[Losing Candidate]]-SamplingData[[#This Row],[Candidate 6]])/(SamplingData[[#Totals],[Winning Candidate]]-SamplingData[[#Totals],[Candidate 6]]), 0)</f>
        <v>0</v>
      </c>
      <c r="V1075" s="99">
        <f>IF(AND(SamplingData[[#This Row],[Total]]&lt;&gt; 0, NOT(ISBLANK(SamplingData[[#This Row],[Candidate 7]]))),(SamplingData[[#This Row],[Total]]+SamplingData[[#This Row],[Winning Candidate]]-SamplingData[[#This Row],[Candidate 7]])/(SamplingData[[#Totals],[Winning Candidate]]-SamplingData[[#Totals],[Candidate 7]]), 0)</f>
        <v>0</v>
      </c>
      <c r="W1075" s="99">
        <f>IF(AND(SamplingData[[#This Row],[Total]]&lt;&gt; 0, NOT(ISBLANK(SamplingData[[#This Row],[Candidate 8]]))),(SamplingData[[#This Row],[Total]]+SamplingData[[#This Row],[Winning Candidate]]-SamplingData[[#This Row],[Candidate 8]])/(SamplingData[[#Totals],[Winning Candidate]]-SamplingData[[#Totals],[Candidate 8]]), 0)</f>
        <v>0</v>
      </c>
      <c r="X10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5" s="99">
        <f>MAX(SamplingData[[#This Row],[Error Bound (up) - Max. possible relative overstatement - Losing Candidate]:[Error Bound (up) - Max. possible relative overstatement - Candidate 12]])</f>
        <v>1.5956543880495673E-2</v>
      </c>
      <c r="AC1075" s="99">
        <f>IF(SamplingData[[#This Row],[Max Error Bound (up)]] = 0,0,SamplingData[[#This Row],[Max Error Bound (up)]]/SamplingData[[#Totals],[Max Error Bound (up)]])</f>
        <v>8.5432798923910393E-4</v>
      </c>
      <c r="AD1075" s="103">
        <f>SUM($AC$5:AC1075)</f>
        <v>0.94940606027556862</v>
      </c>
      <c r="AE1075" s="99" t="str" cm="1">
        <f t="array" ref="AE1075">IF(SamplingData[[#This Row],[up/U Selection Probability]] = 0, "Zero", TEXT(SamplingData[[#This Row],[Lower Range]], REPT("0",LEN('General Info'!$B$42))) &amp; " - " &amp; TEXT(SamplingData[[#This Row],[Upper Range]], REPT("0",LEN('General Info'!$B$42))))</f>
        <v>948552 - 949405</v>
      </c>
      <c r="AF1075" s="99">
        <f>SamplingData[[#This Row],[Upper Range]]-SamplingData[[#This Row],[Span]]</f>
        <v>948551.7322863295</v>
      </c>
      <c r="AG1075" s="99">
        <f>IF(ISNUMBER('General Info'!$B$42), ((SamplingData[[#This Row],[up/U Selection Probability]]) * 'General Info'!$B$44) - 1, 0)</f>
        <v>853.32798923910389</v>
      </c>
      <c r="AH1075" s="99">
        <f>IF(ISNUMBER('General Info'!$B$42), (SamplingData[[#This Row],[Running (cumulative) sum]] * ('General Info'!$B$42 -'General Info'!$B$43 + 1)) + 'General Info'!$B$43 - 1, 0)</f>
        <v>949405.06027556863</v>
      </c>
      <c r="AI1075" s="99" t="str">
        <f>IF(ISERROR(MATCH(SamplingData[[#This Row],[Batch by Type (p)]],SelectedPrecincts[Batch Name], 0)), "", INDEX(SelectedPrecincts[Draw], MATCH(SamplingData[[#This Row],[Batch by Type (p)]],SelectedPrecincts[Batch Name], 0)))</f>
        <v/>
      </c>
      <c r="AJ1075" s="100">
        <f>IF(COUNTIF(SelectedPrecincts[Batch Name],SamplingData[[#This Row],[Batch by Type (p)]]) &lt;&gt; 0, COUNTIF(SelectedPrecincts[Batch Name],SamplingData[[#This Row],[Batch by Type (p)]]), 0)</f>
        <v>0</v>
      </c>
    </row>
    <row r="1076" spans="1:36" ht="15" customHeight="1" x14ac:dyDescent="0.35">
      <c r="A1076" s="97" t="s">
        <v>1289</v>
      </c>
      <c r="B1076" s="97">
        <v>82</v>
      </c>
      <c r="C1076" s="97">
        <v>94</v>
      </c>
      <c r="D1076" s="92"/>
      <c r="E1076" s="92"/>
      <c r="F1076" s="92"/>
      <c r="G1076" s="96"/>
      <c r="H1076" s="96"/>
      <c r="I1076" s="92"/>
      <c r="J1076" s="92"/>
      <c r="K1076" s="92"/>
      <c r="L1076" s="92"/>
      <c r="M1076" s="92"/>
      <c r="N1076" s="97">
        <v>1</v>
      </c>
      <c r="O1076" s="97">
        <v>27</v>
      </c>
      <c r="P1076" s="98">
        <f>SUM(SamplingData[[#This Row],[Winning Candidate]:[Under Votes]])</f>
        <v>204</v>
      </c>
      <c r="Q1076" s="99">
        <f>IF(AND(SamplingData[[#This Row],[Total]]&lt;&gt; 0, NOT(ISBLANK(SamplingData[[#This Row],[Losing Candidate]]))),(SamplingData[[#This Row],[Total]]+SamplingData[[#This Row],[Winning Candidate]]-SamplingData[[#This Row],[Losing Candidate]])/(SamplingData[[#Totals],[Winning Candidate]]-SamplingData[[#Totals],[Losing Candidate]]), 0)</f>
        <v>8.1480224070616201E-3</v>
      </c>
      <c r="R1076" s="99">
        <f>IF(AND(SamplingData[[#This Row],[Total]]&lt;&gt; 0, NOT(ISBLANK(SamplingData[[#This Row],[Candidate 3]]))),(SamplingData[[#This Row],[Total]]+SamplingData[[#This Row],[Winning Candidate]]-SamplingData[[#This Row],[Candidate 3]])/(SamplingData[[#Totals],[Winning Candidate]]-SamplingData[[#Totals],[Candidate 3]]), 0)</f>
        <v>0</v>
      </c>
      <c r="S1076" s="99">
        <f>IF(AND(SamplingData[[#This Row],[Total]]&lt;&gt; 0, NOT(ISBLANK(SamplingData[[#This Row],[Candidate 4]]))),(SamplingData[[#This Row],[Total]]+SamplingData[[#This Row],[Winning Candidate]]-SamplingData[[#This Row],[Candidate 4]])/(SamplingData[[#Totals],[Winning Candidate]]-SamplingData[[#Totals],[Candidate 4]]), 0)</f>
        <v>0</v>
      </c>
      <c r="T1076" s="99">
        <f>IF(AND(SamplingData[[#This Row],[Total]]&lt;&gt; 0, NOT(ISBLANK(SamplingData[[#This Row],[Candidate 5]]))),(SamplingData[[#This Row],[Total]]+SamplingData[[#This Row],[Winning Candidate]]-SamplingData[[#This Row],[Candidate 5]])/(SamplingData[[#Totals],[Winning Candidate]]-SamplingData[[#Totals],[Candidate 5]]), 0)</f>
        <v>0</v>
      </c>
      <c r="U1076" s="99">
        <f>IF(AND(SamplingData[[#This Row],[Total]]&lt;&gt; 0, NOT(ISBLANK(SamplingData[[#This Row],[Candidate 6]]))),(SamplingData[[#This Row],[Total]]+SamplingData[[#This Row],[Losing Candidate]]-SamplingData[[#This Row],[Candidate 6]])/(SamplingData[[#Totals],[Winning Candidate]]-SamplingData[[#Totals],[Candidate 6]]), 0)</f>
        <v>0</v>
      </c>
      <c r="V1076" s="99">
        <f>IF(AND(SamplingData[[#This Row],[Total]]&lt;&gt; 0, NOT(ISBLANK(SamplingData[[#This Row],[Candidate 7]]))),(SamplingData[[#This Row],[Total]]+SamplingData[[#This Row],[Winning Candidate]]-SamplingData[[#This Row],[Candidate 7]])/(SamplingData[[#Totals],[Winning Candidate]]-SamplingData[[#Totals],[Candidate 7]]), 0)</f>
        <v>0</v>
      </c>
      <c r="W1076" s="99">
        <f>IF(AND(SamplingData[[#This Row],[Total]]&lt;&gt; 0, NOT(ISBLANK(SamplingData[[#This Row],[Candidate 8]]))),(SamplingData[[#This Row],[Total]]+SamplingData[[#This Row],[Winning Candidate]]-SamplingData[[#This Row],[Candidate 8]])/(SamplingData[[#Totals],[Winning Candidate]]-SamplingData[[#Totals],[Candidate 8]]), 0)</f>
        <v>0</v>
      </c>
      <c r="X10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6" s="99">
        <f>MAX(SamplingData[[#This Row],[Error Bound (up) - Max. possible relative overstatement - Losing Candidate]:[Error Bound (up) - Max. possible relative overstatement - Candidate 12]])</f>
        <v>8.1480224070616201E-3</v>
      </c>
      <c r="AC1076" s="99">
        <f>IF(SamplingData[[#This Row],[Max Error Bound (up)]] = 0,0,SamplingData[[#This Row],[Max Error Bound (up)]]/SamplingData[[#Totals],[Max Error Bound (up)]])</f>
        <v>4.362525902497552E-4</v>
      </c>
      <c r="AD1076" s="103">
        <f>SUM($AC$5:AC1076)</f>
        <v>0.94984231286581833</v>
      </c>
      <c r="AE1076" s="99" t="str" cm="1">
        <f t="array" ref="AE1076">IF(SamplingData[[#This Row],[up/U Selection Probability]] = 0, "Zero", TEXT(SamplingData[[#This Row],[Lower Range]], REPT("0",LEN('General Info'!$B$42))) &amp; " - " &amp; TEXT(SamplingData[[#This Row],[Upper Range]], REPT("0",LEN('General Info'!$B$42))))</f>
        <v>949406 - 949841</v>
      </c>
      <c r="AF1076" s="99">
        <f>SamplingData[[#This Row],[Upper Range]]-SamplingData[[#This Row],[Span]]</f>
        <v>949406.06027556863</v>
      </c>
      <c r="AG1076" s="99">
        <f>IF(ISNUMBER('General Info'!$B$42), ((SamplingData[[#This Row],[up/U Selection Probability]]) * 'General Info'!$B$44) - 1, 0)</f>
        <v>435.2525902497552</v>
      </c>
      <c r="AH1076" s="99">
        <f>IF(ISNUMBER('General Info'!$B$42), (SamplingData[[#This Row],[Running (cumulative) sum]] * ('General Info'!$B$42 -'General Info'!$B$43 + 1)) + 'General Info'!$B$43 - 1, 0)</f>
        <v>949841.31286581839</v>
      </c>
      <c r="AI1076" s="99" t="str">
        <f>IF(ISERROR(MATCH(SamplingData[[#This Row],[Batch by Type (p)]],SelectedPrecincts[Batch Name], 0)), "", INDEX(SelectedPrecincts[Draw], MATCH(SamplingData[[#This Row],[Batch by Type (p)]],SelectedPrecincts[Batch Name], 0)))</f>
        <v/>
      </c>
      <c r="AJ1076" s="100">
        <f>IF(COUNTIF(SelectedPrecincts[Batch Name],SamplingData[[#This Row],[Batch by Type (p)]]) &lt;&gt; 0, COUNTIF(SelectedPrecincts[Batch Name],SamplingData[[#This Row],[Batch by Type (p)]]), 0)</f>
        <v>0</v>
      </c>
    </row>
    <row r="1077" spans="1:36" ht="15" customHeight="1" x14ac:dyDescent="0.35">
      <c r="A1077" s="97" t="s">
        <v>1290</v>
      </c>
      <c r="B1077" s="97">
        <v>236</v>
      </c>
      <c r="C1077" s="97">
        <v>152</v>
      </c>
      <c r="D1077" s="92"/>
      <c r="E1077" s="92"/>
      <c r="F1077" s="92"/>
      <c r="G1077" s="96"/>
      <c r="H1077" s="96"/>
      <c r="I1077" s="92"/>
      <c r="J1077" s="92"/>
      <c r="K1077" s="92"/>
      <c r="L1077" s="92"/>
      <c r="M1077" s="92"/>
      <c r="N1077" s="97">
        <v>1</v>
      </c>
      <c r="O1077" s="97">
        <v>13</v>
      </c>
      <c r="P1077" s="98">
        <f>SUM(SamplingData[[#This Row],[Winning Candidate]:[Under Votes]])</f>
        <v>402</v>
      </c>
      <c r="Q1077" s="99">
        <f>IF(AND(SamplingData[[#This Row],[Total]]&lt;&gt; 0, NOT(ISBLANK(SamplingData[[#This Row],[Losing Candidate]]))),(SamplingData[[#This Row],[Total]]+SamplingData[[#This Row],[Winning Candidate]]-SamplingData[[#This Row],[Losing Candidate]])/(SamplingData[[#Totals],[Winning Candidate]]-SamplingData[[#Totals],[Losing Candidate]]), 0)</f>
        <v>2.0624681717874724E-2</v>
      </c>
      <c r="R1077" s="99">
        <f>IF(AND(SamplingData[[#This Row],[Total]]&lt;&gt; 0, NOT(ISBLANK(SamplingData[[#This Row],[Candidate 3]]))),(SamplingData[[#This Row],[Total]]+SamplingData[[#This Row],[Winning Candidate]]-SamplingData[[#This Row],[Candidate 3]])/(SamplingData[[#Totals],[Winning Candidate]]-SamplingData[[#Totals],[Candidate 3]]), 0)</f>
        <v>0</v>
      </c>
      <c r="S1077" s="99">
        <f>IF(AND(SamplingData[[#This Row],[Total]]&lt;&gt; 0, NOT(ISBLANK(SamplingData[[#This Row],[Candidate 4]]))),(SamplingData[[#This Row],[Total]]+SamplingData[[#This Row],[Winning Candidate]]-SamplingData[[#This Row],[Candidate 4]])/(SamplingData[[#Totals],[Winning Candidate]]-SamplingData[[#Totals],[Candidate 4]]), 0)</f>
        <v>0</v>
      </c>
      <c r="T1077" s="99">
        <f>IF(AND(SamplingData[[#This Row],[Total]]&lt;&gt; 0, NOT(ISBLANK(SamplingData[[#This Row],[Candidate 5]]))),(SamplingData[[#This Row],[Total]]+SamplingData[[#This Row],[Winning Candidate]]-SamplingData[[#This Row],[Candidate 5]])/(SamplingData[[#Totals],[Winning Candidate]]-SamplingData[[#Totals],[Candidate 5]]), 0)</f>
        <v>0</v>
      </c>
      <c r="U1077" s="99">
        <f>IF(AND(SamplingData[[#This Row],[Total]]&lt;&gt; 0, NOT(ISBLANK(SamplingData[[#This Row],[Candidate 6]]))),(SamplingData[[#This Row],[Total]]+SamplingData[[#This Row],[Losing Candidate]]-SamplingData[[#This Row],[Candidate 6]])/(SamplingData[[#Totals],[Winning Candidate]]-SamplingData[[#Totals],[Candidate 6]]), 0)</f>
        <v>0</v>
      </c>
      <c r="V1077" s="99">
        <f>IF(AND(SamplingData[[#This Row],[Total]]&lt;&gt; 0, NOT(ISBLANK(SamplingData[[#This Row],[Candidate 7]]))),(SamplingData[[#This Row],[Total]]+SamplingData[[#This Row],[Winning Candidate]]-SamplingData[[#This Row],[Candidate 7]])/(SamplingData[[#Totals],[Winning Candidate]]-SamplingData[[#Totals],[Candidate 7]]), 0)</f>
        <v>0</v>
      </c>
      <c r="W1077" s="99">
        <f>IF(AND(SamplingData[[#This Row],[Total]]&lt;&gt; 0, NOT(ISBLANK(SamplingData[[#This Row],[Candidate 8]]))),(SamplingData[[#This Row],[Total]]+SamplingData[[#This Row],[Winning Candidate]]-SamplingData[[#This Row],[Candidate 8]])/(SamplingData[[#Totals],[Winning Candidate]]-SamplingData[[#Totals],[Candidate 8]]), 0)</f>
        <v>0</v>
      </c>
      <c r="X10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7" s="99">
        <f>MAX(SamplingData[[#This Row],[Error Bound (up) - Max. possible relative overstatement - Losing Candidate]:[Error Bound (up) - Max. possible relative overstatement - Candidate 12]])</f>
        <v>2.0624681717874724E-2</v>
      </c>
      <c r="AC1077" s="99">
        <f>IF(SamplingData[[#This Row],[Max Error Bound (up)]] = 0,0,SamplingData[[#This Row],[Max Error Bound (up)]]/SamplingData[[#Totals],[Max Error Bound (up)]])</f>
        <v>1.1042643690696928E-3</v>
      </c>
      <c r="AD1077" s="103">
        <f>SUM($AC$5:AC1077)</f>
        <v>0.95094657723488807</v>
      </c>
      <c r="AE1077" s="99" t="str" cm="1">
        <f t="array" ref="AE1077">IF(SamplingData[[#This Row],[up/U Selection Probability]] = 0, "Zero", TEXT(SamplingData[[#This Row],[Lower Range]], REPT("0",LEN('General Info'!$B$42))) &amp; " - " &amp; TEXT(SamplingData[[#This Row],[Upper Range]], REPT("0",LEN('General Info'!$B$42))))</f>
        <v>949842 - 950946</v>
      </c>
      <c r="AF1077" s="99">
        <f>SamplingData[[#This Row],[Upper Range]]-SamplingData[[#This Row],[Span]]</f>
        <v>949842.31286581839</v>
      </c>
      <c r="AG1077" s="99">
        <f>IF(ISNUMBER('General Info'!$B$42), ((SamplingData[[#This Row],[up/U Selection Probability]]) * 'General Info'!$B$44) - 1, 0)</f>
        <v>1103.2643690696927</v>
      </c>
      <c r="AH1077" s="99">
        <f>IF(ISNUMBER('General Info'!$B$42), (SamplingData[[#This Row],[Running (cumulative) sum]] * ('General Info'!$B$42 -'General Info'!$B$43 + 1)) + 'General Info'!$B$43 - 1, 0)</f>
        <v>950945.5772348881</v>
      </c>
      <c r="AI1077" s="99" t="str">
        <f>IF(ISERROR(MATCH(SamplingData[[#This Row],[Batch by Type (p)]],SelectedPrecincts[Batch Name], 0)), "", INDEX(SelectedPrecincts[Draw], MATCH(SamplingData[[#This Row],[Batch by Type (p)]],SelectedPrecincts[Batch Name], 0)))</f>
        <v/>
      </c>
      <c r="AJ1077" s="100">
        <f>IF(COUNTIF(SelectedPrecincts[Batch Name],SamplingData[[#This Row],[Batch by Type (p)]]) &lt;&gt; 0, COUNTIF(SelectedPrecincts[Batch Name],SamplingData[[#This Row],[Batch by Type (p)]]), 0)</f>
        <v>0</v>
      </c>
    </row>
    <row r="1078" spans="1:36" ht="15" customHeight="1" x14ac:dyDescent="0.35">
      <c r="A1078" s="97" t="s">
        <v>1291</v>
      </c>
      <c r="B1078" s="97">
        <v>245</v>
      </c>
      <c r="C1078" s="97">
        <v>65</v>
      </c>
      <c r="D1078" s="92"/>
      <c r="E1078" s="92"/>
      <c r="F1078" s="92"/>
      <c r="G1078" s="96"/>
      <c r="H1078" s="96"/>
      <c r="I1078" s="92"/>
      <c r="J1078" s="92"/>
      <c r="K1078" s="92"/>
      <c r="L1078" s="92"/>
      <c r="M1078" s="92"/>
      <c r="N1078" s="97">
        <v>0</v>
      </c>
      <c r="O1078" s="97">
        <v>19</v>
      </c>
      <c r="P1078" s="98">
        <f>SUM(SamplingData[[#This Row],[Winning Candidate]:[Under Votes]])</f>
        <v>329</v>
      </c>
      <c r="Q1078" s="99">
        <f>IF(AND(SamplingData[[#This Row],[Total]]&lt;&gt; 0, NOT(ISBLANK(SamplingData[[#This Row],[Losing Candidate]]))),(SamplingData[[#This Row],[Total]]+SamplingData[[#This Row],[Winning Candidate]]-SamplingData[[#This Row],[Losing Candidate]])/(SamplingData[[#Totals],[Winning Candidate]]-SamplingData[[#Totals],[Losing Candidate]]), 0)</f>
        <v>2.1600746902053981E-2</v>
      </c>
      <c r="R1078" s="99">
        <f>IF(AND(SamplingData[[#This Row],[Total]]&lt;&gt; 0, NOT(ISBLANK(SamplingData[[#This Row],[Candidate 3]]))),(SamplingData[[#This Row],[Total]]+SamplingData[[#This Row],[Winning Candidate]]-SamplingData[[#This Row],[Candidate 3]])/(SamplingData[[#Totals],[Winning Candidate]]-SamplingData[[#Totals],[Candidate 3]]), 0)</f>
        <v>0</v>
      </c>
      <c r="S1078" s="99">
        <f>IF(AND(SamplingData[[#This Row],[Total]]&lt;&gt; 0, NOT(ISBLANK(SamplingData[[#This Row],[Candidate 4]]))),(SamplingData[[#This Row],[Total]]+SamplingData[[#This Row],[Winning Candidate]]-SamplingData[[#This Row],[Candidate 4]])/(SamplingData[[#Totals],[Winning Candidate]]-SamplingData[[#Totals],[Candidate 4]]), 0)</f>
        <v>0</v>
      </c>
      <c r="T1078" s="99">
        <f>IF(AND(SamplingData[[#This Row],[Total]]&lt;&gt; 0, NOT(ISBLANK(SamplingData[[#This Row],[Candidate 5]]))),(SamplingData[[#This Row],[Total]]+SamplingData[[#This Row],[Winning Candidate]]-SamplingData[[#This Row],[Candidate 5]])/(SamplingData[[#Totals],[Winning Candidate]]-SamplingData[[#Totals],[Candidate 5]]), 0)</f>
        <v>0</v>
      </c>
      <c r="U1078" s="99">
        <f>IF(AND(SamplingData[[#This Row],[Total]]&lt;&gt; 0, NOT(ISBLANK(SamplingData[[#This Row],[Candidate 6]]))),(SamplingData[[#This Row],[Total]]+SamplingData[[#This Row],[Losing Candidate]]-SamplingData[[#This Row],[Candidate 6]])/(SamplingData[[#Totals],[Winning Candidate]]-SamplingData[[#Totals],[Candidate 6]]), 0)</f>
        <v>0</v>
      </c>
      <c r="V1078" s="99">
        <f>IF(AND(SamplingData[[#This Row],[Total]]&lt;&gt; 0, NOT(ISBLANK(SamplingData[[#This Row],[Candidate 7]]))),(SamplingData[[#This Row],[Total]]+SamplingData[[#This Row],[Winning Candidate]]-SamplingData[[#This Row],[Candidate 7]])/(SamplingData[[#Totals],[Winning Candidate]]-SamplingData[[#Totals],[Candidate 7]]), 0)</f>
        <v>0</v>
      </c>
      <c r="W1078" s="99">
        <f>IF(AND(SamplingData[[#This Row],[Total]]&lt;&gt; 0, NOT(ISBLANK(SamplingData[[#This Row],[Candidate 8]]))),(SamplingData[[#This Row],[Total]]+SamplingData[[#This Row],[Winning Candidate]]-SamplingData[[#This Row],[Candidate 8]])/(SamplingData[[#Totals],[Winning Candidate]]-SamplingData[[#Totals],[Candidate 8]]), 0)</f>
        <v>0</v>
      </c>
      <c r="X10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8" s="99">
        <f>MAX(SamplingData[[#This Row],[Error Bound (up) - Max. possible relative overstatement - Losing Candidate]:[Error Bound (up) - Max. possible relative overstatement - Candidate 12]])</f>
        <v>2.1600746902053981E-2</v>
      </c>
      <c r="AC1078" s="99">
        <f>IF(SamplingData[[#This Row],[Max Error Bound (up)]] = 0,0,SamplingData[[#This Row],[Max Error Bound (up)]]/SamplingData[[#Totals],[Max Error Bound (up)]])</f>
        <v>1.1565237939433614E-3</v>
      </c>
      <c r="AD1078" s="103">
        <f>SUM($AC$5:AC1078)</f>
        <v>0.95210310102883144</v>
      </c>
      <c r="AE1078" s="99" t="str" cm="1">
        <f t="array" ref="AE1078">IF(SamplingData[[#This Row],[up/U Selection Probability]] = 0, "Zero", TEXT(SamplingData[[#This Row],[Lower Range]], REPT("0",LEN('General Info'!$B$42))) &amp; " - " &amp; TEXT(SamplingData[[#This Row],[Upper Range]], REPT("0",LEN('General Info'!$B$42))))</f>
        <v>950947 - 952102</v>
      </c>
      <c r="AF1078" s="99">
        <f>SamplingData[[#This Row],[Upper Range]]-SamplingData[[#This Row],[Span]]</f>
        <v>950946.5772348881</v>
      </c>
      <c r="AG1078" s="99">
        <f>IF(ISNUMBER('General Info'!$B$42), ((SamplingData[[#This Row],[up/U Selection Probability]]) * 'General Info'!$B$44) - 1, 0)</f>
        <v>1155.5237939433614</v>
      </c>
      <c r="AH1078" s="99">
        <f>IF(ISNUMBER('General Info'!$B$42), (SamplingData[[#This Row],[Running (cumulative) sum]] * ('General Info'!$B$42 -'General Info'!$B$43 + 1)) + 'General Info'!$B$43 - 1, 0)</f>
        <v>952102.10102883144</v>
      </c>
      <c r="AI1078" s="99" t="str">
        <f>IF(ISERROR(MATCH(SamplingData[[#This Row],[Batch by Type (p)]],SelectedPrecincts[Batch Name], 0)), "", INDEX(SelectedPrecincts[Draw], MATCH(SamplingData[[#This Row],[Batch by Type (p)]],SelectedPrecincts[Batch Name], 0)))</f>
        <v/>
      </c>
      <c r="AJ1078" s="100">
        <f>IF(COUNTIF(SelectedPrecincts[Batch Name],SamplingData[[#This Row],[Batch by Type (p)]]) &lt;&gt; 0, COUNTIF(SelectedPrecincts[Batch Name],SamplingData[[#This Row],[Batch by Type (p)]]), 0)</f>
        <v>0</v>
      </c>
    </row>
    <row r="1079" spans="1:36" ht="15" customHeight="1" x14ac:dyDescent="0.35">
      <c r="A1079" s="97" t="s">
        <v>1292</v>
      </c>
      <c r="B1079" s="97">
        <v>81</v>
      </c>
      <c r="C1079" s="97">
        <v>20</v>
      </c>
      <c r="D1079" s="92"/>
      <c r="E1079" s="92"/>
      <c r="F1079" s="92"/>
      <c r="G1079" s="96"/>
      <c r="H1079" s="96"/>
      <c r="I1079" s="92"/>
      <c r="J1079" s="92"/>
      <c r="K1079" s="92"/>
      <c r="L1079" s="92"/>
      <c r="M1079" s="92"/>
      <c r="N1079" s="97">
        <v>1</v>
      </c>
      <c r="O1079" s="97">
        <v>6</v>
      </c>
      <c r="P1079" s="98">
        <f>SUM(SamplingData[[#This Row],[Winning Candidate]:[Under Votes]])</f>
        <v>108</v>
      </c>
      <c r="Q1079" s="99">
        <f>IF(AND(SamplingData[[#This Row],[Total]]&lt;&gt; 0, NOT(ISBLANK(SamplingData[[#This Row],[Losing Candidate]]))),(SamplingData[[#This Row],[Total]]+SamplingData[[#This Row],[Winning Candidate]]-SamplingData[[#This Row],[Losing Candidate]])/(SamplingData[[#Totals],[Winning Candidate]]-SamplingData[[#Totals],[Losing Candidate]]), 0)</f>
        <v>7.1719572228823632E-3</v>
      </c>
      <c r="R1079" s="99">
        <f>IF(AND(SamplingData[[#This Row],[Total]]&lt;&gt; 0, NOT(ISBLANK(SamplingData[[#This Row],[Candidate 3]]))),(SamplingData[[#This Row],[Total]]+SamplingData[[#This Row],[Winning Candidate]]-SamplingData[[#This Row],[Candidate 3]])/(SamplingData[[#Totals],[Winning Candidate]]-SamplingData[[#Totals],[Candidate 3]]), 0)</f>
        <v>0</v>
      </c>
      <c r="S1079" s="99">
        <f>IF(AND(SamplingData[[#This Row],[Total]]&lt;&gt; 0, NOT(ISBLANK(SamplingData[[#This Row],[Candidate 4]]))),(SamplingData[[#This Row],[Total]]+SamplingData[[#This Row],[Winning Candidate]]-SamplingData[[#This Row],[Candidate 4]])/(SamplingData[[#Totals],[Winning Candidate]]-SamplingData[[#Totals],[Candidate 4]]), 0)</f>
        <v>0</v>
      </c>
      <c r="T1079" s="99">
        <f>IF(AND(SamplingData[[#This Row],[Total]]&lt;&gt; 0, NOT(ISBLANK(SamplingData[[#This Row],[Candidate 5]]))),(SamplingData[[#This Row],[Total]]+SamplingData[[#This Row],[Winning Candidate]]-SamplingData[[#This Row],[Candidate 5]])/(SamplingData[[#Totals],[Winning Candidate]]-SamplingData[[#Totals],[Candidate 5]]), 0)</f>
        <v>0</v>
      </c>
      <c r="U1079" s="99">
        <f>IF(AND(SamplingData[[#This Row],[Total]]&lt;&gt; 0, NOT(ISBLANK(SamplingData[[#This Row],[Candidate 6]]))),(SamplingData[[#This Row],[Total]]+SamplingData[[#This Row],[Losing Candidate]]-SamplingData[[#This Row],[Candidate 6]])/(SamplingData[[#Totals],[Winning Candidate]]-SamplingData[[#Totals],[Candidate 6]]), 0)</f>
        <v>0</v>
      </c>
      <c r="V1079" s="99">
        <f>IF(AND(SamplingData[[#This Row],[Total]]&lt;&gt; 0, NOT(ISBLANK(SamplingData[[#This Row],[Candidate 7]]))),(SamplingData[[#This Row],[Total]]+SamplingData[[#This Row],[Winning Candidate]]-SamplingData[[#This Row],[Candidate 7]])/(SamplingData[[#Totals],[Winning Candidate]]-SamplingData[[#Totals],[Candidate 7]]), 0)</f>
        <v>0</v>
      </c>
      <c r="W1079" s="99">
        <f>IF(AND(SamplingData[[#This Row],[Total]]&lt;&gt; 0, NOT(ISBLANK(SamplingData[[#This Row],[Candidate 8]]))),(SamplingData[[#This Row],[Total]]+SamplingData[[#This Row],[Winning Candidate]]-SamplingData[[#This Row],[Candidate 8]])/(SamplingData[[#Totals],[Winning Candidate]]-SamplingData[[#Totals],[Candidate 8]]), 0)</f>
        <v>0</v>
      </c>
      <c r="X10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9" s="99">
        <f>MAX(SamplingData[[#This Row],[Error Bound (up) - Max. possible relative overstatement - Losing Candidate]:[Error Bound (up) - Max. possible relative overstatement - Candidate 12]])</f>
        <v>7.1719572228823632E-3</v>
      </c>
      <c r="AC1079" s="99">
        <f>IF(SamplingData[[#This Row],[Max Error Bound (up)]] = 0,0,SamplingData[[#This Row],[Max Error Bound (up)]]/SamplingData[[#Totals],[Max Error Bound (up)]])</f>
        <v>3.8399316537608659E-4</v>
      </c>
      <c r="AD1079" s="103">
        <f>SUM($AC$5:AC1079)</f>
        <v>0.95248709419420752</v>
      </c>
      <c r="AE1079" s="99" t="str" cm="1">
        <f t="array" ref="AE1079">IF(SamplingData[[#This Row],[up/U Selection Probability]] = 0, "Zero", TEXT(SamplingData[[#This Row],[Lower Range]], REPT("0",LEN('General Info'!$B$42))) &amp; " - " &amp; TEXT(SamplingData[[#This Row],[Upper Range]], REPT("0",LEN('General Info'!$B$42))))</f>
        <v>952103 - 952486</v>
      </c>
      <c r="AF1079" s="99">
        <f>SamplingData[[#This Row],[Upper Range]]-SamplingData[[#This Row],[Span]]</f>
        <v>952103.10102883144</v>
      </c>
      <c r="AG1079" s="99">
        <f>IF(ISNUMBER('General Info'!$B$42), ((SamplingData[[#This Row],[up/U Selection Probability]]) * 'General Info'!$B$44) - 1, 0)</f>
        <v>382.99316537608661</v>
      </c>
      <c r="AH1079" s="99">
        <f>IF(ISNUMBER('General Info'!$B$42), (SamplingData[[#This Row],[Running (cumulative) sum]] * ('General Info'!$B$42 -'General Info'!$B$43 + 1)) + 'General Info'!$B$43 - 1, 0)</f>
        <v>952486.09419420757</v>
      </c>
      <c r="AI1079" s="99" t="str">
        <f>IF(ISERROR(MATCH(SamplingData[[#This Row],[Batch by Type (p)]],SelectedPrecincts[Batch Name], 0)), "", INDEX(SelectedPrecincts[Draw], MATCH(SamplingData[[#This Row],[Batch by Type (p)]],SelectedPrecincts[Batch Name], 0)))</f>
        <v/>
      </c>
      <c r="AJ1079" s="100">
        <f>IF(COUNTIF(SelectedPrecincts[Batch Name],SamplingData[[#This Row],[Batch by Type (p)]]) &lt;&gt; 0, COUNTIF(SelectedPrecincts[Batch Name],SamplingData[[#This Row],[Batch by Type (p)]]), 0)</f>
        <v>0</v>
      </c>
    </row>
    <row r="1080" spans="1:36" ht="15" customHeight="1" x14ac:dyDescent="0.35">
      <c r="A1080" s="97" t="s">
        <v>1293</v>
      </c>
      <c r="B1080" s="97">
        <v>264</v>
      </c>
      <c r="C1080" s="97">
        <v>206</v>
      </c>
      <c r="D1080" s="92"/>
      <c r="E1080" s="92"/>
      <c r="F1080" s="92"/>
      <c r="G1080" s="96"/>
      <c r="H1080" s="96"/>
      <c r="I1080" s="92"/>
      <c r="J1080" s="92"/>
      <c r="K1080" s="92"/>
      <c r="L1080" s="92"/>
      <c r="M1080" s="92"/>
      <c r="N1080" s="97">
        <v>0</v>
      </c>
      <c r="O1080" s="97">
        <v>22</v>
      </c>
      <c r="P1080" s="98">
        <f>SUM(SamplingData[[#This Row],[Winning Candidate]:[Under Votes]])</f>
        <v>492</v>
      </c>
      <c r="Q1080" s="99">
        <f>IF(AND(SamplingData[[#This Row],[Total]]&lt;&gt; 0, NOT(ISBLANK(SamplingData[[#This Row],[Losing Candidate]]))),(SamplingData[[#This Row],[Total]]+SamplingData[[#This Row],[Winning Candidate]]-SamplingData[[#This Row],[Losing Candidate]])/(SamplingData[[#Totals],[Winning Candidate]]-SamplingData[[#Totals],[Losing Candidate]]), 0)</f>
        <v>2.3340689186895264E-2</v>
      </c>
      <c r="R1080" s="99">
        <f>IF(AND(SamplingData[[#This Row],[Total]]&lt;&gt; 0, NOT(ISBLANK(SamplingData[[#This Row],[Candidate 3]]))),(SamplingData[[#This Row],[Total]]+SamplingData[[#This Row],[Winning Candidate]]-SamplingData[[#This Row],[Candidate 3]])/(SamplingData[[#Totals],[Winning Candidate]]-SamplingData[[#Totals],[Candidate 3]]), 0)</f>
        <v>0</v>
      </c>
      <c r="S1080" s="99">
        <f>IF(AND(SamplingData[[#This Row],[Total]]&lt;&gt; 0, NOT(ISBLANK(SamplingData[[#This Row],[Candidate 4]]))),(SamplingData[[#This Row],[Total]]+SamplingData[[#This Row],[Winning Candidate]]-SamplingData[[#This Row],[Candidate 4]])/(SamplingData[[#Totals],[Winning Candidate]]-SamplingData[[#Totals],[Candidate 4]]), 0)</f>
        <v>0</v>
      </c>
      <c r="T1080" s="99">
        <f>IF(AND(SamplingData[[#This Row],[Total]]&lt;&gt; 0, NOT(ISBLANK(SamplingData[[#This Row],[Candidate 5]]))),(SamplingData[[#This Row],[Total]]+SamplingData[[#This Row],[Winning Candidate]]-SamplingData[[#This Row],[Candidate 5]])/(SamplingData[[#Totals],[Winning Candidate]]-SamplingData[[#Totals],[Candidate 5]]), 0)</f>
        <v>0</v>
      </c>
      <c r="U1080" s="99">
        <f>IF(AND(SamplingData[[#This Row],[Total]]&lt;&gt; 0, NOT(ISBLANK(SamplingData[[#This Row],[Candidate 6]]))),(SamplingData[[#This Row],[Total]]+SamplingData[[#This Row],[Losing Candidate]]-SamplingData[[#This Row],[Candidate 6]])/(SamplingData[[#Totals],[Winning Candidate]]-SamplingData[[#Totals],[Candidate 6]]), 0)</f>
        <v>0</v>
      </c>
      <c r="V1080" s="99">
        <f>IF(AND(SamplingData[[#This Row],[Total]]&lt;&gt; 0, NOT(ISBLANK(SamplingData[[#This Row],[Candidate 7]]))),(SamplingData[[#This Row],[Total]]+SamplingData[[#This Row],[Winning Candidate]]-SamplingData[[#This Row],[Candidate 7]])/(SamplingData[[#Totals],[Winning Candidate]]-SamplingData[[#Totals],[Candidate 7]]), 0)</f>
        <v>0</v>
      </c>
      <c r="W1080" s="99">
        <f>IF(AND(SamplingData[[#This Row],[Total]]&lt;&gt; 0, NOT(ISBLANK(SamplingData[[#This Row],[Candidate 8]]))),(SamplingData[[#This Row],[Total]]+SamplingData[[#This Row],[Winning Candidate]]-SamplingData[[#This Row],[Candidate 8]])/(SamplingData[[#Totals],[Winning Candidate]]-SamplingData[[#Totals],[Candidate 8]]), 0)</f>
        <v>0</v>
      </c>
      <c r="X10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0" s="99">
        <f>MAX(SamplingData[[#This Row],[Error Bound (up) - Max. possible relative overstatement - Losing Candidate]:[Error Bound (up) - Max. possible relative overstatement - Candidate 12]])</f>
        <v>2.3340689186895264E-2</v>
      </c>
      <c r="AC1080" s="99">
        <f>IF(SamplingData[[#This Row],[Max Error Bound (up)]] = 0,0,SamplingData[[#This Row],[Max Error Bound (up)]]/SamplingData[[#Totals],[Max Error Bound (up)]])</f>
        <v>1.2496818991529445E-3</v>
      </c>
      <c r="AD1080" s="103">
        <f>SUM($AC$5:AC1080)</f>
        <v>0.95373677609336049</v>
      </c>
      <c r="AE1080" s="99" t="str" cm="1">
        <f t="array" ref="AE1080">IF(SamplingData[[#This Row],[up/U Selection Probability]] = 0, "Zero", TEXT(SamplingData[[#This Row],[Lower Range]], REPT("0",LEN('General Info'!$B$42))) &amp; " - " &amp; TEXT(SamplingData[[#This Row],[Upper Range]], REPT("0",LEN('General Info'!$B$42))))</f>
        <v>952487 - 953736</v>
      </c>
      <c r="AF1080" s="99">
        <f>SamplingData[[#This Row],[Upper Range]]-SamplingData[[#This Row],[Span]]</f>
        <v>952487.09419420757</v>
      </c>
      <c r="AG1080" s="99">
        <f>IF(ISNUMBER('General Info'!$B$42), ((SamplingData[[#This Row],[up/U Selection Probability]]) * 'General Info'!$B$44) - 1, 0)</f>
        <v>1248.6818991529444</v>
      </c>
      <c r="AH1080" s="99">
        <f>IF(ISNUMBER('General Info'!$B$42), (SamplingData[[#This Row],[Running (cumulative) sum]] * ('General Info'!$B$42 -'General Info'!$B$43 + 1)) + 'General Info'!$B$43 - 1, 0)</f>
        <v>953735.7760933605</v>
      </c>
      <c r="AI1080" s="99" t="str">
        <f>IF(ISERROR(MATCH(SamplingData[[#This Row],[Batch by Type (p)]],SelectedPrecincts[Batch Name], 0)), "", INDEX(SelectedPrecincts[Draw], MATCH(SamplingData[[#This Row],[Batch by Type (p)]],SelectedPrecincts[Batch Name], 0)))</f>
        <v/>
      </c>
      <c r="AJ1080" s="100">
        <f>IF(COUNTIF(SelectedPrecincts[Batch Name],SamplingData[[#This Row],[Batch by Type (p)]]) &lt;&gt; 0, COUNTIF(SelectedPrecincts[Batch Name],SamplingData[[#This Row],[Batch by Type (p)]]), 0)</f>
        <v>0</v>
      </c>
    </row>
    <row r="1081" spans="1:36" ht="15" customHeight="1" x14ac:dyDescent="0.35">
      <c r="A1081" s="97" t="s">
        <v>1294</v>
      </c>
      <c r="B1081" s="97">
        <v>241</v>
      </c>
      <c r="C1081" s="97">
        <v>204</v>
      </c>
      <c r="D1081" s="92"/>
      <c r="E1081" s="92"/>
      <c r="F1081" s="92"/>
      <c r="G1081" s="96"/>
      <c r="H1081" s="96"/>
      <c r="I1081" s="92"/>
      <c r="J1081" s="92"/>
      <c r="K1081" s="92"/>
      <c r="L1081" s="92"/>
      <c r="M1081" s="92"/>
      <c r="N1081" s="97">
        <v>0</v>
      </c>
      <c r="O1081" s="97">
        <v>38</v>
      </c>
      <c r="P1081" s="98">
        <f>SUM(SamplingData[[#This Row],[Winning Candidate]:[Under Votes]])</f>
        <v>483</v>
      </c>
      <c r="Q1081" s="99">
        <f>IF(AND(SamplingData[[#This Row],[Total]]&lt;&gt; 0, NOT(ISBLANK(SamplingData[[#This Row],[Losing Candidate]]))),(SamplingData[[#This Row],[Total]]+SamplingData[[#This Row],[Winning Candidate]]-SamplingData[[#This Row],[Losing Candidate]])/(SamplingData[[#Totals],[Winning Candidate]]-SamplingData[[#Totals],[Losing Candidate]]), 0)</f>
        <v>2.2067560685791885E-2</v>
      </c>
      <c r="R1081" s="99">
        <f>IF(AND(SamplingData[[#This Row],[Total]]&lt;&gt; 0, NOT(ISBLANK(SamplingData[[#This Row],[Candidate 3]]))),(SamplingData[[#This Row],[Total]]+SamplingData[[#This Row],[Winning Candidate]]-SamplingData[[#This Row],[Candidate 3]])/(SamplingData[[#Totals],[Winning Candidate]]-SamplingData[[#Totals],[Candidate 3]]), 0)</f>
        <v>0</v>
      </c>
      <c r="S1081" s="99">
        <f>IF(AND(SamplingData[[#This Row],[Total]]&lt;&gt; 0, NOT(ISBLANK(SamplingData[[#This Row],[Candidate 4]]))),(SamplingData[[#This Row],[Total]]+SamplingData[[#This Row],[Winning Candidate]]-SamplingData[[#This Row],[Candidate 4]])/(SamplingData[[#Totals],[Winning Candidate]]-SamplingData[[#Totals],[Candidate 4]]), 0)</f>
        <v>0</v>
      </c>
      <c r="T1081" s="99">
        <f>IF(AND(SamplingData[[#This Row],[Total]]&lt;&gt; 0, NOT(ISBLANK(SamplingData[[#This Row],[Candidate 5]]))),(SamplingData[[#This Row],[Total]]+SamplingData[[#This Row],[Winning Candidate]]-SamplingData[[#This Row],[Candidate 5]])/(SamplingData[[#Totals],[Winning Candidate]]-SamplingData[[#Totals],[Candidate 5]]), 0)</f>
        <v>0</v>
      </c>
      <c r="U1081" s="99">
        <f>IF(AND(SamplingData[[#This Row],[Total]]&lt;&gt; 0, NOT(ISBLANK(SamplingData[[#This Row],[Candidate 6]]))),(SamplingData[[#This Row],[Total]]+SamplingData[[#This Row],[Losing Candidate]]-SamplingData[[#This Row],[Candidate 6]])/(SamplingData[[#Totals],[Winning Candidate]]-SamplingData[[#Totals],[Candidate 6]]), 0)</f>
        <v>0</v>
      </c>
      <c r="V1081" s="99">
        <f>IF(AND(SamplingData[[#This Row],[Total]]&lt;&gt; 0, NOT(ISBLANK(SamplingData[[#This Row],[Candidate 7]]))),(SamplingData[[#This Row],[Total]]+SamplingData[[#This Row],[Winning Candidate]]-SamplingData[[#This Row],[Candidate 7]])/(SamplingData[[#Totals],[Winning Candidate]]-SamplingData[[#Totals],[Candidate 7]]), 0)</f>
        <v>0</v>
      </c>
      <c r="W1081" s="99">
        <f>IF(AND(SamplingData[[#This Row],[Total]]&lt;&gt; 0, NOT(ISBLANK(SamplingData[[#This Row],[Candidate 8]]))),(SamplingData[[#This Row],[Total]]+SamplingData[[#This Row],[Winning Candidate]]-SamplingData[[#This Row],[Candidate 8]])/(SamplingData[[#Totals],[Winning Candidate]]-SamplingData[[#Totals],[Candidate 8]]), 0)</f>
        <v>0</v>
      </c>
      <c r="X10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1" s="99">
        <f>MAX(SamplingData[[#This Row],[Error Bound (up) - Max. possible relative overstatement - Losing Candidate]:[Error Bound (up) - Max. possible relative overstatement - Candidate 12]])</f>
        <v>2.2067560685791885E-2</v>
      </c>
      <c r="AC1081" s="99">
        <f>IF(SamplingData[[#This Row],[Max Error Bound (up)]] = 0,0,SamplingData[[#This Row],[Max Error Bound (up)]]/SamplingData[[#Totals],[Max Error Bound (up)]])</f>
        <v>1.1815174319264202E-3</v>
      </c>
      <c r="AD1081" s="103">
        <f>SUM($AC$5:AC1081)</f>
        <v>0.9549182935252869</v>
      </c>
      <c r="AE1081" s="99" t="str" cm="1">
        <f t="array" ref="AE1081">IF(SamplingData[[#This Row],[up/U Selection Probability]] = 0, "Zero", TEXT(SamplingData[[#This Row],[Lower Range]], REPT("0",LEN('General Info'!$B$42))) &amp; " - " &amp; TEXT(SamplingData[[#This Row],[Upper Range]], REPT("0",LEN('General Info'!$B$42))))</f>
        <v>953737 - 954917</v>
      </c>
      <c r="AF1081" s="99">
        <f>SamplingData[[#This Row],[Upper Range]]-SamplingData[[#This Row],[Span]]</f>
        <v>953736.7760933605</v>
      </c>
      <c r="AG1081" s="99">
        <f>IF(ISNUMBER('General Info'!$B$42), ((SamplingData[[#This Row],[up/U Selection Probability]]) * 'General Info'!$B$44) - 1, 0)</f>
        <v>1180.5174319264202</v>
      </c>
      <c r="AH1081" s="99">
        <f>IF(ISNUMBER('General Info'!$B$42), (SamplingData[[#This Row],[Running (cumulative) sum]] * ('General Info'!$B$42 -'General Info'!$B$43 + 1)) + 'General Info'!$B$43 - 1, 0)</f>
        <v>954917.29352528695</v>
      </c>
      <c r="AI1081" s="99" t="str">
        <f>IF(ISERROR(MATCH(SamplingData[[#This Row],[Batch by Type (p)]],SelectedPrecincts[Batch Name], 0)), "", INDEX(SelectedPrecincts[Draw], MATCH(SamplingData[[#This Row],[Batch by Type (p)]],SelectedPrecincts[Batch Name], 0)))</f>
        <v/>
      </c>
      <c r="AJ1081" s="100">
        <f>IF(COUNTIF(SelectedPrecincts[Batch Name],SamplingData[[#This Row],[Batch by Type (p)]]) &lt;&gt; 0, COUNTIF(SelectedPrecincts[Batch Name],SamplingData[[#This Row],[Batch by Type (p)]]), 0)</f>
        <v>0</v>
      </c>
    </row>
    <row r="1082" spans="1:36" ht="15" customHeight="1" x14ac:dyDescent="0.35">
      <c r="A1082" s="97" t="s">
        <v>1295</v>
      </c>
      <c r="B1082" s="97">
        <v>316</v>
      </c>
      <c r="C1082" s="97">
        <v>82</v>
      </c>
      <c r="D1082" s="92"/>
      <c r="E1082" s="92"/>
      <c r="F1082" s="92"/>
      <c r="G1082" s="96"/>
      <c r="H1082" s="96"/>
      <c r="I1082" s="92"/>
      <c r="J1082" s="92"/>
      <c r="K1082" s="92"/>
      <c r="L1082" s="92"/>
      <c r="M1082" s="92"/>
      <c r="N1082" s="97">
        <v>0</v>
      </c>
      <c r="O1082" s="97">
        <v>19</v>
      </c>
      <c r="P1082" s="98">
        <f>SUM(SamplingData[[#This Row],[Winning Candidate]:[Under Votes]])</f>
        <v>417</v>
      </c>
      <c r="Q1082" s="99">
        <f>IF(AND(SamplingData[[#This Row],[Total]]&lt;&gt; 0, NOT(ISBLANK(SamplingData[[#This Row],[Losing Candidate]]))),(SamplingData[[#This Row],[Total]]+SamplingData[[#This Row],[Winning Candidate]]-SamplingData[[#This Row],[Losing Candidate]])/(SamplingData[[#Totals],[Winning Candidate]]-SamplingData[[#Totals],[Losing Candidate]]), 0)</f>
        <v>2.7626888473943303E-2</v>
      </c>
      <c r="R1082" s="99">
        <f>IF(AND(SamplingData[[#This Row],[Total]]&lt;&gt; 0, NOT(ISBLANK(SamplingData[[#This Row],[Candidate 3]]))),(SamplingData[[#This Row],[Total]]+SamplingData[[#This Row],[Winning Candidate]]-SamplingData[[#This Row],[Candidate 3]])/(SamplingData[[#Totals],[Winning Candidate]]-SamplingData[[#Totals],[Candidate 3]]), 0)</f>
        <v>0</v>
      </c>
      <c r="S1082" s="99">
        <f>IF(AND(SamplingData[[#This Row],[Total]]&lt;&gt; 0, NOT(ISBLANK(SamplingData[[#This Row],[Candidate 4]]))),(SamplingData[[#This Row],[Total]]+SamplingData[[#This Row],[Winning Candidate]]-SamplingData[[#This Row],[Candidate 4]])/(SamplingData[[#Totals],[Winning Candidate]]-SamplingData[[#Totals],[Candidate 4]]), 0)</f>
        <v>0</v>
      </c>
      <c r="T1082" s="99">
        <f>IF(AND(SamplingData[[#This Row],[Total]]&lt;&gt; 0, NOT(ISBLANK(SamplingData[[#This Row],[Candidate 5]]))),(SamplingData[[#This Row],[Total]]+SamplingData[[#This Row],[Winning Candidate]]-SamplingData[[#This Row],[Candidate 5]])/(SamplingData[[#Totals],[Winning Candidate]]-SamplingData[[#Totals],[Candidate 5]]), 0)</f>
        <v>0</v>
      </c>
      <c r="U1082" s="99">
        <f>IF(AND(SamplingData[[#This Row],[Total]]&lt;&gt; 0, NOT(ISBLANK(SamplingData[[#This Row],[Candidate 6]]))),(SamplingData[[#This Row],[Total]]+SamplingData[[#This Row],[Losing Candidate]]-SamplingData[[#This Row],[Candidate 6]])/(SamplingData[[#Totals],[Winning Candidate]]-SamplingData[[#Totals],[Candidate 6]]), 0)</f>
        <v>0</v>
      </c>
      <c r="V1082" s="99">
        <f>IF(AND(SamplingData[[#This Row],[Total]]&lt;&gt; 0, NOT(ISBLANK(SamplingData[[#This Row],[Candidate 7]]))),(SamplingData[[#This Row],[Total]]+SamplingData[[#This Row],[Winning Candidate]]-SamplingData[[#This Row],[Candidate 7]])/(SamplingData[[#Totals],[Winning Candidate]]-SamplingData[[#Totals],[Candidate 7]]), 0)</f>
        <v>0</v>
      </c>
      <c r="W1082" s="99">
        <f>IF(AND(SamplingData[[#This Row],[Total]]&lt;&gt; 0, NOT(ISBLANK(SamplingData[[#This Row],[Candidate 8]]))),(SamplingData[[#This Row],[Total]]+SamplingData[[#This Row],[Winning Candidate]]-SamplingData[[#This Row],[Candidate 8]])/(SamplingData[[#Totals],[Winning Candidate]]-SamplingData[[#Totals],[Candidate 8]]), 0)</f>
        <v>0</v>
      </c>
      <c r="X10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2" s="99">
        <f>MAX(SamplingData[[#This Row],[Error Bound (up) - Max. possible relative overstatement - Losing Candidate]:[Error Bound (up) - Max. possible relative overstatement - Candidate 12]])</f>
        <v>2.7626888473943303E-2</v>
      </c>
      <c r="AC1082" s="99">
        <f>IF(SamplingData[[#This Row],[Max Error Bound (up)]] = 0,0,SamplingData[[#This Row],[Max Error Bound (up)]]/SamplingData[[#Totals],[Max Error Bound (up)]])</f>
        <v>1.4791689388155762E-3</v>
      </c>
      <c r="AD1082" s="103">
        <f>SUM($AC$5:AC1082)</f>
        <v>0.95639746246410251</v>
      </c>
      <c r="AE1082" s="99" t="str" cm="1">
        <f t="array" ref="AE1082">IF(SamplingData[[#This Row],[up/U Selection Probability]] = 0, "Zero", TEXT(SamplingData[[#This Row],[Lower Range]], REPT("0",LEN('General Info'!$B$42))) &amp; " - " &amp; TEXT(SamplingData[[#This Row],[Upper Range]], REPT("0",LEN('General Info'!$B$42))))</f>
        <v>954918 - 956396</v>
      </c>
      <c r="AF1082" s="99">
        <f>SamplingData[[#This Row],[Upper Range]]-SamplingData[[#This Row],[Span]]</f>
        <v>954918.29352528695</v>
      </c>
      <c r="AG1082" s="99">
        <f>IF(ISNUMBER('General Info'!$B$42), ((SamplingData[[#This Row],[up/U Selection Probability]]) * 'General Info'!$B$44) - 1, 0)</f>
        <v>1478.1689388155762</v>
      </c>
      <c r="AH1082" s="99">
        <f>IF(ISNUMBER('General Info'!$B$42), (SamplingData[[#This Row],[Running (cumulative) sum]] * ('General Info'!$B$42 -'General Info'!$B$43 + 1)) + 'General Info'!$B$43 - 1, 0)</f>
        <v>956396.46246410254</v>
      </c>
      <c r="AI1082" s="99" t="str">
        <f>IF(ISERROR(MATCH(SamplingData[[#This Row],[Batch by Type (p)]],SelectedPrecincts[Batch Name], 0)), "", INDEX(SelectedPrecincts[Draw], MATCH(SamplingData[[#This Row],[Batch by Type (p)]],SelectedPrecincts[Batch Name], 0)))</f>
        <v/>
      </c>
      <c r="AJ1082" s="100">
        <f>IF(COUNTIF(SelectedPrecincts[Batch Name],SamplingData[[#This Row],[Batch by Type (p)]]) &lt;&gt; 0, COUNTIF(SelectedPrecincts[Batch Name],SamplingData[[#This Row],[Batch by Type (p)]]), 0)</f>
        <v>0</v>
      </c>
    </row>
    <row r="1083" spans="1:36" ht="15" customHeight="1" x14ac:dyDescent="0.35">
      <c r="A1083" s="97" t="s">
        <v>1296</v>
      </c>
      <c r="B1083" s="97">
        <v>206</v>
      </c>
      <c r="C1083" s="97">
        <v>102</v>
      </c>
      <c r="D1083" s="92"/>
      <c r="E1083" s="92"/>
      <c r="F1083" s="92"/>
      <c r="G1083" s="96"/>
      <c r="H1083" s="96"/>
      <c r="I1083" s="92"/>
      <c r="J1083" s="92"/>
      <c r="K1083" s="92"/>
      <c r="L1083" s="92"/>
      <c r="M1083" s="92"/>
      <c r="N1083" s="97">
        <v>0</v>
      </c>
      <c r="O1083" s="97">
        <v>18</v>
      </c>
      <c r="P1083" s="98">
        <f>SUM(SamplingData[[#This Row],[Winning Candidate]:[Under Votes]])</f>
        <v>326</v>
      </c>
      <c r="Q1083" s="99">
        <f>IF(AND(SamplingData[[#This Row],[Total]]&lt;&gt; 0, NOT(ISBLANK(SamplingData[[#This Row],[Losing Candidate]]))),(SamplingData[[#This Row],[Total]]+SamplingData[[#This Row],[Winning Candidate]]-SamplingData[[#This Row],[Losing Candidate]])/(SamplingData[[#Totals],[Winning Candidate]]-SamplingData[[#Totals],[Losing Candidate]]), 0)</f>
        <v>1.824817518248175E-2</v>
      </c>
      <c r="R1083" s="99">
        <f>IF(AND(SamplingData[[#This Row],[Total]]&lt;&gt; 0, NOT(ISBLANK(SamplingData[[#This Row],[Candidate 3]]))),(SamplingData[[#This Row],[Total]]+SamplingData[[#This Row],[Winning Candidate]]-SamplingData[[#This Row],[Candidate 3]])/(SamplingData[[#Totals],[Winning Candidate]]-SamplingData[[#Totals],[Candidate 3]]), 0)</f>
        <v>0</v>
      </c>
      <c r="S1083" s="99">
        <f>IF(AND(SamplingData[[#This Row],[Total]]&lt;&gt; 0, NOT(ISBLANK(SamplingData[[#This Row],[Candidate 4]]))),(SamplingData[[#This Row],[Total]]+SamplingData[[#This Row],[Winning Candidate]]-SamplingData[[#This Row],[Candidate 4]])/(SamplingData[[#Totals],[Winning Candidate]]-SamplingData[[#Totals],[Candidate 4]]), 0)</f>
        <v>0</v>
      </c>
      <c r="T1083" s="99">
        <f>IF(AND(SamplingData[[#This Row],[Total]]&lt;&gt; 0, NOT(ISBLANK(SamplingData[[#This Row],[Candidate 5]]))),(SamplingData[[#This Row],[Total]]+SamplingData[[#This Row],[Winning Candidate]]-SamplingData[[#This Row],[Candidate 5]])/(SamplingData[[#Totals],[Winning Candidate]]-SamplingData[[#Totals],[Candidate 5]]), 0)</f>
        <v>0</v>
      </c>
      <c r="U1083" s="99">
        <f>IF(AND(SamplingData[[#This Row],[Total]]&lt;&gt; 0, NOT(ISBLANK(SamplingData[[#This Row],[Candidate 6]]))),(SamplingData[[#This Row],[Total]]+SamplingData[[#This Row],[Losing Candidate]]-SamplingData[[#This Row],[Candidate 6]])/(SamplingData[[#Totals],[Winning Candidate]]-SamplingData[[#Totals],[Candidate 6]]), 0)</f>
        <v>0</v>
      </c>
      <c r="V1083" s="99">
        <f>IF(AND(SamplingData[[#This Row],[Total]]&lt;&gt; 0, NOT(ISBLANK(SamplingData[[#This Row],[Candidate 7]]))),(SamplingData[[#This Row],[Total]]+SamplingData[[#This Row],[Winning Candidate]]-SamplingData[[#This Row],[Candidate 7]])/(SamplingData[[#Totals],[Winning Candidate]]-SamplingData[[#Totals],[Candidate 7]]), 0)</f>
        <v>0</v>
      </c>
      <c r="W1083" s="99">
        <f>IF(AND(SamplingData[[#This Row],[Total]]&lt;&gt; 0, NOT(ISBLANK(SamplingData[[#This Row],[Candidate 8]]))),(SamplingData[[#This Row],[Total]]+SamplingData[[#This Row],[Winning Candidate]]-SamplingData[[#This Row],[Candidate 8]])/(SamplingData[[#Totals],[Winning Candidate]]-SamplingData[[#Totals],[Candidate 8]]), 0)</f>
        <v>0</v>
      </c>
      <c r="X10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3" s="99">
        <f>MAX(SamplingData[[#This Row],[Error Bound (up) - Max. possible relative overstatement - Losing Candidate]:[Error Bound (up) - Max. possible relative overstatement - Candidate 12]])</f>
        <v>1.824817518248175E-2</v>
      </c>
      <c r="AC1083" s="99">
        <f>IF(SamplingData[[#This Row],[Max Error Bound (up)]] = 0,0,SamplingData[[#This Row],[Max Error Bound (up)]]/SamplingData[[#Totals],[Max Error Bound (up)]])</f>
        <v>9.7702403024684751E-4</v>
      </c>
      <c r="AD1083" s="103">
        <f>SUM($AC$5:AC1083)</f>
        <v>0.95737448649434931</v>
      </c>
      <c r="AE1083" s="99" t="str" cm="1">
        <f t="array" ref="AE1083">IF(SamplingData[[#This Row],[up/U Selection Probability]] = 0, "Zero", TEXT(SamplingData[[#This Row],[Lower Range]], REPT("0",LEN('General Info'!$B$42))) &amp; " - " &amp; TEXT(SamplingData[[#This Row],[Upper Range]], REPT("0",LEN('General Info'!$B$42))))</f>
        <v>956397 - 957373</v>
      </c>
      <c r="AF1083" s="99">
        <f>SamplingData[[#This Row],[Upper Range]]-SamplingData[[#This Row],[Span]]</f>
        <v>956397.46246410243</v>
      </c>
      <c r="AG1083" s="99">
        <f>IF(ISNUMBER('General Info'!$B$42), ((SamplingData[[#This Row],[up/U Selection Probability]]) * 'General Info'!$B$44) - 1, 0)</f>
        <v>976.02403024684747</v>
      </c>
      <c r="AH1083" s="99">
        <f>IF(ISNUMBER('General Info'!$B$42), (SamplingData[[#This Row],[Running (cumulative) sum]] * ('General Info'!$B$42 -'General Info'!$B$43 + 1)) + 'General Info'!$B$43 - 1, 0)</f>
        <v>957373.48649434932</v>
      </c>
      <c r="AI1083" s="99" t="str">
        <f>IF(ISERROR(MATCH(SamplingData[[#This Row],[Batch by Type (p)]],SelectedPrecincts[Batch Name], 0)), "", INDEX(SelectedPrecincts[Draw], MATCH(SamplingData[[#This Row],[Batch by Type (p)]],SelectedPrecincts[Batch Name], 0)))</f>
        <v/>
      </c>
      <c r="AJ1083" s="100">
        <f>IF(COUNTIF(SelectedPrecincts[Batch Name],SamplingData[[#This Row],[Batch by Type (p)]]) &lt;&gt; 0, COUNTIF(SelectedPrecincts[Batch Name],SamplingData[[#This Row],[Batch by Type (p)]]), 0)</f>
        <v>0</v>
      </c>
    </row>
    <row r="1084" spans="1:36" ht="15" customHeight="1" x14ac:dyDescent="0.35">
      <c r="A1084" s="97" t="s">
        <v>1297</v>
      </c>
      <c r="B1084" s="97">
        <v>308</v>
      </c>
      <c r="C1084" s="97">
        <v>175</v>
      </c>
      <c r="D1084" s="92"/>
      <c r="E1084" s="92"/>
      <c r="F1084" s="92"/>
      <c r="G1084" s="96"/>
      <c r="H1084" s="96"/>
      <c r="I1084" s="92"/>
      <c r="J1084" s="92"/>
      <c r="K1084" s="92"/>
      <c r="L1084" s="92"/>
      <c r="M1084" s="92"/>
      <c r="N1084" s="97">
        <v>0</v>
      </c>
      <c r="O1084" s="97">
        <v>33</v>
      </c>
      <c r="P1084" s="98">
        <f>SUM(SamplingData[[#This Row],[Winning Candidate]:[Under Votes]])</f>
        <v>516</v>
      </c>
      <c r="Q1084" s="99">
        <f>IF(AND(SamplingData[[#This Row],[Total]]&lt;&gt; 0, NOT(ISBLANK(SamplingData[[#This Row],[Losing Candidate]]))),(SamplingData[[#This Row],[Total]]+SamplingData[[#This Row],[Winning Candidate]]-SamplingData[[#This Row],[Losing Candidate]])/(SamplingData[[#Totals],[Winning Candidate]]-SamplingData[[#Totals],[Losing Candidate]]), 0)</f>
        <v>2.7542013240536411E-2</v>
      </c>
      <c r="R1084" s="99">
        <f>IF(AND(SamplingData[[#This Row],[Total]]&lt;&gt; 0, NOT(ISBLANK(SamplingData[[#This Row],[Candidate 3]]))),(SamplingData[[#This Row],[Total]]+SamplingData[[#This Row],[Winning Candidate]]-SamplingData[[#This Row],[Candidate 3]])/(SamplingData[[#Totals],[Winning Candidate]]-SamplingData[[#Totals],[Candidate 3]]), 0)</f>
        <v>0</v>
      </c>
      <c r="S1084" s="99">
        <f>IF(AND(SamplingData[[#This Row],[Total]]&lt;&gt; 0, NOT(ISBLANK(SamplingData[[#This Row],[Candidate 4]]))),(SamplingData[[#This Row],[Total]]+SamplingData[[#This Row],[Winning Candidate]]-SamplingData[[#This Row],[Candidate 4]])/(SamplingData[[#Totals],[Winning Candidate]]-SamplingData[[#Totals],[Candidate 4]]), 0)</f>
        <v>0</v>
      </c>
      <c r="T1084" s="99">
        <f>IF(AND(SamplingData[[#This Row],[Total]]&lt;&gt; 0, NOT(ISBLANK(SamplingData[[#This Row],[Candidate 5]]))),(SamplingData[[#This Row],[Total]]+SamplingData[[#This Row],[Winning Candidate]]-SamplingData[[#This Row],[Candidate 5]])/(SamplingData[[#Totals],[Winning Candidate]]-SamplingData[[#Totals],[Candidate 5]]), 0)</f>
        <v>0</v>
      </c>
      <c r="U1084" s="99">
        <f>IF(AND(SamplingData[[#This Row],[Total]]&lt;&gt; 0, NOT(ISBLANK(SamplingData[[#This Row],[Candidate 6]]))),(SamplingData[[#This Row],[Total]]+SamplingData[[#This Row],[Losing Candidate]]-SamplingData[[#This Row],[Candidate 6]])/(SamplingData[[#Totals],[Winning Candidate]]-SamplingData[[#Totals],[Candidate 6]]), 0)</f>
        <v>0</v>
      </c>
      <c r="V1084" s="99">
        <f>IF(AND(SamplingData[[#This Row],[Total]]&lt;&gt; 0, NOT(ISBLANK(SamplingData[[#This Row],[Candidate 7]]))),(SamplingData[[#This Row],[Total]]+SamplingData[[#This Row],[Winning Candidate]]-SamplingData[[#This Row],[Candidate 7]])/(SamplingData[[#Totals],[Winning Candidate]]-SamplingData[[#Totals],[Candidate 7]]), 0)</f>
        <v>0</v>
      </c>
      <c r="W1084" s="99">
        <f>IF(AND(SamplingData[[#This Row],[Total]]&lt;&gt; 0, NOT(ISBLANK(SamplingData[[#This Row],[Candidate 8]]))),(SamplingData[[#This Row],[Total]]+SamplingData[[#This Row],[Winning Candidate]]-SamplingData[[#This Row],[Candidate 8]])/(SamplingData[[#Totals],[Winning Candidate]]-SamplingData[[#Totals],[Candidate 8]]), 0)</f>
        <v>0</v>
      </c>
      <c r="X10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4" s="99">
        <f>MAX(SamplingData[[#This Row],[Error Bound (up) - Max. possible relative overstatement - Losing Candidate]:[Error Bound (up) - Max. possible relative overstatement - Candidate 12]])</f>
        <v>2.7542013240536411E-2</v>
      </c>
      <c r="AC1084" s="99">
        <f>IF(SamplingData[[#This Row],[Max Error Bound (up)]] = 0,0,SamplingData[[#This Row],[Max Error Bound (up)]]/SamplingData[[#Totals],[Max Error Bound (up)]])</f>
        <v>1.4746246410004744E-3</v>
      </c>
      <c r="AD1084" s="103">
        <f>SUM($AC$5:AC1084)</f>
        <v>0.95884911113534976</v>
      </c>
      <c r="AE1084" s="99" t="str" cm="1">
        <f t="array" ref="AE1084">IF(SamplingData[[#This Row],[up/U Selection Probability]] = 0, "Zero", TEXT(SamplingData[[#This Row],[Lower Range]], REPT("0",LEN('General Info'!$B$42))) &amp; " - " &amp; TEXT(SamplingData[[#This Row],[Upper Range]], REPT("0",LEN('General Info'!$B$42))))</f>
        <v>957374 - 958848</v>
      </c>
      <c r="AF1084" s="99">
        <f>SamplingData[[#This Row],[Upper Range]]-SamplingData[[#This Row],[Span]]</f>
        <v>957374.4864943492</v>
      </c>
      <c r="AG1084" s="99">
        <f>IF(ISNUMBER('General Info'!$B$42), ((SamplingData[[#This Row],[up/U Selection Probability]]) * 'General Info'!$B$44) - 1, 0)</f>
        <v>1473.6246410004744</v>
      </c>
      <c r="AH1084" s="99">
        <f>IF(ISNUMBER('General Info'!$B$42), (SamplingData[[#This Row],[Running (cumulative) sum]] * ('General Info'!$B$42 -'General Info'!$B$43 + 1)) + 'General Info'!$B$43 - 1, 0)</f>
        <v>958848.11113534973</v>
      </c>
      <c r="AI1084" s="99" t="str">
        <f>IF(ISERROR(MATCH(SamplingData[[#This Row],[Batch by Type (p)]],SelectedPrecincts[Batch Name], 0)), "", INDEX(SelectedPrecincts[Draw], MATCH(SamplingData[[#This Row],[Batch by Type (p)]],SelectedPrecincts[Batch Name], 0)))</f>
        <v/>
      </c>
      <c r="AJ1084" s="100">
        <f>IF(COUNTIF(SelectedPrecincts[Batch Name],SamplingData[[#This Row],[Batch by Type (p)]]) &lt;&gt; 0, COUNTIF(SelectedPrecincts[Batch Name],SamplingData[[#This Row],[Batch by Type (p)]]), 0)</f>
        <v>0</v>
      </c>
    </row>
    <row r="1085" spans="1:36" ht="15" customHeight="1" x14ac:dyDescent="0.35">
      <c r="A1085" s="97" t="s">
        <v>1298</v>
      </c>
      <c r="B1085" s="97">
        <v>272</v>
      </c>
      <c r="C1085" s="97">
        <v>191</v>
      </c>
      <c r="D1085" s="92"/>
      <c r="E1085" s="92"/>
      <c r="F1085" s="92"/>
      <c r="G1085" s="96"/>
      <c r="H1085" s="96"/>
      <c r="I1085" s="92"/>
      <c r="J1085" s="92"/>
      <c r="K1085" s="92"/>
      <c r="L1085" s="92"/>
      <c r="M1085" s="92"/>
      <c r="N1085" s="97">
        <v>1</v>
      </c>
      <c r="O1085" s="97">
        <v>36</v>
      </c>
      <c r="P1085" s="98">
        <f>SUM(SamplingData[[#This Row],[Winning Candidate]:[Under Votes]])</f>
        <v>500</v>
      </c>
      <c r="Q1085" s="99">
        <f>IF(AND(SamplingData[[#This Row],[Total]]&lt;&gt; 0, NOT(ISBLANK(SamplingData[[#This Row],[Losing Candidate]]))),(SamplingData[[#This Row],[Total]]+SamplingData[[#This Row],[Winning Candidate]]-SamplingData[[#This Row],[Losing Candidate]])/(SamplingData[[#Totals],[Winning Candidate]]-SamplingData[[#Totals],[Losing Candidate]]), 0)</f>
        <v>2.4656255304702088E-2</v>
      </c>
      <c r="R1085" s="99">
        <f>IF(AND(SamplingData[[#This Row],[Total]]&lt;&gt; 0, NOT(ISBLANK(SamplingData[[#This Row],[Candidate 3]]))),(SamplingData[[#This Row],[Total]]+SamplingData[[#This Row],[Winning Candidate]]-SamplingData[[#This Row],[Candidate 3]])/(SamplingData[[#Totals],[Winning Candidate]]-SamplingData[[#Totals],[Candidate 3]]), 0)</f>
        <v>0</v>
      </c>
      <c r="S1085" s="99">
        <f>IF(AND(SamplingData[[#This Row],[Total]]&lt;&gt; 0, NOT(ISBLANK(SamplingData[[#This Row],[Candidate 4]]))),(SamplingData[[#This Row],[Total]]+SamplingData[[#This Row],[Winning Candidate]]-SamplingData[[#This Row],[Candidate 4]])/(SamplingData[[#Totals],[Winning Candidate]]-SamplingData[[#Totals],[Candidate 4]]), 0)</f>
        <v>0</v>
      </c>
      <c r="T1085" s="99">
        <f>IF(AND(SamplingData[[#This Row],[Total]]&lt;&gt; 0, NOT(ISBLANK(SamplingData[[#This Row],[Candidate 5]]))),(SamplingData[[#This Row],[Total]]+SamplingData[[#This Row],[Winning Candidate]]-SamplingData[[#This Row],[Candidate 5]])/(SamplingData[[#Totals],[Winning Candidate]]-SamplingData[[#Totals],[Candidate 5]]), 0)</f>
        <v>0</v>
      </c>
      <c r="U1085" s="99">
        <f>IF(AND(SamplingData[[#This Row],[Total]]&lt;&gt; 0, NOT(ISBLANK(SamplingData[[#This Row],[Candidate 6]]))),(SamplingData[[#This Row],[Total]]+SamplingData[[#This Row],[Losing Candidate]]-SamplingData[[#This Row],[Candidate 6]])/(SamplingData[[#Totals],[Winning Candidate]]-SamplingData[[#Totals],[Candidate 6]]), 0)</f>
        <v>0</v>
      </c>
      <c r="V1085" s="99">
        <f>IF(AND(SamplingData[[#This Row],[Total]]&lt;&gt; 0, NOT(ISBLANK(SamplingData[[#This Row],[Candidate 7]]))),(SamplingData[[#This Row],[Total]]+SamplingData[[#This Row],[Winning Candidate]]-SamplingData[[#This Row],[Candidate 7]])/(SamplingData[[#Totals],[Winning Candidate]]-SamplingData[[#Totals],[Candidate 7]]), 0)</f>
        <v>0</v>
      </c>
      <c r="W1085" s="99">
        <f>IF(AND(SamplingData[[#This Row],[Total]]&lt;&gt; 0, NOT(ISBLANK(SamplingData[[#This Row],[Candidate 8]]))),(SamplingData[[#This Row],[Total]]+SamplingData[[#This Row],[Winning Candidate]]-SamplingData[[#This Row],[Candidate 8]])/(SamplingData[[#Totals],[Winning Candidate]]-SamplingData[[#Totals],[Candidate 8]]), 0)</f>
        <v>0</v>
      </c>
      <c r="X10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5" s="99">
        <f>MAX(SamplingData[[#This Row],[Error Bound (up) - Max. possible relative overstatement - Losing Candidate]:[Error Bound (up) - Max. possible relative overstatement - Candidate 12]])</f>
        <v>2.4656255304702088E-2</v>
      </c>
      <c r="AC1085" s="99">
        <f>IF(SamplingData[[#This Row],[Max Error Bound (up)]] = 0,0,SamplingData[[#This Row],[Max Error Bound (up)]]/SamplingData[[#Totals],[Max Error Bound (up)]])</f>
        <v>1.3201185152870195E-3</v>
      </c>
      <c r="AD1085" s="103">
        <f>SUM($AC$5:AC1085)</f>
        <v>0.96016922965063678</v>
      </c>
      <c r="AE1085" s="99" t="str" cm="1">
        <f t="array" ref="AE1085">IF(SamplingData[[#This Row],[up/U Selection Probability]] = 0, "Zero", TEXT(SamplingData[[#This Row],[Lower Range]], REPT("0",LEN('General Info'!$B$42))) &amp; " - " &amp; TEXT(SamplingData[[#This Row],[Upper Range]], REPT("0",LEN('General Info'!$B$42))))</f>
        <v>958849 - 960168</v>
      </c>
      <c r="AF1085" s="99">
        <f>SamplingData[[#This Row],[Upper Range]]-SamplingData[[#This Row],[Span]]</f>
        <v>958849.11113534973</v>
      </c>
      <c r="AG1085" s="99">
        <f>IF(ISNUMBER('General Info'!$B$42), ((SamplingData[[#This Row],[up/U Selection Probability]]) * 'General Info'!$B$44) - 1, 0)</f>
        <v>1319.1185152870196</v>
      </c>
      <c r="AH1085" s="99">
        <f>IF(ISNUMBER('General Info'!$B$42), (SamplingData[[#This Row],[Running (cumulative) sum]] * ('General Info'!$B$42 -'General Info'!$B$43 + 1)) + 'General Info'!$B$43 - 1, 0)</f>
        <v>960168.22965063679</v>
      </c>
      <c r="AI1085" s="99" t="str">
        <f>IF(ISERROR(MATCH(SamplingData[[#This Row],[Batch by Type (p)]],SelectedPrecincts[Batch Name], 0)), "", INDEX(SelectedPrecincts[Draw], MATCH(SamplingData[[#This Row],[Batch by Type (p)]],SelectedPrecincts[Batch Name], 0)))</f>
        <v/>
      </c>
      <c r="AJ1085" s="100">
        <f>IF(COUNTIF(SelectedPrecincts[Batch Name],SamplingData[[#This Row],[Batch by Type (p)]]) &lt;&gt; 0, COUNTIF(SelectedPrecincts[Batch Name],SamplingData[[#This Row],[Batch by Type (p)]]), 0)</f>
        <v>0</v>
      </c>
    </row>
    <row r="1086" spans="1:36" ht="15" customHeight="1" x14ac:dyDescent="0.35">
      <c r="A1086" s="97" t="s">
        <v>1299</v>
      </c>
      <c r="B1086" s="97">
        <v>218</v>
      </c>
      <c r="C1086" s="97">
        <v>210</v>
      </c>
      <c r="D1086" s="92"/>
      <c r="E1086" s="92"/>
      <c r="F1086" s="92"/>
      <c r="G1086" s="96"/>
      <c r="H1086" s="96"/>
      <c r="I1086" s="92"/>
      <c r="J1086" s="92"/>
      <c r="K1086" s="92"/>
      <c r="L1086" s="92"/>
      <c r="M1086" s="92"/>
      <c r="N1086" s="97">
        <v>0</v>
      </c>
      <c r="O1086" s="97">
        <v>24</v>
      </c>
      <c r="P1086" s="98">
        <f>SUM(SamplingData[[#This Row],[Winning Candidate]:[Under Votes]])</f>
        <v>452</v>
      </c>
      <c r="Q1086" s="99">
        <f>IF(AND(SamplingData[[#This Row],[Total]]&lt;&gt; 0, NOT(ISBLANK(SamplingData[[#This Row],[Losing Candidate]]))),(SamplingData[[#This Row],[Total]]+SamplingData[[#This Row],[Winning Candidate]]-SamplingData[[#This Row],[Losing Candidate]])/(SamplingData[[#Totals],[Winning Candidate]]-SamplingData[[#Totals],[Losing Candidate]]), 0)</f>
        <v>1.952130368358513E-2</v>
      </c>
      <c r="R1086" s="99">
        <f>IF(AND(SamplingData[[#This Row],[Total]]&lt;&gt; 0, NOT(ISBLANK(SamplingData[[#This Row],[Candidate 3]]))),(SamplingData[[#This Row],[Total]]+SamplingData[[#This Row],[Winning Candidate]]-SamplingData[[#This Row],[Candidate 3]])/(SamplingData[[#Totals],[Winning Candidate]]-SamplingData[[#Totals],[Candidate 3]]), 0)</f>
        <v>0</v>
      </c>
      <c r="S1086" s="99">
        <f>IF(AND(SamplingData[[#This Row],[Total]]&lt;&gt; 0, NOT(ISBLANK(SamplingData[[#This Row],[Candidate 4]]))),(SamplingData[[#This Row],[Total]]+SamplingData[[#This Row],[Winning Candidate]]-SamplingData[[#This Row],[Candidate 4]])/(SamplingData[[#Totals],[Winning Candidate]]-SamplingData[[#Totals],[Candidate 4]]), 0)</f>
        <v>0</v>
      </c>
      <c r="T1086" s="99">
        <f>IF(AND(SamplingData[[#This Row],[Total]]&lt;&gt; 0, NOT(ISBLANK(SamplingData[[#This Row],[Candidate 5]]))),(SamplingData[[#This Row],[Total]]+SamplingData[[#This Row],[Winning Candidate]]-SamplingData[[#This Row],[Candidate 5]])/(SamplingData[[#Totals],[Winning Candidate]]-SamplingData[[#Totals],[Candidate 5]]), 0)</f>
        <v>0</v>
      </c>
      <c r="U1086" s="99">
        <f>IF(AND(SamplingData[[#This Row],[Total]]&lt;&gt; 0, NOT(ISBLANK(SamplingData[[#This Row],[Candidate 6]]))),(SamplingData[[#This Row],[Total]]+SamplingData[[#This Row],[Losing Candidate]]-SamplingData[[#This Row],[Candidate 6]])/(SamplingData[[#Totals],[Winning Candidate]]-SamplingData[[#Totals],[Candidate 6]]), 0)</f>
        <v>0</v>
      </c>
      <c r="V1086" s="99">
        <f>IF(AND(SamplingData[[#This Row],[Total]]&lt;&gt; 0, NOT(ISBLANK(SamplingData[[#This Row],[Candidate 7]]))),(SamplingData[[#This Row],[Total]]+SamplingData[[#This Row],[Winning Candidate]]-SamplingData[[#This Row],[Candidate 7]])/(SamplingData[[#Totals],[Winning Candidate]]-SamplingData[[#Totals],[Candidate 7]]), 0)</f>
        <v>0</v>
      </c>
      <c r="W1086" s="99">
        <f>IF(AND(SamplingData[[#This Row],[Total]]&lt;&gt; 0, NOT(ISBLANK(SamplingData[[#This Row],[Candidate 8]]))),(SamplingData[[#This Row],[Total]]+SamplingData[[#This Row],[Winning Candidate]]-SamplingData[[#This Row],[Candidate 8]])/(SamplingData[[#Totals],[Winning Candidate]]-SamplingData[[#Totals],[Candidate 8]]), 0)</f>
        <v>0</v>
      </c>
      <c r="X10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6" s="99">
        <f>MAX(SamplingData[[#This Row],[Error Bound (up) - Max. possible relative overstatement - Losing Candidate]:[Error Bound (up) - Max. possible relative overstatement - Candidate 12]])</f>
        <v>1.952130368358513E-2</v>
      </c>
      <c r="AC1086" s="99">
        <f>IF(SamplingData[[#This Row],[Max Error Bound (up)]] = 0,0,SamplingData[[#This Row],[Max Error Bound (up)]]/SamplingData[[#Totals],[Max Error Bound (up)]])</f>
        <v>1.0451884974733718E-3</v>
      </c>
      <c r="AD1086" s="103">
        <f>SUM($AC$5:AC1086)</f>
        <v>0.96121441814811015</v>
      </c>
      <c r="AE1086" s="99" t="str" cm="1">
        <f t="array" ref="AE1086">IF(SamplingData[[#This Row],[up/U Selection Probability]] = 0, "Zero", TEXT(SamplingData[[#This Row],[Lower Range]], REPT("0",LEN('General Info'!$B$42))) &amp; " - " &amp; TEXT(SamplingData[[#This Row],[Upper Range]], REPT("0",LEN('General Info'!$B$42))))</f>
        <v>960169 - 961213</v>
      </c>
      <c r="AF1086" s="99">
        <f>SamplingData[[#This Row],[Upper Range]]-SamplingData[[#This Row],[Span]]</f>
        <v>960169.22965063679</v>
      </c>
      <c r="AG1086" s="99">
        <f>IF(ISNUMBER('General Info'!$B$42), ((SamplingData[[#This Row],[up/U Selection Probability]]) * 'General Info'!$B$44) - 1, 0)</f>
        <v>1044.1884974733719</v>
      </c>
      <c r="AH1086" s="99">
        <f>IF(ISNUMBER('General Info'!$B$42), (SamplingData[[#This Row],[Running (cumulative) sum]] * ('General Info'!$B$42 -'General Info'!$B$43 + 1)) + 'General Info'!$B$43 - 1, 0)</f>
        <v>961213.41814811016</v>
      </c>
      <c r="AI1086" s="99" t="str">
        <f>IF(ISERROR(MATCH(SamplingData[[#This Row],[Batch by Type (p)]],SelectedPrecincts[Batch Name], 0)), "", INDEX(SelectedPrecincts[Draw], MATCH(SamplingData[[#This Row],[Batch by Type (p)]],SelectedPrecincts[Batch Name], 0)))</f>
        <v/>
      </c>
      <c r="AJ1086" s="100">
        <f>IF(COUNTIF(SelectedPrecincts[Batch Name],SamplingData[[#This Row],[Batch by Type (p)]]) &lt;&gt; 0, COUNTIF(SelectedPrecincts[Batch Name],SamplingData[[#This Row],[Batch by Type (p)]]), 0)</f>
        <v>0</v>
      </c>
    </row>
    <row r="1087" spans="1:36" ht="15" customHeight="1" x14ac:dyDescent="0.35">
      <c r="A1087" s="97" t="s">
        <v>1300</v>
      </c>
      <c r="B1087" s="97">
        <v>368</v>
      </c>
      <c r="C1087" s="97">
        <v>246</v>
      </c>
      <c r="D1087" s="92"/>
      <c r="E1087" s="92"/>
      <c r="F1087" s="92"/>
      <c r="G1087" s="96"/>
      <c r="H1087" s="96"/>
      <c r="I1087" s="92"/>
      <c r="J1087" s="92"/>
      <c r="K1087" s="92"/>
      <c r="L1087" s="92"/>
      <c r="M1087" s="92"/>
      <c r="N1087" s="97">
        <v>2</v>
      </c>
      <c r="O1087" s="97">
        <v>38</v>
      </c>
      <c r="P1087" s="98">
        <f>SUM(SamplingData[[#This Row],[Winning Candidate]:[Under Votes]])</f>
        <v>654</v>
      </c>
      <c r="Q1087" s="99">
        <f>IF(AND(SamplingData[[#This Row],[Total]]&lt;&gt; 0, NOT(ISBLANK(SamplingData[[#This Row],[Losing Candidate]]))),(SamplingData[[#This Row],[Total]]+SamplingData[[#This Row],[Winning Candidate]]-SamplingData[[#This Row],[Losing Candidate]])/(SamplingData[[#Totals],[Winning Candidate]]-SamplingData[[#Totals],[Losing Candidate]]), 0)</f>
        <v>3.2931590561874044E-2</v>
      </c>
      <c r="R1087" s="99">
        <f>IF(AND(SamplingData[[#This Row],[Total]]&lt;&gt; 0, NOT(ISBLANK(SamplingData[[#This Row],[Candidate 3]]))),(SamplingData[[#This Row],[Total]]+SamplingData[[#This Row],[Winning Candidate]]-SamplingData[[#This Row],[Candidate 3]])/(SamplingData[[#Totals],[Winning Candidate]]-SamplingData[[#Totals],[Candidate 3]]), 0)</f>
        <v>0</v>
      </c>
      <c r="S1087" s="99">
        <f>IF(AND(SamplingData[[#This Row],[Total]]&lt;&gt; 0, NOT(ISBLANK(SamplingData[[#This Row],[Candidate 4]]))),(SamplingData[[#This Row],[Total]]+SamplingData[[#This Row],[Winning Candidate]]-SamplingData[[#This Row],[Candidate 4]])/(SamplingData[[#Totals],[Winning Candidate]]-SamplingData[[#Totals],[Candidate 4]]), 0)</f>
        <v>0</v>
      </c>
      <c r="T1087" s="99">
        <f>IF(AND(SamplingData[[#This Row],[Total]]&lt;&gt; 0, NOT(ISBLANK(SamplingData[[#This Row],[Candidate 5]]))),(SamplingData[[#This Row],[Total]]+SamplingData[[#This Row],[Winning Candidate]]-SamplingData[[#This Row],[Candidate 5]])/(SamplingData[[#Totals],[Winning Candidate]]-SamplingData[[#Totals],[Candidate 5]]), 0)</f>
        <v>0</v>
      </c>
      <c r="U1087" s="99">
        <f>IF(AND(SamplingData[[#This Row],[Total]]&lt;&gt; 0, NOT(ISBLANK(SamplingData[[#This Row],[Candidate 6]]))),(SamplingData[[#This Row],[Total]]+SamplingData[[#This Row],[Losing Candidate]]-SamplingData[[#This Row],[Candidate 6]])/(SamplingData[[#Totals],[Winning Candidate]]-SamplingData[[#Totals],[Candidate 6]]), 0)</f>
        <v>0</v>
      </c>
      <c r="V1087" s="99">
        <f>IF(AND(SamplingData[[#This Row],[Total]]&lt;&gt; 0, NOT(ISBLANK(SamplingData[[#This Row],[Candidate 7]]))),(SamplingData[[#This Row],[Total]]+SamplingData[[#This Row],[Winning Candidate]]-SamplingData[[#This Row],[Candidate 7]])/(SamplingData[[#Totals],[Winning Candidate]]-SamplingData[[#Totals],[Candidate 7]]), 0)</f>
        <v>0</v>
      </c>
      <c r="W1087" s="99">
        <f>IF(AND(SamplingData[[#This Row],[Total]]&lt;&gt; 0, NOT(ISBLANK(SamplingData[[#This Row],[Candidate 8]]))),(SamplingData[[#This Row],[Total]]+SamplingData[[#This Row],[Winning Candidate]]-SamplingData[[#This Row],[Candidate 8]])/(SamplingData[[#Totals],[Winning Candidate]]-SamplingData[[#Totals],[Candidate 8]]), 0)</f>
        <v>0</v>
      </c>
      <c r="X10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7" s="99">
        <f>MAX(SamplingData[[#This Row],[Error Bound (up) - Max. possible relative overstatement - Losing Candidate]:[Error Bound (up) - Max. possible relative overstatement - Candidate 12]])</f>
        <v>3.2931590561874044E-2</v>
      </c>
      <c r="AC1087" s="99">
        <f>IF(SamplingData[[#This Row],[Max Error Bound (up)]] = 0,0,SamplingData[[#This Row],[Max Error Bound (up)]]/SamplingData[[#Totals],[Max Error Bound (up)]])</f>
        <v>1.763187552259427E-3</v>
      </c>
      <c r="AD1087" s="103">
        <f>SUM($AC$5:AC1087)</f>
        <v>0.96297760570036961</v>
      </c>
      <c r="AE1087" s="99" t="str" cm="1">
        <f t="array" ref="AE1087">IF(SamplingData[[#This Row],[up/U Selection Probability]] = 0, "Zero", TEXT(SamplingData[[#This Row],[Lower Range]], REPT("0",LEN('General Info'!$B$42))) &amp; " - " &amp; TEXT(SamplingData[[#This Row],[Upper Range]], REPT("0",LEN('General Info'!$B$42))))</f>
        <v>961214 - 962977</v>
      </c>
      <c r="AF1087" s="99">
        <f>SamplingData[[#This Row],[Upper Range]]-SamplingData[[#This Row],[Span]]</f>
        <v>961214.41814811016</v>
      </c>
      <c r="AG1087" s="99">
        <f>IF(ISNUMBER('General Info'!$B$42), ((SamplingData[[#This Row],[up/U Selection Probability]]) * 'General Info'!$B$44) - 1, 0)</f>
        <v>1762.1875522594271</v>
      </c>
      <c r="AH1087" s="99">
        <f>IF(ISNUMBER('General Info'!$B$42), (SamplingData[[#This Row],[Running (cumulative) sum]] * ('General Info'!$B$42 -'General Info'!$B$43 + 1)) + 'General Info'!$B$43 - 1, 0)</f>
        <v>962976.60570036958</v>
      </c>
      <c r="AI1087" s="99" t="str">
        <f>IF(ISERROR(MATCH(SamplingData[[#This Row],[Batch by Type (p)]],SelectedPrecincts[Batch Name], 0)), "", INDEX(SelectedPrecincts[Draw], MATCH(SamplingData[[#This Row],[Batch by Type (p)]],SelectedPrecincts[Batch Name], 0)))</f>
        <v/>
      </c>
      <c r="AJ1087" s="100">
        <f>IF(COUNTIF(SelectedPrecincts[Batch Name],SamplingData[[#This Row],[Batch by Type (p)]]) &lt;&gt; 0, COUNTIF(SelectedPrecincts[Batch Name],SamplingData[[#This Row],[Batch by Type (p)]]), 0)</f>
        <v>0</v>
      </c>
    </row>
    <row r="1088" spans="1:36" ht="15" customHeight="1" x14ac:dyDescent="0.35">
      <c r="A1088" s="97" t="s">
        <v>1301</v>
      </c>
      <c r="B1088" s="97">
        <v>347</v>
      </c>
      <c r="C1088" s="97">
        <v>306</v>
      </c>
      <c r="D1088" s="92"/>
      <c r="E1088" s="92"/>
      <c r="F1088" s="92"/>
      <c r="G1088" s="96"/>
      <c r="H1088" s="96"/>
      <c r="I1088" s="92"/>
      <c r="J1088" s="92"/>
      <c r="K1088" s="92"/>
      <c r="L1088" s="92"/>
      <c r="M1088" s="92"/>
      <c r="N1088" s="97">
        <v>1</v>
      </c>
      <c r="O1088" s="97">
        <v>35</v>
      </c>
      <c r="P1088" s="98">
        <f>SUM(SamplingData[[#This Row],[Winning Candidate]:[Under Votes]])</f>
        <v>689</v>
      </c>
      <c r="Q1088" s="99">
        <f>IF(AND(SamplingData[[#This Row],[Total]]&lt;&gt; 0, NOT(ISBLANK(SamplingData[[#This Row],[Losing Candidate]]))),(SamplingData[[#This Row],[Total]]+SamplingData[[#This Row],[Winning Candidate]]-SamplingData[[#This Row],[Losing Candidate]])/(SamplingData[[#Totals],[Winning Candidate]]-SamplingData[[#Totals],[Losing Candidate]]), 0)</f>
        <v>3.0979460193515534E-2</v>
      </c>
      <c r="R1088" s="99">
        <f>IF(AND(SamplingData[[#This Row],[Total]]&lt;&gt; 0, NOT(ISBLANK(SamplingData[[#This Row],[Candidate 3]]))),(SamplingData[[#This Row],[Total]]+SamplingData[[#This Row],[Winning Candidate]]-SamplingData[[#This Row],[Candidate 3]])/(SamplingData[[#Totals],[Winning Candidate]]-SamplingData[[#Totals],[Candidate 3]]), 0)</f>
        <v>0</v>
      </c>
      <c r="S1088" s="99">
        <f>IF(AND(SamplingData[[#This Row],[Total]]&lt;&gt; 0, NOT(ISBLANK(SamplingData[[#This Row],[Candidate 4]]))),(SamplingData[[#This Row],[Total]]+SamplingData[[#This Row],[Winning Candidate]]-SamplingData[[#This Row],[Candidate 4]])/(SamplingData[[#Totals],[Winning Candidate]]-SamplingData[[#Totals],[Candidate 4]]), 0)</f>
        <v>0</v>
      </c>
      <c r="T1088" s="99">
        <f>IF(AND(SamplingData[[#This Row],[Total]]&lt;&gt; 0, NOT(ISBLANK(SamplingData[[#This Row],[Candidate 5]]))),(SamplingData[[#This Row],[Total]]+SamplingData[[#This Row],[Winning Candidate]]-SamplingData[[#This Row],[Candidate 5]])/(SamplingData[[#Totals],[Winning Candidate]]-SamplingData[[#Totals],[Candidate 5]]), 0)</f>
        <v>0</v>
      </c>
      <c r="U1088" s="99">
        <f>IF(AND(SamplingData[[#This Row],[Total]]&lt;&gt; 0, NOT(ISBLANK(SamplingData[[#This Row],[Candidate 6]]))),(SamplingData[[#This Row],[Total]]+SamplingData[[#This Row],[Losing Candidate]]-SamplingData[[#This Row],[Candidate 6]])/(SamplingData[[#Totals],[Winning Candidate]]-SamplingData[[#Totals],[Candidate 6]]), 0)</f>
        <v>0</v>
      </c>
      <c r="V1088" s="99">
        <f>IF(AND(SamplingData[[#This Row],[Total]]&lt;&gt; 0, NOT(ISBLANK(SamplingData[[#This Row],[Candidate 7]]))),(SamplingData[[#This Row],[Total]]+SamplingData[[#This Row],[Winning Candidate]]-SamplingData[[#This Row],[Candidate 7]])/(SamplingData[[#Totals],[Winning Candidate]]-SamplingData[[#Totals],[Candidate 7]]), 0)</f>
        <v>0</v>
      </c>
      <c r="W1088" s="99">
        <f>IF(AND(SamplingData[[#This Row],[Total]]&lt;&gt; 0, NOT(ISBLANK(SamplingData[[#This Row],[Candidate 8]]))),(SamplingData[[#This Row],[Total]]+SamplingData[[#This Row],[Winning Candidate]]-SamplingData[[#This Row],[Candidate 8]])/(SamplingData[[#Totals],[Winning Candidate]]-SamplingData[[#Totals],[Candidate 8]]), 0)</f>
        <v>0</v>
      </c>
      <c r="X10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8" s="99">
        <f>MAX(SamplingData[[#This Row],[Error Bound (up) - Max. possible relative overstatement - Losing Candidate]:[Error Bound (up) - Max. possible relative overstatement - Candidate 12]])</f>
        <v>3.0979460193515534E-2</v>
      </c>
      <c r="AC1088" s="99">
        <f>IF(SamplingData[[#This Row],[Max Error Bound (up)]] = 0,0,SamplingData[[#This Row],[Max Error Bound (up)]]/SamplingData[[#Totals],[Max Error Bound (up)]])</f>
        <v>1.65866870251209E-3</v>
      </c>
      <c r="AD1088" s="103">
        <f>SUM($AC$5:AC1088)</f>
        <v>0.96463627440288169</v>
      </c>
      <c r="AE1088" s="99" t="str" cm="1">
        <f t="array" ref="AE1088">IF(SamplingData[[#This Row],[up/U Selection Probability]] = 0, "Zero", TEXT(SamplingData[[#This Row],[Lower Range]], REPT("0",LEN('General Info'!$B$42))) &amp; " - " &amp; TEXT(SamplingData[[#This Row],[Upper Range]], REPT("0",LEN('General Info'!$B$42))))</f>
        <v>962978 - 964635</v>
      </c>
      <c r="AF1088" s="99">
        <f>SamplingData[[#This Row],[Upper Range]]-SamplingData[[#This Row],[Span]]</f>
        <v>962977.60570036969</v>
      </c>
      <c r="AG1088" s="99">
        <f>IF(ISNUMBER('General Info'!$B$42), ((SamplingData[[#This Row],[up/U Selection Probability]]) * 'General Info'!$B$44) - 1, 0)</f>
        <v>1657.66870251209</v>
      </c>
      <c r="AH1088" s="99">
        <f>IF(ISNUMBER('General Info'!$B$42), (SamplingData[[#This Row],[Running (cumulative) sum]] * ('General Info'!$B$42 -'General Info'!$B$43 + 1)) + 'General Info'!$B$43 - 1, 0)</f>
        <v>964635.27440288174</v>
      </c>
      <c r="AI1088" s="99" t="str">
        <f>IF(ISERROR(MATCH(SamplingData[[#This Row],[Batch by Type (p)]],SelectedPrecincts[Batch Name], 0)), "", INDEX(SelectedPrecincts[Draw], MATCH(SamplingData[[#This Row],[Batch by Type (p)]],SelectedPrecincts[Batch Name], 0)))</f>
        <v/>
      </c>
      <c r="AJ1088" s="100">
        <f>IF(COUNTIF(SelectedPrecincts[Batch Name],SamplingData[[#This Row],[Batch by Type (p)]]) &lt;&gt; 0, COUNTIF(SelectedPrecincts[Batch Name],SamplingData[[#This Row],[Batch by Type (p)]]), 0)</f>
        <v>0</v>
      </c>
    </row>
    <row r="1089" spans="1:36" ht="15" customHeight="1" x14ac:dyDescent="0.35">
      <c r="A1089" s="97" t="s">
        <v>1302</v>
      </c>
      <c r="B1089" s="97">
        <v>198</v>
      </c>
      <c r="C1089" s="97">
        <v>254</v>
      </c>
      <c r="D1089" s="92"/>
      <c r="E1089" s="92"/>
      <c r="F1089" s="92"/>
      <c r="G1089" s="96"/>
      <c r="H1089" s="96"/>
      <c r="I1089" s="92"/>
      <c r="J1089" s="92"/>
      <c r="K1089" s="92"/>
      <c r="L1089" s="92"/>
      <c r="M1089" s="92"/>
      <c r="N1089" s="97">
        <v>2</v>
      </c>
      <c r="O1089" s="97">
        <v>42</v>
      </c>
      <c r="P1089" s="98">
        <f>SUM(SamplingData[[#This Row],[Winning Candidate]:[Under Votes]])</f>
        <v>496</v>
      </c>
      <c r="Q1089" s="99">
        <f>IF(AND(SamplingData[[#This Row],[Total]]&lt;&gt; 0, NOT(ISBLANK(SamplingData[[#This Row],[Losing Candidate]]))),(SamplingData[[#This Row],[Total]]+SamplingData[[#This Row],[Winning Candidate]]-SamplingData[[#This Row],[Losing Candidate]])/(SamplingData[[#Totals],[Winning Candidate]]-SamplingData[[#Totals],[Losing Candidate]]), 0)</f>
        <v>1.867255134951621E-2</v>
      </c>
      <c r="R1089" s="99">
        <f>IF(AND(SamplingData[[#This Row],[Total]]&lt;&gt; 0, NOT(ISBLANK(SamplingData[[#This Row],[Candidate 3]]))),(SamplingData[[#This Row],[Total]]+SamplingData[[#This Row],[Winning Candidate]]-SamplingData[[#This Row],[Candidate 3]])/(SamplingData[[#Totals],[Winning Candidate]]-SamplingData[[#Totals],[Candidate 3]]), 0)</f>
        <v>0</v>
      </c>
      <c r="S1089" s="99">
        <f>IF(AND(SamplingData[[#This Row],[Total]]&lt;&gt; 0, NOT(ISBLANK(SamplingData[[#This Row],[Candidate 4]]))),(SamplingData[[#This Row],[Total]]+SamplingData[[#This Row],[Winning Candidate]]-SamplingData[[#This Row],[Candidate 4]])/(SamplingData[[#Totals],[Winning Candidate]]-SamplingData[[#Totals],[Candidate 4]]), 0)</f>
        <v>0</v>
      </c>
      <c r="T1089" s="99">
        <f>IF(AND(SamplingData[[#This Row],[Total]]&lt;&gt; 0, NOT(ISBLANK(SamplingData[[#This Row],[Candidate 5]]))),(SamplingData[[#This Row],[Total]]+SamplingData[[#This Row],[Winning Candidate]]-SamplingData[[#This Row],[Candidate 5]])/(SamplingData[[#Totals],[Winning Candidate]]-SamplingData[[#Totals],[Candidate 5]]), 0)</f>
        <v>0</v>
      </c>
      <c r="U1089" s="99">
        <f>IF(AND(SamplingData[[#This Row],[Total]]&lt;&gt; 0, NOT(ISBLANK(SamplingData[[#This Row],[Candidate 6]]))),(SamplingData[[#This Row],[Total]]+SamplingData[[#This Row],[Losing Candidate]]-SamplingData[[#This Row],[Candidate 6]])/(SamplingData[[#Totals],[Winning Candidate]]-SamplingData[[#Totals],[Candidate 6]]), 0)</f>
        <v>0</v>
      </c>
      <c r="V1089" s="99">
        <f>IF(AND(SamplingData[[#This Row],[Total]]&lt;&gt; 0, NOT(ISBLANK(SamplingData[[#This Row],[Candidate 7]]))),(SamplingData[[#This Row],[Total]]+SamplingData[[#This Row],[Winning Candidate]]-SamplingData[[#This Row],[Candidate 7]])/(SamplingData[[#Totals],[Winning Candidate]]-SamplingData[[#Totals],[Candidate 7]]), 0)</f>
        <v>0</v>
      </c>
      <c r="W1089" s="99">
        <f>IF(AND(SamplingData[[#This Row],[Total]]&lt;&gt; 0, NOT(ISBLANK(SamplingData[[#This Row],[Candidate 8]]))),(SamplingData[[#This Row],[Total]]+SamplingData[[#This Row],[Winning Candidate]]-SamplingData[[#This Row],[Candidate 8]])/(SamplingData[[#Totals],[Winning Candidate]]-SamplingData[[#Totals],[Candidate 8]]), 0)</f>
        <v>0</v>
      </c>
      <c r="X10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9" s="99">
        <f>MAX(SamplingData[[#This Row],[Error Bound (up) - Max. possible relative overstatement - Losing Candidate]:[Error Bound (up) - Max. possible relative overstatement - Candidate 12]])</f>
        <v>1.867255134951621E-2</v>
      </c>
      <c r="AC1089" s="99">
        <f>IF(SamplingData[[#This Row],[Max Error Bound (up)]] = 0,0,SamplingData[[#This Row],[Max Error Bound (up)]]/SamplingData[[#Totals],[Max Error Bound (up)]])</f>
        <v>9.9974551932235554E-4</v>
      </c>
      <c r="AD1089" s="103">
        <f>SUM($AC$5:AC1089)</f>
        <v>0.96563601992220405</v>
      </c>
      <c r="AE1089" s="99" t="str" cm="1">
        <f t="array" ref="AE1089">IF(SamplingData[[#This Row],[up/U Selection Probability]] = 0, "Zero", TEXT(SamplingData[[#This Row],[Lower Range]], REPT("0",LEN('General Info'!$B$42))) &amp; " - " &amp; TEXT(SamplingData[[#This Row],[Upper Range]], REPT("0",LEN('General Info'!$B$42))))</f>
        <v>964636 - 965635</v>
      </c>
      <c r="AF1089" s="99">
        <f>SamplingData[[#This Row],[Upper Range]]-SamplingData[[#This Row],[Span]]</f>
        <v>964636.27440288174</v>
      </c>
      <c r="AG1089" s="99">
        <f>IF(ISNUMBER('General Info'!$B$42), ((SamplingData[[#This Row],[up/U Selection Probability]]) * 'General Info'!$B$44) - 1, 0)</f>
        <v>998.74551932235556</v>
      </c>
      <c r="AH1089" s="99">
        <f>IF(ISNUMBER('General Info'!$B$42), (SamplingData[[#This Row],[Running (cumulative) sum]] * ('General Info'!$B$42 -'General Info'!$B$43 + 1)) + 'General Info'!$B$43 - 1, 0)</f>
        <v>965635.01992220408</v>
      </c>
      <c r="AI1089" s="99" t="str">
        <f>IF(ISERROR(MATCH(SamplingData[[#This Row],[Batch by Type (p)]],SelectedPrecincts[Batch Name], 0)), "", INDEX(SelectedPrecincts[Draw], MATCH(SamplingData[[#This Row],[Batch by Type (p)]],SelectedPrecincts[Batch Name], 0)))</f>
        <v/>
      </c>
      <c r="AJ1089" s="100">
        <f>IF(COUNTIF(SelectedPrecincts[Batch Name],SamplingData[[#This Row],[Batch by Type (p)]]) &lt;&gt; 0, COUNTIF(SelectedPrecincts[Batch Name],SamplingData[[#This Row],[Batch by Type (p)]]), 0)</f>
        <v>0</v>
      </c>
    </row>
    <row r="1090" spans="1:36" ht="15" customHeight="1" x14ac:dyDescent="0.35">
      <c r="A1090" s="97" t="s">
        <v>1303</v>
      </c>
      <c r="B1090" s="97">
        <v>311</v>
      </c>
      <c r="C1090" s="97">
        <v>214</v>
      </c>
      <c r="D1090" s="92"/>
      <c r="E1090" s="92"/>
      <c r="F1090" s="92"/>
      <c r="G1090" s="96"/>
      <c r="H1090" s="96"/>
      <c r="I1090" s="92"/>
      <c r="J1090" s="92"/>
      <c r="K1090" s="92"/>
      <c r="L1090" s="92"/>
      <c r="M1090" s="92"/>
      <c r="N1090" s="97">
        <v>0</v>
      </c>
      <c r="O1090" s="97">
        <v>43</v>
      </c>
      <c r="P1090" s="98">
        <f>SUM(SamplingData[[#This Row],[Winning Candidate]:[Under Votes]])</f>
        <v>568</v>
      </c>
      <c r="Q1090" s="99">
        <f>IF(AND(SamplingData[[#This Row],[Total]]&lt;&gt; 0, NOT(ISBLANK(SamplingData[[#This Row],[Losing Candidate]]))),(SamplingData[[#This Row],[Total]]+SamplingData[[#This Row],[Winning Candidate]]-SamplingData[[#This Row],[Losing Candidate]])/(SamplingData[[#Totals],[Winning Candidate]]-SamplingData[[#Totals],[Losing Candidate]]), 0)</f>
        <v>2.8221015107791545E-2</v>
      </c>
      <c r="R1090" s="99">
        <f>IF(AND(SamplingData[[#This Row],[Total]]&lt;&gt; 0, NOT(ISBLANK(SamplingData[[#This Row],[Candidate 3]]))),(SamplingData[[#This Row],[Total]]+SamplingData[[#This Row],[Winning Candidate]]-SamplingData[[#This Row],[Candidate 3]])/(SamplingData[[#Totals],[Winning Candidate]]-SamplingData[[#Totals],[Candidate 3]]), 0)</f>
        <v>0</v>
      </c>
      <c r="S1090" s="99">
        <f>IF(AND(SamplingData[[#This Row],[Total]]&lt;&gt; 0, NOT(ISBLANK(SamplingData[[#This Row],[Candidate 4]]))),(SamplingData[[#This Row],[Total]]+SamplingData[[#This Row],[Winning Candidate]]-SamplingData[[#This Row],[Candidate 4]])/(SamplingData[[#Totals],[Winning Candidate]]-SamplingData[[#Totals],[Candidate 4]]), 0)</f>
        <v>0</v>
      </c>
      <c r="T1090" s="99">
        <f>IF(AND(SamplingData[[#This Row],[Total]]&lt;&gt; 0, NOT(ISBLANK(SamplingData[[#This Row],[Candidate 5]]))),(SamplingData[[#This Row],[Total]]+SamplingData[[#This Row],[Winning Candidate]]-SamplingData[[#This Row],[Candidate 5]])/(SamplingData[[#Totals],[Winning Candidate]]-SamplingData[[#Totals],[Candidate 5]]), 0)</f>
        <v>0</v>
      </c>
      <c r="U1090" s="99">
        <f>IF(AND(SamplingData[[#This Row],[Total]]&lt;&gt; 0, NOT(ISBLANK(SamplingData[[#This Row],[Candidate 6]]))),(SamplingData[[#This Row],[Total]]+SamplingData[[#This Row],[Losing Candidate]]-SamplingData[[#This Row],[Candidate 6]])/(SamplingData[[#Totals],[Winning Candidate]]-SamplingData[[#Totals],[Candidate 6]]), 0)</f>
        <v>0</v>
      </c>
      <c r="V1090" s="99">
        <f>IF(AND(SamplingData[[#This Row],[Total]]&lt;&gt; 0, NOT(ISBLANK(SamplingData[[#This Row],[Candidate 7]]))),(SamplingData[[#This Row],[Total]]+SamplingData[[#This Row],[Winning Candidate]]-SamplingData[[#This Row],[Candidate 7]])/(SamplingData[[#Totals],[Winning Candidate]]-SamplingData[[#Totals],[Candidate 7]]), 0)</f>
        <v>0</v>
      </c>
      <c r="W1090" s="99">
        <f>IF(AND(SamplingData[[#This Row],[Total]]&lt;&gt; 0, NOT(ISBLANK(SamplingData[[#This Row],[Candidate 8]]))),(SamplingData[[#This Row],[Total]]+SamplingData[[#This Row],[Winning Candidate]]-SamplingData[[#This Row],[Candidate 8]])/(SamplingData[[#Totals],[Winning Candidate]]-SamplingData[[#Totals],[Candidate 8]]), 0)</f>
        <v>0</v>
      </c>
      <c r="X10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0" s="99">
        <f>MAX(SamplingData[[#This Row],[Error Bound (up) - Max. possible relative overstatement - Losing Candidate]:[Error Bound (up) - Max. possible relative overstatement - Candidate 12]])</f>
        <v>2.8221015107791545E-2</v>
      </c>
      <c r="AC1090" s="99">
        <f>IF(SamplingData[[#This Row],[Max Error Bound (up)]] = 0,0,SamplingData[[#This Row],[Max Error Bound (up)]]/SamplingData[[#Totals],[Max Error Bound (up)]])</f>
        <v>1.5109790235212873E-3</v>
      </c>
      <c r="AD1090" s="103">
        <f>SUM($AC$5:AC1090)</f>
        <v>0.96714699894572531</v>
      </c>
      <c r="AE1090" s="99" t="str" cm="1">
        <f t="array" ref="AE1090">IF(SamplingData[[#This Row],[up/U Selection Probability]] = 0, "Zero", TEXT(SamplingData[[#This Row],[Lower Range]], REPT("0",LEN('General Info'!$B$42))) &amp; " - " &amp; TEXT(SamplingData[[#This Row],[Upper Range]], REPT("0",LEN('General Info'!$B$42))))</f>
        <v>965636 - 967146</v>
      </c>
      <c r="AF1090" s="99">
        <f>SamplingData[[#This Row],[Upper Range]]-SamplingData[[#This Row],[Span]]</f>
        <v>965636.01992220397</v>
      </c>
      <c r="AG1090" s="99">
        <f>IF(ISNUMBER('General Info'!$B$42), ((SamplingData[[#This Row],[up/U Selection Probability]]) * 'General Info'!$B$44) - 1, 0)</f>
        <v>1509.9790235212872</v>
      </c>
      <c r="AH1090" s="99">
        <f>IF(ISNUMBER('General Info'!$B$42), (SamplingData[[#This Row],[Running (cumulative) sum]] * ('General Info'!$B$42 -'General Info'!$B$43 + 1)) + 'General Info'!$B$43 - 1, 0)</f>
        <v>967145.99894572527</v>
      </c>
      <c r="AI1090" s="99" t="str">
        <f>IF(ISERROR(MATCH(SamplingData[[#This Row],[Batch by Type (p)]],SelectedPrecincts[Batch Name], 0)), "", INDEX(SelectedPrecincts[Draw], MATCH(SamplingData[[#This Row],[Batch by Type (p)]],SelectedPrecincts[Batch Name], 0)))</f>
        <v/>
      </c>
      <c r="AJ1090" s="100">
        <f>IF(COUNTIF(SelectedPrecincts[Batch Name],SamplingData[[#This Row],[Batch by Type (p)]]) &lt;&gt; 0, COUNTIF(SelectedPrecincts[Batch Name],SamplingData[[#This Row],[Batch by Type (p)]]), 0)</f>
        <v>0</v>
      </c>
    </row>
    <row r="1091" spans="1:36" ht="15" customHeight="1" x14ac:dyDescent="0.35">
      <c r="A1091" s="97" t="s">
        <v>1304</v>
      </c>
      <c r="B1091" s="97">
        <v>181</v>
      </c>
      <c r="C1091" s="97">
        <v>90</v>
      </c>
      <c r="D1091" s="92"/>
      <c r="E1091" s="92"/>
      <c r="F1091" s="92"/>
      <c r="G1091" s="96"/>
      <c r="H1091" s="96"/>
      <c r="I1091" s="92"/>
      <c r="J1091" s="92"/>
      <c r="K1091" s="92"/>
      <c r="L1091" s="92"/>
      <c r="M1091" s="92"/>
      <c r="N1091" s="97">
        <v>0</v>
      </c>
      <c r="O1091" s="97">
        <v>7</v>
      </c>
      <c r="P1091" s="98">
        <f>SUM(SamplingData[[#This Row],[Winning Candidate]:[Under Votes]])</f>
        <v>278</v>
      </c>
      <c r="Q1091" s="99">
        <f>IF(AND(SamplingData[[#This Row],[Total]]&lt;&gt; 0, NOT(ISBLANK(SamplingData[[#This Row],[Losing Candidate]]))),(SamplingData[[#This Row],[Total]]+SamplingData[[#This Row],[Winning Candidate]]-SamplingData[[#This Row],[Losing Candidate]])/(SamplingData[[#Totals],[Winning Candidate]]-SamplingData[[#Totals],[Losing Candidate]]), 0)</f>
        <v>1.565948056357155E-2</v>
      </c>
      <c r="R1091" s="99">
        <f>IF(AND(SamplingData[[#This Row],[Total]]&lt;&gt; 0, NOT(ISBLANK(SamplingData[[#This Row],[Candidate 3]]))),(SamplingData[[#This Row],[Total]]+SamplingData[[#This Row],[Winning Candidate]]-SamplingData[[#This Row],[Candidate 3]])/(SamplingData[[#Totals],[Winning Candidate]]-SamplingData[[#Totals],[Candidate 3]]), 0)</f>
        <v>0</v>
      </c>
      <c r="S1091" s="99">
        <f>IF(AND(SamplingData[[#This Row],[Total]]&lt;&gt; 0, NOT(ISBLANK(SamplingData[[#This Row],[Candidate 4]]))),(SamplingData[[#This Row],[Total]]+SamplingData[[#This Row],[Winning Candidate]]-SamplingData[[#This Row],[Candidate 4]])/(SamplingData[[#Totals],[Winning Candidate]]-SamplingData[[#Totals],[Candidate 4]]), 0)</f>
        <v>0</v>
      </c>
      <c r="T1091" s="99">
        <f>IF(AND(SamplingData[[#This Row],[Total]]&lt;&gt; 0, NOT(ISBLANK(SamplingData[[#This Row],[Candidate 5]]))),(SamplingData[[#This Row],[Total]]+SamplingData[[#This Row],[Winning Candidate]]-SamplingData[[#This Row],[Candidate 5]])/(SamplingData[[#Totals],[Winning Candidate]]-SamplingData[[#Totals],[Candidate 5]]), 0)</f>
        <v>0</v>
      </c>
      <c r="U1091" s="99">
        <f>IF(AND(SamplingData[[#This Row],[Total]]&lt;&gt; 0, NOT(ISBLANK(SamplingData[[#This Row],[Candidate 6]]))),(SamplingData[[#This Row],[Total]]+SamplingData[[#This Row],[Losing Candidate]]-SamplingData[[#This Row],[Candidate 6]])/(SamplingData[[#Totals],[Winning Candidate]]-SamplingData[[#Totals],[Candidate 6]]), 0)</f>
        <v>0</v>
      </c>
      <c r="V1091" s="99">
        <f>IF(AND(SamplingData[[#This Row],[Total]]&lt;&gt; 0, NOT(ISBLANK(SamplingData[[#This Row],[Candidate 7]]))),(SamplingData[[#This Row],[Total]]+SamplingData[[#This Row],[Winning Candidate]]-SamplingData[[#This Row],[Candidate 7]])/(SamplingData[[#Totals],[Winning Candidate]]-SamplingData[[#Totals],[Candidate 7]]), 0)</f>
        <v>0</v>
      </c>
      <c r="W1091" s="99">
        <f>IF(AND(SamplingData[[#This Row],[Total]]&lt;&gt; 0, NOT(ISBLANK(SamplingData[[#This Row],[Candidate 8]]))),(SamplingData[[#This Row],[Total]]+SamplingData[[#This Row],[Winning Candidate]]-SamplingData[[#This Row],[Candidate 8]])/(SamplingData[[#Totals],[Winning Candidate]]-SamplingData[[#Totals],[Candidate 8]]), 0)</f>
        <v>0</v>
      </c>
      <c r="X10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1" s="99">
        <f>MAX(SamplingData[[#This Row],[Error Bound (up) - Max. possible relative overstatement - Losing Candidate]:[Error Bound (up) - Max. possible relative overstatement - Candidate 12]])</f>
        <v>1.565948056357155E-2</v>
      </c>
      <c r="AC1091" s="99">
        <f>IF(SamplingData[[#This Row],[Max Error Bound (up)]] = 0,0,SamplingData[[#This Row],[Max Error Bound (up)]]/SamplingData[[#Totals],[Max Error Bound (up)]])</f>
        <v>8.3842294688624825E-4</v>
      </c>
      <c r="AD1091" s="103">
        <f>SUM($AC$5:AC1091)</f>
        <v>0.96798542189261161</v>
      </c>
      <c r="AE1091" s="99" t="str" cm="1">
        <f t="array" ref="AE1091">IF(SamplingData[[#This Row],[up/U Selection Probability]] = 0, "Zero", TEXT(SamplingData[[#This Row],[Lower Range]], REPT("0",LEN('General Info'!$B$42))) &amp; " - " &amp; TEXT(SamplingData[[#This Row],[Upper Range]], REPT("0",LEN('General Info'!$B$42))))</f>
        <v>967147 - 967984</v>
      </c>
      <c r="AF1091" s="99">
        <f>SamplingData[[#This Row],[Upper Range]]-SamplingData[[#This Row],[Span]]</f>
        <v>967146.99894572538</v>
      </c>
      <c r="AG1091" s="99">
        <f>IF(ISNUMBER('General Info'!$B$42), ((SamplingData[[#This Row],[up/U Selection Probability]]) * 'General Info'!$B$44) - 1, 0)</f>
        <v>837.42294688624827</v>
      </c>
      <c r="AH1091" s="99">
        <f>IF(ISNUMBER('General Info'!$B$42), (SamplingData[[#This Row],[Running (cumulative) sum]] * ('General Info'!$B$42 -'General Info'!$B$43 + 1)) + 'General Info'!$B$43 - 1, 0)</f>
        <v>967984.42189261166</v>
      </c>
      <c r="AI1091" s="99" t="str">
        <f>IF(ISERROR(MATCH(SamplingData[[#This Row],[Batch by Type (p)]],SelectedPrecincts[Batch Name], 0)), "", INDEX(SelectedPrecincts[Draw], MATCH(SamplingData[[#This Row],[Batch by Type (p)]],SelectedPrecincts[Batch Name], 0)))</f>
        <v/>
      </c>
      <c r="AJ1091" s="100">
        <f>IF(COUNTIF(SelectedPrecincts[Batch Name],SamplingData[[#This Row],[Batch by Type (p)]]) &lt;&gt; 0, COUNTIF(SelectedPrecincts[Batch Name],SamplingData[[#This Row],[Batch by Type (p)]]), 0)</f>
        <v>0</v>
      </c>
    </row>
    <row r="1092" spans="1:36" ht="15" customHeight="1" x14ac:dyDescent="0.35">
      <c r="A1092" s="97" t="s">
        <v>1305</v>
      </c>
      <c r="B1092" s="97">
        <v>252</v>
      </c>
      <c r="C1092" s="97">
        <v>94</v>
      </c>
      <c r="D1092" s="92"/>
      <c r="E1092" s="92"/>
      <c r="F1092" s="92"/>
      <c r="G1092" s="96"/>
      <c r="H1092" s="96"/>
      <c r="I1092" s="92"/>
      <c r="J1092" s="92"/>
      <c r="K1092" s="92"/>
      <c r="L1092" s="92"/>
      <c r="M1092" s="92"/>
      <c r="N1092" s="97">
        <v>0</v>
      </c>
      <c r="O1092" s="97">
        <v>25</v>
      </c>
      <c r="P1092" s="98">
        <f>SUM(SamplingData[[#This Row],[Winning Candidate]:[Under Votes]])</f>
        <v>371</v>
      </c>
      <c r="Q1092" s="99">
        <f>IF(AND(SamplingData[[#This Row],[Total]]&lt;&gt; 0, NOT(ISBLANK(SamplingData[[#This Row],[Losing Candidate]]))),(SamplingData[[#This Row],[Total]]+SamplingData[[#This Row],[Winning Candidate]]-SamplingData[[#This Row],[Losing Candidate]])/(SamplingData[[#Totals],[Winning Candidate]]-SamplingData[[#Totals],[Losing Candidate]]), 0)</f>
        <v>2.24494992361229E-2</v>
      </c>
      <c r="R1092" s="99">
        <f>IF(AND(SamplingData[[#This Row],[Total]]&lt;&gt; 0, NOT(ISBLANK(SamplingData[[#This Row],[Candidate 3]]))),(SamplingData[[#This Row],[Total]]+SamplingData[[#This Row],[Winning Candidate]]-SamplingData[[#This Row],[Candidate 3]])/(SamplingData[[#Totals],[Winning Candidate]]-SamplingData[[#Totals],[Candidate 3]]), 0)</f>
        <v>0</v>
      </c>
      <c r="S1092" s="99">
        <f>IF(AND(SamplingData[[#This Row],[Total]]&lt;&gt; 0, NOT(ISBLANK(SamplingData[[#This Row],[Candidate 4]]))),(SamplingData[[#This Row],[Total]]+SamplingData[[#This Row],[Winning Candidate]]-SamplingData[[#This Row],[Candidate 4]])/(SamplingData[[#Totals],[Winning Candidate]]-SamplingData[[#Totals],[Candidate 4]]), 0)</f>
        <v>0</v>
      </c>
      <c r="T1092" s="99">
        <f>IF(AND(SamplingData[[#This Row],[Total]]&lt;&gt; 0, NOT(ISBLANK(SamplingData[[#This Row],[Candidate 5]]))),(SamplingData[[#This Row],[Total]]+SamplingData[[#This Row],[Winning Candidate]]-SamplingData[[#This Row],[Candidate 5]])/(SamplingData[[#Totals],[Winning Candidate]]-SamplingData[[#Totals],[Candidate 5]]), 0)</f>
        <v>0</v>
      </c>
      <c r="U1092" s="99">
        <f>IF(AND(SamplingData[[#This Row],[Total]]&lt;&gt; 0, NOT(ISBLANK(SamplingData[[#This Row],[Candidate 6]]))),(SamplingData[[#This Row],[Total]]+SamplingData[[#This Row],[Losing Candidate]]-SamplingData[[#This Row],[Candidate 6]])/(SamplingData[[#Totals],[Winning Candidate]]-SamplingData[[#Totals],[Candidate 6]]), 0)</f>
        <v>0</v>
      </c>
      <c r="V1092" s="99">
        <f>IF(AND(SamplingData[[#This Row],[Total]]&lt;&gt; 0, NOT(ISBLANK(SamplingData[[#This Row],[Candidate 7]]))),(SamplingData[[#This Row],[Total]]+SamplingData[[#This Row],[Winning Candidate]]-SamplingData[[#This Row],[Candidate 7]])/(SamplingData[[#Totals],[Winning Candidate]]-SamplingData[[#Totals],[Candidate 7]]), 0)</f>
        <v>0</v>
      </c>
      <c r="W1092" s="99">
        <f>IF(AND(SamplingData[[#This Row],[Total]]&lt;&gt; 0, NOT(ISBLANK(SamplingData[[#This Row],[Candidate 8]]))),(SamplingData[[#This Row],[Total]]+SamplingData[[#This Row],[Winning Candidate]]-SamplingData[[#This Row],[Candidate 8]])/(SamplingData[[#Totals],[Winning Candidate]]-SamplingData[[#Totals],[Candidate 8]]), 0)</f>
        <v>0</v>
      </c>
      <c r="X10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2" s="99">
        <f>MAX(SamplingData[[#This Row],[Error Bound (up) - Max. possible relative overstatement - Losing Candidate]:[Error Bound (up) - Max. possible relative overstatement - Candidate 12]])</f>
        <v>2.24494992361229E-2</v>
      </c>
      <c r="AC1092" s="99">
        <f>IF(SamplingData[[#This Row],[Max Error Bound (up)]] = 0,0,SamplingData[[#This Row],[Max Error Bound (up)]]/SamplingData[[#Totals],[Max Error Bound (up)]])</f>
        <v>1.2019667720943776E-3</v>
      </c>
      <c r="AD1092" s="103">
        <f>SUM($AC$5:AC1092)</f>
        <v>0.969187388664706</v>
      </c>
      <c r="AE1092" s="99" t="str" cm="1">
        <f t="array" ref="AE1092">IF(SamplingData[[#This Row],[up/U Selection Probability]] = 0, "Zero", TEXT(SamplingData[[#This Row],[Lower Range]], REPT("0",LEN('General Info'!$B$42))) &amp; " - " &amp; TEXT(SamplingData[[#This Row],[Upper Range]], REPT("0",LEN('General Info'!$B$42))))</f>
        <v>967985 - 969186</v>
      </c>
      <c r="AF1092" s="99">
        <f>SamplingData[[#This Row],[Upper Range]]-SamplingData[[#This Row],[Span]]</f>
        <v>967985.42189261166</v>
      </c>
      <c r="AG1092" s="99">
        <f>IF(ISNUMBER('General Info'!$B$42), ((SamplingData[[#This Row],[up/U Selection Probability]]) * 'General Info'!$B$44) - 1, 0)</f>
        <v>1200.9667720943776</v>
      </c>
      <c r="AH1092" s="99">
        <f>IF(ISNUMBER('General Info'!$B$42), (SamplingData[[#This Row],[Running (cumulative) sum]] * ('General Info'!$B$42 -'General Info'!$B$43 + 1)) + 'General Info'!$B$43 - 1, 0)</f>
        <v>969186.38866470603</v>
      </c>
      <c r="AI1092" s="99" t="str">
        <f>IF(ISERROR(MATCH(SamplingData[[#This Row],[Batch by Type (p)]],SelectedPrecincts[Batch Name], 0)), "", INDEX(SelectedPrecincts[Draw], MATCH(SamplingData[[#This Row],[Batch by Type (p)]],SelectedPrecincts[Batch Name], 0)))</f>
        <v/>
      </c>
      <c r="AJ1092" s="100">
        <f>IF(COUNTIF(SelectedPrecincts[Batch Name],SamplingData[[#This Row],[Batch by Type (p)]]) &lt;&gt; 0, COUNTIF(SelectedPrecincts[Batch Name],SamplingData[[#This Row],[Batch by Type (p)]]), 0)</f>
        <v>0</v>
      </c>
    </row>
    <row r="1093" spans="1:36" ht="15" customHeight="1" x14ac:dyDescent="0.35">
      <c r="A1093" s="97" t="s">
        <v>1306</v>
      </c>
      <c r="B1093" s="97">
        <v>169</v>
      </c>
      <c r="C1093" s="97">
        <v>94</v>
      </c>
      <c r="D1093" s="92"/>
      <c r="E1093" s="92"/>
      <c r="F1093" s="92"/>
      <c r="G1093" s="96"/>
      <c r="H1093" s="96"/>
      <c r="I1093" s="92"/>
      <c r="J1093" s="92"/>
      <c r="K1093" s="92"/>
      <c r="L1093" s="92"/>
      <c r="M1093" s="92"/>
      <c r="N1093" s="97">
        <v>0</v>
      </c>
      <c r="O1093" s="97">
        <v>30</v>
      </c>
      <c r="P1093" s="98">
        <f>SUM(SamplingData[[#This Row],[Winning Candidate]:[Under Votes]])</f>
        <v>293</v>
      </c>
      <c r="Q1093" s="99">
        <f>IF(AND(SamplingData[[#This Row],[Total]]&lt;&gt; 0, NOT(ISBLANK(SamplingData[[#This Row],[Losing Candidate]]))),(SamplingData[[#This Row],[Total]]+SamplingData[[#This Row],[Winning Candidate]]-SamplingData[[#This Row],[Losing Candidate]])/(SamplingData[[#Totals],[Winning Candidate]]-SamplingData[[#Totals],[Losing Candidate]]), 0)</f>
        <v>1.5617042946868104E-2</v>
      </c>
      <c r="R1093" s="99">
        <f>IF(AND(SamplingData[[#This Row],[Total]]&lt;&gt; 0, NOT(ISBLANK(SamplingData[[#This Row],[Candidate 3]]))),(SamplingData[[#This Row],[Total]]+SamplingData[[#This Row],[Winning Candidate]]-SamplingData[[#This Row],[Candidate 3]])/(SamplingData[[#Totals],[Winning Candidate]]-SamplingData[[#Totals],[Candidate 3]]), 0)</f>
        <v>0</v>
      </c>
      <c r="S1093" s="99">
        <f>IF(AND(SamplingData[[#This Row],[Total]]&lt;&gt; 0, NOT(ISBLANK(SamplingData[[#This Row],[Candidate 4]]))),(SamplingData[[#This Row],[Total]]+SamplingData[[#This Row],[Winning Candidate]]-SamplingData[[#This Row],[Candidate 4]])/(SamplingData[[#Totals],[Winning Candidate]]-SamplingData[[#Totals],[Candidate 4]]), 0)</f>
        <v>0</v>
      </c>
      <c r="T1093" s="99">
        <f>IF(AND(SamplingData[[#This Row],[Total]]&lt;&gt; 0, NOT(ISBLANK(SamplingData[[#This Row],[Candidate 5]]))),(SamplingData[[#This Row],[Total]]+SamplingData[[#This Row],[Winning Candidate]]-SamplingData[[#This Row],[Candidate 5]])/(SamplingData[[#Totals],[Winning Candidate]]-SamplingData[[#Totals],[Candidate 5]]), 0)</f>
        <v>0</v>
      </c>
      <c r="U1093" s="99">
        <f>IF(AND(SamplingData[[#This Row],[Total]]&lt;&gt; 0, NOT(ISBLANK(SamplingData[[#This Row],[Candidate 6]]))),(SamplingData[[#This Row],[Total]]+SamplingData[[#This Row],[Losing Candidate]]-SamplingData[[#This Row],[Candidate 6]])/(SamplingData[[#Totals],[Winning Candidate]]-SamplingData[[#Totals],[Candidate 6]]), 0)</f>
        <v>0</v>
      </c>
      <c r="V1093" s="99">
        <f>IF(AND(SamplingData[[#This Row],[Total]]&lt;&gt; 0, NOT(ISBLANK(SamplingData[[#This Row],[Candidate 7]]))),(SamplingData[[#This Row],[Total]]+SamplingData[[#This Row],[Winning Candidate]]-SamplingData[[#This Row],[Candidate 7]])/(SamplingData[[#Totals],[Winning Candidate]]-SamplingData[[#Totals],[Candidate 7]]), 0)</f>
        <v>0</v>
      </c>
      <c r="W1093" s="99">
        <f>IF(AND(SamplingData[[#This Row],[Total]]&lt;&gt; 0, NOT(ISBLANK(SamplingData[[#This Row],[Candidate 8]]))),(SamplingData[[#This Row],[Total]]+SamplingData[[#This Row],[Winning Candidate]]-SamplingData[[#This Row],[Candidate 8]])/(SamplingData[[#Totals],[Winning Candidate]]-SamplingData[[#Totals],[Candidate 8]]), 0)</f>
        <v>0</v>
      </c>
      <c r="X10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3" s="99">
        <f>MAX(SamplingData[[#This Row],[Error Bound (up) - Max. possible relative overstatement - Losing Candidate]:[Error Bound (up) - Max. possible relative overstatement - Candidate 12]])</f>
        <v>1.5617042946868104E-2</v>
      </c>
      <c r="AC1093" s="99">
        <f>IF(SamplingData[[#This Row],[Max Error Bound (up)]] = 0,0,SamplingData[[#This Row],[Max Error Bound (up)]]/SamplingData[[#Totals],[Max Error Bound (up)]])</f>
        <v>8.3615079797869747E-4</v>
      </c>
      <c r="AD1093" s="103">
        <f>SUM($AC$5:AC1093)</f>
        <v>0.97002353946268471</v>
      </c>
      <c r="AE1093" s="99" t="str" cm="1">
        <f t="array" ref="AE1093">IF(SamplingData[[#This Row],[up/U Selection Probability]] = 0, "Zero", TEXT(SamplingData[[#This Row],[Lower Range]], REPT("0",LEN('General Info'!$B$42))) &amp; " - " &amp; TEXT(SamplingData[[#This Row],[Upper Range]], REPT("0",LEN('General Info'!$B$42))))</f>
        <v>969187 - 970023</v>
      </c>
      <c r="AF1093" s="99">
        <f>SamplingData[[#This Row],[Upper Range]]-SamplingData[[#This Row],[Span]]</f>
        <v>969187.38866470603</v>
      </c>
      <c r="AG1093" s="99">
        <f>IF(ISNUMBER('General Info'!$B$42), ((SamplingData[[#This Row],[up/U Selection Probability]]) * 'General Info'!$B$44) - 1, 0)</f>
        <v>835.15079797869748</v>
      </c>
      <c r="AH1093" s="99">
        <f>IF(ISNUMBER('General Info'!$B$42), (SamplingData[[#This Row],[Running (cumulative) sum]] * ('General Info'!$B$42 -'General Info'!$B$43 + 1)) + 'General Info'!$B$43 - 1, 0)</f>
        <v>970022.53946268477</v>
      </c>
      <c r="AI1093" s="99" t="str">
        <f>IF(ISERROR(MATCH(SamplingData[[#This Row],[Batch by Type (p)]],SelectedPrecincts[Batch Name], 0)), "", INDEX(SelectedPrecincts[Draw], MATCH(SamplingData[[#This Row],[Batch by Type (p)]],SelectedPrecincts[Batch Name], 0)))</f>
        <v/>
      </c>
      <c r="AJ1093" s="100">
        <f>IF(COUNTIF(SelectedPrecincts[Batch Name],SamplingData[[#This Row],[Batch by Type (p)]]) &lt;&gt; 0, COUNTIF(SelectedPrecincts[Batch Name],SamplingData[[#This Row],[Batch by Type (p)]]), 0)</f>
        <v>0</v>
      </c>
    </row>
    <row r="1094" spans="1:36" ht="15" customHeight="1" x14ac:dyDescent="0.35">
      <c r="A1094" s="97" t="s">
        <v>1307</v>
      </c>
      <c r="B1094" s="97">
        <v>335</v>
      </c>
      <c r="C1094" s="97">
        <v>196</v>
      </c>
      <c r="D1094" s="92"/>
      <c r="E1094" s="92"/>
      <c r="F1094" s="92"/>
      <c r="G1094" s="96"/>
      <c r="H1094" s="96"/>
      <c r="I1094" s="92"/>
      <c r="J1094" s="92"/>
      <c r="K1094" s="92"/>
      <c r="L1094" s="92"/>
      <c r="M1094" s="92"/>
      <c r="N1094" s="97">
        <v>0</v>
      </c>
      <c r="O1094" s="97">
        <v>46</v>
      </c>
      <c r="P1094" s="98">
        <f>SUM(SamplingData[[#This Row],[Winning Candidate]:[Under Votes]])</f>
        <v>577</v>
      </c>
      <c r="Q1094" s="99">
        <f>IF(AND(SamplingData[[#This Row],[Total]]&lt;&gt; 0, NOT(ISBLANK(SamplingData[[#This Row],[Losing Candidate]]))),(SamplingData[[#This Row],[Total]]+SamplingData[[#This Row],[Winning Candidate]]-SamplingData[[#This Row],[Losing Candidate]])/(SamplingData[[#Totals],[Winning Candidate]]-SamplingData[[#Totals],[Losing Candidate]]), 0)</f>
        <v>3.0385333559667289E-2</v>
      </c>
      <c r="R1094" s="99">
        <f>IF(AND(SamplingData[[#This Row],[Total]]&lt;&gt; 0, NOT(ISBLANK(SamplingData[[#This Row],[Candidate 3]]))),(SamplingData[[#This Row],[Total]]+SamplingData[[#This Row],[Winning Candidate]]-SamplingData[[#This Row],[Candidate 3]])/(SamplingData[[#Totals],[Winning Candidate]]-SamplingData[[#Totals],[Candidate 3]]), 0)</f>
        <v>0</v>
      </c>
      <c r="S1094" s="99">
        <f>IF(AND(SamplingData[[#This Row],[Total]]&lt;&gt; 0, NOT(ISBLANK(SamplingData[[#This Row],[Candidate 4]]))),(SamplingData[[#This Row],[Total]]+SamplingData[[#This Row],[Winning Candidate]]-SamplingData[[#This Row],[Candidate 4]])/(SamplingData[[#Totals],[Winning Candidate]]-SamplingData[[#Totals],[Candidate 4]]), 0)</f>
        <v>0</v>
      </c>
      <c r="T1094" s="99">
        <f>IF(AND(SamplingData[[#This Row],[Total]]&lt;&gt; 0, NOT(ISBLANK(SamplingData[[#This Row],[Candidate 5]]))),(SamplingData[[#This Row],[Total]]+SamplingData[[#This Row],[Winning Candidate]]-SamplingData[[#This Row],[Candidate 5]])/(SamplingData[[#Totals],[Winning Candidate]]-SamplingData[[#Totals],[Candidate 5]]), 0)</f>
        <v>0</v>
      </c>
      <c r="U1094" s="99">
        <f>IF(AND(SamplingData[[#This Row],[Total]]&lt;&gt; 0, NOT(ISBLANK(SamplingData[[#This Row],[Candidate 6]]))),(SamplingData[[#This Row],[Total]]+SamplingData[[#This Row],[Losing Candidate]]-SamplingData[[#This Row],[Candidate 6]])/(SamplingData[[#Totals],[Winning Candidate]]-SamplingData[[#Totals],[Candidate 6]]), 0)</f>
        <v>0</v>
      </c>
      <c r="V1094" s="99">
        <f>IF(AND(SamplingData[[#This Row],[Total]]&lt;&gt; 0, NOT(ISBLANK(SamplingData[[#This Row],[Candidate 7]]))),(SamplingData[[#This Row],[Total]]+SamplingData[[#This Row],[Winning Candidate]]-SamplingData[[#This Row],[Candidate 7]])/(SamplingData[[#Totals],[Winning Candidate]]-SamplingData[[#Totals],[Candidate 7]]), 0)</f>
        <v>0</v>
      </c>
      <c r="W1094" s="99">
        <f>IF(AND(SamplingData[[#This Row],[Total]]&lt;&gt; 0, NOT(ISBLANK(SamplingData[[#This Row],[Candidate 8]]))),(SamplingData[[#This Row],[Total]]+SamplingData[[#This Row],[Winning Candidate]]-SamplingData[[#This Row],[Candidate 8]])/(SamplingData[[#Totals],[Winning Candidate]]-SamplingData[[#Totals],[Candidate 8]]), 0)</f>
        <v>0</v>
      </c>
      <c r="X10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4" s="99">
        <f>MAX(SamplingData[[#This Row],[Error Bound (up) - Max. possible relative overstatement - Losing Candidate]:[Error Bound (up) - Max. possible relative overstatement - Candidate 12]])</f>
        <v>3.0385333559667289E-2</v>
      </c>
      <c r="AC1094" s="99">
        <f>IF(SamplingData[[#This Row],[Max Error Bound (up)]] = 0,0,SamplingData[[#This Row],[Max Error Bound (up)]]/SamplingData[[#Totals],[Max Error Bound (up)]])</f>
        <v>1.6268586178063787E-3</v>
      </c>
      <c r="AD1094" s="103">
        <f>SUM($AC$5:AC1094)</f>
        <v>0.97165039808049114</v>
      </c>
      <c r="AE1094" s="99" t="str" cm="1">
        <f t="array" ref="AE1094">IF(SamplingData[[#This Row],[up/U Selection Probability]] = 0, "Zero", TEXT(SamplingData[[#This Row],[Lower Range]], REPT("0",LEN('General Info'!$B$42))) &amp; " - " &amp; TEXT(SamplingData[[#This Row],[Upper Range]], REPT("0",LEN('General Info'!$B$42))))</f>
        <v>970024 - 971649</v>
      </c>
      <c r="AF1094" s="99">
        <f>SamplingData[[#This Row],[Upper Range]]-SamplingData[[#This Row],[Span]]</f>
        <v>970023.53946268477</v>
      </c>
      <c r="AG1094" s="99">
        <f>IF(ISNUMBER('General Info'!$B$42), ((SamplingData[[#This Row],[up/U Selection Probability]]) * 'General Info'!$B$44) - 1, 0)</f>
        <v>1625.8586178063786</v>
      </c>
      <c r="AH1094" s="99">
        <f>IF(ISNUMBER('General Info'!$B$42), (SamplingData[[#This Row],[Running (cumulative) sum]] * ('General Info'!$B$42 -'General Info'!$B$43 + 1)) + 'General Info'!$B$43 - 1, 0)</f>
        <v>971649.39808049111</v>
      </c>
      <c r="AI1094" s="99">
        <f>IF(ISERROR(MATCH(SamplingData[[#This Row],[Batch by Type (p)]],SelectedPrecincts[Batch Name], 0)), "", INDEX(SelectedPrecincts[Draw], MATCH(SamplingData[[#This Row],[Batch by Type (p)]],SelectedPrecincts[Batch Name], 0)))</f>
        <v>1</v>
      </c>
      <c r="AJ1094" s="100">
        <f>IF(COUNTIF(SelectedPrecincts[Batch Name],SamplingData[[#This Row],[Batch by Type (p)]]) &lt;&gt; 0, COUNTIF(SelectedPrecincts[Batch Name],SamplingData[[#This Row],[Batch by Type (p)]]), 0)</f>
        <v>1</v>
      </c>
    </row>
    <row r="1095" spans="1:36" ht="15" customHeight="1" x14ac:dyDescent="0.35">
      <c r="A1095" s="97" t="s">
        <v>1308</v>
      </c>
      <c r="B1095" s="97">
        <v>105</v>
      </c>
      <c r="C1095" s="97">
        <v>170</v>
      </c>
      <c r="D1095" s="92"/>
      <c r="E1095" s="92"/>
      <c r="F1095" s="92"/>
      <c r="G1095" s="96"/>
      <c r="H1095" s="96"/>
      <c r="I1095" s="92"/>
      <c r="J1095" s="92"/>
      <c r="K1095" s="92"/>
      <c r="L1095" s="92"/>
      <c r="M1095" s="92"/>
      <c r="N1095" s="97">
        <v>0</v>
      </c>
      <c r="O1095" s="97">
        <v>13</v>
      </c>
      <c r="P1095" s="98">
        <f>SUM(SamplingData[[#This Row],[Winning Candidate]:[Under Votes]])</f>
        <v>288</v>
      </c>
      <c r="Q1095" s="99">
        <f>IF(AND(SamplingData[[#This Row],[Total]]&lt;&gt; 0, NOT(ISBLANK(SamplingData[[#This Row],[Losing Candidate]]))),(SamplingData[[#This Row],[Total]]+SamplingData[[#This Row],[Winning Candidate]]-SamplingData[[#This Row],[Losing Candidate]])/(SamplingData[[#Totals],[Winning Candidate]]-SamplingData[[#Totals],[Losing Candidate]]), 0)</f>
        <v>9.4635885248684441E-3</v>
      </c>
      <c r="R1095" s="99">
        <f>IF(AND(SamplingData[[#This Row],[Total]]&lt;&gt; 0, NOT(ISBLANK(SamplingData[[#This Row],[Candidate 3]]))),(SamplingData[[#This Row],[Total]]+SamplingData[[#This Row],[Winning Candidate]]-SamplingData[[#This Row],[Candidate 3]])/(SamplingData[[#Totals],[Winning Candidate]]-SamplingData[[#Totals],[Candidate 3]]), 0)</f>
        <v>0</v>
      </c>
      <c r="S1095" s="99">
        <f>IF(AND(SamplingData[[#This Row],[Total]]&lt;&gt; 0, NOT(ISBLANK(SamplingData[[#This Row],[Candidate 4]]))),(SamplingData[[#This Row],[Total]]+SamplingData[[#This Row],[Winning Candidate]]-SamplingData[[#This Row],[Candidate 4]])/(SamplingData[[#Totals],[Winning Candidate]]-SamplingData[[#Totals],[Candidate 4]]), 0)</f>
        <v>0</v>
      </c>
      <c r="T1095" s="99">
        <f>IF(AND(SamplingData[[#This Row],[Total]]&lt;&gt; 0, NOT(ISBLANK(SamplingData[[#This Row],[Candidate 5]]))),(SamplingData[[#This Row],[Total]]+SamplingData[[#This Row],[Winning Candidate]]-SamplingData[[#This Row],[Candidate 5]])/(SamplingData[[#Totals],[Winning Candidate]]-SamplingData[[#Totals],[Candidate 5]]), 0)</f>
        <v>0</v>
      </c>
      <c r="U1095" s="99">
        <f>IF(AND(SamplingData[[#This Row],[Total]]&lt;&gt; 0, NOT(ISBLANK(SamplingData[[#This Row],[Candidate 6]]))),(SamplingData[[#This Row],[Total]]+SamplingData[[#This Row],[Losing Candidate]]-SamplingData[[#This Row],[Candidate 6]])/(SamplingData[[#Totals],[Winning Candidate]]-SamplingData[[#Totals],[Candidate 6]]), 0)</f>
        <v>0</v>
      </c>
      <c r="V1095" s="99">
        <f>IF(AND(SamplingData[[#This Row],[Total]]&lt;&gt; 0, NOT(ISBLANK(SamplingData[[#This Row],[Candidate 7]]))),(SamplingData[[#This Row],[Total]]+SamplingData[[#This Row],[Winning Candidate]]-SamplingData[[#This Row],[Candidate 7]])/(SamplingData[[#Totals],[Winning Candidate]]-SamplingData[[#Totals],[Candidate 7]]), 0)</f>
        <v>0</v>
      </c>
      <c r="W1095" s="99">
        <f>IF(AND(SamplingData[[#This Row],[Total]]&lt;&gt; 0, NOT(ISBLANK(SamplingData[[#This Row],[Candidate 8]]))),(SamplingData[[#This Row],[Total]]+SamplingData[[#This Row],[Winning Candidate]]-SamplingData[[#This Row],[Candidate 8]])/(SamplingData[[#Totals],[Winning Candidate]]-SamplingData[[#Totals],[Candidate 8]]), 0)</f>
        <v>0</v>
      </c>
      <c r="X10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5" s="99">
        <f>MAX(SamplingData[[#This Row],[Error Bound (up) - Max. possible relative overstatement - Losing Candidate]:[Error Bound (up) - Max. possible relative overstatement - Candidate 12]])</f>
        <v>9.4635885248684441E-3</v>
      </c>
      <c r="AC1095" s="99">
        <f>IF(SamplingData[[#This Row],[Max Error Bound (up)]] = 0,0,SamplingData[[#This Row],[Max Error Bound (up)]]/SamplingData[[#Totals],[Max Error Bound (up)]])</f>
        <v>5.0668920638383022E-4</v>
      </c>
      <c r="AD1095" s="103">
        <f>SUM($AC$5:AC1095)</f>
        <v>0.972157087286875</v>
      </c>
      <c r="AE1095" s="99" t="str" cm="1">
        <f t="array" ref="AE1095">IF(SamplingData[[#This Row],[up/U Selection Probability]] = 0, "Zero", TEXT(SamplingData[[#This Row],[Lower Range]], REPT("0",LEN('General Info'!$B$42))) &amp; " - " &amp; TEXT(SamplingData[[#This Row],[Upper Range]], REPT("0",LEN('General Info'!$B$42))))</f>
        <v>971650 - 972156</v>
      </c>
      <c r="AF1095" s="99">
        <f>SamplingData[[#This Row],[Upper Range]]-SamplingData[[#This Row],[Span]]</f>
        <v>971650.39808049123</v>
      </c>
      <c r="AG1095" s="99">
        <f>IF(ISNUMBER('General Info'!$B$42), ((SamplingData[[#This Row],[up/U Selection Probability]]) * 'General Info'!$B$44) - 1, 0)</f>
        <v>505.6892063838302</v>
      </c>
      <c r="AH1095" s="99">
        <f>IF(ISNUMBER('General Info'!$B$42), (SamplingData[[#This Row],[Running (cumulative) sum]] * ('General Info'!$B$42 -'General Info'!$B$43 + 1)) + 'General Info'!$B$43 - 1, 0)</f>
        <v>972156.087286875</v>
      </c>
      <c r="AI1095" s="99" t="str">
        <f>IF(ISERROR(MATCH(SamplingData[[#This Row],[Batch by Type (p)]],SelectedPrecincts[Batch Name], 0)), "", INDEX(SelectedPrecincts[Draw], MATCH(SamplingData[[#This Row],[Batch by Type (p)]],SelectedPrecincts[Batch Name], 0)))</f>
        <v/>
      </c>
      <c r="AJ1095" s="100">
        <f>IF(COUNTIF(SelectedPrecincts[Batch Name],SamplingData[[#This Row],[Batch by Type (p)]]) &lt;&gt; 0, COUNTIF(SelectedPrecincts[Batch Name],SamplingData[[#This Row],[Batch by Type (p)]]), 0)</f>
        <v>0</v>
      </c>
    </row>
    <row r="1096" spans="1:36" ht="15" customHeight="1" x14ac:dyDescent="0.35">
      <c r="A1096" s="97" t="s">
        <v>1309</v>
      </c>
      <c r="B1096" s="97">
        <v>58</v>
      </c>
      <c r="C1096" s="97">
        <v>9</v>
      </c>
      <c r="D1096" s="92"/>
      <c r="E1096" s="92"/>
      <c r="F1096" s="92"/>
      <c r="G1096" s="96"/>
      <c r="H1096" s="96"/>
      <c r="I1096" s="92"/>
      <c r="J1096" s="92"/>
      <c r="K1096" s="92"/>
      <c r="L1096" s="92"/>
      <c r="M1096" s="92"/>
      <c r="N1096" s="97">
        <v>0</v>
      </c>
      <c r="O1096" s="97">
        <v>1</v>
      </c>
      <c r="P1096" s="98">
        <f>SUM(SamplingData[[#This Row],[Winning Candidate]:[Under Votes]])</f>
        <v>68</v>
      </c>
      <c r="Q1096" s="99">
        <f>IF(AND(SamplingData[[#This Row],[Total]]&lt;&gt; 0, NOT(ISBLANK(SamplingData[[#This Row],[Losing Candidate]]))),(SamplingData[[#This Row],[Total]]+SamplingData[[#This Row],[Winning Candidate]]-SamplingData[[#This Row],[Losing Candidate]])/(SamplingData[[#Totals],[Winning Candidate]]-SamplingData[[#Totals],[Losing Candidate]]), 0)</f>
        <v>4.9652011543031742E-3</v>
      </c>
      <c r="R1096" s="99">
        <f>IF(AND(SamplingData[[#This Row],[Total]]&lt;&gt; 0, NOT(ISBLANK(SamplingData[[#This Row],[Candidate 3]]))),(SamplingData[[#This Row],[Total]]+SamplingData[[#This Row],[Winning Candidate]]-SamplingData[[#This Row],[Candidate 3]])/(SamplingData[[#Totals],[Winning Candidate]]-SamplingData[[#Totals],[Candidate 3]]), 0)</f>
        <v>0</v>
      </c>
      <c r="S1096" s="99">
        <f>IF(AND(SamplingData[[#This Row],[Total]]&lt;&gt; 0, NOT(ISBLANK(SamplingData[[#This Row],[Candidate 4]]))),(SamplingData[[#This Row],[Total]]+SamplingData[[#This Row],[Winning Candidate]]-SamplingData[[#This Row],[Candidate 4]])/(SamplingData[[#Totals],[Winning Candidate]]-SamplingData[[#Totals],[Candidate 4]]), 0)</f>
        <v>0</v>
      </c>
      <c r="T1096" s="99">
        <f>IF(AND(SamplingData[[#This Row],[Total]]&lt;&gt; 0, NOT(ISBLANK(SamplingData[[#This Row],[Candidate 5]]))),(SamplingData[[#This Row],[Total]]+SamplingData[[#This Row],[Winning Candidate]]-SamplingData[[#This Row],[Candidate 5]])/(SamplingData[[#Totals],[Winning Candidate]]-SamplingData[[#Totals],[Candidate 5]]), 0)</f>
        <v>0</v>
      </c>
      <c r="U1096" s="99">
        <f>IF(AND(SamplingData[[#This Row],[Total]]&lt;&gt; 0, NOT(ISBLANK(SamplingData[[#This Row],[Candidate 6]]))),(SamplingData[[#This Row],[Total]]+SamplingData[[#This Row],[Losing Candidate]]-SamplingData[[#This Row],[Candidate 6]])/(SamplingData[[#Totals],[Winning Candidate]]-SamplingData[[#Totals],[Candidate 6]]), 0)</f>
        <v>0</v>
      </c>
      <c r="V1096" s="99">
        <f>IF(AND(SamplingData[[#This Row],[Total]]&lt;&gt; 0, NOT(ISBLANK(SamplingData[[#This Row],[Candidate 7]]))),(SamplingData[[#This Row],[Total]]+SamplingData[[#This Row],[Winning Candidate]]-SamplingData[[#This Row],[Candidate 7]])/(SamplingData[[#Totals],[Winning Candidate]]-SamplingData[[#Totals],[Candidate 7]]), 0)</f>
        <v>0</v>
      </c>
      <c r="W1096" s="99">
        <f>IF(AND(SamplingData[[#This Row],[Total]]&lt;&gt; 0, NOT(ISBLANK(SamplingData[[#This Row],[Candidate 8]]))),(SamplingData[[#This Row],[Total]]+SamplingData[[#This Row],[Winning Candidate]]-SamplingData[[#This Row],[Candidate 8]])/(SamplingData[[#Totals],[Winning Candidate]]-SamplingData[[#Totals],[Candidate 8]]), 0)</f>
        <v>0</v>
      </c>
      <c r="X10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6" s="99">
        <f>MAX(SamplingData[[#This Row],[Error Bound (up) - Max. possible relative overstatement - Losing Candidate]:[Error Bound (up) - Max. possible relative overstatement - Candidate 12]])</f>
        <v>4.9652011543031742E-3</v>
      </c>
      <c r="AC1096" s="99">
        <f>IF(SamplingData[[#This Row],[Max Error Bound (up)]] = 0,0,SamplingData[[#This Row],[Max Error Bound (up)]]/SamplingData[[#Totals],[Max Error Bound (up)]])</f>
        <v>2.6584142218344457E-4</v>
      </c>
      <c r="AD1096" s="103">
        <f>SUM($AC$5:AC1096)</f>
        <v>0.97242292870905844</v>
      </c>
      <c r="AE1096" s="99" t="str" cm="1">
        <f t="array" ref="AE1096">IF(SamplingData[[#This Row],[up/U Selection Probability]] = 0, "Zero", TEXT(SamplingData[[#This Row],[Lower Range]], REPT("0",LEN('General Info'!$B$42))) &amp; " - " &amp; TEXT(SamplingData[[#This Row],[Upper Range]], REPT("0",LEN('General Info'!$B$42))))</f>
        <v>972157 - 972422</v>
      </c>
      <c r="AF1096" s="99">
        <f>SamplingData[[#This Row],[Upper Range]]-SamplingData[[#This Row],[Span]]</f>
        <v>972157.087286875</v>
      </c>
      <c r="AG1096" s="99">
        <f>IF(ISNUMBER('General Info'!$B$42), ((SamplingData[[#This Row],[up/U Selection Probability]]) * 'General Info'!$B$44) - 1, 0)</f>
        <v>264.84142218344459</v>
      </c>
      <c r="AH1096" s="99">
        <f>IF(ISNUMBER('General Info'!$B$42), (SamplingData[[#This Row],[Running (cumulative) sum]] * ('General Info'!$B$42 -'General Info'!$B$43 + 1)) + 'General Info'!$B$43 - 1, 0)</f>
        <v>972421.92870905844</v>
      </c>
      <c r="AI1096" s="99" t="str">
        <f>IF(ISERROR(MATCH(SamplingData[[#This Row],[Batch by Type (p)]],SelectedPrecincts[Batch Name], 0)), "", INDEX(SelectedPrecincts[Draw], MATCH(SamplingData[[#This Row],[Batch by Type (p)]],SelectedPrecincts[Batch Name], 0)))</f>
        <v/>
      </c>
      <c r="AJ1096" s="100">
        <f>IF(COUNTIF(SelectedPrecincts[Batch Name],SamplingData[[#This Row],[Batch by Type (p)]]) &lt;&gt; 0, COUNTIF(SelectedPrecincts[Batch Name],SamplingData[[#This Row],[Batch by Type (p)]]), 0)</f>
        <v>0</v>
      </c>
    </row>
    <row r="1097" spans="1:36" ht="15" customHeight="1" x14ac:dyDescent="0.35">
      <c r="A1097" s="97" t="s">
        <v>1310</v>
      </c>
      <c r="B1097" s="97">
        <v>181</v>
      </c>
      <c r="C1097" s="97">
        <v>328</v>
      </c>
      <c r="D1097" s="92"/>
      <c r="E1097" s="92"/>
      <c r="F1097" s="92"/>
      <c r="G1097" s="96"/>
      <c r="H1097" s="96"/>
      <c r="I1097" s="92"/>
      <c r="J1097" s="92"/>
      <c r="K1097" s="92"/>
      <c r="L1097" s="92"/>
      <c r="M1097" s="92"/>
      <c r="N1097" s="97">
        <v>0</v>
      </c>
      <c r="O1097" s="97">
        <v>51</v>
      </c>
      <c r="P1097" s="98">
        <f>SUM(SamplingData[[#This Row],[Winning Candidate]:[Under Votes]])</f>
        <v>560</v>
      </c>
      <c r="Q1097" s="99">
        <f>IF(AND(SamplingData[[#This Row],[Total]]&lt;&gt; 0, NOT(ISBLANK(SamplingData[[#This Row],[Losing Candidate]]))),(SamplingData[[#This Row],[Total]]+SamplingData[[#This Row],[Winning Candidate]]-SamplingData[[#This Row],[Losing Candidate]])/(SamplingData[[#Totals],[Winning Candidate]]-SamplingData[[#Totals],[Losing Candidate]]), 0)</f>
        <v>1.7526735698523171E-2</v>
      </c>
      <c r="R1097" s="99">
        <f>IF(AND(SamplingData[[#This Row],[Total]]&lt;&gt; 0, NOT(ISBLANK(SamplingData[[#This Row],[Candidate 3]]))),(SamplingData[[#This Row],[Total]]+SamplingData[[#This Row],[Winning Candidate]]-SamplingData[[#This Row],[Candidate 3]])/(SamplingData[[#Totals],[Winning Candidate]]-SamplingData[[#Totals],[Candidate 3]]), 0)</f>
        <v>0</v>
      </c>
      <c r="S1097" s="99">
        <f>IF(AND(SamplingData[[#This Row],[Total]]&lt;&gt; 0, NOT(ISBLANK(SamplingData[[#This Row],[Candidate 4]]))),(SamplingData[[#This Row],[Total]]+SamplingData[[#This Row],[Winning Candidate]]-SamplingData[[#This Row],[Candidate 4]])/(SamplingData[[#Totals],[Winning Candidate]]-SamplingData[[#Totals],[Candidate 4]]), 0)</f>
        <v>0</v>
      </c>
      <c r="T1097" s="99">
        <f>IF(AND(SamplingData[[#This Row],[Total]]&lt;&gt; 0, NOT(ISBLANK(SamplingData[[#This Row],[Candidate 5]]))),(SamplingData[[#This Row],[Total]]+SamplingData[[#This Row],[Winning Candidate]]-SamplingData[[#This Row],[Candidate 5]])/(SamplingData[[#Totals],[Winning Candidate]]-SamplingData[[#Totals],[Candidate 5]]), 0)</f>
        <v>0</v>
      </c>
      <c r="U1097" s="99">
        <f>IF(AND(SamplingData[[#This Row],[Total]]&lt;&gt; 0, NOT(ISBLANK(SamplingData[[#This Row],[Candidate 6]]))),(SamplingData[[#This Row],[Total]]+SamplingData[[#This Row],[Losing Candidate]]-SamplingData[[#This Row],[Candidate 6]])/(SamplingData[[#Totals],[Winning Candidate]]-SamplingData[[#Totals],[Candidate 6]]), 0)</f>
        <v>0</v>
      </c>
      <c r="V1097" s="99">
        <f>IF(AND(SamplingData[[#This Row],[Total]]&lt;&gt; 0, NOT(ISBLANK(SamplingData[[#This Row],[Candidate 7]]))),(SamplingData[[#This Row],[Total]]+SamplingData[[#This Row],[Winning Candidate]]-SamplingData[[#This Row],[Candidate 7]])/(SamplingData[[#Totals],[Winning Candidate]]-SamplingData[[#Totals],[Candidate 7]]), 0)</f>
        <v>0</v>
      </c>
      <c r="W1097" s="99">
        <f>IF(AND(SamplingData[[#This Row],[Total]]&lt;&gt; 0, NOT(ISBLANK(SamplingData[[#This Row],[Candidate 8]]))),(SamplingData[[#This Row],[Total]]+SamplingData[[#This Row],[Winning Candidate]]-SamplingData[[#This Row],[Candidate 8]])/(SamplingData[[#Totals],[Winning Candidate]]-SamplingData[[#Totals],[Candidate 8]]), 0)</f>
        <v>0</v>
      </c>
      <c r="X10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7" s="99">
        <f>MAX(SamplingData[[#This Row],[Error Bound (up) - Max. possible relative overstatement - Losing Candidate]:[Error Bound (up) - Max. possible relative overstatement - Candidate 12]])</f>
        <v>1.7526735698523171E-2</v>
      </c>
      <c r="AC1097" s="99">
        <f>IF(SamplingData[[#This Row],[Max Error Bound (up)]] = 0,0,SamplingData[[#This Row],[Max Error Bound (up)]]/SamplingData[[#Totals],[Max Error Bound (up)]])</f>
        <v>9.383974988184838E-4</v>
      </c>
      <c r="AD1097" s="103">
        <f>SUM($AC$5:AC1097)</f>
        <v>0.97336132620787696</v>
      </c>
      <c r="AE1097" s="99" t="str" cm="1">
        <f t="array" ref="AE1097">IF(SamplingData[[#This Row],[up/U Selection Probability]] = 0, "Zero", TEXT(SamplingData[[#This Row],[Lower Range]], REPT("0",LEN('General Info'!$B$42))) &amp; " - " &amp; TEXT(SamplingData[[#This Row],[Upper Range]], REPT("0",LEN('General Info'!$B$42))))</f>
        <v>972423 - 973360</v>
      </c>
      <c r="AF1097" s="99">
        <f>SamplingData[[#This Row],[Upper Range]]-SamplingData[[#This Row],[Span]]</f>
        <v>972422.92870905856</v>
      </c>
      <c r="AG1097" s="99">
        <f>IF(ISNUMBER('General Info'!$B$42), ((SamplingData[[#This Row],[up/U Selection Probability]]) * 'General Info'!$B$44) - 1, 0)</f>
        <v>937.39749881848377</v>
      </c>
      <c r="AH1097" s="99">
        <f>IF(ISNUMBER('General Info'!$B$42), (SamplingData[[#This Row],[Running (cumulative) sum]] * ('General Info'!$B$42 -'General Info'!$B$43 + 1)) + 'General Info'!$B$43 - 1, 0)</f>
        <v>973360.32620787702</v>
      </c>
      <c r="AI1097" s="99" t="str">
        <f>IF(ISERROR(MATCH(SamplingData[[#This Row],[Batch by Type (p)]],SelectedPrecincts[Batch Name], 0)), "", INDEX(SelectedPrecincts[Draw], MATCH(SamplingData[[#This Row],[Batch by Type (p)]],SelectedPrecincts[Batch Name], 0)))</f>
        <v/>
      </c>
      <c r="AJ1097" s="100">
        <f>IF(COUNTIF(SelectedPrecincts[Batch Name],SamplingData[[#This Row],[Batch by Type (p)]]) &lt;&gt; 0, COUNTIF(SelectedPrecincts[Batch Name],SamplingData[[#This Row],[Batch by Type (p)]]), 0)</f>
        <v>0</v>
      </c>
    </row>
    <row r="1098" spans="1:36" ht="15" customHeight="1" x14ac:dyDescent="0.35">
      <c r="A1098" s="97" t="s">
        <v>1311</v>
      </c>
      <c r="B1098" s="97">
        <v>211</v>
      </c>
      <c r="C1098" s="97">
        <v>331</v>
      </c>
      <c r="D1098" s="92"/>
      <c r="E1098" s="92"/>
      <c r="F1098" s="92"/>
      <c r="G1098" s="96"/>
      <c r="H1098" s="96"/>
      <c r="I1098" s="92"/>
      <c r="J1098" s="92"/>
      <c r="K1098" s="92"/>
      <c r="L1098" s="92"/>
      <c r="M1098" s="92"/>
      <c r="N1098" s="97">
        <v>1</v>
      </c>
      <c r="O1098" s="97">
        <v>41</v>
      </c>
      <c r="P1098" s="98">
        <f>SUM(SamplingData[[#This Row],[Winning Candidate]:[Under Votes]])</f>
        <v>584</v>
      </c>
      <c r="Q1098" s="99">
        <f>IF(AND(SamplingData[[#This Row],[Total]]&lt;&gt; 0, NOT(ISBLANK(SamplingData[[#This Row],[Losing Candidate]]))),(SamplingData[[#This Row],[Total]]+SamplingData[[#This Row],[Winning Candidate]]-SamplingData[[#This Row],[Losing Candidate]])/(SamplingData[[#Totals],[Winning Candidate]]-SamplingData[[#Totals],[Losing Candidate]]), 0)</f>
        <v>1.9691054150398915E-2</v>
      </c>
      <c r="R1098" s="99">
        <f>IF(AND(SamplingData[[#This Row],[Total]]&lt;&gt; 0, NOT(ISBLANK(SamplingData[[#This Row],[Candidate 3]]))),(SamplingData[[#This Row],[Total]]+SamplingData[[#This Row],[Winning Candidate]]-SamplingData[[#This Row],[Candidate 3]])/(SamplingData[[#Totals],[Winning Candidate]]-SamplingData[[#Totals],[Candidate 3]]), 0)</f>
        <v>0</v>
      </c>
      <c r="S1098" s="99">
        <f>IF(AND(SamplingData[[#This Row],[Total]]&lt;&gt; 0, NOT(ISBLANK(SamplingData[[#This Row],[Candidate 4]]))),(SamplingData[[#This Row],[Total]]+SamplingData[[#This Row],[Winning Candidate]]-SamplingData[[#This Row],[Candidate 4]])/(SamplingData[[#Totals],[Winning Candidate]]-SamplingData[[#Totals],[Candidate 4]]), 0)</f>
        <v>0</v>
      </c>
      <c r="T1098" s="99">
        <f>IF(AND(SamplingData[[#This Row],[Total]]&lt;&gt; 0, NOT(ISBLANK(SamplingData[[#This Row],[Candidate 5]]))),(SamplingData[[#This Row],[Total]]+SamplingData[[#This Row],[Winning Candidate]]-SamplingData[[#This Row],[Candidate 5]])/(SamplingData[[#Totals],[Winning Candidate]]-SamplingData[[#Totals],[Candidate 5]]), 0)</f>
        <v>0</v>
      </c>
      <c r="U1098" s="99">
        <f>IF(AND(SamplingData[[#This Row],[Total]]&lt;&gt; 0, NOT(ISBLANK(SamplingData[[#This Row],[Candidate 6]]))),(SamplingData[[#This Row],[Total]]+SamplingData[[#This Row],[Losing Candidate]]-SamplingData[[#This Row],[Candidate 6]])/(SamplingData[[#Totals],[Winning Candidate]]-SamplingData[[#Totals],[Candidate 6]]), 0)</f>
        <v>0</v>
      </c>
      <c r="V1098" s="99">
        <f>IF(AND(SamplingData[[#This Row],[Total]]&lt;&gt; 0, NOT(ISBLANK(SamplingData[[#This Row],[Candidate 7]]))),(SamplingData[[#This Row],[Total]]+SamplingData[[#This Row],[Winning Candidate]]-SamplingData[[#This Row],[Candidate 7]])/(SamplingData[[#Totals],[Winning Candidate]]-SamplingData[[#Totals],[Candidate 7]]), 0)</f>
        <v>0</v>
      </c>
      <c r="W1098" s="99">
        <f>IF(AND(SamplingData[[#This Row],[Total]]&lt;&gt; 0, NOT(ISBLANK(SamplingData[[#This Row],[Candidate 8]]))),(SamplingData[[#This Row],[Total]]+SamplingData[[#This Row],[Winning Candidate]]-SamplingData[[#This Row],[Candidate 8]])/(SamplingData[[#Totals],[Winning Candidate]]-SamplingData[[#Totals],[Candidate 8]]), 0)</f>
        <v>0</v>
      </c>
      <c r="X10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8" s="99">
        <f>MAX(SamplingData[[#This Row],[Error Bound (up) - Max. possible relative overstatement - Losing Candidate]:[Error Bound (up) - Max. possible relative overstatement - Candidate 12]])</f>
        <v>1.9691054150398915E-2</v>
      </c>
      <c r="AC1098" s="99">
        <f>IF(SamplingData[[#This Row],[Max Error Bound (up)]] = 0,0,SamplingData[[#This Row],[Max Error Bound (up)]]/SamplingData[[#Totals],[Max Error Bound (up)]])</f>
        <v>1.0542770931035751E-3</v>
      </c>
      <c r="AD1098" s="103">
        <f>SUM($AC$5:AC1098)</f>
        <v>0.97441560330098054</v>
      </c>
      <c r="AE1098" s="99" t="str" cm="1">
        <f t="array" ref="AE1098">IF(SamplingData[[#This Row],[up/U Selection Probability]] = 0, "Zero", TEXT(SamplingData[[#This Row],[Lower Range]], REPT("0",LEN('General Info'!$B$42))) &amp; " - " &amp; TEXT(SamplingData[[#This Row],[Upper Range]], REPT("0",LEN('General Info'!$B$42))))</f>
        <v>973361 - 974415</v>
      </c>
      <c r="AF1098" s="99">
        <f>SamplingData[[#This Row],[Upper Range]]-SamplingData[[#This Row],[Span]]</f>
        <v>973361.3262078769</v>
      </c>
      <c r="AG1098" s="99">
        <f>IF(ISNUMBER('General Info'!$B$42), ((SamplingData[[#This Row],[up/U Selection Probability]]) * 'General Info'!$B$44) - 1, 0)</f>
        <v>1053.2770931035752</v>
      </c>
      <c r="AH1098" s="99">
        <f>IF(ISNUMBER('General Info'!$B$42), (SamplingData[[#This Row],[Running (cumulative) sum]] * ('General Info'!$B$42 -'General Info'!$B$43 + 1)) + 'General Info'!$B$43 - 1, 0)</f>
        <v>974414.60330098053</v>
      </c>
      <c r="AI1098" s="99">
        <f>IF(ISERROR(MATCH(SamplingData[[#This Row],[Batch by Type (p)]],SelectedPrecincts[Batch Name], 0)), "", INDEX(SelectedPrecincts[Draw], MATCH(SamplingData[[#This Row],[Batch by Type (p)]],SelectedPrecincts[Batch Name], 0)))</f>
        <v>39</v>
      </c>
      <c r="AJ1098" s="100">
        <f>IF(COUNTIF(SelectedPrecincts[Batch Name],SamplingData[[#This Row],[Batch by Type (p)]]) &lt;&gt; 0, COUNTIF(SelectedPrecincts[Batch Name],SamplingData[[#This Row],[Batch by Type (p)]]), 0)</f>
        <v>1</v>
      </c>
    </row>
    <row r="1099" spans="1:36" ht="15" customHeight="1" x14ac:dyDescent="0.35">
      <c r="A1099" s="97" t="s">
        <v>1312</v>
      </c>
      <c r="B1099" s="97">
        <v>115</v>
      </c>
      <c r="C1099" s="97">
        <v>168</v>
      </c>
      <c r="D1099" s="92"/>
      <c r="E1099" s="92"/>
      <c r="F1099" s="92"/>
      <c r="G1099" s="96"/>
      <c r="H1099" s="96"/>
      <c r="I1099" s="92"/>
      <c r="J1099" s="92"/>
      <c r="K1099" s="92"/>
      <c r="L1099" s="92"/>
      <c r="M1099" s="92"/>
      <c r="N1099" s="97">
        <v>1</v>
      </c>
      <c r="O1099" s="97">
        <v>21</v>
      </c>
      <c r="P1099" s="98">
        <f>SUM(SamplingData[[#This Row],[Winning Candidate]:[Under Votes]])</f>
        <v>305</v>
      </c>
      <c r="Q1099" s="99">
        <f>IF(AND(SamplingData[[#This Row],[Total]]&lt;&gt; 0, NOT(ISBLANK(SamplingData[[#This Row],[Losing Candidate]]))),(SamplingData[[#This Row],[Total]]+SamplingData[[#This Row],[Winning Candidate]]-SamplingData[[#This Row],[Losing Candidate]])/(SamplingData[[#Totals],[Winning Candidate]]-SamplingData[[#Totals],[Losing Candidate]]), 0)</f>
        <v>1.0694279409268375E-2</v>
      </c>
      <c r="R1099" s="99">
        <f>IF(AND(SamplingData[[#This Row],[Total]]&lt;&gt; 0, NOT(ISBLANK(SamplingData[[#This Row],[Candidate 3]]))),(SamplingData[[#This Row],[Total]]+SamplingData[[#This Row],[Winning Candidate]]-SamplingData[[#This Row],[Candidate 3]])/(SamplingData[[#Totals],[Winning Candidate]]-SamplingData[[#Totals],[Candidate 3]]), 0)</f>
        <v>0</v>
      </c>
      <c r="S1099" s="99">
        <f>IF(AND(SamplingData[[#This Row],[Total]]&lt;&gt; 0, NOT(ISBLANK(SamplingData[[#This Row],[Candidate 4]]))),(SamplingData[[#This Row],[Total]]+SamplingData[[#This Row],[Winning Candidate]]-SamplingData[[#This Row],[Candidate 4]])/(SamplingData[[#Totals],[Winning Candidate]]-SamplingData[[#Totals],[Candidate 4]]), 0)</f>
        <v>0</v>
      </c>
      <c r="T1099" s="99">
        <f>IF(AND(SamplingData[[#This Row],[Total]]&lt;&gt; 0, NOT(ISBLANK(SamplingData[[#This Row],[Candidate 5]]))),(SamplingData[[#This Row],[Total]]+SamplingData[[#This Row],[Winning Candidate]]-SamplingData[[#This Row],[Candidate 5]])/(SamplingData[[#Totals],[Winning Candidate]]-SamplingData[[#Totals],[Candidate 5]]), 0)</f>
        <v>0</v>
      </c>
      <c r="U1099" s="99">
        <f>IF(AND(SamplingData[[#This Row],[Total]]&lt;&gt; 0, NOT(ISBLANK(SamplingData[[#This Row],[Candidate 6]]))),(SamplingData[[#This Row],[Total]]+SamplingData[[#This Row],[Losing Candidate]]-SamplingData[[#This Row],[Candidate 6]])/(SamplingData[[#Totals],[Winning Candidate]]-SamplingData[[#Totals],[Candidate 6]]), 0)</f>
        <v>0</v>
      </c>
      <c r="V1099" s="99">
        <f>IF(AND(SamplingData[[#This Row],[Total]]&lt;&gt; 0, NOT(ISBLANK(SamplingData[[#This Row],[Candidate 7]]))),(SamplingData[[#This Row],[Total]]+SamplingData[[#This Row],[Winning Candidate]]-SamplingData[[#This Row],[Candidate 7]])/(SamplingData[[#Totals],[Winning Candidate]]-SamplingData[[#Totals],[Candidate 7]]), 0)</f>
        <v>0</v>
      </c>
      <c r="W1099" s="99">
        <f>IF(AND(SamplingData[[#This Row],[Total]]&lt;&gt; 0, NOT(ISBLANK(SamplingData[[#This Row],[Candidate 8]]))),(SamplingData[[#This Row],[Total]]+SamplingData[[#This Row],[Winning Candidate]]-SamplingData[[#This Row],[Candidate 8]])/(SamplingData[[#Totals],[Winning Candidate]]-SamplingData[[#Totals],[Candidate 8]]), 0)</f>
        <v>0</v>
      </c>
      <c r="X10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9" s="99">
        <f>MAX(SamplingData[[#This Row],[Error Bound (up) - Max. possible relative overstatement - Losing Candidate]:[Error Bound (up) - Max. possible relative overstatement - Candidate 12]])</f>
        <v>1.0694279409268375E-2</v>
      </c>
      <c r="AC1099" s="99">
        <f>IF(SamplingData[[#This Row],[Max Error Bound (up)]] = 0,0,SamplingData[[#This Row],[Max Error Bound (up)]]/SamplingData[[#Totals],[Max Error Bound (up)]])</f>
        <v>5.7258152470280362E-4</v>
      </c>
      <c r="AD1099" s="103">
        <f>SUM($AC$5:AC1099)</f>
        <v>0.97498818482568339</v>
      </c>
      <c r="AE1099" s="99" t="str" cm="1">
        <f t="array" ref="AE1099">IF(SamplingData[[#This Row],[up/U Selection Probability]] = 0, "Zero", TEXT(SamplingData[[#This Row],[Lower Range]], REPT("0",LEN('General Info'!$B$42))) &amp; " - " &amp; TEXT(SamplingData[[#This Row],[Upper Range]], REPT("0",LEN('General Info'!$B$42))))</f>
        <v>974416 - 974987</v>
      </c>
      <c r="AF1099" s="99">
        <f>SamplingData[[#This Row],[Upper Range]]-SamplingData[[#This Row],[Span]]</f>
        <v>974415.60330098053</v>
      </c>
      <c r="AG1099" s="99">
        <f>IF(ISNUMBER('General Info'!$B$42), ((SamplingData[[#This Row],[up/U Selection Probability]]) * 'General Info'!$B$44) - 1, 0)</f>
        <v>571.58152470280368</v>
      </c>
      <c r="AH1099" s="99">
        <f>IF(ISNUMBER('General Info'!$B$42), (SamplingData[[#This Row],[Running (cumulative) sum]] * ('General Info'!$B$42 -'General Info'!$B$43 + 1)) + 'General Info'!$B$43 - 1, 0)</f>
        <v>974987.18482568336</v>
      </c>
      <c r="AI1099" s="99" t="str">
        <f>IF(ISERROR(MATCH(SamplingData[[#This Row],[Batch by Type (p)]],SelectedPrecincts[Batch Name], 0)), "", INDEX(SelectedPrecincts[Draw], MATCH(SamplingData[[#This Row],[Batch by Type (p)]],SelectedPrecincts[Batch Name], 0)))</f>
        <v/>
      </c>
      <c r="AJ1099" s="100">
        <f>IF(COUNTIF(SelectedPrecincts[Batch Name],SamplingData[[#This Row],[Batch by Type (p)]]) &lt;&gt; 0, COUNTIF(SelectedPrecincts[Batch Name],SamplingData[[#This Row],[Batch by Type (p)]]), 0)</f>
        <v>0</v>
      </c>
    </row>
    <row r="1100" spans="1:36" ht="15" customHeight="1" x14ac:dyDescent="0.35">
      <c r="A1100" s="97" t="s">
        <v>1313</v>
      </c>
      <c r="B1100" s="97">
        <v>164</v>
      </c>
      <c r="C1100" s="97">
        <v>291</v>
      </c>
      <c r="D1100" s="92"/>
      <c r="E1100" s="92"/>
      <c r="F1100" s="92"/>
      <c r="G1100" s="96"/>
      <c r="H1100" s="96"/>
      <c r="I1100" s="92"/>
      <c r="J1100" s="92"/>
      <c r="K1100" s="92"/>
      <c r="L1100" s="92"/>
      <c r="M1100" s="92"/>
      <c r="N1100" s="97">
        <v>2</v>
      </c>
      <c r="O1100" s="97">
        <v>35</v>
      </c>
      <c r="P1100" s="98">
        <f>SUM(SamplingData[[#This Row],[Winning Candidate]:[Under Votes]])</f>
        <v>492</v>
      </c>
      <c r="Q1100" s="99">
        <f>IF(AND(SamplingData[[#This Row],[Total]]&lt;&gt; 0, NOT(ISBLANK(SamplingData[[#This Row],[Losing Candidate]]))),(SamplingData[[#This Row],[Total]]+SamplingData[[#This Row],[Winning Candidate]]-SamplingData[[#This Row],[Losing Candidate]])/(SamplingData[[#Totals],[Winning Candidate]]-SamplingData[[#Totals],[Losing Candidate]]), 0)</f>
        <v>1.5489730096757767E-2</v>
      </c>
      <c r="R1100" s="99">
        <f>IF(AND(SamplingData[[#This Row],[Total]]&lt;&gt; 0, NOT(ISBLANK(SamplingData[[#This Row],[Candidate 3]]))),(SamplingData[[#This Row],[Total]]+SamplingData[[#This Row],[Winning Candidate]]-SamplingData[[#This Row],[Candidate 3]])/(SamplingData[[#Totals],[Winning Candidate]]-SamplingData[[#Totals],[Candidate 3]]), 0)</f>
        <v>0</v>
      </c>
      <c r="S1100" s="99">
        <f>IF(AND(SamplingData[[#This Row],[Total]]&lt;&gt; 0, NOT(ISBLANK(SamplingData[[#This Row],[Candidate 4]]))),(SamplingData[[#This Row],[Total]]+SamplingData[[#This Row],[Winning Candidate]]-SamplingData[[#This Row],[Candidate 4]])/(SamplingData[[#Totals],[Winning Candidate]]-SamplingData[[#Totals],[Candidate 4]]), 0)</f>
        <v>0</v>
      </c>
      <c r="T1100" s="99">
        <f>IF(AND(SamplingData[[#This Row],[Total]]&lt;&gt; 0, NOT(ISBLANK(SamplingData[[#This Row],[Candidate 5]]))),(SamplingData[[#This Row],[Total]]+SamplingData[[#This Row],[Winning Candidate]]-SamplingData[[#This Row],[Candidate 5]])/(SamplingData[[#Totals],[Winning Candidate]]-SamplingData[[#Totals],[Candidate 5]]), 0)</f>
        <v>0</v>
      </c>
      <c r="U1100" s="99">
        <f>IF(AND(SamplingData[[#This Row],[Total]]&lt;&gt; 0, NOT(ISBLANK(SamplingData[[#This Row],[Candidate 6]]))),(SamplingData[[#This Row],[Total]]+SamplingData[[#This Row],[Losing Candidate]]-SamplingData[[#This Row],[Candidate 6]])/(SamplingData[[#Totals],[Winning Candidate]]-SamplingData[[#Totals],[Candidate 6]]), 0)</f>
        <v>0</v>
      </c>
      <c r="V1100" s="99">
        <f>IF(AND(SamplingData[[#This Row],[Total]]&lt;&gt; 0, NOT(ISBLANK(SamplingData[[#This Row],[Candidate 7]]))),(SamplingData[[#This Row],[Total]]+SamplingData[[#This Row],[Winning Candidate]]-SamplingData[[#This Row],[Candidate 7]])/(SamplingData[[#Totals],[Winning Candidate]]-SamplingData[[#Totals],[Candidate 7]]), 0)</f>
        <v>0</v>
      </c>
      <c r="W1100" s="99">
        <f>IF(AND(SamplingData[[#This Row],[Total]]&lt;&gt; 0, NOT(ISBLANK(SamplingData[[#This Row],[Candidate 8]]))),(SamplingData[[#This Row],[Total]]+SamplingData[[#This Row],[Winning Candidate]]-SamplingData[[#This Row],[Candidate 8]])/(SamplingData[[#Totals],[Winning Candidate]]-SamplingData[[#Totals],[Candidate 8]]), 0)</f>
        <v>0</v>
      </c>
      <c r="X11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0" s="99">
        <f>MAX(SamplingData[[#This Row],[Error Bound (up) - Max. possible relative overstatement - Losing Candidate]:[Error Bound (up) - Max. possible relative overstatement - Candidate 12]])</f>
        <v>1.5489730096757767E-2</v>
      </c>
      <c r="AC1100" s="99">
        <f>IF(SamplingData[[#This Row],[Max Error Bound (up)]] = 0,0,SamplingData[[#This Row],[Max Error Bound (up)]]/SamplingData[[#Totals],[Max Error Bound (up)]])</f>
        <v>8.2933435125604501E-4</v>
      </c>
      <c r="AD1100" s="103">
        <f>SUM($AC$5:AC1100)</f>
        <v>0.97581751917693949</v>
      </c>
      <c r="AE1100" s="99" t="str" cm="1">
        <f t="array" ref="AE1100">IF(SamplingData[[#This Row],[up/U Selection Probability]] = 0, "Zero", TEXT(SamplingData[[#This Row],[Lower Range]], REPT("0",LEN('General Info'!$B$42))) &amp; " - " &amp; TEXT(SamplingData[[#This Row],[Upper Range]], REPT("0",LEN('General Info'!$B$42))))</f>
        <v>974988 - 975817</v>
      </c>
      <c r="AF1100" s="99">
        <f>SamplingData[[#This Row],[Upper Range]]-SamplingData[[#This Row],[Span]]</f>
        <v>974988.18482568348</v>
      </c>
      <c r="AG1100" s="99">
        <f>IF(ISNUMBER('General Info'!$B$42), ((SamplingData[[#This Row],[up/U Selection Probability]]) * 'General Info'!$B$44) - 1, 0)</f>
        <v>828.33435125604501</v>
      </c>
      <c r="AH1100" s="99">
        <f>IF(ISNUMBER('General Info'!$B$42), (SamplingData[[#This Row],[Running (cumulative) sum]] * ('General Info'!$B$42 -'General Info'!$B$43 + 1)) + 'General Info'!$B$43 - 1, 0)</f>
        <v>975816.5191769395</v>
      </c>
      <c r="AI1100" s="99" t="str">
        <f>IF(ISERROR(MATCH(SamplingData[[#This Row],[Batch by Type (p)]],SelectedPrecincts[Batch Name], 0)), "", INDEX(SelectedPrecincts[Draw], MATCH(SamplingData[[#This Row],[Batch by Type (p)]],SelectedPrecincts[Batch Name], 0)))</f>
        <v/>
      </c>
      <c r="AJ1100" s="100">
        <f>IF(COUNTIF(SelectedPrecincts[Batch Name],SamplingData[[#This Row],[Batch by Type (p)]]) &lt;&gt; 0, COUNTIF(SelectedPrecincts[Batch Name],SamplingData[[#This Row],[Batch by Type (p)]]), 0)</f>
        <v>0</v>
      </c>
    </row>
    <row r="1101" spans="1:36" ht="15" customHeight="1" x14ac:dyDescent="0.35">
      <c r="A1101" s="97" t="s">
        <v>1314</v>
      </c>
      <c r="B1101" s="97">
        <v>128</v>
      </c>
      <c r="C1101" s="97">
        <v>217</v>
      </c>
      <c r="D1101" s="92"/>
      <c r="E1101" s="92"/>
      <c r="F1101" s="92"/>
      <c r="G1101" s="96"/>
      <c r="H1101" s="96"/>
      <c r="I1101" s="92"/>
      <c r="J1101" s="92"/>
      <c r="K1101" s="92"/>
      <c r="L1101" s="92"/>
      <c r="M1101" s="92"/>
      <c r="N1101" s="97">
        <v>0</v>
      </c>
      <c r="O1101" s="97">
        <v>17</v>
      </c>
      <c r="P1101" s="98">
        <f>SUM(SamplingData[[#This Row],[Winning Candidate]:[Under Votes]])</f>
        <v>362</v>
      </c>
      <c r="Q1101" s="99">
        <f>IF(AND(SamplingData[[#This Row],[Total]]&lt;&gt; 0, NOT(ISBLANK(SamplingData[[#This Row],[Losing Candidate]]))),(SamplingData[[#This Row],[Total]]+SamplingData[[#This Row],[Winning Candidate]]-SamplingData[[#This Row],[Losing Candidate]])/(SamplingData[[#Totals],[Winning Candidate]]-SamplingData[[#Totals],[Losing Candidate]]), 0)</f>
        <v>1.158546936004074E-2</v>
      </c>
      <c r="R1101" s="99">
        <f>IF(AND(SamplingData[[#This Row],[Total]]&lt;&gt; 0, NOT(ISBLANK(SamplingData[[#This Row],[Candidate 3]]))),(SamplingData[[#This Row],[Total]]+SamplingData[[#This Row],[Winning Candidate]]-SamplingData[[#This Row],[Candidate 3]])/(SamplingData[[#Totals],[Winning Candidate]]-SamplingData[[#Totals],[Candidate 3]]), 0)</f>
        <v>0</v>
      </c>
      <c r="S1101" s="99">
        <f>IF(AND(SamplingData[[#This Row],[Total]]&lt;&gt; 0, NOT(ISBLANK(SamplingData[[#This Row],[Candidate 4]]))),(SamplingData[[#This Row],[Total]]+SamplingData[[#This Row],[Winning Candidate]]-SamplingData[[#This Row],[Candidate 4]])/(SamplingData[[#Totals],[Winning Candidate]]-SamplingData[[#Totals],[Candidate 4]]), 0)</f>
        <v>0</v>
      </c>
      <c r="T1101" s="99">
        <f>IF(AND(SamplingData[[#This Row],[Total]]&lt;&gt; 0, NOT(ISBLANK(SamplingData[[#This Row],[Candidate 5]]))),(SamplingData[[#This Row],[Total]]+SamplingData[[#This Row],[Winning Candidate]]-SamplingData[[#This Row],[Candidate 5]])/(SamplingData[[#Totals],[Winning Candidate]]-SamplingData[[#Totals],[Candidate 5]]), 0)</f>
        <v>0</v>
      </c>
      <c r="U1101" s="99">
        <f>IF(AND(SamplingData[[#This Row],[Total]]&lt;&gt; 0, NOT(ISBLANK(SamplingData[[#This Row],[Candidate 6]]))),(SamplingData[[#This Row],[Total]]+SamplingData[[#This Row],[Losing Candidate]]-SamplingData[[#This Row],[Candidate 6]])/(SamplingData[[#Totals],[Winning Candidate]]-SamplingData[[#Totals],[Candidate 6]]), 0)</f>
        <v>0</v>
      </c>
      <c r="V1101" s="99">
        <f>IF(AND(SamplingData[[#This Row],[Total]]&lt;&gt; 0, NOT(ISBLANK(SamplingData[[#This Row],[Candidate 7]]))),(SamplingData[[#This Row],[Total]]+SamplingData[[#This Row],[Winning Candidate]]-SamplingData[[#This Row],[Candidate 7]])/(SamplingData[[#Totals],[Winning Candidate]]-SamplingData[[#Totals],[Candidate 7]]), 0)</f>
        <v>0</v>
      </c>
      <c r="W1101" s="99">
        <f>IF(AND(SamplingData[[#This Row],[Total]]&lt;&gt; 0, NOT(ISBLANK(SamplingData[[#This Row],[Candidate 8]]))),(SamplingData[[#This Row],[Total]]+SamplingData[[#This Row],[Winning Candidate]]-SamplingData[[#This Row],[Candidate 8]])/(SamplingData[[#Totals],[Winning Candidate]]-SamplingData[[#Totals],[Candidate 8]]), 0)</f>
        <v>0</v>
      </c>
      <c r="X11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1" s="99">
        <f>MAX(SamplingData[[#This Row],[Error Bound (up) - Max. possible relative overstatement - Losing Candidate]:[Error Bound (up) - Max. possible relative overstatement - Candidate 12]])</f>
        <v>1.158546936004074E-2</v>
      </c>
      <c r="AC1101" s="99">
        <f>IF(SamplingData[[#This Row],[Max Error Bound (up)]] = 0,0,SamplingData[[#This Row],[Max Error Bound (up)]]/SamplingData[[#Totals],[Max Error Bound (up)]])</f>
        <v>6.2029665176137057E-4</v>
      </c>
      <c r="AD1101" s="103">
        <f>SUM($AC$5:AC1101)</f>
        <v>0.97643781582870082</v>
      </c>
      <c r="AE1101" s="99" t="str" cm="1">
        <f t="array" ref="AE1101">IF(SamplingData[[#This Row],[up/U Selection Probability]] = 0, "Zero", TEXT(SamplingData[[#This Row],[Lower Range]], REPT("0",LEN('General Info'!$B$42))) &amp; " - " &amp; TEXT(SamplingData[[#This Row],[Upper Range]], REPT("0",LEN('General Info'!$B$42))))</f>
        <v>975818 - 976437</v>
      </c>
      <c r="AF1101" s="99">
        <f>SamplingData[[#This Row],[Upper Range]]-SamplingData[[#This Row],[Span]]</f>
        <v>975817.51917693939</v>
      </c>
      <c r="AG1101" s="99">
        <f>IF(ISNUMBER('General Info'!$B$42), ((SamplingData[[#This Row],[up/U Selection Probability]]) * 'General Info'!$B$44) - 1, 0)</f>
        <v>619.29665176137053</v>
      </c>
      <c r="AH1101" s="99">
        <f>IF(ISNUMBER('General Info'!$B$42), (SamplingData[[#This Row],[Running (cumulative) sum]] * ('General Info'!$B$42 -'General Info'!$B$43 + 1)) + 'General Info'!$B$43 - 1, 0)</f>
        <v>976436.81582870078</v>
      </c>
      <c r="AI1101" s="99" t="str">
        <f>IF(ISERROR(MATCH(SamplingData[[#This Row],[Batch by Type (p)]],SelectedPrecincts[Batch Name], 0)), "", INDEX(SelectedPrecincts[Draw], MATCH(SamplingData[[#This Row],[Batch by Type (p)]],SelectedPrecincts[Batch Name], 0)))</f>
        <v/>
      </c>
      <c r="AJ1101" s="100">
        <f>IF(COUNTIF(SelectedPrecincts[Batch Name],SamplingData[[#This Row],[Batch by Type (p)]]) &lt;&gt; 0, COUNTIF(SelectedPrecincts[Batch Name],SamplingData[[#This Row],[Batch by Type (p)]]), 0)</f>
        <v>0</v>
      </c>
    </row>
    <row r="1102" spans="1:36" ht="15" customHeight="1" x14ac:dyDescent="0.35">
      <c r="A1102" s="97" t="s">
        <v>1315</v>
      </c>
      <c r="B1102" s="97">
        <v>134</v>
      </c>
      <c r="C1102" s="97">
        <v>247</v>
      </c>
      <c r="D1102" s="92"/>
      <c r="E1102" s="92"/>
      <c r="F1102" s="92"/>
      <c r="G1102" s="96"/>
      <c r="H1102" s="96"/>
      <c r="I1102" s="92"/>
      <c r="J1102" s="92"/>
      <c r="K1102" s="92"/>
      <c r="L1102" s="92"/>
      <c r="M1102" s="92"/>
      <c r="N1102" s="97">
        <v>1</v>
      </c>
      <c r="O1102" s="97">
        <v>32</v>
      </c>
      <c r="P1102" s="98">
        <f>SUM(SamplingData[[#This Row],[Winning Candidate]:[Under Votes]])</f>
        <v>414</v>
      </c>
      <c r="Q1102" s="99">
        <f>IF(AND(SamplingData[[#This Row],[Total]]&lt;&gt; 0, NOT(ISBLANK(SamplingData[[#This Row],[Losing Candidate]]))),(SamplingData[[#This Row],[Total]]+SamplingData[[#This Row],[Winning Candidate]]-SamplingData[[#This Row],[Losing Candidate]])/(SamplingData[[#Totals],[Winning Candidate]]-SamplingData[[#Totals],[Losing Candidate]]), 0)</f>
        <v>1.2773722627737226E-2</v>
      </c>
      <c r="R1102" s="99">
        <f>IF(AND(SamplingData[[#This Row],[Total]]&lt;&gt; 0, NOT(ISBLANK(SamplingData[[#This Row],[Candidate 3]]))),(SamplingData[[#This Row],[Total]]+SamplingData[[#This Row],[Winning Candidate]]-SamplingData[[#This Row],[Candidate 3]])/(SamplingData[[#Totals],[Winning Candidate]]-SamplingData[[#Totals],[Candidate 3]]), 0)</f>
        <v>0</v>
      </c>
      <c r="S1102" s="99">
        <f>IF(AND(SamplingData[[#This Row],[Total]]&lt;&gt; 0, NOT(ISBLANK(SamplingData[[#This Row],[Candidate 4]]))),(SamplingData[[#This Row],[Total]]+SamplingData[[#This Row],[Winning Candidate]]-SamplingData[[#This Row],[Candidate 4]])/(SamplingData[[#Totals],[Winning Candidate]]-SamplingData[[#Totals],[Candidate 4]]), 0)</f>
        <v>0</v>
      </c>
      <c r="T1102" s="99">
        <f>IF(AND(SamplingData[[#This Row],[Total]]&lt;&gt; 0, NOT(ISBLANK(SamplingData[[#This Row],[Candidate 5]]))),(SamplingData[[#This Row],[Total]]+SamplingData[[#This Row],[Winning Candidate]]-SamplingData[[#This Row],[Candidate 5]])/(SamplingData[[#Totals],[Winning Candidate]]-SamplingData[[#Totals],[Candidate 5]]), 0)</f>
        <v>0</v>
      </c>
      <c r="U1102" s="99">
        <f>IF(AND(SamplingData[[#This Row],[Total]]&lt;&gt; 0, NOT(ISBLANK(SamplingData[[#This Row],[Candidate 6]]))),(SamplingData[[#This Row],[Total]]+SamplingData[[#This Row],[Losing Candidate]]-SamplingData[[#This Row],[Candidate 6]])/(SamplingData[[#Totals],[Winning Candidate]]-SamplingData[[#Totals],[Candidate 6]]), 0)</f>
        <v>0</v>
      </c>
      <c r="V1102" s="99">
        <f>IF(AND(SamplingData[[#This Row],[Total]]&lt;&gt; 0, NOT(ISBLANK(SamplingData[[#This Row],[Candidate 7]]))),(SamplingData[[#This Row],[Total]]+SamplingData[[#This Row],[Winning Candidate]]-SamplingData[[#This Row],[Candidate 7]])/(SamplingData[[#Totals],[Winning Candidate]]-SamplingData[[#Totals],[Candidate 7]]), 0)</f>
        <v>0</v>
      </c>
      <c r="W1102" s="99">
        <f>IF(AND(SamplingData[[#This Row],[Total]]&lt;&gt; 0, NOT(ISBLANK(SamplingData[[#This Row],[Candidate 8]]))),(SamplingData[[#This Row],[Total]]+SamplingData[[#This Row],[Winning Candidate]]-SamplingData[[#This Row],[Candidate 8]])/(SamplingData[[#Totals],[Winning Candidate]]-SamplingData[[#Totals],[Candidate 8]]), 0)</f>
        <v>0</v>
      </c>
      <c r="X11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2" s="99">
        <f>MAX(SamplingData[[#This Row],[Error Bound (up) - Max. possible relative overstatement - Losing Candidate]:[Error Bound (up) - Max. possible relative overstatement - Candidate 12]])</f>
        <v>1.2773722627737226E-2</v>
      </c>
      <c r="AC1102" s="99">
        <f>IF(SamplingData[[#This Row],[Max Error Bound (up)]] = 0,0,SamplingData[[#This Row],[Max Error Bound (up)]]/SamplingData[[#Totals],[Max Error Bound (up)]])</f>
        <v>6.839168211727933E-4</v>
      </c>
      <c r="AD1102" s="103">
        <f>SUM($AC$5:AC1102)</f>
        <v>0.97712173264987356</v>
      </c>
      <c r="AE1102" s="99" t="str" cm="1">
        <f t="array" ref="AE1102">IF(SamplingData[[#This Row],[up/U Selection Probability]] = 0, "Zero", TEXT(SamplingData[[#This Row],[Lower Range]], REPT("0",LEN('General Info'!$B$42))) &amp; " - " &amp; TEXT(SamplingData[[#This Row],[Upper Range]], REPT("0",LEN('General Info'!$B$42))))</f>
        <v>976438 - 977121</v>
      </c>
      <c r="AF1102" s="99">
        <f>SamplingData[[#This Row],[Upper Range]]-SamplingData[[#This Row],[Span]]</f>
        <v>976437.81582870078</v>
      </c>
      <c r="AG1102" s="99">
        <f>IF(ISNUMBER('General Info'!$B$42), ((SamplingData[[#This Row],[up/U Selection Probability]]) * 'General Info'!$B$44) - 1, 0)</f>
        <v>682.91682117279333</v>
      </c>
      <c r="AH1102" s="99">
        <f>IF(ISNUMBER('General Info'!$B$42), (SamplingData[[#This Row],[Running (cumulative) sum]] * ('General Info'!$B$42 -'General Info'!$B$43 + 1)) + 'General Info'!$B$43 - 1, 0)</f>
        <v>977120.73264987359</v>
      </c>
      <c r="AI1102" s="99" t="str">
        <f>IF(ISERROR(MATCH(SamplingData[[#This Row],[Batch by Type (p)]],SelectedPrecincts[Batch Name], 0)), "", INDEX(SelectedPrecincts[Draw], MATCH(SamplingData[[#This Row],[Batch by Type (p)]],SelectedPrecincts[Batch Name], 0)))</f>
        <v/>
      </c>
      <c r="AJ1102" s="100">
        <f>IF(COUNTIF(SelectedPrecincts[Batch Name],SamplingData[[#This Row],[Batch by Type (p)]]) &lt;&gt; 0, COUNTIF(SelectedPrecincts[Batch Name],SamplingData[[#This Row],[Batch by Type (p)]]), 0)</f>
        <v>0</v>
      </c>
    </row>
    <row r="1103" spans="1:36" ht="15" customHeight="1" x14ac:dyDescent="0.35">
      <c r="A1103" s="97" t="s">
        <v>1316</v>
      </c>
      <c r="B1103" s="97">
        <v>173</v>
      </c>
      <c r="C1103" s="97">
        <v>202</v>
      </c>
      <c r="D1103" s="92"/>
      <c r="E1103" s="92"/>
      <c r="F1103" s="92"/>
      <c r="G1103" s="96"/>
      <c r="H1103" s="96"/>
      <c r="I1103" s="92"/>
      <c r="J1103" s="92"/>
      <c r="K1103" s="92"/>
      <c r="L1103" s="92"/>
      <c r="M1103" s="92"/>
      <c r="N1103" s="97">
        <v>0</v>
      </c>
      <c r="O1103" s="97">
        <v>21</v>
      </c>
      <c r="P1103" s="98">
        <f>SUM(SamplingData[[#This Row],[Winning Candidate]:[Under Votes]])</f>
        <v>396</v>
      </c>
      <c r="Q1103" s="99">
        <f>IF(AND(SamplingData[[#This Row],[Total]]&lt;&gt; 0, NOT(ISBLANK(SamplingData[[#This Row],[Losing Candidate]]))),(SamplingData[[#This Row],[Total]]+SamplingData[[#This Row],[Winning Candidate]]-SamplingData[[#This Row],[Losing Candidate]])/(SamplingData[[#Totals],[Winning Candidate]]-SamplingData[[#Totals],[Losing Candidate]]), 0)</f>
        <v>1.5574605330164658E-2</v>
      </c>
      <c r="R1103" s="99">
        <f>IF(AND(SamplingData[[#This Row],[Total]]&lt;&gt; 0, NOT(ISBLANK(SamplingData[[#This Row],[Candidate 3]]))),(SamplingData[[#This Row],[Total]]+SamplingData[[#This Row],[Winning Candidate]]-SamplingData[[#This Row],[Candidate 3]])/(SamplingData[[#Totals],[Winning Candidate]]-SamplingData[[#Totals],[Candidate 3]]), 0)</f>
        <v>0</v>
      </c>
      <c r="S1103" s="99">
        <f>IF(AND(SamplingData[[#This Row],[Total]]&lt;&gt; 0, NOT(ISBLANK(SamplingData[[#This Row],[Candidate 4]]))),(SamplingData[[#This Row],[Total]]+SamplingData[[#This Row],[Winning Candidate]]-SamplingData[[#This Row],[Candidate 4]])/(SamplingData[[#Totals],[Winning Candidate]]-SamplingData[[#Totals],[Candidate 4]]), 0)</f>
        <v>0</v>
      </c>
      <c r="T1103" s="99">
        <f>IF(AND(SamplingData[[#This Row],[Total]]&lt;&gt; 0, NOT(ISBLANK(SamplingData[[#This Row],[Candidate 5]]))),(SamplingData[[#This Row],[Total]]+SamplingData[[#This Row],[Winning Candidate]]-SamplingData[[#This Row],[Candidate 5]])/(SamplingData[[#Totals],[Winning Candidate]]-SamplingData[[#Totals],[Candidate 5]]), 0)</f>
        <v>0</v>
      </c>
      <c r="U1103" s="99">
        <f>IF(AND(SamplingData[[#This Row],[Total]]&lt;&gt; 0, NOT(ISBLANK(SamplingData[[#This Row],[Candidate 6]]))),(SamplingData[[#This Row],[Total]]+SamplingData[[#This Row],[Losing Candidate]]-SamplingData[[#This Row],[Candidate 6]])/(SamplingData[[#Totals],[Winning Candidate]]-SamplingData[[#Totals],[Candidate 6]]), 0)</f>
        <v>0</v>
      </c>
      <c r="V1103" s="99">
        <f>IF(AND(SamplingData[[#This Row],[Total]]&lt;&gt; 0, NOT(ISBLANK(SamplingData[[#This Row],[Candidate 7]]))),(SamplingData[[#This Row],[Total]]+SamplingData[[#This Row],[Winning Candidate]]-SamplingData[[#This Row],[Candidate 7]])/(SamplingData[[#Totals],[Winning Candidate]]-SamplingData[[#Totals],[Candidate 7]]), 0)</f>
        <v>0</v>
      </c>
      <c r="W1103" s="99">
        <f>IF(AND(SamplingData[[#This Row],[Total]]&lt;&gt; 0, NOT(ISBLANK(SamplingData[[#This Row],[Candidate 8]]))),(SamplingData[[#This Row],[Total]]+SamplingData[[#This Row],[Winning Candidate]]-SamplingData[[#This Row],[Candidate 8]])/(SamplingData[[#Totals],[Winning Candidate]]-SamplingData[[#Totals],[Candidate 8]]), 0)</f>
        <v>0</v>
      </c>
      <c r="X11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3" s="99">
        <f>MAX(SamplingData[[#This Row],[Error Bound (up) - Max. possible relative overstatement - Losing Candidate]:[Error Bound (up) - Max. possible relative overstatement - Candidate 12]])</f>
        <v>1.5574605330164658E-2</v>
      </c>
      <c r="AC1103" s="99">
        <f>IF(SamplingData[[#This Row],[Max Error Bound (up)]] = 0,0,SamplingData[[#This Row],[Max Error Bound (up)]]/SamplingData[[#Totals],[Max Error Bound (up)]])</f>
        <v>8.3387864907114658E-4</v>
      </c>
      <c r="AD1103" s="103">
        <f>SUM($AC$5:AC1103)</f>
        <v>0.9779556112989447</v>
      </c>
      <c r="AE1103" s="99" t="str" cm="1">
        <f t="array" ref="AE1103">IF(SamplingData[[#This Row],[up/U Selection Probability]] = 0, "Zero", TEXT(SamplingData[[#This Row],[Lower Range]], REPT("0",LEN('General Info'!$B$42))) &amp; " - " &amp; TEXT(SamplingData[[#This Row],[Upper Range]], REPT("0",LEN('General Info'!$B$42))))</f>
        <v>977122 - 977955</v>
      </c>
      <c r="AF1103" s="99">
        <f>SamplingData[[#This Row],[Upper Range]]-SamplingData[[#This Row],[Span]]</f>
        <v>977121.73264987359</v>
      </c>
      <c r="AG1103" s="99">
        <f>IF(ISNUMBER('General Info'!$B$42), ((SamplingData[[#This Row],[up/U Selection Probability]]) * 'General Info'!$B$44) - 1, 0)</f>
        <v>832.87864907114658</v>
      </c>
      <c r="AH1103" s="99">
        <f>IF(ISNUMBER('General Info'!$B$42), (SamplingData[[#This Row],[Running (cumulative) sum]] * ('General Info'!$B$42 -'General Info'!$B$43 + 1)) + 'General Info'!$B$43 - 1, 0)</f>
        <v>977954.61129894468</v>
      </c>
      <c r="AI1103" s="99" t="str">
        <f>IF(ISERROR(MATCH(SamplingData[[#This Row],[Batch by Type (p)]],SelectedPrecincts[Batch Name], 0)), "", INDEX(SelectedPrecincts[Draw], MATCH(SamplingData[[#This Row],[Batch by Type (p)]],SelectedPrecincts[Batch Name], 0)))</f>
        <v/>
      </c>
      <c r="AJ1103" s="100">
        <f>IF(COUNTIF(SelectedPrecincts[Batch Name],SamplingData[[#This Row],[Batch by Type (p)]]) &lt;&gt; 0, COUNTIF(SelectedPrecincts[Batch Name],SamplingData[[#This Row],[Batch by Type (p)]]), 0)</f>
        <v>0</v>
      </c>
    </row>
    <row r="1104" spans="1:36" ht="15" customHeight="1" x14ac:dyDescent="0.35">
      <c r="A1104" s="97" t="s">
        <v>1317</v>
      </c>
      <c r="B1104" s="97">
        <v>124</v>
      </c>
      <c r="C1104" s="97">
        <v>294</v>
      </c>
      <c r="D1104" s="92"/>
      <c r="E1104" s="92"/>
      <c r="F1104" s="92"/>
      <c r="G1104" s="96"/>
      <c r="H1104" s="96"/>
      <c r="I1104" s="92"/>
      <c r="J1104" s="92"/>
      <c r="K1104" s="92"/>
      <c r="L1104" s="92"/>
      <c r="M1104" s="92"/>
      <c r="N1104" s="97">
        <v>0</v>
      </c>
      <c r="O1104" s="97">
        <v>21</v>
      </c>
      <c r="P1104" s="98">
        <f>SUM(SamplingData[[#This Row],[Winning Candidate]:[Under Votes]])</f>
        <v>439</v>
      </c>
      <c r="Q1104" s="99">
        <f>IF(AND(SamplingData[[#This Row],[Total]]&lt;&gt; 0, NOT(ISBLANK(SamplingData[[#This Row],[Losing Candidate]]))),(SamplingData[[#This Row],[Total]]+SamplingData[[#This Row],[Winning Candidate]]-SamplingData[[#This Row],[Losing Candidate]])/(SamplingData[[#Totals],[Winning Candidate]]-SamplingData[[#Totals],[Losing Candidate]]), 0)</f>
        <v>1.1415718893226956E-2</v>
      </c>
      <c r="R1104" s="99">
        <f>IF(AND(SamplingData[[#This Row],[Total]]&lt;&gt; 0, NOT(ISBLANK(SamplingData[[#This Row],[Candidate 3]]))),(SamplingData[[#This Row],[Total]]+SamplingData[[#This Row],[Winning Candidate]]-SamplingData[[#This Row],[Candidate 3]])/(SamplingData[[#Totals],[Winning Candidate]]-SamplingData[[#Totals],[Candidate 3]]), 0)</f>
        <v>0</v>
      </c>
      <c r="S1104" s="99">
        <f>IF(AND(SamplingData[[#This Row],[Total]]&lt;&gt; 0, NOT(ISBLANK(SamplingData[[#This Row],[Candidate 4]]))),(SamplingData[[#This Row],[Total]]+SamplingData[[#This Row],[Winning Candidate]]-SamplingData[[#This Row],[Candidate 4]])/(SamplingData[[#Totals],[Winning Candidate]]-SamplingData[[#Totals],[Candidate 4]]), 0)</f>
        <v>0</v>
      </c>
      <c r="T1104" s="99">
        <f>IF(AND(SamplingData[[#This Row],[Total]]&lt;&gt; 0, NOT(ISBLANK(SamplingData[[#This Row],[Candidate 5]]))),(SamplingData[[#This Row],[Total]]+SamplingData[[#This Row],[Winning Candidate]]-SamplingData[[#This Row],[Candidate 5]])/(SamplingData[[#Totals],[Winning Candidate]]-SamplingData[[#Totals],[Candidate 5]]), 0)</f>
        <v>0</v>
      </c>
      <c r="U1104" s="99">
        <f>IF(AND(SamplingData[[#This Row],[Total]]&lt;&gt; 0, NOT(ISBLANK(SamplingData[[#This Row],[Candidate 6]]))),(SamplingData[[#This Row],[Total]]+SamplingData[[#This Row],[Losing Candidate]]-SamplingData[[#This Row],[Candidate 6]])/(SamplingData[[#Totals],[Winning Candidate]]-SamplingData[[#Totals],[Candidate 6]]), 0)</f>
        <v>0</v>
      </c>
      <c r="V1104" s="99">
        <f>IF(AND(SamplingData[[#This Row],[Total]]&lt;&gt; 0, NOT(ISBLANK(SamplingData[[#This Row],[Candidate 7]]))),(SamplingData[[#This Row],[Total]]+SamplingData[[#This Row],[Winning Candidate]]-SamplingData[[#This Row],[Candidate 7]])/(SamplingData[[#Totals],[Winning Candidate]]-SamplingData[[#Totals],[Candidate 7]]), 0)</f>
        <v>0</v>
      </c>
      <c r="W1104" s="99">
        <f>IF(AND(SamplingData[[#This Row],[Total]]&lt;&gt; 0, NOT(ISBLANK(SamplingData[[#This Row],[Candidate 8]]))),(SamplingData[[#This Row],[Total]]+SamplingData[[#This Row],[Winning Candidate]]-SamplingData[[#This Row],[Candidate 8]])/(SamplingData[[#Totals],[Winning Candidate]]-SamplingData[[#Totals],[Candidate 8]]), 0)</f>
        <v>0</v>
      </c>
      <c r="X11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4" s="99">
        <f>MAX(SamplingData[[#This Row],[Error Bound (up) - Max. possible relative overstatement - Losing Candidate]:[Error Bound (up) - Max. possible relative overstatement - Candidate 12]])</f>
        <v>1.1415718893226956E-2</v>
      </c>
      <c r="AC1104" s="99">
        <f>IF(SamplingData[[#This Row],[Max Error Bound (up)]] = 0,0,SamplingData[[#This Row],[Max Error Bound (up)]]/SamplingData[[#Totals],[Max Error Bound (up)]])</f>
        <v>6.1120805613116733E-4</v>
      </c>
      <c r="AD1104" s="103">
        <f>SUM($AC$5:AC1104)</f>
        <v>0.97856681935507583</v>
      </c>
      <c r="AE1104" s="99" t="str" cm="1">
        <f t="array" ref="AE1104">IF(SamplingData[[#This Row],[up/U Selection Probability]] = 0, "Zero", TEXT(SamplingData[[#This Row],[Lower Range]], REPT("0",LEN('General Info'!$B$42))) &amp; " - " &amp; TEXT(SamplingData[[#This Row],[Upper Range]], REPT("0",LEN('General Info'!$B$42))))</f>
        <v>977956 - 978566</v>
      </c>
      <c r="AF1104" s="99">
        <f>SamplingData[[#This Row],[Upper Range]]-SamplingData[[#This Row],[Span]]</f>
        <v>977955.61129894468</v>
      </c>
      <c r="AG1104" s="99">
        <f>IF(ISNUMBER('General Info'!$B$42), ((SamplingData[[#This Row],[up/U Selection Probability]]) * 'General Info'!$B$44) - 1, 0)</f>
        <v>610.20805613116738</v>
      </c>
      <c r="AH1104" s="99">
        <f>IF(ISNUMBER('General Info'!$B$42), (SamplingData[[#This Row],[Running (cumulative) sum]] * ('General Info'!$B$42 -'General Info'!$B$43 + 1)) + 'General Info'!$B$43 - 1, 0)</f>
        <v>978565.81935507583</v>
      </c>
      <c r="AI1104" s="99" t="str">
        <f>IF(ISERROR(MATCH(SamplingData[[#This Row],[Batch by Type (p)]],SelectedPrecincts[Batch Name], 0)), "", INDEX(SelectedPrecincts[Draw], MATCH(SamplingData[[#This Row],[Batch by Type (p)]],SelectedPrecincts[Batch Name], 0)))</f>
        <v/>
      </c>
      <c r="AJ1104" s="100">
        <f>IF(COUNTIF(SelectedPrecincts[Batch Name],SamplingData[[#This Row],[Batch by Type (p)]]) &lt;&gt; 0, COUNTIF(SelectedPrecincts[Batch Name],SamplingData[[#This Row],[Batch by Type (p)]]), 0)</f>
        <v>0</v>
      </c>
    </row>
    <row r="1105" spans="1:36" ht="15" customHeight="1" x14ac:dyDescent="0.35">
      <c r="A1105" s="97" t="s">
        <v>1318</v>
      </c>
      <c r="B1105" s="97">
        <v>194</v>
      </c>
      <c r="C1105" s="97">
        <v>148</v>
      </c>
      <c r="D1105" s="92"/>
      <c r="E1105" s="92"/>
      <c r="F1105" s="92"/>
      <c r="G1105" s="96"/>
      <c r="H1105" s="96"/>
      <c r="I1105" s="92"/>
      <c r="J1105" s="92"/>
      <c r="K1105" s="92"/>
      <c r="L1105" s="92"/>
      <c r="M1105" s="92"/>
      <c r="N1105" s="97">
        <v>0</v>
      </c>
      <c r="O1105" s="97">
        <v>30</v>
      </c>
      <c r="P1105" s="98">
        <f>SUM(SamplingData[[#This Row],[Winning Candidate]:[Under Votes]])</f>
        <v>372</v>
      </c>
      <c r="Q1105" s="99">
        <f>IF(AND(SamplingData[[#This Row],[Total]]&lt;&gt; 0, NOT(ISBLANK(SamplingData[[#This Row],[Losing Candidate]]))),(SamplingData[[#This Row],[Total]]+SamplingData[[#This Row],[Winning Candidate]]-SamplingData[[#This Row],[Losing Candidate]])/(SamplingData[[#Totals],[Winning Candidate]]-SamplingData[[#Totals],[Losing Candidate]]), 0)</f>
        <v>1.7738923782040401E-2</v>
      </c>
      <c r="R1105" s="99">
        <f>IF(AND(SamplingData[[#This Row],[Total]]&lt;&gt; 0, NOT(ISBLANK(SamplingData[[#This Row],[Candidate 3]]))),(SamplingData[[#This Row],[Total]]+SamplingData[[#This Row],[Winning Candidate]]-SamplingData[[#This Row],[Candidate 3]])/(SamplingData[[#Totals],[Winning Candidate]]-SamplingData[[#Totals],[Candidate 3]]), 0)</f>
        <v>0</v>
      </c>
      <c r="S1105" s="99">
        <f>IF(AND(SamplingData[[#This Row],[Total]]&lt;&gt; 0, NOT(ISBLANK(SamplingData[[#This Row],[Candidate 4]]))),(SamplingData[[#This Row],[Total]]+SamplingData[[#This Row],[Winning Candidate]]-SamplingData[[#This Row],[Candidate 4]])/(SamplingData[[#Totals],[Winning Candidate]]-SamplingData[[#Totals],[Candidate 4]]), 0)</f>
        <v>0</v>
      </c>
      <c r="T1105" s="99">
        <f>IF(AND(SamplingData[[#This Row],[Total]]&lt;&gt; 0, NOT(ISBLANK(SamplingData[[#This Row],[Candidate 5]]))),(SamplingData[[#This Row],[Total]]+SamplingData[[#This Row],[Winning Candidate]]-SamplingData[[#This Row],[Candidate 5]])/(SamplingData[[#Totals],[Winning Candidate]]-SamplingData[[#Totals],[Candidate 5]]), 0)</f>
        <v>0</v>
      </c>
      <c r="U1105" s="99">
        <f>IF(AND(SamplingData[[#This Row],[Total]]&lt;&gt; 0, NOT(ISBLANK(SamplingData[[#This Row],[Candidate 6]]))),(SamplingData[[#This Row],[Total]]+SamplingData[[#This Row],[Losing Candidate]]-SamplingData[[#This Row],[Candidate 6]])/(SamplingData[[#Totals],[Winning Candidate]]-SamplingData[[#Totals],[Candidate 6]]), 0)</f>
        <v>0</v>
      </c>
      <c r="V1105" s="99">
        <f>IF(AND(SamplingData[[#This Row],[Total]]&lt;&gt; 0, NOT(ISBLANK(SamplingData[[#This Row],[Candidate 7]]))),(SamplingData[[#This Row],[Total]]+SamplingData[[#This Row],[Winning Candidate]]-SamplingData[[#This Row],[Candidate 7]])/(SamplingData[[#Totals],[Winning Candidate]]-SamplingData[[#Totals],[Candidate 7]]), 0)</f>
        <v>0</v>
      </c>
      <c r="W1105" s="99">
        <f>IF(AND(SamplingData[[#This Row],[Total]]&lt;&gt; 0, NOT(ISBLANK(SamplingData[[#This Row],[Candidate 8]]))),(SamplingData[[#This Row],[Total]]+SamplingData[[#This Row],[Winning Candidate]]-SamplingData[[#This Row],[Candidate 8]])/(SamplingData[[#Totals],[Winning Candidate]]-SamplingData[[#Totals],[Candidate 8]]), 0)</f>
        <v>0</v>
      </c>
      <c r="X11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5" s="99">
        <f>MAX(SamplingData[[#This Row],[Error Bound (up) - Max. possible relative overstatement - Losing Candidate]:[Error Bound (up) - Max. possible relative overstatement - Candidate 12]])</f>
        <v>1.7738923782040401E-2</v>
      </c>
      <c r="AC1105" s="99">
        <f>IF(SamplingData[[#This Row],[Max Error Bound (up)]] = 0,0,SamplingData[[#This Row],[Max Error Bound (up)]]/SamplingData[[#Totals],[Max Error Bound (up)]])</f>
        <v>9.4975824335623781E-4</v>
      </c>
      <c r="AD1105" s="103">
        <f>SUM($AC$5:AC1105)</f>
        <v>0.97951657759843203</v>
      </c>
      <c r="AE1105" s="99" t="str" cm="1">
        <f t="array" ref="AE1105">IF(SamplingData[[#This Row],[up/U Selection Probability]] = 0, "Zero", TEXT(SamplingData[[#This Row],[Lower Range]], REPT("0",LEN('General Info'!$B$42))) &amp; " - " &amp; TEXT(SamplingData[[#This Row],[Upper Range]], REPT("0",LEN('General Info'!$B$42))))</f>
        <v>978567 - 979516</v>
      </c>
      <c r="AF1105" s="99">
        <f>SamplingData[[#This Row],[Upper Range]]-SamplingData[[#This Row],[Span]]</f>
        <v>978566.81935507583</v>
      </c>
      <c r="AG1105" s="99">
        <f>IF(ISNUMBER('General Info'!$B$42), ((SamplingData[[#This Row],[up/U Selection Probability]]) * 'General Info'!$B$44) - 1, 0)</f>
        <v>948.75824335623781</v>
      </c>
      <c r="AH1105" s="99">
        <f>IF(ISNUMBER('General Info'!$B$42), (SamplingData[[#This Row],[Running (cumulative) sum]] * ('General Info'!$B$42 -'General Info'!$B$43 + 1)) + 'General Info'!$B$43 - 1, 0)</f>
        <v>979515.57759843208</v>
      </c>
      <c r="AI1105" s="99" t="str">
        <f>IF(ISERROR(MATCH(SamplingData[[#This Row],[Batch by Type (p)]],SelectedPrecincts[Batch Name], 0)), "", INDEX(SelectedPrecincts[Draw], MATCH(SamplingData[[#This Row],[Batch by Type (p)]],SelectedPrecincts[Batch Name], 0)))</f>
        <v/>
      </c>
      <c r="AJ1105" s="100">
        <f>IF(COUNTIF(SelectedPrecincts[Batch Name],SamplingData[[#This Row],[Batch by Type (p)]]) &lt;&gt; 0, COUNTIF(SelectedPrecincts[Batch Name],SamplingData[[#This Row],[Batch by Type (p)]]), 0)</f>
        <v>0</v>
      </c>
    </row>
    <row r="1106" spans="1:36" ht="15" customHeight="1" x14ac:dyDescent="0.35">
      <c r="A1106" s="97" t="s">
        <v>1319</v>
      </c>
      <c r="B1106" s="97">
        <v>225</v>
      </c>
      <c r="C1106" s="97">
        <v>185</v>
      </c>
      <c r="D1106" s="92"/>
      <c r="E1106" s="92"/>
      <c r="F1106" s="92"/>
      <c r="G1106" s="96"/>
      <c r="H1106" s="96"/>
      <c r="I1106" s="92"/>
      <c r="J1106" s="92"/>
      <c r="K1106" s="92"/>
      <c r="L1106" s="92"/>
      <c r="M1106" s="92"/>
      <c r="N1106" s="97">
        <v>0</v>
      </c>
      <c r="O1106" s="97">
        <v>35</v>
      </c>
      <c r="P1106" s="98">
        <f>SUM(SamplingData[[#This Row],[Winning Candidate]:[Under Votes]])</f>
        <v>445</v>
      </c>
      <c r="Q1106" s="99">
        <f>IF(AND(SamplingData[[#This Row],[Total]]&lt;&gt; 0, NOT(ISBLANK(SamplingData[[#This Row],[Losing Candidate]]))),(SamplingData[[#This Row],[Total]]+SamplingData[[#This Row],[Winning Candidate]]-SamplingData[[#This Row],[Losing Candidate]])/(SamplingData[[#Totals],[Winning Candidate]]-SamplingData[[#Totals],[Losing Candidate]]), 0)</f>
        <v>2.0582244101171279E-2</v>
      </c>
      <c r="R1106" s="99">
        <f>IF(AND(SamplingData[[#This Row],[Total]]&lt;&gt; 0, NOT(ISBLANK(SamplingData[[#This Row],[Candidate 3]]))),(SamplingData[[#This Row],[Total]]+SamplingData[[#This Row],[Winning Candidate]]-SamplingData[[#This Row],[Candidate 3]])/(SamplingData[[#Totals],[Winning Candidate]]-SamplingData[[#Totals],[Candidate 3]]), 0)</f>
        <v>0</v>
      </c>
      <c r="S1106" s="99">
        <f>IF(AND(SamplingData[[#This Row],[Total]]&lt;&gt; 0, NOT(ISBLANK(SamplingData[[#This Row],[Candidate 4]]))),(SamplingData[[#This Row],[Total]]+SamplingData[[#This Row],[Winning Candidate]]-SamplingData[[#This Row],[Candidate 4]])/(SamplingData[[#Totals],[Winning Candidate]]-SamplingData[[#Totals],[Candidate 4]]), 0)</f>
        <v>0</v>
      </c>
      <c r="T1106" s="99">
        <f>IF(AND(SamplingData[[#This Row],[Total]]&lt;&gt; 0, NOT(ISBLANK(SamplingData[[#This Row],[Candidate 5]]))),(SamplingData[[#This Row],[Total]]+SamplingData[[#This Row],[Winning Candidate]]-SamplingData[[#This Row],[Candidate 5]])/(SamplingData[[#Totals],[Winning Candidate]]-SamplingData[[#Totals],[Candidate 5]]), 0)</f>
        <v>0</v>
      </c>
      <c r="U1106" s="99">
        <f>IF(AND(SamplingData[[#This Row],[Total]]&lt;&gt; 0, NOT(ISBLANK(SamplingData[[#This Row],[Candidate 6]]))),(SamplingData[[#This Row],[Total]]+SamplingData[[#This Row],[Losing Candidate]]-SamplingData[[#This Row],[Candidate 6]])/(SamplingData[[#Totals],[Winning Candidate]]-SamplingData[[#Totals],[Candidate 6]]), 0)</f>
        <v>0</v>
      </c>
      <c r="V1106" s="99">
        <f>IF(AND(SamplingData[[#This Row],[Total]]&lt;&gt; 0, NOT(ISBLANK(SamplingData[[#This Row],[Candidate 7]]))),(SamplingData[[#This Row],[Total]]+SamplingData[[#This Row],[Winning Candidate]]-SamplingData[[#This Row],[Candidate 7]])/(SamplingData[[#Totals],[Winning Candidate]]-SamplingData[[#Totals],[Candidate 7]]), 0)</f>
        <v>0</v>
      </c>
      <c r="W1106" s="99">
        <f>IF(AND(SamplingData[[#This Row],[Total]]&lt;&gt; 0, NOT(ISBLANK(SamplingData[[#This Row],[Candidate 8]]))),(SamplingData[[#This Row],[Total]]+SamplingData[[#This Row],[Winning Candidate]]-SamplingData[[#This Row],[Candidate 8]])/(SamplingData[[#Totals],[Winning Candidate]]-SamplingData[[#Totals],[Candidate 8]]), 0)</f>
        <v>0</v>
      </c>
      <c r="X11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6" s="99">
        <f>MAX(SamplingData[[#This Row],[Error Bound (up) - Max. possible relative overstatement - Losing Candidate]:[Error Bound (up) - Max. possible relative overstatement - Candidate 12]])</f>
        <v>2.0582244101171279E-2</v>
      </c>
      <c r="AC1106" s="99">
        <f>IF(SamplingData[[#This Row],[Max Error Bound (up)]] = 0,0,SamplingData[[#This Row],[Max Error Bound (up)]]/SamplingData[[#Totals],[Max Error Bound (up)]])</f>
        <v>1.101992220162142E-3</v>
      </c>
      <c r="AD1106" s="103">
        <f>SUM($AC$5:AC1106)</f>
        <v>0.98061856981859419</v>
      </c>
      <c r="AE1106" s="99" t="str" cm="1">
        <f t="array" ref="AE1106">IF(SamplingData[[#This Row],[up/U Selection Probability]] = 0, "Zero", TEXT(SamplingData[[#This Row],[Lower Range]], REPT("0",LEN('General Info'!$B$42))) &amp; " - " &amp; TEXT(SamplingData[[#This Row],[Upper Range]], REPT("0",LEN('General Info'!$B$42))))</f>
        <v>979517 - 980618</v>
      </c>
      <c r="AF1106" s="99">
        <f>SamplingData[[#This Row],[Upper Range]]-SamplingData[[#This Row],[Span]]</f>
        <v>979516.57759843196</v>
      </c>
      <c r="AG1106" s="99">
        <f>IF(ISNUMBER('General Info'!$B$42), ((SamplingData[[#This Row],[up/U Selection Probability]]) * 'General Info'!$B$44) - 1, 0)</f>
        <v>1100.9922201621421</v>
      </c>
      <c r="AH1106" s="99">
        <f>IF(ISNUMBER('General Info'!$B$42), (SamplingData[[#This Row],[Running (cumulative) sum]] * ('General Info'!$B$42 -'General Info'!$B$43 + 1)) + 'General Info'!$B$43 - 1, 0)</f>
        <v>980617.56981859414</v>
      </c>
      <c r="AI1106" s="99">
        <f>IF(ISERROR(MATCH(SamplingData[[#This Row],[Batch by Type (p)]],SelectedPrecincts[Batch Name], 0)), "", INDEX(SelectedPrecincts[Draw], MATCH(SamplingData[[#This Row],[Batch by Type (p)]],SelectedPrecincts[Batch Name], 0)))</f>
        <v>37</v>
      </c>
      <c r="AJ1106" s="100">
        <f>IF(COUNTIF(SelectedPrecincts[Batch Name],SamplingData[[#This Row],[Batch by Type (p)]]) &lt;&gt; 0, COUNTIF(SelectedPrecincts[Batch Name],SamplingData[[#This Row],[Batch by Type (p)]]), 0)</f>
        <v>1</v>
      </c>
    </row>
    <row r="1107" spans="1:36" ht="15" customHeight="1" x14ac:dyDescent="0.35">
      <c r="A1107" s="97" t="s">
        <v>1320</v>
      </c>
      <c r="B1107" s="97">
        <v>185</v>
      </c>
      <c r="C1107" s="97">
        <v>387</v>
      </c>
      <c r="D1107" s="92"/>
      <c r="E1107" s="92"/>
      <c r="F1107" s="92"/>
      <c r="G1107" s="96"/>
      <c r="H1107" s="96"/>
      <c r="I1107" s="92"/>
      <c r="J1107" s="92"/>
      <c r="K1107" s="92"/>
      <c r="L1107" s="92"/>
      <c r="M1107" s="92"/>
      <c r="N1107" s="97">
        <v>0</v>
      </c>
      <c r="O1107" s="97">
        <v>45</v>
      </c>
      <c r="P1107" s="98">
        <f>SUM(SamplingData[[#This Row],[Winning Candidate]:[Under Votes]])</f>
        <v>617</v>
      </c>
      <c r="Q1107" s="99">
        <f>IF(AND(SamplingData[[#This Row],[Total]]&lt;&gt; 0, NOT(ISBLANK(SamplingData[[#This Row],[Losing Candidate]]))),(SamplingData[[#This Row],[Total]]+SamplingData[[#This Row],[Winning Candidate]]-SamplingData[[#This Row],[Losing Candidate]])/(SamplingData[[#Totals],[Winning Candidate]]-SamplingData[[#Totals],[Losing Candidate]]), 0)</f>
        <v>1.7611610931930064E-2</v>
      </c>
      <c r="R1107" s="99">
        <f>IF(AND(SamplingData[[#This Row],[Total]]&lt;&gt; 0, NOT(ISBLANK(SamplingData[[#This Row],[Candidate 3]]))),(SamplingData[[#This Row],[Total]]+SamplingData[[#This Row],[Winning Candidate]]-SamplingData[[#This Row],[Candidate 3]])/(SamplingData[[#Totals],[Winning Candidate]]-SamplingData[[#Totals],[Candidate 3]]), 0)</f>
        <v>0</v>
      </c>
      <c r="S1107" s="99">
        <f>IF(AND(SamplingData[[#This Row],[Total]]&lt;&gt; 0, NOT(ISBLANK(SamplingData[[#This Row],[Candidate 4]]))),(SamplingData[[#This Row],[Total]]+SamplingData[[#This Row],[Winning Candidate]]-SamplingData[[#This Row],[Candidate 4]])/(SamplingData[[#Totals],[Winning Candidate]]-SamplingData[[#Totals],[Candidate 4]]), 0)</f>
        <v>0</v>
      </c>
      <c r="T1107" s="99">
        <f>IF(AND(SamplingData[[#This Row],[Total]]&lt;&gt; 0, NOT(ISBLANK(SamplingData[[#This Row],[Candidate 5]]))),(SamplingData[[#This Row],[Total]]+SamplingData[[#This Row],[Winning Candidate]]-SamplingData[[#This Row],[Candidate 5]])/(SamplingData[[#Totals],[Winning Candidate]]-SamplingData[[#Totals],[Candidate 5]]), 0)</f>
        <v>0</v>
      </c>
      <c r="U1107" s="99">
        <f>IF(AND(SamplingData[[#This Row],[Total]]&lt;&gt; 0, NOT(ISBLANK(SamplingData[[#This Row],[Candidate 6]]))),(SamplingData[[#This Row],[Total]]+SamplingData[[#This Row],[Losing Candidate]]-SamplingData[[#This Row],[Candidate 6]])/(SamplingData[[#Totals],[Winning Candidate]]-SamplingData[[#Totals],[Candidate 6]]), 0)</f>
        <v>0</v>
      </c>
      <c r="V1107" s="99">
        <f>IF(AND(SamplingData[[#This Row],[Total]]&lt;&gt; 0, NOT(ISBLANK(SamplingData[[#This Row],[Candidate 7]]))),(SamplingData[[#This Row],[Total]]+SamplingData[[#This Row],[Winning Candidate]]-SamplingData[[#This Row],[Candidate 7]])/(SamplingData[[#Totals],[Winning Candidate]]-SamplingData[[#Totals],[Candidate 7]]), 0)</f>
        <v>0</v>
      </c>
      <c r="W1107" s="99">
        <f>IF(AND(SamplingData[[#This Row],[Total]]&lt;&gt; 0, NOT(ISBLANK(SamplingData[[#This Row],[Candidate 8]]))),(SamplingData[[#This Row],[Total]]+SamplingData[[#This Row],[Winning Candidate]]-SamplingData[[#This Row],[Candidate 8]])/(SamplingData[[#Totals],[Winning Candidate]]-SamplingData[[#Totals],[Candidate 8]]), 0)</f>
        <v>0</v>
      </c>
      <c r="X11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7" s="99">
        <f>MAX(SamplingData[[#This Row],[Error Bound (up) - Max. possible relative overstatement - Losing Candidate]:[Error Bound (up) - Max. possible relative overstatement - Candidate 12]])</f>
        <v>1.7611610931930064E-2</v>
      </c>
      <c r="AC1107" s="99">
        <f>IF(SamplingData[[#This Row],[Max Error Bound (up)]] = 0,0,SamplingData[[#This Row],[Max Error Bound (up)]]/SamplingData[[#Totals],[Max Error Bound (up)]])</f>
        <v>9.4294179663358547E-4</v>
      </c>
      <c r="AD1107" s="103">
        <f>SUM($AC$5:AC1107)</f>
        <v>0.98156151161522776</v>
      </c>
      <c r="AE1107" s="99" t="str" cm="1">
        <f t="array" ref="AE1107">IF(SamplingData[[#This Row],[up/U Selection Probability]] = 0, "Zero", TEXT(SamplingData[[#This Row],[Lower Range]], REPT("0",LEN('General Info'!$B$42))) &amp; " - " &amp; TEXT(SamplingData[[#This Row],[Upper Range]], REPT("0",LEN('General Info'!$B$42))))</f>
        <v>980619 - 981561</v>
      </c>
      <c r="AF1107" s="99">
        <f>SamplingData[[#This Row],[Upper Range]]-SamplingData[[#This Row],[Span]]</f>
        <v>980618.56981859426</v>
      </c>
      <c r="AG1107" s="99">
        <f>IF(ISNUMBER('General Info'!$B$42), ((SamplingData[[#This Row],[up/U Selection Probability]]) * 'General Info'!$B$44) - 1, 0)</f>
        <v>941.94179663358545</v>
      </c>
      <c r="AH1107" s="99">
        <f>IF(ISNUMBER('General Info'!$B$42), (SamplingData[[#This Row],[Running (cumulative) sum]] * ('General Info'!$B$42 -'General Info'!$B$43 + 1)) + 'General Info'!$B$43 - 1, 0)</f>
        <v>981560.51161522779</v>
      </c>
      <c r="AI1107" s="99" t="str">
        <f>IF(ISERROR(MATCH(SamplingData[[#This Row],[Batch by Type (p)]],SelectedPrecincts[Batch Name], 0)), "", INDEX(SelectedPrecincts[Draw], MATCH(SamplingData[[#This Row],[Batch by Type (p)]],SelectedPrecincts[Batch Name], 0)))</f>
        <v/>
      </c>
      <c r="AJ1107" s="100">
        <f>IF(COUNTIF(SelectedPrecincts[Batch Name],SamplingData[[#This Row],[Batch by Type (p)]]) &lt;&gt; 0, COUNTIF(SelectedPrecincts[Batch Name],SamplingData[[#This Row],[Batch by Type (p)]]), 0)</f>
        <v>0</v>
      </c>
    </row>
    <row r="1108" spans="1:36" ht="15" customHeight="1" x14ac:dyDescent="0.35">
      <c r="A1108" s="97" t="s">
        <v>1321</v>
      </c>
      <c r="B1108" s="97">
        <v>93</v>
      </c>
      <c r="C1108" s="97">
        <v>160</v>
      </c>
      <c r="D1108" s="92"/>
      <c r="E1108" s="92"/>
      <c r="F1108" s="92"/>
      <c r="G1108" s="96"/>
      <c r="H1108" s="96"/>
      <c r="I1108" s="92"/>
      <c r="J1108" s="92"/>
      <c r="K1108" s="92"/>
      <c r="L1108" s="92"/>
      <c r="M1108" s="92"/>
      <c r="N1108" s="97">
        <v>1</v>
      </c>
      <c r="O1108" s="97">
        <v>18</v>
      </c>
      <c r="P1108" s="98">
        <f>SUM(SamplingData[[#This Row],[Winning Candidate]:[Under Votes]])</f>
        <v>272</v>
      </c>
      <c r="Q1108" s="99">
        <f>IF(AND(SamplingData[[#This Row],[Total]]&lt;&gt; 0, NOT(ISBLANK(SamplingData[[#This Row],[Losing Candidate]]))),(SamplingData[[#This Row],[Total]]+SamplingData[[#This Row],[Winning Candidate]]-SamplingData[[#This Row],[Losing Candidate]])/(SamplingData[[#Totals],[Winning Candidate]]-SamplingData[[#Totals],[Losing Candidate]]), 0)</f>
        <v>8.6997114242064171E-3</v>
      </c>
      <c r="R1108" s="99">
        <f>IF(AND(SamplingData[[#This Row],[Total]]&lt;&gt; 0, NOT(ISBLANK(SamplingData[[#This Row],[Candidate 3]]))),(SamplingData[[#This Row],[Total]]+SamplingData[[#This Row],[Winning Candidate]]-SamplingData[[#This Row],[Candidate 3]])/(SamplingData[[#Totals],[Winning Candidate]]-SamplingData[[#Totals],[Candidate 3]]), 0)</f>
        <v>0</v>
      </c>
      <c r="S1108" s="99">
        <f>IF(AND(SamplingData[[#This Row],[Total]]&lt;&gt; 0, NOT(ISBLANK(SamplingData[[#This Row],[Candidate 4]]))),(SamplingData[[#This Row],[Total]]+SamplingData[[#This Row],[Winning Candidate]]-SamplingData[[#This Row],[Candidate 4]])/(SamplingData[[#Totals],[Winning Candidate]]-SamplingData[[#Totals],[Candidate 4]]), 0)</f>
        <v>0</v>
      </c>
      <c r="T1108" s="99">
        <f>IF(AND(SamplingData[[#This Row],[Total]]&lt;&gt; 0, NOT(ISBLANK(SamplingData[[#This Row],[Candidate 5]]))),(SamplingData[[#This Row],[Total]]+SamplingData[[#This Row],[Winning Candidate]]-SamplingData[[#This Row],[Candidate 5]])/(SamplingData[[#Totals],[Winning Candidate]]-SamplingData[[#Totals],[Candidate 5]]), 0)</f>
        <v>0</v>
      </c>
      <c r="U1108" s="99">
        <f>IF(AND(SamplingData[[#This Row],[Total]]&lt;&gt; 0, NOT(ISBLANK(SamplingData[[#This Row],[Candidate 6]]))),(SamplingData[[#This Row],[Total]]+SamplingData[[#This Row],[Losing Candidate]]-SamplingData[[#This Row],[Candidate 6]])/(SamplingData[[#Totals],[Winning Candidate]]-SamplingData[[#Totals],[Candidate 6]]), 0)</f>
        <v>0</v>
      </c>
      <c r="V1108" s="99">
        <f>IF(AND(SamplingData[[#This Row],[Total]]&lt;&gt; 0, NOT(ISBLANK(SamplingData[[#This Row],[Candidate 7]]))),(SamplingData[[#This Row],[Total]]+SamplingData[[#This Row],[Winning Candidate]]-SamplingData[[#This Row],[Candidate 7]])/(SamplingData[[#Totals],[Winning Candidate]]-SamplingData[[#Totals],[Candidate 7]]), 0)</f>
        <v>0</v>
      </c>
      <c r="W1108" s="99">
        <f>IF(AND(SamplingData[[#This Row],[Total]]&lt;&gt; 0, NOT(ISBLANK(SamplingData[[#This Row],[Candidate 8]]))),(SamplingData[[#This Row],[Total]]+SamplingData[[#This Row],[Winning Candidate]]-SamplingData[[#This Row],[Candidate 8]])/(SamplingData[[#Totals],[Winning Candidate]]-SamplingData[[#Totals],[Candidate 8]]), 0)</f>
        <v>0</v>
      </c>
      <c r="X11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8" s="99">
        <f>MAX(SamplingData[[#This Row],[Error Bound (up) - Max. possible relative overstatement - Losing Candidate]:[Error Bound (up) - Max. possible relative overstatement - Candidate 12]])</f>
        <v>8.6997114242064171E-3</v>
      </c>
      <c r="AC1108" s="99">
        <f>IF(SamplingData[[#This Row],[Max Error Bound (up)]] = 0,0,SamplingData[[#This Row],[Max Error Bound (up)]]/SamplingData[[#Totals],[Max Error Bound (up)]])</f>
        <v>4.6579052604791567E-4</v>
      </c>
      <c r="AD1108" s="103">
        <f>SUM($AC$5:AC1108)</f>
        <v>0.98202730214127565</v>
      </c>
      <c r="AE1108" s="99" t="str" cm="1">
        <f t="array" ref="AE1108">IF(SamplingData[[#This Row],[up/U Selection Probability]] = 0, "Zero", TEXT(SamplingData[[#This Row],[Lower Range]], REPT("0",LEN('General Info'!$B$42))) &amp; " - " &amp; TEXT(SamplingData[[#This Row],[Upper Range]], REPT("0",LEN('General Info'!$B$42))))</f>
        <v>981562 - 982026</v>
      </c>
      <c r="AF1108" s="99">
        <f>SamplingData[[#This Row],[Upper Range]]-SamplingData[[#This Row],[Span]]</f>
        <v>981561.51161522768</v>
      </c>
      <c r="AG1108" s="99">
        <f>IF(ISNUMBER('General Info'!$B$42), ((SamplingData[[#This Row],[up/U Selection Probability]]) * 'General Info'!$B$44) - 1, 0)</f>
        <v>464.79052604791565</v>
      </c>
      <c r="AH1108" s="99">
        <f>IF(ISNUMBER('General Info'!$B$42), (SamplingData[[#This Row],[Running (cumulative) sum]] * ('General Info'!$B$42 -'General Info'!$B$43 + 1)) + 'General Info'!$B$43 - 1, 0)</f>
        <v>982026.30214127561</v>
      </c>
      <c r="AI1108" s="99" t="str">
        <f>IF(ISERROR(MATCH(SamplingData[[#This Row],[Batch by Type (p)]],SelectedPrecincts[Batch Name], 0)), "", INDEX(SelectedPrecincts[Draw], MATCH(SamplingData[[#This Row],[Batch by Type (p)]],SelectedPrecincts[Batch Name], 0)))</f>
        <v/>
      </c>
      <c r="AJ1108" s="100">
        <f>IF(COUNTIF(SelectedPrecincts[Batch Name],SamplingData[[#This Row],[Batch by Type (p)]]) &lt;&gt; 0, COUNTIF(SelectedPrecincts[Batch Name],SamplingData[[#This Row],[Batch by Type (p)]]), 0)</f>
        <v>0</v>
      </c>
    </row>
    <row r="1109" spans="1:36" ht="15" customHeight="1" x14ac:dyDescent="0.35">
      <c r="A1109" s="97" t="s">
        <v>1322</v>
      </c>
      <c r="B1109" s="97">
        <v>209</v>
      </c>
      <c r="C1109" s="97">
        <v>382</v>
      </c>
      <c r="D1109" s="92"/>
      <c r="E1109" s="92"/>
      <c r="F1109" s="92"/>
      <c r="G1109" s="96"/>
      <c r="H1109" s="96"/>
      <c r="I1109" s="92"/>
      <c r="J1109" s="92"/>
      <c r="K1109" s="92"/>
      <c r="L1109" s="92"/>
      <c r="M1109" s="92"/>
      <c r="N1109" s="97">
        <v>0</v>
      </c>
      <c r="O1109" s="97">
        <v>52</v>
      </c>
      <c r="P1109" s="98">
        <f>SUM(SamplingData[[#This Row],[Winning Candidate]:[Under Votes]])</f>
        <v>643</v>
      </c>
      <c r="Q1109" s="99">
        <f>IF(AND(SamplingData[[#This Row],[Total]]&lt;&gt; 0, NOT(ISBLANK(SamplingData[[#This Row],[Losing Candidate]]))),(SamplingData[[#This Row],[Total]]+SamplingData[[#This Row],[Winning Candidate]]-SamplingData[[#This Row],[Losing Candidate]])/(SamplingData[[#Totals],[Winning Candidate]]-SamplingData[[#Totals],[Losing Candidate]]), 0)</f>
        <v>1.994567985061959E-2</v>
      </c>
      <c r="R1109" s="99">
        <f>IF(AND(SamplingData[[#This Row],[Total]]&lt;&gt; 0, NOT(ISBLANK(SamplingData[[#This Row],[Candidate 3]]))),(SamplingData[[#This Row],[Total]]+SamplingData[[#This Row],[Winning Candidate]]-SamplingData[[#This Row],[Candidate 3]])/(SamplingData[[#Totals],[Winning Candidate]]-SamplingData[[#Totals],[Candidate 3]]), 0)</f>
        <v>0</v>
      </c>
      <c r="S1109" s="99">
        <f>IF(AND(SamplingData[[#This Row],[Total]]&lt;&gt; 0, NOT(ISBLANK(SamplingData[[#This Row],[Candidate 4]]))),(SamplingData[[#This Row],[Total]]+SamplingData[[#This Row],[Winning Candidate]]-SamplingData[[#This Row],[Candidate 4]])/(SamplingData[[#Totals],[Winning Candidate]]-SamplingData[[#Totals],[Candidate 4]]), 0)</f>
        <v>0</v>
      </c>
      <c r="T1109" s="99">
        <f>IF(AND(SamplingData[[#This Row],[Total]]&lt;&gt; 0, NOT(ISBLANK(SamplingData[[#This Row],[Candidate 5]]))),(SamplingData[[#This Row],[Total]]+SamplingData[[#This Row],[Winning Candidate]]-SamplingData[[#This Row],[Candidate 5]])/(SamplingData[[#Totals],[Winning Candidate]]-SamplingData[[#Totals],[Candidate 5]]), 0)</f>
        <v>0</v>
      </c>
      <c r="U1109" s="99">
        <f>IF(AND(SamplingData[[#This Row],[Total]]&lt;&gt; 0, NOT(ISBLANK(SamplingData[[#This Row],[Candidate 6]]))),(SamplingData[[#This Row],[Total]]+SamplingData[[#This Row],[Losing Candidate]]-SamplingData[[#This Row],[Candidate 6]])/(SamplingData[[#Totals],[Winning Candidate]]-SamplingData[[#Totals],[Candidate 6]]), 0)</f>
        <v>0</v>
      </c>
      <c r="V1109" s="99">
        <f>IF(AND(SamplingData[[#This Row],[Total]]&lt;&gt; 0, NOT(ISBLANK(SamplingData[[#This Row],[Candidate 7]]))),(SamplingData[[#This Row],[Total]]+SamplingData[[#This Row],[Winning Candidate]]-SamplingData[[#This Row],[Candidate 7]])/(SamplingData[[#Totals],[Winning Candidate]]-SamplingData[[#Totals],[Candidate 7]]), 0)</f>
        <v>0</v>
      </c>
      <c r="W1109" s="99">
        <f>IF(AND(SamplingData[[#This Row],[Total]]&lt;&gt; 0, NOT(ISBLANK(SamplingData[[#This Row],[Candidate 8]]))),(SamplingData[[#This Row],[Total]]+SamplingData[[#This Row],[Winning Candidate]]-SamplingData[[#This Row],[Candidate 8]])/(SamplingData[[#Totals],[Winning Candidate]]-SamplingData[[#Totals],[Candidate 8]]), 0)</f>
        <v>0</v>
      </c>
      <c r="X11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9" s="99">
        <f>MAX(SamplingData[[#This Row],[Error Bound (up) - Max. possible relative overstatement - Losing Candidate]:[Error Bound (up) - Max. possible relative overstatement - Candidate 12]])</f>
        <v>1.994567985061959E-2</v>
      </c>
      <c r="AC1109" s="99">
        <f>IF(SamplingData[[#This Row],[Max Error Bound (up)]] = 0,0,SamplingData[[#This Row],[Max Error Bound (up)]]/SamplingData[[#Totals],[Max Error Bound (up)]])</f>
        <v>1.0679099865488798E-3</v>
      </c>
      <c r="AD1109" s="103">
        <f>SUM($AC$5:AC1109)</f>
        <v>0.98309521212782458</v>
      </c>
      <c r="AE1109" s="99" t="str" cm="1">
        <f t="array" ref="AE1109">IF(SamplingData[[#This Row],[up/U Selection Probability]] = 0, "Zero", TEXT(SamplingData[[#This Row],[Lower Range]], REPT("0",LEN('General Info'!$B$42))) &amp; " - " &amp; TEXT(SamplingData[[#This Row],[Upper Range]], REPT("0",LEN('General Info'!$B$42))))</f>
        <v>982027 - 983094</v>
      </c>
      <c r="AF1109" s="99">
        <f>SamplingData[[#This Row],[Upper Range]]-SamplingData[[#This Row],[Span]]</f>
        <v>982027.30214127572</v>
      </c>
      <c r="AG1109" s="99">
        <f>IF(ISNUMBER('General Info'!$B$42), ((SamplingData[[#This Row],[up/U Selection Probability]]) * 'General Info'!$B$44) - 1, 0)</f>
        <v>1066.9099865488799</v>
      </c>
      <c r="AH1109" s="99">
        <f>IF(ISNUMBER('General Info'!$B$42), (SamplingData[[#This Row],[Running (cumulative) sum]] * ('General Info'!$B$42 -'General Info'!$B$43 + 1)) + 'General Info'!$B$43 - 1, 0)</f>
        <v>983094.21212782455</v>
      </c>
      <c r="AI1109" s="99" t="str">
        <f>IF(ISERROR(MATCH(SamplingData[[#This Row],[Batch by Type (p)]],SelectedPrecincts[Batch Name], 0)), "", INDEX(SelectedPrecincts[Draw], MATCH(SamplingData[[#This Row],[Batch by Type (p)]],SelectedPrecincts[Batch Name], 0)))</f>
        <v/>
      </c>
      <c r="AJ1109" s="100">
        <f>IF(COUNTIF(SelectedPrecincts[Batch Name],SamplingData[[#This Row],[Batch by Type (p)]]) &lt;&gt; 0, COUNTIF(SelectedPrecincts[Batch Name],SamplingData[[#This Row],[Batch by Type (p)]]), 0)</f>
        <v>0</v>
      </c>
    </row>
    <row r="1110" spans="1:36" ht="15" customHeight="1" x14ac:dyDescent="0.35">
      <c r="A1110" s="97" t="s">
        <v>1323</v>
      </c>
      <c r="B1110" s="97">
        <v>82</v>
      </c>
      <c r="C1110" s="97">
        <v>103</v>
      </c>
      <c r="D1110" s="92"/>
      <c r="E1110" s="92"/>
      <c r="F1110" s="92"/>
      <c r="G1110" s="96"/>
      <c r="H1110" s="96"/>
      <c r="I1110" s="92"/>
      <c r="J1110" s="92"/>
      <c r="K1110" s="92"/>
      <c r="L1110" s="92"/>
      <c r="M1110" s="92"/>
      <c r="N1110" s="97">
        <v>0</v>
      </c>
      <c r="O1110" s="97">
        <v>10</v>
      </c>
      <c r="P1110" s="98">
        <f>SUM(SamplingData[[#This Row],[Winning Candidate]:[Under Votes]])</f>
        <v>195</v>
      </c>
      <c r="Q1110" s="99">
        <f>IF(AND(SamplingData[[#This Row],[Total]]&lt;&gt; 0, NOT(ISBLANK(SamplingData[[#This Row],[Losing Candidate]]))),(SamplingData[[#This Row],[Total]]+SamplingData[[#This Row],[Winning Candidate]]-SamplingData[[#This Row],[Losing Candidate]])/(SamplingData[[#Totals],[Winning Candidate]]-SamplingData[[#Totals],[Losing Candidate]]), 0)</f>
        <v>7.3841453063995923E-3</v>
      </c>
      <c r="R1110" s="99">
        <f>IF(AND(SamplingData[[#This Row],[Total]]&lt;&gt; 0, NOT(ISBLANK(SamplingData[[#This Row],[Candidate 3]]))),(SamplingData[[#This Row],[Total]]+SamplingData[[#This Row],[Winning Candidate]]-SamplingData[[#This Row],[Candidate 3]])/(SamplingData[[#Totals],[Winning Candidate]]-SamplingData[[#Totals],[Candidate 3]]), 0)</f>
        <v>0</v>
      </c>
      <c r="S1110" s="99">
        <f>IF(AND(SamplingData[[#This Row],[Total]]&lt;&gt; 0, NOT(ISBLANK(SamplingData[[#This Row],[Candidate 4]]))),(SamplingData[[#This Row],[Total]]+SamplingData[[#This Row],[Winning Candidate]]-SamplingData[[#This Row],[Candidate 4]])/(SamplingData[[#Totals],[Winning Candidate]]-SamplingData[[#Totals],[Candidate 4]]), 0)</f>
        <v>0</v>
      </c>
      <c r="T1110" s="99">
        <f>IF(AND(SamplingData[[#This Row],[Total]]&lt;&gt; 0, NOT(ISBLANK(SamplingData[[#This Row],[Candidate 5]]))),(SamplingData[[#This Row],[Total]]+SamplingData[[#This Row],[Winning Candidate]]-SamplingData[[#This Row],[Candidate 5]])/(SamplingData[[#Totals],[Winning Candidate]]-SamplingData[[#Totals],[Candidate 5]]), 0)</f>
        <v>0</v>
      </c>
      <c r="U1110" s="99">
        <f>IF(AND(SamplingData[[#This Row],[Total]]&lt;&gt; 0, NOT(ISBLANK(SamplingData[[#This Row],[Candidate 6]]))),(SamplingData[[#This Row],[Total]]+SamplingData[[#This Row],[Losing Candidate]]-SamplingData[[#This Row],[Candidate 6]])/(SamplingData[[#Totals],[Winning Candidate]]-SamplingData[[#Totals],[Candidate 6]]), 0)</f>
        <v>0</v>
      </c>
      <c r="V1110" s="99">
        <f>IF(AND(SamplingData[[#This Row],[Total]]&lt;&gt; 0, NOT(ISBLANK(SamplingData[[#This Row],[Candidate 7]]))),(SamplingData[[#This Row],[Total]]+SamplingData[[#This Row],[Winning Candidate]]-SamplingData[[#This Row],[Candidate 7]])/(SamplingData[[#Totals],[Winning Candidate]]-SamplingData[[#Totals],[Candidate 7]]), 0)</f>
        <v>0</v>
      </c>
      <c r="W1110" s="99">
        <f>IF(AND(SamplingData[[#This Row],[Total]]&lt;&gt; 0, NOT(ISBLANK(SamplingData[[#This Row],[Candidate 8]]))),(SamplingData[[#This Row],[Total]]+SamplingData[[#This Row],[Winning Candidate]]-SamplingData[[#This Row],[Candidate 8]])/(SamplingData[[#Totals],[Winning Candidate]]-SamplingData[[#Totals],[Candidate 8]]), 0)</f>
        <v>0</v>
      </c>
      <c r="X11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0" s="99">
        <f>MAX(SamplingData[[#This Row],[Error Bound (up) - Max. possible relative overstatement - Losing Candidate]:[Error Bound (up) - Max. possible relative overstatement - Candidate 12]])</f>
        <v>7.3841453063995923E-3</v>
      </c>
      <c r="AC1110" s="99">
        <f>IF(SamplingData[[#This Row],[Max Error Bound (up)]] = 0,0,SamplingData[[#This Row],[Max Error Bound (up)]]/SamplingData[[#Totals],[Max Error Bound (up)]])</f>
        <v>3.953539099138406E-4</v>
      </c>
      <c r="AD1110" s="103">
        <f>SUM($AC$5:AC1110)</f>
        <v>0.98349056603773843</v>
      </c>
      <c r="AE1110" s="99" t="str" cm="1">
        <f t="array" ref="AE1110">IF(SamplingData[[#This Row],[up/U Selection Probability]] = 0, "Zero", TEXT(SamplingData[[#This Row],[Lower Range]], REPT("0",LEN('General Info'!$B$42))) &amp; " - " &amp; TEXT(SamplingData[[#This Row],[Upper Range]], REPT("0",LEN('General Info'!$B$42))))</f>
        <v>983095 - 983490</v>
      </c>
      <c r="AF1110" s="99">
        <f>SamplingData[[#This Row],[Upper Range]]-SamplingData[[#This Row],[Span]]</f>
        <v>983095.21212782466</v>
      </c>
      <c r="AG1110" s="99">
        <f>IF(ISNUMBER('General Info'!$B$42), ((SamplingData[[#This Row],[up/U Selection Probability]]) * 'General Info'!$B$44) - 1, 0)</f>
        <v>394.3539099138406</v>
      </c>
      <c r="AH1110" s="99">
        <f>IF(ISNUMBER('General Info'!$B$42), (SamplingData[[#This Row],[Running (cumulative) sum]] * ('General Info'!$B$42 -'General Info'!$B$43 + 1)) + 'General Info'!$B$43 - 1, 0)</f>
        <v>983489.56603773846</v>
      </c>
      <c r="AI1110" s="99" t="str">
        <f>IF(ISERROR(MATCH(SamplingData[[#This Row],[Batch by Type (p)]],SelectedPrecincts[Batch Name], 0)), "", INDEX(SelectedPrecincts[Draw], MATCH(SamplingData[[#This Row],[Batch by Type (p)]],SelectedPrecincts[Batch Name], 0)))</f>
        <v/>
      </c>
      <c r="AJ1110" s="100">
        <f>IF(COUNTIF(SelectedPrecincts[Batch Name],SamplingData[[#This Row],[Batch by Type (p)]]) &lt;&gt; 0, COUNTIF(SelectedPrecincts[Batch Name],SamplingData[[#This Row],[Batch by Type (p)]]), 0)</f>
        <v>0</v>
      </c>
    </row>
    <row r="1111" spans="1:36" ht="15" customHeight="1" x14ac:dyDescent="0.35">
      <c r="A1111" s="97" t="s">
        <v>1324</v>
      </c>
      <c r="B1111" s="97">
        <v>208</v>
      </c>
      <c r="C1111" s="97">
        <v>260</v>
      </c>
      <c r="D1111" s="92"/>
      <c r="E1111" s="92"/>
      <c r="F1111" s="92"/>
      <c r="G1111" s="96"/>
      <c r="H1111" s="96"/>
      <c r="I1111" s="92"/>
      <c r="J1111" s="92"/>
      <c r="K1111" s="92"/>
      <c r="L1111" s="92"/>
      <c r="M1111" s="92"/>
      <c r="N1111" s="97">
        <v>0</v>
      </c>
      <c r="O1111" s="97">
        <v>30</v>
      </c>
      <c r="P1111" s="98">
        <f>SUM(SamplingData[[#This Row],[Winning Candidate]:[Under Votes]])</f>
        <v>498</v>
      </c>
      <c r="Q1111" s="99">
        <f>IF(AND(SamplingData[[#This Row],[Total]]&lt;&gt; 0, NOT(ISBLANK(SamplingData[[#This Row],[Losing Candidate]]))),(SamplingData[[#This Row],[Total]]+SamplingData[[#This Row],[Winning Candidate]]-SamplingData[[#This Row],[Losing Candidate]])/(SamplingData[[#Totals],[Winning Candidate]]-SamplingData[[#Totals],[Losing Candidate]]), 0)</f>
        <v>1.8927177049736888E-2</v>
      </c>
      <c r="R1111" s="99">
        <f>IF(AND(SamplingData[[#This Row],[Total]]&lt;&gt; 0, NOT(ISBLANK(SamplingData[[#This Row],[Candidate 3]]))),(SamplingData[[#This Row],[Total]]+SamplingData[[#This Row],[Winning Candidate]]-SamplingData[[#This Row],[Candidate 3]])/(SamplingData[[#Totals],[Winning Candidate]]-SamplingData[[#Totals],[Candidate 3]]), 0)</f>
        <v>0</v>
      </c>
      <c r="S1111" s="99">
        <f>IF(AND(SamplingData[[#This Row],[Total]]&lt;&gt; 0, NOT(ISBLANK(SamplingData[[#This Row],[Candidate 4]]))),(SamplingData[[#This Row],[Total]]+SamplingData[[#This Row],[Winning Candidate]]-SamplingData[[#This Row],[Candidate 4]])/(SamplingData[[#Totals],[Winning Candidate]]-SamplingData[[#Totals],[Candidate 4]]), 0)</f>
        <v>0</v>
      </c>
      <c r="T1111" s="99">
        <f>IF(AND(SamplingData[[#This Row],[Total]]&lt;&gt; 0, NOT(ISBLANK(SamplingData[[#This Row],[Candidate 5]]))),(SamplingData[[#This Row],[Total]]+SamplingData[[#This Row],[Winning Candidate]]-SamplingData[[#This Row],[Candidate 5]])/(SamplingData[[#Totals],[Winning Candidate]]-SamplingData[[#Totals],[Candidate 5]]), 0)</f>
        <v>0</v>
      </c>
      <c r="U1111" s="99">
        <f>IF(AND(SamplingData[[#This Row],[Total]]&lt;&gt; 0, NOT(ISBLANK(SamplingData[[#This Row],[Candidate 6]]))),(SamplingData[[#This Row],[Total]]+SamplingData[[#This Row],[Losing Candidate]]-SamplingData[[#This Row],[Candidate 6]])/(SamplingData[[#Totals],[Winning Candidate]]-SamplingData[[#Totals],[Candidate 6]]), 0)</f>
        <v>0</v>
      </c>
      <c r="V1111" s="99">
        <f>IF(AND(SamplingData[[#This Row],[Total]]&lt;&gt; 0, NOT(ISBLANK(SamplingData[[#This Row],[Candidate 7]]))),(SamplingData[[#This Row],[Total]]+SamplingData[[#This Row],[Winning Candidate]]-SamplingData[[#This Row],[Candidate 7]])/(SamplingData[[#Totals],[Winning Candidate]]-SamplingData[[#Totals],[Candidate 7]]), 0)</f>
        <v>0</v>
      </c>
      <c r="W1111" s="99">
        <f>IF(AND(SamplingData[[#This Row],[Total]]&lt;&gt; 0, NOT(ISBLANK(SamplingData[[#This Row],[Candidate 8]]))),(SamplingData[[#This Row],[Total]]+SamplingData[[#This Row],[Winning Candidate]]-SamplingData[[#This Row],[Candidate 8]])/(SamplingData[[#Totals],[Winning Candidate]]-SamplingData[[#Totals],[Candidate 8]]), 0)</f>
        <v>0</v>
      </c>
      <c r="X11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1" s="99">
        <f>MAX(SamplingData[[#This Row],[Error Bound (up) - Max. possible relative overstatement - Losing Candidate]:[Error Bound (up) - Max. possible relative overstatement - Candidate 12]])</f>
        <v>1.8927177049736888E-2</v>
      </c>
      <c r="AC1111" s="99">
        <f>IF(SamplingData[[#This Row],[Max Error Bound (up)]] = 0,0,SamplingData[[#This Row],[Max Error Bound (up)]]/SamplingData[[#Totals],[Max Error Bound (up)]])</f>
        <v>1.0133784127676604E-3</v>
      </c>
      <c r="AD1111" s="103">
        <f>SUM($AC$5:AC1111)</f>
        <v>0.98450394445050604</v>
      </c>
      <c r="AE1111" s="99" t="str" cm="1">
        <f t="array" ref="AE1111">IF(SamplingData[[#This Row],[up/U Selection Probability]] = 0, "Zero", TEXT(SamplingData[[#This Row],[Lower Range]], REPT("0",LEN('General Info'!$B$42))) &amp; " - " &amp; TEXT(SamplingData[[#This Row],[Upper Range]], REPT("0",LEN('General Info'!$B$42))))</f>
        <v>983491 - 984503</v>
      </c>
      <c r="AF1111" s="99">
        <f>SamplingData[[#This Row],[Upper Range]]-SamplingData[[#This Row],[Span]]</f>
        <v>983490.56603773835</v>
      </c>
      <c r="AG1111" s="99">
        <f>IF(ISNUMBER('General Info'!$B$42), ((SamplingData[[#This Row],[up/U Selection Probability]]) * 'General Info'!$B$44) - 1, 0)</f>
        <v>1012.3784127676604</v>
      </c>
      <c r="AH1111" s="99">
        <f>IF(ISNUMBER('General Info'!$B$42), (SamplingData[[#This Row],[Running (cumulative) sum]] * ('General Info'!$B$42 -'General Info'!$B$43 + 1)) + 'General Info'!$B$43 - 1, 0)</f>
        <v>984502.94445050601</v>
      </c>
      <c r="AI1111" s="99" t="str">
        <f>IF(ISERROR(MATCH(SamplingData[[#This Row],[Batch by Type (p)]],SelectedPrecincts[Batch Name], 0)), "", INDEX(SelectedPrecincts[Draw], MATCH(SamplingData[[#This Row],[Batch by Type (p)]],SelectedPrecincts[Batch Name], 0)))</f>
        <v/>
      </c>
      <c r="AJ1111" s="100">
        <f>IF(COUNTIF(SelectedPrecincts[Batch Name],SamplingData[[#This Row],[Batch by Type (p)]]) &lt;&gt; 0, COUNTIF(SelectedPrecincts[Batch Name],SamplingData[[#This Row],[Batch by Type (p)]]), 0)</f>
        <v>0</v>
      </c>
    </row>
    <row r="1112" spans="1:36" ht="15" customHeight="1" x14ac:dyDescent="0.35">
      <c r="A1112" s="97" t="s">
        <v>1325</v>
      </c>
      <c r="B1112" s="97">
        <v>203</v>
      </c>
      <c r="C1112" s="97">
        <v>381</v>
      </c>
      <c r="D1112" s="92"/>
      <c r="E1112" s="92"/>
      <c r="F1112" s="92"/>
      <c r="G1112" s="96"/>
      <c r="H1112" s="96"/>
      <c r="I1112" s="92"/>
      <c r="J1112" s="92"/>
      <c r="K1112" s="92"/>
      <c r="L1112" s="92"/>
      <c r="M1112" s="92"/>
      <c r="N1112" s="97">
        <v>0</v>
      </c>
      <c r="O1112" s="97">
        <v>56</v>
      </c>
      <c r="P1112" s="98">
        <f>SUM(SamplingData[[#This Row],[Winning Candidate]:[Under Votes]])</f>
        <v>640</v>
      </c>
      <c r="Q1112" s="99">
        <f>IF(AND(SamplingData[[#This Row],[Total]]&lt;&gt; 0, NOT(ISBLANK(SamplingData[[#This Row],[Losing Candidate]]))),(SamplingData[[#This Row],[Total]]+SamplingData[[#This Row],[Winning Candidate]]-SamplingData[[#This Row],[Losing Candidate]])/(SamplingData[[#Totals],[Winning Candidate]]-SamplingData[[#Totals],[Losing Candidate]]), 0)</f>
        <v>1.9606178916992022E-2</v>
      </c>
      <c r="R1112" s="99">
        <f>IF(AND(SamplingData[[#This Row],[Total]]&lt;&gt; 0, NOT(ISBLANK(SamplingData[[#This Row],[Candidate 3]]))),(SamplingData[[#This Row],[Total]]+SamplingData[[#This Row],[Winning Candidate]]-SamplingData[[#This Row],[Candidate 3]])/(SamplingData[[#Totals],[Winning Candidate]]-SamplingData[[#Totals],[Candidate 3]]), 0)</f>
        <v>0</v>
      </c>
      <c r="S1112" s="99">
        <f>IF(AND(SamplingData[[#This Row],[Total]]&lt;&gt; 0, NOT(ISBLANK(SamplingData[[#This Row],[Candidate 4]]))),(SamplingData[[#This Row],[Total]]+SamplingData[[#This Row],[Winning Candidate]]-SamplingData[[#This Row],[Candidate 4]])/(SamplingData[[#Totals],[Winning Candidate]]-SamplingData[[#Totals],[Candidate 4]]), 0)</f>
        <v>0</v>
      </c>
      <c r="T1112" s="99">
        <f>IF(AND(SamplingData[[#This Row],[Total]]&lt;&gt; 0, NOT(ISBLANK(SamplingData[[#This Row],[Candidate 5]]))),(SamplingData[[#This Row],[Total]]+SamplingData[[#This Row],[Winning Candidate]]-SamplingData[[#This Row],[Candidate 5]])/(SamplingData[[#Totals],[Winning Candidate]]-SamplingData[[#Totals],[Candidate 5]]), 0)</f>
        <v>0</v>
      </c>
      <c r="U1112" s="99">
        <f>IF(AND(SamplingData[[#This Row],[Total]]&lt;&gt; 0, NOT(ISBLANK(SamplingData[[#This Row],[Candidate 6]]))),(SamplingData[[#This Row],[Total]]+SamplingData[[#This Row],[Losing Candidate]]-SamplingData[[#This Row],[Candidate 6]])/(SamplingData[[#Totals],[Winning Candidate]]-SamplingData[[#Totals],[Candidate 6]]), 0)</f>
        <v>0</v>
      </c>
      <c r="V1112" s="99">
        <f>IF(AND(SamplingData[[#This Row],[Total]]&lt;&gt; 0, NOT(ISBLANK(SamplingData[[#This Row],[Candidate 7]]))),(SamplingData[[#This Row],[Total]]+SamplingData[[#This Row],[Winning Candidate]]-SamplingData[[#This Row],[Candidate 7]])/(SamplingData[[#Totals],[Winning Candidate]]-SamplingData[[#Totals],[Candidate 7]]), 0)</f>
        <v>0</v>
      </c>
      <c r="W1112" s="99">
        <f>IF(AND(SamplingData[[#This Row],[Total]]&lt;&gt; 0, NOT(ISBLANK(SamplingData[[#This Row],[Candidate 8]]))),(SamplingData[[#This Row],[Total]]+SamplingData[[#This Row],[Winning Candidate]]-SamplingData[[#This Row],[Candidate 8]])/(SamplingData[[#Totals],[Winning Candidate]]-SamplingData[[#Totals],[Candidate 8]]), 0)</f>
        <v>0</v>
      </c>
      <c r="X11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2" s="99">
        <f>MAX(SamplingData[[#This Row],[Error Bound (up) - Max. possible relative overstatement - Losing Candidate]:[Error Bound (up) - Max. possible relative overstatement - Candidate 12]])</f>
        <v>1.9606178916992022E-2</v>
      </c>
      <c r="AC1112" s="99">
        <f>IF(SamplingData[[#This Row],[Max Error Bound (up)]] = 0,0,SamplingData[[#This Row],[Max Error Bound (up)]]/SamplingData[[#Totals],[Max Error Bound (up)]])</f>
        <v>1.0497327952884734E-3</v>
      </c>
      <c r="AD1112" s="103">
        <f>SUM($AC$5:AC1112)</f>
        <v>0.98555367724579457</v>
      </c>
      <c r="AE1112" s="99" t="str" cm="1">
        <f t="array" ref="AE1112">IF(SamplingData[[#This Row],[up/U Selection Probability]] = 0, "Zero", TEXT(SamplingData[[#This Row],[Lower Range]], REPT("0",LEN('General Info'!$B$42))) &amp; " - " &amp; TEXT(SamplingData[[#This Row],[Upper Range]], REPT("0",LEN('General Info'!$B$42))))</f>
        <v>984504 - 985553</v>
      </c>
      <c r="AF1112" s="99">
        <f>SamplingData[[#This Row],[Upper Range]]-SamplingData[[#This Row],[Span]]</f>
        <v>984503.94445050613</v>
      </c>
      <c r="AG1112" s="99">
        <f>IF(ISNUMBER('General Info'!$B$42), ((SamplingData[[#This Row],[up/U Selection Probability]]) * 'General Info'!$B$44) - 1, 0)</f>
        <v>1048.7327952884734</v>
      </c>
      <c r="AH1112" s="99">
        <f>IF(ISNUMBER('General Info'!$B$42), (SamplingData[[#This Row],[Running (cumulative) sum]] * ('General Info'!$B$42 -'General Info'!$B$43 + 1)) + 'General Info'!$B$43 - 1, 0)</f>
        <v>985552.67724579456</v>
      </c>
      <c r="AI1112" s="99" t="str">
        <f>IF(ISERROR(MATCH(SamplingData[[#This Row],[Batch by Type (p)]],SelectedPrecincts[Batch Name], 0)), "", INDEX(SelectedPrecincts[Draw], MATCH(SamplingData[[#This Row],[Batch by Type (p)]],SelectedPrecincts[Batch Name], 0)))</f>
        <v/>
      </c>
      <c r="AJ1112" s="100">
        <f>IF(COUNTIF(SelectedPrecincts[Batch Name],SamplingData[[#This Row],[Batch by Type (p)]]) &lt;&gt; 0, COUNTIF(SelectedPrecincts[Batch Name],SamplingData[[#This Row],[Batch by Type (p)]]), 0)</f>
        <v>0</v>
      </c>
    </row>
    <row r="1113" spans="1:36" ht="15" customHeight="1" x14ac:dyDescent="0.35">
      <c r="A1113" s="97" t="s">
        <v>1326</v>
      </c>
      <c r="B1113" s="97">
        <v>208</v>
      </c>
      <c r="C1113" s="97">
        <v>210</v>
      </c>
      <c r="D1113" s="92"/>
      <c r="E1113" s="92"/>
      <c r="F1113" s="92"/>
      <c r="G1113" s="96"/>
      <c r="H1113" s="96"/>
      <c r="I1113" s="92"/>
      <c r="J1113" s="92"/>
      <c r="K1113" s="92"/>
      <c r="L1113" s="92"/>
      <c r="M1113" s="92"/>
      <c r="N1113" s="97">
        <v>0</v>
      </c>
      <c r="O1113" s="97">
        <v>29</v>
      </c>
      <c r="P1113" s="98">
        <f>SUM(SamplingData[[#This Row],[Winning Candidate]:[Under Votes]])</f>
        <v>447</v>
      </c>
      <c r="Q1113" s="99">
        <f>IF(AND(SamplingData[[#This Row],[Total]]&lt;&gt; 0, NOT(ISBLANK(SamplingData[[#This Row],[Losing Candidate]]))),(SamplingData[[#This Row],[Total]]+SamplingData[[#This Row],[Winning Candidate]]-SamplingData[[#This Row],[Losing Candidate]])/(SamplingData[[#Totals],[Winning Candidate]]-SamplingData[[#Totals],[Losing Candidate]]), 0)</f>
        <v>1.888473943303344E-2</v>
      </c>
      <c r="R1113" s="99">
        <f>IF(AND(SamplingData[[#This Row],[Total]]&lt;&gt; 0, NOT(ISBLANK(SamplingData[[#This Row],[Candidate 3]]))),(SamplingData[[#This Row],[Total]]+SamplingData[[#This Row],[Winning Candidate]]-SamplingData[[#This Row],[Candidate 3]])/(SamplingData[[#Totals],[Winning Candidate]]-SamplingData[[#Totals],[Candidate 3]]), 0)</f>
        <v>0</v>
      </c>
      <c r="S1113" s="99">
        <f>IF(AND(SamplingData[[#This Row],[Total]]&lt;&gt; 0, NOT(ISBLANK(SamplingData[[#This Row],[Candidate 4]]))),(SamplingData[[#This Row],[Total]]+SamplingData[[#This Row],[Winning Candidate]]-SamplingData[[#This Row],[Candidate 4]])/(SamplingData[[#Totals],[Winning Candidate]]-SamplingData[[#Totals],[Candidate 4]]), 0)</f>
        <v>0</v>
      </c>
      <c r="T1113" s="99">
        <f>IF(AND(SamplingData[[#This Row],[Total]]&lt;&gt; 0, NOT(ISBLANK(SamplingData[[#This Row],[Candidate 5]]))),(SamplingData[[#This Row],[Total]]+SamplingData[[#This Row],[Winning Candidate]]-SamplingData[[#This Row],[Candidate 5]])/(SamplingData[[#Totals],[Winning Candidate]]-SamplingData[[#Totals],[Candidate 5]]), 0)</f>
        <v>0</v>
      </c>
      <c r="U1113" s="99">
        <f>IF(AND(SamplingData[[#This Row],[Total]]&lt;&gt; 0, NOT(ISBLANK(SamplingData[[#This Row],[Candidate 6]]))),(SamplingData[[#This Row],[Total]]+SamplingData[[#This Row],[Losing Candidate]]-SamplingData[[#This Row],[Candidate 6]])/(SamplingData[[#Totals],[Winning Candidate]]-SamplingData[[#Totals],[Candidate 6]]), 0)</f>
        <v>0</v>
      </c>
      <c r="V1113" s="99">
        <f>IF(AND(SamplingData[[#This Row],[Total]]&lt;&gt; 0, NOT(ISBLANK(SamplingData[[#This Row],[Candidate 7]]))),(SamplingData[[#This Row],[Total]]+SamplingData[[#This Row],[Winning Candidate]]-SamplingData[[#This Row],[Candidate 7]])/(SamplingData[[#Totals],[Winning Candidate]]-SamplingData[[#Totals],[Candidate 7]]), 0)</f>
        <v>0</v>
      </c>
      <c r="W1113" s="99">
        <f>IF(AND(SamplingData[[#This Row],[Total]]&lt;&gt; 0, NOT(ISBLANK(SamplingData[[#This Row],[Candidate 8]]))),(SamplingData[[#This Row],[Total]]+SamplingData[[#This Row],[Winning Candidate]]-SamplingData[[#This Row],[Candidate 8]])/(SamplingData[[#Totals],[Winning Candidate]]-SamplingData[[#Totals],[Candidate 8]]), 0)</f>
        <v>0</v>
      </c>
      <c r="X11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3" s="99">
        <f>MAX(SamplingData[[#This Row],[Error Bound (up) - Max. possible relative overstatement - Losing Candidate]:[Error Bound (up) - Max. possible relative overstatement - Candidate 12]])</f>
        <v>1.888473943303344E-2</v>
      </c>
      <c r="AC1113" s="99">
        <f>IF(SamplingData[[#This Row],[Max Error Bound (up)]] = 0,0,SamplingData[[#This Row],[Max Error Bound (up)]]/SamplingData[[#Totals],[Max Error Bound (up)]])</f>
        <v>1.0111062638601097E-3</v>
      </c>
      <c r="AD1113" s="103">
        <f>SUM($AC$5:AC1113)</f>
        <v>0.98656478350965471</v>
      </c>
      <c r="AE1113" s="99" t="str" cm="1">
        <f t="array" ref="AE1113">IF(SamplingData[[#This Row],[up/U Selection Probability]] = 0, "Zero", TEXT(SamplingData[[#This Row],[Lower Range]], REPT("0",LEN('General Info'!$B$42))) &amp; " - " &amp; TEXT(SamplingData[[#This Row],[Upper Range]], REPT("0",LEN('General Info'!$B$42))))</f>
        <v>985554 - 986564</v>
      </c>
      <c r="AF1113" s="99">
        <f>SamplingData[[#This Row],[Upper Range]]-SamplingData[[#This Row],[Span]]</f>
        <v>985553.67724579456</v>
      </c>
      <c r="AG1113" s="99">
        <f>IF(ISNUMBER('General Info'!$B$42), ((SamplingData[[#This Row],[up/U Selection Probability]]) * 'General Info'!$B$44) - 1, 0)</f>
        <v>1010.1062638601096</v>
      </c>
      <c r="AH1113" s="99">
        <f>IF(ISNUMBER('General Info'!$B$42), (SamplingData[[#This Row],[Running (cumulative) sum]] * ('General Info'!$B$42 -'General Info'!$B$43 + 1)) + 'General Info'!$B$43 - 1, 0)</f>
        <v>986563.78350965469</v>
      </c>
      <c r="AI1113" s="99" t="str">
        <f>IF(ISERROR(MATCH(SamplingData[[#This Row],[Batch by Type (p)]],SelectedPrecincts[Batch Name], 0)), "", INDEX(SelectedPrecincts[Draw], MATCH(SamplingData[[#This Row],[Batch by Type (p)]],SelectedPrecincts[Batch Name], 0)))</f>
        <v/>
      </c>
      <c r="AJ1113" s="100">
        <f>IF(COUNTIF(SelectedPrecincts[Batch Name],SamplingData[[#This Row],[Batch by Type (p)]]) &lt;&gt; 0, COUNTIF(SelectedPrecincts[Batch Name],SamplingData[[#This Row],[Batch by Type (p)]]), 0)</f>
        <v>0</v>
      </c>
    </row>
    <row r="1114" spans="1:36" ht="15" customHeight="1" x14ac:dyDescent="0.35">
      <c r="A1114" s="97" t="s">
        <v>1327</v>
      </c>
      <c r="B1114" s="97">
        <v>172</v>
      </c>
      <c r="C1114" s="97">
        <v>266</v>
      </c>
      <c r="D1114" s="92"/>
      <c r="E1114" s="92"/>
      <c r="F1114" s="92"/>
      <c r="G1114" s="96"/>
      <c r="H1114" s="96"/>
      <c r="I1114" s="92"/>
      <c r="J1114" s="92"/>
      <c r="K1114" s="92"/>
      <c r="L1114" s="92"/>
      <c r="M1114" s="92"/>
      <c r="N1114" s="97">
        <v>0</v>
      </c>
      <c r="O1114" s="97">
        <v>43</v>
      </c>
      <c r="P1114" s="98">
        <f>SUM(SamplingData[[#This Row],[Winning Candidate]:[Under Votes]])</f>
        <v>481</v>
      </c>
      <c r="Q1114" s="99">
        <f>IF(AND(SamplingData[[#This Row],[Total]]&lt;&gt; 0, NOT(ISBLANK(SamplingData[[#This Row],[Losing Candidate]]))),(SamplingData[[#This Row],[Total]]+SamplingData[[#This Row],[Winning Candidate]]-SamplingData[[#This Row],[Losing Candidate]])/(SamplingData[[#Totals],[Winning Candidate]]-SamplingData[[#Totals],[Losing Candidate]]), 0)</f>
        <v>1.6423357664233577E-2</v>
      </c>
      <c r="R1114" s="99">
        <f>IF(AND(SamplingData[[#This Row],[Total]]&lt;&gt; 0, NOT(ISBLANK(SamplingData[[#This Row],[Candidate 3]]))),(SamplingData[[#This Row],[Total]]+SamplingData[[#This Row],[Winning Candidate]]-SamplingData[[#This Row],[Candidate 3]])/(SamplingData[[#Totals],[Winning Candidate]]-SamplingData[[#Totals],[Candidate 3]]), 0)</f>
        <v>0</v>
      </c>
      <c r="S1114" s="99">
        <f>IF(AND(SamplingData[[#This Row],[Total]]&lt;&gt; 0, NOT(ISBLANK(SamplingData[[#This Row],[Candidate 4]]))),(SamplingData[[#This Row],[Total]]+SamplingData[[#This Row],[Winning Candidate]]-SamplingData[[#This Row],[Candidate 4]])/(SamplingData[[#Totals],[Winning Candidate]]-SamplingData[[#Totals],[Candidate 4]]), 0)</f>
        <v>0</v>
      </c>
      <c r="T1114" s="99">
        <f>IF(AND(SamplingData[[#This Row],[Total]]&lt;&gt; 0, NOT(ISBLANK(SamplingData[[#This Row],[Candidate 5]]))),(SamplingData[[#This Row],[Total]]+SamplingData[[#This Row],[Winning Candidate]]-SamplingData[[#This Row],[Candidate 5]])/(SamplingData[[#Totals],[Winning Candidate]]-SamplingData[[#Totals],[Candidate 5]]), 0)</f>
        <v>0</v>
      </c>
      <c r="U1114" s="99">
        <f>IF(AND(SamplingData[[#This Row],[Total]]&lt;&gt; 0, NOT(ISBLANK(SamplingData[[#This Row],[Candidate 6]]))),(SamplingData[[#This Row],[Total]]+SamplingData[[#This Row],[Losing Candidate]]-SamplingData[[#This Row],[Candidate 6]])/(SamplingData[[#Totals],[Winning Candidate]]-SamplingData[[#Totals],[Candidate 6]]), 0)</f>
        <v>0</v>
      </c>
      <c r="V1114" s="99">
        <f>IF(AND(SamplingData[[#This Row],[Total]]&lt;&gt; 0, NOT(ISBLANK(SamplingData[[#This Row],[Candidate 7]]))),(SamplingData[[#This Row],[Total]]+SamplingData[[#This Row],[Winning Candidate]]-SamplingData[[#This Row],[Candidate 7]])/(SamplingData[[#Totals],[Winning Candidate]]-SamplingData[[#Totals],[Candidate 7]]), 0)</f>
        <v>0</v>
      </c>
      <c r="W1114" s="99">
        <f>IF(AND(SamplingData[[#This Row],[Total]]&lt;&gt; 0, NOT(ISBLANK(SamplingData[[#This Row],[Candidate 8]]))),(SamplingData[[#This Row],[Total]]+SamplingData[[#This Row],[Winning Candidate]]-SamplingData[[#This Row],[Candidate 8]])/(SamplingData[[#Totals],[Winning Candidate]]-SamplingData[[#Totals],[Candidate 8]]), 0)</f>
        <v>0</v>
      </c>
      <c r="X11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4" s="99">
        <f>MAX(SamplingData[[#This Row],[Error Bound (up) - Max. possible relative overstatement - Losing Candidate]:[Error Bound (up) - Max. possible relative overstatement - Candidate 12]])</f>
        <v>1.6423357664233577E-2</v>
      </c>
      <c r="AC1114" s="99">
        <f>IF(SamplingData[[#This Row],[Max Error Bound (up)]] = 0,0,SamplingData[[#This Row],[Max Error Bound (up)]]/SamplingData[[#Totals],[Max Error Bound (up)]])</f>
        <v>8.7932162722216285E-4</v>
      </c>
      <c r="AD1114" s="103">
        <f>SUM($AC$5:AC1114)</f>
        <v>0.98744410513687686</v>
      </c>
      <c r="AE1114" s="99" t="str" cm="1">
        <f t="array" ref="AE1114">IF(SamplingData[[#This Row],[up/U Selection Probability]] = 0, "Zero", TEXT(SamplingData[[#This Row],[Lower Range]], REPT("0",LEN('General Info'!$B$42))) &amp; " - " &amp; TEXT(SamplingData[[#This Row],[Upper Range]], REPT("0",LEN('General Info'!$B$42))))</f>
        <v>986565 - 987443</v>
      </c>
      <c r="AF1114" s="99">
        <f>SamplingData[[#This Row],[Upper Range]]-SamplingData[[#This Row],[Span]]</f>
        <v>986564.78350965469</v>
      </c>
      <c r="AG1114" s="99">
        <f>IF(ISNUMBER('General Info'!$B$42), ((SamplingData[[#This Row],[up/U Selection Probability]]) * 'General Info'!$B$44) - 1, 0)</f>
        <v>878.32162722216287</v>
      </c>
      <c r="AH1114" s="99">
        <f>IF(ISNUMBER('General Info'!$B$42), (SamplingData[[#This Row],[Running (cumulative) sum]] * ('General Info'!$B$42 -'General Info'!$B$43 + 1)) + 'General Info'!$B$43 - 1, 0)</f>
        <v>987443.10513687681</v>
      </c>
      <c r="AI1114" s="99" t="str">
        <f>IF(ISERROR(MATCH(SamplingData[[#This Row],[Batch by Type (p)]],SelectedPrecincts[Batch Name], 0)), "", INDEX(SelectedPrecincts[Draw], MATCH(SamplingData[[#This Row],[Batch by Type (p)]],SelectedPrecincts[Batch Name], 0)))</f>
        <v/>
      </c>
      <c r="AJ1114" s="100">
        <f>IF(COUNTIF(SelectedPrecincts[Batch Name],SamplingData[[#This Row],[Batch by Type (p)]]) &lt;&gt; 0, COUNTIF(SelectedPrecincts[Batch Name],SamplingData[[#This Row],[Batch by Type (p)]]), 0)</f>
        <v>0</v>
      </c>
    </row>
    <row r="1115" spans="1:36" ht="15" customHeight="1" x14ac:dyDescent="0.35">
      <c r="A1115" s="97" t="s">
        <v>1328</v>
      </c>
      <c r="B1115" s="97">
        <v>238</v>
      </c>
      <c r="C1115" s="97">
        <v>333</v>
      </c>
      <c r="D1115" s="92"/>
      <c r="E1115" s="92"/>
      <c r="F1115" s="92"/>
      <c r="G1115" s="96"/>
      <c r="H1115" s="96"/>
      <c r="I1115" s="92"/>
      <c r="J1115" s="92"/>
      <c r="K1115" s="92"/>
      <c r="L1115" s="92"/>
      <c r="M1115" s="92"/>
      <c r="N1115" s="97">
        <v>0</v>
      </c>
      <c r="O1115" s="97">
        <v>60</v>
      </c>
      <c r="P1115" s="98">
        <f>SUM(SamplingData[[#This Row],[Winning Candidate]:[Under Votes]])</f>
        <v>631</v>
      </c>
      <c r="Q1115" s="99">
        <f>IF(AND(SamplingData[[#This Row],[Total]]&lt;&gt; 0, NOT(ISBLANK(SamplingData[[#This Row],[Losing Candidate]]))),(SamplingData[[#This Row],[Total]]+SamplingData[[#This Row],[Winning Candidate]]-SamplingData[[#This Row],[Losing Candidate]])/(SamplingData[[#Totals],[Winning Candidate]]-SamplingData[[#Totals],[Losing Candidate]]), 0)</f>
        <v>2.2746562553047019E-2</v>
      </c>
      <c r="R1115" s="99">
        <f>IF(AND(SamplingData[[#This Row],[Total]]&lt;&gt; 0, NOT(ISBLANK(SamplingData[[#This Row],[Candidate 3]]))),(SamplingData[[#This Row],[Total]]+SamplingData[[#This Row],[Winning Candidate]]-SamplingData[[#This Row],[Candidate 3]])/(SamplingData[[#Totals],[Winning Candidate]]-SamplingData[[#Totals],[Candidate 3]]), 0)</f>
        <v>0</v>
      </c>
      <c r="S1115" s="99">
        <f>IF(AND(SamplingData[[#This Row],[Total]]&lt;&gt; 0, NOT(ISBLANK(SamplingData[[#This Row],[Candidate 4]]))),(SamplingData[[#This Row],[Total]]+SamplingData[[#This Row],[Winning Candidate]]-SamplingData[[#This Row],[Candidate 4]])/(SamplingData[[#Totals],[Winning Candidate]]-SamplingData[[#Totals],[Candidate 4]]), 0)</f>
        <v>0</v>
      </c>
      <c r="T1115" s="99">
        <f>IF(AND(SamplingData[[#This Row],[Total]]&lt;&gt; 0, NOT(ISBLANK(SamplingData[[#This Row],[Candidate 5]]))),(SamplingData[[#This Row],[Total]]+SamplingData[[#This Row],[Winning Candidate]]-SamplingData[[#This Row],[Candidate 5]])/(SamplingData[[#Totals],[Winning Candidate]]-SamplingData[[#Totals],[Candidate 5]]), 0)</f>
        <v>0</v>
      </c>
      <c r="U1115" s="99">
        <f>IF(AND(SamplingData[[#This Row],[Total]]&lt;&gt; 0, NOT(ISBLANK(SamplingData[[#This Row],[Candidate 6]]))),(SamplingData[[#This Row],[Total]]+SamplingData[[#This Row],[Losing Candidate]]-SamplingData[[#This Row],[Candidate 6]])/(SamplingData[[#Totals],[Winning Candidate]]-SamplingData[[#Totals],[Candidate 6]]), 0)</f>
        <v>0</v>
      </c>
      <c r="V1115" s="99">
        <f>IF(AND(SamplingData[[#This Row],[Total]]&lt;&gt; 0, NOT(ISBLANK(SamplingData[[#This Row],[Candidate 7]]))),(SamplingData[[#This Row],[Total]]+SamplingData[[#This Row],[Winning Candidate]]-SamplingData[[#This Row],[Candidate 7]])/(SamplingData[[#Totals],[Winning Candidate]]-SamplingData[[#Totals],[Candidate 7]]), 0)</f>
        <v>0</v>
      </c>
      <c r="W1115" s="99">
        <f>IF(AND(SamplingData[[#This Row],[Total]]&lt;&gt; 0, NOT(ISBLANK(SamplingData[[#This Row],[Candidate 8]]))),(SamplingData[[#This Row],[Total]]+SamplingData[[#This Row],[Winning Candidate]]-SamplingData[[#This Row],[Candidate 8]])/(SamplingData[[#Totals],[Winning Candidate]]-SamplingData[[#Totals],[Candidate 8]]), 0)</f>
        <v>0</v>
      </c>
      <c r="X11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5" s="99">
        <f>MAX(SamplingData[[#This Row],[Error Bound (up) - Max. possible relative overstatement - Losing Candidate]:[Error Bound (up) - Max. possible relative overstatement - Candidate 12]])</f>
        <v>2.2746562553047019E-2</v>
      </c>
      <c r="AC1115" s="99">
        <f>IF(SamplingData[[#This Row],[Max Error Bound (up)]] = 0,0,SamplingData[[#This Row],[Max Error Bound (up)]]/SamplingData[[#Totals],[Max Error Bound (up)]])</f>
        <v>1.2178718144472331E-3</v>
      </c>
      <c r="AD1115" s="103">
        <f>SUM($AC$5:AC1115)</f>
        <v>0.98866197695132407</v>
      </c>
      <c r="AE1115" s="99" t="str" cm="1">
        <f t="array" ref="AE1115">IF(SamplingData[[#This Row],[up/U Selection Probability]] = 0, "Zero", TEXT(SamplingData[[#This Row],[Lower Range]], REPT("0",LEN('General Info'!$B$42))) &amp; " - " &amp; TEXT(SamplingData[[#This Row],[Upper Range]], REPT("0",LEN('General Info'!$B$42))))</f>
        <v>987444 - 988661</v>
      </c>
      <c r="AF1115" s="99">
        <f>SamplingData[[#This Row],[Upper Range]]-SamplingData[[#This Row],[Span]]</f>
        <v>987444.10513687681</v>
      </c>
      <c r="AG1115" s="99">
        <f>IF(ISNUMBER('General Info'!$B$42), ((SamplingData[[#This Row],[up/U Selection Probability]]) * 'General Info'!$B$44) - 1, 0)</f>
        <v>1216.8718144472332</v>
      </c>
      <c r="AH1115" s="99">
        <f>IF(ISNUMBER('General Info'!$B$42), (SamplingData[[#This Row],[Running (cumulative) sum]] * ('General Info'!$B$42 -'General Info'!$B$43 + 1)) + 'General Info'!$B$43 - 1, 0)</f>
        <v>988660.97695132403</v>
      </c>
      <c r="AI1115" s="99" t="str">
        <f>IF(ISERROR(MATCH(SamplingData[[#This Row],[Batch by Type (p)]],SelectedPrecincts[Batch Name], 0)), "", INDEX(SelectedPrecincts[Draw], MATCH(SamplingData[[#This Row],[Batch by Type (p)]],SelectedPrecincts[Batch Name], 0)))</f>
        <v/>
      </c>
      <c r="AJ1115" s="100">
        <f>IF(COUNTIF(SelectedPrecincts[Batch Name],SamplingData[[#This Row],[Batch by Type (p)]]) &lt;&gt; 0, COUNTIF(SelectedPrecincts[Batch Name],SamplingData[[#This Row],[Batch by Type (p)]]), 0)</f>
        <v>0</v>
      </c>
    </row>
    <row r="1116" spans="1:36" ht="15" customHeight="1" x14ac:dyDescent="0.35">
      <c r="A1116" s="97" t="s">
        <v>1329</v>
      </c>
      <c r="B1116" s="97">
        <v>141</v>
      </c>
      <c r="C1116" s="97">
        <v>153</v>
      </c>
      <c r="D1116" s="92"/>
      <c r="E1116" s="92"/>
      <c r="F1116" s="92"/>
      <c r="G1116" s="96"/>
      <c r="H1116" s="96"/>
      <c r="I1116" s="92"/>
      <c r="J1116" s="92"/>
      <c r="K1116" s="92"/>
      <c r="L1116" s="92"/>
      <c r="M1116" s="92"/>
      <c r="N1116" s="97">
        <v>0</v>
      </c>
      <c r="O1116" s="97">
        <v>15</v>
      </c>
      <c r="P1116" s="98">
        <f>SUM(SamplingData[[#This Row],[Winning Candidate]:[Under Votes]])</f>
        <v>309</v>
      </c>
      <c r="Q1116" s="99">
        <f>IF(AND(SamplingData[[#This Row],[Total]]&lt;&gt; 0, NOT(ISBLANK(SamplingData[[#This Row],[Losing Candidate]]))),(SamplingData[[#This Row],[Total]]+SamplingData[[#This Row],[Winning Candidate]]-SamplingData[[#This Row],[Losing Candidate]])/(SamplingData[[#Totals],[Winning Candidate]]-SamplingData[[#Totals],[Losing Candidate]]), 0)</f>
        <v>1.2603972160923443E-2</v>
      </c>
      <c r="R1116" s="99">
        <f>IF(AND(SamplingData[[#This Row],[Total]]&lt;&gt; 0, NOT(ISBLANK(SamplingData[[#This Row],[Candidate 3]]))),(SamplingData[[#This Row],[Total]]+SamplingData[[#This Row],[Winning Candidate]]-SamplingData[[#This Row],[Candidate 3]])/(SamplingData[[#Totals],[Winning Candidate]]-SamplingData[[#Totals],[Candidate 3]]), 0)</f>
        <v>0</v>
      </c>
      <c r="S1116" s="99">
        <f>IF(AND(SamplingData[[#This Row],[Total]]&lt;&gt; 0, NOT(ISBLANK(SamplingData[[#This Row],[Candidate 4]]))),(SamplingData[[#This Row],[Total]]+SamplingData[[#This Row],[Winning Candidate]]-SamplingData[[#This Row],[Candidate 4]])/(SamplingData[[#Totals],[Winning Candidate]]-SamplingData[[#Totals],[Candidate 4]]), 0)</f>
        <v>0</v>
      </c>
      <c r="T1116" s="99">
        <f>IF(AND(SamplingData[[#This Row],[Total]]&lt;&gt; 0, NOT(ISBLANK(SamplingData[[#This Row],[Candidate 5]]))),(SamplingData[[#This Row],[Total]]+SamplingData[[#This Row],[Winning Candidate]]-SamplingData[[#This Row],[Candidate 5]])/(SamplingData[[#Totals],[Winning Candidate]]-SamplingData[[#Totals],[Candidate 5]]), 0)</f>
        <v>0</v>
      </c>
      <c r="U1116" s="99">
        <f>IF(AND(SamplingData[[#This Row],[Total]]&lt;&gt; 0, NOT(ISBLANK(SamplingData[[#This Row],[Candidate 6]]))),(SamplingData[[#This Row],[Total]]+SamplingData[[#This Row],[Losing Candidate]]-SamplingData[[#This Row],[Candidate 6]])/(SamplingData[[#Totals],[Winning Candidate]]-SamplingData[[#Totals],[Candidate 6]]), 0)</f>
        <v>0</v>
      </c>
      <c r="V1116" s="99">
        <f>IF(AND(SamplingData[[#This Row],[Total]]&lt;&gt; 0, NOT(ISBLANK(SamplingData[[#This Row],[Candidate 7]]))),(SamplingData[[#This Row],[Total]]+SamplingData[[#This Row],[Winning Candidate]]-SamplingData[[#This Row],[Candidate 7]])/(SamplingData[[#Totals],[Winning Candidate]]-SamplingData[[#Totals],[Candidate 7]]), 0)</f>
        <v>0</v>
      </c>
      <c r="W1116" s="99">
        <f>IF(AND(SamplingData[[#This Row],[Total]]&lt;&gt; 0, NOT(ISBLANK(SamplingData[[#This Row],[Candidate 8]]))),(SamplingData[[#This Row],[Total]]+SamplingData[[#This Row],[Winning Candidate]]-SamplingData[[#This Row],[Candidate 8]])/(SamplingData[[#Totals],[Winning Candidate]]-SamplingData[[#Totals],[Candidate 8]]), 0)</f>
        <v>0</v>
      </c>
      <c r="X11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6" s="99">
        <f>MAX(SamplingData[[#This Row],[Error Bound (up) - Max. possible relative overstatement - Losing Candidate]:[Error Bound (up) - Max. possible relative overstatement - Candidate 12]])</f>
        <v>1.2603972160923443E-2</v>
      </c>
      <c r="AC1116" s="99">
        <f>IF(SamplingData[[#This Row],[Max Error Bound (up)]] = 0,0,SamplingData[[#This Row],[Max Error Bound (up)]]/SamplingData[[#Totals],[Max Error Bound (up)]])</f>
        <v>6.7482822554259007E-4</v>
      </c>
      <c r="AD1116" s="103">
        <f>SUM($AC$5:AC1116)</f>
        <v>0.98933680517686662</v>
      </c>
      <c r="AE1116" s="99" t="str" cm="1">
        <f t="array" ref="AE1116">IF(SamplingData[[#This Row],[up/U Selection Probability]] = 0, "Zero", TEXT(SamplingData[[#This Row],[Lower Range]], REPT("0",LEN('General Info'!$B$42))) &amp; " - " &amp; TEXT(SamplingData[[#This Row],[Upper Range]], REPT("0",LEN('General Info'!$B$42))))</f>
        <v>988662 - 989336</v>
      </c>
      <c r="AF1116" s="99">
        <f>SamplingData[[#This Row],[Upper Range]]-SamplingData[[#This Row],[Span]]</f>
        <v>988661.97695132403</v>
      </c>
      <c r="AG1116" s="99">
        <f>IF(ISNUMBER('General Info'!$B$42), ((SamplingData[[#This Row],[up/U Selection Probability]]) * 'General Info'!$B$44) - 1, 0)</f>
        <v>673.82822554259008</v>
      </c>
      <c r="AH1116" s="99">
        <f>IF(ISNUMBER('General Info'!$B$42), (SamplingData[[#This Row],[Running (cumulative) sum]] * ('General Info'!$B$42 -'General Info'!$B$43 + 1)) + 'General Info'!$B$43 - 1, 0)</f>
        <v>989335.80517686659</v>
      </c>
      <c r="AI1116" s="99" t="str">
        <f>IF(ISERROR(MATCH(SamplingData[[#This Row],[Batch by Type (p)]],SelectedPrecincts[Batch Name], 0)), "", INDEX(SelectedPrecincts[Draw], MATCH(SamplingData[[#This Row],[Batch by Type (p)]],SelectedPrecincts[Batch Name], 0)))</f>
        <v/>
      </c>
      <c r="AJ1116" s="100">
        <f>IF(COUNTIF(SelectedPrecincts[Batch Name],SamplingData[[#This Row],[Batch by Type (p)]]) &lt;&gt; 0, COUNTIF(SelectedPrecincts[Batch Name],SamplingData[[#This Row],[Batch by Type (p)]]), 0)</f>
        <v>0</v>
      </c>
    </row>
    <row r="1117" spans="1:36" ht="15" customHeight="1" x14ac:dyDescent="0.35">
      <c r="A1117" s="97" t="s">
        <v>1330</v>
      </c>
      <c r="B1117" s="97">
        <v>86</v>
      </c>
      <c r="C1117" s="97">
        <v>145</v>
      </c>
      <c r="D1117" s="92"/>
      <c r="E1117" s="92"/>
      <c r="F1117" s="92"/>
      <c r="G1117" s="96"/>
      <c r="H1117" s="96"/>
      <c r="I1117" s="92"/>
      <c r="J1117" s="92"/>
      <c r="K1117" s="92"/>
      <c r="L1117" s="92"/>
      <c r="M1117" s="92"/>
      <c r="N1117" s="97">
        <v>0</v>
      </c>
      <c r="O1117" s="97">
        <v>19</v>
      </c>
      <c r="P1117" s="98">
        <f>SUM(SamplingData[[#This Row],[Winning Candidate]:[Under Votes]])</f>
        <v>250</v>
      </c>
      <c r="Q1117" s="99">
        <f>IF(AND(SamplingData[[#This Row],[Total]]&lt;&gt; 0, NOT(ISBLANK(SamplingData[[#This Row],[Losing Candidate]]))),(SamplingData[[#This Row],[Total]]+SamplingData[[#This Row],[Winning Candidate]]-SamplingData[[#This Row],[Losing Candidate]])/(SamplingData[[#Totals],[Winning Candidate]]-SamplingData[[#Totals],[Losing Candidate]]), 0)</f>
        <v>8.1055847903581738E-3</v>
      </c>
      <c r="R1117" s="99">
        <f>IF(AND(SamplingData[[#This Row],[Total]]&lt;&gt; 0, NOT(ISBLANK(SamplingData[[#This Row],[Candidate 3]]))),(SamplingData[[#This Row],[Total]]+SamplingData[[#This Row],[Winning Candidate]]-SamplingData[[#This Row],[Candidate 3]])/(SamplingData[[#Totals],[Winning Candidate]]-SamplingData[[#Totals],[Candidate 3]]), 0)</f>
        <v>0</v>
      </c>
      <c r="S1117" s="99">
        <f>IF(AND(SamplingData[[#This Row],[Total]]&lt;&gt; 0, NOT(ISBLANK(SamplingData[[#This Row],[Candidate 4]]))),(SamplingData[[#This Row],[Total]]+SamplingData[[#This Row],[Winning Candidate]]-SamplingData[[#This Row],[Candidate 4]])/(SamplingData[[#Totals],[Winning Candidate]]-SamplingData[[#Totals],[Candidate 4]]), 0)</f>
        <v>0</v>
      </c>
      <c r="T1117" s="99">
        <f>IF(AND(SamplingData[[#This Row],[Total]]&lt;&gt; 0, NOT(ISBLANK(SamplingData[[#This Row],[Candidate 5]]))),(SamplingData[[#This Row],[Total]]+SamplingData[[#This Row],[Winning Candidate]]-SamplingData[[#This Row],[Candidate 5]])/(SamplingData[[#Totals],[Winning Candidate]]-SamplingData[[#Totals],[Candidate 5]]), 0)</f>
        <v>0</v>
      </c>
      <c r="U1117" s="99">
        <f>IF(AND(SamplingData[[#This Row],[Total]]&lt;&gt; 0, NOT(ISBLANK(SamplingData[[#This Row],[Candidate 6]]))),(SamplingData[[#This Row],[Total]]+SamplingData[[#This Row],[Losing Candidate]]-SamplingData[[#This Row],[Candidate 6]])/(SamplingData[[#Totals],[Winning Candidate]]-SamplingData[[#Totals],[Candidate 6]]), 0)</f>
        <v>0</v>
      </c>
      <c r="V1117" s="99">
        <f>IF(AND(SamplingData[[#This Row],[Total]]&lt;&gt; 0, NOT(ISBLANK(SamplingData[[#This Row],[Candidate 7]]))),(SamplingData[[#This Row],[Total]]+SamplingData[[#This Row],[Winning Candidate]]-SamplingData[[#This Row],[Candidate 7]])/(SamplingData[[#Totals],[Winning Candidate]]-SamplingData[[#Totals],[Candidate 7]]), 0)</f>
        <v>0</v>
      </c>
      <c r="W1117" s="99">
        <f>IF(AND(SamplingData[[#This Row],[Total]]&lt;&gt; 0, NOT(ISBLANK(SamplingData[[#This Row],[Candidate 8]]))),(SamplingData[[#This Row],[Total]]+SamplingData[[#This Row],[Winning Candidate]]-SamplingData[[#This Row],[Candidate 8]])/(SamplingData[[#Totals],[Winning Candidate]]-SamplingData[[#Totals],[Candidate 8]]), 0)</f>
        <v>0</v>
      </c>
      <c r="X11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7" s="99">
        <f>MAX(SamplingData[[#This Row],[Error Bound (up) - Max. possible relative overstatement - Losing Candidate]:[Error Bound (up) - Max. possible relative overstatement - Candidate 12]])</f>
        <v>8.1055847903581738E-3</v>
      </c>
      <c r="AC1117" s="99">
        <f>IF(SamplingData[[#This Row],[Max Error Bound (up)]] = 0,0,SamplingData[[#This Row],[Max Error Bound (up)]]/SamplingData[[#Totals],[Max Error Bound (up)]])</f>
        <v>4.3398044134220436E-4</v>
      </c>
      <c r="AD1117" s="103">
        <f>SUM($AC$5:AC1117)</f>
        <v>0.98977078561820886</v>
      </c>
      <c r="AE1117" s="99" t="str" cm="1">
        <f t="array" ref="AE1117">IF(SamplingData[[#This Row],[up/U Selection Probability]] = 0, "Zero", TEXT(SamplingData[[#This Row],[Lower Range]], REPT("0",LEN('General Info'!$B$42))) &amp; " - " &amp; TEXT(SamplingData[[#This Row],[Upper Range]], REPT("0",LEN('General Info'!$B$42))))</f>
        <v>989337 - 989770</v>
      </c>
      <c r="AF1117" s="99">
        <f>SamplingData[[#This Row],[Upper Range]]-SamplingData[[#This Row],[Span]]</f>
        <v>989336.80517686659</v>
      </c>
      <c r="AG1117" s="99">
        <f>IF(ISNUMBER('General Info'!$B$42), ((SamplingData[[#This Row],[up/U Selection Probability]]) * 'General Info'!$B$44) - 1, 0)</f>
        <v>432.98044134220436</v>
      </c>
      <c r="AH1117" s="99">
        <f>IF(ISNUMBER('General Info'!$B$42), (SamplingData[[#This Row],[Running (cumulative) sum]] * ('General Info'!$B$42 -'General Info'!$B$43 + 1)) + 'General Info'!$B$43 - 1, 0)</f>
        <v>989769.78561820881</v>
      </c>
      <c r="AI1117" s="99" t="str">
        <f>IF(ISERROR(MATCH(SamplingData[[#This Row],[Batch by Type (p)]],SelectedPrecincts[Batch Name], 0)), "", INDEX(SelectedPrecincts[Draw], MATCH(SamplingData[[#This Row],[Batch by Type (p)]],SelectedPrecincts[Batch Name], 0)))</f>
        <v/>
      </c>
      <c r="AJ1117" s="100">
        <f>IF(COUNTIF(SelectedPrecincts[Batch Name],SamplingData[[#This Row],[Batch by Type (p)]]) &lt;&gt; 0, COUNTIF(SelectedPrecincts[Batch Name],SamplingData[[#This Row],[Batch by Type (p)]]), 0)</f>
        <v>0</v>
      </c>
    </row>
    <row r="1118" spans="1:36" ht="15" customHeight="1" x14ac:dyDescent="0.35">
      <c r="A1118" s="97" t="s">
        <v>1331</v>
      </c>
      <c r="B1118" s="97">
        <v>155</v>
      </c>
      <c r="C1118" s="97">
        <v>131</v>
      </c>
      <c r="D1118" s="92"/>
      <c r="E1118" s="92"/>
      <c r="F1118" s="92"/>
      <c r="G1118" s="96"/>
      <c r="H1118" s="96"/>
      <c r="I1118" s="92"/>
      <c r="J1118" s="92"/>
      <c r="K1118" s="92"/>
      <c r="L1118" s="92"/>
      <c r="M1118" s="92"/>
      <c r="N1118" s="97">
        <v>0</v>
      </c>
      <c r="O1118" s="97">
        <v>27</v>
      </c>
      <c r="P1118" s="98">
        <f>SUM(SamplingData[[#This Row],[Winning Candidate]:[Under Votes]])</f>
        <v>313</v>
      </c>
      <c r="Q1118" s="99">
        <f>IF(AND(SamplingData[[#This Row],[Total]]&lt;&gt; 0, NOT(ISBLANK(SamplingData[[#This Row],[Losing Candidate]]))),(SamplingData[[#This Row],[Total]]+SamplingData[[#This Row],[Winning Candidate]]-SamplingData[[#This Row],[Losing Candidate]])/(SamplingData[[#Totals],[Winning Candidate]]-SamplingData[[#Totals],[Losing Candidate]]), 0)</f>
        <v>1.430147682906128E-2</v>
      </c>
      <c r="R1118" s="99">
        <f>IF(AND(SamplingData[[#This Row],[Total]]&lt;&gt; 0, NOT(ISBLANK(SamplingData[[#This Row],[Candidate 3]]))),(SamplingData[[#This Row],[Total]]+SamplingData[[#This Row],[Winning Candidate]]-SamplingData[[#This Row],[Candidate 3]])/(SamplingData[[#Totals],[Winning Candidate]]-SamplingData[[#Totals],[Candidate 3]]), 0)</f>
        <v>0</v>
      </c>
      <c r="S1118" s="99">
        <f>IF(AND(SamplingData[[#This Row],[Total]]&lt;&gt; 0, NOT(ISBLANK(SamplingData[[#This Row],[Candidate 4]]))),(SamplingData[[#This Row],[Total]]+SamplingData[[#This Row],[Winning Candidate]]-SamplingData[[#This Row],[Candidate 4]])/(SamplingData[[#Totals],[Winning Candidate]]-SamplingData[[#Totals],[Candidate 4]]), 0)</f>
        <v>0</v>
      </c>
      <c r="T1118" s="99">
        <f>IF(AND(SamplingData[[#This Row],[Total]]&lt;&gt; 0, NOT(ISBLANK(SamplingData[[#This Row],[Candidate 5]]))),(SamplingData[[#This Row],[Total]]+SamplingData[[#This Row],[Winning Candidate]]-SamplingData[[#This Row],[Candidate 5]])/(SamplingData[[#Totals],[Winning Candidate]]-SamplingData[[#Totals],[Candidate 5]]), 0)</f>
        <v>0</v>
      </c>
      <c r="U1118" s="99">
        <f>IF(AND(SamplingData[[#This Row],[Total]]&lt;&gt; 0, NOT(ISBLANK(SamplingData[[#This Row],[Candidate 6]]))),(SamplingData[[#This Row],[Total]]+SamplingData[[#This Row],[Losing Candidate]]-SamplingData[[#This Row],[Candidate 6]])/(SamplingData[[#Totals],[Winning Candidate]]-SamplingData[[#Totals],[Candidate 6]]), 0)</f>
        <v>0</v>
      </c>
      <c r="V1118" s="99">
        <f>IF(AND(SamplingData[[#This Row],[Total]]&lt;&gt; 0, NOT(ISBLANK(SamplingData[[#This Row],[Candidate 7]]))),(SamplingData[[#This Row],[Total]]+SamplingData[[#This Row],[Winning Candidate]]-SamplingData[[#This Row],[Candidate 7]])/(SamplingData[[#Totals],[Winning Candidate]]-SamplingData[[#Totals],[Candidate 7]]), 0)</f>
        <v>0</v>
      </c>
      <c r="W1118" s="99">
        <f>IF(AND(SamplingData[[#This Row],[Total]]&lt;&gt; 0, NOT(ISBLANK(SamplingData[[#This Row],[Candidate 8]]))),(SamplingData[[#This Row],[Total]]+SamplingData[[#This Row],[Winning Candidate]]-SamplingData[[#This Row],[Candidate 8]])/(SamplingData[[#Totals],[Winning Candidate]]-SamplingData[[#Totals],[Candidate 8]]), 0)</f>
        <v>0</v>
      </c>
      <c r="X11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8" s="99">
        <f>MAX(SamplingData[[#This Row],[Error Bound (up) - Max. possible relative overstatement - Losing Candidate]:[Error Bound (up) - Max. possible relative overstatement - Candidate 12]])</f>
        <v>1.430147682906128E-2</v>
      </c>
      <c r="AC1118" s="99">
        <f>IF(SamplingData[[#This Row],[Max Error Bound (up)]] = 0,0,SamplingData[[#This Row],[Max Error Bound (up)]]/SamplingData[[#Totals],[Max Error Bound (up)]])</f>
        <v>7.6571418184462239E-4</v>
      </c>
      <c r="AD1118" s="103">
        <f>SUM($AC$5:AC1118)</f>
        <v>0.99053649980005343</v>
      </c>
      <c r="AE1118" s="99" t="str" cm="1">
        <f t="array" ref="AE1118">IF(SamplingData[[#This Row],[up/U Selection Probability]] = 0, "Zero", TEXT(SamplingData[[#This Row],[Lower Range]], REPT("0",LEN('General Info'!$B$42))) &amp; " - " &amp; TEXT(SamplingData[[#This Row],[Upper Range]], REPT("0",LEN('General Info'!$B$42))))</f>
        <v>989771 - 990535</v>
      </c>
      <c r="AF1118" s="99">
        <f>SamplingData[[#This Row],[Upper Range]]-SamplingData[[#This Row],[Span]]</f>
        <v>989770.78561820881</v>
      </c>
      <c r="AG1118" s="99">
        <f>IF(ISNUMBER('General Info'!$B$42), ((SamplingData[[#This Row],[up/U Selection Probability]]) * 'General Info'!$B$44) - 1, 0)</f>
        <v>764.71418184462243</v>
      </c>
      <c r="AH1118" s="99">
        <f>IF(ISNUMBER('General Info'!$B$42), (SamplingData[[#This Row],[Running (cumulative) sum]] * ('General Info'!$B$42 -'General Info'!$B$43 + 1)) + 'General Info'!$B$43 - 1, 0)</f>
        <v>990535.49980005343</v>
      </c>
      <c r="AI1118" s="99" t="str">
        <f>IF(ISERROR(MATCH(SamplingData[[#This Row],[Batch by Type (p)]],SelectedPrecincts[Batch Name], 0)), "", INDEX(SelectedPrecincts[Draw], MATCH(SamplingData[[#This Row],[Batch by Type (p)]],SelectedPrecincts[Batch Name], 0)))</f>
        <v/>
      </c>
      <c r="AJ1118" s="100">
        <f>IF(COUNTIF(SelectedPrecincts[Batch Name],SamplingData[[#This Row],[Batch by Type (p)]]) &lt;&gt; 0, COUNTIF(SelectedPrecincts[Batch Name],SamplingData[[#This Row],[Batch by Type (p)]]), 0)</f>
        <v>0</v>
      </c>
    </row>
    <row r="1119" spans="1:36" ht="15" customHeight="1" x14ac:dyDescent="0.35">
      <c r="A1119" s="97" t="s">
        <v>1332</v>
      </c>
      <c r="B1119" s="97">
        <v>186</v>
      </c>
      <c r="C1119" s="97">
        <v>306</v>
      </c>
      <c r="D1119" s="92"/>
      <c r="E1119" s="92"/>
      <c r="F1119" s="92"/>
      <c r="G1119" s="96"/>
      <c r="H1119" s="96"/>
      <c r="I1119" s="92"/>
      <c r="J1119" s="92"/>
      <c r="K1119" s="92"/>
      <c r="L1119" s="92"/>
      <c r="M1119" s="92"/>
      <c r="N1119" s="97">
        <v>0</v>
      </c>
      <c r="O1119" s="97">
        <v>45</v>
      </c>
      <c r="P1119" s="98">
        <f>SUM(SamplingData[[#This Row],[Winning Candidate]:[Under Votes]])</f>
        <v>537</v>
      </c>
      <c r="Q1119" s="99">
        <f>IF(AND(SamplingData[[#This Row],[Total]]&lt;&gt; 0, NOT(ISBLANK(SamplingData[[#This Row],[Losing Candidate]]))),(SamplingData[[#This Row],[Total]]+SamplingData[[#This Row],[Winning Candidate]]-SamplingData[[#This Row],[Losing Candidate]])/(SamplingData[[#Totals],[Winning Candidate]]-SamplingData[[#Totals],[Losing Candidate]]), 0)</f>
        <v>1.7696486165336953E-2</v>
      </c>
      <c r="R1119" s="99">
        <f>IF(AND(SamplingData[[#This Row],[Total]]&lt;&gt; 0, NOT(ISBLANK(SamplingData[[#This Row],[Candidate 3]]))),(SamplingData[[#This Row],[Total]]+SamplingData[[#This Row],[Winning Candidate]]-SamplingData[[#This Row],[Candidate 3]])/(SamplingData[[#Totals],[Winning Candidate]]-SamplingData[[#Totals],[Candidate 3]]), 0)</f>
        <v>0</v>
      </c>
      <c r="S1119" s="99">
        <f>IF(AND(SamplingData[[#This Row],[Total]]&lt;&gt; 0, NOT(ISBLANK(SamplingData[[#This Row],[Candidate 4]]))),(SamplingData[[#This Row],[Total]]+SamplingData[[#This Row],[Winning Candidate]]-SamplingData[[#This Row],[Candidate 4]])/(SamplingData[[#Totals],[Winning Candidate]]-SamplingData[[#Totals],[Candidate 4]]), 0)</f>
        <v>0</v>
      </c>
      <c r="T1119" s="99">
        <f>IF(AND(SamplingData[[#This Row],[Total]]&lt;&gt; 0, NOT(ISBLANK(SamplingData[[#This Row],[Candidate 5]]))),(SamplingData[[#This Row],[Total]]+SamplingData[[#This Row],[Winning Candidate]]-SamplingData[[#This Row],[Candidate 5]])/(SamplingData[[#Totals],[Winning Candidate]]-SamplingData[[#Totals],[Candidate 5]]), 0)</f>
        <v>0</v>
      </c>
      <c r="U1119" s="99">
        <f>IF(AND(SamplingData[[#This Row],[Total]]&lt;&gt; 0, NOT(ISBLANK(SamplingData[[#This Row],[Candidate 6]]))),(SamplingData[[#This Row],[Total]]+SamplingData[[#This Row],[Losing Candidate]]-SamplingData[[#This Row],[Candidate 6]])/(SamplingData[[#Totals],[Winning Candidate]]-SamplingData[[#Totals],[Candidate 6]]), 0)</f>
        <v>0</v>
      </c>
      <c r="V1119" s="99">
        <f>IF(AND(SamplingData[[#This Row],[Total]]&lt;&gt; 0, NOT(ISBLANK(SamplingData[[#This Row],[Candidate 7]]))),(SamplingData[[#This Row],[Total]]+SamplingData[[#This Row],[Winning Candidate]]-SamplingData[[#This Row],[Candidate 7]])/(SamplingData[[#Totals],[Winning Candidate]]-SamplingData[[#Totals],[Candidate 7]]), 0)</f>
        <v>0</v>
      </c>
      <c r="W1119" s="99">
        <f>IF(AND(SamplingData[[#This Row],[Total]]&lt;&gt; 0, NOT(ISBLANK(SamplingData[[#This Row],[Candidate 8]]))),(SamplingData[[#This Row],[Total]]+SamplingData[[#This Row],[Winning Candidate]]-SamplingData[[#This Row],[Candidate 8]])/(SamplingData[[#Totals],[Winning Candidate]]-SamplingData[[#Totals],[Candidate 8]]), 0)</f>
        <v>0</v>
      </c>
      <c r="X11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9" s="99">
        <f>MAX(SamplingData[[#This Row],[Error Bound (up) - Max. possible relative overstatement - Losing Candidate]:[Error Bound (up) - Max. possible relative overstatement - Candidate 12]])</f>
        <v>1.7696486165336953E-2</v>
      </c>
      <c r="AC1119" s="99">
        <f>IF(SamplingData[[#This Row],[Max Error Bound (up)]] = 0,0,SamplingData[[#This Row],[Max Error Bound (up)]]/SamplingData[[#Totals],[Max Error Bound (up)]])</f>
        <v>9.4748609444868692E-4</v>
      </c>
      <c r="AD1119" s="103">
        <f>SUM($AC$5:AC1119)</f>
        <v>0.99148398589450215</v>
      </c>
      <c r="AE1119" s="99" t="str" cm="1">
        <f t="array" ref="AE1119">IF(SamplingData[[#This Row],[up/U Selection Probability]] = 0, "Zero", TEXT(SamplingData[[#This Row],[Lower Range]], REPT("0",LEN('General Info'!$B$42))) &amp; " - " &amp; TEXT(SamplingData[[#This Row],[Upper Range]], REPT("0",LEN('General Info'!$B$42))))</f>
        <v>990536 - 991483</v>
      </c>
      <c r="AF1119" s="99">
        <f>SamplingData[[#This Row],[Upper Range]]-SamplingData[[#This Row],[Span]]</f>
        <v>990536.49980005343</v>
      </c>
      <c r="AG1119" s="99">
        <f>IF(ISNUMBER('General Info'!$B$42), ((SamplingData[[#This Row],[up/U Selection Probability]]) * 'General Info'!$B$44) - 1, 0)</f>
        <v>946.48609444868691</v>
      </c>
      <c r="AH1119" s="99">
        <f>IF(ISNUMBER('General Info'!$B$42), (SamplingData[[#This Row],[Running (cumulative) sum]] * ('General Info'!$B$42 -'General Info'!$B$43 + 1)) + 'General Info'!$B$43 - 1, 0)</f>
        <v>991482.98589450214</v>
      </c>
      <c r="AI1119" s="99" t="str">
        <f>IF(ISERROR(MATCH(SamplingData[[#This Row],[Batch by Type (p)]],SelectedPrecincts[Batch Name], 0)), "", INDEX(SelectedPrecincts[Draw], MATCH(SamplingData[[#This Row],[Batch by Type (p)]],SelectedPrecincts[Batch Name], 0)))</f>
        <v/>
      </c>
      <c r="AJ1119" s="100">
        <f>IF(COUNTIF(SelectedPrecincts[Batch Name],SamplingData[[#This Row],[Batch by Type (p)]]) &lt;&gt; 0, COUNTIF(SelectedPrecincts[Batch Name],SamplingData[[#This Row],[Batch by Type (p)]]), 0)</f>
        <v>0</v>
      </c>
    </row>
    <row r="1120" spans="1:36" ht="15" customHeight="1" x14ac:dyDescent="0.35">
      <c r="A1120" s="97" t="s">
        <v>1333</v>
      </c>
      <c r="B1120" s="97">
        <v>53</v>
      </c>
      <c r="C1120" s="97">
        <v>130</v>
      </c>
      <c r="D1120" s="92"/>
      <c r="E1120" s="92"/>
      <c r="F1120" s="92"/>
      <c r="G1120" s="96"/>
      <c r="H1120" s="96"/>
      <c r="I1120" s="92"/>
      <c r="J1120" s="92"/>
      <c r="K1120" s="92"/>
      <c r="L1120" s="92"/>
      <c r="M1120" s="92"/>
      <c r="N1120" s="97">
        <v>0</v>
      </c>
      <c r="O1120" s="97">
        <v>16</v>
      </c>
      <c r="P1120" s="98">
        <f>SUM(SamplingData[[#This Row],[Winning Candidate]:[Under Votes]])</f>
        <v>199</v>
      </c>
      <c r="Q1120" s="99">
        <f>IF(AND(SamplingData[[#This Row],[Total]]&lt;&gt; 0, NOT(ISBLANK(SamplingData[[#This Row],[Losing Candidate]]))),(SamplingData[[#This Row],[Total]]+SamplingData[[#This Row],[Winning Candidate]]-SamplingData[[#This Row],[Losing Candidate]])/(SamplingData[[#Totals],[Winning Candidate]]-SamplingData[[#Totals],[Losing Candidate]]), 0)</f>
        <v>5.1773892378204041E-3</v>
      </c>
      <c r="R1120" s="99">
        <f>IF(AND(SamplingData[[#This Row],[Total]]&lt;&gt; 0, NOT(ISBLANK(SamplingData[[#This Row],[Candidate 3]]))),(SamplingData[[#This Row],[Total]]+SamplingData[[#This Row],[Winning Candidate]]-SamplingData[[#This Row],[Candidate 3]])/(SamplingData[[#Totals],[Winning Candidate]]-SamplingData[[#Totals],[Candidate 3]]), 0)</f>
        <v>0</v>
      </c>
      <c r="S1120" s="99">
        <f>IF(AND(SamplingData[[#This Row],[Total]]&lt;&gt; 0, NOT(ISBLANK(SamplingData[[#This Row],[Candidate 4]]))),(SamplingData[[#This Row],[Total]]+SamplingData[[#This Row],[Winning Candidate]]-SamplingData[[#This Row],[Candidate 4]])/(SamplingData[[#Totals],[Winning Candidate]]-SamplingData[[#Totals],[Candidate 4]]), 0)</f>
        <v>0</v>
      </c>
      <c r="T1120" s="99">
        <f>IF(AND(SamplingData[[#This Row],[Total]]&lt;&gt; 0, NOT(ISBLANK(SamplingData[[#This Row],[Candidate 5]]))),(SamplingData[[#This Row],[Total]]+SamplingData[[#This Row],[Winning Candidate]]-SamplingData[[#This Row],[Candidate 5]])/(SamplingData[[#Totals],[Winning Candidate]]-SamplingData[[#Totals],[Candidate 5]]), 0)</f>
        <v>0</v>
      </c>
      <c r="U1120" s="99">
        <f>IF(AND(SamplingData[[#This Row],[Total]]&lt;&gt; 0, NOT(ISBLANK(SamplingData[[#This Row],[Candidate 6]]))),(SamplingData[[#This Row],[Total]]+SamplingData[[#This Row],[Losing Candidate]]-SamplingData[[#This Row],[Candidate 6]])/(SamplingData[[#Totals],[Winning Candidate]]-SamplingData[[#Totals],[Candidate 6]]), 0)</f>
        <v>0</v>
      </c>
      <c r="V1120" s="99">
        <f>IF(AND(SamplingData[[#This Row],[Total]]&lt;&gt; 0, NOT(ISBLANK(SamplingData[[#This Row],[Candidate 7]]))),(SamplingData[[#This Row],[Total]]+SamplingData[[#This Row],[Winning Candidate]]-SamplingData[[#This Row],[Candidate 7]])/(SamplingData[[#Totals],[Winning Candidate]]-SamplingData[[#Totals],[Candidate 7]]), 0)</f>
        <v>0</v>
      </c>
      <c r="W1120" s="99">
        <f>IF(AND(SamplingData[[#This Row],[Total]]&lt;&gt; 0, NOT(ISBLANK(SamplingData[[#This Row],[Candidate 8]]))),(SamplingData[[#This Row],[Total]]+SamplingData[[#This Row],[Winning Candidate]]-SamplingData[[#This Row],[Candidate 8]])/(SamplingData[[#Totals],[Winning Candidate]]-SamplingData[[#Totals],[Candidate 8]]), 0)</f>
        <v>0</v>
      </c>
      <c r="X11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0" s="99">
        <f>MAX(SamplingData[[#This Row],[Error Bound (up) - Max. possible relative overstatement - Losing Candidate]:[Error Bound (up) - Max. possible relative overstatement - Candidate 12]])</f>
        <v>5.1773892378204041E-3</v>
      </c>
      <c r="AC1120" s="99">
        <f>IF(SamplingData[[#This Row],[Max Error Bound (up)]] = 0,0,SamplingData[[#This Row],[Max Error Bound (up)]]/SamplingData[[#Totals],[Max Error Bound (up)]])</f>
        <v>2.7720216672119858E-4</v>
      </c>
      <c r="AD1120" s="103">
        <f>SUM($AC$5:AC1120)</f>
        <v>0.99176118806122338</v>
      </c>
      <c r="AE1120" s="99" t="str" cm="1">
        <f t="array" ref="AE1120">IF(SamplingData[[#This Row],[up/U Selection Probability]] = 0, "Zero", TEXT(SamplingData[[#This Row],[Lower Range]], REPT("0",LEN('General Info'!$B$42))) &amp; " - " &amp; TEXT(SamplingData[[#This Row],[Upper Range]], REPT("0",LEN('General Info'!$B$42))))</f>
        <v>991484 - 991760</v>
      </c>
      <c r="AF1120" s="99">
        <f>SamplingData[[#This Row],[Upper Range]]-SamplingData[[#This Row],[Span]]</f>
        <v>991483.98589450214</v>
      </c>
      <c r="AG1120" s="99">
        <f>IF(ISNUMBER('General Info'!$B$42), ((SamplingData[[#This Row],[up/U Selection Probability]]) * 'General Info'!$B$44) - 1, 0)</f>
        <v>276.20216672119858</v>
      </c>
      <c r="AH1120" s="99">
        <f>IF(ISNUMBER('General Info'!$B$42), (SamplingData[[#This Row],[Running (cumulative) sum]] * ('General Info'!$B$42 -'General Info'!$B$43 + 1)) + 'General Info'!$B$43 - 1, 0)</f>
        <v>991760.18806122337</v>
      </c>
      <c r="AI1120" s="99" t="str">
        <f>IF(ISERROR(MATCH(SamplingData[[#This Row],[Batch by Type (p)]],SelectedPrecincts[Batch Name], 0)), "", INDEX(SelectedPrecincts[Draw], MATCH(SamplingData[[#This Row],[Batch by Type (p)]],SelectedPrecincts[Batch Name], 0)))</f>
        <v/>
      </c>
      <c r="AJ1120" s="100">
        <f>IF(COUNTIF(SelectedPrecincts[Batch Name],SamplingData[[#This Row],[Batch by Type (p)]]) &lt;&gt; 0, COUNTIF(SelectedPrecincts[Batch Name],SamplingData[[#This Row],[Batch by Type (p)]]), 0)</f>
        <v>0</v>
      </c>
    </row>
    <row r="1121" spans="1:36" ht="15" customHeight="1" x14ac:dyDescent="0.35">
      <c r="A1121" s="97" t="s">
        <v>1334</v>
      </c>
      <c r="B1121" s="97">
        <v>166</v>
      </c>
      <c r="C1121" s="97">
        <v>293</v>
      </c>
      <c r="D1121" s="92"/>
      <c r="E1121" s="92"/>
      <c r="F1121" s="92"/>
      <c r="G1121" s="96"/>
      <c r="H1121" s="96"/>
      <c r="I1121" s="92"/>
      <c r="J1121" s="92"/>
      <c r="K1121" s="92"/>
      <c r="L1121" s="92"/>
      <c r="M1121" s="92"/>
      <c r="N1121" s="97">
        <v>0</v>
      </c>
      <c r="O1121" s="97">
        <v>41</v>
      </c>
      <c r="P1121" s="98">
        <f>SUM(SamplingData[[#This Row],[Winning Candidate]:[Under Votes]])</f>
        <v>500</v>
      </c>
      <c r="Q1121" s="99">
        <f>IF(AND(SamplingData[[#This Row],[Total]]&lt;&gt; 0, NOT(ISBLANK(SamplingData[[#This Row],[Losing Candidate]]))),(SamplingData[[#This Row],[Total]]+SamplingData[[#This Row],[Winning Candidate]]-SamplingData[[#This Row],[Losing Candidate]])/(SamplingData[[#Totals],[Winning Candidate]]-SamplingData[[#Totals],[Losing Candidate]]), 0)</f>
        <v>1.5829231030385332E-2</v>
      </c>
      <c r="R1121" s="99">
        <f>IF(AND(SamplingData[[#This Row],[Total]]&lt;&gt; 0, NOT(ISBLANK(SamplingData[[#This Row],[Candidate 3]]))),(SamplingData[[#This Row],[Total]]+SamplingData[[#This Row],[Winning Candidate]]-SamplingData[[#This Row],[Candidate 3]])/(SamplingData[[#Totals],[Winning Candidate]]-SamplingData[[#Totals],[Candidate 3]]), 0)</f>
        <v>0</v>
      </c>
      <c r="S1121" s="99">
        <f>IF(AND(SamplingData[[#This Row],[Total]]&lt;&gt; 0, NOT(ISBLANK(SamplingData[[#This Row],[Candidate 4]]))),(SamplingData[[#This Row],[Total]]+SamplingData[[#This Row],[Winning Candidate]]-SamplingData[[#This Row],[Candidate 4]])/(SamplingData[[#Totals],[Winning Candidate]]-SamplingData[[#Totals],[Candidate 4]]), 0)</f>
        <v>0</v>
      </c>
      <c r="T1121" s="99">
        <f>IF(AND(SamplingData[[#This Row],[Total]]&lt;&gt; 0, NOT(ISBLANK(SamplingData[[#This Row],[Candidate 5]]))),(SamplingData[[#This Row],[Total]]+SamplingData[[#This Row],[Winning Candidate]]-SamplingData[[#This Row],[Candidate 5]])/(SamplingData[[#Totals],[Winning Candidate]]-SamplingData[[#Totals],[Candidate 5]]), 0)</f>
        <v>0</v>
      </c>
      <c r="U1121" s="99">
        <f>IF(AND(SamplingData[[#This Row],[Total]]&lt;&gt; 0, NOT(ISBLANK(SamplingData[[#This Row],[Candidate 6]]))),(SamplingData[[#This Row],[Total]]+SamplingData[[#This Row],[Losing Candidate]]-SamplingData[[#This Row],[Candidate 6]])/(SamplingData[[#Totals],[Winning Candidate]]-SamplingData[[#Totals],[Candidate 6]]), 0)</f>
        <v>0</v>
      </c>
      <c r="V1121" s="99">
        <f>IF(AND(SamplingData[[#This Row],[Total]]&lt;&gt; 0, NOT(ISBLANK(SamplingData[[#This Row],[Candidate 7]]))),(SamplingData[[#This Row],[Total]]+SamplingData[[#This Row],[Winning Candidate]]-SamplingData[[#This Row],[Candidate 7]])/(SamplingData[[#Totals],[Winning Candidate]]-SamplingData[[#Totals],[Candidate 7]]), 0)</f>
        <v>0</v>
      </c>
      <c r="W1121" s="99">
        <f>IF(AND(SamplingData[[#This Row],[Total]]&lt;&gt; 0, NOT(ISBLANK(SamplingData[[#This Row],[Candidate 8]]))),(SamplingData[[#This Row],[Total]]+SamplingData[[#This Row],[Winning Candidate]]-SamplingData[[#This Row],[Candidate 8]])/(SamplingData[[#Totals],[Winning Candidate]]-SamplingData[[#Totals],[Candidate 8]]), 0)</f>
        <v>0</v>
      </c>
      <c r="X11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1" s="99">
        <f>MAX(SamplingData[[#This Row],[Error Bound (up) - Max. possible relative overstatement - Losing Candidate]:[Error Bound (up) - Max. possible relative overstatement - Candidate 12]])</f>
        <v>1.5829231030385332E-2</v>
      </c>
      <c r="AC1121" s="99">
        <f>IF(SamplingData[[#This Row],[Max Error Bound (up)]] = 0,0,SamplingData[[#This Row],[Max Error Bound (up)]]/SamplingData[[#Totals],[Max Error Bound (up)]])</f>
        <v>8.4751154251645137E-4</v>
      </c>
      <c r="AD1121" s="103">
        <f>SUM($AC$5:AC1121)</f>
        <v>0.99260869960373987</v>
      </c>
      <c r="AE1121" s="99" t="str" cm="1">
        <f t="array" ref="AE1121">IF(SamplingData[[#This Row],[up/U Selection Probability]] = 0, "Zero", TEXT(SamplingData[[#This Row],[Lower Range]], REPT("0",LEN('General Info'!$B$42))) &amp; " - " &amp; TEXT(SamplingData[[#This Row],[Upper Range]], REPT("0",LEN('General Info'!$B$42))))</f>
        <v>991761 - 992608</v>
      </c>
      <c r="AF1121" s="99">
        <f>SamplingData[[#This Row],[Upper Range]]-SamplingData[[#This Row],[Span]]</f>
        <v>991761.18806122348</v>
      </c>
      <c r="AG1121" s="99">
        <f>IF(ISNUMBER('General Info'!$B$42), ((SamplingData[[#This Row],[up/U Selection Probability]]) * 'General Info'!$B$44) - 1, 0)</f>
        <v>846.51154251645141</v>
      </c>
      <c r="AH1121" s="99">
        <f>IF(ISNUMBER('General Info'!$B$42), (SamplingData[[#This Row],[Running (cumulative) sum]] * ('General Info'!$B$42 -'General Info'!$B$43 + 1)) + 'General Info'!$B$43 - 1, 0)</f>
        <v>992607.69960373989</v>
      </c>
      <c r="AI1121" s="99" t="str">
        <f>IF(ISERROR(MATCH(SamplingData[[#This Row],[Batch by Type (p)]],SelectedPrecincts[Batch Name], 0)), "", INDEX(SelectedPrecincts[Draw], MATCH(SamplingData[[#This Row],[Batch by Type (p)]],SelectedPrecincts[Batch Name], 0)))</f>
        <v/>
      </c>
      <c r="AJ1121" s="100">
        <f>IF(COUNTIF(SelectedPrecincts[Batch Name],SamplingData[[#This Row],[Batch by Type (p)]]) &lt;&gt; 0, COUNTIF(SelectedPrecincts[Batch Name],SamplingData[[#This Row],[Batch by Type (p)]]), 0)</f>
        <v>0</v>
      </c>
    </row>
    <row r="1122" spans="1:36" ht="15" customHeight="1" x14ac:dyDescent="0.35">
      <c r="A1122" s="97" t="s">
        <v>1335</v>
      </c>
      <c r="B1122" s="97">
        <v>278</v>
      </c>
      <c r="C1122" s="97">
        <v>318</v>
      </c>
      <c r="D1122" s="92"/>
      <c r="E1122" s="92"/>
      <c r="F1122" s="92"/>
      <c r="G1122" s="96"/>
      <c r="H1122" s="96"/>
      <c r="I1122" s="92"/>
      <c r="J1122" s="92"/>
      <c r="K1122" s="92"/>
      <c r="L1122" s="92"/>
      <c r="M1122" s="92"/>
      <c r="N1122" s="97">
        <v>0</v>
      </c>
      <c r="O1122" s="97">
        <v>47</v>
      </c>
      <c r="P1122" s="98">
        <f>SUM(SamplingData[[#This Row],[Winning Candidate]:[Under Votes]])</f>
        <v>643</v>
      </c>
      <c r="Q1122" s="99">
        <f>IF(AND(SamplingData[[#This Row],[Total]]&lt;&gt; 0, NOT(ISBLANK(SamplingData[[#This Row],[Losing Candidate]]))),(SamplingData[[#This Row],[Total]]+SamplingData[[#This Row],[Winning Candidate]]-SamplingData[[#This Row],[Losing Candidate]])/(SamplingData[[#Totals],[Winning Candidate]]-SamplingData[[#Totals],[Losing Candidate]]), 0)</f>
        <v>2.5589882872177897E-2</v>
      </c>
      <c r="R1122" s="99">
        <f>IF(AND(SamplingData[[#This Row],[Total]]&lt;&gt; 0, NOT(ISBLANK(SamplingData[[#This Row],[Candidate 3]]))),(SamplingData[[#This Row],[Total]]+SamplingData[[#This Row],[Winning Candidate]]-SamplingData[[#This Row],[Candidate 3]])/(SamplingData[[#Totals],[Winning Candidate]]-SamplingData[[#Totals],[Candidate 3]]), 0)</f>
        <v>0</v>
      </c>
      <c r="S1122" s="99">
        <f>IF(AND(SamplingData[[#This Row],[Total]]&lt;&gt; 0, NOT(ISBLANK(SamplingData[[#This Row],[Candidate 4]]))),(SamplingData[[#This Row],[Total]]+SamplingData[[#This Row],[Winning Candidate]]-SamplingData[[#This Row],[Candidate 4]])/(SamplingData[[#Totals],[Winning Candidate]]-SamplingData[[#Totals],[Candidate 4]]), 0)</f>
        <v>0</v>
      </c>
      <c r="T1122" s="99">
        <f>IF(AND(SamplingData[[#This Row],[Total]]&lt;&gt; 0, NOT(ISBLANK(SamplingData[[#This Row],[Candidate 5]]))),(SamplingData[[#This Row],[Total]]+SamplingData[[#This Row],[Winning Candidate]]-SamplingData[[#This Row],[Candidate 5]])/(SamplingData[[#Totals],[Winning Candidate]]-SamplingData[[#Totals],[Candidate 5]]), 0)</f>
        <v>0</v>
      </c>
      <c r="U1122" s="99">
        <f>IF(AND(SamplingData[[#This Row],[Total]]&lt;&gt; 0, NOT(ISBLANK(SamplingData[[#This Row],[Candidate 6]]))),(SamplingData[[#This Row],[Total]]+SamplingData[[#This Row],[Losing Candidate]]-SamplingData[[#This Row],[Candidate 6]])/(SamplingData[[#Totals],[Winning Candidate]]-SamplingData[[#Totals],[Candidate 6]]), 0)</f>
        <v>0</v>
      </c>
      <c r="V1122" s="99">
        <f>IF(AND(SamplingData[[#This Row],[Total]]&lt;&gt; 0, NOT(ISBLANK(SamplingData[[#This Row],[Candidate 7]]))),(SamplingData[[#This Row],[Total]]+SamplingData[[#This Row],[Winning Candidate]]-SamplingData[[#This Row],[Candidate 7]])/(SamplingData[[#Totals],[Winning Candidate]]-SamplingData[[#Totals],[Candidate 7]]), 0)</f>
        <v>0</v>
      </c>
      <c r="W1122" s="99">
        <f>IF(AND(SamplingData[[#This Row],[Total]]&lt;&gt; 0, NOT(ISBLANK(SamplingData[[#This Row],[Candidate 8]]))),(SamplingData[[#This Row],[Total]]+SamplingData[[#This Row],[Winning Candidate]]-SamplingData[[#This Row],[Candidate 8]])/(SamplingData[[#Totals],[Winning Candidate]]-SamplingData[[#Totals],[Candidate 8]]), 0)</f>
        <v>0</v>
      </c>
      <c r="X11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2" s="99">
        <f>MAX(SamplingData[[#This Row],[Error Bound (up) - Max. possible relative overstatement - Losing Candidate]:[Error Bound (up) - Max. possible relative overstatement - Candidate 12]])</f>
        <v>2.5589882872177897E-2</v>
      </c>
      <c r="AC1122" s="99">
        <f>IF(SamplingData[[#This Row],[Max Error Bound (up)]] = 0,0,SamplingData[[#This Row],[Max Error Bound (up)]]/SamplingData[[#Totals],[Max Error Bound (up)]])</f>
        <v>1.3701057912531372E-3</v>
      </c>
      <c r="AD1122" s="103">
        <f>SUM($AC$5:AC1122)</f>
        <v>0.99397880539499306</v>
      </c>
      <c r="AE1122" s="99" t="str" cm="1">
        <f t="array" ref="AE1122">IF(SamplingData[[#This Row],[up/U Selection Probability]] = 0, "Zero", TEXT(SamplingData[[#This Row],[Lower Range]], REPT("0",LEN('General Info'!$B$42))) &amp; " - " &amp; TEXT(SamplingData[[#This Row],[Upper Range]], REPT("0",LEN('General Info'!$B$42))))</f>
        <v>992609 - 993978</v>
      </c>
      <c r="AF1122" s="99">
        <f>SamplingData[[#This Row],[Upper Range]]-SamplingData[[#This Row],[Span]]</f>
        <v>992608.69960373989</v>
      </c>
      <c r="AG1122" s="99">
        <f>IF(ISNUMBER('General Info'!$B$42), ((SamplingData[[#This Row],[up/U Selection Probability]]) * 'General Info'!$B$44) - 1, 0)</f>
        <v>1369.1057912531371</v>
      </c>
      <c r="AH1122" s="99">
        <f>IF(ISNUMBER('General Info'!$B$42), (SamplingData[[#This Row],[Running (cumulative) sum]] * ('General Info'!$B$42 -'General Info'!$B$43 + 1)) + 'General Info'!$B$43 - 1, 0)</f>
        <v>993977.80539499305</v>
      </c>
      <c r="AI1122" s="99" t="str">
        <f>IF(ISERROR(MATCH(SamplingData[[#This Row],[Batch by Type (p)]],SelectedPrecincts[Batch Name], 0)), "", INDEX(SelectedPrecincts[Draw], MATCH(SamplingData[[#This Row],[Batch by Type (p)]],SelectedPrecincts[Batch Name], 0)))</f>
        <v/>
      </c>
      <c r="AJ1122" s="100">
        <f>IF(COUNTIF(SelectedPrecincts[Batch Name],SamplingData[[#This Row],[Batch by Type (p)]]) &lt;&gt; 0, COUNTIF(SelectedPrecincts[Batch Name],SamplingData[[#This Row],[Batch by Type (p)]]), 0)</f>
        <v>0</v>
      </c>
    </row>
    <row r="1123" spans="1:36" ht="15" customHeight="1" x14ac:dyDescent="0.35">
      <c r="A1123" s="97" t="s">
        <v>1336</v>
      </c>
      <c r="B1123" s="97">
        <v>127</v>
      </c>
      <c r="C1123" s="97">
        <v>178</v>
      </c>
      <c r="D1123" s="92"/>
      <c r="E1123" s="92"/>
      <c r="F1123" s="92"/>
      <c r="G1123" s="96"/>
      <c r="H1123" s="96"/>
      <c r="I1123" s="92"/>
      <c r="J1123" s="92"/>
      <c r="K1123" s="92"/>
      <c r="L1123" s="92"/>
      <c r="M1123" s="92"/>
      <c r="N1123" s="97">
        <v>0</v>
      </c>
      <c r="O1123" s="97">
        <v>31</v>
      </c>
      <c r="P1123" s="98">
        <f>SUM(SamplingData[[#This Row],[Winning Candidate]:[Under Votes]])</f>
        <v>336</v>
      </c>
      <c r="Q1123" s="99">
        <f>IF(AND(SamplingData[[#This Row],[Total]]&lt;&gt; 0, NOT(ISBLANK(SamplingData[[#This Row],[Losing Candidate]]))),(SamplingData[[#This Row],[Total]]+SamplingData[[#This Row],[Winning Candidate]]-SamplingData[[#This Row],[Losing Candidate]])/(SamplingData[[#Totals],[Winning Candidate]]-SamplingData[[#Totals],[Losing Candidate]]), 0)</f>
        <v>1.2094720760482092E-2</v>
      </c>
      <c r="R1123" s="99">
        <f>IF(AND(SamplingData[[#This Row],[Total]]&lt;&gt; 0, NOT(ISBLANK(SamplingData[[#This Row],[Candidate 3]]))),(SamplingData[[#This Row],[Total]]+SamplingData[[#This Row],[Winning Candidate]]-SamplingData[[#This Row],[Candidate 3]])/(SamplingData[[#Totals],[Winning Candidate]]-SamplingData[[#Totals],[Candidate 3]]), 0)</f>
        <v>0</v>
      </c>
      <c r="S1123" s="99">
        <f>IF(AND(SamplingData[[#This Row],[Total]]&lt;&gt; 0, NOT(ISBLANK(SamplingData[[#This Row],[Candidate 4]]))),(SamplingData[[#This Row],[Total]]+SamplingData[[#This Row],[Winning Candidate]]-SamplingData[[#This Row],[Candidate 4]])/(SamplingData[[#Totals],[Winning Candidate]]-SamplingData[[#Totals],[Candidate 4]]), 0)</f>
        <v>0</v>
      </c>
      <c r="T1123" s="99">
        <f>IF(AND(SamplingData[[#This Row],[Total]]&lt;&gt; 0, NOT(ISBLANK(SamplingData[[#This Row],[Candidate 5]]))),(SamplingData[[#This Row],[Total]]+SamplingData[[#This Row],[Winning Candidate]]-SamplingData[[#This Row],[Candidate 5]])/(SamplingData[[#Totals],[Winning Candidate]]-SamplingData[[#Totals],[Candidate 5]]), 0)</f>
        <v>0</v>
      </c>
      <c r="U1123" s="99">
        <f>IF(AND(SamplingData[[#This Row],[Total]]&lt;&gt; 0, NOT(ISBLANK(SamplingData[[#This Row],[Candidate 6]]))),(SamplingData[[#This Row],[Total]]+SamplingData[[#This Row],[Losing Candidate]]-SamplingData[[#This Row],[Candidate 6]])/(SamplingData[[#Totals],[Winning Candidate]]-SamplingData[[#Totals],[Candidate 6]]), 0)</f>
        <v>0</v>
      </c>
      <c r="V1123" s="99">
        <f>IF(AND(SamplingData[[#This Row],[Total]]&lt;&gt; 0, NOT(ISBLANK(SamplingData[[#This Row],[Candidate 7]]))),(SamplingData[[#This Row],[Total]]+SamplingData[[#This Row],[Winning Candidate]]-SamplingData[[#This Row],[Candidate 7]])/(SamplingData[[#Totals],[Winning Candidate]]-SamplingData[[#Totals],[Candidate 7]]), 0)</f>
        <v>0</v>
      </c>
      <c r="W1123" s="99">
        <f>IF(AND(SamplingData[[#This Row],[Total]]&lt;&gt; 0, NOT(ISBLANK(SamplingData[[#This Row],[Candidate 8]]))),(SamplingData[[#This Row],[Total]]+SamplingData[[#This Row],[Winning Candidate]]-SamplingData[[#This Row],[Candidate 8]])/(SamplingData[[#Totals],[Winning Candidate]]-SamplingData[[#Totals],[Candidate 8]]), 0)</f>
        <v>0</v>
      </c>
      <c r="X11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3" s="99">
        <f>MAX(SamplingData[[#This Row],[Error Bound (up) - Max. possible relative overstatement - Losing Candidate]:[Error Bound (up) - Max. possible relative overstatement - Candidate 12]])</f>
        <v>1.2094720760482092E-2</v>
      </c>
      <c r="AC1123" s="99">
        <f>IF(SamplingData[[#This Row],[Max Error Bound (up)]] = 0,0,SamplingData[[#This Row],[Max Error Bound (up)]]/SamplingData[[#Totals],[Max Error Bound (up)]])</f>
        <v>6.4756243865198037E-4</v>
      </c>
      <c r="AD1123" s="103">
        <f>SUM($AC$5:AC1123)</f>
        <v>0.994626367833645</v>
      </c>
      <c r="AE1123" s="99" t="str" cm="1">
        <f t="array" ref="AE1123">IF(SamplingData[[#This Row],[up/U Selection Probability]] = 0, "Zero", TEXT(SamplingData[[#This Row],[Lower Range]], REPT("0",LEN('General Info'!$B$42))) &amp; " - " &amp; TEXT(SamplingData[[#This Row],[Upper Range]], REPT("0",LEN('General Info'!$B$42))))</f>
        <v>993979 - 994625</v>
      </c>
      <c r="AF1123" s="99">
        <f>SamplingData[[#This Row],[Upper Range]]-SamplingData[[#This Row],[Span]]</f>
        <v>993978.80539499293</v>
      </c>
      <c r="AG1123" s="99">
        <f>IF(ISNUMBER('General Info'!$B$42), ((SamplingData[[#This Row],[up/U Selection Probability]]) * 'General Info'!$B$44) - 1, 0)</f>
        <v>646.56243865198041</v>
      </c>
      <c r="AH1123" s="99">
        <f>IF(ISNUMBER('General Info'!$B$42), (SamplingData[[#This Row],[Running (cumulative) sum]] * ('General Info'!$B$42 -'General Info'!$B$43 + 1)) + 'General Info'!$B$43 - 1, 0)</f>
        <v>994625.36783364497</v>
      </c>
      <c r="AI1123" s="99" t="str">
        <f>IF(ISERROR(MATCH(SamplingData[[#This Row],[Batch by Type (p)]],SelectedPrecincts[Batch Name], 0)), "", INDEX(SelectedPrecincts[Draw], MATCH(SamplingData[[#This Row],[Batch by Type (p)]],SelectedPrecincts[Batch Name], 0)))</f>
        <v/>
      </c>
      <c r="AJ1123" s="100">
        <f>IF(COUNTIF(SelectedPrecincts[Batch Name],SamplingData[[#This Row],[Batch by Type (p)]]) &lt;&gt; 0, COUNTIF(SelectedPrecincts[Batch Name],SamplingData[[#This Row],[Batch by Type (p)]]), 0)</f>
        <v>0</v>
      </c>
    </row>
    <row r="1124" spans="1:36" ht="15" customHeight="1" x14ac:dyDescent="0.35">
      <c r="A1124" s="97" t="s">
        <v>1337</v>
      </c>
      <c r="B1124" s="97">
        <v>90</v>
      </c>
      <c r="C1124" s="97">
        <v>526</v>
      </c>
      <c r="D1124" s="92"/>
      <c r="E1124" s="92"/>
      <c r="F1124" s="92"/>
      <c r="G1124" s="96"/>
      <c r="H1124" s="96"/>
      <c r="I1124" s="92"/>
      <c r="J1124" s="92"/>
      <c r="K1124" s="92"/>
      <c r="L1124" s="92"/>
      <c r="M1124" s="92"/>
      <c r="N1124" s="97">
        <v>0</v>
      </c>
      <c r="O1124" s="97">
        <v>45</v>
      </c>
      <c r="P1124" s="98">
        <f>SUM(SamplingData[[#This Row],[Winning Candidate]:[Under Votes]])</f>
        <v>661</v>
      </c>
      <c r="Q1124" s="99">
        <f>IF(AND(SamplingData[[#This Row],[Total]]&lt;&gt; 0, NOT(ISBLANK(SamplingData[[#This Row],[Losing Candidate]]))),(SamplingData[[#This Row],[Total]]+SamplingData[[#This Row],[Winning Candidate]]-SamplingData[[#This Row],[Losing Candidate]])/(SamplingData[[#Totals],[Winning Candidate]]-SamplingData[[#Totals],[Losing Candidate]]), 0)</f>
        <v>9.548463758275335E-3</v>
      </c>
      <c r="R1124" s="99">
        <f>IF(AND(SamplingData[[#This Row],[Total]]&lt;&gt; 0, NOT(ISBLANK(SamplingData[[#This Row],[Candidate 3]]))),(SamplingData[[#This Row],[Total]]+SamplingData[[#This Row],[Winning Candidate]]-SamplingData[[#This Row],[Candidate 3]])/(SamplingData[[#Totals],[Winning Candidate]]-SamplingData[[#Totals],[Candidate 3]]), 0)</f>
        <v>0</v>
      </c>
      <c r="S1124" s="99">
        <f>IF(AND(SamplingData[[#This Row],[Total]]&lt;&gt; 0, NOT(ISBLANK(SamplingData[[#This Row],[Candidate 4]]))),(SamplingData[[#This Row],[Total]]+SamplingData[[#This Row],[Winning Candidate]]-SamplingData[[#This Row],[Candidate 4]])/(SamplingData[[#Totals],[Winning Candidate]]-SamplingData[[#Totals],[Candidate 4]]), 0)</f>
        <v>0</v>
      </c>
      <c r="T1124" s="99">
        <f>IF(AND(SamplingData[[#This Row],[Total]]&lt;&gt; 0, NOT(ISBLANK(SamplingData[[#This Row],[Candidate 5]]))),(SamplingData[[#This Row],[Total]]+SamplingData[[#This Row],[Winning Candidate]]-SamplingData[[#This Row],[Candidate 5]])/(SamplingData[[#Totals],[Winning Candidate]]-SamplingData[[#Totals],[Candidate 5]]), 0)</f>
        <v>0</v>
      </c>
      <c r="U1124" s="99">
        <f>IF(AND(SamplingData[[#This Row],[Total]]&lt;&gt; 0, NOT(ISBLANK(SamplingData[[#This Row],[Candidate 6]]))),(SamplingData[[#This Row],[Total]]+SamplingData[[#This Row],[Losing Candidate]]-SamplingData[[#This Row],[Candidate 6]])/(SamplingData[[#Totals],[Winning Candidate]]-SamplingData[[#Totals],[Candidate 6]]), 0)</f>
        <v>0</v>
      </c>
      <c r="V1124" s="99">
        <f>IF(AND(SamplingData[[#This Row],[Total]]&lt;&gt; 0, NOT(ISBLANK(SamplingData[[#This Row],[Candidate 7]]))),(SamplingData[[#This Row],[Total]]+SamplingData[[#This Row],[Winning Candidate]]-SamplingData[[#This Row],[Candidate 7]])/(SamplingData[[#Totals],[Winning Candidate]]-SamplingData[[#Totals],[Candidate 7]]), 0)</f>
        <v>0</v>
      </c>
      <c r="W1124" s="99">
        <f>IF(AND(SamplingData[[#This Row],[Total]]&lt;&gt; 0, NOT(ISBLANK(SamplingData[[#This Row],[Candidate 8]]))),(SamplingData[[#This Row],[Total]]+SamplingData[[#This Row],[Winning Candidate]]-SamplingData[[#This Row],[Candidate 8]])/(SamplingData[[#Totals],[Winning Candidate]]-SamplingData[[#Totals],[Candidate 8]]), 0)</f>
        <v>0</v>
      </c>
      <c r="X11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4" s="99">
        <f>MAX(SamplingData[[#This Row],[Error Bound (up) - Max. possible relative overstatement - Losing Candidate]:[Error Bound (up) - Max. possible relative overstatement - Candidate 12]])</f>
        <v>9.548463758275335E-3</v>
      </c>
      <c r="AC1124" s="99">
        <f>IF(SamplingData[[#This Row],[Max Error Bound (up)]] = 0,0,SamplingData[[#This Row],[Max Error Bound (up)]]/SamplingData[[#Totals],[Max Error Bound (up)]])</f>
        <v>5.1123350419893178E-4</v>
      </c>
      <c r="AD1124" s="103">
        <f>SUM($AC$5:AC1124)</f>
        <v>0.9951376013378439</v>
      </c>
      <c r="AE1124" s="99" t="str" cm="1">
        <f t="array" ref="AE1124">IF(SamplingData[[#This Row],[up/U Selection Probability]] = 0, "Zero", TEXT(SamplingData[[#This Row],[Lower Range]], REPT("0",LEN('General Info'!$B$42))) &amp; " - " &amp; TEXT(SamplingData[[#This Row],[Upper Range]], REPT("0",LEN('General Info'!$B$42))))</f>
        <v>994626 - 995137</v>
      </c>
      <c r="AF1124" s="99">
        <f>SamplingData[[#This Row],[Upper Range]]-SamplingData[[#This Row],[Span]]</f>
        <v>994626.36783364497</v>
      </c>
      <c r="AG1124" s="99">
        <f>IF(ISNUMBER('General Info'!$B$42), ((SamplingData[[#This Row],[up/U Selection Probability]]) * 'General Info'!$B$44) - 1, 0)</f>
        <v>510.23350419893177</v>
      </c>
      <c r="AH1124" s="99">
        <f>IF(ISNUMBER('General Info'!$B$42), (SamplingData[[#This Row],[Running (cumulative) sum]] * ('General Info'!$B$42 -'General Info'!$B$43 + 1)) + 'General Info'!$B$43 - 1, 0)</f>
        <v>995136.60133784392</v>
      </c>
      <c r="AI1124" s="99" t="str">
        <f>IF(ISERROR(MATCH(SamplingData[[#This Row],[Batch by Type (p)]],SelectedPrecincts[Batch Name], 0)), "", INDEX(SelectedPrecincts[Draw], MATCH(SamplingData[[#This Row],[Batch by Type (p)]],SelectedPrecincts[Batch Name], 0)))</f>
        <v/>
      </c>
      <c r="AJ1124" s="100">
        <f>IF(COUNTIF(SelectedPrecincts[Batch Name],SamplingData[[#This Row],[Batch by Type (p)]]) &lt;&gt; 0, COUNTIF(SelectedPrecincts[Batch Name],SamplingData[[#This Row],[Batch by Type (p)]]), 0)</f>
        <v>0</v>
      </c>
    </row>
    <row r="1125" spans="1:36" ht="15" customHeight="1" x14ac:dyDescent="0.35">
      <c r="A1125" s="97" t="s">
        <v>1338</v>
      </c>
      <c r="B1125" s="97">
        <v>153</v>
      </c>
      <c r="C1125" s="97">
        <v>632</v>
      </c>
      <c r="D1125" s="92"/>
      <c r="E1125" s="92"/>
      <c r="F1125" s="92"/>
      <c r="G1125" s="96"/>
      <c r="H1125" s="96"/>
      <c r="I1125" s="92"/>
      <c r="J1125" s="92"/>
      <c r="K1125" s="92"/>
      <c r="L1125" s="92"/>
      <c r="M1125" s="92"/>
      <c r="N1125" s="97">
        <v>0</v>
      </c>
      <c r="O1125" s="97">
        <v>52</v>
      </c>
      <c r="P1125" s="98">
        <f>SUM(SamplingData[[#This Row],[Winning Candidate]:[Under Votes]])</f>
        <v>837</v>
      </c>
      <c r="Q1125" s="99">
        <f>IF(AND(SamplingData[[#This Row],[Total]]&lt;&gt; 0, NOT(ISBLANK(SamplingData[[#This Row],[Losing Candidate]]))),(SamplingData[[#This Row],[Total]]+SamplingData[[#This Row],[Winning Candidate]]-SamplingData[[#This Row],[Losing Candidate]])/(SamplingData[[#Totals],[Winning Candidate]]-SamplingData[[#Totals],[Losing Candidate]]), 0)</f>
        <v>1.5192666779833644E-2</v>
      </c>
      <c r="R1125" s="99">
        <f>IF(AND(SamplingData[[#This Row],[Total]]&lt;&gt; 0, NOT(ISBLANK(SamplingData[[#This Row],[Candidate 3]]))),(SamplingData[[#This Row],[Total]]+SamplingData[[#This Row],[Winning Candidate]]-SamplingData[[#This Row],[Candidate 3]])/(SamplingData[[#Totals],[Winning Candidate]]-SamplingData[[#Totals],[Candidate 3]]), 0)</f>
        <v>0</v>
      </c>
      <c r="S1125" s="99">
        <f>IF(AND(SamplingData[[#This Row],[Total]]&lt;&gt; 0, NOT(ISBLANK(SamplingData[[#This Row],[Candidate 4]]))),(SamplingData[[#This Row],[Total]]+SamplingData[[#This Row],[Winning Candidate]]-SamplingData[[#This Row],[Candidate 4]])/(SamplingData[[#Totals],[Winning Candidate]]-SamplingData[[#Totals],[Candidate 4]]), 0)</f>
        <v>0</v>
      </c>
      <c r="T1125" s="99">
        <f>IF(AND(SamplingData[[#This Row],[Total]]&lt;&gt; 0, NOT(ISBLANK(SamplingData[[#This Row],[Candidate 5]]))),(SamplingData[[#This Row],[Total]]+SamplingData[[#This Row],[Winning Candidate]]-SamplingData[[#This Row],[Candidate 5]])/(SamplingData[[#Totals],[Winning Candidate]]-SamplingData[[#Totals],[Candidate 5]]), 0)</f>
        <v>0</v>
      </c>
      <c r="U1125" s="99">
        <f>IF(AND(SamplingData[[#This Row],[Total]]&lt;&gt; 0, NOT(ISBLANK(SamplingData[[#This Row],[Candidate 6]]))),(SamplingData[[#This Row],[Total]]+SamplingData[[#This Row],[Losing Candidate]]-SamplingData[[#This Row],[Candidate 6]])/(SamplingData[[#Totals],[Winning Candidate]]-SamplingData[[#Totals],[Candidate 6]]), 0)</f>
        <v>0</v>
      </c>
      <c r="V1125" s="99">
        <f>IF(AND(SamplingData[[#This Row],[Total]]&lt;&gt; 0, NOT(ISBLANK(SamplingData[[#This Row],[Candidate 7]]))),(SamplingData[[#This Row],[Total]]+SamplingData[[#This Row],[Winning Candidate]]-SamplingData[[#This Row],[Candidate 7]])/(SamplingData[[#Totals],[Winning Candidate]]-SamplingData[[#Totals],[Candidate 7]]), 0)</f>
        <v>0</v>
      </c>
      <c r="W1125" s="99">
        <f>IF(AND(SamplingData[[#This Row],[Total]]&lt;&gt; 0, NOT(ISBLANK(SamplingData[[#This Row],[Candidate 8]]))),(SamplingData[[#This Row],[Total]]+SamplingData[[#This Row],[Winning Candidate]]-SamplingData[[#This Row],[Candidate 8]])/(SamplingData[[#Totals],[Winning Candidate]]-SamplingData[[#Totals],[Candidate 8]]), 0)</f>
        <v>0</v>
      </c>
      <c r="X11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5" s="99">
        <f>MAX(SamplingData[[#This Row],[Error Bound (up) - Max. possible relative overstatement - Losing Candidate]:[Error Bound (up) - Max. possible relative overstatement - Candidate 12]])</f>
        <v>1.5192666779833644E-2</v>
      </c>
      <c r="AC1125" s="99">
        <f>IF(SamplingData[[#This Row],[Max Error Bound (up)]] = 0,0,SamplingData[[#This Row],[Max Error Bound (up)]]/SamplingData[[#Totals],[Max Error Bound (up)]])</f>
        <v>8.1342930890318933E-4</v>
      </c>
      <c r="AD1125" s="103">
        <f>SUM($AC$5:AC1125)</f>
        <v>0.99595103064674706</v>
      </c>
      <c r="AE1125" s="99" t="str" cm="1">
        <f t="array" ref="AE1125">IF(SamplingData[[#This Row],[up/U Selection Probability]] = 0, "Zero", TEXT(SamplingData[[#This Row],[Lower Range]], REPT("0",LEN('General Info'!$B$42))) &amp; " - " &amp; TEXT(SamplingData[[#This Row],[Upper Range]], REPT("0",LEN('General Info'!$B$42))))</f>
        <v>995138 - 995950</v>
      </c>
      <c r="AF1125" s="99">
        <f>SamplingData[[#This Row],[Upper Range]]-SamplingData[[#This Row],[Span]]</f>
        <v>995137.60133784392</v>
      </c>
      <c r="AG1125" s="99">
        <f>IF(ISNUMBER('General Info'!$B$42), ((SamplingData[[#This Row],[up/U Selection Probability]]) * 'General Info'!$B$44) - 1, 0)</f>
        <v>812.42930890318928</v>
      </c>
      <c r="AH1125" s="99">
        <f>IF(ISNUMBER('General Info'!$B$42), (SamplingData[[#This Row],[Running (cumulative) sum]] * ('General Info'!$B$42 -'General Info'!$B$43 + 1)) + 'General Info'!$B$43 - 1, 0)</f>
        <v>995950.03064674709</v>
      </c>
      <c r="AI1125" s="99" t="str">
        <f>IF(ISERROR(MATCH(SamplingData[[#This Row],[Batch by Type (p)]],SelectedPrecincts[Batch Name], 0)), "", INDEX(SelectedPrecincts[Draw], MATCH(SamplingData[[#This Row],[Batch by Type (p)]],SelectedPrecincts[Batch Name], 0)))</f>
        <v/>
      </c>
      <c r="AJ1125" s="100">
        <f>IF(COUNTIF(SelectedPrecincts[Batch Name],SamplingData[[#This Row],[Batch by Type (p)]]) &lt;&gt; 0, COUNTIF(SelectedPrecincts[Batch Name],SamplingData[[#This Row],[Batch by Type (p)]]), 0)</f>
        <v>0</v>
      </c>
    </row>
    <row r="1126" spans="1:36" ht="15" customHeight="1" x14ac:dyDescent="0.35">
      <c r="A1126" s="97" t="s">
        <v>1339</v>
      </c>
      <c r="B1126" s="97">
        <v>83</v>
      </c>
      <c r="C1126" s="97">
        <v>471</v>
      </c>
      <c r="D1126" s="92"/>
      <c r="E1126" s="92"/>
      <c r="F1126" s="92"/>
      <c r="G1126" s="96"/>
      <c r="H1126" s="96"/>
      <c r="I1126" s="92"/>
      <c r="J1126" s="92"/>
      <c r="K1126" s="92"/>
      <c r="L1126" s="92"/>
      <c r="M1126" s="92"/>
      <c r="N1126" s="97">
        <v>0</v>
      </c>
      <c r="O1126" s="97">
        <v>40</v>
      </c>
      <c r="P1126" s="98">
        <f>SUM(SamplingData[[#This Row],[Winning Candidate]:[Under Votes]])</f>
        <v>594</v>
      </c>
      <c r="Q1126" s="99">
        <f>IF(AND(SamplingData[[#This Row],[Total]]&lt;&gt; 0, NOT(ISBLANK(SamplingData[[#This Row],[Losing Candidate]]))),(SamplingData[[#This Row],[Total]]+SamplingData[[#This Row],[Winning Candidate]]-SamplingData[[#This Row],[Losing Candidate]])/(SamplingData[[#Totals],[Winning Candidate]]-SamplingData[[#Totals],[Losing Candidate]]), 0)</f>
        <v>8.7421490409098617E-3</v>
      </c>
      <c r="R1126" s="99">
        <f>IF(AND(SamplingData[[#This Row],[Total]]&lt;&gt; 0, NOT(ISBLANK(SamplingData[[#This Row],[Candidate 3]]))),(SamplingData[[#This Row],[Total]]+SamplingData[[#This Row],[Winning Candidate]]-SamplingData[[#This Row],[Candidate 3]])/(SamplingData[[#Totals],[Winning Candidate]]-SamplingData[[#Totals],[Candidate 3]]), 0)</f>
        <v>0</v>
      </c>
      <c r="S1126" s="99">
        <f>IF(AND(SamplingData[[#This Row],[Total]]&lt;&gt; 0, NOT(ISBLANK(SamplingData[[#This Row],[Candidate 4]]))),(SamplingData[[#This Row],[Total]]+SamplingData[[#This Row],[Winning Candidate]]-SamplingData[[#This Row],[Candidate 4]])/(SamplingData[[#Totals],[Winning Candidate]]-SamplingData[[#Totals],[Candidate 4]]), 0)</f>
        <v>0</v>
      </c>
      <c r="T1126" s="99">
        <f>IF(AND(SamplingData[[#This Row],[Total]]&lt;&gt; 0, NOT(ISBLANK(SamplingData[[#This Row],[Candidate 5]]))),(SamplingData[[#This Row],[Total]]+SamplingData[[#This Row],[Winning Candidate]]-SamplingData[[#This Row],[Candidate 5]])/(SamplingData[[#Totals],[Winning Candidate]]-SamplingData[[#Totals],[Candidate 5]]), 0)</f>
        <v>0</v>
      </c>
      <c r="U1126" s="99">
        <f>IF(AND(SamplingData[[#This Row],[Total]]&lt;&gt; 0, NOT(ISBLANK(SamplingData[[#This Row],[Candidate 6]]))),(SamplingData[[#This Row],[Total]]+SamplingData[[#This Row],[Losing Candidate]]-SamplingData[[#This Row],[Candidate 6]])/(SamplingData[[#Totals],[Winning Candidate]]-SamplingData[[#Totals],[Candidate 6]]), 0)</f>
        <v>0</v>
      </c>
      <c r="V1126" s="99">
        <f>IF(AND(SamplingData[[#This Row],[Total]]&lt;&gt; 0, NOT(ISBLANK(SamplingData[[#This Row],[Candidate 7]]))),(SamplingData[[#This Row],[Total]]+SamplingData[[#This Row],[Winning Candidate]]-SamplingData[[#This Row],[Candidate 7]])/(SamplingData[[#Totals],[Winning Candidate]]-SamplingData[[#Totals],[Candidate 7]]), 0)</f>
        <v>0</v>
      </c>
      <c r="W1126" s="99">
        <f>IF(AND(SamplingData[[#This Row],[Total]]&lt;&gt; 0, NOT(ISBLANK(SamplingData[[#This Row],[Candidate 8]]))),(SamplingData[[#This Row],[Total]]+SamplingData[[#This Row],[Winning Candidate]]-SamplingData[[#This Row],[Candidate 8]])/(SamplingData[[#Totals],[Winning Candidate]]-SamplingData[[#Totals],[Candidate 8]]), 0)</f>
        <v>0</v>
      </c>
      <c r="X11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6" s="99">
        <f>MAX(SamplingData[[#This Row],[Error Bound (up) - Max. possible relative overstatement - Losing Candidate]:[Error Bound (up) - Max. possible relative overstatement - Candidate 12]])</f>
        <v>8.7421490409098617E-3</v>
      </c>
      <c r="AC1126" s="99">
        <f>IF(SamplingData[[#This Row],[Max Error Bound (up)]] = 0,0,SamplingData[[#This Row],[Max Error Bound (up)]]/SamplingData[[#Totals],[Max Error Bound (up)]])</f>
        <v>4.6806267495546646E-4</v>
      </c>
      <c r="AD1126" s="103">
        <f>SUM($AC$5:AC1126)</f>
        <v>0.99641909332170253</v>
      </c>
      <c r="AE1126" s="99" t="str" cm="1">
        <f t="array" ref="AE1126">IF(SamplingData[[#This Row],[up/U Selection Probability]] = 0, "Zero", TEXT(SamplingData[[#This Row],[Lower Range]], REPT("0",LEN('General Info'!$B$42))) &amp; " - " &amp; TEXT(SamplingData[[#This Row],[Upper Range]], REPT("0",LEN('General Info'!$B$42))))</f>
        <v>995951 - 996418</v>
      </c>
      <c r="AF1126" s="99">
        <f>SamplingData[[#This Row],[Upper Range]]-SamplingData[[#This Row],[Span]]</f>
        <v>995951.03064674709</v>
      </c>
      <c r="AG1126" s="99">
        <f>IF(ISNUMBER('General Info'!$B$42), ((SamplingData[[#This Row],[up/U Selection Probability]]) * 'General Info'!$B$44) - 1, 0)</f>
        <v>467.06267495546643</v>
      </c>
      <c r="AH1126" s="99">
        <f>IF(ISNUMBER('General Info'!$B$42), (SamplingData[[#This Row],[Running (cumulative) sum]] * ('General Info'!$B$42 -'General Info'!$B$43 + 1)) + 'General Info'!$B$43 - 1, 0)</f>
        <v>996418.09332170256</v>
      </c>
      <c r="AI1126" s="99" t="str">
        <f>IF(ISERROR(MATCH(SamplingData[[#This Row],[Batch by Type (p)]],SelectedPrecincts[Batch Name], 0)), "", INDEX(SelectedPrecincts[Draw], MATCH(SamplingData[[#This Row],[Batch by Type (p)]],SelectedPrecincts[Batch Name], 0)))</f>
        <v/>
      </c>
      <c r="AJ1126" s="100">
        <f>IF(COUNTIF(SelectedPrecincts[Batch Name],SamplingData[[#This Row],[Batch by Type (p)]]) &lt;&gt; 0, COUNTIF(SelectedPrecincts[Batch Name],SamplingData[[#This Row],[Batch by Type (p)]]), 0)</f>
        <v>0</v>
      </c>
    </row>
    <row r="1127" spans="1:36" ht="15" customHeight="1" x14ac:dyDescent="0.35">
      <c r="A1127" s="97" t="s">
        <v>1340</v>
      </c>
      <c r="B1127" s="97">
        <v>323</v>
      </c>
      <c r="C1127" s="97">
        <v>81</v>
      </c>
      <c r="D1127" s="92"/>
      <c r="E1127" s="92"/>
      <c r="F1127" s="92"/>
      <c r="G1127" s="96"/>
      <c r="H1127" s="96"/>
      <c r="I1127" s="92"/>
      <c r="J1127" s="92"/>
      <c r="K1127" s="92"/>
      <c r="L1127" s="92"/>
      <c r="M1127" s="92"/>
      <c r="N1127" s="97">
        <v>0</v>
      </c>
      <c r="O1127" s="97">
        <v>24</v>
      </c>
      <c r="P1127" s="98">
        <f>SUM(SamplingData[[#This Row],[Winning Candidate]:[Under Votes]])</f>
        <v>428</v>
      </c>
      <c r="Q1127" s="99">
        <f>IF(AND(SamplingData[[#This Row],[Total]]&lt;&gt; 0, NOT(ISBLANK(SamplingData[[#This Row],[Losing Candidate]]))),(SamplingData[[#This Row],[Total]]+SamplingData[[#This Row],[Winning Candidate]]-SamplingData[[#This Row],[Losing Candidate]])/(SamplingData[[#Totals],[Winning Candidate]]-SamplingData[[#Totals],[Losing Candidate]]), 0)</f>
        <v>2.8433203191308775E-2</v>
      </c>
      <c r="R1127" s="99">
        <f>IF(AND(SamplingData[[#This Row],[Total]]&lt;&gt; 0, NOT(ISBLANK(SamplingData[[#This Row],[Candidate 3]]))),(SamplingData[[#This Row],[Total]]+SamplingData[[#This Row],[Winning Candidate]]-SamplingData[[#This Row],[Candidate 3]])/(SamplingData[[#Totals],[Winning Candidate]]-SamplingData[[#Totals],[Candidate 3]]), 0)</f>
        <v>0</v>
      </c>
      <c r="S1127" s="99">
        <f>IF(AND(SamplingData[[#This Row],[Total]]&lt;&gt; 0, NOT(ISBLANK(SamplingData[[#This Row],[Candidate 4]]))),(SamplingData[[#This Row],[Total]]+SamplingData[[#This Row],[Winning Candidate]]-SamplingData[[#This Row],[Candidate 4]])/(SamplingData[[#Totals],[Winning Candidate]]-SamplingData[[#Totals],[Candidate 4]]), 0)</f>
        <v>0</v>
      </c>
      <c r="T1127" s="99">
        <f>IF(AND(SamplingData[[#This Row],[Total]]&lt;&gt; 0, NOT(ISBLANK(SamplingData[[#This Row],[Candidate 5]]))),(SamplingData[[#This Row],[Total]]+SamplingData[[#This Row],[Winning Candidate]]-SamplingData[[#This Row],[Candidate 5]])/(SamplingData[[#Totals],[Winning Candidate]]-SamplingData[[#Totals],[Candidate 5]]), 0)</f>
        <v>0</v>
      </c>
      <c r="U1127" s="99">
        <f>IF(AND(SamplingData[[#This Row],[Total]]&lt;&gt; 0, NOT(ISBLANK(SamplingData[[#This Row],[Candidate 6]]))),(SamplingData[[#This Row],[Total]]+SamplingData[[#This Row],[Losing Candidate]]-SamplingData[[#This Row],[Candidate 6]])/(SamplingData[[#Totals],[Winning Candidate]]-SamplingData[[#Totals],[Candidate 6]]), 0)</f>
        <v>0</v>
      </c>
      <c r="V1127" s="99">
        <f>IF(AND(SamplingData[[#This Row],[Total]]&lt;&gt; 0, NOT(ISBLANK(SamplingData[[#This Row],[Candidate 7]]))),(SamplingData[[#This Row],[Total]]+SamplingData[[#This Row],[Winning Candidate]]-SamplingData[[#This Row],[Candidate 7]])/(SamplingData[[#Totals],[Winning Candidate]]-SamplingData[[#Totals],[Candidate 7]]), 0)</f>
        <v>0</v>
      </c>
      <c r="W1127" s="99">
        <f>IF(AND(SamplingData[[#This Row],[Total]]&lt;&gt; 0, NOT(ISBLANK(SamplingData[[#This Row],[Candidate 8]]))),(SamplingData[[#This Row],[Total]]+SamplingData[[#This Row],[Winning Candidate]]-SamplingData[[#This Row],[Candidate 8]])/(SamplingData[[#Totals],[Winning Candidate]]-SamplingData[[#Totals],[Candidate 8]]), 0)</f>
        <v>0</v>
      </c>
      <c r="X11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7" s="99">
        <f>MAX(SamplingData[[#This Row],[Error Bound (up) - Max. possible relative overstatement - Losing Candidate]:[Error Bound (up) - Max. possible relative overstatement - Candidate 12]])</f>
        <v>2.8433203191308775E-2</v>
      </c>
      <c r="AC1127" s="99">
        <f>IF(SamplingData[[#This Row],[Max Error Bound (up)]] = 0,0,SamplingData[[#This Row],[Max Error Bound (up)]]/SamplingData[[#Totals],[Max Error Bound (up)]])</f>
        <v>1.5223397680590414E-3</v>
      </c>
      <c r="AD1127" s="103">
        <f>SUM($AC$5:AC1127)</f>
        <v>0.99794143308976158</v>
      </c>
      <c r="AE1127" s="99" t="str" cm="1">
        <f t="array" ref="AE1127">IF(SamplingData[[#This Row],[up/U Selection Probability]] = 0, "Zero", TEXT(SamplingData[[#This Row],[Lower Range]], REPT("0",LEN('General Info'!$B$42))) &amp; " - " &amp; TEXT(SamplingData[[#This Row],[Upper Range]], REPT("0",LEN('General Info'!$B$42))))</f>
        <v>996419 - 997940</v>
      </c>
      <c r="AF1127" s="99">
        <f>SamplingData[[#This Row],[Upper Range]]-SamplingData[[#This Row],[Span]]</f>
        <v>996419.09332170244</v>
      </c>
      <c r="AG1127" s="99">
        <f>IF(ISNUMBER('General Info'!$B$42), ((SamplingData[[#This Row],[up/U Selection Probability]]) * 'General Info'!$B$44) - 1, 0)</f>
        <v>1521.3397680590415</v>
      </c>
      <c r="AH1127" s="99">
        <f>IF(ISNUMBER('General Info'!$B$42), (SamplingData[[#This Row],[Running (cumulative) sum]] * ('General Info'!$B$42 -'General Info'!$B$43 + 1)) + 'General Info'!$B$43 - 1, 0)</f>
        <v>997940.43308976153</v>
      </c>
      <c r="AI1127" s="99">
        <f>IF(ISERROR(MATCH(SamplingData[[#This Row],[Batch by Type (p)]],SelectedPrecincts[Batch Name], 0)), "", INDEX(SelectedPrecincts[Draw], MATCH(SamplingData[[#This Row],[Batch by Type (p)]],SelectedPrecincts[Batch Name], 0)))</f>
        <v>38</v>
      </c>
      <c r="AJ1127" s="100">
        <f>IF(COUNTIF(SelectedPrecincts[Batch Name],SamplingData[[#This Row],[Batch by Type (p)]]) &lt;&gt; 0, COUNTIF(SelectedPrecincts[Batch Name],SamplingData[[#This Row],[Batch by Type (p)]]), 0)</f>
        <v>1</v>
      </c>
    </row>
    <row r="1128" spans="1:36" ht="15" customHeight="1" x14ac:dyDescent="0.35">
      <c r="A1128" s="97" t="s">
        <v>1341</v>
      </c>
      <c r="B1128" s="97">
        <v>440</v>
      </c>
      <c r="C1128" s="97">
        <v>88</v>
      </c>
      <c r="D1128" s="92"/>
      <c r="E1128" s="92"/>
      <c r="F1128" s="92"/>
      <c r="G1128" s="96"/>
      <c r="H1128" s="96"/>
      <c r="I1128" s="92"/>
      <c r="J1128" s="92"/>
      <c r="K1128" s="92"/>
      <c r="L1128" s="92"/>
      <c r="M1128" s="92"/>
      <c r="N1128" s="97">
        <v>0</v>
      </c>
      <c r="O1128" s="97">
        <v>26</v>
      </c>
      <c r="P1128" s="98">
        <f>SUM(SamplingData[[#This Row],[Winning Candidate]:[Under Votes]])</f>
        <v>554</v>
      </c>
      <c r="Q1128" s="99">
        <f>IF(AND(SamplingData[[#This Row],[Total]]&lt;&gt; 0, NOT(ISBLANK(SamplingData[[#This Row],[Losing Candidate]]))),(SamplingData[[#This Row],[Total]]+SamplingData[[#This Row],[Winning Candidate]]-SamplingData[[#This Row],[Losing Candidate]])/(SamplingData[[#Totals],[Winning Candidate]]-SamplingData[[#Totals],[Losing Candidate]]), 0)</f>
        <v>3.8448480733322014E-2</v>
      </c>
      <c r="R1128" s="99">
        <f>IF(AND(SamplingData[[#This Row],[Total]]&lt;&gt; 0, NOT(ISBLANK(SamplingData[[#This Row],[Candidate 3]]))),(SamplingData[[#This Row],[Total]]+SamplingData[[#This Row],[Winning Candidate]]-SamplingData[[#This Row],[Candidate 3]])/(SamplingData[[#Totals],[Winning Candidate]]-SamplingData[[#Totals],[Candidate 3]]), 0)</f>
        <v>0</v>
      </c>
      <c r="S1128" s="99">
        <f>IF(AND(SamplingData[[#This Row],[Total]]&lt;&gt; 0, NOT(ISBLANK(SamplingData[[#This Row],[Candidate 4]]))),(SamplingData[[#This Row],[Total]]+SamplingData[[#This Row],[Winning Candidate]]-SamplingData[[#This Row],[Candidate 4]])/(SamplingData[[#Totals],[Winning Candidate]]-SamplingData[[#Totals],[Candidate 4]]), 0)</f>
        <v>0</v>
      </c>
      <c r="T1128" s="99">
        <f>IF(AND(SamplingData[[#This Row],[Total]]&lt;&gt; 0, NOT(ISBLANK(SamplingData[[#This Row],[Candidate 5]]))),(SamplingData[[#This Row],[Total]]+SamplingData[[#This Row],[Winning Candidate]]-SamplingData[[#This Row],[Candidate 5]])/(SamplingData[[#Totals],[Winning Candidate]]-SamplingData[[#Totals],[Candidate 5]]), 0)</f>
        <v>0</v>
      </c>
      <c r="U1128" s="99">
        <f>IF(AND(SamplingData[[#This Row],[Total]]&lt;&gt; 0, NOT(ISBLANK(SamplingData[[#This Row],[Candidate 6]]))),(SamplingData[[#This Row],[Total]]+SamplingData[[#This Row],[Losing Candidate]]-SamplingData[[#This Row],[Candidate 6]])/(SamplingData[[#Totals],[Winning Candidate]]-SamplingData[[#Totals],[Candidate 6]]), 0)</f>
        <v>0</v>
      </c>
      <c r="V1128" s="99">
        <f>IF(AND(SamplingData[[#This Row],[Total]]&lt;&gt; 0, NOT(ISBLANK(SamplingData[[#This Row],[Candidate 7]]))),(SamplingData[[#This Row],[Total]]+SamplingData[[#This Row],[Winning Candidate]]-SamplingData[[#This Row],[Candidate 7]])/(SamplingData[[#Totals],[Winning Candidate]]-SamplingData[[#Totals],[Candidate 7]]), 0)</f>
        <v>0</v>
      </c>
      <c r="W1128" s="99">
        <f>IF(AND(SamplingData[[#This Row],[Total]]&lt;&gt; 0, NOT(ISBLANK(SamplingData[[#This Row],[Candidate 8]]))),(SamplingData[[#This Row],[Total]]+SamplingData[[#This Row],[Winning Candidate]]-SamplingData[[#This Row],[Candidate 8]])/(SamplingData[[#Totals],[Winning Candidate]]-SamplingData[[#Totals],[Candidate 8]]), 0)</f>
        <v>0</v>
      </c>
      <c r="X11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8" s="99">
        <f>MAX(SamplingData[[#This Row],[Error Bound (up) - Max. possible relative overstatement - Losing Candidate]:[Error Bound (up) - Max. possible relative overstatement - Candidate 12]])</f>
        <v>3.8448480733322014E-2</v>
      </c>
      <c r="AC1128" s="99">
        <f>IF(SamplingData[[#This Row],[Max Error Bound (up)]] = 0,0,SamplingData[[#This Row],[Max Error Bound (up)]]/SamplingData[[#Totals],[Max Error Bound (up)]])</f>
        <v>2.0585669102410322E-3</v>
      </c>
      <c r="AD1128" s="103">
        <f>SUM($AC$5:AC1128)</f>
        <v>1.0000000000000027</v>
      </c>
      <c r="AE1128" s="99" t="str" cm="1">
        <f t="array" ref="AE1128">IF(SamplingData[[#This Row],[up/U Selection Probability]] = 0, "Zero", TEXT(SamplingData[[#This Row],[Lower Range]], REPT("0",LEN('General Info'!$B$42))) &amp; " - " &amp; TEXT(SamplingData[[#This Row],[Upper Range]], REPT("0",LEN('General Info'!$B$42))))</f>
        <v>997941 - 999999</v>
      </c>
      <c r="AF1128" s="99">
        <f>SamplingData[[#This Row],[Upper Range]]-SamplingData[[#This Row],[Span]]</f>
        <v>997941.43308976165</v>
      </c>
      <c r="AG1128" s="99">
        <f>IF(ISNUMBER('General Info'!$B$42), ((SamplingData[[#This Row],[up/U Selection Probability]]) * 'General Info'!$B$44) - 1, 0)</f>
        <v>2057.566910241032</v>
      </c>
      <c r="AH1128" s="99">
        <f>IF(ISNUMBER('General Info'!$B$42), (SamplingData[[#This Row],[Running (cumulative) sum]] * ('General Info'!$B$42 -'General Info'!$B$43 + 1)) + 'General Info'!$B$43 - 1, 0)</f>
        <v>999999.00000000268</v>
      </c>
      <c r="AI1128" s="99" t="str">
        <f>IF(ISERROR(MATCH(SamplingData[[#This Row],[Batch by Type (p)]],SelectedPrecincts[Batch Name], 0)), "", INDEX(SelectedPrecincts[Draw], MATCH(SamplingData[[#This Row],[Batch by Type (p)]],SelectedPrecincts[Batch Name], 0)))</f>
        <v/>
      </c>
      <c r="AJ1128" s="100">
        <f>IF(COUNTIF(SelectedPrecincts[Batch Name],SamplingData[[#This Row],[Batch by Type (p)]]) &lt;&gt; 0, COUNTIF(SelectedPrecincts[Batch Name],SamplingData[[#This Row],[Batch by Type (p)]]), 0)</f>
        <v>0</v>
      </c>
    </row>
    <row r="1129" spans="1:36" ht="15" customHeight="1" x14ac:dyDescent="0.35">
      <c r="A1129" s="104">
        <f>SUBTOTAL(103,SamplingData[Batch by Type (p)])</f>
        <v>1124</v>
      </c>
      <c r="B1129" s="104">
        <f>SUM(SamplingData[Winning Candidate])</f>
        <v>206681</v>
      </c>
      <c r="C1129" s="104">
        <f>SUM(SamplingData[Losing Candidate])</f>
        <v>183117</v>
      </c>
      <c r="D1129" s="104">
        <f>SUM(SamplingData[Candidate 3])</f>
        <v>0</v>
      </c>
      <c r="E1129" s="104">
        <f>SUM(SamplingData[Candidate 4])</f>
        <v>0</v>
      </c>
      <c r="F1129" s="104">
        <f>SUM(SamplingData[Candidate 5])</f>
        <v>0</v>
      </c>
      <c r="G1129" s="104">
        <f>SUBTOTAL(109,SamplingData[Candidate 6])</f>
        <v>0</v>
      </c>
      <c r="H1129" s="104">
        <f>SUBTOTAL(109,SamplingData[Candidate 7])</f>
        <v>0</v>
      </c>
      <c r="I1129" s="104">
        <f>SUM(SamplingData[Candidate 8])</f>
        <v>0</v>
      </c>
      <c r="J1129" s="104"/>
      <c r="K1129" s="104"/>
      <c r="L1129" s="104"/>
      <c r="M1129" s="104"/>
      <c r="N1129" s="104">
        <f>SUM(SamplingData[Over Votes])</f>
        <v>209</v>
      </c>
      <c r="O1129" s="104">
        <f>SUM(SamplingData[Under Votes])</f>
        <v>26541</v>
      </c>
      <c r="P1129" s="105">
        <f>SUM(SamplingData[Total])</f>
        <v>416548</v>
      </c>
      <c r="Q1129" s="104">
        <f>SUM(SamplingData[Error Bound (up) - Max. possible relative overstatement - Losing Candidate])</f>
        <v>18.677304362586973</v>
      </c>
      <c r="R1129" s="104">
        <f>SUM(SamplingData[Error Bound (up) - Max. possible relative overstatement - Candidate 3])</f>
        <v>0</v>
      </c>
      <c r="S1129" s="104">
        <f>SUM(SamplingData[Error Bound (up) - Max. possible relative overstatement - Candidate 4])</f>
        <v>0</v>
      </c>
      <c r="T1129" s="104">
        <f>SUM(SamplingData[Error Bound (up) - Max. possible relative overstatement - Candidate 5])</f>
        <v>0</v>
      </c>
      <c r="U1129" s="104">
        <f>SUBTOTAL(109,SamplingData[Error Bound (up) - Max. possible relative overstatement - Candidate 6])</f>
        <v>0</v>
      </c>
      <c r="V1129" s="104">
        <f>SUBTOTAL(109,SamplingData[Error Bound (up) - Max. possible relative overstatement - Candidate 7])</f>
        <v>0</v>
      </c>
      <c r="W1129" s="104">
        <f>SUM(SamplingData[Error Bound (up) - Max. possible relative overstatement - Candidate 8])</f>
        <v>0</v>
      </c>
      <c r="X1129" s="104">
        <f>SUM(SamplingData[Error Bound (up) - Max. possible relative overstatement - Candidate 9])</f>
        <v>0</v>
      </c>
      <c r="Y1129" s="104">
        <f>SUM(SamplingData[Error Bound (up) - Max. possible relative overstatement - Candidate 10])</f>
        <v>0</v>
      </c>
      <c r="Z1129" s="104">
        <f>SUM(SamplingData[Error Bound (up) - Max. possible relative overstatement - Candidate 11])</f>
        <v>0</v>
      </c>
      <c r="AA1129" s="104">
        <f>SUM(SamplingData[Error Bound (up) - Max. possible relative overstatement - Candidate 12])</f>
        <v>0</v>
      </c>
      <c r="AB1129" s="104">
        <f>SUM(SamplingData[Max Error Bound (up)])</f>
        <v>18.677304362586973</v>
      </c>
      <c r="AC1129" s="104">
        <f>SUM(SamplingData[up/U Selection Probability])</f>
        <v>1.0000000000000027</v>
      </c>
      <c r="AD1129" s="104">
        <f>SUM(SamplingData[Running (cumulative) sum])</f>
        <v>567.28024002981272</v>
      </c>
      <c r="AE1129" s="104" t="str">
        <f>IF(OR(NOT(ISNUMBER('General Info'!$B$42)), NOT(ISNUMBER('General Info'!$B$43))), "UNDEFINED", TEXT(MIN(SamplingData[Lower Range]), REPT("0",LEN('General Info'!$B$42))) &amp; " - " &amp; TEXT(MAX(SamplingData[Upper Range]), REPT("0",LEN('General Info'!$B$42))))</f>
        <v>000000 - 999999</v>
      </c>
      <c r="AF1129" s="104">
        <f>SUM(SamplingData[Lower Range])</f>
        <v>566280240.02981174</v>
      </c>
      <c r="AG1129" s="104">
        <f>SUM(SamplingData[Span])</f>
        <v>998876.00000000047</v>
      </c>
      <c r="AH1129" s="104">
        <f>SUM(SamplingData[Upper Range])</f>
        <v>567279116.02981174</v>
      </c>
      <c r="AI1129" s="104" t="s">
        <v>0</v>
      </c>
      <c r="AJ1129" s="105">
        <f>COUNTIF(SamplingData[Times p Drawn - With Replacement], "&lt;&gt;0")</f>
        <v>40</v>
      </c>
    </row>
  </sheetData>
  <sortState xmlns:xlrd2="http://schemas.microsoft.com/office/spreadsheetml/2017/richdata2" ref="A2:AS31">
    <sortCondition descending="1" ref="AC2:AC31"/>
  </sortState>
  <mergeCells count="3">
    <mergeCell ref="A2:O2"/>
    <mergeCell ref="P2:AJ2"/>
    <mergeCell ref="A1:AJ1"/>
  </mergeCells>
  <printOptions horizontalCentered="1" gridLines="1"/>
  <pageMargins left="0.25" right="0.25" top="0.75" bottom="0.75" header="0.3" footer="0.3"/>
  <pageSetup scale="59" fitToHeight="0" orientation="landscape" horizontalDpi="1200" verticalDpi="1200" r:id="rId1"/>
  <headerFooter>
    <oddFooter>&amp;C&amp;P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82"/>
  <sheetViews>
    <sheetView topLeftCell="A77" zoomScaleNormal="100" workbookViewId="0">
      <selection activeCell="A3" sqref="A3:C3"/>
    </sheetView>
  </sheetViews>
  <sheetFormatPr defaultRowHeight="15" customHeight="1" x14ac:dyDescent="0.35"/>
  <cols>
    <col min="1" max="1" width="4.54296875" customWidth="1"/>
    <col min="2" max="2" width="3.26953125" style="15" customWidth="1"/>
    <col min="3" max="3" width="87.1796875" customWidth="1"/>
    <col min="4" max="4" width="71.453125" style="74" bestFit="1" customWidth="1"/>
  </cols>
  <sheetData>
    <row r="1" spans="1:3" ht="18" customHeight="1" x14ac:dyDescent="0.35">
      <c r="A1" s="147" t="str">
        <f ca="1">MID(CELL("filename",$A$2), FIND("]", CELL("filename",$A$2)) + 1, 255)</f>
        <v>Instructions</v>
      </c>
      <c r="B1" s="148"/>
      <c r="C1" s="149"/>
    </row>
    <row r="2" spans="1:3" ht="33.75" customHeight="1" x14ac:dyDescent="0.35">
      <c r="A2" s="158" t="s">
        <v>126</v>
      </c>
      <c r="B2" s="159"/>
      <c r="C2" s="160"/>
    </row>
    <row r="3" spans="1:3" ht="20.25" customHeight="1" x14ac:dyDescent="0.35">
      <c r="A3" s="161" t="s">
        <v>151</v>
      </c>
      <c r="B3" s="162"/>
      <c r="C3" s="163"/>
    </row>
    <row r="4" spans="1:3" ht="20.25" customHeight="1" x14ac:dyDescent="0.35">
      <c r="A4" s="161" t="str">
        <f>"Note: Paste data as values only (see item " &amp; $A$57 &amp; " below)."</f>
        <v>Note: Paste data as values only (see item S1 below).</v>
      </c>
      <c r="B4" s="162"/>
      <c r="C4" s="163"/>
    </row>
    <row r="5" spans="1:3" ht="20.25" customHeight="1" x14ac:dyDescent="0.35">
      <c r="A5" s="164" t="s">
        <v>127</v>
      </c>
      <c r="B5" s="165"/>
      <c r="C5" s="166"/>
    </row>
    <row r="6" spans="1:3" ht="35.25" customHeight="1" x14ac:dyDescent="0.35">
      <c r="A6" s="70">
        <v>1</v>
      </c>
      <c r="B6" s="167" t="s">
        <v>118</v>
      </c>
      <c r="C6" s="168"/>
    </row>
    <row r="7" spans="1:3" ht="18.75" customHeight="1" x14ac:dyDescent="0.35">
      <c r="A7" s="142">
        <v>2</v>
      </c>
      <c r="B7" s="169" t="str">
        <f ca="1">"Set global data on the sheet titled: '" &amp; MID(CELL("filename",GeneralInfo[[#Headers],[Contest Audited]]), FIND("]", CELL("filename",GeneralInfo[[#Headers],[Contest Audited]])) + 1, 255) &amp; "', overwriting the current text."</f>
        <v>Set global data on the sheet titled: 'General Info', overwriting the current text.</v>
      </c>
      <c r="C7" s="170"/>
    </row>
    <row r="8" spans="1:3" ht="18" customHeight="1" x14ac:dyDescent="0.35">
      <c r="A8" s="143"/>
      <c r="B8" s="57" t="s">
        <v>137</v>
      </c>
      <c r="C8" s="50" t="s">
        <v>128</v>
      </c>
    </row>
    <row r="9" spans="1:3" ht="17.25" customHeight="1" x14ac:dyDescent="0.35">
      <c r="A9" s="143"/>
      <c r="B9" s="57" t="s">
        <v>138</v>
      </c>
      <c r="C9" s="50" t="s">
        <v>129</v>
      </c>
    </row>
    <row r="10" spans="1:3" ht="18" customHeight="1" x14ac:dyDescent="0.35">
      <c r="A10" s="143"/>
      <c r="B10" s="57" t="s">
        <v>139</v>
      </c>
      <c r="C10" s="50" t="s">
        <v>130</v>
      </c>
    </row>
    <row r="11" spans="1:3" ht="18" customHeight="1" x14ac:dyDescent="0.35">
      <c r="A11" s="143"/>
      <c r="B11" s="57" t="s">
        <v>140</v>
      </c>
      <c r="C11" s="50" t="s">
        <v>162</v>
      </c>
    </row>
    <row r="12" spans="1:3" ht="18" customHeight="1" x14ac:dyDescent="0.35">
      <c r="A12" s="143"/>
      <c r="B12" s="57" t="s">
        <v>141</v>
      </c>
      <c r="C12" s="50" t="s">
        <v>163</v>
      </c>
    </row>
    <row r="13" spans="1:3" ht="14.5" x14ac:dyDescent="0.35">
      <c r="A13" s="143"/>
      <c r="B13" s="57" t="s">
        <v>142</v>
      </c>
      <c r="C13" s="50" t="s">
        <v>164</v>
      </c>
    </row>
    <row r="14" spans="1:3" ht="33" customHeight="1" x14ac:dyDescent="0.35">
      <c r="A14" s="143"/>
      <c r="B14" s="57" t="s">
        <v>143</v>
      </c>
      <c r="C14" s="50" t="s">
        <v>131</v>
      </c>
    </row>
    <row r="15" spans="1:3" ht="36" customHeight="1" x14ac:dyDescent="0.35">
      <c r="A15" s="144"/>
      <c r="B15" s="58" t="s">
        <v>144</v>
      </c>
      <c r="C15" s="50" t="s">
        <v>165</v>
      </c>
    </row>
    <row r="16" spans="1:3" ht="31.5" customHeight="1" x14ac:dyDescent="0.35">
      <c r="A16" s="135">
        <v>3</v>
      </c>
      <c r="B16" s="138" t="str">
        <f ca="1">"Enter the candidate names or the issue responses in the 'Candidate/Issue Reponses' table on the 
'" &amp; MID(CELL("filename",GeneralInfo[[#Headers],[Contest Audited]]), FIND("]", CELL("filename",GeneralInfo[[#Headers],[Contest Audited]])) + 1, 255) &amp; "' sheet."</f>
        <v>Enter the candidate names or the issue responses in the 'Candidate/Issue Reponses' table on the 
'General Info' sheet.</v>
      </c>
      <c r="C16" s="139"/>
    </row>
    <row r="17" spans="1:3" ht="30" customHeight="1" x14ac:dyDescent="0.35">
      <c r="A17" s="136"/>
      <c r="B17" s="60" t="s">
        <v>137</v>
      </c>
      <c r="C17" s="61" t="s">
        <v>132</v>
      </c>
    </row>
    <row r="18" spans="1:3" ht="16.5" customHeight="1" x14ac:dyDescent="0.35">
      <c r="A18" s="136"/>
      <c r="B18" s="60"/>
      <c r="C18" s="62" t="s">
        <v>208</v>
      </c>
    </row>
    <row r="19" spans="1:3" ht="18.75" customHeight="1" x14ac:dyDescent="0.35">
      <c r="A19" s="137"/>
      <c r="B19" s="63" t="s">
        <v>138</v>
      </c>
      <c r="C19" s="64" t="str">
        <f>"Hide any remaining unused rows if desired (see item "&amp;$A$61&amp;" below)."</f>
        <v>Hide any remaining unused rows if desired (see item S2 below).</v>
      </c>
    </row>
    <row r="20" spans="1:3" ht="18.75" customHeight="1" x14ac:dyDescent="0.35">
      <c r="A20" s="130">
        <v>4</v>
      </c>
      <c r="B20" s="133" t="str">
        <f ca="1">"Enter/Import election data into the '"&amp;MID(CELL("filename",'Sampling Data'!A4), FIND("]", CELL("filename",'Sampling Data'!A4)) + 1, 255) &amp; "' spreadsheet."</f>
        <v>Enter/Import election data into the 'Sampling Data' spreadsheet.</v>
      </c>
      <c r="C20" s="134"/>
    </row>
    <row r="21" spans="1:3" ht="18.75" customHeight="1" x14ac:dyDescent="0.35">
      <c r="A21" s="131"/>
      <c r="B21" s="57" t="s">
        <v>137</v>
      </c>
      <c r="C21" s="50" t="s">
        <v>134</v>
      </c>
    </row>
    <row r="22" spans="1:3" ht="17.25" customHeight="1" x14ac:dyDescent="0.35">
      <c r="A22" s="131"/>
      <c r="B22" s="57" t="s">
        <v>138</v>
      </c>
      <c r="C22" s="50" t="s">
        <v>145</v>
      </c>
    </row>
    <row r="23" spans="1:3" ht="33.75" customHeight="1" x14ac:dyDescent="0.35">
      <c r="A23" s="131"/>
      <c r="B23" s="57"/>
      <c r="C23" s="51" t="s">
        <v>159</v>
      </c>
    </row>
    <row r="24" spans="1:3" ht="19.5" customHeight="1" x14ac:dyDescent="0.35">
      <c r="A24" s="131"/>
      <c r="B24" s="57" t="s">
        <v>139</v>
      </c>
      <c r="C24" s="50" t="s">
        <v>155</v>
      </c>
    </row>
    <row r="25" spans="1:3" ht="28.5" customHeight="1" x14ac:dyDescent="0.35">
      <c r="A25" s="131"/>
      <c r="B25" s="57" t="s">
        <v>140</v>
      </c>
      <c r="C25" s="50" t="str">
        <f>"Determine the total number of rows needed and extend or shrink the table by the necessary
amount (see items "&amp;$A$70&amp;", " &amp;$A$74&amp; " below)."</f>
        <v>Determine the total number of rows needed and extend or shrink the table by the necessary
amount (see items S4, S5 below).</v>
      </c>
    </row>
    <row r="26" spans="1:3" ht="18.75" customHeight="1" x14ac:dyDescent="0.35">
      <c r="A26" s="131"/>
      <c r="B26" s="57"/>
      <c r="C26" s="51" t="s">
        <v>135</v>
      </c>
    </row>
    <row r="27" spans="1:3" ht="33.75" customHeight="1" x14ac:dyDescent="0.35">
      <c r="A27" s="131"/>
      <c r="B27" s="57" t="s">
        <v>141</v>
      </c>
      <c r="C27" s="50" t="s">
        <v>133</v>
      </c>
    </row>
    <row r="28" spans="1:3" ht="14.5" x14ac:dyDescent="0.35">
      <c r="A28" s="131"/>
      <c r="B28" s="57" t="s">
        <v>142</v>
      </c>
      <c r="C28" s="101" t="s">
        <v>179</v>
      </c>
    </row>
    <row r="29" spans="1:3" ht="33.75" customHeight="1" x14ac:dyDescent="0.35">
      <c r="A29" s="132"/>
      <c r="B29" s="58" t="s">
        <v>143</v>
      </c>
      <c r="C29" s="52" t="str">
        <f>"You may hide any column with the words 'UNDEFINED' in the header (see item "&amp;$A$61&amp;" 
below)."</f>
        <v>You may hide any column with the words 'UNDEFINED' in the header (see item S2 
below).</v>
      </c>
    </row>
    <row r="30" spans="1:3" ht="19.5" customHeight="1" x14ac:dyDescent="0.35">
      <c r="A30" s="135">
        <v>5</v>
      </c>
      <c r="B30" s="138" t="s">
        <v>136</v>
      </c>
      <c r="C30" s="139"/>
    </row>
    <row r="31" spans="1:3" ht="18.75" customHeight="1" x14ac:dyDescent="0.35">
      <c r="A31" s="136"/>
      <c r="B31" s="60" t="s">
        <v>137</v>
      </c>
      <c r="C31" s="61" t="s">
        <v>209</v>
      </c>
    </row>
    <row r="32" spans="1:3" ht="18.75" customHeight="1" x14ac:dyDescent="0.35">
      <c r="A32" s="136"/>
      <c r="B32" s="60" t="s">
        <v>138</v>
      </c>
      <c r="C32" s="61" t="s">
        <v>210</v>
      </c>
    </row>
    <row r="33" spans="1:3" ht="19.5" customHeight="1" x14ac:dyDescent="0.35">
      <c r="A33" s="136"/>
      <c r="B33" s="60" t="s">
        <v>139</v>
      </c>
      <c r="C33" s="61" t="s">
        <v>211</v>
      </c>
    </row>
    <row r="34" spans="1:3" ht="50.25" customHeight="1" x14ac:dyDescent="0.35">
      <c r="A34" s="137"/>
      <c r="B34" s="63" t="s">
        <v>140</v>
      </c>
      <c r="C34" s="64" t="s">
        <v>212</v>
      </c>
    </row>
    <row r="35" spans="1:3" ht="18.75" customHeight="1" x14ac:dyDescent="0.35">
      <c r="A35" s="130">
        <v>6</v>
      </c>
      <c r="B35" s="133" t="str">
        <f ca="1">"Select the batches to audit on the spreadsheet titled: '" &amp; MID(CELL("filename",'Selected Batches'!$A$2), FIND("]", CELL("filename",'Selected Batches'!$A$2)) + 1, 255) &amp; "'."</f>
        <v>Select the batches to audit on the spreadsheet titled: 'Selected Batches'.</v>
      </c>
      <c r="C35" s="134"/>
    </row>
    <row r="36" spans="1:3" ht="48" customHeight="1" x14ac:dyDescent="0.35">
      <c r="A36" s="131"/>
      <c r="B36" s="57" t="s">
        <v>137</v>
      </c>
      <c r="C36" s="54" t="str">
        <f ca="1">"Determine the minimum number of draws needed (batches to audit). The value for this is in 
cell B13 of the '" &amp; MID(CELL("filename",GeneralInfo[[#Headers],[Contest Audited]]), FIND("]", CELL("filename",GeneralInfo[[#Headers],[Contest Audited]])) + 1, 255) &amp; "' worksheet. This number assumes that all audited batches are 
100% accurate."</f>
        <v>Determine the minimum number of draws needed (batches to audit). The value for this is in 
cell B13 of the 'General Info' worksheet. This number assumes that all audited batches are 
100% accurate.</v>
      </c>
    </row>
    <row r="37" spans="1:3" ht="45" customHeight="1" x14ac:dyDescent="0.35">
      <c r="A37" s="131"/>
      <c r="B37" s="57" t="s">
        <v>138</v>
      </c>
      <c r="C37" s="50" t="str">
        <f>"Extend or reduce the table to allow for the minimum number of selections (see items " &amp; $A$70 &amp; ", " &amp; $A$74 &amp; " below). Additional batches should be selected at this time in the event a discrepancy is found within the original batches selected and the number of batches to audit increases."</f>
        <v>Extend or reduce the table to allow for the minimum number of selections (see items S4, S5 below). Additional batches should be selected at this time in the event a discrepancy is found within the original batches selected and the number of batches to audit increases.</v>
      </c>
    </row>
    <row r="38" spans="1:3" ht="19.5" customHeight="1" x14ac:dyDescent="0.35">
      <c r="A38" s="131"/>
      <c r="B38" s="57"/>
      <c r="C38" s="51" t="s">
        <v>115</v>
      </c>
    </row>
    <row r="39" spans="1:3" ht="36.75" customHeight="1" x14ac:dyDescent="0.35">
      <c r="A39" s="132"/>
      <c r="B39" s="58" t="s">
        <v>139</v>
      </c>
      <c r="C39" s="52" t="str">
        <f>"Select, at random, values within your predefined range and enter it into the column labeled: 
'" &amp;SelectedPrecincts[[#Headers],[Batch Number]] &amp; "', the corresponding batch name will appear in the adjacent cell."</f>
        <v>Select, at random, values within your predefined range and enter it into the column labeled: 
'Batch Number', the corresponding batch name will appear in the adjacent cell.</v>
      </c>
    </row>
    <row r="40" spans="1:3" ht="18" customHeight="1" x14ac:dyDescent="0.35">
      <c r="A40" s="135">
        <v>7</v>
      </c>
      <c r="B40" s="138" t="str">
        <f ca="1">"Enter the audit results in the spreadsheet titled: '" &amp; MID(CELL("filename",Audit!$A$3), FIND("]", CELL("filename",Audit!$A$3)) + 1, 255) &amp; "'."</f>
        <v>Enter the audit results in the spreadsheet titled: 'Audit'.</v>
      </c>
      <c r="C40" s="139"/>
    </row>
    <row r="41" spans="1:3" ht="13.5" customHeight="1" x14ac:dyDescent="0.35">
      <c r="A41" s="136"/>
      <c r="B41" s="60" t="s">
        <v>137</v>
      </c>
      <c r="C41" s="61" t="str">
        <f>"Adjust the size of the table; see items " &amp;$A$70 &amp; ", " &amp; $A$74 &amp; " below."</f>
        <v>Adjust the size of the table; see items S4, S5 below.</v>
      </c>
    </row>
    <row r="42" spans="1:3" ht="18" customHeight="1" x14ac:dyDescent="0.35">
      <c r="A42" s="136"/>
      <c r="B42" s="60"/>
      <c r="C42" s="62" t="str">
        <f ca="1">"Note: The number of rows will need to match the number of rows in '" &amp; MID(CELL("filename",'Sampling Data'!A4), FIND("]", CELL("filename",'Sampling Data'!A4)) + 1, 255) &amp; "'."</f>
        <v>Note: The number of rows will need to match the number of rows in 'Sampling Data'.</v>
      </c>
    </row>
    <row r="43" spans="1:3" ht="18" customHeight="1" x14ac:dyDescent="0.35">
      <c r="A43" s="136"/>
      <c r="B43" s="60" t="s">
        <v>138</v>
      </c>
      <c r="C43" s="102" t="s">
        <v>179</v>
      </c>
    </row>
    <row r="44" spans="1:3" ht="20.25" customHeight="1" x14ac:dyDescent="0.35">
      <c r="A44" s="136"/>
      <c r="B44" s="60" t="s">
        <v>139</v>
      </c>
      <c r="C44" s="61" t="str">
        <f>"Hide any columns that have 'Undefined' in the header, see item " &amp; $A$61 &amp; "."</f>
        <v>Hide any columns that have 'Undefined' in the header, see item S2.</v>
      </c>
    </row>
    <row r="45" spans="1:3" ht="34.5" customHeight="1" x14ac:dyDescent="0.35">
      <c r="A45" s="136"/>
      <c r="B45" s="60" t="s">
        <v>140</v>
      </c>
      <c r="C45" s="61" t="str">
        <f>"Using the drop down filter button for the column labeled: '" &amp; Audit!$A$4 &amp; "', 
select 'Sort A to Z', to sort by batch."</f>
        <v>Using the drop down filter button for the column labeled: 'Selection - Batch picked for audit', 
select 'Sort A to Z', to sort by batch.</v>
      </c>
    </row>
    <row r="46" spans="1:3" ht="34.5" customHeight="1" x14ac:dyDescent="0.35">
      <c r="A46" s="136"/>
      <c r="B46" s="60" t="s">
        <v>141</v>
      </c>
      <c r="C46" s="61" t="str">
        <f>"Using the drop down filter button for the column labeled: '" &amp; Audit!$A$4 &amp; "', 
 uncheck 'Blanks'."</f>
        <v>Using the drop down filter button for the column labeled: 'Selection - Batch picked for audit', 
 uncheck 'Blanks'.</v>
      </c>
    </row>
    <row r="47" spans="1:3" ht="19.5" customHeight="1" x14ac:dyDescent="0.35">
      <c r="A47" s="136"/>
      <c r="B47" s="60" t="s">
        <v>142</v>
      </c>
      <c r="C47" s="61" t="s">
        <v>157</v>
      </c>
    </row>
    <row r="48" spans="1:3" ht="30.75" customHeight="1" x14ac:dyDescent="0.35">
      <c r="A48" s="136"/>
      <c r="B48" s="60" t="s">
        <v>143</v>
      </c>
      <c r="C48" s="61" t="str">
        <f>"If there are any differences, enter the reason for it in the column labeled: '" &amp; Audit[[#Headers],[Reason For Differences]] &amp; "'."</f>
        <v>If there are any differences, enter the reason for it in the column labeled: 'Reason For Differences'.</v>
      </c>
    </row>
    <row r="49" spans="1:3" ht="33.75" customHeight="1" x14ac:dyDescent="0.35">
      <c r="A49" s="136"/>
      <c r="B49" s="60" t="s">
        <v>144</v>
      </c>
      <c r="C49" s="61" t="s">
        <v>119</v>
      </c>
    </row>
    <row r="50" spans="1:3" ht="20.25" customHeight="1" x14ac:dyDescent="0.35">
      <c r="A50" s="137"/>
      <c r="B50" s="63" t="s">
        <v>213</v>
      </c>
      <c r="C50" s="64" t="str">
        <f>"If more batches are needed due to errors, repeat previous steps above starting with " &amp;$A$35&amp;"."&amp;$B$37&amp;""</f>
        <v>If more batches are needed due to errors, repeat previous steps above starting with 6.b.</v>
      </c>
    </row>
    <row r="51" spans="1:3" ht="30" customHeight="1" x14ac:dyDescent="0.35">
      <c r="A51" s="130">
        <v>8</v>
      </c>
      <c r="B51" s="133" t="str">
        <f ca="1">"Once the audit is completed, return to spreadsheet '"&amp; MID(CELL("filename",GeneralInfo[[#Headers],[Contest Audited]]), FIND("]", CELL("filename",GeneralInfo[[#Headers],[Contest Audited]])) + 1, 255) &amp; "' and adjust the size of 
table '"&amp;'General Info'!$A$46&amp;"' until all of the reasons are displayed (see item "&amp;$A$70 &amp;" below)."</f>
        <v>Once the audit is completed, return to spreadsheet 'General Info' and adjust the size of 
table 'Explanation of Discrepancies' until all of the reasons are displayed (see item S4 below).</v>
      </c>
      <c r="C51" s="134"/>
    </row>
    <row r="52" spans="1:3" ht="21" customHeight="1" x14ac:dyDescent="0.35">
      <c r="A52" s="132"/>
      <c r="B52" s="140" t="s">
        <v>120</v>
      </c>
      <c r="C52" s="141"/>
    </row>
    <row r="53" spans="1:3" ht="24.75" customHeight="1" x14ac:dyDescent="0.35">
      <c r="A53" s="65">
        <v>9</v>
      </c>
      <c r="B53" s="156" t="s">
        <v>108</v>
      </c>
      <c r="C53" s="157"/>
    </row>
    <row r="54" spans="1:3" ht="25.5" customHeight="1" x14ac:dyDescent="0.35">
      <c r="A54" s="59">
        <v>10</v>
      </c>
      <c r="B54" s="145" t="s">
        <v>107</v>
      </c>
      <c r="C54" s="146"/>
    </row>
    <row r="55" spans="1:3" ht="18" customHeight="1" x14ac:dyDescent="0.35">
      <c r="A55" s="147" t="s">
        <v>154</v>
      </c>
      <c r="B55" s="148"/>
      <c r="C55" s="149"/>
    </row>
    <row r="56" spans="1:3" ht="20.25" customHeight="1" x14ac:dyDescent="0.35">
      <c r="A56" s="153" t="s">
        <v>153</v>
      </c>
      <c r="B56" s="154"/>
      <c r="C56" s="155"/>
    </row>
    <row r="57" spans="1:3" ht="19.5" customHeight="1" x14ac:dyDescent="0.35">
      <c r="A57" s="150" t="s">
        <v>109</v>
      </c>
      <c r="B57" s="138" t="s">
        <v>152</v>
      </c>
      <c r="C57" s="139"/>
    </row>
    <row r="58" spans="1:3" ht="18.75" customHeight="1" x14ac:dyDescent="0.35">
      <c r="A58" s="151"/>
      <c r="B58" s="66" t="s">
        <v>137</v>
      </c>
      <c r="C58" s="61" t="s">
        <v>214</v>
      </c>
    </row>
    <row r="59" spans="1:3" ht="32.25" customHeight="1" x14ac:dyDescent="0.35">
      <c r="A59" s="151"/>
      <c r="B59" s="66" t="s">
        <v>138</v>
      </c>
      <c r="C59" s="61" t="s">
        <v>121</v>
      </c>
    </row>
    <row r="60" spans="1:3" ht="19.5" customHeight="1" x14ac:dyDescent="0.35">
      <c r="A60" s="152"/>
      <c r="B60" s="67" t="s">
        <v>139</v>
      </c>
      <c r="C60" s="64" t="s">
        <v>117</v>
      </c>
    </row>
    <row r="61" spans="1:3" ht="18.75" customHeight="1" x14ac:dyDescent="0.35">
      <c r="A61" s="130" t="s">
        <v>110</v>
      </c>
      <c r="B61" s="133" t="s">
        <v>146</v>
      </c>
      <c r="C61" s="134"/>
    </row>
    <row r="62" spans="1:3" ht="33.75" customHeight="1" x14ac:dyDescent="0.35">
      <c r="A62" s="131"/>
      <c r="B62" s="53" t="s">
        <v>137</v>
      </c>
      <c r="C62" s="54" t="s">
        <v>147</v>
      </c>
    </row>
    <row r="63" spans="1:3" ht="18.75" customHeight="1" x14ac:dyDescent="0.35">
      <c r="A63" s="131"/>
      <c r="B63" s="53" t="s">
        <v>138</v>
      </c>
      <c r="C63" s="54" t="s">
        <v>148</v>
      </c>
    </row>
    <row r="64" spans="1:3" ht="18.75" customHeight="1" x14ac:dyDescent="0.35">
      <c r="A64" s="132"/>
      <c r="B64" s="56" t="s">
        <v>139</v>
      </c>
      <c r="C64" s="55" t="s">
        <v>101</v>
      </c>
    </row>
    <row r="65" spans="1:3" ht="18.75" customHeight="1" x14ac:dyDescent="0.35">
      <c r="A65" s="135" t="s">
        <v>111</v>
      </c>
      <c r="B65" s="138" t="s">
        <v>149</v>
      </c>
      <c r="C65" s="139"/>
    </row>
    <row r="66" spans="1:3" ht="33.75" customHeight="1" x14ac:dyDescent="0.35">
      <c r="A66" s="136"/>
      <c r="B66" s="60" t="s">
        <v>137</v>
      </c>
      <c r="C66" s="68" t="str">
        <f>"Select the first row/column before the row/column you wish to unhide using the method 
outlined in "&amp;$A$61&amp;" above."</f>
        <v>Select the first row/column before the row/column you wish to unhide using the method 
outlined in S2 above.</v>
      </c>
    </row>
    <row r="67" spans="1:3" ht="35.25" customHeight="1" x14ac:dyDescent="0.35">
      <c r="A67" s="136"/>
      <c r="B67" s="60" t="s">
        <v>138</v>
      </c>
      <c r="C67" s="68" t="str">
        <f>"While holding down the 'Shift' key, select the row/column after the row/column you wish to 
unhide (refer to "&amp;$A$61&amp;" above)."</f>
        <v>While holding down the 'Shift' key, select the row/column after the row/column you wish to 
unhide (refer to S2 above).</v>
      </c>
    </row>
    <row r="68" spans="1:3" ht="18.75" customHeight="1" x14ac:dyDescent="0.35">
      <c r="A68" s="136"/>
      <c r="B68" s="60" t="s">
        <v>139</v>
      </c>
      <c r="C68" s="68" t="s">
        <v>150</v>
      </c>
    </row>
    <row r="69" spans="1:3" ht="20.25" customHeight="1" x14ac:dyDescent="0.35">
      <c r="A69" s="137"/>
      <c r="B69" s="63" t="s">
        <v>140</v>
      </c>
      <c r="C69" s="69" t="s">
        <v>102</v>
      </c>
    </row>
    <row r="70" spans="1:3" ht="19.5" customHeight="1" x14ac:dyDescent="0.35">
      <c r="A70" s="130" t="s">
        <v>112</v>
      </c>
      <c r="B70" s="133" t="s">
        <v>105</v>
      </c>
      <c r="C70" s="134"/>
    </row>
    <row r="71" spans="1:3" ht="19.5" customHeight="1" x14ac:dyDescent="0.35">
      <c r="A71" s="131"/>
      <c r="B71" s="53" t="s">
        <v>137</v>
      </c>
      <c r="C71" s="54" t="s">
        <v>116</v>
      </c>
    </row>
    <row r="72" spans="1:3" ht="35.25" customHeight="1" x14ac:dyDescent="0.35">
      <c r="A72" s="131"/>
      <c r="B72" s="53" t="s">
        <v>138</v>
      </c>
      <c r="C72" s="54" t="s">
        <v>122</v>
      </c>
    </row>
    <row r="73" spans="1:3" ht="51" customHeight="1" x14ac:dyDescent="0.35">
      <c r="A73" s="132"/>
      <c r="B73" s="56" t="s">
        <v>139</v>
      </c>
      <c r="C73" s="55" t="s">
        <v>160</v>
      </c>
    </row>
    <row r="74" spans="1:3" ht="19.5" customHeight="1" x14ac:dyDescent="0.35">
      <c r="A74" s="135" t="s">
        <v>114</v>
      </c>
      <c r="B74" s="138" t="s">
        <v>106</v>
      </c>
      <c r="C74" s="139"/>
    </row>
    <row r="75" spans="1:3" ht="21" customHeight="1" x14ac:dyDescent="0.35">
      <c r="A75" s="136"/>
      <c r="B75" s="60" t="s">
        <v>137</v>
      </c>
      <c r="C75" s="68" t="s">
        <v>116</v>
      </c>
    </row>
    <row r="76" spans="1:3" ht="35.25" customHeight="1" x14ac:dyDescent="0.35">
      <c r="A76" s="136"/>
      <c r="B76" s="60" t="s">
        <v>138</v>
      </c>
      <c r="C76" s="68" t="s">
        <v>123</v>
      </c>
    </row>
    <row r="77" spans="1:3" ht="49.5" customHeight="1" x14ac:dyDescent="0.35">
      <c r="A77" s="136"/>
      <c r="B77" s="60" t="s">
        <v>139</v>
      </c>
      <c r="C77" s="68" t="s">
        <v>158</v>
      </c>
    </row>
    <row r="78" spans="1:3" ht="21.75" customHeight="1" x14ac:dyDescent="0.35">
      <c r="A78" s="137"/>
      <c r="B78" s="63" t="s">
        <v>140</v>
      </c>
      <c r="C78" s="69" t="s">
        <v>156</v>
      </c>
    </row>
    <row r="79" spans="1:3" ht="15" customHeight="1" x14ac:dyDescent="0.35">
      <c r="A79" s="130" t="s">
        <v>180</v>
      </c>
      <c r="B79" s="133" t="s">
        <v>181</v>
      </c>
      <c r="C79" s="134"/>
    </row>
    <row r="80" spans="1:3" ht="15" customHeight="1" x14ac:dyDescent="0.35">
      <c r="A80" s="131"/>
      <c r="B80" s="53" t="s">
        <v>137</v>
      </c>
      <c r="C80" s="54" t="s">
        <v>182</v>
      </c>
    </row>
    <row r="81" spans="1:3" ht="15" customHeight="1" x14ac:dyDescent="0.35">
      <c r="A81" s="131"/>
      <c r="B81" s="53" t="s">
        <v>138</v>
      </c>
      <c r="C81" s="54" t="s">
        <v>215</v>
      </c>
    </row>
    <row r="82" spans="1:3" ht="15" customHeight="1" x14ac:dyDescent="0.35">
      <c r="A82" s="132"/>
      <c r="B82" s="56" t="s">
        <v>139</v>
      </c>
      <c r="C82" s="55" t="s">
        <v>183</v>
      </c>
    </row>
  </sheetData>
  <mergeCells count="37">
    <mergeCell ref="A1:C1"/>
    <mergeCell ref="B53:C53"/>
    <mergeCell ref="A2:C2"/>
    <mergeCell ref="A3:C3"/>
    <mergeCell ref="A5:C5"/>
    <mergeCell ref="B6:C6"/>
    <mergeCell ref="B7:C7"/>
    <mergeCell ref="B16:C16"/>
    <mergeCell ref="B20:C20"/>
    <mergeCell ref="A51:A52"/>
    <mergeCell ref="A4:C4"/>
    <mergeCell ref="B35:C35"/>
    <mergeCell ref="B40:C40"/>
    <mergeCell ref="B51:C51"/>
    <mergeCell ref="A40:A50"/>
    <mergeCell ref="B30:C30"/>
    <mergeCell ref="A65:A69"/>
    <mergeCell ref="B57:C57"/>
    <mergeCell ref="B52:C52"/>
    <mergeCell ref="A7:A15"/>
    <mergeCell ref="A16:A19"/>
    <mergeCell ref="A20:A29"/>
    <mergeCell ref="A30:A34"/>
    <mergeCell ref="A35:A39"/>
    <mergeCell ref="B65:C65"/>
    <mergeCell ref="B61:C61"/>
    <mergeCell ref="B54:C54"/>
    <mergeCell ref="A55:C55"/>
    <mergeCell ref="A57:A60"/>
    <mergeCell ref="A61:A64"/>
    <mergeCell ref="A56:C56"/>
    <mergeCell ref="A79:A82"/>
    <mergeCell ref="B79:C79"/>
    <mergeCell ref="A70:A73"/>
    <mergeCell ref="A74:A78"/>
    <mergeCell ref="B70:C70"/>
    <mergeCell ref="B74:C74"/>
  </mergeCells>
  <pageMargins left="0.7" right="0.7" top="0.75" bottom="0.75" header="0.3" footer="0.3"/>
  <pageSetup scale="95" fitToHeight="0" orientation="portrait" horizontalDpi="4294967295" verticalDpi="4294967295" r:id="rId1"/>
  <headerFooter>
    <oddHeader>&amp;CRisk-Limiting Post-Election Audit</oddHeader>
    <oddFooter>&amp;CPage &amp;P of &amp;N</oddFooter>
  </headerFooter>
  <rowBreaks count="2" manualBreakCount="2">
    <brk id="29" max="16383" man="1"/>
    <brk id="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General Info</vt:lpstr>
      <vt:lpstr>Selected Batches</vt:lpstr>
      <vt:lpstr>Audit</vt:lpstr>
      <vt:lpstr>Sampling Data</vt:lpstr>
      <vt:lpstr>Instructions</vt:lpstr>
      <vt:lpstr>Candidates</vt:lpstr>
      <vt:lpstr>Contest</vt:lpstr>
      <vt:lpstr>Audit!Print_Area</vt:lpstr>
      <vt:lpstr>Audit!Print_Titles</vt:lpstr>
      <vt:lpstr>'General Info'!Print_Titles</vt:lpstr>
      <vt:lpstr>Instructions!Print_Titles</vt:lpstr>
      <vt:lpstr>'Sampling Data'!Print_Titles</vt:lpstr>
      <vt:lpstr>'Selected Batches'!Print_Titles</vt:lpstr>
    </vt:vector>
  </TitlesOfParts>
  <Company>Board of Elections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Culek</dc:creator>
  <cp:lastModifiedBy>Todd Cooper</cp:lastModifiedBy>
  <cp:lastPrinted>2024-12-09T19:13:21Z</cp:lastPrinted>
  <dcterms:created xsi:type="dcterms:W3CDTF">2011-07-25T20:10:01Z</dcterms:created>
  <dcterms:modified xsi:type="dcterms:W3CDTF">2024-12-09T19:31:55Z</dcterms:modified>
</cp:coreProperties>
</file>